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IEU\Desktop\oee\data\"/>
    </mc:Choice>
  </mc:AlternateContent>
  <xr:revisionPtr revIDLastSave="0" documentId="13_ncr:1_{942D25D4-4363-4DB2-9B1C-FE378E4BD1D8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Kangatang" sheetId="3" state="veryHidden" r:id="rId1"/>
    <sheet name="Jan" sheetId="28" r:id="rId2"/>
    <sheet name="Total Jan" sheetId="29" r:id="rId3"/>
    <sheet name="Feb" sheetId="30" r:id="rId4"/>
    <sheet name="Total Feb" sheetId="31" r:id="rId5"/>
    <sheet name="Mar" sheetId="36" r:id="rId6"/>
    <sheet name="Total Mar" sheetId="37" r:id="rId7"/>
    <sheet name="Apr" sheetId="39" r:id="rId8"/>
    <sheet name="Total Apr" sheetId="38" r:id="rId9"/>
    <sheet name="May" sheetId="40" r:id="rId10"/>
    <sheet name="Total May" sheetId="41" r:id="rId11"/>
    <sheet name="June" sheetId="43" r:id="rId12"/>
    <sheet name="Total June" sheetId="44" r:id="rId13"/>
    <sheet name="July" sheetId="45" r:id="rId14"/>
    <sheet name="Total July" sheetId="46" r:id="rId15"/>
    <sheet name="Total Year" sheetId="35" r:id="rId16"/>
  </sheets>
  <definedNames>
    <definedName name="_xlnm._FilterDatabase" localSheetId="7" hidden="1">Apr!$A$3:$DM$272</definedName>
    <definedName name="_xlnm._FilterDatabase" localSheetId="3" hidden="1">Feb!$A$3:$CX$266</definedName>
    <definedName name="_xlnm._FilterDatabase" localSheetId="1" hidden="1">Jan!$A$3:$DQ$266</definedName>
    <definedName name="_xlnm._FilterDatabase" localSheetId="13" hidden="1">July!$A$3:$DI$307</definedName>
    <definedName name="_xlnm._FilterDatabase" localSheetId="11" hidden="1">June!$A$3:$DQ$307</definedName>
    <definedName name="_xlnm._FilterDatabase" localSheetId="5" hidden="1">Mar!$A$3:$DQ$267</definedName>
    <definedName name="_xlnm._FilterDatabase" localSheetId="9" hidden="1">May!$A$3:$DO$305</definedName>
    <definedName name="_xlnm._FilterDatabase" localSheetId="8" hidden="1">'Total Apr'!$A$2:$W$613</definedName>
    <definedName name="_xlnm._FilterDatabase" localSheetId="4" hidden="1">'Total Feb'!$A$2:$W$408</definedName>
    <definedName name="_xlnm._FilterDatabase" localSheetId="2" hidden="1">'Total Jan'!$A$2:$W$607</definedName>
    <definedName name="_xlnm._FilterDatabase" localSheetId="14" hidden="1">'Total July'!$A$2:$W$574</definedName>
    <definedName name="_xlnm._FilterDatabase" localSheetId="12" hidden="1">'Total June'!$A$2:$AE$839</definedName>
    <definedName name="_xlnm._FilterDatabase" localSheetId="6" hidden="1">'Total Mar'!$A$2:$W$591</definedName>
    <definedName name="_xlnm._FilterDatabase" localSheetId="10" hidden="1">'Total May'!$A$2:$W$740</definedName>
    <definedName name="_xlnm._FilterDatabase" localSheetId="15" hidden="1">'Total Year'!$A$2:$Q$428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45" l="1"/>
  <c r="Q494" i="46"/>
  <c r="P494" i="46"/>
  <c r="O494" i="46"/>
  <c r="Q493" i="46"/>
  <c r="P493" i="46"/>
  <c r="O493" i="46"/>
  <c r="Q492" i="46"/>
  <c r="P492" i="46"/>
  <c r="Q491" i="46"/>
  <c r="P491" i="46"/>
  <c r="Q490" i="46"/>
  <c r="Q486" i="46"/>
  <c r="P486" i="46"/>
  <c r="O486" i="46"/>
  <c r="Q485" i="46"/>
  <c r="P485" i="46"/>
  <c r="Q484" i="46"/>
  <c r="P484" i="46"/>
  <c r="O484" i="46"/>
  <c r="Q483" i="46"/>
  <c r="P483" i="46"/>
  <c r="Q482" i="46"/>
  <c r="P482" i="46"/>
  <c r="O482" i="46"/>
  <c r="Q481" i="46"/>
  <c r="P481" i="46"/>
  <c r="O481" i="46"/>
  <c r="Q479" i="46"/>
  <c r="P479" i="46"/>
  <c r="Q470" i="46"/>
  <c r="P470" i="46"/>
  <c r="O470" i="46"/>
  <c r="Q468" i="46"/>
  <c r="P468" i="46"/>
  <c r="Q466" i="46"/>
  <c r="P466" i="46"/>
  <c r="O466" i="46"/>
  <c r="Q465" i="46"/>
  <c r="P465" i="46"/>
  <c r="O465" i="46"/>
  <c r="Q464" i="46"/>
  <c r="P464" i="46"/>
  <c r="O464" i="46"/>
  <c r="N424" i="35" l="1"/>
  <c r="N423" i="35"/>
  <c r="L422" i="35"/>
  <c r="K422" i="35"/>
  <c r="G422" i="35"/>
  <c r="H421" i="35"/>
  <c r="L420" i="35"/>
  <c r="K420" i="35"/>
  <c r="G420" i="35"/>
  <c r="L419" i="35"/>
  <c r="K419" i="35"/>
  <c r="H419" i="35"/>
  <c r="G419" i="35"/>
  <c r="G414" i="35"/>
  <c r="H411" i="35"/>
  <c r="L405" i="35"/>
  <c r="K405" i="35"/>
  <c r="G405" i="35"/>
  <c r="P402" i="35"/>
  <c r="P400" i="35"/>
  <c r="P399" i="35"/>
  <c r="O397" i="35"/>
  <c r="L397" i="35"/>
  <c r="K397" i="35"/>
  <c r="P388" i="35"/>
  <c r="G388" i="35"/>
  <c r="P387" i="35"/>
  <c r="O387" i="35"/>
  <c r="N387" i="35"/>
  <c r="M387" i="35"/>
  <c r="L387" i="35"/>
  <c r="K387" i="35"/>
  <c r="G387" i="35"/>
  <c r="O385" i="35"/>
  <c r="N385" i="35"/>
  <c r="M385" i="35"/>
  <c r="L385" i="35"/>
  <c r="K385" i="35"/>
  <c r="G385" i="35"/>
  <c r="H384" i="35"/>
  <c r="P383" i="35"/>
  <c r="O383" i="35"/>
  <c r="N383" i="35"/>
  <c r="M383" i="35"/>
  <c r="L383" i="35"/>
  <c r="K383" i="35"/>
  <c r="G383" i="35"/>
  <c r="P380" i="35"/>
  <c r="O380" i="35"/>
  <c r="N380" i="35"/>
  <c r="M380" i="35"/>
  <c r="L380" i="35"/>
  <c r="K380" i="35"/>
  <c r="G380" i="35"/>
  <c r="P377" i="35"/>
  <c r="L377" i="35"/>
  <c r="K377" i="35"/>
  <c r="H377" i="35"/>
  <c r="G377" i="35"/>
  <c r="H374" i="35"/>
  <c r="H372" i="35"/>
  <c r="H371" i="35"/>
  <c r="P370" i="35"/>
  <c r="G369" i="35"/>
  <c r="P367" i="35"/>
  <c r="P366" i="35"/>
  <c r="O366" i="35"/>
  <c r="N366" i="35"/>
  <c r="M366" i="35"/>
  <c r="L366" i="35"/>
  <c r="K366" i="35"/>
  <c r="P365" i="35"/>
  <c r="O365" i="35"/>
  <c r="N365" i="35"/>
  <c r="M365" i="35"/>
  <c r="P364" i="35"/>
  <c r="O364" i="35"/>
  <c r="P363" i="35"/>
  <c r="G363" i="35"/>
  <c r="P362" i="35"/>
  <c r="H359" i="35"/>
  <c r="O358" i="35"/>
  <c r="N358" i="35"/>
  <c r="M358" i="35"/>
  <c r="L358" i="35"/>
  <c r="K358" i="35"/>
  <c r="G358" i="35"/>
  <c r="H357" i="35"/>
  <c r="P355" i="35"/>
  <c r="L355" i="35"/>
  <c r="K355" i="35"/>
  <c r="G355" i="35"/>
  <c r="P351" i="35"/>
  <c r="P346" i="35"/>
  <c r="O346" i="35"/>
  <c r="N346" i="35"/>
  <c r="M346" i="35"/>
  <c r="L346" i="35"/>
  <c r="K346" i="35"/>
  <c r="P345" i="35"/>
  <c r="O345" i="35"/>
  <c r="N345" i="35"/>
  <c r="M345" i="35"/>
  <c r="I344" i="35"/>
  <c r="I426" i="35" s="1"/>
  <c r="O280" i="35"/>
  <c r="O388" i="35" s="1"/>
  <c r="H256" i="35"/>
  <c r="L253" i="35"/>
  <c r="L410" i="35" s="1"/>
  <c r="O251" i="35"/>
  <c r="O413" i="35" s="1"/>
  <c r="H250" i="35"/>
  <c r="H412" i="35" s="1"/>
  <c r="H249" i="35"/>
  <c r="L239" i="35"/>
  <c r="O237" i="35"/>
  <c r="O416" i="35" s="1"/>
  <c r="P236" i="35"/>
  <c r="P419" i="35" s="1"/>
  <c r="K234" i="35"/>
  <c r="L233" i="35"/>
  <c r="K233" i="35"/>
  <c r="G222" i="35"/>
  <c r="G220" i="35"/>
  <c r="O212" i="35"/>
  <c r="G209" i="35"/>
  <c r="G208" i="35"/>
  <c r="O127" i="35"/>
  <c r="P118" i="35"/>
  <c r="O118" i="35"/>
  <c r="J114" i="35"/>
  <c r="J344" i="35" s="1"/>
  <c r="J426" i="35" s="1"/>
  <c r="N574" i="46"/>
  <c r="M574" i="46"/>
  <c r="P571" i="46"/>
  <c r="O571" i="46"/>
  <c r="L571" i="46"/>
  <c r="K571" i="46"/>
  <c r="H571" i="46"/>
  <c r="G571" i="46"/>
  <c r="T570" i="46"/>
  <c r="P570" i="46"/>
  <c r="O570" i="46"/>
  <c r="T569" i="46"/>
  <c r="O299" i="35" s="1"/>
  <c r="T568" i="46"/>
  <c r="O298" i="35" s="1"/>
  <c r="H568" i="46"/>
  <c r="T567" i="46"/>
  <c r="O296" i="35" s="1"/>
  <c r="O402" i="35" s="1"/>
  <c r="L567" i="46"/>
  <c r="L296" i="35" s="1"/>
  <c r="L402" i="35" s="1"/>
  <c r="K567" i="46"/>
  <c r="K296" i="35" s="1"/>
  <c r="K402" i="35" s="1"/>
  <c r="G567" i="46"/>
  <c r="G296" i="35" s="1"/>
  <c r="G402" i="35" s="1"/>
  <c r="H566" i="46"/>
  <c r="H295" i="35" s="1"/>
  <c r="T565" i="46"/>
  <c r="O294" i="35" s="1"/>
  <c r="O401" i="35" s="1"/>
  <c r="L565" i="46"/>
  <c r="L294" i="35" s="1"/>
  <c r="L401" i="35" s="1"/>
  <c r="K565" i="46"/>
  <c r="K294" i="35" s="1"/>
  <c r="K401" i="35" s="1"/>
  <c r="G565" i="46"/>
  <c r="G294" i="35" s="1"/>
  <c r="G401" i="35" s="1"/>
  <c r="T564" i="46"/>
  <c r="O292" i="35" s="1"/>
  <c r="O400" i="35" s="1"/>
  <c r="L564" i="46"/>
  <c r="L292" i="35" s="1"/>
  <c r="L400" i="35" s="1"/>
  <c r="K564" i="46"/>
  <c r="K292" i="35" s="1"/>
  <c r="K400" i="35" s="1"/>
  <c r="G564" i="46"/>
  <c r="G292" i="35" s="1"/>
  <c r="G400" i="35" s="1"/>
  <c r="T563" i="46"/>
  <c r="O297" i="35" s="1"/>
  <c r="L563" i="46"/>
  <c r="K563" i="46"/>
  <c r="G563" i="46"/>
  <c r="T562" i="46"/>
  <c r="O291" i="35" s="1"/>
  <c r="O399" i="35" s="1"/>
  <c r="L562" i="46"/>
  <c r="L291" i="35" s="1"/>
  <c r="L399" i="35" s="1"/>
  <c r="K562" i="46"/>
  <c r="K291" i="35" s="1"/>
  <c r="K399" i="35" s="1"/>
  <c r="G562" i="46"/>
  <c r="G291" i="35" s="1"/>
  <c r="G399" i="35" s="1"/>
  <c r="T561" i="46"/>
  <c r="O290" i="35" s="1"/>
  <c r="H561" i="46"/>
  <c r="T560" i="46"/>
  <c r="O289" i="35" s="1"/>
  <c r="O422" i="35" s="1"/>
  <c r="H560" i="46"/>
  <c r="T559" i="46"/>
  <c r="P559" i="46"/>
  <c r="O559" i="46"/>
  <c r="H559" i="46"/>
  <c r="U558" i="46"/>
  <c r="P287" i="35" s="1"/>
  <c r="T558" i="46"/>
  <c r="O287" i="35" s="1"/>
  <c r="L558" i="46"/>
  <c r="L287" i="35" s="1"/>
  <c r="K558" i="46"/>
  <c r="K287" i="35" s="1"/>
  <c r="K396" i="35" s="1"/>
  <c r="H558" i="46"/>
  <c r="H287" i="35" s="1"/>
  <c r="G558" i="46"/>
  <c r="G287" i="35" s="1"/>
  <c r="T557" i="46"/>
  <c r="O286" i="35" s="1"/>
  <c r="L557" i="46"/>
  <c r="L286" i="35" s="1"/>
  <c r="K557" i="46"/>
  <c r="K286" i="35" s="1"/>
  <c r="K395" i="35" s="1"/>
  <c r="H557" i="46"/>
  <c r="H286" i="35" s="1"/>
  <c r="G557" i="46"/>
  <c r="G286" i="35" s="1"/>
  <c r="U556" i="46"/>
  <c r="P285" i="35" s="1"/>
  <c r="P394" i="35" s="1"/>
  <c r="T556" i="46"/>
  <c r="O285" i="35" s="1"/>
  <c r="L556" i="46"/>
  <c r="L285" i="35" s="1"/>
  <c r="L394" i="35" s="1"/>
  <c r="K556" i="46"/>
  <c r="K285" i="35" s="1"/>
  <c r="K394" i="35" s="1"/>
  <c r="H556" i="46"/>
  <c r="H285" i="35" s="1"/>
  <c r="G556" i="46"/>
  <c r="G285" i="35" s="1"/>
  <c r="G394" i="35" s="1"/>
  <c r="H555" i="46"/>
  <c r="T554" i="46"/>
  <c r="O283" i="35" s="1"/>
  <c r="L554" i="46"/>
  <c r="K554" i="46"/>
  <c r="G554" i="46"/>
  <c r="H553" i="46"/>
  <c r="H284" i="35" s="1"/>
  <c r="U552" i="46"/>
  <c r="P281" i="35" s="1"/>
  <c r="P390" i="35" s="1"/>
  <c r="T552" i="46"/>
  <c r="O281" i="35" s="1"/>
  <c r="O390" i="35" s="1"/>
  <c r="L552" i="46"/>
  <c r="L281" i="35" s="1"/>
  <c r="K552" i="46"/>
  <c r="K281" i="35" s="1"/>
  <c r="G552" i="46"/>
  <c r="G281" i="35" s="1"/>
  <c r="L551" i="46"/>
  <c r="L280" i="35" s="1"/>
  <c r="L388" i="35" s="1"/>
  <c r="K551" i="46"/>
  <c r="K280" i="35" s="1"/>
  <c r="K388" i="35" s="1"/>
  <c r="H550" i="46"/>
  <c r="H279" i="35" s="1"/>
  <c r="H387" i="35" s="1"/>
  <c r="T548" i="46"/>
  <c r="T547" i="46"/>
  <c r="T546" i="46"/>
  <c r="O274" i="35" s="1"/>
  <c r="P546" i="46"/>
  <c r="O546" i="46"/>
  <c r="G546" i="46"/>
  <c r="H545" i="46"/>
  <c r="P542" i="46"/>
  <c r="O542" i="46"/>
  <c r="L542" i="46"/>
  <c r="K542" i="46"/>
  <c r="G542" i="46"/>
  <c r="U541" i="46"/>
  <c r="P269" i="35" s="1"/>
  <c r="P368" i="35" s="1"/>
  <c r="T541" i="46"/>
  <c r="O269" i="35" s="1"/>
  <c r="L541" i="46"/>
  <c r="K541" i="46"/>
  <c r="T540" i="46"/>
  <c r="O268" i="35" s="1"/>
  <c r="O363" i="35" s="1"/>
  <c r="L540" i="46"/>
  <c r="L268" i="35" s="1"/>
  <c r="K540" i="46"/>
  <c r="K268" i="35" s="1"/>
  <c r="G540" i="46"/>
  <c r="T539" i="46"/>
  <c r="O267" i="35" s="1"/>
  <c r="P539" i="46"/>
  <c r="O539" i="46"/>
  <c r="T537" i="46"/>
  <c r="O264" i="35" s="1"/>
  <c r="P537" i="46"/>
  <c r="O537" i="46"/>
  <c r="H536" i="46"/>
  <c r="H263" i="35" s="1"/>
  <c r="T535" i="46"/>
  <c r="O262" i="35" s="1"/>
  <c r="L535" i="46"/>
  <c r="L262" i="35" s="1"/>
  <c r="K535" i="46"/>
  <c r="K262" i="35" s="1"/>
  <c r="G535" i="46"/>
  <c r="T533" i="46"/>
  <c r="O260" i="35" s="1"/>
  <c r="L533" i="46"/>
  <c r="L260" i="35" s="1"/>
  <c r="K533" i="46"/>
  <c r="K260" i="35" s="1"/>
  <c r="G533" i="46"/>
  <c r="G260" i="35" s="1"/>
  <c r="G350" i="35" s="1"/>
  <c r="U531" i="46"/>
  <c r="P258" i="35" s="1"/>
  <c r="T531" i="46"/>
  <c r="O258" i="35" s="1"/>
  <c r="L531" i="46"/>
  <c r="L258" i="35" s="1"/>
  <c r="K531" i="46"/>
  <c r="K258" i="35" s="1"/>
  <c r="H531" i="46"/>
  <c r="H258" i="35" s="1"/>
  <c r="G531" i="46"/>
  <c r="G258" i="35" s="1"/>
  <c r="U530" i="46"/>
  <c r="P257" i="35" s="1"/>
  <c r="T530" i="46"/>
  <c r="L530" i="46"/>
  <c r="K530" i="46"/>
  <c r="K257" i="35" s="1"/>
  <c r="J530" i="46"/>
  <c r="J574" i="46" s="1"/>
  <c r="I530" i="46"/>
  <c r="I574" i="46" s="1"/>
  <c r="Q460" i="46"/>
  <c r="P460" i="46"/>
  <c r="Q459" i="46"/>
  <c r="P459" i="46"/>
  <c r="Q458" i="46"/>
  <c r="P458" i="46"/>
  <c r="O458" i="46"/>
  <c r="O564" i="46" s="1"/>
  <c r="M292" i="35" s="1"/>
  <c r="M400" i="35" s="1"/>
  <c r="V457" i="46"/>
  <c r="V491" i="46" s="1"/>
  <c r="Q457" i="46"/>
  <c r="P457" i="46"/>
  <c r="Q456" i="46"/>
  <c r="Q452" i="46"/>
  <c r="P452" i="46"/>
  <c r="O452" i="46"/>
  <c r="Q451" i="46"/>
  <c r="P451" i="46"/>
  <c r="O451" i="46"/>
  <c r="Q450" i="46"/>
  <c r="P450" i="46"/>
  <c r="O450" i="46"/>
  <c r="Q449" i="46"/>
  <c r="P449" i="46"/>
  <c r="Q448" i="46"/>
  <c r="P448" i="46"/>
  <c r="O448" i="46"/>
  <c r="O554" i="46" s="1"/>
  <c r="M283" i="35" s="1"/>
  <c r="Q446" i="46"/>
  <c r="P446" i="46"/>
  <c r="O446" i="46"/>
  <c r="Q445" i="46"/>
  <c r="P445" i="46"/>
  <c r="Q436" i="46"/>
  <c r="P436" i="46"/>
  <c r="O436" i="46"/>
  <c r="Q434" i="46"/>
  <c r="P434" i="46"/>
  <c r="O434" i="46"/>
  <c r="Q433" i="46"/>
  <c r="P433" i="46"/>
  <c r="O433" i="46"/>
  <c r="Q431" i="46"/>
  <c r="P431" i="46"/>
  <c r="O431" i="46"/>
  <c r="S430" i="46"/>
  <c r="Q430" i="46"/>
  <c r="P430" i="46"/>
  <c r="O430" i="46"/>
  <c r="Q427" i="46"/>
  <c r="P427" i="46"/>
  <c r="O427" i="46"/>
  <c r="Q426" i="46"/>
  <c r="P426" i="46"/>
  <c r="Q425" i="46"/>
  <c r="P425" i="46"/>
  <c r="Q424" i="46"/>
  <c r="P424" i="46"/>
  <c r="Q423" i="46"/>
  <c r="Q419" i="46"/>
  <c r="P419" i="46"/>
  <c r="Q418" i="46"/>
  <c r="P418" i="46"/>
  <c r="O418" i="46"/>
  <c r="V417" i="46"/>
  <c r="Q417" i="46"/>
  <c r="P417" i="46"/>
  <c r="Q416" i="46"/>
  <c r="P416" i="46"/>
  <c r="Q415" i="46"/>
  <c r="Q414" i="46"/>
  <c r="P414" i="46"/>
  <c r="O414" i="46"/>
  <c r="Q413" i="46"/>
  <c r="P413" i="46"/>
  <c r="Q404" i="46"/>
  <c r="P404" i="46"/>
  <c r="O404" i="46"/>
  <c r="Q402" i="46"/>
  <c r="P402" i="46"/>
  <c r="O402" i="46"/>
  <c r="Q401" i="46"/>
  <c r="P401" i="46"/>
  <c r="O401" i="46"/>
  <c r="Q399" i="46"/>
  <c r="P399" i="46"/>
  <c r="O399" i="46"/>
  <c r="R398" i="46"/>
  <c r="Q398" i="46"/>
  <c r="P398" i="46"/>
  <c r="O398" i="46"/>
  <c r="O396" i="46"/>
  <c r="V396" i="46" s="1"/>
  <c r="V428" i="46" s="1"/>
  <c r="V462" i="46" s="1"/>
  <c r="V495" i="46" s="1"/>
  <c r="V572" i="46" s="1"/>
  <c r="Q393" i="46"/>
  <c r="P393" i="46"/>
  <c r="Q391" i="46"/>
  <c r="P391" i="46"/>
  <c r="O391" i="46"/>
  <c r="Q390" i="46"/>
  <c r="P390" i="46"/>
  <c r="Q389" i="46"/>
  <c r="Q385" i="46"/>
  <c r="P385" i="46"/>
  <c r="O385" i="46"/>
  <c r="Q384" i="46"/>
  <c r="P384" i="46"/>
  <c r="Q383" i="46"/>
  <c r="P383" i="46"/>
  <c r="Q381" i="46"/>
  <c r="Q379" i="46"/>
  <c r="P379" i="46"/>
  <c r="Q378" i="46"/>
  <c r="P378" i="46"/>
  <c r="Q369" i="46"/>
  <c r="P369" i="46"/>
  <c r="O369" i="46"/>
  <c r="Q367" i="46"/>
  <c r="P367" i="46"/>
  <c r="O367" i="46"/>
  <c r="H366" i="46"/>
  <c r="Q365" i="46"/>
  <c r="P365" i="46"/>
  <c r="O365" i="46"/>
  <c r="Q363" i="46"/>
  <c r="P363" i="46"/>
  <c r="O363" i="46"/>
  <c r="S362" i="46"/>
  <c r="Q362" i="46"/>
  <c r="P362" i="46"/>
  <c r="O362" i="46"/>
  <c r="Q360" i="46"/>
  <c r="Q357" i="46"/>
  <c r="P357" i="46"/>
  <c r="O357" i="46"/>
  <c r="Q356" i="46"/>
  <c r="P356" i="46"/>
  <c r="Q355" i="46"/>
  <c r="P355" i="46"/>
  <c r="Q354" i="46"/>
  <c r="Q350" i="46"/>
  <c r="P350" i="46"/>
  <c r="O350" i="46"/>
  <c r="Q349" i="46"/>
  <c r="P349" i="46"/>
  <c r="Q348" i="46"/>
  <c r="P348" i="46"/>
  <c r="Q346" i="46"/>
  <c r="Q345" i="46"/>
  <c r="P345" i="46"/>
  <c r="O345" i="46"/>
  <c r="Q344" i="46"/>
  <c r="P344" i="46"/>
  <c r="Q335" i="46"/>
  <c r="P335" i="46"/>
  <c r="Q332" i="46"/>
  <c r="P332" i="46"/>
  <c r="O332" i="46"/>
  <c r="Q330" i="46"/>
  <c r="P330" i="46"/>
  <c r="O330" i="46"/>
  <c r="Q328" i="46"/>
  <c r="P328" i="46"/>
  <c r="O328" i="46"/>
  <c r="R327" i="46"/>
  <c r="Q327" i="46"/>
  <c r="P327" i="46"/>
  <c r="O327" i="46"/>
  <c r="Q325" i="46"/>
  <c r="Q324" i="46"/>
  <c r="P324" i="46"/>
  <c r="O324" i="46"/>
  <c r="O568" i="46" s="1"/>
  <c r="M298" i="35" s="1"/>
  <c r="V322" i="46"/>
  <c r="Q322" i="46"/>
  <c r="P322" i="46"/>
  <c r="Q321" i="46"/>
  <c r="P321" i="46"/>
  <c r="V320" i="46"/>
  <c r="V355" i="46" s="1"/>
  <c r="V390" i="46" s="1"/>
  <c r="V425" i="46" s="1"/>
  <c r="Q320" i="46"/>
  <c r="P320" i="46"/>
  <c r="Q319" i="46"/>
  <c r="Q315" i="46"/>
  <c r="P315" i="46"/>
  <c r="O315" i="46"/>
  <c r="Q314" i="46"/>
  <c r="P314" i="46"/>
  <c r="O314" i="46"/>
  <c r="Q312" i="46"/>
  <c r="P312" i="46"/>
  <c r="O312" i="46"/>
  <c r="Q311" i="46"/>
  <c r="Q310" i="46"/>
  <c r="P310" i="46"/>
  <c r="O310" i="46"/>
  <c r="Q309" i="46"/>
  <c r="P309" i="46"/>
  <c r="O309" i="46"/>
  <c r="Q300" i="46"/>
  <c r="P300" i="46"/>
  <c r="O300" i="46"/>
  <c r="Q298" i="46"/>
  <c r="P298" i="46"/>
  <c r="O298" i="46"/>
  <c r="Q297" i="46"/>
  <c r="P297" i="46"/>
  <c r="O297" i="46"/>
  <c r="Q296" i="46"/>
  <c r="P296" i="46"/>
  <c r="O296" i="46"/>
  <c r="S295" i="46"/>
  <c r="Q295" i="46"/>
  <c r="P295" i="46"/>
  <c r="O295" i="46"/>
  <c r="O294" i="46"/>
  <c r="O573" i="46" s="1"/>
  <c r="M303" i="35" s="1"/>
  <c r="M424" i="35" s="1"/>
  <c r="Q293" i="46"/>
  <c r="Q292" i="46"/>
  <c r="P292" i="46"/>
  <c r="Q289" i="46"/>
  <c r="P289" i="46"/>
  <c r="Q288" i="46"/>
  <c r="P288" i="46"/>
  <c r="Q286" i="46"/>
  <c r="Q282" i="46"/>
  <c r="P282" i="46"/>
  <c r="Q281" i="46"/>
  <c r="P281" i="46"/>
  <c r="O281" i="46"/>
  <c r="Q280" i="46"/>
  <c r="P280" i="46"/>
  <c r="Q278" i="46"/>
  <c r="Q277" i="46"/>
  <c r="P277" i="46"/>
  <c r="O277" i="46"/>
  <c r="Q275" i="46"/>
  <c r="P275" i="46"/>
  <c r="Q266" i="46"/>
  <c r="P266" i="46"/>
  <c r="O266" i="46"/>
  <c r="Q264" i="46"/>
  <c r="P264" i="46"/>
  <c r="O264" i="46"/>
  <c r="Q263" i="46"/>
  <c r="P263" i="46"/>
  <c r="O263" i="46"/>
  <c r="H262" i="46"/>
  <c r="H532" i="46" s="1"/>
  <c r="H259" i="35" s="1"/>
  <c r="H349" i="35" s="1"/>
  <c r="Q261" i="46"/>
  <c r="P261" i="46"/>
  <c r="O261" i="46"/>
  <c r="S260" i="46"/>
  <c r="R260" i="46"/>
  <c r="Q260" i="46"/>
  <c r="P260" i="46"/>
  <c r="O260" i="46"/>
  <c r="H260" i="46"/>
  <c r="Q259" i="46"/>
  <c r="Q258" i="46"/>
  <c r="Q257" i="46"/>
  <c r="P257" i="46"/>
  <c r="P256" i="46"/>
  <c r="O256" i="46"/>
  <c r="Q255" i="46"/>
  <c r="P255" i="46"/>
  <c r="Q254" i="46"/>
  <c r="P254" i="46"/>
  <c r="O254" i="46"/>
  <c r="Q251" i="46"/>
  <c r="Q247" i="46"/>
  <c r="P247" i="46"/>
  <c r="O247" i="46"/>
  <c r="Q246" i="46"/>
  <c r="P246" i="46"/>
  <c r="O246" i="46"/>
  <c r="Q245" i="46"/>
  <c r="P245" i="46"/>
  <c r="O245" i="46"/>
  <c r="Q243" i="46"/>
  <c r="Q242" i="46"/>
  <c r="P242" i="46"/>
  <c r="O242" i="46"/>
  <c r="Q241" i="46"/>
  <c r="P241" i="46"/>
  <c r="Q232" i="46"/>
  <c r="Q230" i="46"/>
  <c r="P230" i="46"/>
  <c r="O230" i="46"/>
  <c r="H229" i="46"/>
  <c r="Q228" i="46"/>
  <c r="P228" i="46"/>
  <c r="O228" i="46"/>
  <c r="Q227" i="46"/>
  <c r="P227" i="46"/>
  <c r="O227" i="46"/>
  <c r="Q226" i="46"/>
  <c r="P226" i="46"/>
  <c r="O226" i="46"/>
  <c r="Q225" i="46"/>
  <c r="Q224" i="46"/>
  <c r="Q223" i="46"/>
  <c r="Q222" i="46"/>
  <c r="P222" i="46"/>
  <c r="V221" i="46"/>
  <c r="Q221" i="46"/>
  <c r="Q220" i="46"/>
  <c r="P220" i="46"/>
  <c r="Q219" i="46"/>
  <c r="Q215" i="46"/>
  <c r="P215" i="46"/>
  <c r="O215" i="46"/>
  <c r="Q214" i="46"/>
  <c r="P214" i="46"/>
  <c r="O214" i="46"/>
  <c r="Q213" i="46"/>
  <c r="P213" i="46"/>
  <c r="O213" i="46"/>
  <c r="Q211" i="46"/>
  <c r="Q210" i="46"/>
  <c r="P210" i="46"/>
  <c r="O210" i="46"/>
  <c r="Q209" i="46"/>
  <c r="P209" i="46"/>
  <c r="Q200" i="46"/>
  <c r="Q198" i="46"/>
  <c r="P198" i="46"/>
  <c r="O198" i="46"/>
  <c r="Q197" i="46"/>
  <c r="P197" i="46"/>
  <c r="O197" i="46"/>
  <c r="Q195" i="46"/>
  <c r="P195" i="46"/>
  <c r="O195" i="46"/>
  <c r="S194" i="46"/>
  <c r="Q194" i="46"/>
  <c r="P194" i="46"/>
  <c r="O194" i="46"/>
  <c r="Q193" i="46"/>
  <c r="Q192" i="46"/>
  <c r="Q191" i="46"/>
  <c r="Q190" i="46"/>
  <c r="P190" i="46"/>
  <c r="Q187" i="46"/>
  <c r="P187" i="46"/>
  <c r="Q186" i="46"/>
  <c r="Q184" i="46"/>
  <c r="P184" i="46"/>
  <c r="O184" i="46"/>
  <c r="O560" i="46" s="1"/>
  <c r="M289" i="35" s="1"/>
  <c r="Q182" i="46"/>
  <c r="P182" i="46"/>
  <c r="Q181" i="46"/>
  <c r="P181" i="46"/>
  <c r="Q180" i="46"/>
  <c r="O180" i="46"/>
  <c r="Q178" i="46"/>
  <c r="Q176" i="46"/>
  <c r="P176" i="46"/>
  <c r="O176" i="46"/>
  <c r="Q175" i="46"/>
  <c r="P175" i="46"/>
  <c r="O167" i="46"/>
  <c r="Q166" i="46"/>
  <c r="Q164" i="46"/>
  <c r="P164" i="46"/>
  <c r="Q163" i="46"/>
  <c r="P163" i="46"/>
  <c r="O163" i="46"/>
  <c r="Q162" i="46"/>
  <c r="P162" i="46"/>
  <c r="O162" i="46"/>
  <c r="S161" i="46"/>
  <c r="R161" i="46"/>
  <c r="Q161" i="46"/>
  <c r="P161" i="46"/>
  <c r="O161" i="46"/>
  <c r="Q160" i="46"/>
  <c r="Q159" i="46"/>
  <c r="Q157" i="46"/>
  <c r="Q156" i="46"/>
  <c r="P156" i="46"/>
  <c r="O156" i="46"/>
  <c r="V156" i="46" s="1"/>
  <c r="V190" i="46" s="1"/>
  <c r="V222" i="46" s="1"/>
  <c r="Q154" i="46"/>
  <c r="Q152" i="46"/>
  <c r="P152" i="46"/>
  <c r="Q150" i="46"/>
  <c r="P150" i="46"/>
  <c r="Q149" i="46"/>
  <c r="P149" i="46"/>
  <c r="O149" i="46"/>
  <c r="Q148" i="46"/>
  <c r="Q146" i="46"/>
  <c r="Q145" i="46"/>
  <c r="P145" i="46"/>
  <c r="Q144" i="46"/>
  <c r="P144" i="46"/>
  <c r="Q136" i="46"/>
  <c r="O136" i="46"/>
  <c r="Q135" i="46"/>
  <c r="Q133" i="46"/>
  <c r="P133" i="46"/>
  <c r="H132" i="46"/>
  <c r="Q131" i="46"/>
  <c r="P131" i="46"/>
  <c r="O131" i="46"/>
  <c r="Q130" i="46"/>
  <c r="P130" i="46"/>
  <c r="O130" i="46"/>
  <c r="Q129" i="46"/>
  <c r="P129" i="46"/>
  <c r="O129" i="46"/>
  <c r="H129" i="46"/>
  <c r="Q128" i="46"/>
  <c r="Q127" i="46"/>
  <c r="Q125" i="46"/>
  <c r="Q124" i="46"/>
  <c r="Q122" i="46"/>
  <c r="Q120" i="46"/>
  <c r="Q118" i="46"/>
  <c r="P118" i="46"/>
  <c r="O118" i="46"/>
  <c r="Q117" i="46"/>
  <c r="P117" i="46"/>
  <c r="Q116" i="46"/>
  <c r="Q114" i="46"/>
  <c r="Q113" i="46"/>
  <c r="P113" i="46"/>
  <c r="O113" i="46"/>
  <c r="Q112" i="46"/>
  <c r="P112" i="46"/>
  <c r="Q104" i="46"/>
  <c r="Q103" i="46"/>
  <c r="Q101" i="46"/>
  <c r="Q100" i="46"/>
  <c r="P100" i="46"/>
  <c r="O100" i="46"/>
  <c r="Q99" i="46"/>
  <c r="P99" i="46"/>
  <c r="O99" i="46"/>
  <c r="S98" i="46"/>
  <c r="Q98" i="46"/>
  <c r="P98" i="46"/>
  <c r="O98" i="46"/>
  <c r="Q97" i="46"/>
  <c r="Q96" i="46"/>
  <c r="Q94" i="46"/>
  <c r="Q93" i="46"/>
  <c r="V92" i="46"/>
  <c r="V123" i="46" s="1"/>
  <c r="V155" i="46" s="1"/>
  <c r="V187" i="46" s="1"/>
  <c r="V220" i="46" s="1"/>
  <c r="Q91" i="46"/>
  <c r="Q89" i="46"/>
  <c r="Q87" i="46"/>
  <c r="P87" i="46"/>
  <c r="Q86" i="46"/>
  <c r="P86" i="46"/>
  <c r="O86" i="46"/>
  <c r="Q85" i="46"/>
  <c r="Q83" i="46"/>
  <c r="P83" i="46"/>
  <c r="Q82" i="46"/>
  <c r="P82" i="46"/>
  <c r="O82" i="46"/>
  <c r="Q81" i="46"/>
  <c r="P81" i="46"/>
  <c r="Q73" i="46"/>
  <c r="Q72" i="46"/>
  <c r="Q70" i="46"/>
  <c r="Q69" i="46"/>
  <c r="P69" i="46"/>
  <c r="O69" i="46"/>
  <c r="Q68" i="46"/>
  <c r="P68" i="46"/>
  <c r="O68" i="46"/>
  <c r="S67" i="46"/>
  <c r="Q67" i="46"/>
  <c r="P67" i="46"/>
  <c r="O67" i="46"/>
  <c r="G67" i="46"/>
  <c r="G530" i="46" s="1"/>
  <c r="G257" i="35" s="1"/>
  <c r="Q66" i="46"/>
  <c r="Q65" i="46"/>
  <c r="V64" i="46"/>
  <c r="V95" i="46" s="1"/>
  <c r="V126" i="46" s="1"/>
  <c r="V158" i="46" s="1"/>
  <c r="Q63" i="46"/>
  <c r="Q62" i="46"/>
  <c r="P62" i="46"/>
  <c r="Q61" i="46"/>
  <c r="Q59" i="46"/>
  <c r="Q57" i="46"/>
  <c r="P57" i="46"/>
  <c r="Q56" i="46"/>
  <c r="P56" i="46"/>
  <c r="Q55" i="46"/>
  <c r="Q54" i="46"/>
  <c r="P54" i="46"/>
  <c r="O54" i="46"/>
  <c r="V52" i="46"/>
  <c r="V83" i="46" s="1"/>
  <c r="V114" i="46" s="1"/>
  <c r="V146" i="46" s="1"/>
  <c r="V178" i="46" s="1"/>
  <c r="V211" i="46" s="1"/>
  <c r="V243" i="46" s="1"/>
  <c r="V278" i="46" s="1"/>
  <c r="V311" i="46" s="1"/>
  <c r="V346" i="46" s="1"/>
  <c r="V381" i="46" s="1"/>
  <c r="V415" i="46" s="1"/>
  <c r="Q52" i="46"/>
  <c r="P52" i="46"/>
  <c r="Q51" i="46"/>
  <c r="P51" i="46"/>
  <c r="O51" i="46"/>
  <c r="Q50" i="46"/>
  <c r="P50" i="46"/>
  <c r="V47" i="46"/>
  <c r="V78" i="46" s="1"/>
  <c r="V109" i="46" s="1"/>
  <c r="V141" i="46" s="1"/>
  <c r="V172" i="46" s="1"/>
  <c r="V206" i="46" s="1"/>
  <c r="V238" i="46" s="1"/>
  <c r="V272" i="46" s="1"/>
  <c r="V306" i="46" s="1"/>
  <c r="V341" i="46" s="1"/>
  <c r="V375" i="46" s="1"/>
  <c r="V410" i="46" s="1"/>
  <c r="V442" i="46" s="1"/>
  <c r="V45" i="46"/>
  <c r="V76" i="46" s="1"/>
  <c r="V107" i="46" s="1"/>
  <c r="V139" i="46" s="1"/>
  <c r="V170" i="46" s="1"/>
  <c r="V204" i="46" s="1"/>
  <c r="V236" i="46" s="1"/>
  <c r="V270" i="46" s="1"/>
  <c r="V304" i="46" s="1"/>
  <c r="V339" i="46" s="1"/>
  <c r="V373" i="46" s="1"/>
  <c r="V408" i="46" s="1"/>
  <c r="V440" i="46" s="1"/>
  <c r="Q42" i="46"/>
  <c r="Q41" i="46"/>
  <c r="Q38" i="46"/>
  <c r="Q37" i="46"/>
  <c r="P37" i="46"/>
  <c r="O37" i="46"/>
  <c r="Q36" i="46"/>
  <c r="P36" i="46"/>
  <c r="O36" i="46"/>
  <c r="S35" i="46"/>
  <c r="R35" i="46"/>
  <c r="Q35" i="46"/>
  <c r="P35" i="46"/>
  <c r="O35" i="46"/>
  <c r="Q34" i="46"/>
  <c r="Q33" i="46"/>
  <c r="V31" i="46"/>
  <c r="V63" i="46" s="1"/>
  <c r="V94" i="46" s="1"/>
  <c r="V125" i="46" s="1"/>
  <c r="V157" i="46" s="1"/>
  <c r="V191" i="46" s="1"/>
  <c r="V223" i="46" s="1"/>
  <c r="Q31" i="46"/>
  <c r="V30" i="46"/>
  <c r="V62" i="46" s="1"/>
  <c r="V93" i="46" s="1"/>
  <c r="V124" i="46" s="1"/>
  <c r="Q30" i="46"/>
  <c r="P30" i="46"/>
  <c r="V29" i="46"/>
  <c r="V61" i="46" s="1"/>
  <c r="V91" i="46" s="1"/>
  <c r="V122" i="46" s="1"/>
  <c r="V154" i="46" s="1"/>
  <c r="V186" i="46" s="1"/>
  <c r="V219" i="46" s="1"/>
  <c r="V251" i="46" s="1"/>
  <c r="V286" i="46" s="1"/>
  <c r="V319" i="46" s="1"/>
  <c r="V354" i="46" s="1"/>
  <c r="V389" i="46" s="1"/>
  <c r="V423" i="46" s="1"/>
  <c r="V456" i="46" s="1"/>
  <c r="V490" i="46" s="1"/>
  <c r="V571" i="46" s="1"/>
  <c r="Q29" i="46"/>
  <c r="V28" i="46"/>
  <c r="V60" i="46" s="1"/>
  <c r="V90" i="46" s="1"/>
  <c r="V121" i="46" s="1"/>
  <c r="V153" i="46" s="1"/>
  <c r="V185" i="46" s="1"/>
  <c r="V218" i="46" s="1"/>
  <c r="V250" i="46" s="1"/>
  <c r="V285" i="46" s="1"/>
  <c r="V318" i="46" s="1"/>
  <c r="V353" i="46" s="1"/>
  <c r="V388" i="46" s="1"/>
  <c r="V422" i="46" s="1"/>
  <c r="V455" i="46" s="1"/>
  <c r="V489" i="46" s="1"/>
  <c r="V570" i="46" s="1"/>
  <c r="V27" i="46"/>
  <c r="V59" i="46" s="1"/>
  <c r="V89" i="46" s="1"/>
  <c r="V120" i="46" s="1"/>
  <c r="V152" i="46" s="1"/>
  <c r="Q27" i="46"/>
  <c r="V26" i="46"/>
  <c r="V58" i="46" s="1"/>
  <c r="V88" i="46" s="1"/>
  <c r="V119" i="46" s="1"/>
  <c r="V151" i="46" s="1"/>
  <c r="V183" i="46" s="1"/>
  <c r="V216" i="46" s="1"/>
  <c r="V248" i="46" s="1"/>
  <c r="V283" i="46" s="1"/>
  <c r="V316" i="46" s="1"/>
  <c r="V351" i="46" s="1"/>
  <c r="V386" i="46" s="1"/>
  <c r="V420" i="46" s="1"/>
  <c r="V453" i="46" s="1"/>
  <c r="V487" i="46" s="1"/>
  <c r="V559" i="46" s="1"/>
  <c r="V25" i="46"/>
  <c r="V57" i="46" s="1"/>
  <c r="V87" i="46" s="1"/>
  <c r="Q25" i="46"/>
  <c r="P25" i="46"/>
  <c r="V24" i="46"/>
  <c r="V56" i="46" s="1"/>
  <c r="V86" i="46" s="1"/>
  <c r="V117" i="46" s="1"/>
  <c r="Q24" i="46"/>
  <c r="P24" i="46"/>
  <c r="O24" i="46"/>
  <c r="V23" i="46"/>
  <c r="V55" i="46" s="1"/>
  <c r="V85" i="46" s="1"/>
  <c r="V116" i="46" s="1"/>
  <c r="V148" i="46" s="1"/>
  <c r="Q23" i="46"/>
  <c r="Q22" i="46"/>
  <c r="P22" i="46"/>
  <c r="O22" i="46"/>
  <c r="V21" i="46"/>
  <c r="Q21" i="46"/>
  <c r="P21" i="46"/>
  <c r="V20" i="46"/>
  <c r="Q20" i="46"/>
  <c r="P20" i="46"/>
  <c r="V19" i="46"/>
  <c r="V50" i="46" s="1"/>
  <c r="V81" i="46" s="1"/>
  <c r="V112" i="46" s="1"/>
  <c r="V144" i="46" s="1"/>
  <c r="V175" i="46" s="1"/>
  <c r="V209" i="46" s="1"/>
  <c r="V241" i="46" s="1"/>
  <c r="V275" i="46" s="1"/>
  <c r="Q19" i="46"/>
  <c r="V18" i="46"/>
  <c r="V49" i="46" s="1"/>
  <c r="V80" i="46" s="1"/>
  <c r="V111" i="46" s="1"/>
  <c r="V143" i="46" s="1"/>
  <c r="V174" i="46" s="1"/>
  <c r="V208" i="46" s="1"/>
  <c r="V240" i="46" s="1"/>
  <c r="V274" i="46" s="1"/>
  <c r="V308" i="46" s="1"/>
  <c r="V343" i="46" s="1"/>
  <c r="V377" i="46" s="1"/>
  <c r="V412" i="46" s="1"/>
  <c r="V444" i="46" s="1"/>
  <c r="V17" i="46"/>
  <c r="V48" i="46" s="1"/>
  <c r="V79" i="46" s="1"/>
  <c r="V110" i="46" s="1"/>
  <c r="V142" i="46" s="1"/>
  <c r="V173" i="46" s="1"/>
  <c r="V207" i="46" s="1"/>
  <c r="V239" i="46" s="1"/>
  <c r="V273" i="46" s="1"/>
  <c r="V307" i="46" s="1"/>
  <c r="V342" i="46" s="1"/>
  <c r="V376" i="46" s="1"/>
  <c r="V411" i="46" s="1"/>
  <c r="V443" i="46" s="1"/>
  <c r="V16" i="46"/>
  <c r="V15" i="46"/>
  <c r="V46" i="46" s="1"/>
  <c r="V77" i="46" s="1"/>
  <c r="V108" i="46" s="1"/>
  <c r="V140" i="46" s="1"/>
  <c r="V171" i="46" s="1"/>
  <c r="V205" i="46" s="1"/>
  <c r="V237" i="46" s="1"/>
  <c r="V271" i="46" s="1"/>
  <c r="V305" i="46" s="1"/>
  <c r="V340" i="46" s="1"/>
  <c r="V374" i="46" s="1"/>
  <c r="V409" i="46" s="1"/>
  <c r="V441" i="46" s="1"/>
  <c r="V14" i="46"/>
  <c r="V13" i="46"/>
  <c r="V44" i="46" s="1"/>
  <c r="V75" i="46" s="1"/>
  <c r="V106" i="46" s="1"/>
  <c r="V138" i="46" s="1"/>
  <c r="V169" i="46" s="1"/>
  <c r="V203" i="46" s="1"/>
  <c r="V235" i="46" s="1"/>
  <c r="V269" i="46" s="1"/>
  <c r="V303" i="46" s="1"/>
  <c r="V338" i="46" s="1"/>
  <c r="V372" i="46" s="1"/>
  <c r="V407" i="46" s="1"/>
  <c r="V439" i="46" s="1"/>
  <c r="V12" i="46"/>
  <c r="V43" i="46" s="1"/>
  <c r="V74" i="46" s="1"/>
  <c r="V105" i="46" s="1"/>
  <c r="V137" i="46" s="1"/>
  <c r="V168" i="46" s="1"/>
  <c r="V202" i="46" s="1"/>
  <c r="V234" i="46" s="1"/>
  <c r="V268" i="46" s="1"/>
  <c r="V302" i="46" s="1"/>
  <c r="V337" i="46" s="1"/>
  <c r="V371" i="46" s="1"/>
  <c r="V406" i="46" s="1"/>
  <c r="V438" i="46" s="1"/>
  <c r="V11" i="46"/>
  <c r="V42" i="46" s="1"/>
  <c r="V73" i="46" s="1"/>
  <c r="V104" i="46" s="1"/>
  <c r="Q11" i="46"/>
  <c r="V10" i="46"/>
  <c r="V41" i="46" s="1"/>
  <c r="V72" i="46" s="1"/>
  <c r="V103" i="46" s="1"/>
  <c r="V135" i="46" s="1"/>
  <c r="V166" i="46" s="1"/>
  <c r="V200" i="46" s="1"/>
  <c r="V232" i="46" s="1"/>
  <c r="Q10" i="46"/>
  <c r="V9" i="46"/>
  <c r="V40" i="46" s="1"/>
  <c r="V8" i="46"/>
  <c r="V39" i="46" s="1"/>
  <c r="V71" i="46" s="1"/>
  <c r="V102" i="46" s="1"/>
  <c r="V134" i="46" s="1"/>
  <c r="V165" i="46" s="1"/>
  <c r="V199" i="46" s="1"/>
  <c r="V231" i="46" s="1"/>
  <c r="V265" i="46" s="1"/>
  <c r="V299" i="46" s="1"/>
  <c r="V334" i="46" s="1"/>
  <c r="V368" i="46" s="1"/>
  <c r="V403" i="46" s="1"/>
  <c r="V435" i="46" s="1"/>
  <c r="V7" i="46"/>
  <c r="V38" i="46" s="1"/>
  <c r="V70" i="46" s="1"/>
  <c r="V101" i="46" s="1"/>
  <c r="V133" i="46" s="1"/>
  <c r="V164" i="46" s="1"/>
  <c r="V198" i="46" s="1"/>
  <c r="Q7" i="46"/>
  <c r="V6" i="46"/>
  <c r="Q6" i="46"/>
  <c r="Q5" i="46"/>
  <c r="P5" i="46"/>
  <c r="O5" i="46"/>
  <c r="V5" i="46" s="1"/>
  <c r="Q4" i="46"/>
  <c r="P4" i="46"/>
  <c r="O4" i="46"/>
  <c r="V4" i="46" s="1"/>
  <c r="DI336" i="45"/>
  <c r="DH336" i="45"/>
  <c r="DG336" i="45"/>
  <c r="DF336" i="45"/>
  <c r="DE336" i="45"/>
  <c r="DD336" i="45"/>
  <c r="DC336" i="45"/>
  <c r="DB336" i="45"/>
  <c r="DA336" i="45"/>
  <c r="CZ336" i="45"/>
  <c r="CY336" i="45"/>
  <c r="CX336" i="45"/>
  <c r="CW336" i="45"/>
  <c r="CV336" i="45"/>
  <c r="CU336" i="45"/>
  <c r="CT336" i="45"/>
  <c r="CS336" i="45"/>
  <c r="CR336" i="45"/>
  <c r="CQ336" i="45"/>
  <c r="CP336" i="45"/>
  <c r="CO336" i="45"/>
  <c r="CN336" i="45"/>
  <c r="CM336" i="45"/>
  <c r="CL336" i="45"/>
  <c r="CK336" i="45"/>
  <c r="CJ336" i="45"/>
  <c r="CI336" i="45"/>
  <c r="CH336" i="45"/>
  <c r="CG336" i="45"/>
  <c r="CF336" i="45"/>
  <c r="CE336" i="45"/>
  <c r="CD336" i="45"/>
  <c r="CC336" i="45"/>
  <c r="CB336" i="45"/>
  <c r="CA336" i="45"/>
  <c r="BZ336" i="45"/>
  <c r="BY336" i="45"/>
  <c r="BX336" i="45"/>
  <c r="BW336" i="45"/>
  <c r="BV336" i="45"/>
  <c r="BU336" i="45"/>
  <c r="BT336" i="45"/>
  <c r="BS336" i="45"/>
  <c r="S464" i="46" s="1"/>
  <c r="BR336" i="45"/>
  <c r="R464" i="46" s="1"/>
  <c r="BQ336" i="45"/>
  <c r="BP336" i="45"/>
  <c r="BO336" i="45"/>
  <c r="R430" i="46" s="1"/>
  <c r="BN336" i="45"/>
  <c r="BM336" i="45"/>
  <c r="S398" i="46" s="1"/>
  <c r="BL336" i="45"/>
  <c r="BK336" i="45"/>
  <c r="BJ336" i="45"/>
  <c r="BI336" i="45"/>
  <c r="R362" i="46" s="1"/>
  <c r="BH336" i="45"/>
  <c r="BG336" i="45"/>
  <c r="S327" i="46" s="1"/>
  <c r="BF336" i="45"/>
  <c r="BE336" i="45"/>
  <c r="BD336" i="45"/>
  <c r="BC336" i="45"/>
  <c r="BB336" i="45"/>
  <c r="BA336" i="45"/>
  <c r="AZ336" i="45"/>
  <c r="R295" i="46" s="1"/>
  <c r="AY336" i="45"/>
  <c r="AX336" i="45"/>
  <c r="AW336" i="45"/>
  <c r="AV336" i="45"/>
  <c r="AU336" i="45"/>
  <c r="S226" i="46" s="1"/>
  <c r="AT336" i="45"/>
  <c r="R226" i="46" s="1"/>
  <c r="AS336" i="45"/>
  <c r="AR336" i="45"/>
  <c r="AQ336" i="45"/>
  <c r="R194" i="46" s="1"/>
  <c r="AP336" i="45"/>
  <c r="AO336" i="45"/>
  <c r="AN336" i="45"/>
  <c r="AM336" i="45"/>
  <c r="AL336" i="45"/>
  <c r="S129" i="46" s="1"/>
  <c r="AK336" i="45"/>
  <c r="R129" i="46" s="1"/>
  <c r="AJ336" i="45"/>
  <c r="AI336" i="45"/>
  <c r="AH336" i="45"/>
  <c r="AG336" i="45"/>
  <c r="AF336" i="45"/>
  <c r="AE336" i="45"/>
  <c r="R98" i="46" s="1"/>
  <c r="AD336" i="45"/>
  <c r="AC336" i="45"/>
  <c r="AB336" i="45"/>
  <c r="R67" i="46" s="1"/>
  <c r="AA336" i="45"/>
  <c r="Z336" i="45"/>
  <c r="Y336" i="45"/>
  <c r="X336" i="45"/>
  <c r="W336" i="45"/>
  <c r="S4" i="46" s="1"/>
  <c r="V336" i="45"/>
  <c r="R4" i="46" s="1"/>
  <c r="U336" i="45"/>
  <c r="W315" i="45"/>
  <c r="P11" i="46" s="1"/>
  <c r="P541" i="46" s="1"/>
  <c r="N269" i="35" s="1"/>
  <c r="V315" i="45"/>
  <c r="O11" i="46" s="1"/>
  <c r="DI308" i="45"/>
  <c r="DH308" i="45"/>
  <c r="DF308" i="45"/>
  <c r="DE308" i="45"/>
  <c r="DC308" i="45"/>
  <c r="DB308" i="45"/>
  <c r="CZ308" i="45"/>
  <c r="CY308" i="45"/>
  <c r="CX308" i="45"/>
  <c r="CW308" i="45"/>
  <c r="CV308" i="45"/>
  <c r="CT308" i="45"/>
  <c r="CS308" i="45"/>
  <c r="CQ308" i="45"/>
  <c r="CP308" i="45"/>
  <c r="CN308" i="45"/>
  <c r="CM308" i="45"/>
  <c r="CK308" i="45"/>
  <c r="CJ308" i="45"/>
  <c r="CH308" i="45"/>
  <c r="CG308" i="45"/>
  <c r="CE308" i="45"/>
  <c r="CD308" i="45"/>
  <c r="CB308" i="45"/>
  <c r="CA308" i="45"/>
  <c r="BY308" i="45"/>
  <c r="BX308" i="45"/>
  <c r="BV308" i="45"/>
  <c r="BU308" i="45"/>
  <c r="BR308" i="45"/>
  <c r="BL308" i="45"/>
  <c r="BF308" i="45"/>
  <c r="BD308" i="45"/>
  <c r="BC308" i="45"/>
  <c r="AZ308" i="45"/>
  <c r="AT308" i="45"/>
  <c r="AQ308" i="45"/>
  <c r="AN308" i="45"/>
  <c r="AK308" i="45"/>
  <c r="AI308" i="45"/>
  <c r="AH308" i="45"/>
  <c r="AG308" i="45"/>
  <c r="AE308" i="45"/>
  <c r="AB308" i="45"/>
  <c r="Y308" i="45"/>
  <c r="D308" i="45"/>
  <c r="C308" i="45"/>
  <c r="BS307" i="45"/>
  <c r="BP307" i="45"/>
  <c r="BM307" i="45"/>
  <c r="BJ307" i="45"/>
  <c r="BG307" i="45"/>
  <c r="BA307" i="45"/>
  <c r="AX307" i="45"/>
  <c r="AU307" i="45"/>
  <c r="AR307" i="45"/>
  <c r="AO307" i="45"/>
  <c r="AL307" i="45"/>
  <c r="AF307" i="45"/>
  <c r="AC307" i="45"/>
  <c r="Z307" i="45"/>
  <c r="W307" i="45"/>
  <c r="BS306" i="45"/>
  <c r="BP306" i="45"/>
  <c r="BM306" i="45"/>
  <c r="BJ306" i="45"/>
  <c r="BG306" i="45"/>
  <c r="BA306" i="45"/>
  <c r="AX306" i="45"/>
  <c r="AU306" i="45"/>
  <c r="AR306" i="45"/>
  <c r="AO306" i="45"/>
  <c r="AL306" i="45"/>
  <c r="AF306" i="45"/>
  <c r="AC306" i="45"/>
  <c r="Z306" i="45"/>
  <c r="W306" i="45"/>
  <c r="BS305" i="45"/>
  <c r="BP305" i="45"/>
  <c r="BM305" i="45"/>
  <c r="BJ305" i="45"/>
  <c r="BG305" i="45"/>
  <c r="BA305" i="45"/>
  <c r="AX305" i="45"/>
  <c r="AU305" i="45"/>
  <c r="AR305" i="45"/>
  <c r="AO305" i="45"/>
  <c r="AL305" i="45"/>
  <c r="AF305" i="45"/>
  <c r="AC305" i="45"/>
  <c r="Z305" i="45"/>
  <c r="W305" i="45"/>
  <c r="BS304" i="45"/>
  <c r="BP304" i="45"/>
  <c r="BM304" i="45"/>
  <c r="BJ304" i="45"/>
  <c r="BG304" i="45"/>
  <c r="BA304" i="45"/>
  <c r="AX304" i="45"/>
  <c r="AU304" i="45"/>
  <c r="AR304" i="45"/>
  <c r="AO304" i="45"/>
  <c r="AL304" i="45"/>
  <c r="AF304" i="45"/>
  <c r="AC304" i="45"/>
  <c r="Z304" i="45"/>
  <c r="W304" i="45"/>
  <c r="BS303" i="45"/>
  <c r="BP303" i="45"/>
  <c r="BM303" i="45"/>
  <c r="BJ303" i="45"/>
  <c r="BG303" i="45"/>
  <c r="BA303" i="45"/>
  <c r="AX303" i="45"/>
  <c r="AU303" i="45"/>
  <c r="AR303" i="45"/>
  <c r="AO303" i="45"/>
  <c r="AL303" i="45"/>
  <c r="AF303" i="45"/>
  <c r="AC303" i="45"/>
  <c r="Z303" i="45"/>
  <c r="W303" i="45"/>
  <c r="BS302" i="45"/>
  <c r="BP302" i="45"/>
  <c r="BM302" i="45"/>
  <c r="BJ302" i="45"/>
  <c r="BG302" i="45"/>
  <c r="BA302" i="45"/>
  <c r="AX302" i="45"/>
  <c r="AU302" i="45"/>
  <c r="AR302" i="45"/>
  <c r="BS301" i="45"/>
  <c r="BP301" i="45"/>
  <c r="BM301" i="45"/>
  <c r="BJ301" i="45"/>
  <c r="BG301" i="45"/>
  <c r="BA301" i="45"/>
  <c r="AX301" i="45"/>
  <c r="AU301" i="45"/>
  <c r="AR301" i="45"/>
  <c r="AO301" i="45"/>
  <c r="AL301" i="45"/>
  <c r="AF301" i="45"/>
  <c r="AC301" i="45"/>
  <c r="Z301" i="45"/>
  <c r="W301" i="45"/>
  <c r="BS300" i="45"/>
  <c r="BP300" i="45"/>
  <c r="BM300" i="45"/>
  <c r="BG300" i="45"/>
  <c r="BA300" i="45"/>
  <c r="AX300" i="45"/>
  <c r="AU300" i="45"/>
  <c r="AR300" i="45"/>
  <c r="AO300" i="45"/>
  <c r="AL300" i="45"/>
  <c r="AF300" i="45"/>
  <c r="AC300" i="45"/>
  <c r="Z300" i="45"/>
  <c r="W300" i="45"/>
  <c r="AL294" i="45"/>
  <c r="AF294" i="45"/>
  <c r="AC294" i="45"/>
  <c r="Z294" i="45"/>
  <c r="W294" i="45"/>
  <c r="AO293" i="45"/>
  <c r="AL293" i="45"/>
  <c r="AF293" i="45"/>
  <c r="AC293" i="45"/>
  <c r="Z293" i="45"/>
  <c r="W293" i="45"/>
  <c r="BS292" i="45"/>
  <c r="BP292" i="45"/>
  <c r="BM292" i="45"/>
  <c r="BJ292" i="45"/>
  <c r="BG292" i="45"/>
  <c r="BA292" i="45"/>
  <c r="AX292" i="45"/>
  <c r="AU292" i="45"/>
  <c r="AR292" i="45"/>
  <c r="AO292" i="45"/>
  <c r="AL292" i="45"/>
  <c r="AF292" i="45"/>
  <c r="AC292" i="45"/>
  <c r="Z292" i="45"/>
  <c r="W292" i="45"/>
  <c r="BS291" i="45"/>
  <c r="BP291" i="45"/>
  <c r="BM291" i="45"/>
  <c r="BJ291" i="45"/>
  <c r="BG291" i="45"/>
  <c r="BA291" i="45"/>
  <c r="AX291" i="45"/>
  <c r="AU291" i="45"/>
  <c r="AR291" i="45"/>
  <c r="AO291" i="45"/>
  <c r="AL291" i="45"/>
  <c r="AF291" i="45"/>
  <c r="AC291" i="45"/>
  <c r="Z291" i="45"/>
  <c r="W291" i="45"/>
  <c r="BS290" i="45"/>
  <c r="BP290" i="45"/>
  <c r="BM290" i="45"/>
  <c r="BJ290" i="45"/>
  <c r="BG290" i="45"/>
  <c r="BA290" i="45"/>
  <c r="AX290" i="45"/>
  <c r="AU290" i="45"/>
  <c r="AR290" i="45"/>
  <c r="AO290" i="45"/>
  <c r="AL290" i="45"/>
  <c r="AF290" i="45"/>
  <c r="AC290" i="45"/>
  <c r="Z290" i="45"/>
  <c r="W290" i="45"/>
  <c r="BS289" i="45"/>
  <c r="BP289" i="45"/>
  <c r="BM289" i="45"/>
  <c r="BJ289" i="45"/>
  <c r="BG289" i="45"/>
  <c r="BA289" i="45"/>
  <c r="AX289" i="45"/>
  <c r="AU289" i="45"/>
  <c r="AR289" i="45"/>
  <c r="AO289" i="45"/>
  <c r="AL289" i="45"/>
  <c r="AF289" i="45"/>
  <c r="AC289" i="45"/>
  <c r="Z289" i="45"/>
  <c r="W289" i="45"/>
  <c r="BS288" i="45"/>
  <c r="BP288" i="45"/>
  <c r="BM288" i="45"/>
  <c r="BJ288" i="45"/>
  <c r="BG288" i="45"/>
  <c r="BA288" i="45"/>
  <c r="AX288" i="45"/>
  <c r="AU288" i="45"/>
  <c r="AR288" i="45"/>
  <c r="AO288" i="45"/>
  <c r="AL288" i="45"/>
  <c r="AF288" i="45"/>
  <c r="AC288" i="45"/>
  <c r="Z288" i="45"/>
  <c r="W288" i="45"/>
  <c r="BS287" i="45"/>
  <c r="BP287" i="45"/>
  <c r="BM287" i="45"/>
  <c r="BJ287" i="45"/>
  <c r="BG287" i="45"/>
  <c r="BA287" i="45"/>
  <c r="AX287" i="45"/>
  <c r="AU287" i="45"/>
  <c r="AR287" i="45"/>
  <c r="AO287" i="45"/>
  <c r="AL287" i="45"/>
  <c r="AF287" i="45"/>
  <c r="AC287" i="45"/>
  <c r="Z287" i="45"/>
  <c r="W287" i="45"/>
  <c r="BS286" i="45"/>
  <c r="BP286" i="45"/>
  <c r="BM286" i="45"/>
  <c r="BJ286" i="45"/>
  <c r="BG286" i="45"/>
  <c r="BA286" i="45"/>
  <c r="AX286" i="45"/>
  <c r="AU286" i="45"/>
  <c r="AR286" i="45"/>
  <c r="AO286" i="45"/>
  <c r="AL286" i="45"/>
  <c r="AF286" i="45"/>
  <c r="AC286" i="45"/>
  <c r="Z286" i="45"/>
  <c r="W286" i="45"/>
  <c r="BS285" i="45"/>
  <c r="BP285" i="45"/>
  <c r="BM285" i="45"/>
  <c r="BJ285" i="45"/>
  <c r="BG285" i="45"/>
  <c r="BA285" i="45"/>
  <c r="AX285" i="45"/>
  <c r="AU285" i="45"/>
  <c r="AR285" i="45"/>
  <c r="AO285" i="45"/>
  <c r="AL285" i="45"/>
  <c r="AF285" i="45"/>
  <c r="AC285" i="45"/>
  <c r="Z285" i="45"/>
  <c r="W285" i="45"/>
  <c r="BS284" i="45"/>
  <c r="BP284" i="45"/>
  <c r="BM284" i="45"/>
  <c r="BJ284" i="45"/>
  <c r="BG284" i="45"/>
  <c r="BA284" i="45"/>
  <c r="AX284" i="45"/>
  <c r="AU284" i="45"/>
  <c r="AR284" i="45"/>
  <c r="AO284" i="45"/>
  <c r="AL284" i="45"/>
  <c r="AF284" i="45"/>
  <c r="AC284" i="45"/>
  <c r="Z284" i="45"/>
  <c r="W284" i="45"/>
  <c r="BS283" i="45"/>
  <c r="BP283" i="45"/>
  <c r="BM283" i="45"/>
  <c r="BJ283" i="45"/>
  <c r="BG283" i="45"/>
  <c r="BA283" i="45"/>
  <c r="AX283" i="45"/>
  <c r="AU283" i="45"/>
  <c r="AR283" i="45"/>
  <c r="AO283" i="45"/>
  <c r="AL283" i="45"/>
  <c r="AF283" i="45"/>
  <c r="AC283" i="45"/>
  <c r="Z283" i="45"/>
  <c r="W283" i="45"/>
  <c r="BS282" i="45"/>
  <c r="BP282" i="45"/>
  <c r="BM282" i="45"/>
  <c r="BJ282" i="45"/>
  <c r="BG282" i="45"/>
  <c r="BA282" i="45"/>
  <c r="AX282" i="45"/>
  <c r="AU282" i="45"/>
  <c r="AR282" i="45"/>
  <c r="AO282" i="45"/>
  <c r="AL282" i="45"/>
  <c r="AF282" i="45"/>
  <c r="AC282" i="45"/>
  <c r="Z282" i="45"/>
  <c r="W282" i="45"/>
  <c r="BS281" i="45"/>
  <c r="BP281" i="45"/>
  <c r="BM281" i="45"/>
  <c r="BJ281" i="45"/>
  <c r="BG281" i="45"/>
  <c r="BA281" i="45"/>
  <c r="AX281" i="45"/>
  <c r="AU281" i="45"/>
  <c r="AR281" i="45"/>
  <c r="AO281" i="45"/>
  <c r="AL281" i="45"/>
  <c r="AF281" i="45"/>
  <c r="AC281" i="45"/>
  <c r="Z281" i="45"/>
  <c r="W281" i="45"/>
  <c r="BS280" i="45"/>
  <c r="BP280" i="45"/>
  <c r="BM280" i="45"/>
  <c r="BJ280" i="45"/>
  <c r="BG280" i="45"/>
  <c r="BA280" i="45"/>
  <c r="AX280" i="45"/>
  <c r="AU280" i="45"/>
  <c r="AR280" i="45"/>
  <c r="AO280" i="45"/>
  <c r="AL280" i="45"/>
  <c r="AF280" i="45"/>
  <c r="AC280" i="45"/>
  <c r="Z280" i="45"/>
  <c r="W280" i="45"/>
  <c r="BS279" i="45"/>
  <c r="BP279" i="45"/>
  <c r="BM279" i="45"/>
  <c r="BJ279" i="45"/>
  <c r="BG279" i="45"/>
  <c r="BA279" i="45"/>
  <c r="AX279" i="45"/>
  <c r="AU279" i="45"/>
  <c r="AR279" i="45"/>
  <c r="AO279" i="45"/>
  <c r="AL279" i="45"/>
  <c r="AF279" i="45"/>
  <c r="AC279" i="45"/>
  <c r="Z279" i="45"/>
  <c r="W279" i="45"/>
  <c r="BS278" i="45"/>
  <c r="BP278" i="45"/>
  <c r="BM278" i="45"/>
  <c r="BJ278" i="45"/>
  <c r="BG278" i="45"/>
  <c r="BA278" i="45"/>
  <c r="AX278" i="45"/>
  <c r="AU278" i="45"/>
  <c r="AR278" i="45"/>
  <c r="AO278" i="45"/>
  <c r="AL278" i="45"/>
  <c r="AF278" i="45"/>
  <c r="AC278" i="45"/>
  <c r="Z278" i="45"/>
  <c r="W278" i="45"/>
  <c r="BS277" i="45"/>
  <c r="BP277" i="45"/>
  <c r="BM277" i="45"/>
  <c r="BJ277" i="45"/>
  <c r="BG277" i="45"/>
  <c r="BA277" i="45"/>
  <c r="AX277" i="45"/>
  <c r="AU277" i="45"/>
  <c r="AR277" i="45"/>
  <c r="AO277" i="45"/>
  <c r="AL277" i="45"/>
  <c r="AF277" i="45"/>
  <c r="AC277" i="45"/>
  <c r="Z277" i="45"/>
  <c r="W277" i="45"/>
  <c r="BS276" i="45"/>
  <c r="BP276" i="45"/>
  <c r="BM276" i="45"/>
  <c r="BJ276" i="45"/>
  <c r="BG276" i="45"/>
  <c r="BA276" i="45"/>
  <c r="AX276" i="45"/>
  <c r="AU276" i="45"/>
  <c r="AR276" i="45"/>
  <c r="AO276" i="45"/>
  <c r="AL276" i="45"/>
  <c r="AF276" i="45"/>
  <c r="AC276" i="45"/>
  <c r="Z276" i="45"/>
  <c r="W276" i="45"/>
  <c r="BS275" i="45"/>
  <c r="BP275" i="45"/>
  <c r="BM275" i="45"/>
  <c r="BJ275" i="45"/>
  <c r="BG275" i="45"/>
  <c r="BA275" i="45"/>
  <c r="AX275" i="45"/>
  <c r="AU275" i="45"/>
  <c r="AR275" i="45"/>
  <c r="AO275" i="45"/>
  <c r="AL275" i="45"/>
  <c r="AF275" i="45"/>
  <c r="AC275" i="45"/>
  <c r="Z275" i="45"/>
  <c r="W275" i="45"/>
  <c r="BS274" i="45"/>
  <c r="BP274" i="45"/>
  <c r="BM274" i="45"/>
  <c r="BJ274" i="45"/>
  <c r="BG274" i="45"/>
  <c r="BA274" i="45"/>
  <c r="AX274" i="45"/>
  <c r="AU274" i="45"/>
  <c r="AR274" i="45"/>
  <c r="AO274" i="45"/>
  <c r="AL274" i="45"/>
  <c r="AF274" i="45"/>
  <c r="AC274" i="45"/>
  <c r="Z274" i="45"/>
  <c r="W274" i="45"/>
  <c r="BS273" i="45"/>
  <c r="BP273" i="45"/>
  <c r="BM273" i="45"/>
  <c r="BJ273" i="45"/>
  <c r="BG273" i="45"/>
  <c r="BA273" i="45"/>
  <c r="AX273" i="45"/>
  <c r="AU273" i="45"/>
  <c r="AR273" i="45"/>
  <c r="AO273" i="45"/>
  <c r="AL273" i="45"/>
  <c r="AF273" i="45"/>
  <c r="AC273" i="45"/>
  <c r="Z273" i="45"/>
  <c r="W273" i="45"/>
  <c r="BS256" i="45"/>
  <c r="BP256" i="45"/>
  <c r="BM256" i="45"/>
  <c r="BJ256" i="45"/>
  <c r="BG256" i="45"/>
  <c r="BA256" i="45"/>
  <c r="AX256" i="45"/>
  <c r="AU256" i="45"/>
  <c r="AR256" i="45"/>
  <c r="AO256" i="45"/>
  <c r="AL256" i="45"/>
  <c r="AF256" i="45"/>
  <c r="AC256" i="45"/>
  <c r="Z256" i="45"/>
  <c r="W256" i="45"/>
  <c r="BS255" i="45"/>
  <c r="BP255" i="45"/>
  <c r="BM255" i="45"/>
  <c r="BJ255" i="45"/>
  <c r="BG255" i="45"/>
  <c r="BA255" i="45"/>
  <c r="AX255" i="45"/>
  <c r="AU255" i="45"/>
  <c r="AR255" i="45"/>
  <c r="AO255" i="45"/>
  <c r="AL255" i="45"/>
  <c r="AF255" i="45"/>
  <c r="AC255" i="45"/>
  <c r="Z255" i="45"/>
  <c r="W255" i="45"/>
  <c r="BS254" i="45"/>
  <c r="BP254" i="45"/>
  <c r="BM254" i="45"/>
  <c r="BJ254" i="45"/>
  <c r="BG254" i="45"/>
  <c r="BA254" i="45"/>
  <c r="AX254" i="45"/>
  <c r="AU254" i="45"/>
  <c r="AR254" i="45"/>
  <c r="AO254" i="45"/>
  <c r="AL254" i="45"/>
  <c r="AF254" i="45"/>
  <c r="AC254" i="45"/>
  <c r="Z254" i="45"/>
  <c r="W254" i="45"/>
  <c r="BS253" i="45"/>
  <c r="BP253" i="45"/>
  <c r="BM253" i="45"/>
  <c r="BJ253" i="45"/>
  <c r="BG253" i="45"/>
  <c r="BA253" i="45"/>
  <c r="AX253" i="45"/>
  <c r="AU253" i="45"/>
  <c r="AR253" i="45"/>
  <c r="AO253" i="45"/>
  <c r="AL253" i="45"/>
  <c r="AF253" i="45"/>
  <c r="AC253" i="45"/>
  <c r="Z253" i="45"/>
  <c r="W253" i="45"/>
  <c r="BS252" i="45"/>
  <c r="BP252" i="45"/>
  <c r="BM252" i="45"/>
  <c r="BJ252" i="45"/>
  <c r="BG252" i="45"/>
  <c r="BA252" i="45"/>
  <c r="AX252" i="45"/>
  <c r="AU252" i="45"/>
  <c r="AR252" i="45"/>
  <c r="AO252" i="45"/>
  <c r="AL252" i="45"/>
  <c r="AF252" i="45"/>
  <c r="AC252" i="45"/>
  <c r="Z252" i="45"/>
  <c r="W252" i="45"/>
  <c r="BS251" i="45"/>
  <c r="BP251" i="45"/>
  <c r="BM251" i="45"/>
  <c r="BJ251" i="45"/>
  <c r="BG251" i="45"/>
  <c r="BA251" i="45"/>
  <c r="AX251" i="45"/>
  <c r="AU251" i="45"/>
  <c r="AR251" i="45"/>
  <c r="AO251" i="45"/>
  <c r="AL251" i="45"/>
  <c r="AF251" i="45"/>
  <c r="AC251" i="45"/>
  <c r="Z251" i="45"/>
  <c r="W251" i="45"/>
  <c r="BS250" i="45"/>
  <c r="BP250" i="45"/>
  <c r="BM250" i="45"/>
  <c r="BJ250" i="45"/>
  <c r="BG250" i="45"/>
  <c r="BA250" i="45"/>
  <c r="AX250" i="45"/>
  <c r="AU250" i="45"/>
  <c r="AR250" i="45"/>
  <c r="AO250" i="45"/>
  <c r="AL250" i="45"/>
  <c r="AF250" i="45"/>
  <c r="AC250" i="45"/>
  <c r="Z250" i="45"/>
  <c r="W250" i="45"/>
  <c r="BS249" i="45"/>
  <c r="BP249" i="45"/>
  <c r="BM249" i="45"/>
  <c r="BJ249" i="45"/>
  <c r="BG249" i="45"/>
  <c r="BA249" i="45"/>
  <c r="AX249" i="45"/>
  <c r="AU249" i="45"/>
  <c r="AR249" i="45"/>
  <c r="AO249" i="45"/>
  <c r="AL249" i="45"/>
  <c r="AF249" i="45"/>
  <c r="AC249" i="45"/>
  <c r="Z249" i="45"/>
  <c r="W249" i="45"/>
  <c r="BS248" i="45"/>
  <c r="BP248" i="45"/>
  <c r="BM248" i="45"/>
  <c r="BJ248" i="45"/>
  <c r="BG248" i="45"/>
  <c r="BA248" i="45"/>
  <c r="AX248" i="45"/>
  <c r="AU248" i="45"/>
  <c r="AR248" i="45"/>
  <c r="AO248" i="45"/>
  <c r="AL248" i="45"/>
  <c r="AF248" i="45"/>
  <c r="AC248" i="45"/>
  <c r="Z248" i="45"/>
  <c r="W248" i="45"/>
  <c r="BS247" i="45"/>
  <c r="BP247" i="45"/>
  <c r="BM247" i="45"/>
  <c r="BJ247" i="45"/>
  <c r="BG247" i="45"/>
  <c r="BA247" i="45"/>
  <c r="AX247" i="45"/>
  <c r="AU247" i="45"/>
  <c r="AR247" i="45"/>
  <c r="AO247" i="45"/>
  <c r="AL247" i="45"/>
  <c r="AF247" i="45"/>
  <c r="AC247" i="45"/>
  <c r="Z247" i="45"/>
  <c r="W247" i="45"/>
  <c r="BS246" i="45"/>
  <c r="BP246" i="45"/>
  <c r="BM246" i="45"/>
  <c r="BJ246" i="45"/>
  <c r="BG246" i="45"/>
  <c r="BA246" i="45"/>
  <c r="AX246" i="45"/>
  <c r="AU246" i="45"/>
  <c r="AR246" i="45"/>
  <c r="AO246" i="45"/>
  <c r="AL246" i="45"/>
  <c r="AF246" i="45"/>
  <c r="AC246" i="45"/>
  <c r="Z246" i="45"/>
  <c r="W246" i="45"/>
  <c r="BS245" i="45"/>
  <c r="BP245" i="45"/>
  <c r="BM245" i="45"/>
  <c r="BJ245" i="45"/>
  <c r="BG245" i="45"/>
  <c r="BA245" i="45"/>
  <c r="AX245" i="45"/>
  <c r="AU245" i="45"/>
  <c r="AR245" i="45"/>
  <c r="AO245" i="45"/>
  <c r="AL245" i="45"/>
  <c r="AF245" i="45"/>
  <c r="AC245" i="45"/>
  <c r="Z245" i="45"/>
  <c r="W245" i="45"/>
  <c r="BS244" i="45"/>
  <c r="BP244" i="45"/>
  <c r="BM244" i="45"/>
  <c r="BJ244" i="45"/>
  <c r="BG244" i="45"/>
  <c r="BA244" i="45"/>
  <c r="AX244" i="45"/>
  <c r="AU244" i="45"/>
  <c r="AR244" i="45"/>
  <c r="AO244" i="45"/>
  <c r="AL244" i="45"/>
  <c r="AF244" i="45"/>
  <c r="AC244" i="45"/>
  <c r="Z244" i="45"/>
  <c r="W244" i="45"/>
  <c r="BS243" i="45"/>
  <c r="BP243" i="45"/>
  <c r="BM243" i="45"/>
  <c r="BJ243" i="45"/>
  <c r="BG243" i="45"/>
  <c r="BA243" i="45"/>
  <c r="AX243" i="45"/>
  <c r="AU243" i="45"/>
  <c r="AR243" i="45"/>
  <c r="AO243" i="45"/>
  <c r="AL243" i="45"/>
  <c r="AF243" i="45"/>
  <c r="AC243" i="45"/>
  <c r="Z243" i="45"/>
  <c r="W243" i="45"/>
  <c r="BS242" i="45"/>
  <c r="BP242" i="45"/>
  <c r="BM242" i="45"/>
  <c r="BJ242" i="45"/>
  <c r="BG242" i="45"/>
  <c r="BA242" i="45"/>
  <c r="AX242" i="45"/>
  <c r="AU242" i="45"/>
  <c r="AR242" i="45"/>
  <c r="AO242" i="45"/>
  <c r="BS241" i="45"/>
  <c r="BP241" i="45"/>
  <c r="BM241" i="45"/>
  <c r="BJ241" i="45"/>
  <c r="BG241" i="45"/>
  <c r="BA241" i="45"/>
  <c r="AX241" i="45"/>
  <c r="AU241" i="45"/>
  <c r="AR241" i="45"/>
  <c r="AO241" i="45"/>
  <c r="AL241" i="45"/>
  <c r="AF241" i="45"/>
  <c r="AC241" i="45"/>
  <c r="Z241" i="45"/>
  <c r="W241" i="45"/>
  <c r="BS240" i="45"/>
  <c r="BP240" i="45"/>
  <c r="BM240" i="45"/>
  <c r="BJ240" i="45"/>
  <c r="BG240" i="45"/>
  <c r="BA240" i="45"/>
  <c r="AX240" i="45"/>
  <c r="AU240" i="45"/>
  <c r="AR240" i="45"/>
  <c r="AO240" i="45"/>
  <c r="AL240" i="45"/>
  <c r="AF240" i="45"/>
  <c r="AC240" i="45"/>
  <c r="BS239" i="45"/>
  <c r="BP239" i="45"/>
  <c r="BM239" i="45"/>
  <c r="BJ239" i="45"/>
  <c r="BG239" i="45"/>
  <c r="BA239" i="45"/>
  <c r="AX239" i="45"/>
  <c r="AU239" i="45"/>
  <c r="AR239" i="45"/>
  <c r="AO239" i="45"/>
  <c r="AL239" i="45"/>
  <c r="AF239" i="45"/>
  <c r="AC239" i="45"/>
  <c r="Z239" i="45"/>
  <c r="W239" i="45"/>
  <c r="BS238" i="45"/>
  <c r="BP238" i="45"/>
  <c r="BM238" i="45"/>
  <c r="BJ238" i="45"/>
  <c r="BG238" i="45"/>
  <c r="BA238" i="45"/>
  <c r="AX238" i="45"/>
  <c r="AU238" i="45"/>
  <c r="AR238" i="45"/>
  <c r="AO238" i="45"/>
  <c r="AL238" i="45"/>
  <c r="AF238" i="45"/>
  <c r="AC238" i="45"/>
  <c r="BS237" i="45"/>
  <c r="BP237" i="45"/>
  <c r="BM237" i="45"/>
  <c r="BJ237" i="45"/>
  <c r="BG237" i="45"/>
  <c r="BA237" i="45"/>
  <c r="AX237" i="45"/>
  <c r="AU237" i="45"/>
  <c r="AR237" i="45"/>
  <c r="AO237" i="45"/>
  <c r="AL237" i="45"/>
  <c r="BS236" i="45"/>
  <c r="BP236" i="45"/>
  <c r="BM236" i="45"/>
  <c r="BJ236" i="45"/>
  <c r="BG236" i="45"/>
  <c r="BA236" i="45"/>
  <c r="AX236" i="45"/>
  <c r="AU236" i="45"/>
  <c r="AR236" i="45"/>
  <c r="AO236" i="45"/>
  <c r="AL236" i="45"/>
  <c r="AF236" i="45"/>
  <c r="AC236" i="45"/>
  <c r="BS235" i="45"/>
  <c r="BP235" i="45"/>
  <c r="BM235" i="45"/>
  <c r="BJ235" i="45"/>
  <c r="BG235" i="45"/>
  <c r="BS234" i="45"/>
  <c r="BP234" i="45"/>
  <c r="BM234" i="45"/>
  <c r="BJ234" i="45"/>
  <c r="BG234" i="45"/>
  <c r="BS233" i="45"/>
  <c r="BP233" i="45"/>
  <c r="BM233" i="45"/>
  <c r="BJ233" i="45"/>
  <c r="BG233" i="45"/>
  <c r="BS232" i="45"/>
  <c r="BP232" i="45"/>
  <c r="BM232" i="45"/>
  <c r="BJ232" i="45"/>
  <c r="BG232" i="45"/>
  <c r="BS231" i="45"/>
  <c r="BP231" i="45"/>
  <c r="BM231" i="45"/>
  <c r="BJ231" i="45"/>
  <c r="BG231" i="45"/>
  <c r="BS230" i="45"/>
  <c r="BP230" i="45"/>
  <c r="BM230" i="45"/>
  <c r="BJ230" i="45"/>
  <c r="BG230" i="45"/>
  <c r="BA230" i="45"/>
  <c r="AX230" i="45"/>
  <c r="BS229" i="45"/>
  <c r="BP229" i="45"/>
  <c r="BM229" i="45"/>
  <c r="BJ229" i="45"/>
  <c r="BG229" i="45"/>
  <c r="BA229" i="45"/>
  <c r="AX229" i="45"/>
  <c r="BS228" i="45"/>
  <c r="BP228" i="45"/>
  <c r="BM228" i="45"/>
  <c r="BJ228" i="45"/>
  <c r="BG228" i="45"/>
  <c r="BA228" i="45"/>
  <c r="AX228" i="45"/>
  <c r="AU228" i="45"/>
  <c r="BS227" i="45"/>
  <c r="BP227" i="45"/>
  <c r="BM227" i="45"/>
  <c r="BJ227" i="45"/>
  <c r="BG227" i="45"/>
  <c r="BA227" i="45"/>
  <c r="AX227" i="45"/>
  <c r="AU227" i="45"/>
  <c r="BS226" i="45"/>
  <c r="BP226" i="45"/>
  <c r="BM226" i="45"/>
  <c r="BJ226" i="45"/>
  <c r="BG226" i="45"/>
  <c r="BA226" i="45"/>
  <c r="AX226" i="45"/>
  <c r="AU226" i="45"/>
  <c r="AR226" i="45"/>
  <c r="BS225" i="45"/>
  <c r="BP225" i="45"/>
  <c r="BM225" i="45"/>
  <c r="BJ225" i="45"/>
  <c r="BG225" i="45"/>
  <c r="BA225" i="45"/>
  <c r="AX225" i="45"/>
  <c r="AU225" i="45"/>
  <c r="AR225" i="45"/>
  <c r="BS224" i="45"/>
  <c r="BP224" i="45"/>
  <c r="BM224" i="45"/>
  <c r="BJ224" i="45"/>
  <c r="BG224" i="45"/>
  <c r="BA224" i="45"/>
  <c r="AX224" i="45"/>
  <c r="AU224" i="45"/>
  <c r="AR224" i="45"/>
  <c r="BS223" i="45"/>
  <c r="BP223" i="45"/>
  <c r="BM223" i="45"/>
  <c r="BJ223" i="45"/>
  <c r="BG223" i="45"/>
  <c r="BA223" i="45"/>
  <c r="AX223" i="45"/>
  <c r="AU223" i="45"/>
  <c r="AR223" i="45"/>
  <c r="BS222" i="45"/>
  <c r="BP222" i="45"/>
  <c r="BJ222" i="45"/>
  <c r="BH222" i="45"/>
  <c r="BM222" i="45" s="1"/>
  <c r="BG222" i="45"/>
  <c r="BE222" i="45"/>
  <c r="AY222" i="45"/>
  <c r="AV222" i="45"/>
  <c r="AX222" i="45" s="1"/>
  <c r="AU222" i="45"/>
  <c r="AR222" i="45"/>
  <c r="BS221" i="45"/>
  <c r="BP221" i="45"/>
  <c r="BM221" i="45"/>
  <c r="BJ221" i="45"/>
  <c r="BG221" i="45"/>
  <c r="BA221" i="45"/>
  <c r="AX221" i="45"/>
  <c r="AU221" i="45"/>
  <c r="AR221" i="45"/>
  <c r="BS220" i="45"/>
  <c r="BP220" i="45"/>
  <c r="BM220" i="45"/>
  <c r="BJ220" i="45"/>
  <c r="BG220" i="45"/>
  <c r="BA220" i="45"/>
  <c r="AX220" i="45"/>
  <c r="AU220" i="45"/>
  <c r="AR220" i="45"/>
  <c r="AO220" i="45"/>
  <c r="AL220" i="45"/>
  <c r="AF220" i="45"/>
  <c r="AC220" i="45"/>
  <c r="Z220" i="45"/>
  <c r="W220" i="45"/>
  <c r="BS219" i="45"/>
  <c r="BP219" i="45"/>
  <c r="BM219" i="45"/>
  <c r="BI219" i="45"/>
  <c r="BE219" i="45"/>
  <c r="AY219" i="45"/>
  <c r="BA219" i="45" s="1"/>
  <c r="AX219" i="45"/>
  <c r="AU219" i="45"/>
  <c r="AR219" i="45"/>
  <c r="AO219" i="45"/>
  <c r="AL219" i="45"/>
  <c r="AF219" i="45"/>
  <c r="AC219" i="45"/>
  <c r="Z219" i="45"/>
  <c r="W219" i="45"/>
  <c r="BS218" i="45"/>
  <c r="BP218" i="45"/>
  <c r="BM218" i="45"/>
  <c r="BJ218" i="45"/>
  <c r="BG218" i="45"/>
  <c r="BA218" i="45"/>
  <c r="AX218" i="45"/>
  <c r="AU218" i="45"/>
  <c r="AR218" i="45"/>
  <c r="AO218" i="45"/>
  <c r="AL218" i="45"/>
  <c r="AF218" i="45"/>
  <c r="AC218" i="45"/>
  <c r="Z218" i="45"/>
  <c r="W218" i="45"/>
  <c r="BS217" i="45"/>
  <c r="BP217" i="45"/>
  <c r="BM217" i="45"/>
  <c r="BJ217" i="45"/>
  <c r="BG217" i="45"/>
  <c r="BA217" i="45"/>
  <c r="AX217" i="45"/>
  <c r="AU217" i="45"/>
  <c r="AR217" i="45"/>
  <c r="AO217" i="45"/>
  <c r="AL217" i="45"/>
  <c r="AF217" i="45"/>
  <c r="AC217" i="45"/>
  <c r="Z217" i="45"/>
  <c r="W217" i="45"/>
  <c r="BS216" i="45"/>
  <c r="BP216" i="45"/>
  <c r="BM216" i="45"/>
  <c r="BJ216" i="45"/>
  <c r="BG216" i="45"/>
  <c r="BA216" i="45"/>
  <c r="AX216" i="45"/>
  <c r="AU216" i="45"/>
  <c r="AR216" i="45"/>
  <c r="AO216" i="45"/>
  <c r="AL216" i="45"/>
  <c r="AF216" i="45"/>
  <c r="AC216" i="45"/>
  <c r="Z216" i="45"/>
  <c r="W216" i="45"/>
  <c r="BS215" i="45"/>
  <c r="BP215" i="45"/>
  <c r="BM215" i="45"/>
  <c r="BJ215" i="45"/>
  <c r="BG215" i="45"/>
  <c r="BA215" i="45"/>
  <c r="AX215" i="45"/>
  <c r="AU215" i="45"/>
  <c r="AR215" i="45"/>
  <c r="AO215" i="45"/>
  <c r="AL215" i="45"/>
  <c r="AF215" i="45"/>
  <c r="AC215" i="45"/>
  <c r="Z215" i="45"/>
  <c r="W215" i="45"/>
  <c r="BS214" i="45"/>
  <c r="BP214" i="45"/>
  <c r="BM214" i="45"/>
  <c r="BJ214" i="45"/>
  <c r="BG214" i="45"/>
  <c r="BA214" i="45"/>
  <c r="AX214" i="45"/>
  <c r="AU214" i="45"/>
  <c r="AR214" i="45"/>
  <c r="AO214" i="45"/>
  <c r="AL214" i="45"/>
  <c r="AF214" i="45"/>
  <c r="AC214" i="45"/>
  <c r="Z214" i="45"/>
  <c r="W214" i="45"/>
  <c r="BS213" i="45"/>
  <c r="BT308" i="45" s="1"/>
  <c r="BP213" i="45"/>
  <c r="BM213" i="45"/>
  <c r="BJ213" i="45"/>
  <c r="BG213" i="45"/>
  <c r="BA213" i="45"/>
  <c r="AX213" i="45"/>
  <c r="AU213" i="45"/>
  <c r="AR213" i="45"/>
  <c r="AO213" i="45"/>
  <c r="AL213" i="45"/>
  <c r="AF213" i="45"/>
  <c r="AC213" i="45"/>
  <c r="Z213" i="45"/>
  <c r="W213" i="45"/>
  <c r="BS212" i="45"/>
  <c r="BP212" i="45"/>
  <c r="BM212" i="45"/>
  <c r="BJ212" i="45"/>
  <c r="BG212" i="45"/>
  <c r="BA212" i="45"/>
  <c r="AX212" i="45"/>
  <c r="AU212" i="45"/>
  <c r="AR212" i="45"/>
  <c r="AO212" i="45"/>
  <c r="AL212" i="45"/>
  <c r="AF212" i="45"/>
  <c r="AC212" i="45"/>
  <c r="Z212" i="45"/>
  <c r="W212" i="45"/>
  <c r="BS211" i="45"/>
  <c r="BP211" i="45"/>
  <c r="BM211" i="45"/>
  <c r="BJ211" i="45"/>
  <c r="BG211" i="45"/>
  <c r="BA211" i="45"/>
  <c r="AX211" i="45"/>
  <c r="AU211" i="45"/>
  <c r="AR211" i="45"/>
  <c r="AO211" i="45"/>
  <c r="AL211" i="45"/>
  <c r="AF211" i="45"/>
  <c r="AC211" i="45"/>
  <c r="Z211" i="45"/>
  <c r="W211" i="45"/>
  <c r="BS210" i="45"/>
  <c r="BP210" i="45"/>
  <c r="BM210" i="45"/>
  <c r="BJ210" i="45"/>
  <c r="BG210" i="45"/>
  <c r="BA210" i="45"/>
  <c r="AX210" i="45"/>
  <c r="AT210" i="45"/>
  <c r="AU210" i="45" s="1"/>
  <c r="AR210" i="45"/>
  <c r="AO210" i="45"/>
  <c r="AL210" i="45"/>
  <c r="AF210" i="45"/>
  <c r="AC210" i="45"/>
  <c r="Z210" i="45"/>
  <c r="W210" i="45"/>
  <c r="BS209" i="45"/>
  <c r="BP209" i="45"/>
  <c r="BM209" i="45"/>
  <c r="BJ209" i="45"/>
  <c r="BG209" i="45"/>
  <c r="BA209" i="45"/>
  <c r="AX209" i="45"/>
  <c r="AU209" i="45"/>
  <c r="AR209" i="45"/>
  <c r="AO209" i="45"/>
  <c r="AL209" i="45"/>
  <c r="AF209" i="45"/>
  <c r="AC209" i="45"/>
  <c r="Z209" i="45"/>
  <c r="W209" i="45"/>
  <c r="BS208" i="45"/>
  <c r="BP208" i="45"/>
  <c r="BM208" i="45"/>
  <c r="BJ208" i="45"/>
  <c r="BG208" i="45"/>
  <c r="BA208" i="45"/>
  <c r="AX208" i="45"/>
  <c r="AU208" i="45"/>
  <c r="AR208" i="45"/>
  <c r="AO208" i="45"/>
  <c r="AL208" i="45"/>
  <c r="AF208" i="45"/>
  <c r="AC208" i="45"/>
  <c r="Z208" i="45"/>
  <c r="W208" i="45"/>
  <c r="BS207" i="45"/>
  <c r="BP207" i="45"/>
  <c r="BM207" i="45"/>
  <c r="BJ207" i="45"/>
  <c r="BG207" i="45"/>
  <c r="BA207" i="45"/>
  <c r="AX207" i="45"/>
  <c r="AU207" i="45"/>
  <c r="AR207" i="45"/>
  <c r="AO207" i="45"/>
  <c r="AL207" i="45"/>
  <c r="AF207" i="45"/>
  <c r="AC207" i="45"/>
  <c r="Z207" i="45"/>
  <c r="W207" i="45"/>
  <c r="BS206" i="45"/>
  <c r="BP206" i="45"/>
  <c r="BM206" i="45"/>
  <c r="BJ206" i="45"/>
  <c r="BG206" i="45"/>
  <c r="BA206" i="45"/>
  <c r="AX206" i="45"/>
  <c r="AU206" i="45"/>
  <c r="AR206" i="45"/>
  <c r="AO206" i="45"/>
  <c r="AL206" i="45"/>
  <c r="AF206" i="45"/>
  <c r="AC206" i="45"/>
  <c r="Z206" i="45"/>
  <c r="W206" i="45"/>
  <c r="BS205" i="45"/>
  <c r="BP205" i="45"/>
  <c r="BM205" i="45"/>
  <c r="BJ205" i="45"/>
  <c r="BG205" i="45"/>
  <c r="BA205" i="45"/>
  <c r="AX205" i="45"/>
  <c r="AU205" i="45"/>
  <c r="AR205" i="45"/>
  <c r="AO205" i="45"/>
  <c r="AL205" i="45"/>
  <c r="AF205" i="45"/>
  <c r="AC205" i="45"/>
  <c r="Z205" i="45"/>
  <c r="W205" i="45"/>
  <c r="BS204" i="45"/>
  <c r="BP204" i="45"/>
  <c r="BM204" i="45"/>
  <c r="BJ204" i="45"/>
  <c r="BG204" i="45"/>
  <c r="BA204" i="45"/>
  <c r="AX204" i="45"/>
  <c r="AU204" i="45"/>
  <c r="AR204" i="45"/>
  <c r="AO204" i="45"/>
  <c r="AL204" i="45"/>
  <c r="AF204" i="45"/>
  <c r="AC204" i="45"/>
  <c r="Z204" i="45"/>
  <c r="W204" i="45"/>
  <c r="BS203" i="45"/>
  <c r="BP203" i="45"/>
  <c r="BM203" i="45"/>
  <c r="BJ203" i="45"/>
  <c r="BG203" i="45"/>
  <c r="BA203" i="45"/>
  <c r="AX203" i="45"/>
  <c r="AU203" i="45"/>
  <c r="AR203" i="45"/>
  <c r="AO203" i="45"/>
  <c r="AL203" i="45"/>
  <c r="AF203" i="45"/>
  <c r="AC203" i="45"/>
  <c r="Z203" i="45"/>
  <c r="W203" i="45"/>
  <c r="BS202" i="45"/>
  <c r="BP202" i="45"/>
  <c r="BM202" i="45"/>
  <c r="BJ202" i="45"/>
  <c r="BG202" i="45"/>
  <c r="BA202" i="45"/>
  <c r="AX202" i="45"/>
  <c r="AU202" i="45"/>
  <c r="AR202" i="45"/>
  <c r="AO202" i="45"/>
  <c r="AL202" i="45"/>
  <c r="AF202" i="45"/>
  <c r="AC202" i="45"/>
  <c r="Z202" i="45"/>
  <c r="W202" i="45"/>
  <c r="BS201" i="45"/>
  <c r="BP201" i="45"/>
  <c r="BM201" i="45"/>
  <c r="BJ201" i="45"/>
  <c r="BG201" i="45"/>
  <c r="BA201" i="45"/>
  <c r="AX201" i="45"/>
  <c r="AU201" i="45"/>
  <c r="AR201" i="45"/>
  <c r="AO201" i="45"/>
  <c r="AL201" i="45"/>
  <c r="AF201" i="45"/>
  <c r="AC201" i="45"/>
  <c r="Z201" i="45"/>
  <c r="W201" i="45"/>
  <c r="BS200" i="45"/>
  <c r="BP200" i="45"/>
  <c r="BM200" i="45"/>
  <c r="BJ200" i="45"/>
  <c r="BG200" i="45"/>
  <c r="BA200" i="45"/>
  <c r="AX200" i="45"/>
  <c r="AU200" i="45"/>
  <c r="AT200" i="45"/>
  <c r="AR200" i="45"/>
  <c r="AO200" i="45"/>
  <c r="AL200" i="45"/>
  <c r="AF200" i="45"/>
  <c r="AC200" i="45"/>
  <c r="Z200" i="45"/>
  <c r="W200" i="45"/>
  <c r="BS199" i="45"/>
  <c r="BP199" i="45"/>
  <c r="BM199" i="45"/>
  <c r="BJ199" i="45"/>
  <c r="BG199" i="45"/>
  <c r="BA199" i="45"/>
  <c r="AX199" i="45"/>
  <c r="AU199" i="45"/>
  <c r="AR199" i="45"/>
  <c r="AO199" i="45"/>
  <c r="AL199" i="45"/>
  <c r="AF199" i="45"/>
  <c r="AC199" i="45"/>
  <c r="Z199" i="45"/>
  <c r="W199" i="45"/>
  <c r="BS198" i="45"/>
  <c r="BP198" i="45"/>
  <c r="BM198" i="45"/>
  <c r="BJ198" i="45"/>
  <c r="BG198" i="45"/>
  <c r="BA198" i="45"/>
  <c r="AX198" i="45"/>
  <c r="AU198" i="45"/>
  <c r="AR198" i="45"/>
  <c r="AO198" i="45"/>
  <c r="AL198" i="45"/>
  <c r="AF198" i="45"/>
  <c r="AC198" i="45"/>
  <c r="Z198" i="45"/>
  <c r="W198" i="45"/>
  <c r="BS197" i="45"/>
  <c r="BP197" i="45"/>
  <c r="BM197" i="45"/>
  <c r="BJ197" i="45"/>
  <c r="BG197" i="45"/>
  <c r="BA197" i="45"/>
  <c r="AX197" i="45"/>
  <c r="AU197" i="45"/>
  <c r="AR197" i="45"/>
  <c r="AO197" i="45"/>
  <c r="AL197" i="45"/>
  <c r="AF197" i="45"/>
  <c r="AC197" i="45"/>
  <c r="Z197" i="45"/>
  <c r="W197" i="45"/>
  <c r="BS196" i="45"/>
  <c r="BP196" i="45"/>
  <c r="BM196" i="45"/>
  <c r="BJ196" i="45"/>
  <c r="BG196" i="45"/>
  <c r="BA196" i="45"/>
  <c r="AX196" i="45"/>
  <c r="AU196" i="45"/>
  <c r="AR196" i="45"/>
  <c r="AO196" i="45"/>
  <c r="AL196" i="45"/>
  <c r="AF196" i="45"/>
  <c r="AC196" i="45"/>
  <c r="Z196" i="45"/>
  <c r="W196" i="45"/>
  <c r="BS195" i="45"/>
  <c r="BP195" i="45"/>
  <c r="BM195" i="45"/>
  <c r="BJ195" i="45"/>
  <c r="BG195" i="45"/>
  <c r="BA195" i="45"/>
  <c r="AX195" i="45"/>
  <c r="AU195" i="45"/>
  <c r="AR195" i="45"/>
  <c r="AO195" i="45"/>
  <c r="AL195" i="45"/>
  <c r="AF195" i="45"/>
  <c r="AC195" i="45"/>
  <c r="Z195" i="45"/>
  <c r="W195" i="45"/>
  <c r="BS194" i="45"/>
  <c r="BP194" i="45"/>
  <c r="BM194" i="45"/>
  <c r="BJ194" i="45"/>
  <c r="BG194" i="45"/>
  <c r="BA194" i="45"/>
  <c r="AX194" i="45"/>
  <c r="AU194" i="45"/>
  <c r="AR194" i="45"/>
  <c r="AO194" i="45"/>
  <c r="AL194" i="45"/>
  <c r="AF194" i="45"/>
  <c r="AC194" i="45"/>
  <c r="Z194" i="45"/>
  <c r="W194" i="45"/>
  <c r="BS193" i="45"/>
  <c r="BP193" i="45"/>
  <c r="BM193" i="45"/>
  <c r="BJ193" i="45"/>
  <c r="BG193" i="45"/>
  <c r="BA193" i="45"/>
  <c r="AX193" i="45"/>
  <c r="AU193" i="45"/>
  <c r="AR193" i="45"/>
  <c r="AO193" i="45"/>
  <c r="AL193" i="45"/>
  <c r="AF193" i="45"/>
  <c r="AC193" i="45"/>
  <c r="Z193" i="45"/>
  <c r="W193" i="45"/>
  <c r="BS192" i="45"/>
  <c r="BP192" i="45"/>
  <c r="BM192" i="45"/>
  <c r="BJ192" i="45"/>
  <c r="BG192" i="45"/>
  <c r="BA192" i="45"/>
  <c r="AX192" i="45"/>
  <c r="AU192" i="45"/>
  <c r="AR192" i="45"/>
  <c r="AO192" i="45"/>
  <c r="AL192" i="45"/>
  <c r="AF192" i="45"/>
  <c r="AC192" i="45"/>
  <c r="Z192" i="45"/>
  <c r="W192" i="45"/>
  <c r="BS191" i="45"/>
  <c r="BP191" i="45"/>
  <c r="BM191" i="45"/>
  <c r="BJ191" i="45"/>
  <c r="BG191" i="45"/>
  <c r="BA191" i="45"/>
  <c r="AX191" i="45"/>
  <c r="AU191" i="45"/>
  <c r="AR191" i="45"/>
  <c r="AO191" i="45"/>
  <c r="AL191" i="45"/>
  <c r="AF191" i="45"/>
  <c r="AC191" i="45"/>
  <c r="Z191" i="45"/>
  <c r="W191" i="45"/>
  <c r="BS190" i="45"/>
  <c r="BP190" i="45"/>
  <c r="BM190" i="45"/>
  <c r="BJ190" i="45"/>
  <c r="BG190" i="45"/>
  <c r="BA190" i="45"/>
  <c r="AX190" i="45"/>
  <c r="AU190" i="45"/>
  <c r="AR190" i="45"/>
  <c r="AO190" i="45"/>
  <c r="AL190" i="45"/>
  <c r="AF190" i="45"/>
  <c r="AC190" i="45"/>
  <c r="Z190" i="45"/>
  <c r="W190" i="45"/>
  <c r="BS189" i="45"/>
  <c r="BP189" i="45"/>
  <c r="BM189" i="45"/>
  <c r="BJ189" i="45"/>
  <c r="BG189" i="45"/>
  <c r="BA189" i="45"/>
  <c r="AX189" i="45"/>
  <c r="AU189" i="45"/>
  <c r="AR189" i="45"/>
  <c r="AO189" i="45"/>
  <c r="AL189" i="45"/>
  <c r="AF189" i="45"/>
  <c r="AC189" i="45"/>
  <c r="Z189" i="45"/>
  <c r="W189" i="45"/>
  <c r="BS188" i="45"/>
  <c r="BP188" i="45"/>
  <c r="BM188" i="45"/>
  <c r="BJ188" i="45"/>
  <c r="BG188" i="45"/>
  <c r="BA188" i="45"/>
  <c r="AX188" i="45"/>
  <c r="AU188" i="45"/>
  <c r="AR188" i="45"/>
  <c r="AO188" i="45"/>
  <c r="AL188" i="45"/>
  <c r="AF188" i="45"/>
  <c r="AC188" i="45"/>
  <c r="Z188" i="45"/>
  <c r="W188" i="45"/>
  <c r="BS187" i="45"/>
  <c r="BP187" i="45"/>
  <c r="BM187" i="45"/>
  <c r="BJ187" i="45"/>
  <c r="BG187" i="45"/>
  <c r="BA187" i="45"/>
  <c r="AX187" i="45"/>
  <c r="AU187" i="45"/>
  <c r="AR187" i="45"/>
  <c r="AO187" i="45"/>
  <c r="AL187" i="45"/>
  <c r="AF187" i="45"/>
  <c r="AC187" i="45"/>
  <c r="Z187" i="45"/>
  <c r="W187" i="45"/>
  <c r="BS186" i="45"/>
  <c r="BP186" i="45"/>
  <c r="BM186" i="45"/>
  <c r="BJ186" i="45"/>
  <c r="BG186" i="45"/>
  <c r="BA186" i="45"/>
  <c r="AX186" i="45"/>
  <c r="AU186" i="45"/>
  <c r="AR186" i="45"/>
  <c r="AO186" i="45"/>
  <c r="AL186" i="45"/>
  <c r="AF186" i="45"/>
  <c r="AC186" i="45"/>
  <c r="Z186" i="45"/>
  <c r="W186" i="45"/>
  <c r="BS185" i="45"/>
  <c r="BP185" i="45"/>
  <c r="BM185" i="45"/>
  <c r="BJ185" i="45"/>
  <c r="BG185" i="45"/>
  <c r="BA185" i="45"/>
  <c r="AX185" i="45"/>
  <c r="AU185" i="45"/>
  <c r="AR185" i="45"/>
  <c r="AO185" i="45"/>
  <c r="AL185" i="45"/>
  <c r="AF185" i="45"/>
  <c r="AC185" i="45"/>
  <c r="Z185" i="45"/>
  <c r="W185" i="45"/>
  <c r="BS184" i="45"/>
  <c r="BP184" i="45"/>
  <c r="BM184" i="45"/>
  <c r="BJ184" i="45"/>
  <c r="BG184" i="45"/>
  <c r="BA184" i="45"/>
  <c r="AX184" i="45"/>
  <c r="AU184" i="45"/>
  <c r="AR184" i="45"/>
  <c r="AO184" i="45"/>
  <c r="AL184" i="45"/>
  <c r="AF184" i="45"/>
  <c r="AC184" i="45"/>
  <c r="Z184" i="45"/>
  <c r="W184" i="45"/>
  <c r="BS183" i="45"/>
  <c r="BP183" i="45"/>
  <c r="BM183" i="45"/>
  <c r="BJ183" i="45"/>
  <c r="BG183" i="45"/>
  <c r="BA183" i="45"/>
  <c r="AX183" i="45"/>
  <c r="AU183" i="45"/>
  <c r="AR183" i="45"/>
  <c r="AO183" i="45"/>
  <c r="AL183" i="45"/>
  <c r="AF183" i="45"/>
  <c r="AC183" i="45"/>
  <c r="Z183" i="45"/>
  <c r="W183" i="45"/>
  <c r="BS182" i="45"/>
  <c r="BP182" i="45"/>
  <c r="BM182" i="45"/>
  <c r="BJ182" i="45"/>
  <c r="BG182" i="45"/>
  <c r="BA182" i="45"/>
  <c r="AX182" i="45"/>
  <c r="AU182" i="45"/>
  <c r="AR182" i="45"/>
  <c r="AO182" i="45"/>
  <c r="AL182" i="45"/>
  <c r="AF182" i="45"/>
  <c r="AC182" i="45"/>
  <c r="Z182" i="45"/>
  <c r="W182" i="45"/>
  <c r="BS181" i="45"/>
  <c r="BP181" i="45"/>
  <c r="BM181" i="45"/>
  <c r="BJ181" i="45"/>
  <c r="BG181" i="45"/>
  <c r="BA181" i="45"/>
  <c r="AX181" i="45"/>
  <c r="AU181" i="45"/>
  <c r="AR181" i="45"/>
  <c r="AO181" i="45"/>
  <c r="AL181" i="45"/>
  <c r="AF181" i="45"/>
  <c r="AC181" i="45"/>
  <c r="Z181" i="45"/>
  <c r="W181" i="45"/>
  <c r="BS180" i="45"/>
  <c r="BP180" i="45"/>
  <c r="BM180" i="45"/>
  <c r="BJ180" i="45"/>
  <c r="BG180" i="45"/>
  <c r="BA180" i="45"/>
  <c r="AX180" i="45"/>
  <c r="AU180" i="45"/>
  <c r="AR180" i="45"/>
  <c r="AO180" i="45"/>
  <c r="AL180" i="45"/>
  <c r="AF180" i="45"/>
  <c r="AC180" i="45"/>
  <c r="Z180" i="45"/>
  <c r="W180" i="45"/>
  <c r="BS179" i="45"/>
  <c r="BP179" i="45"/>
  <c r="BM179" i="45"/>
  <c r="BJ179" i="45"/>
  <c r="BG179" i="45"/>
  <c r="BA179" i="45"/>
  <c r="AX179" i="45"/>
  <c r="AU179" i="45"/>
  <c r="AR179" i="45"/>
  <c r="AO179" i="45"/>
  <c r="AL179" i="45"/>
  <c r="AF179" i="45"/>
  <c r="AC179" i="45"/>
  <c r="Z179" i="45"/>
  <c r="W179" i="45"/>
  <c r="BS178" i="45"/>
  <c r="BP178" i="45"/>
  <c r="BM178" i="45"/>
  <c r="BJ178" i="45"/>
  <c r="BG178" i="45"/>
  <c r="BA178" i="45"/>
  <c r="AX178" i="45"/>
  <c r="AU178" i="45"/>
  <c r="AR178" i="45"/>
  <c r="AO178" i="45"/>
  <c r="AL178" i="45"/>
  <c r="AF178" i="45"/>
  <c r="AC178" i="45"/>
  <c r="Z178" i="45"/>
  <c r="W178" i="45"/>
  <c r="BS177" i="45"/>
  <c r="BP177" i="45"/>
  <c r="BM177" i="45"/>
  <c r="BJ177" i="45"/>
  <c r="BG177" i="45"/>
  <c r="BA177" i="45"/>
  <c r="AX177" i="45"/>
  <c r="AU177" i="45"/>
  <c r="AR177" i="45"/>
  <c r="AO177" i="45"/>
  <c r="AL177" i="45"/>
  <c r="AF177" i="45"/>
  <c r="AC177" i="45"/>
  <c r="Z177" i="45"/>
  <c r="W177" i="45"/>
  <c r="BS176" i="45"/>
  <c r="BP176" i="45"/>
  <c r="BM176" i="45"/>
  <c r="BJ176" i="45"/>
  <c r="BG176" i="45"/>
  <c r="BA176" i="45"/>
  <c r="AX176" i="45"/>
  <c r="AU176" i="45"/>
  <c r="AR176" i="45"/>
  <c r="AO176" i="45"/>
  <c r="AL176" i="45"/>
  <c r="AF176" i="45"/>
  <c r="AC176" i="45"/>
  <c r="Z176" i="45"/>
  <c r="W176" i="45"/>
  <c r="BS175" i="45"/>
  <c r="BP175" i="45"/>
  <c r="BM175" i="45"/>
  <c r="BJ175" i="45"/>
  <c r="BG175" i="45"/>
  <c r="BA175" i="45"/>
  <c r="AX175" i="45"/>
  <c r="AU175" i="45"/>
  <c r="AR175" i="45"/>
  <c r="AO175" i="45"/>
  <c r="AL175" i="45"/>
  <c r="AF175" i="45"/>
  <c r="AC175" i="45"/>
  <c r="Z175" i="45"/>
  <c r="W175" i="45"/>
  <c r="BS174" i="45"/>
  <c r="BP174" i="45"/>
  <c r="BM174" i="45"/>
  <c r="BJ174" i="45"/>
  <c r="BG174" i="45"/>
  <c r="BA174" i="45"/>
  <c r="AX174" i="45"/>
  <c r="AU174" i="45"/>
  <c r="AR174" i="45"/>
  <c r="AO174" i="45"/>
  <c r="AL174" i="45"/>
  <c r="AF174" i="45"/>
  <c r="AC174" i="45"/>
  <c r="Z174" i="45"/>
  <c r="W174" i="45"/>
  <c r="BS173" i="45"/>
  <c r="BP173" i="45"/>
  <c r="BM173" i="45"/>
  <c r="BJ173" i="45"/>
  <c r="BG173" i="45"/>
  <c r="BA173" i="45"/>
  <c r="AX173" i="45"/>
  <c r="AU173" i="45"/>
  <c r="AR173" i="45"/>
  <c r="AO173" i="45"/>
  <c r="AL173" i="45"/>
  <c r="AF173" i="45"/>
  <c r="AC173" i="45"/>
  <c r="Z173" i="45"/>
  <c r="W173" i="45"/>
  <c r="BS172" i="45"/>
  <c r="BP172" i="45"/>
  <c r="BM172" i="45"/>
  <c r="BJ172" i="45"/>
  <c r="BG172" i="45"/>
  <c r="BA172" i="45"/>
  <c r="AX172" i="45"/>
  <c r="AU172" i="45"/>
  <c r="AR172" i="45"/>
  <c r="AO172" i="45"/>
  <c r="AL172" i="45"/>
  <c r="AF172" i="45"/>
  <c r="AC172" i="45"/>
  <c r="Z172" i="45"/>
  <c r="W172" i="45"/>
  <c r="BS171" i="45"/>
  <c r="BP171" i="45"/>
  <c r="BM171" i="45"/>
  <c r="BJ171" i="45"/>
  <c r="BG171" i="45"/>
  <c r="BA171" i="45"/>
  <c r="AX171" i="45"/>
  <c r="AU171" i="45"/>
  <c r="AR171" i="45"/>
  <c r="AO171" i="45"/>
  <c r="AL171" i="45"/>
  <c r="AF171" i="45"/>
  <c r="AC171" i="45"/>
  <c r="Z171" i="45"/>
  <c r="V171" i="45"/>
  <c r="BS170" i="45"/>
  <c r="BP170" i="45"/>
  <c r="BM170" i="45"/>
  <c r="BJ170" i="45"/>
  <c r="BG170" i="45"/>
  <c r="BA170" i="45"/>
  <c r="AX170" i="45"/>
  <c r="AU170" i="45"/>
  <c r="AR170" i="45"/>
  <c r="AO170" i="45"/>
  <c r="AL170" i="45"/>
  <c r="AF170" i="45"/>
  <c r="AC170" i="45"/>
  <c r="Z170" i="45"/>
  <c r="W170" i="45"/>
  <c r="BS169" i="45"/>
  <c r="BP169" i="45"/>
  <c r="BM169" i="45"/>
  <c r="BJ169" i="45"/>
  <c r="BG169" i="45"/>
  <c r="BA169" i="45"/>
  <c r="AX169" i="45"/>
  <c r="AU169" i="45"/>
  <c r="AR169" i="45"/>
  <c r="AO169" i="45"/>
  <c r="AL169" i="45"/>
  <c r="AF169" i="45"/>
  <c r="AC169" i="45"/>
  <c r="Z169" i="45"/>
  <c r="W169" i="45"/>
  <c r="BS168" i="45"/>
  <c r="BP168" i="45"/>
  <c r="BM168" i="45"/>
  <c r="BJ168" i="45"/>
  <c r="BG168" i="45"/>
  <c r="BA168" i="45"/>
  <c r="AX168" i="45"/>
  <c r="AU168" i="45"/>
  <c r="AR168" i="45"/>
  <c r="AO168" i="45"/>
  <c r="AL168" i="45"/>
  <c r="AF168" i="45"/>
  <c r="AC168" i="45"/>
  <c r="Z168" i="45"/>
  <c r="W168" i="45"/>
  <c r="BS167" i="45"/>
  <c r="BP167" i="45"/>
  <c r="BM167" i="45"/>
  <c r="BJ167" i="45"/>
  <c r="BG167" i="45"/>
  <c r="BA167" i="45"/>
  <c r="AX167" i="45"/>
  <c r="AU167" i="45"/>
  <c r="AR167" i="45"/>
  <c r="AO167" i="45"/>
  <c r="AL167" i="45"/>
  <c r="AF167" i="45"/>
  <c r="AC167" i="45"/>
  <c r="Z167" i="45"/>
  <c r="W167" i="45"/>
  <c r="BS166" i="45"/>
  <c r="BP166" i="45"/>
  <c r="BM166" i="45"/>
  <c r="BJ166" i="45"/>
  <c r="BG166" i="45"/>
  <c r="BA166" i="45"/>
  <c r="AX166" i="45"/>
  <c r="AU166" i="45"/>
  <c r="AR166" i="45"/>
  <c r="AO166" i="45"/>
  <c r="AL166" i="45"/>
  <c r="AF166" i="45"/>
  <c r="AC166" i="45"/>
  <c r="Z166" i="45"/>
  <c r="W166" i="45"/>
  <c r="BS165" i="45"/>
  <c r="BP165" i="45"/>
  <c r="BM165" i="45"/>
  <c r="BJ165" i="45"/>
  <c r="BG165" i="45"/>
  <c r="BA165" i="45"/>
  <c r="AX165" i="45"/>
  <c r="AU165" i="45"/>
  <c r="AR165" i="45"/>
  <c r="AO165" i="45"/>
  <c r="AL165" i="45"/>
  <c r="AF165" i="45"/>
  <c r="AC165" i="45"/>
  <c r="Z165" i="45"/>
  <c r="W165" i="45"/>
  <c r="BS164" i="45"/>
  <c r="BP164" i="45"/>
  <c r="BM164" i="45"/>
  <c r="BJ164" i="45"/>
  <c r="BG164" i="45"/>
  <c r="BA164" i="45"/>
  <c r="AX164" i="45"/>
  <c r="AU164" i="45"/>
  <c r="AR164" i="45"/>
  <c r="AO164" i="45"/>
  <c r="AL164" i="45"/>
  <c r="AF164" i="45"/>
  <c r="AC164" i="45"/>
  <c r="Z164" i="45"/>
  <c r="W164" i="45"/>
  <c r="BS163" i="45"/>
  <c r="BP163" i="45"/>
  <c r="BM163" i="45"/>
  <c r="BJ163" i="45"/>
  <c r="BG163" i="45"/>
  <c r="BA163" i="45"/>
  <c r="AX163" i="45"/>
  <c r="AU163" i="45"/>
  <c r="AR163" i="45"/>
  <c r="AO163" i="45"/>
  <c r="AL163" i="45"/>
  <c r="AF163" i="45"/>
  <c r="AC163" i="45"/>
  <c r="Z163" i="45"/>
  <c r="W163" i="45"/>
  <c r="BS162" i="45"/>
  <c r="BP162" i="45"/>
  <c r="BM162" i="45"/>
  <c r="BJ162" i="45"/>
  <c r="BG162" i="45"/>
  <c r="BA162" i="45"/>
  <c r="AX162" i="45"/>
  <c r="AU162" i="45"/>
  <c r="AR162" i="45"/>
  <c r="AO162" i="45"/>
  <c r="AL162" i="45"/>
  <c r="AF162" i="45"/>
  <c r="AC162" i="45"/>
  <c r="Z162" i="45"/>
  <c r="W162" i="45"/>
  <c r="BS161" i="45"/>
  <c r="BP161" i="45"/>
  <c r="BM161" i="45"/>
  <c r="BJ161" i="45"/>
  <c r="BG161" i="45"/>
  <c r="BA161" i="45"/>
  <c r="AX161" i="45"/>
  <c r="AU161" i="45"/>
  <c r="AR161" i="45"/>
  <c r="AO161" i="45"/>
  <c r="AL161" i="45"/>
  <c r="AF161" i="45"/>
  <c r="AC161" i="45"/>
  <c r="Z161" i="45"/>
  <c r="W161" i="45"/>
  <c r="BS160" i="45"/>
  <c r="BP160" i="45"/>
  <c r="BM160" i="45"/>
  <c r="BJ160" i="45"/>
  <c r="BG160" i="45"/>
  <c r="BA160" i="45"/>
  <c r="AX160" i="45"/>
  <c r="AU160" i="45"/>
  <c r="AR160" i="45"/>
  <c r="AO160" i="45"/>
  <c r="AL160" i="45"/>
  <c r="AF160" i="45"/>
  <c r="AC160" i="45"/>
  <c r="Z160" i="45"/>
  <c r="W160" i="45"/>
  <c r="BS159" i="45"/>
  <c r="BP159" i="45"/>
  <c r="BM159" i="45"/>
  <c r="BJ159" i="45"/>
  <c r="BG159" i="45"/>
  <c r="BA159" i="45"/>
  <c r="AX159" i="45"/>
  <c r="AU159" i="45"/>
  <c r="AR159" i="45"/>
  <c r="AO159" i="45"/>
  <c r="AL159" i="45"/>
  <c r="AF159" i="45"/>
  <c r="AC159" i="45"/>
  <c r="Z159" i="45"/>
  <c r="W159" i="45"/>
  <c r="BS158" i="45"/>
  <c r="BP158" i="45"/>
  <c r="BM158" i="45"/>
  <c r="BJ158" i="45"/>
  <c r="BG158" i="45"/>
  <c r="BA158" i="45"/>
  <c r="AX158" i="45"/>
  <c r="AV158" i="45"/>
  <c r="AS158" i="45"/>
  <c r="AP158" i="45"/>
  <c r="AR158" i="45" s="1"/>
  <c r="AO158" i="45"/>
  <c r="AL158" i="45"/>
  <c r="AF158" i="45"/>
  <c r="AC158" i="45"/>
  <c r="Z158" i="45"/>
  <c r="W158" i="45"/>
  <c r="BS157" i="45"/>
  <c r="BP157" i="45"/>
  <c r="BM157" i="45"/>
  <c r="BJ157" i="45"/>
  <c r="BG157" i="45"/>
  <c r="BA157" i="45"/>
  <c r="AX157" i="45"/>
  <c r="AU157" i="45"/>
  <c r="AR157" i="45"/>
  <c r="AO157" i="45"/>
  <c r="AL157" i="45"/>
  <c r="AF157" i="45"/>
  <c r="AC157" i="45"/>
  <c r="Z157" i="45"/>
  <c r="W157" i="45"/>
  <c r="BS156" i="45"/>
  <c r="BP156" i="45"/>
  <c r="BM156" i="45"/>
  <c r="BJ156" i="45"/>
  <c r="BG156" i="45"/>
  <c r="BA156" i="45"/>
  <c r="AX156" i="45"/>
  <c r="AU156" i="45"/>
  <c r="AR156" i="45"/>
  <c r="AO156" i="45"/>
  <c r="AL156" i="45"/>
  <c r="AF156" i="45"/>
  <c r="AC156" i="45"/>
  <c r="Z156" i="45"/>
  <c r="W156" i="45"/>
  <c r="BS155" i="45"/>
  <c r="BP155" i="45"/>
  <c r="BM155" i="45"/>
  <c r="BJ155" i="45"/>
  <c r="BG155" i="45"/>
  <c r="BA155" i="45"/>
  <c r="AX155" i="45"/>
  <c r="AU155" i="45"/>
  <c r="AR155" i="45"/>
  <c r="AO155" i="45"/>
  <c r="AL155" i="45"/>
  <c r="AF155" i="45"/>
  <c r="AC155" i="45"/>
  <c r="Z155" i="45"/>
  <c r="W155" i="45"/>
  <c r="BS154" i="45"/>
  <c r="BP154" i="45"/>
  <c r="BM154" i="45"/>
  <c r="BJ154" i="45"/>
  <c r="BG154" i="45"/>
  <c r="BA154" i="45"/>
  <c r="AX154" i="45"/>
  <c r="AU154" i="45"/>
  <c r="AR154" i="45"/>
  <c r="AO154" i="45"/>
  <c r="AL154" i="45"/>
  <c r="AF154" i="45"/>
  <c r="AC154" i="45"/>
  <c r="Z154" i="45"/>
  <c r="W154" i="45"/>
  <c r="BS153" i="45"/>
  <c r="BP153" i="45"/>
  <c r="BM153" i="45"/>
  <c r="BJ153" i="45"/>
  <c r="BG153" i="45"/>
  <c r="BA153" i="45"/>
  <c r="AX153" i="45"/>
  <c r="AU153" i="45"/>
  <c r="AR153" i="45"/>
  <c r="AO153" i="45"/>
  <c r="AL153" i="45"/>
  <c r="AF153" i="45"/>
  <c r="AC153" i="45"/>
  <c r="Z153" i="45"/>
  <c r="W153" i="45"/>
  <c r="BS152" i="45"/>
  <c r="BP152" i="45"/>
  <c r="BM152" i="45"/>
  <c r="BJ152" i="45"/>
  <c r="BG152" i="45"/>
  <c r="BA152" i="45"/>
  <c r="AX152" i="45"/>
  <c r="AU152" i="45"/>
  <c r="AR152" i="45"/>
  <c r="AO152" i="45"/>
  <c r="AL152" i="45"/>
  <c r="AF152" i="45"/>
  <c r="AC152" i="45"/>
  <c r="Z152" i="45"/>
  <c r="W152" i="45"/>
  <c r="BS151" i="45"/>
  <c r="BP151" i="45"/>
  <c r="BM151" i="45"/>
  <c r="BJ151" i="45"/>
  <c r="BG151" i="45"/>
  <c r="BA151" i="45"/>
  <c r="AX151" i="45"/>
  <c r="AU151" i="45"/>
  <c r="AR151" i="45"/>
  <c r="AO151" i="45"/>
  <c r="AL151" i="45"/>
  <c r="AF151" i="45"/>
  <c r="AC151" i="45"/>
  <c r="Z151" i="45"/>
  <c r="W151" i="45"/>
  <c r="BS150" i="45"/>
  <c r="BP150" i="45"/>
  <c r="BM150" i="45"/>
  <c r="BJ150" i="45"/>
  <c r="BG150" i="45"/>
  <c r="BA150" i="45"/>
  <c r="AX150" i="45"/>
  <c r="AU150" i="45"/>
  <c r="AR150" i="45"/>
  <c r="AO150" i="45"/>
  <c r="AL150" i="45"/>
  <c r="AF150" i="45"/>
  <c r="AC150" i="45"/>
  <c r="Z150" i="45"/>
  <c r="W150" i="45"/>
  <c r="BS149" i="45"/>
  <c r="BP149" i="45"/>
  <c r="BM149" i="45"/>
  <c r="BJ149" i="45"/>
  <c r="BG149" i="45"/>
  <c r="BA149" i="45"/>
  <c r="AX149" i="45"/>
  <c r="AU149" i="45"/>
  <c r="AR149" i="45"/>
  <c r="AO149" i="45"/>
  <c r="AL149" i="45"/>
  <c r="AF149" i="45"/>
  <c r="AC149" i="45"/>
  <c r="Z149" i="45"/>
  <c r="W149" i="45"/>
  <c r="BS148" i="45"/>
  <c r="BP148" i="45"/>
  <c r="BM148" i="45"/>
  <c r="BJ148" i="45"/>
  <c r="BG148" i="45"/>
  <c r="BA148" i="45"/>
  <c r="AX148" i="45"/>
  <c r="AU148" i="45"/>
  <c r="AR148" i="45"/>
  <c r="AO148" i="45"/>
  <c r="AL148" i="45"/>
  <c r="AF148" i="45"/>
  <c r="AC148" i="45"/>
  <c r="Z148" i="45"/>
  <c r="W148" i="45"/>
  <c r="BS147" i="45"/>
  <c r="BP147" i="45"/>
  <c r="BM147" i="45"/>
  <c r="BJ147" i="45"/>
  <c r="BG147" i="45"/>
  <c r="BA147" i="45"/>
  <c r="AX147" i="45"/>
  <c r="AU147" i="45"/>
  <c r="AR147" i="45"/>
  <c r="AO147" i="45"/>
  <c r="AL147" i="45"/>
  <c r="AF147" i="45"/>
  <c r="AC147" i="45"/>
  <c r="Z147" i="45"/>
  <c r="W147" i="45"/>
  <c r="BS146" i="45"/>
  <c r="BP146" i="45"/>
  <c r="BM146" i="45"/>
  <c r="BJ146" i="45"/>
  <c r="BG146" i="45"/>
  <c r="BA146" i="45"/>
  <c r="AX146" i="45"/>
  <c r="AU146" i="45"/>
  <c r="AR146" i="45"/>
  <c r="AO146" i="45"/>
  <c r="AL146" i="45"/>
  <c r="AF146" i="45"/>
  <c r="AC146" i="45"/>
  <c r="Z146" i="45"/>
  <c r="W146" i="45"/>
  <c r="BS145" i="45"/>
  <c r="BP145" i="45"/>
  <c r="BM145" i="45"/>
  <c r="BJ145" i="45"/>
  <c r="BG145" i="45"/>
  <c r="BA145" i="45"/>
  <c r="AX145" i="45"/>
  <c r="AU145" i="45"/>
  <c r="AR145" i="45"/>
  <c r="AO145" i="45"/>
  <c r="AL145" i="45"/>
  <c r="AF145" i="45"/>
  <c r="AC145" i="45"/>
  <c r="Z145" i="45"/>
  <c r="W145" i="45"/>
  <c r="BS144" i="45"/>
  <c r="BP144" i="45"/>
  <c r="BM144" i="45"/>
  <c r="BJ144" i="45"/>
  <c r="BG144" i="45"/>
  <c r="BA144" i="45"/>
  <c r="AX144" i="45"/>
  <c r="AU144" i="45"/>
  <c r="AR144" i="45"/>
  <c r="AO144" i="45"/>
  <c r="AL144" i="45"/>
  <c r="AF144" i="45"/>
  <c r="AC144" i="45"/>
  <c r="Z144" i="45"/>
  <c r="W144" i="45"/>
  <c r="BS143" i="45"/>
  <c r="BP143" i="45"/>
  <c r="BM143" i="45"/>
  <c r="BJ143" i="45"/>
  <c r="BG143" i="45"/>
  <c r="BA143" i="45"/>
  <c r="AX143" i="45"/>
  <c r="AU143" i="45"/>
  <c r="AR143" i="45"/>
  <c r="AO143" i="45"/>
  <c r="AL143" i="45"/>
  <c r="AF143" i="45"/>
  <c r="AC143" i="45"/>
  <c r="Z143" i="45"/>
  <c r="W143" i="45"/>
  <c r="BS142" i="45"/>
  <c r="BP142" i="45"/>
  <c r="BM142" i="45"/>
  <c r="BJ142" i="45"/>
  <c r="BG142" i="45"/>
  <c r="BA142" i="45"/>
  <c r="AX142" i="45"/>
  <c r="AU142" i="45"/>
  <c r="AR142" i="45"/>
  <c r="AO142" i="45"/>
  <c r="AL142" i="45"/>
  <c r="AF142" i="45"/>
  <c r="AC142" i="45"/>
  <c r="Z142" i="45"/>
  <c r="W142" i="45"/>
  <c r="BS141" i="45"/>
  <c r="BP141" i="45"/>
  <c r="BM141" i="45"/>
  <c r="BJ141" i="45"/>
  <c r="BG141" i="45"/>
  <c r="BA141" i="45"/>
  <c r="AX141" i="45"/>
  <c r="AU141" i="45"/>
  <c r="AR141" i="45"/>
  <c r="AO141" i="45"/>
  <c r="AL141" i="45"/>
  <c r="AF141" i="45"/>
  <c r="AC141" i="45"/>
  <c r="Z141" i="45"/>
  <c r="W141" i="45"/>
  <c r="BS140" i="45"/>
  <c r="BP140" i="45"/>
  <c r="BM140" i="45"/>
  <c r="BJ140" i="45"/>
  <c r="BG140" i="45"/>
  <c r="BA140" i="45"/>
  <c r="AX140" i="45"/>
  <c r="AU140" i="45"/>
  <c r="AR140" i="45"/>
  <c r="AO140" i="45"/>
  <c r="AL140" i="45"/>
  <c r="AF140" i="45"/>
  <c r="AC140" i="45"/>
  <c r="Z140" i="45"/>
  <c r="W140" i="45"/>
  <c r="BS139" i="45"/>
  <c r="BP139" i="45"/>
  <c r="BM139" i="45"/>
  <c r="BJ139" i="45"/>
  <c r="BG139" i="45"/>
  <c r="BA139" i="45"/>
  <c r="AX139" i="45"/>
  <c r="AU139" i="45"/>
  <c r="AR139" i="45"/>
  <c r="AO139" i="45"/>
  <c r="AL139" i="45"/>
  <c r="AF139" i="45"/>
  <c r="AC139" i="45"/>
  <c r="Z139" i="45"/>
  <c r="W139" i="45"/>
  <c r="BS138" i="45"/>
  <c r="BP138" i="45"/>
  <c r="BM138" i="45"/>
  <c r="BJ138" i="45"/>
  <c r="BG138" i="45"/>
  <c r="BA138" i="45"/>
  <c r="AX138" i="45"/>
  <c r="AU138" i="45"/>
  <c r="AR138" i="45"/>
  <c r="AO138" i="45"/>
  <c r="AL138" i="45"/>
  <c r="AF138" i="45"/>
  <c r="AC138" i="45"/>
  <c r="Z138" i="45"/>
  <c r="W138" i="45"/>
  <c r="BS137" i="45"/>
  <c r="BP137" i="45"/>
  <c r="BM137" i="45"/>
  <c r="BJ137" i="45"/>
  <c r="BG137" i="45"/>
  <c r="BA137" i="45"/>
  <c r="AX137" i="45"/>
  <c r="AU137" i="45"/>
  <c r="AR137" i="45"/>
  <c r="AO137" i="45"/>
  <c r="AL137" i="45"/>
  <c r="AF137" i="45"/>
  <c r="AC137" i="45"/>
  <c r="Z137" i="45"/>
  <c r="W137" i="45"/>
  <c r="BS136" i="45"/>
  <c r="BP136" i="45"/>
  <c r="BM136" i="45"/>
  <c r="BJ136" i="45"/>
  <c r="BG136" i="45"/>
  <c r="BA136" i="45"/>
  <c r="AX136" i="45"/>
  <c r="AU136" i="45"/>
  <c r="AR136" i="45"/>
  <c r="AO136" i="45"/>
  <c r="AL136" i="45"/>
  <c r="AF136" i="45"/>
  <c r="AC136" i="45"/>
  <c r="Z136" i="45"/>
  <c r="W136" i="45"/>
  <c r="BS135" i="45"/>
  <c r="BP135" i="45"/>
  <c r="BM135" i="45"/>
  <c r="BJ135" i="45"/>
  <c r="BG135" i="45"/>
  <c r="BA135" i="45"/>
  <c r="AX135" i="45"/>
  <c r="AU135" i="45"/>
  <c r="AR135" i="45"/>
  <c r="AO135" i="45"/>
  <c r="AL135" i="45"/>
  <c r="AF135" i="45"/>
  <c r="AC135" i="45"/>
  <c r="Z135" i="45"/>
  <c r="W135" i="45"/>
  <c r="BS134" i="45"/>
  <c r="BP134" i="45"/>
  <c r="BM134" i="45"/>
  <c r="BJ134" i="45"/>
  <c r="BG134" i="45"/>
  <c r="BA134" i="45"/>
  <c r="AX134" i="45"/>
  <c r="AU134" i="45"/>
  <c r="AR134" i="45"/>
  <c r="AO134" i="45"/>
  <c r="AL134" i="45"/>
  <c r="AF134" i="45"/>
  <c r="AC134" i="45"/>
  <c r="Z134" i="45"/>
  <c r="W134" i="45"/>
  <c r="BS133" i="45"/>
  <c r="BP133" i="45"/>
  <c r="BM133" i="45"/>
  <c r="BJ133" i="45"/>
  <c r="BG133" i="45"/>
  <c r="BA133" i="45"/>
  <c r="AX133" i="45"/>
  <c r="AU133" i="45"/>
  <c r="AR133" i="45"/>
  <c r="AO133" i="45"/>
  <c r="AL133" i="45"/>
  <c r="AF133" i="45"/>
  <c r="AC133" i="45"/>
  <c r="Z133" i="45"/>
  <c r="W133" i="45"/>
  <c r="BS132" i="45"/>
  <c r="BP132" i="45"/>
  <c r="BM132" i="45"/>
  <c r="BJ132" i="45"/>
  <c r="BG132" i="45"/>
  <c r="BA132" i="45"/>
  <c r="AX132" i="45"/>
  <c r="AU132" i="45"/>
  <c r="AR132" i="45"/>
  <c r="AO132" i="45"/>
  <c r="AL132" i="45"/>
  <c r="AF132" i="45"/>
  <c r="AC132" i="45"/>
  <c r="Z132" i="45"/>
  <c r="W132" i="45"/>
  <c r="BS131" i="45"/>
  <c r="BP131" i="45"/>
  <c r="BM131" i="45"/>
  <c r="BJ131" i="45"/>
  <c r="BG131" i="45"/>
  <c r="BA131" i="45"/>
  <c r="AX131" i="45"/>
  <c r="AU131" i="45"/>
  <c r="AR131" i="45"/>
  <c r="AO131" i="45"/>
  <c r="AL131" i="45"/>
  <c r="AF131" i="45"/>
  <c r="AC131" i="45"/>
  <c r="Z131" i="45"/>
  <c r="W131" i="45"/>
  <c r="BS130" i="45"/>
  <c r="BP130" i="45"/>
  <c r="BM130" i="45"/>
  <c r="BJ130" i="45"/>
  <c r="BG130" i="45"/>
  <c r="BA130" i="45"/>
  <c r="AW130" i="45"/>
  <c r="AX130" i="45" s="1"/>
  <c r="AU130" i="45"/>
  <c r="AR130" i="45"/>
  <c r="AO130" i="45"/>
  <c r="AL130" i="45"/>
  <c r="AF130" i="45"/>
  <c r="AC130" i="45"/>
  <c r="Z130" i="45"/>
  <c r="W130" i="45"/>
  <c r="BS129" i="45"/>
  <c r="BP129" i="45"/>
  <c r="BM129" i="45"/>
  <c r="BJ129" i="45"/>
  <c r="BG129" i="45"/>
  <c r="BA129" i="45"/>
  <c r="AX129" i="45"/>
  <c r="AU129" i="45"/>
  <c r="AR129" i="45"/>
  <c r="AO129" i="45"/>
  <c r="AL129" i="45"/>
  <c r="AF129" i="45"/>
  <c r="AC129" i="45"/>
  <c r="Z129" i="45"/>
  <c r="W129" i="45"/>
  <c r="BS128" i="45"/>
  <c r="BP128" i="45"/>
  <c r="BM128" i="45"/>
  <c r="BJ128" i="45"/>
  <c r="BG128" i="45"/>
  <c r="BA128" i="45"/>
  <c r="AX128" i="45"/>
  <c r="AU128" i="45"/>
  <c r="AR128" i="45"/>
  <c r="AO128" i="45"/>
  <c r="AL128" i="45"/>
  <c r="AF128" i="45"/>
  <c r="AC128" i="45"/>
  <c r="Z128" i="45"/>
  <c r="W128" i="45"/>
  <c r="BS127" i="45"/>
  <c r="BP127" i="45"/>
  <c r="BM127" i="45"/>
  <c r="BJ127" i="45"/>
  <c r="BG127" i="45"/>
  <c r="BA127" i="45"/>
  <c r="AX127" i="45"/>
  <c r="AU127" i="45"/>
  <c r="AR127" i="45"/>
  <c r="AO127" i="45"/>
  <c r="AL127" i="45"/>
  <c r="AF127" i="45"/>
  <c r="AC127" i="45"/>
  <c r="Z127" i="45"/>
  <c r="W127" i="45"/>
  <c r="BS126" i="45"/>
  <c r="BP126" i="45"/>
  <c r="BM126" i="45"/>
  <c r="BJ126" i="45"/>
  <c r="BG126" i="45"/>
  <c r="BA126" i="45"/>
  <c r="AX126" i="45"/>
  <c r="AU126" i="45"/>
  <c r="AR126" i="45"/>
  <c r="AO126" i="45"/>
  <c r="AL126" i="45"/>
  <c r="AF126" i="45"/>
  <c r="AC126" i="45"/>
  <c r="Z126" i="45"/>
  <c r="W126" i="45"/>
  <c r="BS125" i="45"/>
  <c r="BP125" i="45"/>
  <c r="BM125" i="45"/>
  <c r="BJ125" i="45"/>
  <c r="BG125" i="45"/>
  <c r="BA125" i="45"/>
  <c r="AX125" i="45"/>
  <c r="AU125" i="45"/>
  <c r="AR125" i="45"/>
  <c r="AO125" i="45"/>
  <c r="AL125" i="45"/>
  <c r="AF125" i="45"/>
  <c r="AC125" i="45"/>
  <c r="Z125" i="45"/>
  <c r="W125" i="45"/>
  <c r="BS124" i="45"/>
  <c r="BP124" i="45"/>
  <c r="BM124" i="45"/>
  <c r="BJ124" i="45"/>
  <c r="BG124" i="45"/>
  <c r="BA124" i="45"/>
  <c r="AX124" i="45"/>
  <c r="AU124" i="45"/>
  <c r="AR124" i="45"/>
  <c r="AO124" i="45"/>
  <c r="AL124" i="45"/>
  <c r="AF124" i="45"/>
  <c r="AC124" i="45"/>
  <c r="Z124" i="45"/>
  <c r="W124" i="45"/>
  <c r="BS123" i="45"/>
  <c r="BP123" i="45"/>
  <c r="BM123" i="45"/>
  <c r="BJ123" i="45"/>
  <c r="BG123" i="45"/>
  <c r="BA123" i="45"/>
  <c r="AX123" i="45"/>
  <c r="AU123" i="45"/>
  <c r="AR123" i="45"/>
  <c r="AO123" i="45"/>
  <c r="AL123" i="45"/>
  <c r="AF123" i="45"/>
  <c r="AC123" i="45"/>
  <c r="Z123" i="45"/>
  <c r="W123" i="45"/>
  <c r="BS122" i="45"/>
  <c r="BP122" i="45"/>
  <c r="BM122" i="45"/>
  <c r="BJ122" i="45"/>
  <c r="BG122" i="45"/>
  <c r="BA122" i="45"/>
  <c r="AX122" i="45"/>
  <c r="AU122" i="45"/>
  <c r="AR122" i="45"/>
  <c r="AO122" i="45"/>
  <c r="AL122" i="45"/>
  <c r="AF122" i="45"/>
  <c r="AC122" i="45"/>
  <c r="Z122" i="45"/>
  <c r="W122" i="45"/>
  <c r="BS121" i="45"/>
  <c r="BP121" i="45"/>
  <c r="BM121" i="45"/>
  <c r="BJ121" i="45"/>
  <c r="BG121" i="45"/>
  <c r="BA121" i="45"/>
  <c r="AX121" i="45"/>
  <c r="AU121" i="45"/>
  <c r="AR121" i="45"/>
  <c r="AO121" i="45"/>
  <c r="AL121" i="45"/>
  <c r="AF121" i="45"/>
  <c r="AC121" i="45"/>
  <c r="Z121" i="45"/>
  <c r="W121" i="45"/>
  <c r="BS120" i="45"/>
  <c r="BP120" i="45"/>
  <c r="BM120" i="45"/>
  <c r="BJ120" i="45"/>
  <c r="BG120" i="45"/>
  <c r="BA120" i="45"/>
  <c r="AX120" i="45"/>
  <c r="AU120" i="45"/>
  <c r="AR120" i="45"/>
  <c r="AO120" i="45"/>
  <c r="AL120" i="45"/>
  <c r="AF120" i="45"/>
  <c r="AC120" i="45"/>
  <c r="Z120" i="45"/>
  <c r="W120" i="45"/>
  <c r="BS119" i="45"/>
  <c r="BP119" i="45"/>
  <c r="BM119" i="45"/>
  <c r="BJ119" i="45"/>
  <c r="BG119" i="45"/>
  <c r="BA119" i="45"/>
  <c r="AX119" i="45"/>
  <c r="AU119" i="45"/>
  <c r="AR119" i="45"/>
  <c r="AO119" i="45"/>
  <c r="AL119" i="45"/>
  <c r="AF119" i="45"/>
  <c r="AC119" i="45"/>
  <c r="Z119" i="45"/>
  <c r="W119" i="45"/>
  <c r="BS118" i="45"/>
  <c r="BP118" i="45"/>
  <c r="BM118" i="45"/>
  <c r="BJ118" i="45"/>
  <c r="BG118" i="45"/>
  <c r="BA118" i="45"/>
  <c r="AX118" i="45"/>
  <c r="AU118" i="45"/>
  <c r="AR118" i="45"/>
  <c r="AO118" i="45"/>
  <c r="AL118" i="45"/>
  <c r="AF118" i="45"/>
  <c r="AC118" i="45"/>
  <c r="Z118" i="45"/>
  <c r="W118" i="45"/>
  <c r="BS117" i="45"/>
  <c r="BP117" i="45"/>
  <c r="BM117" i="45"/>
  <c r="BJ117" i="45"/>
  <c r="BG117" i="45"/>
  <c r="BA117" i="45"/>
  <c r="AX117" i="45"/>
  <c r="AU117" i="45"/>
  <c r="AR117" i="45"/>
  <c r="AO117" i="45"/>
  <c r="AL117" i="45"/>
  <c r="AF117" i="45"/>
  <c r="AC117" i="45"/>
  <c r="Z117" i="45"/>
  <c r="W117" i="45"/>
  <c r="BS116" i="45"/>
  <c r="BP116" i="45"/>
  <c r="BM116" i="45"/>
  <c r="BJ116" i="45"/>
  <c r="BG116" i="45"/>
  <c r="BA116" i="45"/>
  <c r="AX116" i="45"/>
  <c r="AU116" i="45"/>
  <c r="AR116" i="45"/>
  <c r="AO116" i="45"/>
  <c r="AL116" i="45"/>
  <c r="AF116" i="45"/>
  <c r="AC116" i="45"/>
  <c r="Z116" i="45"/>
  <c r="W116" i="45"/>
  <c r="BS115" i="45"/>
  <c r="BP115" i="45"/>
  <c r="BM115" i="45"/>
  <c r="BJ115" i="45"/>
  <c r="BG115" i="45"/>
  <c r="BA115" i="45"/>
  <c r="AX115" i="45"/>
  <c r="AU115" i="45"/>
  <c r="AR115" i="45"/>
  <c r="AO115" i="45"/>
  <c r="AL115" i="45"/>
  <c r="AF115" i="45"/>
  <c r="AC115" i="45"/>
  <c r="Z115" i="45"/>
  <c r="W115" i="45"/>
  <c r="BS114" i="45"/>
  <c r="BP114" i="45"/>
  <c r="BM114" i="45"/>
  <c r="BJ114" i="45"/>
  <c r="BE114" i="45"/>
  <c r="BG114" i="45" s="1"/>
  <c r="AY114" i="45"/>
  <c r="AV114" i="45"/>
  <c r="AX114" i="45" s="1"/>
  <c r="AU114" i="45"/>
  <c r="AR114" i="45"/>
  <c r="AO114" i="45"/>
  <c r="AL114" i="45"/>
  <c r="AF114" i="45"/>
  <c r="AC114" i="45"/>
  <c r="Z114" i="45"/>
  <c r="W114" i="45"/>
  <c r="BS113" i="45"/>
  <c r="BP113" i="45"/>
  <c r="BM113" i="45"/>
  <c r="BJ113" i="45"/>
  <c r="BG113" i="45"/>
  <c r="BA113" i="45"/>
  <c r="AX113" i="45"/>
  <c r="AU113" i="45"/>
  <c r="AR113" i="45"/>
  <c r="AO113" i="45"/>
  <c r="AL113" i="45"/>
  <c r="AF113" i="45"/>
  <c r="AC113" i="45"/>
  <c r="Z113" i="45"/>
  <c r="W113" i="45"/>
  <c r="BS112" i="45"/>
  <c r="BP112" i="45"/>
  <c r="BM112" i="45"/>
  <c r="BJ112" i="45"/>
  <c r="BG112" i="45"/>
  <c r="BA112" i="45"/>
  <c r="AX112" i="45"/>
  <c r="AU112" i="45"/>
  <c r="AR112" i="45"/>
  <c r="AO112" i="45"/>
  <c r="AL112" i="45"/>
  <c r="AF112" i="45"/>
  <c r="AC112" i="45"/>
  <c r="Z112" i="45"/>
  <c r="W112" i="45"/>
  <c r="BS111" i="45"/>
  <c r="BP111" i="45"/>
  <c r="BM111" i="45"/>
  <c r="BJ111" i="45"/>
  <c r="BG111" i="45"/>
  <c r="BA111" i="45"/>
  <c r="AX111" i="45"/>
  <c r="AU111" i="45"/>
  <c r="AR111" i="45"/>
  <c r="AO111" i="45"/>
  <c r="AL111" i="45"/>
  <c r="AF111" i="45"/>
  <c r="AC111" i="45"/>
  <c r="Z111" i="45"/>
  <c r="W111" i="45"/>
  <c r="BS110" i="45"/>
  <c r="BP110" i="45"/>
  <c r="BM110" i="45"/>
  <c r="BJ110" i="45"/>
  <c r="BG110" i="45"/>
  <c r="BA110" i="45"/>
  <c r="AX110" i="45"/>
  <c r="AU110" i="45"/>
  <c r="AR110" i="45"/>
  <c r="AO110" i="45"/>
  <c r="AL110" i="45"/>
  <c r="AF110" i="45"/>
  <c r="AC110" i="45"/>
  <c r="Z110" i="45"/>
  <c r="W110" i="45"/>
  <c r="BS109" i="45"/>
  <c r="BP109" i="45"/>
  <c r="BM109" i="45"/>
  <c r="BJ109" i="45"/>
  <c r="BG109" i="45"/>
  <c r="BA109" i="45"/>
  <c r="AX109" i="45"/>
  <c r="AU109" i="45"/>
  <c r="AR109" i="45"/>
  <c r="AO109" i="45"/>
  <c r="AL109" i="45"/>
  <c r="AF109" i="45"/>
  <c r="AC109" i="45"/>
  <c r="Z109" i="45"/>
  <c r="W109" i="45"/>
  <c r="BS108" i="45"/>
  <c r="BP108" i="45"/>
  <c r="BM108" i="45"/>
  <c r="BJ108" i="45"/>
  <c r="BG108" i="45"/>
  <c r="BA108" i="45"/>
  <c r="AX108" i="45"/>
  <c r="AU108" i="45"/>
  <c r="AR108" i="45"/>
  <c r="AO108" i="45"/>
  <c r="AL108" i="45"/>
  <c r="AF108" i="45"/>
  <c r="AC108" i="45"/>
  <c r="Z108" i="45"/>
  <c r="W108" i="45"/>
  <c r="BS107" i="45"/>
  <c r="BP107" i="45"/>
  <c r="BM107" i="45"/>
  <c r="BJ107" i="45"/>
  <c r="BG107" i="45"/>
  <c r="BA107" i="45"/>
  <c r="AX107" i="45"/>
  <c r="AU107" i="45"/>
  <c r="AR107" i="45"/>
  <c r="AO107" i="45"/>
  <c r="AL107" i="45"/>
  <c r="AF107" i="45"/>
  <c r="AC107" i="45"/>
  <c r="Z107" i="45"/>
  <c r="W107" i="45"/>
  <c r="BS106" i="45"/>
  <c r="BP106" i="45"/>
  <c r="BM106" i="45"/>
  <c r="BJ106" i="45"/>
  <c r="BG106" i="45"/>
  <c r="BA106" i="45"/>
  <c r="AX106" i="45"/>
  <c r="AU106" i="45"/>
  <c r="AR106" i="45"/>
  <c r="AO106" i="45"/>
  <c r="AL106" i="45"/>
  <c r="AF106" i="45"/>
  <c r="AC106" i="45"/>
  <c r="Z106" i="45"/>
  <c r="W106" i="45"/>
  <c r="BS105" i="45"/>
  <c r="BP105" i="45"/>
  <c r="BM105" i="45"/>
  <c r="BJ105" i="45"/>
  <c r="BG105" i="45"/>
  <c r="BA105" i="45"/>
  <c r="AX105" i="45"/>
  <c r="AU105" i="45"/>
  <c r="AR105" i="45"/>
  <c r="AO105" i="45"/>
  <c r="AL105" i="45"/>
  <c r="AF105" i="45"/>
  <c r="AC105" i="45"/>
  <c r="Z105" i="45"/>
  <c r="W105" i="45"/>
  <c r="BS104" i="45"/>
  <c r="BP104" i="45"/>
  <c r="BM104" i="45"/>
  <c r="BJ104" i="45"/>
  <c r="BG104" i="45"/>
  <c r="BA104" i="45"/>
  <c r="AX104" i="45"/>
  <c r="AU104" i="45"/>
  <c r="AR104" i="45"/>
  <c r="AO104" i="45"/>
  <c r="AL104" i="45"/>
  <c r="AF104" i="45"/>
  <c r="AC104" i="45"/>
  <c r="Z104" i="45"/>
  <c r="W104" i="45"/>
  <c r="BS103" i="45"/>
  <c r="BP103" i="45"/>
  <c r="BM103" i="45"/>
  <c r="BJ103" i="45"/>
  <c r="BG103" i="45"/>
  <c r="BA103" i="45"/>
  <c r="AX103" i="45"/>
  <c r="AU103" i="45"/>
  <c r="AR103" i="45"/>
  <c r="AO103" i="45"/>
  <c r="AL103" i="45"/>
  <c r="AF103" i="45"/>
  <c r="AC103" i="45"/>
  <c r="Z103" i="45"/>
  <c r="W103" i="45"/>
  <c r="BS102" i="45"/>
  <c r="BP102" i="45"/>
  <c r="BM102" i="45"/>
  <c r="BJ102" i="45"/>
  <c r="BG102" i="45"/>
  <c r="BA102" i="45"/>
  <c r="AX102" i="45"/>
  <c r="AU102" i="45"/>
  <c r="AR102" i="45"/>
  <c r="AO102" i="45"/>
  <c r="AL102" i="45"/>
  <c r="AF102" i="45"/>
  <c r="AC102" i="45"/>
  <c r="Z102" i="45"/>
  <c r="W102" i="45"/>
  <c r="BS101" i="45"/>
  <c r="BP101" i="45"/>
  <c r="BM101" i="45"/>
  <c r="BJ101" i="45"/>
  <c r="BG101" i="45"/>
  <c r="BA101" i="45"/>
  <c r="AX101" i="45"/>
  <c r="AU101" i="45"/>
  <c r="AR101" i="45"/>
  <c r="AO101" i="45"/>
  <c r="AL101" i="45"/>
  <c r="AF101" i="45"/>
  <c r="AC101" i="45"/>
  <c r="Z101" i="45"/>
  <c r="W101" i="45"/>
  <c r="BS100" i="45"/>
  <c r="BP100" i="45"/>
  <c r="BM100" i="45"/>
  <c r="BJ100" i="45"/>
  <c r="BG100" i="45"/>
  <c r="BA100" i="45"/>
  <c r="AX100" i="45"/>
  <c r="AU100" i="45"/>
  <c r="AR100" i="45"/>
  <c r="AO100" i="45"/>
  <c r="AL100" i="45"/>
  <c r="AF100" i="45"/>
  <c r="AC100" i="45"/>
  <c r="Z100" i="45"/>
  <c r="W100" i="45"/>
  <c r="BS99" i="45"/>
  <c r="BP99" i="45"/>
  <c r="BM99" i="45"/>
  <c r="BJ99" i="45"/>
  <c r="BG99" i="45"/>
  <c r="BA99" i="45"/>
  <c r="AX99" i="45"/>
  <c r="AU99" i="45"/>
  <c r="AR99" i="45"/>
  <c r="AO99" i="45"/>
  <c r="AL99" i="45"/>
  <c r="AF99" i="45"/>
  <c r="AC99" i="45"/>
  <c r="Z99" i="45"/>
  <c r="W99" i="45"/>
  <c r="BS98" i="45"/>
  <c r="BP98" i="45"/>
  <c r="BM98" i="45"/>
  <c r="BJ98" i="45"/>
  <c r="BG98" i="45"/>
  <c r="BA98" i="45"/>
  <c r="AX98" i="45"/>
  <c r="AU98" i="45"/>
  <c r="AR98" i="45"/>
  <c r="AO98" i="45"/>
  <c r="AL98" i="45"/>
  <c r="AF98" i="45"/>
  <c r="AC98" i="45"/>
  <c r="Z98" i="45"/>
  <c r="W98" i="45"/>
  <c r="BS97" i="45"/>
  <c r="BP97" i="45"/>
  <c r="BM97" i="45"/>
  <c r="BJ97" i="45"/>
  <c r="BG97" i="45"/>
  <c r="BA97" i="45"/>
  <c r="AX97" i="45"/>
  <c r="AU97" i="45"/>
  <c r="AR97" i="45"/>
  <c r="AO97" i="45"/>
  <c r="AL97" i="45"/>
  <c r="AF97" i="45"/>
  <c r="AC97" i="45"/>
  <c r="Z97" i="45"/>
  <c r="W97" i="45"/>
  <c r="BS96" i="45"/>
  <c r="BP96" i="45"/>
  <c r="BM96" i="45"/>
  <c r="BJ96" i="45"/>
  <c r="BG96" i="45"/>
  <c r="BA96" i="45"/>
  <c r="AX96" i="45"/>
  <c r="AU96" i="45"/>
  <c r="AR96" i="45"/>
  <c r="AO96" i="45"/>
  <c r="AL96" i="45"/>
  <c r="AF96" i="45"/>
  <c r="AC96" i="45"/>
  <c r="Z96" i="45"/>
  <c r="W96" i="45"/>
  <c r="BS95" i="45"/>
  <c r="BP95" i="45"/>
  <c r="BM95" i="45"/>
  <c r="BJ95" i="45"/>
  <c r="BG95" i="45"/>
  <c r="BA95" i="45"/>
  <c r="AX95" i="45"/>
  <c r="AU95" i="45"/>
  <c r="AR95" i="45"/>
  <c r="AO95" i="45"/>
  <c r="AL95" i="45"/>
  <c r="AF95" i="45"/>
  <c r="AC95" i="45"/>
  <c r="Z95" i="45"/>
  <c r="W95" i="45"/>
  <c r="BS94" i="45"/>
  <c r="BP94" i="45"/>
  <c r="BM94" i="45"/>
  <c r="BJ94" i="45"/>
  <c r="BG94" i="45"/>
  <c r="BA94" i="45"/>
  <c r="AX94" i="45"/>
  <c r="AU94" i="45"/>
  <c r="AR94" i="45"/>
  <c r="AO94" i="45"/>
  <c r="AL94" i="45"/>
  <c r="AF94" i="45"/>
  <c r="AC94" i="45"/>
  <c r="Z94" i="45"/>
  <c r="W94" i="45"/>
  <c r="BS93" i="45"/>
  <c r="BP93" i="45"/>
  <c r="BM93" i="45"/>
  <c r="BJ93" i="45"/>
  <c r="BG93" i="45"/>
  <c r="BA93" i="45"/>
  <c r="AX93" i="45"/>
  <c r="AU93" i="45"/>
  <c r="AR93" i="45"/>
  <c r="AO93" i="45"/>
  <c r="AL93" i="45"/>
  <c r="AF93" i="45"/>
  <c r="AC93" i="45"/>
  <c r="Z93" i="45"/>
  <c r="W93" i="45"/>
  <c r="BS92" i="45"/>
  <c r="BP92" i="45"/>
  <c r="BM92" i="45"/>
  <c r="BJ92" i="45"/>
  <c r="BG92" i="45"/>
  <c r="BA92" i="45"/>
  <c r="AX92" i="45"/>
  <c r="AU92" i="45"/>
  <c r="AR92" i="45"/>
  <c r="AO92" i="45"/>
  <c r="AL92" i="45"/>
  <c r="AF92" i="45"/>
  <c r="AC92" i="45"/>
  <c r="Z92" i="45"/>
  <c r="W92" i="45"/>
  <c r="BS91" i="45"/>
  <c r="BP91" i="45"/>
  <c r="BM91" i="45"/>
  <c r="BJ91" i="45"/>
  <c r="BG91" i="45"/>
  <c r="BA91" i="45"/>
  <c r="AX91" i="45"/>
  <c r="AU91" i="45"/>
  <c r="AR91" i="45"/>
  <c r="AO91" i="45"/>
  <c r="AL91" i="45"/>
  <c r="AF91" i="45"/>
  <c r="AC91" i="45"/>
  <c r="Z91" i="45"/>
  <c r="W91" i="45"/>
  <c r="BS90" i="45"/>
  <c r="BP90" i="45"/>
  <c r="BM90" i="45"/>
  <c r="BJ90" i="45"/>
  <c r="BG90" i="45"/>
  <c r="BA90" i="45"/>
  <c r="AX90" i="45"/>
  <c r="AU90" i="45"/>
  <c r="AR90" i="45"/>
  <c r="AO90" i="45"/>
  <c r="AL90" i="45"/>
  <c r="AF90" i="45"/>
  <c r="AC90" i="45"/>
  <c r="Z90" i="45"/>
  <c r="W90" i="45"/>
  <c r="BS89" i="45"/>
  <c r="BP89" i="45"/>
  <c r="BM89" i="45"/>
  <c r="BJ89" i="45"/>
  <c r="BG89" i="45"/>
  <c r="BA89" i="45"/>
  <c r="AS89" i="45"/>
  <c r="AX89" i="45" s="1"/>
  <c r="AR89" i="45"/>
  <c r="AP89" i="45"/>
  <c r="AO89" i="45"/>
  <c r="AL89" i="45"/>
  <c r="AF89" i="45"/>
  <c r="AC89" i="45"/>
  <c r="Z89" i="45"/>
  <c r="W89" i="45"/>
  <c r="BS88" i="45"/>
  <c r="BO88" i="45"/>
  <c r="BO308" i="45" s="1"/>
  <c r="BM88" i="45"/>
  <c r="BJ88" i="45"/>
  <c r="BG88" i="45"/>
  <c r="BA88" i="45"/>
  <c r="AX88" i="45"/>
  <c r="AU88" i="45"/>
  <c r="AR88" i="45"/>
  <c r="AO88" i="45"/>
  <c r="AL88" i="45"/>
  <c r="AF88" i="45"/>
  <c r="AC88" i="45"/>
  <c r="Z88" i="45"/>
  <c r="W88" i="45"/>
  <c r="BS87" i="45"/>
  <c r="BP87" i="45"/>
  <c r="BM87" i="45"/>
  <c r="BJ87" i="45"/>
  <c r="BG87" i="45"/>
  <c r="BA87" i="45"/>
  <c r="AX87" i="45"/>
  <c r="AU87" i="45"/>
  <c r="AR87" i="45"/>
  <c r="AO87" i="45"/>
  <c r="AL87" i="45"/>
  <c r="AF87" i="45"/>
  <c r="AC87" i="45"/>
  <c r="Z87" i="45"/>
  <c r="W87" i="45"/>
  <c r="BS86" i="45"/>
  <c r="BP86" i="45"/>
  <c r="BM86" i="45"/>
  <c r="BJ86" i="45"/>
  <c r="BG86" i="45"/>
  <c r="BA86" i="45"/>
  <c r="AX86" i="45"/>
  <c r="AU86" i="45"/>
  <c r="AR86" i="45"/>
  <c r="AO86" i="45"/>
  <c r="AL86" i="45"/>
  <c r="AF86" i="45"/>
  <c r="AC86" i="45"/>
  <c r="Z86" i="45"/>
  <c r="W86" i="45"/>
  <c r="BS85" i="45"/>
  <c r="BP85" i="45"/>
  <c r="BM85" i="45"/>
  <c r="BJ85" i="45"/>
  <c r="BG85" i="45"/>
  <c r="BA85" i="45"/>
  <c r="AX85" i="45"/>
  <c r="AU85" i="45"/>
  <c r="AR85" i="45"/>
  <c r="AO85" i="45"/>
  <c r="AL85" i="45"/>
  <c r="AF85" i="45"/>
  <c r="AC85" i="45"/>
  <c r="Z85" i="45"/>
  <c r="Y85" i="45"/>
  <c r="W85" i="45"/>
  <c r="BS84" i="45"/>
  <c r="BP84" i="45"/>
  <c r="BM84" i="45"/>
  <c r="BJ84" i="45"/>
  <c r="BG84" i="45"/>
  <c r="BA84" i="45"/>
  <c r="AX84" i="45"/>
  <c r="AU84" i="45"/>
  <c r="AR84" i="45"/>
  <c r="AO84" i="45"/>
  <c r="AL84" i="45"/>
  <c r="AF84" i="45"/>
  <c r="AC84" i="45"/>
  <c r="Z84" i="45"/>
  <c r="W84" i="45"/>
  <c r="BS83" i="45"/>
  <c r="BP83" i="45"/>
  <c r="BM83" i="45"/>
  <c r="BJ83" i="45"/>
  <c r="BG83" i="45"/>
  <c r="BA83" i="45"/>
  <c r="AX83" i="45"/>
  <c r="AU83" i="45"/>
  <c r="AR83" i="45"/>
  <c r="AO83" i="45"/>
  <c r="AL83" i="45"/>
  <c r="AF83" i="45"/>
  <c r="AC83" i="45"/>
  <c r="Z83" i="45"/>
  <c r="W83" i="45"/>
  <c r="BS82" i="45"/>
  <c r="BP82" i="45"/>
  <c r="BM82" i="45"/>
  <c r="BJ82" i="45"/>
  <c r="BG82" i="45"/>
  <c r="BA82" i="45"/>
  <c r="AX82" i="45"/>
  <c r="AU82" i="45"/>
  <c r="AR82" i="45"/>
  <c r="AO82" i="45"/>
  <c r="AL82" i="45"/>
  <c r="AF82" i="45"/>
  <c r="AC82" i="45"/>
  <c r="Z82" i="45"/>
  <c r="W82" i="45"/>
  <c r="BS81" i="45"/>
  <c r="BP81" i="45"/>
  <c r="BM81" i="45"/>
  <c r="BJ81" i="45"/>
  <c r="BG81" i="45"/>
  <c r="BA81" i="45"/>
  <c r="AX81" i="45"/>
  <c r="AU81" i="45"/>
  <c r="AR81" i="45"/>
  <c r="AO81" i="45"/>
  <c r="AL81" i="45"/>
  <c r="AF81" i="45"/>
  <c r="AC81" i="45"/>
  <c r="Z81" i="45"/>
  <c r="W81" i="45"/>
  <c r="BS80" i="45"/>
  <c r="BP80" i="45"/>
  <c r="BM80" i="45"/>
  <c r="BJ80" i="45"/>
  <c r="BG80" i="45"/>
  <c r="BA80" i="45"/>
  <c r="AX80" i="45"/>
  <c r="AU80" i="45"/>
  <c r="AR80" i="45"/>
  <c r="AO80" i="45"/>
  <c r="AL80" i="45"/>
  <c r="AF80" i="45"/>
  <c r="AC80" i="45"/>
  <c r="Z80" i="45"/>
  <c r="W80" i="45"/>
  <c r="BS79" i="45"/>
  <c r="BP79" i="45"/>
  <c r="BM79" i="45"/>
  <c r="BJ79" i="45"/>
  <c r="BG79" i="45"/>
  <c r="BA79" i="45"/>
  <c r="AX79" i="45"/>
  <c r="AU79" i="45"/>
  <c r="AR79" i="45"/>
  <c r="AO79" i="45"/>
  <c r="AL79" i="45"/>
  <c r="AF79" i="45"/>
  <c r="AC79" i="45"/>
  <c r="Z79" i="45"/>
  <c r="W79" i="45"/>
  <c r="BS78" i="45"/>
  <c r="BP78" i="45"/>
  <c r="BM78" i="45"/>
  <c r="BJ78" i="45"/>
  <c r="BG78" i="45"/>
  <c r="BA78" i="45"/>
  <c r="AX78" i="45"/>
  <c r="AU78" i="45"/>
  <c r="AR78" i="45"/>
  <c r="AO78" i="45"/>
  <c r="AL78" i="45"/>
  <c r="AF78" i="45"/>
  <c r="AC78" i="45"/>
  <c r="Z78" i="45"/>
  <c r="W78" i="45"/>
  <c r="BS77" i="45"/>
  <c r="BP77" i="45"/>
  <c r="BM77" i="45"/>
  <c r="BJ77" i="45"/>
  <c r="BG77" i="45"/>
  <c r="BA77" i="45"/>
  <c r="AX77" i="45"/>
  <c r="AU77" i="45"/>
  <c r="AR77" i="45"/>
  <c r="AO77" i="45"/>
  <c r="AL77" i="45"/>
  <c r="AF77" i="45"/>
  <c r="AC77" i="45"/>
  <c r="Z77" i="45"/>
  <c r="W77" i="45"/>
  <c r="BS76" i="45"/>
  <c r="BP76" i="45"/>
  <c r="BM76" i="45"/>
  <c r="BJ76" i="45"/>
  <c r="BG76" i="45"/>
  <c r="BA76" i="45"/>
  <c r="AX76" i="45"/>
  <c r="AU76" i="45"/>
  <c r="AR76" i="45"/>
  <c r="AO76" i="45"/>
  <c r="AL76" i="45"/>
  <c r="AF76" i="45"/>
  <c r="AC76" i="45"/>
  <c r="Z76" i="45"/>
  <c r="W76" i="45"/>
  <c r="BS75" i="45"/>
  <c r="BP75" i="45"/>
  <c r="BM75" i="45"/>
  <c r="BJ75" i="45"/>
  <c r="BG75" i="45"/>
  <c r="BA75" i="45"/>
  <c r="AX75" i="45"/>
  <c r="AU75" i="45"/>
  <c r="AR75" i="45"/>
  <c r="AO75" i="45"/>
  <c r="AL75" i="45"/>
  <c r="AF75" i="45"/>
  <c r="AC75" i="45"/>
  <c r="Z75" i="45"/>
  <c r="W75" i="45"/>
  <c r="BS74" i="45"/>
  <c r="BP74" i="45"/>
  <c r="BM74" i="45"/>
  <c r="BJ74" i="45"/>
  <c r="BG74" i="45"/>
  <c r="BA74" i="45"/>
  <c r="AX74" i="45"/>
  <c r="AU74" i="45"/>
  <c r="AR74" i="45"/>
  <c r="AO74" i="45"/>
  <c r="AL74" i="45"/>
  <c r="Z74" i="45"/>
  <c r="W74" i="45"/>
  <c r="BS73" i="45"/>
  <c r="BP73" i="45"/>
  <c r="BM73" i="45"/>
  <c r="BJ73" i="45"/>
  <c r="BG73" i="45"/>
  <c r="BA73" i="45"/>
  <c r="AX73" i="45"/>
  <c r="AU73" i="45"/>
  <c r="AR73" i="45"/>
  <c r="AO73" i="45"/>
  <c r="AL73" i="45"/>
  <c r="AF73" i="45"/>
  <c r="AC73" i="45"/>
  <c r="Z73" i="45"/>
  <c r="W73" i="45"/>
  <c r="BS72" i="45"/>
  <c r="BP72" i="45"/>
  <c r="BM72" i="45"/>
  <c r="BJ72" i="45"/>
  <c r="BG72" i="45"/>
  <c r="BA72" i="45"/>
  <c r="AX72" i="45"/>
  <c r="AU72" i="45"/>
  <c r="AR72" i="45"/>
  <c r="AO72" i="45"/>
  <c r="AL72" i="45"/>
  <c r="AF72" i="45"/>
  <c r="AC72" i="45"/>
  <c r="Z72" i="45"/>
  <c r="W72" i="45"/>
  <c r="BS71" i="45"/>
  <c r="BP71" i="45"/>
  <c r="BM71" i="45"/>
  <c r="BJ71" i="45"/>
  <c r="BG71" i="45"/>
  <c r="BA71" i="45"/>
  <c r="AX71" i="45"/>
  <c r="AU71" i="45"/>
  <c r="AR71" i="45"/>
  <c r="AO71" i="45"/>
  <c r="AL71" i="45"/>
  <c r="AF71" i="45"/>
  <c r="AC71" i="45"/>
  <c r="Z71" i="45"/>
  <c r="W71" i="45"/>
  <c r="BS70" i="45"/>
  <c r="BP70" i="45"/>
  <c r="BM70" i="45"/>
  <c r="BJ70" i="45"/>
  <c r="BG70" i="45"/>
  <c r="BA70" i="45"/>
  <c r="AX70" i="45"/>
  <c r="AU70" i="45"/>
  <c r="AR70" i="45"/>
  <c r="AO70" i="45"/>
  <c r="AL70" i="45"/>
  <c r="AF70" i="45"/>
  <c r="AC70" i="45"/>
  <c r="Z70" i="45"/>
  <c r="W70" i="45"/>
  <c r="BS69" i="45"/>
  <c r="BP69" i="45"/>
  <c r="BM69" i="45"/>
  <c r="BJ69" i="45"/>
  <c r="BG69" i="45"/>
  <c r="BA69" i="45"/>
  <c r="AX69" i="45"/>
  <c r="AU69" i="45"/>
  <c r="AR69" i="45"/>
  <c r="AO69" i="45"/>
  <c r="AL69" i="45"/>
  <c r="Z69" i="45"/>
  <c r="W69" i="45"/>
  <c r="BS68" i="45"/>
  <c r="BP68" i="45"/>
  <c r="BM68" i="45"/>
  <c r="BJ68" i="45"/>
  <c r="BG68" i="45"/>
  <c r="BA68" i="45"/>
  <c r="AX68" i="45"/>
  <c r="AU68" i="45"/>
  <c r="AR68" i="45"/>
  <c r="AO68" i="45"/>
  <c r="AL68" i="45"/>
  <c r="AF68" i="45"/>
  <c r="AC68" i="45"/>
  <c r="Z68" i="45"/>
  <c r="W68" i="45"/>
  <c r="BS67" i="45"/>
  <c r="BP67" i="45"/>
  <c r="BM67" i="45"/>
  <c r="BJ67" i="45"/>
  <c r="BG67" i="45"/>
  <c r="BA67" i="45"/>
  <c r="AX67" i="45"/>
  <c r="AU67" i="45"/>
  <c r="AR67" i="45"/>
  <c r="AO67" i="45"/>
  <c r="AL67" i="45"/>
  <c r="W67" i="45"/>
  <c r="BS66" i="45"/>
  <c r="BP66" i="45"/>
  <c r="BM66" i="45"/>
  <c r="BJ66" i="45"/>
  <c r="BG66" i="45"/>
  <c r="BA66" i="45"/>
  <c r="AX66" i="45"/>
  <c r="AU66" i="45"/>
  <c r="AR66" i="45"/>
  <c r="AO66" i="45"/>
  <c r="AL66" i="45"/>
  <c r="AF66" i="45"/>
  <c r="AC66" i="45"/>
  <c r="Z66" i="45"/>
  <c r="W66" i="45"/>
  <c r="BS65" i="45"/>
  <c r="BP65" i="45"/>
  <c r="BM65" i="45"/>
  <c r="BJ65" i="45"/>
  <c r="BG65" i="45"/>
  <c r="BA65" i="45"/>
  <c r="AX65" i="45"/>
  <c r="AU65" i="45"/>
  <c r="AR65" i="45"/>
  <c r="AO65" i="45"/>
  <c r="AL65" i="45"/>
  <c r="AF65" i="45"/>
  <c r="AC65" i="45"/>
  <c r="Z65" i="45"/>
  <c r="W65" i="45"/>
  <c r="BS64" i="45"/>
  <c r="BP64" i="45"/>
  <c r="BM64" i="45"/>
  <c r="BJ64" i="45"/>
  <c r="BG64" i="45"/>
  <c r="BA64" i="45"/>
  <c r="AX64" i="45"/>
  <c r="AU64" i="45"/>
  <c r="AR64" i="45"/>
  <c r="AO64" i="45"/>
  <c r="AL64" i="45"/>
  <c r="AF64" i="45"/>
  <c r="AC64" i="45"/>
  <c r="Z64" i="45"/>
  <c r="W64" i="45"/>
  <c r="BS63" i="45"/>
  <c r="BP63" i="45"/>
  <c r="BM63" i="45"/>
  <c r="BJ63" i="45"/>
  <c r="BG63" i="45"/>
  <c r="BA63" i="45"/>
  <c r="AX63" i="45"/>
  <c r="AU63" i="45"/>
  <c r="AR63" i="45"/>
  <c r="AO63" i="45"/>
  <c r="AL63" i="45"/>
  <c r="AF63" i="45"/>
  <c r="AC63" i="45"/>
  <c r="Z63" i="45"/>
  <c r="W63" i="45"/>
  <c r="BS62" i="45"/>
  <c r="BP62" i="45"/>
  <c r="BM62" i="45"/>
  <c r="BJ62" i="45"/>
  <c r="BG62" i="45"/>
  <c r="BA62" i="45"/>
  <c r="AX62" i="45"/>
  <c r="AU62" i="45"/>
  <c r="AR62" i="45"/>
  <c r="AO62" i="45"/>
  <c r="AL62" i="45"/>
  <c r="AF62" i="45"/>
  <c r="AC62" i="45"/>
  <c r="Z62" i="45"/>
  <c r="W62" i="45"/>
  <c r="BS61" i="45"/>
  <c r="BP61" i="45"/>
  <c r="BM61" i="45"/>
  <c r="BJ61" i="45"/>
  <c r="BG61" i="45"/>
  <c r="BA61" i="45"/>
  <c r="AX61" i="45"/>
  <c r="AU61" i="45"/>
  <c r="AR61" i="45"/>
  <c r="AO61" i="45"/>
  <c r="AL61" i="45"/>
  <c r="AF61" i="45"/>
  <c r="AC61" i="45"/>
  <c r="Z61" i="45"/>
  <c r="W61" i="45"/>
  <c r="BS60" i="45"/>
  <c r="BP60" i="45"/>
  <c r="BM60" i="45"/>
  <c r="BJ60" i="45"/>
  <c r="BG60" i="45"/>
  <c r="BA60" i="45"/>
  <c r="AX60" i="45"/>
  <c r="AU60" i="45"/>
  <c r="AR60" i="45"/>
  <c r="AO60" i="45"/>
  <c r="AL60" i="45"/>
  <c r="AF60" i="45"/>
  <c r="AC60" i="45"/>
  <c r="Z60" i="45"/>
  <c r="W60" i="45"/>
  <c r="BS59" i="45"/>
  <c r="BP59" i="45"/>
  <c r="BM59" i="45"/>
  <c r="BJ59" i="45"/>
  <c r="BG59" i="45"/>
  <c r="BA59" i="45"/>
  <c r="AX59" i="45"/>
  <c r="AU59" i="45"/>
  <c r="AR59" i="45"/>
  <c r="AO59" i="45"/>
  <c r="AL59" i="45"/>
  <c r="BS58" i="45"/>
  <c r="BP58" i="45"/>
  <c r="BM58" i="45"/>
  <c r="BJ58" i="45"/>
  <c r="BG58" i="45"/>
  <c r="BA58" i="45"/>
  <c r="AX58" i="45"/>
  <c r="AU58" i="45"/>
  <c r="AR58" i="45"/>
  <c r="AO58" i="45"/>
  <c r="AL58" i="45"/>
  <c r="AF58" i="45"/>
  <c r="AC58" i="45"/>
  <c r="Z58" i="45"/>
  <c r="W58" i="45"/>
  <c r="BS57" i="45"/>
  <c r="BP57" i="45"/>
  <c r="BM57" i="45"/>
  <c r="BJ57" i="45"/>
  <c r="BG57" i="45"/>
  <c r="BA57" i="45"/>
  <c r="AX57" i="45"/>
  <c r="AU57" i="45"/>
  <c r="AR57" i="45"/>
  <c r="AO57" i="45"/>
  <c r="AL57" i="45"/>
  <c r="AF57" i="45"/>
  <c r="AC57" i="45"/>
  <c r="Z57" i="45"/>
  <c r="W57" i="45"/>
  <c r="BS56" i="45"/>
  <c r="BP56" i="45"/>
  <c r="BM56" i="45"/>
  <c r="BJ56" i="45"/>
  <c r="BG56" i="45"/>
  <c r="BA56" i="45"/>
  <c r="AX56" i="45"/>
  <c r="AU56" i="45"/>
  <c r="AR56" i="45"/>
  <c r="AO56" i="45"/>
  <c r="AL56" i="45"/>
  <c r="AF56" i="45"/>
  <c r="AC56" i="45"/>
  <c r="Z56" i="45"/>
  <c r="W56" i="45"/>
  <c r="BS55" i="45"/>
  <c r="BP55" i="45"/>
  <c r="BM55" i="45"/>
  <c r="BJ55" i="45"/>
  <c r="BG55" i="45"/>
  <c r="BA55" i="45"/>
  <c r="AX55" i="45"/>
  <c r="AU55" i="45"/>
  <c r="AR55" i="45"/>
  <c r="AO55" i="45"/>
  <c r="AL55" i="45"/>
  <c r="AF55" i="45"/>
  <c r="AC55" i="45"/>
  <c r="Z55" i="45"/>
  <c r="W55" i="45"/>
  <c r="BS54" i="45"/>
  <c r="BP54" i="45"/>
  <c r="BM54" i="45"/>
  <c r="BJ54" i="45"/>
  <c r="BG54" i="45"/>
  <c r="BA54" i="45"/>
  <c r="AX54" i="45"/>
  <c r="AU54" i="45"/>
  <c r="AR54" i="45"/>
  <c r="AO54" i="45"/>
  <c r="AL54" i="45"/>
  <c r="AF54" i="45"/>
  <c r="AC54" i="45"/>
  <c r="Z54" i="45"/>
  <c r="W54" i="45"/>
  <c r="BS53" i="45"/>
  <c r="BP53" i="45"/>
  <c r="BM53" i="45"/>
  <c r="BJ53" i="45"/>
  <c r="BG53" i="45"/>
  <c r="BA53" i="45"/>
  <c r="AX53" i="45"/>
  <c r="AU53" i="45"/>
  <c r="AR53" i="45"/>
  <c r="AO53" i="45"/>
  <c r="AL53" i="45"/>
  <c r="AF53" i="45"/>
  <c r="AC53" i="45"/>
  <c r="Z53" i="45"/>
  <c r="W53" i="45"/>
  <c r="BS52" i="45"/>
  <c r="BP52" i="45"/>
  <c r="BM52" i="45"/>
  <c r="BJ52" i="45"/>
  <c r="BG52" i="45"/>
  <c r="BA52" i="45"/>
  <c r="AX52" i="45"/>
  <c r="AU52" i="45"/>
  <c r="AR52" i="45"/>
  <c r="AO52" i="45"/>
  <c r="AL52" i="45"/>
  <c r="AF52" i="45"/>
  <c r="AC52" i="45"/>
  <c r="Z52" i="45"/>
  <c r="W52" i="45"/>
  <c r="BS51" i="45"/>
  <c r="BP51" i="45"/>
  <c r="BM51" i="45"/>
  <c r="BJ51" i="45"/>
  <c r="BG51" i="45"/>
  <c r="BA51" i="45"/>
  <c r="AX51" i="45"/>
  <c r="AU51" i="45"/>
  <c r="AR51" i="45"/>
  <c r="AO51" i="45"/>
  <c r="AL51" i="45"/>
  <c r="AF51" i="45"/>
  <c r="AC51" i="45"/>
  <c r="Z51" i="45"/>
  <c r="W51" i="45"/>
  <c r="BS50" i="45"/>
  <c r="BP50" i="45"/>
  <c r="BM50" i="45"/>
  <c r="BJ50" i="45"/>
  <c r="BG50" i="45"/>
  <c r="BA50" i="45"/>
  <c r="AX50" i="45"/>
  <c r="AU50" i="45"/>
  <c r="AR50" i="45"/>
  <c r="AO50" i="45"/>
  <c r="AL50" i="45"/>
  <c r="AF50" i="45"/>
  <c r="AC50" i="45"/>
  <c r="Z50" i="45"/>
  <c r="W50" i="45"/>
  <c r="BS49" i="45"/>
  <c r="BP49" i="45"/>
  <c r="BM49" i="45"/>
  <c r="BJ49" i="45"/>
  <c r="BG49" i="45"/>
  <c r="BA49" i="45"/>
  <c r="AX49" i="45"/>
  <c r="AU49" i="45"/>
  <c r="AR49" i="45"/>
  <c r="AO49" i="45"/>
  <c r="AL49" i="45"/>
  <c r="AF49" i="45"/>
  <c r="AC49" i="45"/>
  <c r="Z49" i="45"/>
  <c r="W49" i="45"/>
  <c r="BS48" i="45"/>
  <c r="BP48" i="45"/>
  <c r="BM48" i="45"/>
  <c r="BJ48" i="45"/>
  <c r="BG48" i="45"/>
  <c r="BA48" i="45"/>
  <c r="AX48" i="45"/>
  <c r="AU48" i="45"/>
  <c r="AR48" i="45"/>
  <c r="AO48" i="45"/>
  <c r="AL48" i="45"/>
  <c r="AF48" i="45"/>
  <c r="AC48" i="45"/>
  <c r="Z48" i="45"/>
  <c r="W48" i="45"/>
  <c r="BS47" i="45"/>
  <c r="BP47" i="45"/>
  <c r="BM47" i="45"/>
  <c r="BJ47" i="45"/>
  <c r="BG47" i="45"/>
  <c r="BA47" i="45"/>
  <c r="AX47" i="45"/>
  <c r="AU47" i="45"/>
  <c r="AR47" i="45"/>
  <c r="AO47" i="45"/>
  <c r="AL47" i="45"/>
  <c r="AF47" i="45"/>
  <c r="AC47" i="45"/>
  <c r="Z47" i="45"/>
  <c r="W47" i="45"/>
  <c r="BS46" i="45"/>
  <c r="BP46" i="45"/>
  <c r="BM46" i="45"/>
  <c r="BJ46" i="45"/>
  <c r="BG46" i="45"/>
  <c r="BA46" i="45"/>
  <c r="AX46" i="45"/>
  <c r="AU46" i="45"/>
  <c r="AR46" i="45"/>
  <c r="AO46" i="45"/>
  <c r="AL46" i="45"/>
  <c r="AF46" i="45"/>
  <c r="AC46" i="45"/>
  <c r="Z46" i="45"/>
  <c r="W46" i="45"/>
  <c r="BS45" i="45"/>
  <c r="BP45" i="45"/>
  <c r="BM45" i="45"/>
  <c r="BJ45" i="45"/>
  <c r="BG45" i="45"/>
  <c r="BA45" i="45"/>
  <c r="AX45" i="45"/>
  <c r="AU45" i="45"/>
  <c r="AR45" i="45"/>
  <c r="AO45" i="45"/>
  <c r="AL45" i="45"/>
  <c r="AF45" i="45"/>
  <c r="AC45" i="45"/>
  <c r="Z45" i="45"/>
  <c r="W45" i="45"/>
  <c r="BS44" i="45"/>
  <c r="BP44" i="45"/>
  <c r="BM44" i="45"/>
  <c r="BJ44" i="45"/>
  <c r="BG44" i="45"/>
  <c r="BA44" i="45"/>
  <c r="AX44" i="45"/>
  <c r="AU44" i="45"/>
  <c r="AR44" i="45"/>
  <c r="AO44" i="45"/>
  <c r="AL44" i="45"/>
  <c r="AF44" i="45"/>
  <c r="AC44" i="45"/>
  <c r="Z44" i="45"/>
  <c r="W44" i="45"/>
  <c r="BS43" i="45"/>
  <c r="BP43" i="45"/>
  <c r="BM43" i="45"/>
  <c r="BJ43" i="45"/>
  <c r="BG43" i="45"/>
  <c r="BA43" i="45"/>
  <c r="AX43" i="45"/>
  <c r="AU43" i="45"/>
  <c r="AR43" i="45"/>
  <c r="AO43" i="45"/>
  <c r="AL43" i="45"/>
  <c r="AF43" i="45"/>
  <c r="AC43" i="45"/>
  <c r="Z43" i="45"/>
  <c r="W43" i="45"/>
  <c r="BS42" i="45"/>
  <c r="BP42" i="45"/>
  <c r="BM42" i="45"/>
  <c r="BJ42" i="45"/>
  <c r="BG42" i="45"/>
  <c r="BA42" i="45"/>
  <c r="AX42" i="45"/>
  <c r="AU42" i="45"/>
  <c r="AR42" i="45"/>
  <c r="AO42" i="45"/>
  <c r="AL42" i="45"/>
  <c r="AF42" i="45"/>
  <c r="AC42" i="45"/>
  <c r="Z42" i="45"/>
  <c r="W42" i="45"/>
  <c r="BS41" i="45"/>
  <c r="BP41" i="45"/>
  <c r="BM41" i="45"/>
  <c r="BJ41" i="45"/>
  <c r="BG41" i="45"/>
  <c r="BA41" i="45"/>
  <c r="AX41" i="45"/>
  <c r="AU41" i="45"/>
  <c r="AR41" i="45"/>
  <c r="AO41" i="45"/>
  <c r="AL41" i="45"/>
  <c r="AF41" i="45"/>
  <c r="AC41" i="45"/>
  <c r="Z41" i="45"/>
  <c r="W41" i="45"/>
  <c r="BS40" i="45"/>
  <c r="BP40" i="45"/>
  <c r="BM40" i="45"/>
  <c r="BJ40" i="45"/>
  <c r="BG40" i="45"/>
  <c r="BA40" i="45"/>
  <c r="AX40" i="45"/>
  <c r="AU40" i="45"/>
  <c r="AR40" i="45"/>
  <c r="AO40" i="45"/>
  <c r="AL40" i="45"/>
  <c r="AF40" i="45"/>
  <c r="AC40" i="45"/>
  <c r="Z40" i="45"/>
  <c r="W40" i="45"/>
  <c r="BS39" i="45"/>
  <c r="BP39" i="45"/>
  <c r="BM39" i="45"/>
  <c r="BJ39" i="45"/>
  <c r="BG39" i="45"/>
  <c r="BA39" i="45"/>
  <c r="AX39" i="45"/>
  <c r="AU39" i="45"/>
  <c r="AR39" i="45"/>
  <c r="AO39" i="45"/>
  <c r="AL39" i="45"/>
  <c r="AF39" i="45"/>
  <c r="AC39" i="45"/>
  <c r="Z39" i="45"/>
  <c r="W39" i="45"/>
  <c r="BS38" i="45"/>
  <c r="BP38" i="45"/>
  <c r="BM38" i="45"/>
  <c r="BJ38" i="45"/>
  <c r="BG38" i="45"/>
  <c r="BA38" i="45"/>
  <c r="AX38" i="45"/>
  <c r="AU38" i="45"/>
  <c r="AR38" i="45"/>
  <c r="AO38" i="45"/>
  <c r="AL38" i="45"/>
  <c r="AF38" i="45"/>
  <c r="AC38" i="45"/>
  <c r="Z38" i="45"/>
  <c r="W38" i="45"/>
  <c r="BS37" i="45"/>
  <c r="BP37" i="45"/>
  <c r="BM37" i="45"/>
  <c r="BJ37" i="45"/>
  <c r="BG37" i="45"/>
  <c r="BA37" i="45"/>
  <c r="AX37" i="45"/>
  <c r="AU37" i="45"/>
  <c r="AR37" i="45"/>
  <c r="AO37" i="45"/>
  <c r="AL37" i="45"/>
  <c r="AF37" i="45"/>
  <c r="AC37" i="45"/>
  <c r="Z37" i="45"/>
  <c r="W37" i="45"/>
  <c r="BS36" i="45"/>
  <c r="BP36" i="45"/>
  <c r="BO36" i="45"/>
  <c r="BM36" i="45"/>
  <c r="BJ36" i="45"/>
  <c r="BG36" i="45"/>
  <c r="BA36" i="45"/>
  <c r="AX36" i="45"/>
  <c r="AU36" i="45"/>
  <c r="AR36" i="45"/>
  <c r="AO36" i="45"/>
  <c r="AL36" i="45"/>
  <c r="AF36" i="45"/>
  <c r="AC36" i="45"/>
  <c r="Z36" i="45"/>
  <c r="W36" i="45"/>
  <c r="BS35" i="45"/>
  <c r="BP35" i="45"/>
  <c r="BM35" i="45"/>
  <c r="BJ35" i="45"/>
  <c r="BG35" i="45"/>
  <c r="BA35" i="45"/>
  <c r="AX35" i="45"/>
  <c r="AU35" i="45"/>
  <c r="AR35" i="45"/>
  <c r="AO35" i="45"/>
  <c r="AL35" i="45"/>
  <c r="AF35" i="45"/>
  <c r="AC35" i="45"/>
  <c r="Z35" i="45"/>
  <c r="W35" i="45"/>
  <c r="BS34" i="45"/>
  <c r="BP34" i="45"/>
  <c r="BM34" i="45"/>
  <c r="BJ34" i="45"/>
  <c r="BG34" i="45"/>
  <c r="BA34" i="45"/>
  <c r="AX34" i="45"/>
  <c r="AU34" i="45"/>
  <c r="AR34" i="45"/>
  <c r="AO34" i="45"/>
  <c r="AL34" i="45"/>
  <c r="AF34" i="45"/>
  <c r="AC34" i="45"/>
  <c r="Z34" i="45"/>
  <c r="W34" i="45"/>
  <c r="BS33" i="45"/>
  <c r="BP33" i="45"/>
  <c r="BM33" i="45"/>
  <c r="BJ33" i="45"/>
  <c r="BG33" i="45"/>
  <c r="BA33" i="45"/>
  <c r="AX33" i="45"/>
  <c r="AU33" i="45"/>
  <c r="AR33" i="45"/>
  <c r="AO33" i="45"/>
  <c r="AL33" i="45"/>
  <c r="AF33" i="45"/>
  <c r="AC33" i="45"/>
  <c r="Z33" i="45"/>
  <c r="W33" i="45"/>
  <c r="BS32" i="45"/>
  <c r="BP32" i="45"/>
  <c r="BM32" i="45"/>
  <c r="BJ32" i="45"/>
  <c r="BG32" i="45"/>
  <c r="BA32" i="45"/>
  <c r="AX32" i="45"/>
  <c r="AU32" i="45"/>
  <c r="AR32" i="45"/>
  <c r="AO32" i="45"/>
  <c r="AL32" i="45"/>
  <c r="AF32" i="45"/>
  <c r="AC32" i="45"/>
  <c r="Z32" i="45"/>
  <c r="W32" i="45"/>
  <c r="BS31" i="45"/>
  <c r="BP31" i="45"/>
  <c r="BM31" i="45"/>
  <c r="BJ31" i="45"/>
  <c r="BG31" i="45"/>
  <c r="BA31" i="45"/>
  <c r="AX31" i="45"/>
  <c r="AU31" i="45"/>
  <c r="AR31" i="45"/>
  <c r="AO31" i="45"/>
  <c r="AL31" i="45"/>
  <c r="AF31" i="45"/>
  <c r="AC31" i="45"/>
  <c r="Z31" i="45"/>
  <c r="W31" i="45"/>
  <c r="BS30" i="45"/>
  <c r="BP30" i="45"/>
  <c r="BM30" i="45"/>
  <c r="BJ30" i="45"/>
  <c r="BG30" i="45"/>
  <c r="BA30" i="45"/>
  <c r="AX30" i="45"/>
  <c r="AU30" i="45"/>
  <c r="AR30" i="45"/>
  <c r="AO30" i="45"/>
  <c r="AL30" i="45"/>
  <c r="AF30" i="45"/>
  <c r="AC30" i="45"/>
  <c r="Z30" i="45"/>
  <c r="W30" i="45"/>
  <c r="BS29" i="45"/>
  <c r="BP29" i="45"/>
  <c r="BM29" i="45"/>
  <c r="BJ29" i="45"/>
  <c r="BG29" i="45"/>
  <c r="BA29" i="45"/>
  <c r="AX29" i="45"/>
  <c r="AU29" i="45"/>
  <c r="AR29" i="45"/>
  <c r="AO29" i="45"/>
  <c r="AL29" i="45"/>
  <c r="AF29" i="45"/>
  <c r="AC29" i="45"/>
  <c r="Z29" i="45"/>
  <c r="W29" i="45"/>
  <c r="BS28" i="45"/>
  <c r="BP28" i="45"/>
  <c r="BM28" i="45"/>
  <c r="BJ28" i="45"/>
  <c r="BG28" i="45"/>
  <c r="BA28" i="45"/>
  <c r="AX28" i="45"/>
  <c r="AU28" i="45"/>
  <c r="AR28" i="45"/>
  <c r="AO28" i="45"/>
  <c r="AL28" i="45"/>
  <c r="AF28" i="45"/>
  <c r="AC28" i="45"/>
  <c r="Z28" i="45"/>
  <c r="W28" i="45"/>
  <c r="BS27" i="45"/>
  <c r="BP27" i="45"/>
  <c r="BM27" i="45"/>
  <c r="BJ27" i="45"/>
  <c r="BG27" i="45"/>
  <c r="BA27" i="45"/>
  <c r="AX27" i="45"/>
  <c r="AU27" i="45"/>
  <c r="AR27" i="45"/>
  <c r="AO27" i="45"/>
  <c r="AL27" i="45"/>
  <c r="AF27" i="45"/>
  <c r="AC27" i="45"/>
  <c r="Z27" i="45"/>
  <c r="W27" i="45"/>
  <c r="BS26" i="45"/>
  <c r="BP26" i="45"/>
  <c r="BM26" i="45"/>
  <c r="BJ26" i="45"/>
  <c r="BG26" i="45"/>
  <c r="BA26" i="45"/>
  <c r="AX26" i="45"/>
  <c r="AU26" i="45"/>
  <c r="AR26" i="45"/>
  <c r="AO26" i="45"/>
  <c r="AL26" i="45"/>
  <c r="AF26" i="45"/>
  <c r="AC26" i="45"/>
  <c r="Z26" i="45"/>
  <c r="W26" i="45"/>
  <c r="BS25" i="45"/>
  <c r="BP25" i="45"/>
  <c r="BM25" i="45"/>
  <c r="BJ25" i="45"/>
  <c r="BG25" i="45"/>
  <c r="BA25" i="45"/>
  <c r="AX25" i="45"/>
  <c r="AU25" i="45"/>
  <c r="AR25" i="45"/>
  <c r="AO25" i="45"/>
  <c r="AL25" i="45"/>
  <c r="AF25" i="45"/>
  <c r="AC25" i="45"/>
  <c r="Z25" i="45"/>
  <c r="W25" i="45"/>
  <c r="BS24" i="45"/>
  <c r="BP24" i="45"/>
  <c r="BM24" i="45"/>
  <c r="BJ24" i="45"/>
  <c r="BG24" i="45"/>
  <c r="BA24" i="45"/>
  <c r="AX24" i="45"/>
  <c r="AU24" i="45"/>
  <c r="AR24" i="45"/>
  <c r="AO24" i="45"/>
  <c r="AL24" i="45"/>
  <c r="AF24" i="45"/>
  <c r="AC24" i="45"/>
  <c r="Z24" i="45"/>
  <c r="W24" i="45"/>
  <c r="BS23" i="45"/>
  <c r="BP23" i="45"/>
  <c r="BM23" i="45"/>
  <c r="BJ23" i="45"/>
  <c r="BG23" i="45"/>
  <c r="BA23" i="45"/>
  <c r="AX23" i="45"/>
  <c r="AU23" i="45"/>
  <c r="AR23" i="45"/>
  <c r="AO23" i="45"/>
  <c r="AL23" i="45"/>
  <c r="AF23" i="45"/>
  <c r="AC23" i="45"/>
  <c r="Z23" i="45"/>
  <c r="W23" i="45"/>
  <c r="BS22" i="45"/>
  <c r="BP22" i="45"/>
  <c r="BM22" i="45"/>
  <c r="BJ22" i="45"/>
  <c r="BG22" i="45"/>
  <c r="BA22" i="45"/>
  <c r="AX22" i="45"/>
  <c r="AU22" i="45"/>
  <c r="AR22" i="45"/>
  <c r="AO22" i="45"/>
  <c r="AL22" i="45"/>
  <c r="AF22" i="45"/>
  <c r="AC22" i="45"/>
  <c r="Z22" i="45"/>
  <c r="W22" i="45"/>
  <c r="BS21" i="45"/>
  <c r="BP21" i="45"/>
  <c r="BM21" i="45"/>
  <c r="BJ21" i="45"/>
  <c r="BG21" i="45"/>
  <c r="BA21" i="45"/>
  <c r="AX21" i="45"/>
  <c r="AU21" i="45"/>
  <c r="AR21" i="45"/>
  <c r="AO21" i="45"/>
  <c r="AL21" i="45"/>
  <c r="AF21" i="45"/>
  <c r="AC21" i="45"/>
  <c r="Z21" i="45"/>
  <c r="W21" i="45"/>
  <c r="BS20" i="45"/>
  <c r="BP20" i="45"/>
  <c r="BM20" i="45"/>
  <c r="BJ20" i="45"/>
  <c r="BG20" i="45"/>
  <c r="BA20" i="45"/>
  <c r="AX20" i="45"/>
  <c r="AU20" i="45"/>
  <c r="AR20" i="45"/>
  <c r="AO20" i="45"/>
  <c r="AL20" i="45"/>
  <c r="AF20" i="45"/>
  <c r="AC20" i="45"/>
  <c r="Z20" i="45"/>
  <c r="W20" i="45"/>
  <c r="BS19" i="45"/>
  <c r="BP19" i="45"/>
  <c r="BM19" i="45"/>
  <c r="BJ19" i="45"/>
  <c r="BG19" i="45"/>
  <c r="BA19" i="45"/>
  <c r="AX19" i="45"/>
  <c r="AU19" i="45"/>
  <c r="AR19" i="45"/>
  <c r="AO19" i="45"/>
  <c r="AL19" i="45"/>
  <c r="AF19" i="45"/>
  <c r="AC19" i="45"/>
  <c r="Z19" i="45"/>
  <c r="W19" i="45"/>
  <c r="BS18" i="45"/>
  <c r="BP18" i="45"/>
  <c r="BM18" i="45"/>
  <c r="BJ18" i="45"/>
  <c r="BG18" i="45"/>
  <c r="BA18" i="45"/>
  <c r="AX18" i="45"/>
  <c r="AU18" i="45"/>
  <c r="AR18" i="45"/>
  <c r="AO18" i="45"/>
  <c r="AL18" i="45"/>
  <c r="AF18" i="45"/>
  <c r="AC18" i="45"/>
  <c r="Z18" i="45"/>
  <c r="W18" i="45"/>
  <c r="BS17" i="45"/>
  <c r="BP17" i="45"/>
  <c r="BM17" i="45"/>
  <c r="BJ17" i="45"/>
  <c r="BG17" i="45"/>
  <c r="BA17" i="45"/>
  <c r="AX17" i="45"/>
  <c r="AU17" i="45"/>
  <c r="AR17" i="45"/>
  <c r="AO17" i="45"/>
  <c r="AL17" i="45"/>
  <c r="AF17" i="45"/>
  <c r="AC17" i="45"/>
  <c r="Z17" i="45"/>
  <c r="W17" i="45"/>
  <c r="BS16" i="45"/>
  <c r="BP16" i="45"/>
  <c r="BM16" i="45"/>
  <c r="BJ16" i="45"/>
  <c r="BG16" i="45"/>
  <c r="BA16" i="45"/>
  <c r="AX16" i="45"/>
  <c r="AU16" i="45"/>
  <c r="AR16" i="45"/>
  <c r="AO16" i="45"/>
  <c r="AL16" i="45"/>
  <c r="AF16" i="45"/>
  <c r="AC16" i="45"/>
  <c r="Z16" i="45"/>
  <c r="W16" i="45"/>
  <c r="BS15" i="45"/>
  <c r="BP15" i="45"/>
  <c r="BM15" i="45"/>
  <c r="BJ15" i="45"/>
  <c r="BG15" i="45"/>
  <c r="BA15" i="45"/>
  <c r="AX15" i="45"/>
  <c r="AU15" i="45"/>
  <c r="AR15" i="45"/>
  <c r="AO15" i="45"/>
  <c r="AL15" i="45"/>
  <c r="AF15" i="45"/>
  <c r="AC15" i="45"/>
  <c r="Z15" i="45"/>
  <c r="W15" i="45"/>
  <c r="BS14" i="45"/>
  <c r="BP14" i="45"/>
  <c r="BM14" i="45"/>
  <c r="BJ14" i="45"/>
  <c r="BG14" i="45"/>
  <c r="BA14" i="45"/>
  <c r="AX14" i="45"/>
  <c r="AU14" i="45"/>
  <c r="AR14" i="45"/>
  <c r="AO14" i="45"/>
  <c r="AL14" i="45"/>
  <c r="AF14" i="45"/>
  <c r="AC14" i="45"/>
  <c r="Z14" i="45"/>
  <c r="W14" i="45"/>
  <c r="BS13" i="45"/>
  <c r="BP13" i="45"/>
  <c r="BM13" i="45"/>
  <c r="BJ13" i="45"/>
  <c r="BG13" i="45"/>
  <c r="BA13" i="45"/>
  <c r="AX13" i="45"/>
  <c r="AU13" i="45"/>
  <c r="AR13" i="45"/>
  <c r="AO13" i="45"/>
  <c r="AL13" i="45"/>
  <c r="AF13" i="45"/>
  <c r="AC13" i="45"/>
  <c r="Z13" i="45"/>
  <c r="W13" i="45"/>
  <c r="BS12" i="45"/>
  <c r="BP12" i="45"/>
  <c r="BM12" i="45"/>
  <c r="BJ12" i="45"/>
  <c r="BG12" i="45"/>
  <c r="BA12" i="45"/>
  <c r="AX12" i="45"/>
  <c r="AU12" i="45"/>
  <c r="AR12" i="45"/>
  <c r="AO12" i="45"/>
  <c r="AL12" i="45"/>
  <c r="AF12" i="45"/>
  <c r="AC12" i="45"/>
  <c r="Z12" i="45"/>
  <c r="W12" i="45"/>
  <c r="BS11" i="45"/>
  <c r="BP11" i="45"/>
  <c r="BM11" i="45"/>
  <c r="BJ11" i="45"/>
  <c r="BG11" i="45"/>
  <c r="BA11" i="45"/>
  <c r="AX11" i="45"/>
  <c r="AU11" i="45"/>
  <c r="AR11" i="45"/>
  <c r="AO11" i="45"/>
  <c r="AL11" i="45"/>
  <c r="AF11" i="45"/>
  <c r="AC11" i="45"/>
  <c r="Z11" i="45"/>
  <c r="W11" i="45"/>
  <c r="BS10" i="45"/>
  <c r="BP10" i="45"/>
  <c r="BM10" i="45"/>
  <c r="BI10" i="45"/>
  <c r="BE10" i="45"/>
  <c r="AY10" i="45"/>
  <c r="AV10" i="45"/>
  <c r="AX10" i="45" s="1"/>
  <c r="AS10" i="45"/>
  <c r="AU10" i="45" s="1"/>
  <c r="AR10" i="45"/>
  <c r="AO10" i="45"/>
  <c r="AL10" i="45"/>
  <c r="AF10" i="45"/>
  <c r="AC10" i="45"/>
  <c r="Z10" i="45"/>
  <c r="W10" i="45"/>
  <c r="BS9" i="45"/>
  <c r="BP9" i="45"/>
  <c r="BM9" i="45"/>
  <c r="BJ9" i="45"/>
  <c r="BG9" i="45"/>
  <c r="BA9" i="45"/>
  <c r="AX9" i="45"/>
  <c r="AU9" i="45"/>
  <c r="AR9" i="45"/>
  <c r="AO9" i="45"/>
  <c r="AL9" i="45"/>
  <c r="AF9" i="45"/>
  <c r="AC9" i="45"/>
  <c r="Z9" i="45"/>
  <c r="W9" i="45"/>
  <c r="BS8" i="45"/>
  <c r="BP8" i="45"/>
  <c r="BM8" i="45"/>
  <c r="BJ8" i="45"/>
  <c r="BG8" i="45"/>
  <c r="BA8" i="45"/>
  <c r="AX8" i="45"/>
  <c r="AU8" i="45"/>
  <c r="AR8" i="45"/>
  <c r="AO8" i="45"/>
  <c r="AL8" i="45"/>
  <c r="AF8" i="45"/>
  <c r="AC8" i="45"/>
  <c r="Z8" i="45"/>
  <c r="W8" i="45"/>
  <c r="BS7" i="45"/>
  <c r="BP7" i="45"/>
  <c r="BM7" i="45"/>
  <c r="BJ7" i="45"/>
  <c r="BG7" i="45"/>
  <c r="BA7" i="45"/>
  <c r="AX7" i="45"/>
  <c r="AU7" i="45"/>
  <c r="AR7" i="45"/>
  <c r="AO7" i="45"/>
  <c r="AL7" i="45"/>
  <c r="AF7" i="45"/>
  <c r="AC7" i="45"/>
  <c r="Z7" i="45"/>
  <c r="W7" i="45"/>
  <c r="BS6" i="45"/>
  <c r="BP6" i="45"/>
  <c r="BM6" i="45"/>
  <c r="BJ6" i="45"/>
  <c r="BG6" i="45"/>
  <c r="BA6" i="45"/>
  <c r="AW6" i="45"/>
  <c r="AW308" i="45" s="1"/>
  <c r="AS6" i="45"/>
  <c r="AX6" i="45" s="1"/>
  <c r="AP6" i="45"/>
  <c r="AM6" i="45"/>
  <c r="AO6" i="45" s="1"/>
  <c r="AL6" i="45"/>
  <c r="AF6" i="45"/>
  <c r="AC6" i="45"/>
  <c r="Z6" i="45"/>
  <c r="W6" i="45"/>
  <c r="BS5" i="45"/>
  <c r="BP5" i="45"/>
  <c r="BM5" i="45"/>
  <c r="BJ5" i="45"/>
  <c r="BG5" i="45"/>
  <c r="BA5" i="45"/>
  <c r="AX5" i="45"/>
  <c r="AU5" i="45"/>
  <c r="AR5" i="45"/>
  <c r="AO5" i="45"/>
  <c r="AL5" i="45"/>
  <c r="AF5" i="45"/>
  <c r="AC5" i="45"/>
  <c r="W5" i="45"/>
  <c r="N839" i="44"/>
  <c r="M839" i="44"/>
  <c r="I839" i="44"/>
  <c r="H838" i="44"/>
  <c r="T833" i="44"/>
  <c r="O252" i="35" s="1"/>
  <c r="O414" i="35" s="1"/>
  <c r="L833" i="44"/>
  <c r="L252" i="35" s="1"/>
  <c r="L414" i="35" s="1"/>
  <c r="K833" i="44"/>
  <c r="K252" i="35" s="1"/>
  <c r="K414" i="35" s="1"/>
  <c r="G833" i="44"/>
  <c r="G252" i="35" s="1"/>
  <c r="T832" i="44"/>
  <c r="O832" i="44"/>
  <c r="M251" i="35" s="1"/>
  <c r="M413" i="35" s="1"/>
  <c r="L832" i="44"/>
  <c r="L251" i="35" s="1"/>
  <c r="L413" i="35" s="1"/>
  <c r="K832" i="44"/>
  <c r="K251" i="35" s="1"/>
  <c r="K413" i="35" s="1"/>
  <c r="G832" i="44"/>
  <c r="G251" i="35" s="1"/>
  <c r="G413" i="35" s="1"/>
  <c r="T831" i="44"/>
  <c r="O253" i="35" s="1"/>
  <c r="L831" i="44"/>
  <c r="K831" i="44"/>
  <c r="K253" i="35" s="1"/>
  <c r="K410" i="35" s="1"/>
  <c r="H831" i="44"/>
  <c r="H253" i="35" s="1"/>
  <c r="H410" i="35" s="1"/>
  <c r="G831" i="44"/>
  <c r="G253" i="35" s="1"/>
  <c r="G410" i="35" s="1"/>
  <c r="U830" i="44"/>
  <c r="T830" i="44"/>
  <c r="L830" i="44"/>
  <c r="L237" i="35" s="1"/>
  <c r="L416" i="35" s="1"/>
  <c r="K830" i="44"/>
  <c r="K237" i="35" s="1"/>
  <c r="K416" i="35" s="1"/>
  <c r="H830" i="44"/>
  <c r="H237" i="35" s="1"/>
  <c r="H416" i="35" s="1"/>
  <c r="G830" i="44"/>
  <c r="G237" i="35" s="1"/>
  <c r="G416" i="35" s="1"/>
  <c r="U829" i="44"/>
  <c r="T829" i="44"/>
  <c r="O236" i="35" s="1"/>
  <c r="O419" i="35" s="1"/>
  <c r="O829" i="44"/>
  <c r="M236" i="35" s="1"/>
  <c r="M419" i="35" s="1"/>
  <c r="U828" i="44"/>
  <c r="P233" i="35" s="1"/>
  <c r="P395" i="35" s="1"/>
  <c r="T828" i="44"/>
  <c r="O233" i="35" s="1"/>
  <c r="L828" i="44"/>
  <c r="K828" i="44"/>
  <c r="H828" i="44"/>
  <c r="H233" i="35" s="1"/>
  <c r="U827" i="44"/>
  <c r="T827" i="44"/>
  <c r="O234" i="35" s="1"/>
  <c r="L827" i="44"/>
  <c r="L234" i="35" s="1"/>
  <c r="K827" i="44"/>
  <c r="H827" i="44"/>
  <c r="H234" i="35" s="1"/>
  <c r="G827" i="44"/>
  <c r="G234" i="35" s="1"/>
  <c r="T826" i="44"/>
  <c r="O244" i="35" s="1"/>
  <c r="H826" i="44"/>
  <c r="H244" i="35" s="1"/>
  <c r="T825" i="44"/>
  <c r="O250" i="35" s="1"/>
  <c r="T824" i="44"/>
  <c r="O249" i="35" s="1"/>
  <c r="T822" i="44"/>
  <c r="O247" i="35" s="1"/>
  <c r="L822" i="44"/>
  <c r="L247" i="35" s="1"/>
  <c r="L407" i="35" s="1"/>
  <c r="K822" i="44"/>
  <c r="K247" i="35" s="1"/>
  <c r="K407" i="35" s="1"/>
  <c r="G822" i="44"/>
  <c r="G247" i="35" s="1"/>
  <c r="G407" i="35" s="1"/>
  <c r="T821" i="44"/>
  <c r="O246" i="35" s="1"/>
  <c r="O406" i="35" s="1"/>
  <c r="L821" i="44"/>
  <c r="L246" i="35" s="1"/>
  <c r="L406" i="35" s="1"/>
  <c r="K821" i="44"/>
  <c r="K246" i="35" s="1"/>
  <c r="K406" i="35" s="1"/>
  <c r="G821" i="44"/>
  <c r="G246" i="35" s="1"/>
  <c r="G406" i="35" s="1"/>
  <c r="T820" i="44"/>
  <c r="O245" i="35" s="1"/>
  <c r="O405" i="35" s="1"/>
  <c r="T819" i="44"/>
  <c r="H819" i="44"/>
  <c r="H235" i="35" s="1"/>
  <c r="H397" i="35" s="1"/>
  <c r="T818" i="44"/>
  <c r="H818" i="44"/>
  <c r="H243" i="35" s="1"/>
  <c r="H817" i="44"/>
  <c r="H242" i="35" s="1"/>
  <c r="H393" i="35" s="1"/>
  <c r="T816" i="44"/>
  <c r="O241" i="35" s="1"/>
  <c r="L816" i="44"/>
  <c r="L241" i="35" s="1"/>
  <c r="L392" i="35" s="1"/>
  <c r="K816" i="44"/>
  <c r="K241" i="35" s="1"/>
  <c r="K392" i="35" s="1"/>
  <c r="G816" i="44"/>
  <c r="G241" i="35" s="1"/>
  <c r="G392" i="35" s="1"/>
  <c r="H815" i="44"/>
  <c r="H240" i="35" s="1"/>
  <c r="T814" i="44"/>
  <c r="O239" i="35" s="1"/>
  <c r="O814" i="44"/>
  <c r="M239" i="35" s="1"/>
  <c r="L814" i="44"/>
  <c r="K814" i="44"/>
  <c r="K239" i="35" s="1"/>
  <c r="G814" i="44"/>
  <c r="G239" i="35" s="1"/>
  <c r="U813" i="44"/>
  <c r="P238" i="35" s="1"/>
  <c r="T813" i="44"/>
  <c r="O238" i="35" s="1"/>
  <c r="U808" i="44"/>
  <c r="T808" i="44"/>
  <c r="U806" i="44"/>
  <c r="T806" i="44"/>
  <c r="H805" i="44"/>
  <c r="H225" i="35" s="1"/>
  <c r="H378" i="35" s="1"/>
  <c r="T804" i="44"/>
  <c r="O224" i="35" s="1"/>
  <c r="G804" i="44"/>
  <c r="G224" i="35" s="1"/>
  <c r="H803" i="44"/>
  <c r="H223" i="35" s="1"/>
  <c r="L800" i="44"/>
  <c r="L222" i="35" s="1"/>
  <c r="L369" i="35" s="1"/>
  <c r="K800" i="44"/>
  <c r="K222" i="35" s="1"/>
  <c r="K369" i="35" s="1"/>
  <c r="G800" i="44"/>
  <c r="U799" i="44"/>
  <c r="T799" i="44"/>
  <c r="O221" i="35" s="1"/>
  <c r="L799" i="44"/>
  <c r="L221" i="35" s="1"/>
  <c r="K799" i="44"/>
  <c r="K221" i="35" s="1"/>
  <c r="T798" i="44"/>
  <c r="L798" i="44"/>
  <c r="L220" i="35" s="1"/>
  <c r="L363" i="35" s="1"/>
  <c r="K798" i="44"/>
  <c r="K220" i="35" s="1"/>
  <c r="K363" i="35" s="1"/>
  <c r="G798" i="44"/>
  <c r="T797" i="44"/>
  <c r="O219" i="35" s="1"/>
  <c r="H795" i="44"/>
  <c r="H217" i="35" s="1"/>
  <c r="H361" i="35" s="1"/>
  <c r="T794" i="44"/>
  <c r="O216" i="35" s="1"/>
  <c r="O360" i="35" s="1"/>
  <c r="O794" i="44"/>
  <c r="M216" i="35" s="1"/>
  <c r="M360" i="35" s="1"/>
  <c r="L794" i="44"/>
  <c r="L216" i="35" s="1"/>
  <c r="L360" i="35" s="1"/>
  <c r="K794" i="44"/>
  <c r="K216" i="35" s="1"/>
  <c r="K360" i="35" s="1"/>
  <c r="G794" i="44"/>
  <c r="G216" i="35" s="1"/>
  <c r="G360" i="35" s="1"/>
  <c r="H793" i="44"/>
  <c r="H215" i="35" s="1"/>
  <c r="H356" i="35" s="1"/>
  <c r="T792" i="44"/>
  <c r="O213" i="35" s="1"/>
  <c r="U790" i="44"/>
  <c r="T790" i="44"/>
  <c r="L790" i="44"/>
  <c r="L212" i="35" s="1"/>
  <c r="K790" i="44"/>
  <c r="K212" i="35" s="1"/>
  <c r="G790" i="44"/>
  <c r="G212" i="35" s="1"/>
  <c r="H789" i="44"/>
  <c r="H211" i="35" s="1"/>
  <c r="U788" i="44"/>
  <c r="T788" i="44"/>
  <c r="O210" i="35" s="1"/>
  <c r="O351" i="35" s="1"/>
  <c r="P788" i="44"/>
  <c r="N210" i="35" s="1"/>
  <c r="U787" i="44"/>
  <c r="T787" i="44"/>
  <c r="O209" i="35" s="1"/>
  <c r="L787" i="44"/>
  <c r="L209" i="35" s="1"/>
  <c r="K787" i="44"/>
  <c r="K209" i="35" s="1"/>
  <c r="G787" i="44"/>
  <c r="U786" i="44"/>
  <c r="P208" i="35" s="1"/>
  <c r="T786" i="44"/>
  <c r="O208" i="35" s="1"/>
  <c r="L786" i="44"/>
  <c r="L208" i="35" s="1"/>
  <c r="K786" i="44"/>
  <c r="K208" i="35" s="1"/>
  <c r="G786" i="44"/>
  <c r="U785" i="44"/>
  <c r="T785" i="44"/>
  <c r="O207" i="35" s="1"/>
  <c r="L785" i="44"/>
  <c r="K785" i="44"/>
  <c r="J785" i="44"/>
  <c r="J839" i="44" s="1"/>
  <c r="I785" i="44"/>
  <c r="G785" i="44"/>
  <c r="G207" i="35" s="1"/>
  <c r="Q784" i="44"/>
  <c r="Q783" i="44"/>
  <c r="Q782" i="44"/>
  <c r="Q780" i="44"/>
  <c r="Q779" i="44"/>
  <c r="P779" i="44"/>
  <c r="Q777" i="44"/>
  <c r="Q775" i="44"/>
  <c r="P775" i="44"/>
  <c r="O775" i="44"/>
  <c r="Q774" i="44"/>
  <c r="P774" i="44"/>
  <c r="O774" i="44"/>
  <c r="Q773" i="44"/>
  <c r="Q771" i="44"/>
  <c r="P771" i="44"/>
  <c r="Q770" i="44"/>
  <c r="P770" i="44"/>
  <c r="O770" i="44"/>
  <c r="O816" i="44" s="1"/>
  <c r="M241" i="35" s="1"/>
  <c r="Q769" i="44"/>
  <c r="P769" i="44"/>
  <c r="Q760" i="44"/>
  <c r="P760" i="44"/>
  <c r="Q759" i="44"/>
  <c r="Q756" i="44"/>
  <c r="Q755" i="44"/>
  <c r="Q754" i="44"/>
  <c r="P754" i="44"/>
  <c r="O754" i="44"/>
  <c r="R753" i="44"/>
  <c r="Q753" i="44"/>
  <c r="P753" i="44"/>
  <c r="O753" i="44"/>
  <c r="Q752" i="44"/>
  <c r="Q751" i="44"/>
  <c r="Q750" i="44"/>
  <c r="Q749" i="44"/>
  <c r="P749" i="44"/>
  <c r="O749" i="44"/>
  <c r="Q748" i="44"/>
  <c r="O748" i="44"/>
  <c r="Q747" i="44"/>
  <c r="O747" i="44"/>
  <c r="O746" i="44"/>
  <c r="Q745" i="44"/>
  <c r="Q743" i="44"/>
  <c r="P743" i="44"/>
  <c r="O743" i="44"/>
  <c r="Q742" i="44"/>
  <c r="P742" i="44"/>
  <c r="O742" i="44"/>
  <c r="Q741" i="44"/>
  <c r="Q739" i="44"/>
  <c r="P739" i="44"/>
  <c r="O739" i="44"/>
  <c r="Q738" i="44"/>
  <c r="P738" i="44"/>
  <c r="V736" i="44"/>
  <c r="V769" i="44" s="1"/>
  <c r="Q736" i="44"/>
  <c r="P736" i="44"/>
  <c r="Q728" i="44"/>
  <c r="P728" i="44"/>
  <c r="O728" i="44"/>
  <c r="Q727" i="44"/>
  <c r="Q724" i="44"/>
  <c r="Q723" i="44"/>
  <c r="Q722" i="44"/>
  <c r="P722" i="44"/>
  <c r="O722" i="44"/>
  <c r="R721" i="44"/>
  <c r="Q721" i="44"/>
  <c r="P721" i="44"/>
  <c r="O721" i="44"/>
  <c r="Q720" i="44"/>
  <c r="Q719" i="44"/>
  <c r="Q718" i="44"/>
  <c r="Q717" i="44"/>
  <c r="P717" i="44"/>
  <c r="Q716" i="44"/>
  <c r="Q715" i="44"/>
  <c r="Q714" i="44"/>
  <c r="Q713" i="44"/>
  <c r="Q711" i="44"/>
  <c r="P711" i="44"/>
  <c r="O711" i="44"/>
  <c r="Q710" i="44"/>
  <c r="P710" i="44"/>
  <c r="Q709" i="44"/>
  <c r="O708" i="44"/>
  <c r="Q707" i="44"/>
  <c r="P707" i="44"/>
  <c r="O707" i="44"/>
  <c r="Q706" i="44"/>
  <c r="P706" i="44"/>
  <c r="Q705" i="44"/>
  <c r="P705" i="44"/>
  <c r="Q697" i="44"/>
  <c r="P697" i="44"/>
  <c r="O697" i="44"/>
  <c r="Q696" i="44"/>
  <c r="Q693" i="44"/>
  <c r="Q692" i="44"/>
  <c r="Q691" i="44"/>
  <c r="P691" i="44"/>
  <c r="O691" i="44"/>
  <c r="S690" i="44"/>
  <c r="Q690" i="44"/>
  <c r="P690" i="44"/>
  <c r="O690" i="44"/>
  <c r="Q689" i="44"/>
  <c r="Q688" i="44"/>
  <c r="Q687" i="44"/>
  <c r="Q686" i="44"/>
  <c r="P686" i="44"/>
  <c r="Q685" i="44"/>
  <c r="P685" i="44"/>
  <c r="Q684" i="44"/>
  <c r="P684" i="44"/>
  <c r="Q683" i="44"/>
  <c r="Q682" i="44"/>
  <c r="Q680" i="44"/>
  <c r="P680" i="44"/>
  <c r="O680" i="44"/>
  <c r="Q679" i="44"/>
  <c r="P679" i="44"/>
  <c r="Q678" i="44"/>
  <c r="Q677" i="44"/>
  <c r="Q676" i="44"/>
  <c r="P676" i="44"/>
  <c r="O676" i="44"/>
  <c r="Q675" i="44"/>
  <c r="P675" i="44"/>
  <c r="V674" i="44"/>
  <c r="V705" i="44" s="1"/>
  <c r="Q666" i="44"/>
  <c r="P666" i="44"/>
  <c r="Q665" i="44"/>
  <c r="Q662" i="44"/>
  <c r="Q661" i="44"/>
  <c r="Q660" i="44"/>
  <c r="P660" i="44"/>
  <c r="O660" i="44"/>
  <c r="Q659" i="44"/>
  <c r="P659" i="44"/>
  <c r="O659" i="44"/>
  <c r="Q658" i="44"/>
  <c r="Q657" i="44"/>
  <c r="Q656" i="44"/>
  <c r="Q654" i="44"/>
  <c r="P654" i="44"/>
  <c r="Q653" i="44"/>
  <c r="P653" i="44"/>
  <c r="Q652" i="44"/>
  <c r="P652" i="44"/>
  <c r="Q651" i="44"/>
  <c r="P651" i="44"/>
  <c r="Q650" i="44"/>
  <c r="Q648" i="44"/>
  <c r="P648" i="44"/>
  <c r="Q647" i="44"/>
  <c r="Q646" i="44"/>
  <c r="Q645" i="44"/>
  <c r="Q644" i="44"/>
  <c r="V643" i="44"/>
  <c r="V675" i="44" s="1"/>
  <c r="V706" i="44" s="1"/>
  <c r="V738" i="44" s="1"/>
  <c r="Q643" i="44"/>
  <c r="P643" i="44"/>
  <c r="Q635" i="44"/>
  <c r="Q634" i="44"/>
  <c r="Q631" i="44"/>
  <c r="Q630" i="44"/>
  <c r="Q629" i="44"/>
  <c r="P629" i="44"/>
  <c r="O629" i="44"/>
  <c r="Q628" i="44"/>
  <c r="P628" i="44"/>
  <c r="O628" i="44"/>
  <c r="Q627" i="44"/>
  <c r="Q626" i="44"/>
  <c r="Q625" i="44"/>
  <c r="V624" i="44"/>
  <c r="V654" i="44" s="1"/>
  <c r="V686" i="44" s="1"/>
  <c r="V717" i="44" s="1"/>
  <c r="V749" i="44" s="1"/>
  <c r="V781" i="44" s="1"/>
  <c r="V825" i="44" s="1"/>
  <c r="Q624" i="44"/>
  <c r="P624" i="44"/>
  <c r="O624" i="44"/>
  <c r="Q623" i="44"/>
  <c r="P623" i="44"/>
  <c r="H622" i="44"/>
  <c r="Q621" i="44"/>
  <c r="P621" i="44"/>
  <c r="O621" i="44"/>
  <c r="Q620" i="44"/>
  <c r="P620" i="44"/>
  <c r="O620" i="44"/>
  <c r="Q619" i="44"/>
  <c r="Q617" i="44"/>
  <c r="P617" i="44"/>
  <c r="Q616" i="44"/>
  <c r="Q615" i="44"/>
  <c r="Q614" i="44"/>
  <c r="Q613" i="44"/>
  <c r="Q611" i="44"/>
  <c r="Q603" i="44"/>
  <c r="P603" i="44"/>
  <c r="O603" i="44"/>
  <c r="Q602" i="44"/>
  <c r="Q599" i="44"/>
  <c r="Q598" i="44"/>
  <c r="Q597" i="44"/>
  <c r="Q596" i="44"/>
  <c r="P596" i="44"/>
  <c r="O596" i="44"/>
  <c r="Q595" i="44"/>
  <c r="Q594" i="44"/>
  <c r="Q593" i="44"/>
  <c r="H592" i="44"/>
  <c r="H823" i="44" s="1"/>
  <c r="H248" i="35" s="1"/>
  <c r="Q591" i="44"/>
  <c r="P591" i="44"/>
  <c r="P825" i="44" s="1"/>
  <c r="N250" i="35" s="1"/>
  <c r="N412" i="35" s="1"/>
  <c r="O591" i="44"/>
  <c r="V591" i="44" s="1"/>
  <c r="Q590" i="44"/>
  <c r="P590" i="44"/>
  <c r="O590" i="44"/>
  <c r="Q589" i="44"/>
  <c r="P589" i="44"/>
  <c r="Q588" i="44"/>
  <c r="P588" i="44"/>
  <c r="Q587" i="44"/>
  <c r="Q585" i="44"/>
  <c r="P585" i="44"/>
  <c r="O585" i="44"/>
  <c r="Q584" i="44"/>
  <c r="Q583" i="44"/>
  <c r="Q582" i="44"/>
  <c r="Q581" i="44"/>
  <c r="Q571" i="44"/>
  <c r="P571" i="44"/>
  <c r="Q570" i="44"/>
  <c r="O568" i="44"/>
  <c r="Q566" i="44"/>
  <c r="Q565" i="44"/>
  <c r="Q564" i="44"/>
  <c r="P564" i="44"/>
  <c r="O564" i="44"/>
  <c r="S563" i="44"/>
  <c r="R563" i="44"/>
  <c r="Q563" i="44"/>
  <c r="P563" i="44"/>
  <c r="O563" i="44"/>
  <c r="Q562" i="44"/>
  <c r="Q561" i="44"/>
  <c r="Q560" i="44"/>
  <c r="Q558" i="44"/>
  <c r="P558" i="44"/>
  <c r="Q557" i="44"/>
  <c r="P557" i="44"/>
  <c r="P824" i="44" s="1"/>
  <c r="N249" i="35" s="1"/>
  <c r="Q556" i="44"/>
  <c r="P556" i="44"/>
  <c r="Q555" i="44"/>
  <c r="P555" i="44"/>
  <c r="Q554" i="44"/>
  <c r="V552" i="44"/>
  <c r="Q552" i="44"/>
  <c r="P552" i="44"/>
  <c r="Q551" i="44"/>
  <c r="Q550" i="44"/>
  <c r="Q549" i="44"/>
  <c r="Q548" i="44"/>
  <c r="Q539" i="44"/>
  <c r="P539" i="44"/>
  <c r="Q538" i="44"/>
  <c r="Q536" i="44"/>
  <c r="P536" i="44"/>
  <c r="Q534" i="44"/>
  <c r="Q533" i="44"/>
  <c r="Q532" i="44"/>
  <c r="P532" i="44"/>
  <c r="O532" i="44"/>
  <c r="Q531" i="44"/>
  <c r="P531" i="44"/>
  <c r="O531" i="44"/>
  <c r="Q530" i="44"/>
  <c r="Q529" i="44"/>
  <c r="Q528" i="44"/>
  <c r="O527" i="44"/>
  <c r="P526" i="44"/>
  <c r="O526" i="44"/>
  <c r="Q525" i="44"/>
  <c r="P525" i="44"/>
  <c r="Q524" i="44"/>
  <c r="Q523" i="44"/>
  <c r="P523" i="44"/>
  <c r="O523" i="44"/>
  <c r="O822" i="44" s="1"/>
  <c r="M247" i="35" s="1"/>
  <c r="Q522" i="44"/>
  <c r="P522" i="44"/>
  <c r="O522" i="44"/>
  <c r="Q521" i="44"/>
  <c r="Q519" i="44"/>
  <c r="P519" i="44"/>
  <c r="Q518" i="44"/>
  <c r="Q517" i="44"/>
  <c r="Q516" i="44"/>
  <c r="Q515" i="44"/>
  <c r="Q506" i="44"/>
  <c r="Q505" i="44"/>
  <c r="V502" i="44"/>
  <c r="V536" i="44" s="1"/>
  <c r="V568" i="44" s="1"/>
  <c r="Q502" i="44"/>
  <c r="P502" i="44"/>
  <c r="Q500" i="44"/>
  <c r="Q499" i="44"/>
  <c r="Q498" i="44"/>
  <c r="P498" i="44"/>
  <c r="O498" i="44"/>
  <c r="S497" i="44"/>
  <c r="Q497" i="44"/>
  <c r="P497" i="44"/>
  <c r="O497" i="44"/>
  <c r="Q496" i="44"/>
  <c r="Q495" i="44"/>
  <c r="Q494" i="44"/>
  <c r="Q493" i="44"/>
  <c r="P493" i="44"/>
  <c r="Q491" i="44"/>
  <c r="P491" i="44"/>
  <c r="Q490" i="44"/>
  <c r="P490" i="44"/>
  <c r="Q489" i="44"/>
  <c r="P489" i="44"/>
  <c r="Q488" i="44"/>
  <c r="Q486" i="44"/>
  <c r="P486" i="44"/>
  <c r="Q485" i="44"/>
  <c r="Q484" i="44"/>
  <c r="Q483" i="44"/>
  <c r="Q482" i="44"/>
  <c r="Q473" i="44"/>
  <c r="Q472" i="44"/>
  <c r="V469" i="44"/>
  <c r="Q469" i="44"/>
  <c r="P469" i="44"/>
  <c r="Q467" i="44"/>
  <c r="Q466" i="44"/>
  <c r="Q465" i="44"/>
  <c r="P465" i="44"/>
  <c r="O465" i="44"/>
  <c r="S464" i="44"/>
  <c r="R464" i="44"/>
  <c r="Q464" i="44"/>
  <c r="P464" i="44"/>
  <c r="O464" i="44"/>
  <c r="Q463" i="44"/>
  <c r="Q462" i="44"/>
  <c r="Q461" i="44"/>
  <c r="Q460" i="44"/>
  <c r="P460" i="44"/>
  <c r="Q459" i="44"/>
  <c r="P459" i="44"/>
  <c r="Q458" i="44"/>
  <c r="P458" i="44"/>
  <c r="Q457" i="44"/>
  <c r="P457" i="44"/>
  <c r="O457" i="44"/>
  <c r="Q456" i="44"/>
  <c r="Q454" i="44"/>
  <c r="Q453" i="44"/>
  <c r="Q452" i="44"/>
  <c r="Q451" i="44"/>
  <c r="Q442" i="44"/>
  <c r="Q441" i="44"/>
  <c r="V438" i="44"/>
  <c r="Q438" i="44"/>
  <c r="P438" i="44"/>
  <c r="Q436" i="44"/>
  <c r="Q435" i="44"/>
  <c r="Q434" i="44"/>
  <c r="P434" i="44"/>
  <c r="O434" i="44"/>
  <c r="S433" i="44"/>
  <c r="R433" i="44"/>
  <c r="Q433" i="44"/>
  <c r="P433" i="44"/>
  <c r="O433" i="44"/>
  <c r="Q432" i="44"/>
  <c r="Q431" i="44"/>
  <c r="Q430" i="44"/>
  <c r="Q429" i="44"/>
  <c r="P429" i="44"/>
  <c r="P833" i="44" s="1"/>
  <c r="N252" i="35" s="1"/>
  <c r="N414" i="35" s="1"/>
  <c r="Q428" i="44"/>
  <c r="P428" i="44"/>
  <c r="Q426" i="44"/>
  <c r="P426" i="44"/>
  <c r="Q425" i="44"/>
  <c r="Q423" i="44"/>
  <c r="Q422" i="44"/>
  <c r="Q421" i="44"/>
  <c r="Q420" i="44"/>
  <c r="Q411" i="44"/>
  <c r="Q410" i="44"/>
  <c r="Q405" i="44"/>
  <c r="Q404" i="44"/>
  <c r="Q403" i="44"/>
  <c r="P403" i="44"/>
  <c r="O403" i="44"/>
  <c r="S402" i="44"/>
  <c r="Q402" i="44"/>
  <c r="P402" i="44"/>
  <c r="O402" i="44"/>
  <c r="Q401" i="44"/>
  <c r="Q400" i="44"/>
  <c r="Q399" i="44"/>
  <c r="Q395" i="44"/>
  <c r="Q391" i="44"/>
  <c r="Q389" i="44"/>
  <c r="P389" i="44"/>
  <c r="O389" i="44"/>
  <c r="Q388" i="44"/>
  <c r="Q387" i="44"/>
  <c r="Q386" i="44"/>
  <c r="Q377" i="44"/>
  <c r="Q376" i="44"/>
  <c r="Q373" i="44"/>
  <c r="Q372" i="44"/>
  <c r="Q371" i="44"/>
  <c r="O371" i="44"/>
  <c r="R370" i="44"/>
  <c r="Q370" i="44"/>
  <c r="P370" i="44"/>
  <c r="O370" i="44"/>
  <c r="Q369" i="44"/>
  <c r="Q368" i="44"/>
  <c r="Q367" i="44"/>
  <c r="Q364" i="44"/>
  <c r="P364" i="44"/>
  <c r="O364" i="44"/>
  <c r="Q363" i="44"/>
  <c r="Q361" i="44"/>
  <c r="P361" i="44"/>
  <c r="O361" i="44"/>
  <c r="Q360" i="44"/>
  <c r="O360" i="44"/>
  <c r="Q359" i="44"/>
  <c r="P359" i="44"/>
  <c r="Q358" i="44"/>
  <c r="P358" i="44"/>
  <c r="Q349" i="44"/>
  <c r="Q348" i="44"/>
  <c r="Q345" i="44"/>
  <c r="Q344" i="44"/>
  <c r="Q343" i="44"/>
  <c r="P343" i="44"/>
  <c r="O343" i="44"/>
  <c r="Q342" i="44"/>
  <c r="P342" i="44"/>
  <c r="O342" i="44"/>
  <c r="Q341" i="44"/>
  <c r="P341" i="44"/>
  <c r="O341" i="44"/>
  <c r="Q340" i="44"/>
  <c r="Q339" i="44"/>
  <c r="Q338" i="44"/>
  <c r="P338" i="44"/>
  <c r="Q337" i="44"/>
  <c r="P337" i="44"/>
  <c r="O337" i="44"/>
  <c r="Q335" i="44"/>
  <c r="P335" i="44"/>
  <c r="O335" i="44"/>
  <c r="Q334" i="44"/>
  <c r="P334" i="44"/>
  <c r="Q333" i="44"/>
  <c r="P333" i="44"/>
  <c r="Q332" i="44"/>
  <c r="P332" i="44"/>
  <c r="Q323" i="44"/>
  <c r="P323" i="44"/>
  <c r="O323" i="44"/>
  <c r="Q322" i="44"/>
  <c r="P322" i="44"/>
  <c r="O322" i="44"/>
  <c r="Q319" i="44"/>
  <c r="P319" i="44"/>
  <c r="O319" i="44"/>
  <c r="Q318" i="44"/>
  <c r="P318" i="44"/>
  <c r="O318" i="44"/>
  <c r="Q317" i="44"/>
  <c r="P317" i="44"/>
  <c r="O317" i="44"/>
  <c r="R316" i="44"/>
  <c r="Q316" i="44"/>
  <c r="P316" i="44"/>
  <c r="O316" i="44"/>
  <c r="H316" i="44"/>
  <c r="Q315" i="44"/>
  <c r="P315" i="44"/>
  <c r="O315" i="44"/>
  <c r="V314" i="44"/>
  <c r="Q314" i="44"/>
  <c r="V313" i="44"/>
  <c r="Q313" i="44"/>
  <c r="Q311" i="44"/>
  <c r="P311" i="44"/>
  <c r="O311" i="44"/>
  <c r="V311" i="44" s="1"/>
  <c r="V338" i="44" s="1"/>
  <c r="Q310" i="44"/>
  <c r="P310" i="44"/>
  <c r="O310" i="44"/>
  <c r="Q308" i="44"/>
  <c r="P308" i="44"/>
  <c r="O308" i="44"/>
  <c r="Q307" i="44"/>
  <c r="P307" i="44"/>
  <c r="Q306" i="44"/>
  <c r="P306" i="44"/>
  <c r="O306" i="44"/>
  <c r="Q305" i="44"/>
  <c r="P305" i="44"/>
  <c r="Q299" i="44"/>
  <c r="P299" i="44"/>
  <c r="O299" i="44"/>
  <c r="Q296" i="44"/>
  <c r="P296" i="44"/>
  <c r="O296" i="44"/>
  <c r="Q295" i="44"/>
  <c r="P295" i="44"/>
  <c r="Q292" i="44"/>
  <c r="P292" i="44"/>
  <c r="O292" i="44"/>
  <c r="Q291" i="44"/>
  <c r="P291" i="44"/>
  <c r="O291" i="44"/>
  <c r="Q290" i="44"/>
  <c r="P290" i="44"/>
  <c r="O290" i="44"/>
  <c r="R289" i="44"/>
  <c r="Q289" i="44"/>
  <c r="P289" i="44"/>
  <c r="O289" i="44"/>
  <c r="Q288" i="44"/>
  <c r="P288" i="44"/>
  <c r="O288" i="44"/>
  <c r="Q287" i="44"/>
  <c r="Q286" i="44"/>
  <c r="Q285" i="44"/>
  <c r="P285" i="44"/>
  <c r="O285" i="44"/>
  <c r="Q284" i="44"/>
  <c r="P284" i="44"/>
  <c r="Q283" i="44"/>
  <c r="P283" i="44"/>
  <c r="O283" i="44"/>
  <c r="Q281" i="44"/>
  <c r="P281" i="44"/>
  <c r="Q280" i="44"/>
  <c r="P280" i="44"/>
  <c r="Q279" i="44"/>
  <c r="P279" i="44"/>
  <c r="Q278" i="44"/>
  <c r="P278" i="44"/>
  <c r="Q272" i="44"/>
  <c r="P272" i="44"/>
  <c r="O272" i="44"/>
  <c r="Q269" i="44"/>
  <c r="P269" i="44"/>
  <c r="Q268" i="44"/>
  <c r="P268" i="44"/>
  <c r="O268" i="44"/>
  <c r="Q265" i="44"/>
  <c r="P265" i="44"/>
  <c r="Q264" i="44"/>
  <c r="P264" i="44"/>
  <c r="O264" i="44"/>
  <c r="Q263" i="44"/>
  <c r="Q262" i="44"/>
  <c r="P262" i="44"/>
  <c r="O262" i="44"/>
  <c r="Q261" i="44"/>
  <c r="P261" i="44"/>
  <c r="Q260" i="44"/>
  <c r="Q259" i="44"/>
  <c r="Q258" i="44"/>
  <c r="P258" i="44"/>
  <c r="O258" i="44"/>
  <c r="Q257" i="44"/>
  <c r="P257" i="44"/>
  <c r="O257" i="44"/>
  <c r="V257" i="44" s="1"/>
  <c r="V284" i="44" s="1"/>
  <c r="Q256" i="44"/>
  <c r="P256" i="44"/>
  <c r="O256" i="44"/>
  <c r="Q254" i="44"/>
  <c r="P254" i="44"/>
  <c r="O254" i="44"/>
  <c r="Q253" i="44"/>
  <c r="P253" i="44"/>
  <c r="O253" i="44"/>
  <c r="O826" i="44" s="1"/>
  <c r="M244" i="35" s="1"/>
  <c r="Q252" i="44"/>
  <c r="P252" i="44"/>
  <c r="O252" i="44"/>
  <c r="Q251" i="44"/>
  <c r="P251" i="44"/>
  <c r="Q250" i="44"/>
  <c r="P250" i="44"/>
  <c r="O250" i="44"/>
  <c r="Q245" i="44"/>
  <c r="P245" i="44"/>
  <c r="O245" i="44"/>
  <c r="Q242" i="44"/>
  <c r="P242" i="44"/>
  <c r="O242" i="44"/>
  <c r="Q241" i="44"/>
  <c r="P241" i="44"/>
  <c r="O241" i="44"/>
  <c r="Q238" i="44"/>
  <c r="P238" i="44"/>
  <c r="O238" i="44"/>
  <c r="Q236" i="44"/>
  <c r="P236" i="44"/>
  <c r="O236" i="44"/>
  <c r="Q235" i="44"/>
  <c r="P235" i="44"/>
  <c r="O235" i="44"/>
  <c r="Q234" i="44"/>
  <c r="P234" i="44"/>
  <c r="O234" i="44"/>
  <c r="Q233" i="44"/>
  <c r="P233" i="44"/>
  <c r="O233" i="44"/>
  <c r="Q232" i="44"/>
  <c r="Q231" i="44"/>
  <c r="Q230" i="44"/>
  <c r="P230" i="44"/>
  <c r="Q229" i="44"/>
  <c r="P229" i="44"/>
  <c r="Q228" i="44"/>
  <c r="P228" i="44"/>
  <c r="O228" i="44"/>
  <c r="Q226" i="44"/>
  <c r="P226" i="44"/>
  <c r="O226" i="44"/>
  <c r="Q225" i="44"/>
  <c r="P225" i="44"/>
  <c r="Q224" i="44"/>
  <c r="P224" i="44"/>
  <c r="O224" i="44"/>
  <c r="Q223" i="44"/>
  <c r="P223" i="44"/>
  <c r="O223" i="44"/>
  <c r="Q222" i="44"/>
  <c r="P222" i="44"/>
  <c r="O222" i="44"/>
  <c r="V218" i="44"/>
  <c r="V246" i="44" s="1"/>
  <c r="V273" i="44" s="1"/>
  <c r="V300" i="44" s="1"/>
  <c r="V327" i="44" s="1"/>
  <c r="V353" i="44" s="1"/>
  <c r="V381" i="44" s="1"/>
  <c r="V415" i="44" s="1"/>
  <c r="V446" i="44" s="1"/>
  <c r="V477" i="44" s="1"/>
  <c r="V510" i="44" s="1"/>
  <c r="V543" i="44" s="1"/>
  <c r="V575" i="44" s="1"/>
  <c r="V607" i="44" s="1"/>
  <c r="V639" i="44" s="1"/>
  <c r="V670" i="44" s="1"/>
  <c r="V701" i="44" s="1"/>
  <c r="V732" i="44" s="1"/>
  <c r="V764" i="44" s="1"/>
  <c r="V806" i="44" s="1"/>
  <c r="Q217" i="44"/>
  <c r="P217" i="44"/>
  <c r="P215" i="44"/>
  <c r="O215" i="44"/>
  <c r="O800" i="44" s="1"/>
  <c r="M222" i="35" s="1"/>
  <c r="M369" i="35" s="1"/>
  <c r="Q214" i="44"/>
  <c r="P214" i="44"/>
  <c r="O214" i="44"/>
  <c r="Q213" i="44"/>
  <c r="P213" i="44"/>
  <c r="O213" i="44"/>
  <c r="Q210" i="44"/>
  <c r="P210" i="44"/>
  <c r="O210" i="44"/>
  <c r="H209" i="44"/>
  <c r="Q207" i="44"/>
  <c r="P207" i="44"/>
  <c r="O207" i="44"/>
  <c r="Q206" i="44"/>
  <c r="P206" i="44"/>
  <c r="O206" i="44"/>
  <c r="S205" i="44"/>
  <c r="Q205" i="44"/>
  <c r="P205" i="44"/>
  <c r="O205" i="44"/>
  <c r="Q204" i="44"/>
  <c r="P204" i="44"/>
  <c r="Q203" i="44"/>
  <c r="Q202" i="44"/>
  <c r="Q201" i="44"/>
  <c r="P201" i="44"/>
  <c r="P831" i="44" s="1"/>
  <c r="N253" i="35" s="1"/>
  <c r="Q199" i="44"/>
  <c r="P199" i="44"/>
  <c r="Q198" i="44"/>
  <c r="P198" i="44"/>
  <c r="O198" i="44"/>
  <c r="O197" i="44"/>
  <c r="Q196" i="44"/>
  <c r="P196" i="44"/>
  <c r="O196" i="44"/>
  <c r="Q195" i="44"/>
  <c r="P195" i="44"/>
  <c r="Q194" i="44"/>
  <c r="P194" i="44"/>
  <c r="Q193" i="44"/>
  <c r="P193" i="44"/>
  <c r="O193" i="44"/>
  <c r="V193" i="44" s="1"/>
  <c r="V223" i="44" s="1"/>
  <c r="V251" i="44" s="1"/>
  <c r="V278" i="44" s="1"/>
  <c r="V305" i="44" s="1"/>
  <c r="V332" i="44" s="1"/>
  <c r="V358" i="44" s="1"/>
  <c r="V386" i="44" s="1"/>
  <c r="V420" i="44" s="1"/>
  <c r="V451" i="44" s="1"/>
  <c r="V482" i="44" s="1"/>
  <c r="V515" i="44" s="1"/>
  <c r="V548" i="44" s="1"/>
  <c r="V581" i="44" s="1"/>
  <c r="V613" i="44" s="1"/>
  <c r="V644" i="44" s="1"/>
  <c r="V676" i="44" s="1"/>
  <c r="V707" i="44" s="1"/>
  <c r="Q192" i="44"/>
  <c r="P192" i="44"/>
  <c r="Q187" i="44"/>
  <c r="P187" i="44"/>
  <c r="O187" i="44"/>
  <c r="Q185" i="44"/>
  <c r="P185" i="44"/>
  <c r="Q184" i="44"/>
  <c r="P184" i="44"/>
  <c r="O184" i="44"/>
  <c r="Q183" i="44"/>
  <c r="P183" i="44"/>
  <c r="Q180" i="44"/>
  <c r="P180" i="44"/>
  <c r="O180" i="44"/>
  <c r="Q179" i="44"/>
  <c r="P179" i="44"/>
  <c r="O179" i="44"/>
  <c r="Q178" i="44"/>
  <c r="P178" i="44"/>
  <c r="O178" i="44"/>
  <c r="Q177" i="44"/>
  <c r="P177" i="44"/>
  <c r="O177" i="44"/>
  <c r="Q176" i="44"/>
  <c r="P176" i="44"/>
  <c r="O176" i="44"/>
  <c r="H176" i="44"/>
  <c r="Q175" i="44"/>
  <c r="P175" i="44"/>
  <c r="O175" i="44"/>
  <c r="Q174" i="44"/>
  <c r="Q173" i="44"/>
  <c r="Q172" i="44"/>
  <c r="Q171" i="44"/>
  <c r="P171" i="44"/>
  <c r="P821" i="44" s="1"/>
  <c r="N246" i="35" s="1"/>
  <c r="N406" i="35" s="1"/>
  <c r="Q170" i="44"/>
  <c r="P170" i="44"/>
  <c r="O170" i="44"/>
  <c r="O169" i="44"/>
  <c r="Q168" i="44"/>
  <c r="P168" i="44"/>
  <c r="O168" i="44"/>
  <c r="Q167" i="44"/>
  <c r="P167" i="44"/>
  <c r="Q166" i="44"/>
  <c r="P166" i="44"/>
  <c r="O166" i="44"/>
  <c r="Q165" i="44"/>
  <c r="P165" i="44"/>
  <c r="Q164" i="44"/>
  <c r="P164" i="44"/>
  <c r="Q158" i="44"/>
  <c r="P158" i="44"/>
  <c r="V156" i="44"/>
  <c r="V185" i="44" s="1"/>
  <c r="Q156" i="44"/>
  <c r="P156" i="44"/>
  <c r="P800" i="44" s="1"/>
  <c r="N222" i="35" s="1"/>
  <c r="N369" i="35" s="1"/>
  <c r="Q155" i="44"/>
  <c r="P155" i="44"/>
  <c r="O155" i="44"/>
  <c r="Q154" i="44"/>
  <c r="P154" i="44"/>
  <c r="O154" i="44"/>
  <c r="Q151" i="44"/>
  <c r="P151" i="44"/>
  <c r="O151" i="44"/>
  <c r="Q149" i="44"/>
  <c r="P149" i="44"/>
  <c r="O149" i="44"/>
  <c r="Q148" i="44"/>
  <c r="P148" i="44"/>
  <c r="O148" i="44"/>
  <c r="Q147" i="44"/>
  <c r="O147" i="44"/>
  <c r="H147" i="44"/>
  <c r="H786" i="44" s="1"/>
  <c r="H208" i="35" s="1"/>
  <c r="Q146" i="44"/>
  <c r="P146" i="44"/>
  <c r="O146" i="44"/>
  <c r="Q145" i="44"/>
  <c r="P145" i="44"/>
  <c r="Q144" i="44"/>
  <c r="Q143" i="44"/>
  <c r="Q142" i="44"/>
  <c r="Q141" i="44"/>
  <c r="P141" i="44"/>
  <c r="O141" i="44"/>
  <c r="Q140" i="44"/>
  <c r="O140" i="44"/>
  <c r="Q139" i="44"/>
  <c r="P139" i="44"/>
  <c r="O139" i="44"/>
  <c r="Q138" i="44"/>
  <c r="P138" i="44"/>
  <c r="Q137" i="44"/>
  <c r="P137" i="44"/>
  <c r="O137" i="44"/>
  <c r="Q136" i="44"/>
  <c r="P136" i="44"/>
  <c r="Q134" i="44"/>
  <c r="P134" i="44"/>
  <c r="O134" i="44"/>
  <c r="Q129" i="44"/>
  <c r="P129" i="44"/>
  <c r="O129" i="44"/>
  <c r="V128" i="44"/>
  <c r="V157" i="44" s="1"/>
  <c r="V186" i="44" s="1"/>
  <c r="V216" i="44" s="1"/>
  <c r="V244" i="44" s="1"/>
  <c r="V271" i="44" s="1"/>
  <c r="V298" i="44" s="1"/>
  <c r="V325" i="44" s="1"/>
  <c r="V351" i="44" s="1"/>
  <c r="V379" i="44" s="1"/>
  <c r="V413" i="44" s="1"/>
  <c r="V444" i="44" s="1"/>
  <c r="V475" i="44" s="1"/>
  <c r="V508" i="44" s="1"/>
  <c r="V541" i="44" s="1"/>
  <c r="V573" i="44" s="1"/>
  <c r="V605" i="44" s="1"/>
  <c r="V637" i="44" s="1"/>
  <c r="V668" i="44" s="1"/>
  <c r="V699" i="44" s="1"/>
  <c r="V730" i="44" s="1"/>
  <c r="V762" i="44" s="1"/>
  <c r="V801" i="44" s="1"/>
  <c r="Q126" i="44"/>
  <c r="P126" i="44"/>
  <c r="O126" i="44"/>
  <c r="Q125" i="44"/>
  <c r="P125" i="44"/>
  <c r="O125" i="44"/>
  <c r="Q122" i="44"/>
  <c r="P122" i="44"/>
  <c r="H121" i="44"/>
  <c r="Q120" i="44"/>
  <c r="P120" i="44"/>
  <c r="Q119" i="44"/>
  <c r="P119" i="44"/>
  <c r="O119" i="44"/>
  <c r="Q118" i="44"/>
  <c r="P118" i="44"/>
  <c r="O118" i="44"/>
  <c r="Q117" i="44"/>
  <c r="P117" i="44"/>
  <c r="O117" i="44"/>
  <c r="Q116" i="44"/>
  <c r="P116" i="44"/>
  <c r="O116" i="44"/>
  <c r="Q115" i="44"/>
  <c r="Q114" i="44"/>
  <c r="Q113" i="44"/>
  <c r="Q112" i="44"/>
  <c r="P112" i="44"/>
  <c r="O112" i="44"/>
  <c r="Q111" i="44"/>
  <c r="P111" i="44"/>
  <c r="O111" i="44"/>
  <c r="Q110" i="44"/>
  <c r="P110" i="44"/>
  <c r="O110" i="44"/>
  <c r="Q109" i="44"/>
  <c r="P109" i="44"/>
  <c r="Q108" i="44"/>
  <c r="P108" i="44"/>
  <c r="Q107" i="44"/>
  <c r="P107" i="44"/>
  <c r="O107" i="44"/>
  <c r="Q106" i="44"/>
  <c r="P106" i="44"/>
  <c r="Q101" i="44"/>
  <c r="P101" i="44"/>
  <c r="O101" i="44"/>
  <c r="Q98" i="44"/>
  <c r="P98" i="44"/>
  <c r="O98" i="44"/>
  <c r="Q97" i="44"/>
  <c r="P97" i="44"/>
  <c r="O97" i="44"/>
  <c r="Q94" i="44"/>
  <c r="P94" i="44"/>
  <c r="O94" i="44"/>
  <c r="V93" i="44"/>
  <c r="V120" i="44" s="1"/>
  <c r="Q93" i="44"/>
  <c r="P93" i="44"/>
  <c r="Q92" i="44"/>
  <c r="P92" i="44"/>
  <c r="O92" i="44"/>
  <c r="Q91" i="44"/>
  <c r="P91" i="44"/>
  <c r="O91" i="44"/>
  <c r="Q90" i="44"/>
  <c r="P90" i="44"/>
  <c r="O90" i="44"/>
  <c r="Q89" i="44"/>
  <c r="P89" i="44"/>
  <c r="O89" i="44"/>
  <c r="V89" i="44" s="1"/>
  <c r="V116" i="44" s="1"/>
  <c r="V145" i="44" s="1"/>
  <c r="Q88" i="44"/>
  <c r="Q87" i="44"/>
  <c r="Q86" i="44"/>
  <c r="Q85" i="44"/>
  <c r="P85" i="44"/>
  <c r="O85" i="44"/>
  <c r="Q84" i="44"/>
  <c r="P84" i="44"/>
  <c r="O84" i="44"/>
  <c r="Q83" i="44"/>
  <c r="P83" i="44"/>
  <c r="O83" i="44"/>
  <c r="Q82" i="44"/>
  <c r="P82" i="44"/>
  <c r="V81" i="44"/>
  <c r="V108" i="44" s="1"/>
  <c r="Q81" i="44"/>
  <c r="P81" i="44"/>
  <c r="O81" i="44"/>
  <c r="Q80" i="44"/>
  <c r="P80" i="44"/>
  <c r="Q79" i="44"/>
  <c r="P79" i="44"/>
  <c r="O79" i="44"/>
  <c r="V77" i="44"/>
  <c r="V104" i="44" s="1"/>
  <c r="V132" i="44" s="1"/>
  <c r="V162" i="44" s="1"/>
  <c r="V190" i="44" s="1"/>
  <c r="V220" i="44" s="1"/>
  <c r="V248" i="44" s="1"/>
  <c r="V275" i="44" s="1"/>
  <c r="V302" i="44" s="1"/>
  <c r="V329" i="44" s="1"/>
  <c r="V355" i="44" s="1"/>
  <c r="V383" i="44" s="1"/>
  <c r="V417" i="44" s="1"/>
  <c r="V448" i="44" s="1"/>
  <c r="V479" i="44" s="1"/>
  <c r="V512" i="44" s="1"/>
  <c r="V545" i="44" s="1"/>
  <c r="V577" i="44" s="1"/>
  <c r="V609" i="44" s="1"/>
  <c r="V641" i="44" s="1"/>
  <c r="V672" i="44" s="1"/>
  <c r="V703" i="44" s="1"/>
  <c r="V734" i="44" s="1"/>
  <c r="V766" i="44" s="1"/>
  <c r="V810" i="44" s="1"/>
  <c r="Q74" i="44"/>
  <c r="P74" i="44"/>
  <c r="O74" i="44"/>
  <c r="V72" i="44"/>
  <c r="V100" i="44" s="1"/>
  <c r="Q70" i="44"/>
  <c r="P70" i="44"/>
  <c r="O70" i="44"/>
  <c r="Q69" i="44"/>
  <c r="P69" i="44"/>
  <c r="P67" i="44"/>
  <c r="O67" i="44"/>
  <c r="H66" i="44"/>
  <c r="H791" i="44" s="1"/>
  <c r="H214" i="35" s="1"/>
  <c r="Q65" i="44"/>
  <c r="P65" i="44"/>
  <c r="O65" i="44"/>
  <c r="Q64" i="44"/>
  <c r="P64" i="44"/>
  <c r="Q63" i="44"/>
  <c r="P63" i="44"/>
  <c r="O63" i="44"/>
  <c r="Q62" i="44"/>
  <c r="P62" i="44"/>
  <c r="O62" i="44"/>
  <c r="R61" i="44"/>
  <c r="Q61" i="44"/>
  <c r="P61" i="44"/>
  <c r="O61" i="44"/>
  <c r="H61" i="44"/>
  <c r="H785" i="44" s="1"/>
  <c r="V60" i="44"/>
  <c r="Q60" i="44"/>
  <c r="P60" i="44"/>
  <c r="O60" i="44"/>
  <c r="Q59" i="44"/>
  <c r="Q58" i="44"/>
  <c r="Q57" i="44"/>
  <c r="Q56" i="44"/>
  <c r="P56" i="44"/>
  <c r="Q55" i="44"/>
  <c r="P55" i="44"/>
  <c r="Q54" i="44"/>
  <c r="P54" i="44"/>
  <c r="O54" i="44"/>
  <c r="V53" i="44"/>
  <c r="V82" i="44" s="1"/>
  <c r="V109" i="44" s="1"/>
  <c r="V138" i="44" s="1"/>
  <c r="V167" i="44" s="1"/>
  <c r="V195" i="44" s="1"/>
  <c r="V225" i="44" s="1"/>
  <c r="V253" i="44" s="1"/>
  <c r="V280" i="44" s="1"/>
  <c r="V307" i="44" s="1"/>
  <c r="V334" i="44" s="1"/>
  <c r="V360" i="44" s="1"/>
  <c r="V388" i="44" s="1"/>
  <c r="V422" i="44" s="1"/>
  <c r="V453" i="44" s="1"/>
  <c r="V484" i="44" s="1"/>
  <c r="V517" i="44" s="1"/>
  <c r="V550" i="44" s="1"/>
  <c r="V583" i="44" s="1"/>
  <c r="V615" i="44" s="1"/>
  <c r="V646" i="44" s="1"/>
  <c r="V678" i="44" s="1"/>
  <c r="V709" i="44" s="1"/>
  <c r="V741" i="44" s="1"/>
  <c r="V773" i="44" s="1"/>
  <c r="V826" i="44" s="1"/>
  <c r="Q53" i="44"/>
  <c r="P53" i="44"/>
  <c r="V52" i="44"/>
  <c r="Q52" i="44"/>
  <c r="P52" i="44"/>
  <c r="Q51" i="44"/>
  <c r="P51" i="44"/>
  <c r="O51" i="44"/>
  <c r="Q50" i="44"/>
  <c r="P50" i="44"/>
  <c r="V49" i="44"/>
  <c r="V78" i="44" s="1"/>
  <c r="V105" i="44" s="1"/>
  <c r="V133" i="44" s="1"/>
  <c r="V163" i="44" s="1"/>
  <c r="V191" i="44" s="1"/>
  <c r="V221" i="44" s="1"/>
  <c r="V249" i="44" s="1"/>
  <c r="V276" i="44" s="1"/>
  <c r="V303" i="44" s="1"/>
  <c r="V330" i="44" s="1"/>
  <c r="V356" i="44" s="1"/>
  <c r="V384" i="44" s="1"/>
  <c r="V418" i="44" s="1"/>
  <c r="V449" i="44" s="1"/>
  <c r="V480" i="44" s="1"/>
  <c r="V513" i="44" s="1"/>
  <c r="V546" i="44" s="1"/>
  <c r="V578" i="44" s="1"/>
  <c r="V610" i="44" s="1"/>
  <c r="V642" i="44" s="1"/>
  <c r="V673" i="44" s="1"/>
  <c r="V704" i="44" s="1"/>
  <c r="V735" i="44" s="1"/>
  <c r="V767" i="44" s="1"/>
  <c r="V811" i="44" s="1"/>
  <c r="V48" i="44"/>
  <c r="V47" i="44"/>
  <c r="V76" i="44" s="1"/>
  <c r="V103" i="44" s="1"/>
  <c r="V131" i="44" s="1"/>
  <c r="V161" i="44" s="1"/>
  <c r="V189" i="44" s="1"/>
  <c r="V219" i="44" s="1"/>
  <c r="V247" i="44" s="1"/>
  <c r="V274" i="44" s="1"/>
  <c r="V301" i="44" s="1"/>
  <c r="V328" i="44" s="1"/>
  <c r="V354" i="44" s="1"/>
  <c r="V382" i="44" s="1"/>
  <c r="V416" i="44" s="1"/>
  <c r="V447" i="44" s="1"/>
  <c r="V478" i="44" s="1"/>
  <c r="V511" i="44" s="1"/>
  <c r="V544" i="44" s="1"/>
  <c r="V576" i="44" s="1"/>
  <c r="V608" i="44" s="1"/>
  <c r="V640" i="44" s="1"/>
  <c r="V671" i="44" s="1"/>
  <c r="V702" i="44" s="1"/>
  <c r="V733" i="44" s="1"/>
  <c r="V765" i="44" s="1"/>
  <c r="V808" i="44" s="1"/>
  <c r="V46" i="44"/>
  <c r="V75" i="44" s="1"/>
  <c r="V102" i="44" s="1"/>
  <c r="V130" i="44" s="1"/>
  <c r="V160" i="44" s="1"/>
  <c r="V188" i="44" s="1"/>
  <c r="Q45" i="44"/>
  <c r="P45" i="44"/>
  <c r="O45" i="44"/>
  <c r="V42" i="44"/>
  <c r="V70" i="44" s="1"/>
  <c r="V98" i="44" s="1"/>
  <c r="V126" i="44" s="1"/>
  <c r="Q42" i="44"/>
  <c r="P42" i="44"/>
  <c r="O42" i="44"/>
  <c r="Q41" i="44"/>
  <c r="P41" i="44"/>
  <c r="Q39" i="44"/>
  <c r="P39" i="44"/>
  <c r="O39" i="44"/>
  <c r="Q38" i="44"/>
  <c r="P38" i="44"/>
  <c r="O38" i="44"/>
  <c r="H37" i="44"/>
  <c r="Q36" i="44"/>
  <c r="P36" i="44"/>
  <c r="O36" i="44"/>
  <c r="Q35" i="44"/>
  <c r="P35" i="44"/>
  <c r="O35" i="44"/>
  <c r="Q34" i="44"/>
  <c r="P34" i="44"/>
  <c r="O34" i="44"/>
  <c r="S33" i="44"/>
  <c r="Q33" i="44"/>
  <c r="P33" i="44"/>
  <c r="O33" i="44"/>
  <c r="V32" i="44"/>
  <c r="Q32" i="44"/>
  <c r="P32" i="44"/>
  <c r="Q31" i="44"/>
  <c r="Q30" i="44"/>
  <c r="Q29" i="44"/>
  <c r="P29" i="44"/>
  <c r="P820" i="44" s="1"/>
  <c r="N245" i="35" s="1"/>
  <c r="N405" i="35" s="1"/>
  <c r="O29" i="44"/>
  <c r="V28" i="44"/>
  <c r="V55" i="44" s="1"/>
  <c r="V84" i="44" s="1"/>
  <c r="Q28" i="44"/>
  <c r="P28" i="44"/>
  <c r="P829" i="44" s="1"/>
  <c r="N236" i="35" s="1"/>
  <c r="N419" i="35" s="1"/>
  <c r="Q27" i="44"/>
  <c r="P27" i="44"/>
  <c r="O27" i="44"/>
  <c r="V26" i="44"/>
  <c r="V25" i="44"/>
  <c r="Q25" i="44"/>
  <c r="P25" i="44"/>
  <c r="V24" i="44"/>
  <c r="Q24" i="44"/>
  <c r="P24" i="44"/>
  <c r="O24" i="44"/>
  <c r="V23" i="44"/>
  <c r="V51" i="44" s="1"/>
  <c r="V80" i="44" s="1"/>
  <c r="V107" i="44" s="1"/>
  <c r="V136" i="44" s="1"/>
  <c r="V165" i="44" s="1"/>
  <c r="Q23" i="44"/>
  <c r="P23" i="44"/>
  <c r="O23" i="44"/>
  <c r="Q22" i="44"/>
  <c r="P22" i="44"/>
  <c r="P813" i="44" s="1"/>
  <c r="N238" i="35" s="1"/>
  <c r="O22" i="44"/>
  <c r="V21" i="44"/>
  <c r="V20" i="44"/>
  <c r="V19" i="44"/>
  <c r="V18" i="44"/>
  <c r="Q16" i="44"/>
  <c r="P16" i="44"/>
  <c r="P804" i="44" s="1"/>
  <c r="N224" i="35" s="1"/>
  <c r="N377" i="35" s="1"/>
  <c r="O16" i="44"/>
  <c r="V15" i="44"/>
  <c r="V44" i="44" s="1"/>
  <c r="V14" i="44"/>
  <c r="V13" i="44"/>
  <c r="Q13" i="44"/>
  <c r="P13" i="44"/>
  <c r="O13" i="44"/>
  <c r="V12" i="44"/>
  <c r="V41" i="44" s="1"/>
  <c r="V69" i="44" s="1"/>
  <c r="Q12" i="44"/>
  <c r="P12" i="44"/>
  <c r="O12" i="44"/>
  <c r="Q11" i="44"/>
  <c r="P11" i="44"/>
  <c r="P797" i="44" s="1"/>
  <c r="N219" i="35" s="1"/>
  <c r="O11" i="44"/>
  <c r="O797" i="44" s="1"/>
  <c r="M219" i="35" s="1"/>
  <c r="Q9" i="44"/>
  <c r="P9" i="44"/>
  <c r="O9" i="44"/>
  <c r="V8" i="44"/>
  <c r="V38" i="44" s="1"/>
  <c r="Q8" i="44"/>
  <c r="P8" i="44"/>
  <c r="P790" i="44" s="1"/>
  <c r="N212" i="35" s="1"/>
  <c r="O8" i="44"/>
  <c r="V7" i="44"/>
  <c r="V36" i="44" s="1"/>
  <c r="V64" i="44" s="1"/>
  <c r="Q7" i="44"/>
  <c r="P7" i="44"/>
  <c r="Q6" i="44"/>
  <c r="P6" i="44"/>
  <c r="O6" i="44"/>
  <c r="Q5" i="44"/>
  <c r="P5" i="44"/>
  <c r="O5" i="44"/>
  <c r="V5" i="44" s="1"/>
  <c r="V34" i="44" s="1"/>
  <c r="S4" i="44"/>
  <c r="R4" i="44"/>
  <c r="Q4" i="44"/>
  <c r="P4" i="44"/>
  <c r="O4" i="44"/>
  <c r="DQ346" i="43"/>
  <c r="S753" i="44" s="1"/>
  <c r="DP346" i="43"/>
  <c r="DO346" i="43"/>
  <c r="DN346" i="43"/>
  <c r="S721" i="44" s="1"/>
  <c r="DM346" i="43"/>
  <c r="DL346" i="43"/>
  <c r="DK346" i="43"/>
  <c r="DJ346" i="43"/>
  <c r="DI346" i="43"/>
  <c r="DH346" i="43"/>
  <c r="DF346" i="43"/>
  <c r="DE346" i="43"/>
  <c r="S659" i="44" s="1"/>
  <c r="DD346" i="43"/>
  <c r="R659" i="44" s="1"/>
  <c r="DC346" i="43"/>
  <c r="DB346" i="43"/>
  <c r="S628" i="44" s="1"/>
  <c r="DA346" i="43"/>
  <c r="R628" i="44" s="1"/>
  <c r="CZ346" i="43"/>
  <c r="CX346" i="43"/>
  <c r="R596" i="44" s="1"/>
  <c r="CW346" i="43"/>
  <c r="CV346" i="43"/>
  <c r="CU346" i="43"/>
  <c r="CT346" i="43"/>
  <c r="CS346" i="43"/>
  <c r="S531" i="44" s="1"/>
  <c r="CR346" i="43"/>
  <c r="R531" i="44" s="1"/>
  <c r="CQ346" i="43"/>
  <c r="CP346" i="43"/>
  <c r="CO346" i="43"/>
  <c r="CN346" i="43"/>
  <c r="CM346" i="43"/>
  <c r="CL346" i="43"/>
  <c r="R497" i="44" s="1"/>
  <c r="CK346" i="43"/>
  <c r="CJ346" i="43"/>
  <c r="CI346" i="43"/>
  <c r="CH346" i="43"/>
  <c r="CG346" i="43"/>
  <c r="CF346" i="43"/>
  <c r="CE346" i="43"/>
  <c r="CD346" i="43"/>
  <c r="CC346" i="43"/>
  <c r="R402" i="44" s="1"/>
  <c r="CB346" i="43"/>
  <c r="BY346" i="43"/>
  <c r="BX346" i="43"/>
  <c r="S342" i="44" s="1"/>
  <c r="BW346" i="43"/>
  <c r="R342" i="44" s="1"/>
  <c r="BV346" i="43"/>
  <c r="BU346" i="43"/>
  <c r="BT346" i="43"/>
  <c r="BS346" i="43"/>
  <c r="BR346" i="43"/>
  <c r="S316" i="44" s="1"/>
  <c r="BQ346" i="43"/>
  <c r="BP346" i="43"/>
  <c r="BO346" i="43"/>
  <c r="S289" i="44" s="1"/>
  <c r="BN346" i="43"/>
  <c r="BM346" i="43"/>
  <c r="BL346" i="43"/>
  <c r="S262" i="44" s="1"/>
  <c r="BK346" i="43"/>
  <c r="R262" i="44" s="1"/>
  <c r="BJ346" i="43"/>
  <c r="BI346" i="43"/>
  <c r="S234" i="44" s="1"/>
  <c r="BH346" i="43"/>
  <c r="R234" i="44" s="1"/>
  <c r="BG346" i="43"/>
  <c r="BF346" i="43"/>
  <c r="BE346" i="43"/>
  <c r="R205" i="44" s="1"/>
  <c r="R785" i="44" s="1"/>
  <c r="R839" i="44" s="1"/>
  <c r="BD346" i="43"/>
  <c r="BB346" i="43"/>
  <c r="R176" i="44" s="1"/>
  <c r="BA346" i="43"/>
  <c r="AZ346" i="43"/>
  <c r="AY346" i="43"/>
  <c r="AX346" i="43"/>
  <c r="AV346" i="43"/>
  <c r="R146" i="44" s="1"/>
  <c r="AU346" i="43"/>
  <c r="AT346" i="43"/>
  <c r="S117" i="44" s="1"/>
  <c r="AS346" i="43"/>
  <c r="R117" i="44" s="1"/>
  <c r="AR346" i="43"/>
  <c r="AQ346" i="43"/>
  <c r="S90" i="44" s="1"/>
  <c r="AP346" i="43"/>
  <c r="R90" i="44" s="1"/>
  <c r="AO346" i="43"/>
  <c r="AN346" i="43"/>
  <c r="S61" i="44" s="1"/>
  <c r="AM346" i="43"/>
  <c r="AL346" i="43"/>
  <c r="AK346" i="43"/>
  <c r="AJ346" i="43"/>
  <c r="R33" i="44" s="1"/>
  <c r="AI346" i="43"/>
  <c r="AH346" i="43"/>
  <c r="AG346" i="43"/>
  <c r="AF346" i="43"/>
  <c r="DG315" i="43"/>
  <c r="DG346" i="43" s="1"/>
  <c r="R690" i="44" s="1"/>
  <c r="BC315" i="43"/>
  <c r="BC346" i="43" s="1"/>
  <c r="S176" i="44" s="1"/>
  <c r="BB315" i="43"/>
  <c r="CY314" i="43"/>
  <c r="CY346" i="43" s="1"/>
  <c r="S596" i="44" s="1"/>
  <c r="CX314" i="43"/>
  <c r="O597" i="44" s="1"/>
  <c r="CA314" i="43"/>
  <c r="BZ314" i="43"/>
  <c r="BZ346" i="43" s="1"/>
  <c r="BL314" i="43"/>
  <c r="P263" i="44" s="1"/>
  <c r="BK314" i="43"/>
  <c r="O263" i="44" s="1"/>
  <c r="AW314" i="43"/>
  <c r="AV314" i="43"/>
  <c r="DP308" i="43"/>
  <c r="DK308" i="43"/>
  <c r="DJ308" i="43"/>
  <c r="DI308" i="43"/>
  <c r="DG308" i="43"/>
  <c r="DD308" i="43"/>
  <c r="DA308" i="43"/>
  <c r="CX308" i="43"/>
  <c r="CU308" i="43"/>
  <c r="CR308" i="43"/>
  <c r="CP308" i="43"/>
  <c r="CO308" i="43"/>
  <c r="CL308" i="43"/>
  <c r="CI308" i="43"/>
  <c r="CF308" i="43"/>
  <c r="CC308" i="43"/>
  <c r="BZ308" i="43"/>
  <c r="BW308" i="43"/>
  <c r="BU308" i="43"/>
  <c r="BT308" i="43"/>
  <c r="BS308" i="43"/>
  <c r="BQ308" i="43"/>
  <c r="BN308" i="43"/>
  <c r="BH308" i="43"/>
  <c r="BB308" i="43"/>
  <c r="AZ308" i="43"/>
  <c r="AY308" i="43"/>
  <c r="AV308" i="43"/>
  <c r="AS308" i="43"/>
  <c r="AJ308" i="43"/>
  <c r="D308" i="43"/>
  <c r="C308" i="43"/>
  <c r="DQ307" i="43"/>
  <c r="DN307" i="43"/>
  <c r="DH307" i="43"/>
  <c r="DE307" i="43"/>
  <c r="DB307" i="43"/>
  <c r="CY307" i="43"/>
  <c r="CV307" i="43"/>
  <c r="CS307" i="43"/>
  <c r="CM307" i="43"/>
  <c r="CJ307" i="43"/>
  <c r="CG307" i="43"/>
  <c r="CD307" i="43"/>
  <c r="CA307" i="43"/>
  <c r="BX307" i="43"/>
  <c r="BR307" i="43"/>
  <c r="BO307" i="43"/>
  <c r="BL307" i="43"/>
  <c r="BI307" i="43"/>
  <c r="BF307" i="43"/>
  <c r="BC307" i="43"/>
  <c r="AW307" i="43"/>
  <c r="AT307" i="43"/>
  <c r="AQ307" i="43"/>
  <c r="AN307" i="43"/>
  <c r="AK307" i="43"/>
  <c r="AH307" i="43"/>
  <c r="DO306" i="43"/>
  <c r="DQ306" i="43" s="1"/>
  <c r="DL306" i="43"/>
  <c r="DF306" i="43"/>
  <c r="DN306" i="43" s="1"/>
  <c r="DC306" i="43"/>
  <c r="DH306" i="43" s="1"/>
  <c r="DB306" i="43"/>
  <c r="CZ306" i="43"/>
  <c r="CW306" i="43"/>
  <c r="CY306" i="43" s="1"/>
  <c r="CT306" i="43"/>
  <c r="CV306" i="43" s="1"/>
  <c r="CQ306" i="43"/>
  <c r="CS306" i="43" s="1"/>
  <c r="CM306" i="43"/>
  <c r="CK306" i="43"/>
  <c r="CH306" i="43"/>
  <c r="CG306" i="43"/>
  <c r="CE306" i="43"/>
  <c r="CJ306" i="43" s="1"/>
  <c r="CB306" i="43"/>
  <c r="BY306" i="43"/>
  <c r="BV306" i="43"/>
  <c r="BR306" i="43"/>
  <c r="BP306" i="43"/>
  <c r="BX306" i="43" s="1"/>
  <c r="BO306" i="43"/>
  <c r="BM306" i="43"/>
  <c r="BL306" i="43"/>
  <c r="BJ306" i="43"/>
  <c r="BG306" i="43"/>
  <c r="BD306" i="43"/>
  <c r="BI306" i="43" s="1"/>
  <c r="BA306" i="43"/>
  <c r="BF306" i="43" s="1"/>
  <c r="AU306" i="43"/>
  <c r="AW306" i="43" s="1"/>
  <c r="AR306" i="43"/>
  <c r="AT306" i="43" s="1"/>
  <c r="AO306" i="43"/>
  <c r="AQ306" i="43" s="1"/>
  <c r="AL306" i="43"/>
  <c r="AI306" i="43"/>
  <c r="AH306" i="43"/>
  <c r="AF306" i="43"/>
  <c r="DQ305" i="43"/>
  <c r="DN305" i="43"/>
  <c r="DH305" i="43"/>
  <c r="DE305" i="43"/>
  <c r="DB305" i="43"/>
  <c r="CY305" i="43"/>
  <c r="CV305" i="43"/>
  <c r="CS305" i="43"/>
  <c r="CM305" i="43"/>
  <c r="CJ305" i="43"/>
  <c r="CG305" i="43"/>
  <c r="CD305" i="43"/>
  <c r="CA305" i="43"/>
  <c r="BX305" i="43"/>
  <c r="BR305" i="43"/>
  <c r="BO305" i="43"/>
  <c r="BL305" i="43"/>
  <c r="BI305" i="43"/>
  <c r="BF305" i="43"/>
  <c r="BC305" i="43"/>
  <c r="AW305" i="43"/>
  <c r="AT305" i="43"/>
  <c r="AQ305" i="43"/>
  <c r="AN305" i="43"/>
  <c r="AK305" i="43"/>
  <c r="AH305" i="43"/>
  <c r="DQ304" i="43"/>
  <c r="DN304" i="43"/>
  <c r="DH304" i="43"/>
  <c r="DE304" i="43"/>
  <c r="DB304" i="43"/>
  <c r="CY304" i="43"/>
  <c r="CV304" i="43"/>
  <c r="CS304" i="43"/>
  <c r="CM304" i="43"/>
  <c r="CJ304" i="43"/>
  <c r="CG304" i="43"/>
  <c r="BX304" i="43"/>
  <c r="BR304" i="43"/>
  <c r="BO304" i="43"/>
  <c r="BL304" i="43"/>
  <c r="BI304" i="43"/>
  <c r="BF304" i="43"/>
  <c r="BC304" i="43"/>
  <c r="AW304" i="43"/>
  <c r="AT304" i="43"/>
  <c r="AQ304" i="43"/>
  <c r="AN304" i="43"/>
  <c r="AK304" i="43"/>
  <c r="AH304" i="43"/>
  <c r="DQ303" i="43"/>
  <c r="DN303" i="43"/>
  <c r="DH303" i="43"/>
  <c r="DE303" i="43"/>
  <c r="DB303" i="43"/>
  <c r="CY303" i="43"/>
  <c r="DH302" i="43"/>
  <c r="DE302" i="43"/>
  <c r="DB302" i="43"/>
  <c r="CY302" i="43"/>
  <c r="CV302" i="43"/>
  <c r="CS302" i="43"/>
  <c r="CM302" i="43"/>
  <c r="CJ302" i="43"/>
  <c r="CG302" i="43"/>
  <c r="CD302" i="43"/>
  <c r="BW302" i="43"/>
  <c r="BX302" i="43" s="1"/>
  <c r="BR302" i="43"/>
  <c r="BO302" i="43"/>
  <c r="BL302" i="43"/>
  <c r="BI302" i="43"/>
  <c r="BF302" i="43"/>
  <c r="BC302" i="43"/>
  <c r="AW302" i="43"/>
  <c r="AT302" i="43"/>
  <c r="AQ302" i="43"/>
  <c r="AN302" i="43"/>
  <c r="AK302" i="43"/>
  <c r="AH302" i="43"/>
  <c r="DQ301" i="43"/>
  <c r="DN301" i="43"/>
  <c r="DH301" i="43"/>
  <c r="DE301" i="43"/>
  <c r="DB301" i="43"/>
  <c r="CY301" i="43"/>
  <c r="CV301" i="43"/>
  <c r="CS301" i="43"/>
  <c r="CM301" i="43"/>
  <c r="CJ301" i="43"/>
  <c r="CG301" i="43"/>
  <c r="CD301" i="43"/>
  <c r="CA301" i="43"/>
  <c r="BX301" i="43"/>
  <c r="BR301" i="43"/>
  <c r="BO301" i="43"/>
  <c r="BL301" i="43"/>
  <c r="BI301" i="43"/>
  <c r="BF301" i="43"/>
  <c r="BC301" i="43"/>
  <c r="AW301" i="43"/>
  <c r="AT301" i="43"/>
  <c r="AQ301" i="43"/>
  <c r="AN301" i="43"/>
  <c r="AK301" i="43"/>
  <c r="AH301" i="43"/>
  <c r="DQ300" i="43"/>
  <c r="DN300" i="43"/>
  <c r="DH300" i="43"/>
  <c r="DE300" i="43"/>
  <c r="DB300" i="43"/>
  <c r="CY300" i="43"/>
  <c r="CV300" i="43"/>
  <c r="CS300" i="43"/>
  <c r="CM300" i="43"/>
  <c r="CJ300" i="43"/>
  <c r="CG300" i="43"/>
  <c r="CD300" i="43"/>
  <c r="CA300" i="43"/>
  <c r="BX300" i="43"/>
  <c r="BR300" i="43"/>
  <c r="BO300" i="43"/>
  <c r="BL300" i="43"/>
  <c r="BI300" i="43"/>
  <c r="BF300" i="43"/>
  <c r="BC300" i="43"/>
  <c r="AW300" i="43"/>
  <c r="AT300" i="43"/>
  <c r="AQ300" i="43"/>
  <c r="AN300" i="43"/>
  <c r="AK300" i="43"/>
  <c r="AH300" i="43"/>
  <c r="AW298" i="43"/>
  <c r="AT298" i="43"/>
  <c r="AQ298" i="43"/>
  <c r="AN298" i="43"/>
  <c r="AK298" i="43"/>
  <c r="AH298" i="43"/>
  <c r="BL297" i="43"/>
  <c r="BI297" i="43"/>
  <c r="BF297" i="43"/>
  <c r="BC297" i="43"/>
  <c r="AW297" i="43"/>
  <c r="AT297" i="43"/>
  <c r="AQ297" i="43"/>
  <c r="AN297" i="43"/>
  <c r="AK297" i="43"/>
  <c r="AH297" i="43"/>
  <c r="AT296" i="43"/>
  <c r="AQ296" i="43"/>
  <c r="AN296" i="43"/>
  <c r="AK296" i="43"/>
  <c r="AH296" i="43"/>
  <c r="AW295" i="43"/>
  <c r="AT295" i="43"/>
  <c r="AQ295" i="43"/>
  <c r="AN295" i="43"/>
  <c r="AK295" i="43"/>
  <c r="AH295" i="43"/>
  <c r="DQ294" i="43"/>
  <c r="DN294" i="43"/>
  <c r="DH294" i="43"/>
  <c r="DE294" i="43"/>
  <c r="DB294" i="43"/>
  <c r="CY294" i="43"/>
  <c r="CV294" i="43"/>
  <c r="CS294" i="43"/>
  <c r="CM294" i="43"/>
  <c r="CJ294" i="43"/>
  <c r="CG294" i="43"/>
  <c r="CD294" i="43"/>
  <c r="CA294" i="43"/>
  <c r="BX294" i="43"/>
  <c r="BR294" i="43"/>
  <c r="BO294" i="43"/>
  <c r="BL294" i="43"/>
  <c r="BI294" i="43"/>
  <c r="BF294" i="43"/>
  <c r="BC294" i="43"/>
  <c r="AW294" i="43"/>
  <c r="AT294" i="43"/>
  <c r="AQ294" i="43"/>
  <c r="AN294" i="43"/>
  <c r="AK294" i="43"/>
  <c r="AH294" i="43"/>
  <c r="DQ293" i="43"/>
  <c r="DN293" i="43"/>
  <c r="DH293" i="43"/>
  <c r="DE293" i="43"/>
  <c r="DB293" i="43"/>
  <c r="CY293" i="43"/>
  <c r="CV293" i="43"/>
  <c r="CS293" i="43"/>
  <c r="CM293" i="43"/>
  <c r="CJ293" i="43"/>
  <c r="CG293" i="43"/>
  <c r="CD293" i="43"/>
  <c r="CA293" i="43"/>
  <c r="BX293" i="43"/>
  <c r="BR293" i="43"/>
  <c r="BO293" i="43"/>
  <c r="BL293" i="43"/>
  <c r="BI293" i="43"/>
  <c r="BF293" i="43"/>
  <c r="BC293" i="43"/>
  <c r="AW293" i="43"/>
  <c r="AT293" i="43"/>
  <c r="AQ293" i="43"/>
  <c r="AN293" i="43"/>
  <c r="AK293" i="43"/>
  <c r="AH293" i="43"/>
  <c r="DQ292" i="43"/>
  <c r="DN292" i="43"/>
  <c r="DH292" i="43"/>
  <c r="DE292" i="43"/>
  <c r="DB292" i="43"/>
  <c r="CY292" i="43"/>
  <c r="CV292" i="43"/>
  <c r="CS292" i="43"/>
  <c r="CM292" i="43"/>
  <c r="CJ292" i="43"/>
  <c r="CG292" i="43"/>
  <c r="CD292" i="43"/>
  <c r="CA292" i="43"/>
  <c r="BX292" i="43"/>
  <c r="BR292" i="43"/>
  <c r="BO292" i="43"/>
  <c r="BL292" i="43"/>
  <c r="BI292" i="43"/>
  <c r="BF292" i="43"/>
  <c r="BC292" i="43"/>
  <c r="AW292" i="43"/>
  <c r="AT292" i="43"/>
  <c r="AQ292" i="43"/>
  <c r="AN292" i="43"/>
  <c r="AK292" i="43"/>
  <c r="AH292" i="43"/>
  <c r="DQ291" i="43"/>
  <c r="DN291" i="43"/>
  <c r="DH291" i="43"/>
  <c r="DE291" i="43"/>
  <c r="DB291" i="43"/>
  <c r="CY291" i="43"/>
  <c r="CV291" i="43"/>
  <c r="CS291" i="43"/>
  <c r="CM291" i="43"/>
  <c r="CJ291" i="43"/>
  <c r="CG291" i="43"/>
  <c r="CD291" i="43"/>
  <c r="CA291" i="43"/>
  <c r="BX291" i="43"/>
  <c r="BR291" i="43"/>
  <c r="BO291" i="43"/>
  <c r="BL291" i="43"/>
  <c r="BI291" i="43"/>
  <c r="BF291" i="43"/>
  <c r="BC291" i="43"/>
  <c r="AW291" i="43"/>
  <c r="AT291" i="43"/>
  <c r="AQ291" i="43"/>
  <c r="AN291" i="43"/>
  <c r="AK291" i="43"/>
  <c r="AH291" i="43"/>
  <c r="DQ290" i="43"/>
  <c r="DN290" i="43"/>
  <c r="DH290" i="43"/>
  <c r="DE290" i="43"/>
  <c r="DB290" i="43"/>
  <c r="CY290" i="43"/>
  <c r="CV290" i="43"/>
  <c r="CS290" i="43"/>
  <c r="CM290" i="43"/>
  <c r="CJ290" i="43"/>
  <c r="CG290" i="43"/>
  <c r="CD290" i="43"/>
  <c r="CA290" i="43"/>
  <c r="BX290" i="43"/>
  <c r="BR290" i="43"/>
  <c r="BO290" i="43"/>
  <c r="BL290" i="43"/>
  <c r="BI290" i="43"/>
  <c r="BF290" i="43"/>
  <c r="BC290" i="43"/>
  <c r="AW290" i="43"/>
  <c r="AT290" i="43"/>
  <c r="AQ290" i="43"/>
  <c r="AN290" i="43"/>
  <c r="AK290" i="43"/>
  <c r="AH290" i="43"/>
  <c r="DQ289" i="43"/>
  <c r="DN289" i="43"/>
  <c r="DH289" i="43"/>
  <c r="DE289" i="43"/>
  <c r="DB289" i="43"/>
  <c r="CY289" i="43"/>
  <c r="CV289" i="43"/>
  <c r="CS289" i="43"/>
  <c r="CM289" i="43"/>
  <c r="CJ289" i="43"/>
  <c r="CG289" i="43"/>
  <c r="CD289" i="43"/>
  <c r="CA289" i="43"/>
  <c r="BX289" i="43"/>
  <c r="BR289" i="43"/>
  <c r="BO289" i="43"/>
  <c r="BL289" i="43"/>
  <c r="BI289" i="43"/>
  <c r="BF289" i="43"/>
  <c r="BC289" i="43"/>
  <c r="AW289" i="43"/>
  <c r="AT289" i="43"/>
  <c r="AQ289" i="43"/>
  <c r="AN289" i="43"/>
  <c r="AK289" i="43"/>
  <c r="AH289" i="43"/>
  <c r="DQ288" i="43"/>
  <c r="DN288" i="43"/>
  <c r="DH288" i="43"/>
  <c r="DE288" i="43"/>
  <c r="DB288" i="43"/>
  <c r="CY288" i="43"/>
  <c r="CV288" i="43"/>
  <c r="CS288" i="43"/>
  <c r="CM288" i="43"/>
  <c r="CJ288" i="43"/>
  <c r="CG288" i="43"/>
  <c r="CD288" i="43"/>
  <c r="CA288" i="43"/>
  <c r="BX288" i="43"/>
  <c r="BR288" i="43"/>
  <c r="BO288" i="43"/>
  <c r="BL288" i="43"/>
  <c r="BI288" i="43"/>
  <c r="BF288" i="43"/>
  <c r="BC288" i="43"/>
  <c r="AW288" i="43"/>
  <c r="AT288" i="43"/>
  <c r="AQ288" i="43"/>
  <c r="AN288" i="43"/>
  <c r="AK288" i="43"/>
  <c r="AH288" i="43"/>
  <c r="DQ287" i="43"/>
  <c r="DN287" i="43"/>
  <c r="DH287" i="43"/>
  <c r="DE287" i="43"/>
  <c r="DB287" i="43"/>
  <c r="CY287" i="43"/>
  <c r="CV287" i="43"/>
  <c r="CS287" i="43"/>
  <c r="CM287" i="43"/>
  <c r="CJ287" i="43"/>
  <c r="CG287" i="43"/>
  <c r="CD287" i="43"/>
  <c r="CA287" i="43"/>
  <c r="BX287" i="43"/>
  <c r="BR287" i="43"/>
  <c r="BO287" i="43"/>
  <c r="BL287" i="43"/>
  <c r="BI287" i="43"/>
  <c r="BF287" i="43"/>
  <c r="BC287" i="43"/>
  <c r="AW287" i="43"/>
  <c r="AT287" i="43"/>
  <c r="AQ287" i="43"/>
  <c r="AN287" i="43"/>
  <c r="AK287" i="43"/>
  <c r="AH287" i="43"/>
  <c r="DQ286" i="43"/>
  <c r="DN286" i="43"/>
  <c r="DH286" i="43"/>
  <c r="DE286" i="43"/>
  <c r="DB286" i="43"/>
  <c r="CY286" i="43"/>
  <c r="CV286" i="43"/>
  <c r="CS286" i="43"/>
  <c r="CM286" i="43"/>
  <c r="CJ286" i="43"/>
  <c r="CG286" i="43"/>
  <c r="CD286" i="43"/>
  <c r="CA286" i="43"/>
  <c r="BX286" i="43"/>
  <c r="BR286" i="43"/>
  <c r="BO286" i="43"/>
  <c r="BL286" i="43"/>
  <c r="BI286" i="43"/>
  <c r="BF286" i="43"/>
  <c r="BC286" i="43"/>
  <c r="AW286" i="43"/>
  <c r="AT286" i="43"/>
  <c r="AQ286" i="43"/>
  <c r="AN286" i="43"/>
  <c r="AK286" i="43"/>
  <c r="AH286" i="43"/>
  <c r="DQ285" i="43"/>
  <c r="DN285" i="43"/>
  <c r="DH285" i="43"/>
  <c r="DE285" i="43"/>
  <c r="DB285" i="43"/>
  <c r="CY285" i="43"/>
  <c r="CV285" i="43"/>
  <c r="CS285" i="43"/>
  <c r="CM285" i="43"/>
  <c r="CJ285" i="43"/>
  <c r="CG285" i="43"/>
  <c r="CD285" i="43"/>
  <c r="CA285" i="43"/>
  <c r="BX285" i="43"/>
  <c r="BR285" i="43"/>
  <c r="BO285" i="43"/>
  <c r="BL285" i="43"/>
  <c r="BI285" i="43"/>
  <c r="BF285" i="43"/>
  <c r="BC285" i="43"/>
  <c r="AW285" i="43"/>
  <c r="AT285" i="43"/>
  <c r="AQ285" i="43"/>
  <c r="AN285" i="43"/>
  <c r="AK285" i="43"/>
  <c r="AH285" i="43"/>
  <c r="DQ284" i="43"/>
  <c r="DN284" i="43"/>
  <c r="DH284" i="43"/>
  <c r="DE284" i="43"/>
  <c r="DB284" i="43"/>
  <c r="CY284" i="43"/>
  <c r="CV284" i="43"/>
  <c r="CS284" i="43"/>
  <c r="CM284" i="43"/>
  <c r="CJ284" i="43"/>
  <c r="CG284" i="43"/>
  <c r="CD284" i="43"/>
  <c r="CA284" i="43"/>
  <c r="BX284" i="43"/>
  <c r="BR284" i="43"/>
  <c r="BO284" i="43"/>
  <c r="BL284" i="43"/>
  <c r="BI284" i="43"/>
  <c r="BF284" i="43"/>
  <c r="BC284" i="43"/>
  <c r="AW284" i="43"/>
  <c r="AT284" i="43"/>
  <c r="AQ284" i="43"/>
  <c r="AN284" i="43"/>
  <c r="AK284" i="43"/>
  <c r="AH284" i="43"/>
  <c r="DQ283" i="43"/>
  <c r="DN283" i="43"/>
  <c r="DH283" i="43"/>
  <c r="DE283" i="43"/>
  <c r="DB283" i="43"/>
  <c r="CY283" i="43"/>
  <c r="CV283" i="43"/>
  <c r="CS283" i="43"/>
  <c r="CM283" i="43"/>
  <c r="CJ283" i="43"/>
  <c r="CG283" i="43"/>
  <c r="CD283" i="43"/>
  <c r="CA283" i="43"/>
  <c r="BX283" i="43"/>
  <c r="BR283" i="43"/>
  <c r="BO283" i="43"/>
  <c r="BL283" i="43"/>
  <c r="BI283" i="43"/>
  <c r="BF283" i="43"/>
  <c r="BC283" i="43"/>
  <c r="AW283" i="43"/>
  <c r="AT283" i="43"/>
  <c r="AQ283" i="43"/>
  <c r="AN283" i="43"/>
  <c r="AK283" i="43"/>
  <c r="AH283" i="43"/>
  <c r="DQ282" i="43"/>
  <c r="DN282" i="43"/>
  <c r="DH282" i="43"/>
  <c r="DE282" i="43"/>
  <c r="DB282" i="43"/>
  <c r="CY282" i="43"/>
  <c r="CV282" i="43"/>
  <c r="CS282" i="43"/>
  <c r="CM282" i="43"/>
  <c r="CJ282" i="43"/>
  <c r="CG282" i="43"/>
  <c r="CD282" i="43"/>
  <c r="CA282" i="43"/>
  <c r="BX282" i="43"/>
  <c r="BR282" i="43"/>
  <c r="BO282" i="43"/>
  <c r="BL282" i="43"/>
  <c r="BI282" i="43"/>
  <c r="BF282" i="43"/>
  <c r="BC282" i="43"/>
  <c r="AW282" i="43"/>
  <c r="AT282" i="43"/>
  <c r="AQ282" i="43"/>
  <c r="AN282" i="43"/>
  <c r="AK282" i="43"/>
  <c r="AH282" i="43"/>
  <c r="DQ281" i="43"/>
  <c r="DN281" i="43"/>
  <c r="DH281" i="43"/>
  <c r="DE281" i="43"/>
  <c r="DB281" i="43"/>
  <c r="CY281" i="43"/>
  <c r="CV281" i="43"/>
  <c r="CS281" i="43"/>
  <c r="CM281" i="43"/>
  <c r="CJ281" i="43"/>
  <c r="CG281" i="43"/>
  <c r="CD281" i="43"/>
  <c r="CA281" i="43"/>
  <c r="BX281" i="43"/>
  <c r="BR281" i="43"/>
  <c r="BO281" i="43"/>
  <c r="BL281" i="43"/>
  <c r="BI281" i="43"/>
  <c r="BF281" i="43"/>
  <c r="BC281" i="43"/>
  <c r="AW281" i="43"/>
  <c r="AT281" i="43"/>
  <c r="AQ281" i="43"/>
  <c r="AN281" i="43"/>
  <c r="AK281" i="43"/>
  <c r="AH281" i="43"/>
  <c r="DQ280" i="43"/>
  <c r="DN280" i="43"/>
  <c r="DH280" i="43"/>
  <c r="DE280" i="43"/>
  <c r="DB280" i="43"/>
  <c r="CY280" i="43"/>
  <c r="CV280" i="43"/>
  <c r="CS280" i="43"/>
  <c r="CM280" i="43"/>
  <c r="CJ280" i="43"/>
  <c r="CG280" i="43"/>
  <c r="CD280" i="43"/>
  <c r="CA280" i="43"/>
  <c r="BX280" i="43"/>
  <c r="BR280" i="43"/>
  <c r="BO280" i="43"/>
  <c r="BL280" i="43"/>
  <c r="BI280" i="43"/>
  <c r="BF280" i="43"/>
  <c r="BE280" i="43"/>
  <c r="BC280" i="43"/>
  <c r="AW280" i="43"/>
  <c r="AT280" i="43"/>
  <c r="AQ280" i="43"/>
  <c r="AN280" i="43"/>
  <c r="AK280" i="43"/>
  <c r="AH280" i="43"/>
  <c r="DQ279" i="43"/>
  <c r="DN279" i="43"/>
  <c r="DH279" i="43"/>
  <c r="DE279" i="43"/>
  <c r="DB279" i="43"/>
  <c r="CY279" i="43"/>
  <c r="CV279" i="43"/>
  <c r="CS279" i="43"/>
  <c r="CM279" i="43"/>
  <c r="CJ279" i="43"/>
  <c r="CG279" i="43"/>
  <c r="CD279" i="43"/>
  <c r="CA279" i="43"/>
  <c r="BX279" i="43"/>
  <c r="BR279" i="43"/>
  <c r="BO279" i="43"/>
  <c r="BL279" i="43"/>
  <c r="BI279" i="43"/>
  <c r="BF279" i="43"/>
  <c r="BC279" i="43"/>
  <c r="AT279" i="43"/>
  <c r="AQ279" i="43"/>
  <c r="AN279" i="43"/>
  <c r="AK279" i="43"/>
  <c r="AH279" i="43"/>
  <c r="DQ278" i="43"/>
  <c r="DN278" i="43"/>
  <c r="DH278" i="43"/>
  <c r="DE278" i="43"/>
  <c r="DB278" i="43"/>
  <c r="CY278" i="43"/>
  <c r="CV278" i="43"/>
  <c r="CS278" i="43"/>
  <c r="CM278" i="43"/>
  <c r="CJ278" i="43"/>
  <c r="CG278" i="43"/>
  <c r="CD278" i="43"/>
  <c r="CA278" i="43"/>
  <c r="BX278" i="43"/>
  <c r="BR278" i="43"/>
  <c r="BO278" i="43"/>
  <c r="BL278" i="43"/>
  <c r="BI278" i="43"/>
  <c r="BF278" i="43"/>
  <c r="AQ278" i="43"/>
  <c r="AN278" i="43"/>
  <c r="AK278" i="43"/>
  <c r="AH278" i="43"/>
  <c r="DQ277" i="43"/>
  <c r="DN277" i="43"/>
  <c r="DH277" i="43"/>
  <c r="DE277" i="43"/>
  <c r="DB277" i="43"/>
  <c r="CY277" i="43"/>
  <c r="CV277" i="43"/>
  <c r="CS277" i="43"/>
  <c r="CM277" i="43"/>
  <c r="CJ277" i="43"/>
  <c r="CG277" i="43"/>
  <c r="CD277" i="43"/>
  <c r="CA277" i="43"/>
  <c r="BX277" i="43"/>
  <c r="BR277" i="43"/>
  <c r="BO277" i="43"/>
  <c r="BL277" i="43"/>
  <c r="BI277" i="43"/>
  <c r="BF277" i="43"/>
  <c r="BC277" i="43"/>
  <c r="AT277" i="43"/>
  <c r="AQ277" i="43"/>
  <c r="AN277" i="43"/>
  <c r="AK277" i="43"/>
  <c r="AH277" i="43"/>
  <c r="DQ276" i="43"/>
  <c r="DN276" i="43"/>
  <c r="DH276" i="43"/>
  <c r="DE276" i="43"/>
  <c r="DB276" i="43"/>
  <c r="CY276" i="43"/>
  <c r="CV276" i="43"/>
  <c r="CS276" i="43"/>
  <c r="CM276" i="43"/>
  <c r="CJ276" i="43"/>
  <c r="CG276" i="43"/>
  <c r="CD276" i="43"/>
  <c r="CA276" i="43"/>
  <c r="BX276" i="43"/>
  <c r="BR276" i="43"/>
  <c r="BO276" i="43"/>
  <c r="BL276" i="43"/>
  <c r="BI276" i="43"/>
  <c r="BF276" i="43"/>
  <c r="AT276" i="43"/>
  <c r="AQ276" i="43"/>
  <c r="AN276" i="43"/>
  <c r="AK276" i="43"/>
  <c r="AH276" i="43"/>
  <c r="DQ275" i="43"/>
  <c r="DN275" i="43"/>
  <c r="DH275" i="43"/>
  <c r="DE275" i="43"/>
  <c r="DB275" i="43"/>
  <c r="CY275" i="43"/>
  <c r="CV275" i="43"/>
  <c r="CS275" i="43"/>
  <c r="CM275" i="43"/>
  <c r="CJ275" i="43"/>
  <c r="CG275" i="43"/>
  <c r="CD275" i="43"/>
  <c r="CA275" i="43"/>
  <c r="BX275" i="43"/>
  <c r="BR275" i="43"/>
  <c r="BO275" i="43"/>
  <c r="BL275" i="43"/>
  <c r="BI275" i="43"/>
  <c r="AT275" i="43"/>
  <c r="AQ275" i="43"/>
  <c r="AN275" i="43"/>
  <c r="AK275" i="43"/>
  <c r="AH275" i="43"/>
  <c r="DQ274" i="43"/>
  <c r="DN274" i="43"/>
  <c r="DH274" i="43"/>
  <c r="DE274" i="43"/>
  <c r="DB274" i="43"/>
  <c r="CY274" i="43"/>
  <c r="CV274" i="43"/>
  <c r="CS274" i="43"/>
  <c r="CM274" i="43"/>
  <c r="CJ274" i="43"/>
  <c r="CG274" i="43"/>
  <c r="CD274" i="43"/>
  <c r="CA274" i="43"/>
  <c r="BX274" i="43"/>
  <c r="BR274" i="43"/>
  <c r="BO274" i="43"/>
  <c r="BL274" i="43"/>
  <c r="BI274" i="43"/>
  <c r="AT274" i="43"/>
  <c r="AQ274" i="43"/>
  <c r="AN274" i="43"/>
  <c r="AK274" i="43"/>
  <c r="AH274" i="43"/>
  <c r="DQ273" i="43"/>
  <c r="DN273" i="43"/>
  <c r="DH273" i="43"/>
  <c r="DE273" i="43"/>
  <c r="DB273" i="43"/>
  <c r="CY273" i="43"/>
  <c r="CV273" i="43"/>
  <c r="CS273" i="43"/>
  <c r="CM273" i="43"/>
  <c r="CJ273" i="43"/>
  <c r="CG273" i="43"/>
  <c r="CD273" i="43"/>
  <c r="CA273" i="43"/>
  <c r="BX273" i="43"/>
  <c r="BR273" i="43"/>
  <c r="BO273" i="43"/>
  <c r="BL273" i="43"/>
  <c r="AT273" i="43"/>
  <c r="AQ273" i="43"/>
  <c r="AN273" i="43"/>
  <c r="AK273" i="43"/>
  <c r="AH273" i="43"/>
  <c r="AW272" i="43"/>
  <c r="AT272" i="43"/>
  <c r="AQ272" i="43"/>
  <c r="AN272" i="43"/>
  <c r="AK272" i="43"/>
  <c r="AH272" i="43"/>
  <c r="AT271" i="43"/>
  <c r="AQ271" i="43"/>
  <c r="AN271" i="43"/>
  <c r="AK271" i="43"/>
  <c r="AH271" i="43"/>
  <c r="AW270" i="43"/>
  <c r="AT270" i="43"/>
  <c r="AQ270" i="43"/>
  <c r="AN270" i="43"/>
  <c r="AK270" i="43"/>
  <c r="AH270" i="43"/>
  <c r="AN269" i="43"/>
  <c r="AK269" i="43"/>
  <c r="AH269" i="43"/>
  <c r="AN268" i="43"/>
  <c r="AK268" i="43"/>
  <c r="AH268" i="43"/>
  <c r="AN267" i="43"/>
  <c r="AK267" i="43"/>
  <c r="AH267" i="43"/>
  <c r="AN266" i="43"/>
  <c r="AK266" i="43"/>
  <c r="AH266" i="43"/>
  <c r="AW265" i="43"/>
  <c r="AT265" i="43"/>
  <c r="AQ265" i="43"/>
  <c r="AN265" i="43"/>
  <c r="AK265" i="43"/>
  <c r="AH265" i="43"/>
  <c r="DQ256" i="43"/>
  <c r="DN256" i="43"/>
  <c r="DH256" i="43"/>
  <c r="DE256" i="43"/>
  <c r="DB256" i="43"/>
  <c r="CY256" i="43"/>
  <c r="CV256" i="43"/>
  <c r="CS256" i="43"/>
  <c r="CM256" i="43"/>
  <c r="CJ256" i="43"/>
  <c r="CG256" i="43"/>
  <c r="CD256" i="43"/>
  <c r="CA256" i="43"/>
  <c r="BX256" i="43"/>
  <c r="BR256" i="43"/>
  <c r="BO256" i="43"/>
  <c r="BL256" i="43"/>
  <c r="BI256" i="43"/>
  <c r="BF256" i="43"/>
  <c r="BC256" i="43"/>
  <c r="AW256" i="43"/>
  <c r="AT256" i="43"/>
  <c r="AQ256" i="43"/>
  <c r="AN256" i="43"/>
  <c r="AK256" i="43"/>
  <c r="AH256" i="43"/>
  <c r="DQ255" i="43"/>
  <c r="DN255" i="43"/>
  <c r="DH255" i="43"/>
  <c r="DE255" i="43"/>
  <c r="DB255" i="43"/>
  <c r="CY255" i="43"/>
  <c r="CV255" i="43"/>
  <c r="CS255" i="43"/>
  <c r="CM255" i="43"/>
  <c r="CJ255" i="43"/>
  <c r="CG255" i="43"/>
  <c r="CD255" i="43"/>
  <c r="CA255" i="43"/>
  <c r="BX255" i="43"/>
  <c r="BR255" i="43"/>
  <c r="BO255" i="43"/>
  <c r="BL255" i="43"/>
  <c r="BI255" i="43"/>
  <c r="BF255" i="43"/>
  <c r="BC255" i="43"/>
  <c r="AW255" i="43"/>
  <c r="AT255" i="43"/>
  <c r="AQ255" i="43"/>
  <c r="AN255" i="43"/>
  <c r="AK255" i="43"/>
  <c r="AH255" i="43"/>
  <c r="DQ254" i="43"/>
  <c r="DN254" i="43"/>
  <c r="DH254" i="43"/>
  <c r="DE254" i="43"/>
  <c r="DB254" i="43"/>
  <c r="CY254" i="43"/>
  <c r="CV254" i="43"/>
  <c r="CS254" i="43"/>
  <c r="CM254" i="43"/>
  <c r="CJ254" i="43"/>
  <c r="CG254" i="43"/>
  <c r="CD254" i="43"/>
  <c r="CA254" i="43"/>
  <c r="BX254" i="43"/>
  <c r="BR254" i="43"/>
  <c r="BO254" i="43"/>
  <c r="BL254" i="43"/>
  <c r="BI254" i="43"/>
  <c r="BF254" i="43"/>
  <c r="BC254" i="43"/>
  <c r="AW254" i="43"/>
  <c r="AT254" i="43"/>
  <c r="AQ254" i="43"/>
  <c r="AN254" i="43"/>
  <c r="AK254" i="43"/>
  <c r="AH254" i="43"/>
  <c r="DQ253" i="43"/>
  <c r="DN253" i="43"/>
  <c r="DH253" i="43"/>
  <c r="DE253" i="43"/>
  <c r="DB253" i="43"/>
  <c r="CY253" i="43"/>
  <c r="CV253" i="43"/>
  <c r="CS253" i="43"/>
  <c r="CM253" i="43"/>
  <c r="CJ253" i="43"/>
  <c r="CG253" i="43"/>
  <c r="CD253" i="43"/>
  <c r="CA253" i="43"/>
  <c r="BX253" i="43"/>
  <c r="BR253" i="43"/>
  <c r="BO253" i="43"/>
  <c r="BL253" i="43"/>
  <c r="BI253" i="43"/>
  <c r="BF253" i="43"/>
  <c r="BC253" i="43"/>
  <c r="AW253" i="43"/>
  <c r="AT253" i="43"/>
  <c r="AQ253" i="43"/>
  <c r="AN253" i="43"/>
  <c r="AK253" i="43"/>
  <c r="AH253" i="43"/>
  <c r="DQ252" i="43"/>
  <c r="DN252" i="43"/>
  <c r="DH252" i="43"/>
  <c r="DE252" i="43"/>
  <c r="DB252" i="43"/>
  <c r="CY252" i="43"/>
  <c r="CV252" i="43"/>
  <c r="CS252" i="43"/>
  <c r="CM252" i="43"/>
  <c r="CJ252" i="43"/>
  <c r="CG252" i="43"/>
  <c r="CD252" i="43"/>
  <c r="CA252" i="43"/>
  <c r="BX252" i="43"/>
  <c r="BR252" i="43"/>
  <c r="BO252" i="43"/>
  <c r="BL252" i="43"/>
  <c r="BI252" i="43"/>
  <c r="BF252" i="43"/>
  <c r="BC252" i="43"/>
  <c r="AW252" i="43"/>
  <c r="AT252" i="43"/>
  <c r="AQ252" i="43"/>
  <c r="AN252" i="43"/>
  <c r="AK252" i="43"/>
  <c r="AH252" i="43"/>
  <c r="DQ251" i="43"/>
  <c r="DN251" i="43"/>
  <c r="DH251" i="43"/>
  <c r="DE251" i="43"/>
  <c r="DB251" i="43"/>
  <c r="CY251" i="43"/>
  <c r="CV251" i="43"/>
  <c r="CS251" i="43"/>
  <c r="CM251" i="43"/>
  <c r="CJ251" i="43"/>
  <c r="CG251" i="43"/>
  <c r="CD251" i="43"/>
  <c r="CA251" i="43"/>
  <c r="BX251" i="43"/>
  <c r="BR251" i="43"/>
  <c r="BO251" i="43"/>
  <c r="BL251" i="43"/>
  <c r="BI251" i="43"/>
  <c r="BF251" i="43"/>
  <c r="BC251" i="43"/>
  <c r="AW251" i="43"/>
  <c r="AT251" i="43"/>
  <c r="AQ251" i="43"/>
  <c r="AN251" i="43"/>
  <c r="AK251" i="43"/>
  <c r="AH251" i="43"/>
  <c r="DQ250" i="43"/>
  <c r="DN250" i="43"/>
  <c r="DH250" i="43"/>
  <c r="DE250" i="43"/>
  <c r="DB250" i="43"/>
  <c r="CY250" i="43"/>
  <c r="CV250" i="43"/>
  <c r="CS250" i="43"/>
  <c r="CM250" i="43"/>
  <c r="CJ250" i="43"/>
  <c r="CG250" i="43"/>
  <c r="CD250" i="43"/>
  <c r="CA250" i="43"/>
  <c r="BX250" i="43"/>
  <c r="BR250" i="43"/>
  <c r="BO250" i="43"/>
  <c r="BL250" i="43"/>
  <c r="BI250" i="43"/>
  <c r="BF250" i="43"/>
  <c r="BC250" i="43"/>
  <c r="AW250" i="43"/>
  <c r="AT250" i="43"/>
  <c r="AQ250" i="43"/>
  <c r="AN250" i="43"/>
  <c r="AK250" i="43"/>
  <c r="AH250" i="43"/>
  <c r="DQ249" i="43"/>
  <c r="DN249" i="43"/>
  <c r="DH249" i="43"/>
  <c r="DE249" i="43"/>
  <c r="DB249" i="43"/>
  <c r="CY249" i="43"/>
  <c r="CV249" i="43"/>
  <c r="CS249" i="43"/>
  <c r="CM249" i="43"/>
  <c r="CJ249" i="43"/>
  <c r="CG249" i="43"/>
  <c r="CD249" i="43"/>
  <c r="CA249" i="43"/>
  <c r="BX249" i="43"/>
  <c r="BR249" i="43"/>
  <c r="BO249" i="43"/>
  <c r="BL249" i="43"/>
  <c r="BI249" i="43"/>
  <c r="BF249" i="43"/>
  <c r="BC249" i="43"/>
  <c r="AW249" i="43"/>
  <c r="AT249" i="43"/>
  <c r="AQ249" i="43"/>
  <c r="AN249" i="43"/>
  <c r="AK249" i="43"/>
  <c r="AH249" i="43"/>
  <c r="DQ248" i="43"/>
  <c r="DN248" i="43"/>
  <c r="DH248" i="43"/>
  <c r="DE248" i="43"/>
  <c r="DB248" i="43"/>
  <c r="CY248" i="43"/>
  <c r="CV248" i="43"/>
  <c r="CS248" i="43"/>
  <c r="CM248" i="43"/>
  <c r="CJ248" i="43"/>
  <c r="CG248" i="43"/>
  <c r="CD248" i="43"/>
  <c r="CA248" i="43"/>
  <c r="BX248" i="43"/>
  <c r="BR248" i="43"/>
  <c r="BO248" i="43"/>
  <c r="BL248" i="43"/>
  <c r="BI248" i="43"/>
  <c r="BF248" i="43"/>
  <c r="BC248" i="43"/>
  <c r="AW248" i="43"/>
  <c r="AT248" i="43"/>
  <c r="AQ248" i="43"/>
  <c r="AN248" i="43"/>
  <c r="AK248" i="43"/>
  <c r="AH248" i="43"/>
  <c r="DQ247" i="43"/>
  <c r="DN247" i="43"/>
  <c r="DH247" i="43"/>
  <c r="DE247" i="43"/>
  <c r="DB247" i="43"/>
  <c r="CY247" i="43"/>
  <c r="CV247" i="43"/>
  <c r="CS247" i="43"/>
  <c r="CM247" i="43"/>
  <c r="CJ247" i="43"/>
  <c r="CG247" i="43"/>
  <c r="CD247" i="43"/>
  <c r="CA247" i="43"/>
  <c r="BX247" i="43"/>
  <c r="BR247" i="43"/>
  <c r="BO247" i="43"/>
  <c r="BL247" i="43"/>
  <c r="BI247" i="43"/>
  <c r="BF247" i="43"/>
  <c r="BC247" i="43"/>
  <c r="AW247" i="43"/>
  <c r="AT247" i="43"/>
  <c r="AQ247" i="43"/>
  <c r="AN247" i="43"/>
  <c r="AK247" i="43"/>
  <c r="AH247" i="43"/>
  <c r="DQ246" i="43"/>
  <c r="DN246" i="43"/>
  <c r="DH246" i="43"/>
  <c r="DE246" i="43"/>
  <c r="DB246" i="43"/>
  <c r="CY246" i="43"/>
  <c r="CV246" i="43"/>
  <c r="CS246" i="43"/>
  <c r="CM246" i="43"/>
  <c r="CJ246" i="43"/>
  <c r="CG246" i="43"/>
  <c r="CD246" i="43"/>
  <c r="CA246" i="43"/>
  <c r="BX246" i="43"/>
  <c r="BR246" i="43"/>
  <c r="BO246" i="43"/>
  <c r="BL246" i="43"/>
  <c r="BI246" i="43"/>
  <c r="BF246" i="43"/>
  <c r="BC246" i="43"/>
  <c r="AW246" i="43"/>
  <c r="AT246" i="43"/>
  <c r="AQ246" i="43"/>
  <c r="AN246" i="43"/>
  <c r="AK246" i="43"/>
  <c r="AH246" i="43"/>
  <c r="DQ245" i="43"/>
  <c r="DN245" i="43"/>
  <c r="DH245" i="43"/>
  <c r="DE245" i="43"/>
  <c r="DB245" i="43"/>
  <c r="CY245" i="43"/>
  <c r="CV245" i="43"/>
  <c r="CS245" i="43"/>
  <c r="CM245" i="43"/>
  <c r="CJ245" i="43"/>
  <c r="CG245" i="43"/>
  <c r="CD245" i="43"/>
  <c r="CA245" i="43"/>
  <c r="BX245" i="43"/>
  <c r="BR245" i="43"/>
  <c r="BO245" i="43"/>
  <c r="BL245" i="43"/>
  <c r="BI245" i="43"/>
  <c r="BF245" i="43"/>
  <c r="BC245" i="43"/>
  <c r="AW245" i="43"/>
  <c r="AT245" i="43"/>
  <c r="AQ245" i="43"/>
  <c r="AN245" i="43"/>
  <c r="AH245" i="43"/>
  <c r="DQ244" i="43"/>
  <c r="DN244" i="43"/>
  <c r="DH244" i="43"/>
  <c r="DE244" i="43"/>
  <c r="DB244" i="43"/>
  <c r="CY244" i="43"/>
  <c r="CV244" i="43"/>
  <c r="CS244" i="43"/>
  <c r="CM244" i="43"/>
  <c r="CJ244" i="43"/>
  <c r="CG244" i="43"/>
  <c r="CD244" i="43"/>
  <c r="CA244" i="43"/>
  <c r="DQ243" i="43"/>
  <c r="DN243" i="43"/>
  <c r="DH243" i="43"/>
  <c r="DE243" i="43"/>
  <c r="DB243" i="43"/>
  <c r="CY243" i="43"/>
  <c r="CV243" i="43"/>
  <c r="CS243" i="43"/>
  <c r="CM243" i="43"/>
  <c r="CJ243" i="43"/>
  <c r="CG243" i="43"/>
  <c r="CD243" i="43"/>
  <c r="CA243" i="43"/>
  <c r="BX243" i="43"/>
  <c r="BR243" i="43"/>
  <c r="BO243" i="43"/>
  <c r="BL243" i="43"/>
  <c r="BI243" i="43"/>
  <c r="BF243" i="43"/>
  <c r="BC243" i="43"/>
  <c r="AW243" i="43"/>
  <c r="AT243" i="43"/>
  <c r="AQ243" i="43"/>
  <c r="AN243" i="43"/>
  <c r="AH243" i="43"/>
  <c r="DN242" i="43"/>
  <c r="DH242" i="43"/>
  <c r="DE242" i="43"/>
  <c r="DB242" i="43"/>
  <c r="CY242" i="43"/>
  <c r="CV242" i="43"/>
  <c r="CS242" i="43"/>
  <c r="CM242" i="43"/>
  <c r="CJ242" i="43"/>
  <c r="CG242" i="43"/>
  <c r="CD242" i="43"/>
  <c r="DQ241" i="43"/>
  <c r="DN241" i="43"/>
  <c r="DH241" i="43"/>
  <c r="DE241" i="43"/>
  <c r="DB241" i="43"/>
  <c r="CY241" i="43"/>
  <c r="CV241" i="43"/>
  <c r="CS241" i="43"/>
  <c r="CM241" i="43"/>
  <c r="CJ241" i="43"/>
  <c r="CG241" i="43"/>
  <c r="CD241" i="43"/>
  <c r="CA241" i="43"/>
  <c r="BX241" i="43"/>
  <c r="BR241" i="43"/>
  <c r="BO241" i="43"/>
  <c r="BL241" i="43"/>
  <c r="BI241" i="43"/>
  <c r="BF241" i="43"/>
  <c r="BC241" i="43"/>
  <c r="AW241" i="43"/>
  <c r="AT241" i="43"/>
  <c r="AQ241" i="43"/>
  <c r="AN241" i="43"/>
  <c r="AK241" i="43"/>
  <c r="AH241" i="43"/>
  <c r="CS240" i="43"/>
  <c r="CM240" i="43"/>
  <c r="CJ240" i="43"/>
  <c r="CG240" i="43"/>
  <c r="DQ239" i="43"/>
  <c r="DN239" i="43"/>
  <c r="DH239" i="43"/>
  <c r="DE239" i="43"/>
  <c r="DB239" i="43"/>
  <c r="CY239" i="43"/>
  <c r="CV239" i="43"/>
  <c r="CS239" i="43"/>
  <c r="CM239" i="43"/>
  <c r="CJ239" i="43"/>
  <c r="CG239" i="43"/>
  <c r="CD239" i="43"/>
  <c r="CA239" i="43"/>
  <c r="BX239" i="43"/>
  <c r="BR239" i="43"/>
  <c r="BO239" i="43"/>
  <c r="BL239" i="43"/>
  <c r="BI239" i="43"/>
  <c r="BF239" i="43"/>
  <c r="BC239" i="43"/>
  <c r="AW239" i="43"/>
  <c r="AT239" i="43"/>
  <c r="AQ239" i="43"/>
  <c r="DQ220" i="43"/>
  <c r="DN220" i="43"/>
  <c r="DH220" i="43"/>
  <c r="DE220" i="43"/>
  <c r="DB220" i="43"/>
  <c r="CY220" i="43"/>
  <c r="CV220" i="43"/>
  <c r="CS220" i="43"/>
  <c r="CM220" i="43"/>
  <c r="CJ220" i="43"/>
  <c r="CG220" i="43"/>
  <c r="CD220" i="43"/>
  <c r="CA220" i="43"/>
  <c r="BX220" i="43"/>
  <c r="BR220" i="43"/>
  <c r="BO220" i="43"/>
  <c r="BL220" i="43"/>
  <c r="BI220" i="43"/>
  <c r="BF220" i="43"/>
  <c r="BC220" i="43"/>
  <c r="AW220" i="43"/>
  <c r="AT220" i="43"/>
  <c r="AQ220" i="43"/>
  <c r="AN220" i="43"/>
  <c r="AK220" i="43"/>
  <c r="AH220" i="43"/>
  <c r="DQ219" i="43"/>
  <c r="DN219" i="43"/>
  <c r="DH219" i="43"/>
  <c r="DE219" i="43"/>
  <c r="DB219" i="43"/>
  <c r="CY219" i="43"/>
  <c r="CV219" i="43"/>
  <c r="CS219" i="43"/>
  <c r="CM219" i="43"/>
  <c r="CJ219" i="43"/>
  <c r="CG219" i="43"/>
  <c r="CD219" i="43"/>
  <c r="CA219" i="43"/>
  <c r="BX219" i="43"/>
  <c r="BR219" i="43"/>
  <c r="BO219" i="43"/>
  <c r="BL219" i="43"/>
  <c r="BI219" i="43"/>
  <c r="BF219" i="43"/>
  <c r="BC219" i="43"/>
  <c r="AW219" i="43"/>
  <c r="AT219" i="43"/>
  <c r="AQ219" i="43"/>
  <c r="AN219" i="43"/>
  <c r="AK219" i="43"/>
  <c r="AH219" i="43"/>
  <c r="DQ218" i="43"/>
  <c r="DN218" i="43"/>
  <c r="DH218" i="43"/>
  <c r="DE218" i="43"/>
  <c r="DB218" i="43"/>
  <c r="CY218" i="43"/>
  <c r="CV218" i="43"/>
  <c r="CS218" i="43"/>
  <c r="CM218" i="43"/>
  <c r="CJ218" i="43"/>
  <c r="CG218" i="43"/>
  <c r="CD218" i="43"/>
  <c r="CA218" i="43"/>
  <c r="BX218" i="43"/>
  <c r="BR218" i="43"/>
  <c r="BO218" i="43"/>
  <c r="BL218" i="43"/>
  <c r="BI218" i="43"/>
  <c r="BF218" i="43"/>
  <c r="BC218" i="43"/>
  <c r="AW218" i="43"/>
  <c r="AT218" i="43"/>
  <c r="AQ218" i="43"/>
  <c r="AN218" i="43"/>
  <c r="AK218" i="43"/>
  <c r="AH218" i="43"/>
  <c r="DQ217" i="43"/>
  <c r="DN217" i="43"/>
  <c r="DH217" i="43"/>
  <c r="DE217" i="43"/>
  <c r="DB217" i="43"/>
  <c r="CY217" i="43"/>
  <c r="CV217" i="43"/>
  <c r="CS217" i="43"/>
  <c r="CM217" i="43"/>
  <c r="CJ217" i="43"/>
  <c r="CG217" i="43"/>
  <c r="CD217" i="43"/>
  <c r="CA217" i="43"/>
  <c r="BX217" i="43"/>
  <c r="BR217" i="43"/>
  <c r="BO217" i="43"/>
  <c r="BL217" i="43"/>
  <c r="BI217" i="43"/>
  <c r="BF217" i="43"/>
  <c r="BC217" i="43"/>
  <c r="AW217" i="43"/>
  <c r="AT217" i="43"/>
  <c r="AQ217" i="43"/>
  <c r="AN217" i="43"/>
  <c r="AK217" i="43"/>
  <c r="AH217" i="43"/>
  <c r="DQ216" i="43"/>
  <c r="DN216" i="43"/>
  <c r="DH216" i="43"/>
  <c r="DE216" i="43"/>
  <c r="DB216" i="43"/>
  <c r="CY216" i="43"/>
  <c r="CV216" i="43"/>
  <c r="CS216" i="43"/>
  <c r="CM216" i="43"/>
  <c r="CJ216" i="43"/>
  <c r="CG216" i="43"/>
  <c r="CD216" i="43"/>
  <c r="CA216" i="43"/>
  <c r="BX216" i="43"/>
  <c r="BR216" i="43"/>
  <c r="BO216" i="43"/>
  <c r="BL216" i="43"/>
  <c r="BI216" i="43"/>
  <c r="BF216" i="43"/>
  <c r="BC216" i="43"/>
  <c r="AW216" i="43"/>
  <c r="AT216" i="43"/>
  <c r="AQ216" i="43"/>
  <c r="AN216" i="43"/>
  <c r="AK216" i="43"/>
  <c r="AH216" i="43"/>
  <c r="DQ215" i="43"/>
  <c r="DN215" i="43"/>
  <c r="DH215" i="43"/>
  <c r="DE215" i="43"/>
  <c r="DB215" i="43"/>
  <c r="CY215" i="43"/>
  <c r="CV215" i="43"/>
  <c r="CS215" i="43"/>
  <c r="CM215" i="43"/>
  <c r="CJ215" i="43"/>
  <c r="CG215" i="43"/>
  <c r="CD215" i="43"/>
  <c r="CA215" i="43"/>
  <c r="BX215" i="43"/>
  <c r="BR215" i="43"/>
  <c r="BO215" i="43"/>
  <c r="BL215" i="43"/>
  <c r="BI215" i="43"/>
  <c r="BF215" i="43"/>
  <c r="BC215" i="43"/>
  <c r="AW215" i="43"/>
  <c r="AT215" i="43"/>
  <c r="AQ215" i="43"/>
  <c r="AN215" i="43"/>
  <c r="AK215" i="43"/>
  <c r="AH215" i="43"/>
  <c r="DQ214" i="43"/>
  <c r="DN214" i="43"/>
  <c r="DH214" i="43"/>
  <c r="DE214" i="43"/>
  <c r="DB214" i="43"/>
  <c r="CY214" i="43"/>
  <c r="CV214" i="43"/>
  <c r="CS214" i="43"/>
  <c r="CM214" i="43"/>
  <c r="CJ214" i="43"/>
  <c r="CG214" i="43"/>
  <c r="CD214" i="43"/>
  <c r="CA214" i="43"/>
  <c r="BX214" i="43"/>
  <c r="BR214" i="43"/>
  <c r="BO214" i="43"/>
  <c r="BL214" i="43"/>
  <c r="BI214" i="43"/>
  <c r="BF214" i="43"/>
  <c r="BC214" i="43"/>
  <c r="AW214" i="43"/>
  <c r="AT214" i="43"/>
  <c r="AQ214" i="43"/>
  <c r="AN214" i="43"/>
  <c r="AK214" i="43"/>
  <c r="AH214" i="43"/>
  <c r="DQ213" i="43"/>
  <c r="DN213" i="43"/>
  <c r="DH213" i="43"/>
  <c r="DE213" i="43"/>
  <c r="DB213" i="43"/>
  <c r="CY213" i="43"/>
  <c r="CV213" i="43"/>
  <c r="CS213" i="43"/>
  <c r="CM213" i="43"/>
  <c r="CJ213" i="43"/>
  <c r="CG213" i="43"/>
  <c r="CD213" i="43"/>
  <c r="CA213" i="43"/>
  <c r="BX213" i="43"/>
  <c r="BR213" i="43"/>
  <c r="BO213" i="43"/>
  <c r="BL213" i="43"/>
  <c r="BI213" i="43"/>
  <c r="BF213" i="43"/>
  <c r="BC213" i="43"/>
  <c r="AW213" i="43"/>
  <c r="AT213" i="43"/>
  <c r="AQ213" i="43"/>
  <c r="AN213" i="43"/>
  <c r="AK213" i="43"/>
  <c r="AH213" i="43"/>
  <c r="DQ212" i="43"/>
  <c r="DN212" i="43"/>
  <c r="DH212" i="43"/>
  <c r="DE212" i="43"/>
  <c r="DB212" i="43"/>
  <c r="CY212" i="43"/>
  <c r="CV212" i="43"/>
  <c r="CS212" i="43"/>
  <c r="CM212" i="43"/>
  <c r="CJ212" i="43"/>
  <c r="CG212" i="43"/>
  <c r="CD212" i="43"/>
  <c r="CA212" i="43"/>
  <c r="BX212" i="43"/>
  <c r="BR212" i="43"/>
  <c r="BO212" i="43"/>
  <c r="BL212" i="43"/>
  <c r="BI212" i="43"/>
  <c r="BF212" i="43"/>
  <c r="BC212" i="43"/>
  <c r="AW212" i="43"/>
  <c r="AT212" i="43"/>
  <c r="AQ212" i="43"/>
  <c r="AN212" i="43"/>
  <c r="AK212" i="43"/>
  <c r="AH212" i="43"/>
  <c r="DQ211" i="43"/>
  <c r="DN211" i="43"/>
  <c r="DH211" i="43"/>
  <c r="DE211" i="43"/>
  <c r="DB211" i="43"/>
  <c r="CY211" i="43"/>
  <c r="CV211" i="43"/>
  <c r="CS211" i="43"/>
  <c r="CM211" i="43"/>
  <c r="CJ211" i="43"/>
  <c r="CG211" i="43"/>
  <c r="CD211" i="43"/>
  <c r="CA211" i="43"/>
  <c r="BX211" i="43"/>
  <c r="BR211" i="43"/>
  <c r="BO211" i="43"/>
  <c r="BL211" i="43"/>
  <c r="BI211" i="43"/>
  <c r="BF211" i="43"/>
  <c r="BC211" i="43"/>
  <c r="AW211" i="43"/>
  <c r="AT211" i="43"/>
  <c r="AQ211" i="43"/>
  <c r="AN211" i="43"/>
  <c r="AK211" i="43"/>
  <c r="AH211" i="43"/>
  <c r="DQ210" i="43"/>
  <c r="DN210" i="43"/>
  <c r="DH210" i="43"/>
  <c r="DE210" i="43"/>
  <c r="DB210" i="43"/>
  <c r="CY210" i="43"/>
  <c r="CV210" i="43"/>
  <c r="CS210" i="43"/>
  <c r="CM210" i="43"/>
  <c r="CJ210" i="43"/>
  <c r="CG210" i="43"/>
  <c r="CD210" i="43"/>
  <c r="CA210" i="43"/>
  <c r="BX210" i="43"/>
  <c r="BR210" i="43"/>
  <c r="BO210" i="43"/>
  <c r="BL210" i="43"/>
  <c r="BI210" i="43"/>
  <c r="BF210" i="43"/>
  <c r="BC210" i="43"/>
  <c r="AW210" i="43"/>
  <c r="AT210" i="43"/>
  <c r="AQ210" i="43"/>
  <c r="AN210" i="43"/>
  <c r="AK210" i="43"/>
  <c r="AH210" i="43"/>
  <c r="DQ209" i="43"/>
  <c r="DN209" i="43"/>
  <c r="DH209" i="43"/>
  <c r="DE209" i="43"/>
  <c r="DB209" i="43"/>
  <c r="CY209" i="43"/>
  <c r="CV209" i="43"/>
  <c r="CS209" i="43"/>
  <c r="CM209" i="43"/>
  <c r="CJ209" i="43"/>
  <c r="CG209" i="43"/>
  <c r="CD209" i="43"/>
  <c r="CA209" i="43"/>
  <c r="BX209" i="43"/>
  <c r="BR209" i="43"/>
  <c r="BO209" i="43"/>
  <c r="BL209" i="43"/>
  <c r="BI209" i="43"/>
  <c r="BF209" i="43"/>
  <c r="BC209" i="43"/>
  <c r="AW209" i="43"/>
  <c r="AT209" i="43"/>
  <c r="AQ209" i="43"/>
  <c r="AN209" i="43"/>
  <c r="AK209" i="43"/>
  <c r="AH209" i="43"/>
  <c r="DQ208" i="43"/>
  <c r="DN208" i="43"/>
  <c r="DH208" i="43"/>
  <c r="DE208" i="43"/>
  <c r="DB208" i="43"/>
  <c r="CY208" i="43"/>
  <c r="CV208" i="43"/>
  <c r="CS208" i="43"/>
  <c r="CM208" i="43"/>
  <c r="CJ208" i="43"/>
  <c r="CG208" i="43"/>
  <c r="CD208" i="43"/>
  <c r="CA208" i="43"/>
  <c r="BX208" i="43"/>
  <c r="BR208" i="43"/>
  <c r="BO208" i="43"/>
  <c r="BL208" i="43"/>
  <c r="BI208" i="43"/>
  <c r="BF208" i="43"/>
  <c r="BC208" i="43"/>
  <c r="AW208" i="43"/>
  <c r="AT208" i="43"/>
  <c r="AQ208" i="43"/>
  <c r="AN208" i="43"/>
  <c r="AK208" i="43"/>
  <c r="AH208" i="43"/>
  <c r="DQ207" i="43"/>
  <c r="DN207" i="43"/>
  <c r="DH207" i="43"/>
  <c r="DE207" i="43"/>
  <c r="DB207" i="43"/>
  <c r="CY207" i="43"/>
  <c r="CV207" i="43"/>
  <c r="CS207" i="43"/>
  <c r="CM207" i="43"/>
  <c r="CJ207" i="43"/>
  <c r="CG207" i="43"/>
  <c r="CD207" i="43"/>
  <c r="CA207" i="43"/>
  <c r="BX207" i="43"/>
  <c r="BR207" i="43"/>
  <c r="BO207" i="43"/>
  <c r="BL207" i="43"/>
  <c r="BI207" i="43"/>
  <c r="BF207" i="43"/>
  <c r="BC207" i="43"/>
  <c r="AW207" i="43"/>
  <c r="AT207" i="43"/>
  <c r="AQ207" i="43"/>
  <c r="AN207" i="43"/>
  <c r="AK207" i="43"/>
  <c r="AH207" i="43"/>
  <c r="DQ206" i="43"/>
  <c r="DN206" i="43"/>
  <c r="DH206" i="43"/>
  <c r="DE206" i="43"/>
  <c r="DB206" i="43"/>
  <c r="CY206" i="43"/>
  <c r="CV206" i="43"/>
  <c r="CS206" i="43"/>
  <c r="CM206" i="43"/>
  <c r="CJ206" i="43"/>
  <c r="CG206" i="43"/>
  <c r="CD206" i="43"/>
  <c r="CA206" i="43"/>
  <c r="BX206" i="43"/>
  <c r="BR206" i="43"/>
  <c r="BO206" i="43"/>
  <c r="BL206" i="43"/>
  <c r="BI206" i="43"/>
  <c r="BF206" i="43"/>
  <c r="BC206" i="43"/>
  <c r="AW206" i="43"/>
  <c r="AT206" i="43"/>
  <c r="AQ206" i="43"/>
  <c r="AN206" i="43"/>
  <c r="AK206" i="43"/>
  <c r="AH206" i="43"/>
  <c r="DQ205" i="43"/>
  <c r="DN205" i="43"/>
  <c r="DH205" i="43"/>
  <c r="DE205" i="43"/>
  <c r="DB205" i="43"/>
  <c r="CY205" i="43"/>
  <c r="CV205" i="43"/>
  <c r="CS205" i="43"/>
  <c r="CM205" i="43"/>
  <c r="CJ205" i="43"/>
  <c r="CG205" i="43"/>
  <c r="CD205" i="43"/>
  <c r="CA205" i="43"/>
  <c r="BX205" i="43"/>
  <c r="BR205" i="43"/>
  <c r="BO205" i="43"/>
  <c r="BL205" i="43"/>
  <c r="BI205" i="43"/>
  <c r="BF205" i="43"/>
  <c r="BC205" i="43"/>
  <c r="AW205" i="43"/>
  <c r="AT205" i="43"/>
  <c r="AQ205" i="43"/>
  <c r="AN205" i="43"/>
  <c r="AK205" i="43"/>
  <c r="AH205" i="43"/>
  <c r="DQ204" i="43"/>
  <c r="DN204" i="43"/>
  <c r="DH204" i="43"/>
  <c r="DE204" i="43"/>
  <c r="DB204" i="43"/>
  <c r="CY204" i="43"/>
  <c r="CV204" i="43"/>
  <c r="CS204" i="43"/>
  <c r="CM204" i="43"/>
  <c r="CJ204" i="43"/>
  <c r="CG204" i="43"/>
  <c r="CD204" i="43"/>
  <c r="CA204" i="43"/>
  <c r="BX204" i="43"/>
  <c r="BR204" i="43"/>
  <c r="BO204" i="43"/>
  <c r="BL204" i="43"/>
  <c r="BI204" i="43"/>
  <c r="BF204" i="43"/>
  <c r="BC204" i="43"/>
  <c r="AW204" i="43"/>
  <c r="AT204" i="43"/>
  <c r="AQ204" i="43"/>
  <c r="AN204" i="43"/>
  <c r="AK204" i="43"/>
  <c r="AH204" i="43"/>
  <c r="DQ203" i="43"/>
  <c r="DN203" i="43"/>
  <c r="DH203" i="43"/>
  <c r="DE203" i="43"/>
  <c r="DB203" i="43"/>
  <c r="CY203" i="43"/>
  <c r="CV203" i="43"/>
  <c r="CS203" i="43"/>
  <c r="CM203" i="43"/>
  <c r="CJ203" i="43"/>
  <c r="CG203" i="43"/>
  <c r="CD203" i="43"/>
  <c r="CA203" i="43"/>
  <c r="BX203" i="43"/>
  <c r="BR203" i="43"/>
  <c r="BO203" i="43"/>
  <c r="BL203" i="43"/>
  <c r="BI203" i="43"/>
  <c r="BF203" i="43"/>
  <c r="BC203" i="43"/>
  <c r="AW203" i="43"/>
  <c r="AT203" i="43"/>
  <c r="AQ203" i="43"/>
  <c r="AN203" i="43"/>
  <c r="AK203" i="43"/>
  <c r="AH203" i="43"/>
  <c r="DQ202" i="43"/>
  <c r="DN202" i="43"/>
  <c r="DH202" i="43"/>
  <c r="DE202" i="43"/>
  <c r="DB202" i="43"/>
  <c r="CY202" i="43"/>
  <c r="CV202" i="43"/>
  <c r="CS202" i="43"/>
  <c r="CM202" i="43"/>
  <c r="CJ202" i="43"/>
  <c r="CG202" i="43"/>
  <c r="CD202" i="43"/>
  <c r="CA202" i="43"/>
  <c r="BX202" i="43"/>
  <c r="BR202" i="43"/>
  <c r="BO202" i="43"/>
  <c r="BL202" i="43"/>
  <c r="BI202" i="43"/>
  <c r="BF202" i="43"/>
  <c r="BC202" i="43"/>
  <c r="AW202" i="43"/>
  <c r="AT202" i="43"/>
  <c r="AQ202" i="43"/>
  <c r="AN202" i="43"/>
  <c r="AK202" i="43"/>
  <c r="AH202" i="43"/>
  <c r="DQ201" i="43"/>
  <c r="DN201" i="43"/>
  <c r="DH201" i="43"/>
  <c r="DE201" i="43"/>
  <c r="DB201" i="43"/>
  <c r="CY201" i="43"/>
  <c r="CV201" i="43"/>
  <c r="CS201" i="43"/>
  <c r="CM201" i="43"/>
  <c r="CJ201" i="43"/>
  <c r="CG201" i="43"/>
  <c r="CD201" i="43"/>
  <c r="CA201" i="43"/>
  <c r="BX201" i="43"/>
  <c r="BR201" i="43"/>
  <c r="BO201" i="43"/>
  <c r="BL201" i="43"/>
  <c r="BI201" i="43"/>
  <c r="BF201" i="43"/>
  <c r="BC201" i="43"/>
  <c r="AW201" i="43"/>
  <c r="AT201" i="43"/>
  <c r="AL201" i="43"/>
  <c r="AQ201" i="43" s="1"/>
  <c r="AI201" i="43"/>
  <c r="AN201" i="43" s="1"/>
  <c r="AH201" i="43"/>
  <c r="AF201" i="43"/>
  <c r="DQ200" i="43"/>
  <c r="DN200" i="43"/>
  <c r="DH200" i="43"/>
  <c r="DE200" i="43"/>
  <c r="DB200" i="43"/>
  <c r="CY200" i="43"/>
  <c r="CV200" i="43"/>
  <c r="CS200" i="43"/>
  <c r="CM200" i="43"/>
  <c r="CJ200" i="43"/>
  <c r="CG200" i="43"/>
  <c r="CD200" i="43"/>
  <c r="CA200" i="43"/>
  <c r="BX200" i="43"/>
  <c r="BR200" i="43"/>
  <c r="BO200" i="43"/>
  <c r="BL200" i="43"/>
  <c r="BI200" i="43"/>
  <c r="BF200" i="43"/>
  <c r="BC200" i="43"/>
  <c r="AW200" i="43"/>
  <c r="AT200" i="43"/>
  <c r="AQ200" i="43"/>
  <c r="AN200" i="43"/>
  <c r="AK200" i="43"/>
  <c r="AH200" i="43"/>
  <c r="DQ199" i="43"/>
  <c r="DN199" i="43"/>
  <c r="DH199" i="43"/>
  <c r="DE199" i="43"/>
  <c r="DB199" i="43"/>
  <c r="CY199" i="43"/>
  <c r="CV199" i="43"/>
  <c r="CS199" i="43"/>
  <c r="CM199" i="43"/>
  <c r="CJ199" i="43"/>
  <c r="CG199" i="43"/>
  <c r="CD199" i="43"/>
  <c r="CA199" i="43"/>
  <c r="BX199" i="43"/>
  <c r="BR199" i="43"/>
  <c r="BO199" i="43"/>
  <c r="BL199" i="43"/>
  <c r="BI199" i="43"/>
  <c r="BF199" i="43"/>
  <c r="BC199" i="43"/>
  <c r="AW199" i="43"/>
  <c r="AT199" i="43"/>
  <c r="AQ199" i="43"/>
  <c r="AN199" i="43"/>
  <c r="AK199" i="43"/>
  <c r="AH199" i="43"/>
  <c r="DQ198" i="43"/>
  <c r="DN198" i="43"/>
  <c r="DH198" i="43"/>
  <c r="DE198" i="43"/>
  <c r="DB198" i="43"/>
  <c r="CY198" i="43"/>
  <c r="CV198" i="43"/>
  <c r="CS198" i="43"/>
  <c r="CM198" i="43"/>
  <c r="CJ198" i="43"/>
  <c r="CG198" i="43"/>
  <c r="CD198" i="43"/>
  <c r="CA198" i="43"/>
  <c r="BX198" i="43"/>
  <c r="BR198" i="43"/>
  <c r="BO198" i="43"/>
  <c r="BL198" i="43"/>
  <c r="BI198" i="43"/>
  <c r="BF198" i="43"/>
  <c r="BC198" i="43"/>
  <c r="AW198" i="43"/>
  <c r="AT198" i="43"/>
  <c r="AQ198" i="43"/>
  <c r="AN198" i="43"/>
  <c r="AK198" i="43"/>
  <c r="AH198" i="43"/>
  <c r="DQ197" i="43"/>
  <c r="DN197" i="43"/>
  <c r="DH197" i="43"/>
  <c r="DE197" i="43"/>
  <c r="DB197" i="43"/>
  <c r="CY197" i="43"/>
  <c r="CV197" i="43"/>
  <c r="CA197" i="43"/>
  <c r="BX197" i="43"/>
  <c r="BR197" i="43"/>
  <c r="BO197" i="43"/>
  <c r="BL197" i="43"/>
  <c r="BI197" i="43"/>
  <c r="BF197" i="43"/>
  <c r="BC197" i="43"/>
  <c r="AW197" i="43"/>
  <c r="AT197" i="43"/>
  <c r="AQ197" i="43"/>
  <c r="AN197" i="43"/>
  <c r="AK197" i="43"/>
  <c r="AH197" i="43"/>
  <c r="DQ196" i="43"/>
  <c r="DN196" i="43"/>
  <c r="DH196" i="43"/>
  <c r="DE196" i="43"/>
  <c r="DB196" i="43"/>
  <c r="CY196" i="43"/>
  <c r="CV196" i="43"/>
  <c r="CM196" i="43"/>
  <c r="CJ196" i="43"/>
  <c r="CG196" i="43"/>
  <c r="CD196" i="43"/>
  <c r="CA196" i="43"/>
  <c r="BX196" i="43"/>
  <c r="BR196" i="43"/>
  <c r="BO196" i="43"/>
  <c r="BL196" i="43"/>
  <c r="BI196" i="43"/>
  <c r="BF196" i="43"/>
  <c r="BC196" i="43"/>
  <c r="AW196" i="43"/>
  <c r="AT196" i="43"/>
  <c r="AQ196" i="43"/>
  <c r="AN196" i="43"/>
  <c r="AK196" i="43"/>
  <c r="AH196" i="43"/>
  <c r="DQ195" i="43"/>
  <c r="DN195" i="43"/>
  <c r="DH195" i="43"/>
  <c r="DE195" i="43"/>
  <c r="DB195" i="43"/>
  <c r="CY195" i="43"/>
  <c r="CV195" i="43"/>
  <c r="CS195" i="43"/>
  <c r="CM195" i="43"/>
  <c r="CJ195" i="43"/>
  <c r="CG195" i="43"/>
  <c r="CD195" i="43"/>
  <c r="CA195" i="43"/>
  <c r="BX195" i="43"/>
  <c r="BR195" i="43"/>
  <c r="BO195" i="43"/>
  <c r="BL195" i="43"/>
  <c r="BI195" i="43"/>
  <c r="BF195" i="43"/>
  <c r="BC195" i="43"/>
  <c r="AW195" i="43"/>
  <c r="AT195" i="43"/>
  <c r="AQ195" i="43"/>
  <c r="AN195" i="43"/>
  <c r="AK195" i="43"/>
  <c r="AH195" i="43"/>
  <c r="DQ194" i="43"/>
  <c r="DN194" i="43"/>
  <c r="DH194" i="43"/>
  <c r="DE194" i="43"/>
  <c r="DB194" i="43"/>
  <c r="CY194" i="43"/>
  <c r="CV194" i="43"/>
  <c r="CS194" i="43"/>
  <c r="CM194" i="43"/>
  <c r="CJ194" i="43"/>
  <c r="CG194" i="43"/>
  <c r="CD194" i="43"/>
  <c r="CA194" i="43"/>
  <c r="BX194" i="43"/>
  <c r="BR194" i="43"/>
  <c r="BO194" i="43"/>
  <c r="BL194" i="43"/>
  <c r="BI194" i="43"/>
  <c r="BF194" i="43"/>
  <c r="BC194" i="43"/>
  <c r="AW194" i="43"/>
  <c r="AT194" i="43"/>
  <c r="AQ194" i="43"/>
  <c r="AN194" i="43"/>
  <c r="AK194" i="43"/>
  <c r="AH194" i="43"/>
  <c r="DQ193" i="43"/>
  <c r="DN193" i="43"/>
  <c r="DH193" i="43"/>
  <c r="DE193" i="43"/>
  <c r="DB193" i="43"/>
  <c r="CY193" i="43"/>
  <c r="CV193" i="43"/>
  <c r="CS193" i="43"/>
  <c r="CM193" i="43"/>
  <c r="CJ193" i="43"/>
  <c r="CG193" i="43"/>
  <c r="CD193" i="43"/>
  <c r="CA193" i="43"/>
  <c r="BX193" i="43"/>
  <c r="BR193" i="43"/>
  <c r="BO193" i="43"/>
  <c r="BL193" i="43"/>
  <c r="BI193" i="43"/>
  <c r="BF193" i="43"/>
  <c r="BC193" i="43"/>
  <c r="AW193" i="43"/>
  <c r="AT193" i="43"/>
  <c r="AQ193" i="43"/>
  <c r="AN193" i="43"/>
  <c r="AK193" i="43"/>
  <c r="AH193" i="43"/>
  <c r="DQ192" i="43"/>
  <c r="DN192" i="43"/>
  <c r="DH192" i="43"/>
  <c r="DE192" i="43"/>
  <c r="DB192" i="43"/>
  <c r="CY192" i="43"/>
  <c r="CV192" i="43"/>
  <c r="CS192" i="43"/>
  <c r="CM192" i="43"/>
  <c r="CJ192" i="43"/>
  <c r="CG192" i="43"/>
  <c r="CD192" i="43"/>
  <c r="CA192" i="43"/>
  <c r="BX192" i="43"/>
  <c r="BR192" i="43"/>
  <c r="BO192" i="43"/>
  <c r="BL192" i="43"/>
  <c r="BI192" i="43"/>
  <c r="BF192" i="43"/>
  <c r="BC192" i="43"/>
  <c r="AW192" i="43"/>
  <c r="AT192" i="43"/>
  <c r="AQ192" i="43"/>
  <c r="AN192" i="43"/>
  <c r="AK192" i="43"/>
  <c r="AH192" i="43"/>
  <c r="DQ191" i="43"/>
  <c r="DN191" i="43"/>
  <c r="DE191" i="43"/>
  <c r="DB191" i="43"/>
  <c r="CY191" i="43"/>
  <c r="CV191" i="43"/>
  <c r="CS191" i="43"/>
  <c r="CM191" i="43"/>
  <c r="CJ191" i="43"/>
  <c r="CG191" i="43"/>
  <c r="CD191" i="43"/>
  <c r="CA191" i="43"/>
  <c r="BX191" i="43"/>
  <c r="BR191" i="43"/>
  <c r="BO191" i="43"/>
  <c r="BL191" i="43"/>
  <c r="BI191" i="43"/>
  <c r="BF191" i="43"/>
  <c r="BC191" i="43"/>
  <c r="AW191" i="43"/>
  <c r="AT191" i="43"/>
  <c r="AQ191" i="43"/>
  <c r="AN191" i="43"/>
  <c r="AK191" i="43"/>
  <c r="AH191" i="43"/>
  <c r="DQ190" i="43"/>
  <c r="DN190" i="43"/>
  <c r="DH190" i="43"/>
  <c r="DE190" i="43"/>
  <c r="DB190" i="43"/>
  <c r="CY190" i="43"/>
  <c r="CV190" i="43"/>
  <c r="CS190" i="43"/>
  <c r="CM190" i="43"/>
  <c r="CJ190" i="43"/>
  <c r="CG190" i="43"/>
  <c r="CD190" i="43"/>
  <c r="CA190" i="43"/>
  <c r="BX190" i="43"/>
  <c r="BR190" i="43"/>
  <c r="BO190" i="43"/>
  <c r="BL190" i="43"/>
  <c r="BI190" i="43"/>
  <c r="BF190" i="43"/>
  <c r="BC190" i="43"/>
  <c r="AW190" i="43"/>
  <c r="AT190" i="43"/>
  <c r="AQ190" i="43"/>
  <c r="AN190" i="43"/>
  <c r="AK190" i="43"/>
  <c r="AH190" i="43"/>
  <c r="DQ189" i="43"/>
  <c r="DN189" i="43"/>
  <c r="DE189" i="43"/>
  <c r="DB189" i="43"/>
  <c r="CY189" i="43"/>
  <c r="CV189" i="43"/>
  <c r="CS189" i="43"/>
  <c r="CM189" i="43"/>
  <c r="CJ189" i="43"/>
  <c r="CG189" i="43"/>
  <c r="CD189" i="43"/>
  <c r="CA189" i="43"/>
  <c r="BX189" i="43"/>
  <c r="BR189" i="43"/>
  <c r="BO189" i="43"/>
  <c r="BL189" i="43"/>
  <c r="BI189" i="43"/>
  <c r="BF189" i="43"/>
  <c r="BC189" i="43"/>
  <c r="AW189" i="43"/>
  <c r="AT189" i="43"/>
  <c r="AQ189" i="43"/>
  <c r="AN189" i="43"/>
  <c r="AK189" i="43"/>
  <c r="AH189" i="43"/>
  <c r="DQ188" i="43"/>
  <c r="DN188" i="43"/>
  <c r="DH188" i="43"/>
  <c r="DE188" i="43"/>
  <c r="DB188" i="43"/>
  <c r="CY188" i="43"/>
  <c r="CV188" i="43"/>
  <c r="CS188" i="43"/>
  <c r="CM188" i="43"/>
  <c r="CJ188" i="43"/>
  <c r="CG188" i="43"/>
  <c r="CD188" i="43"/>
  <c r="CA188" i="43"/>
  <c r="BX188" i="43"/>
  <c r="BR188" i="43"/>
  <c r="BO188" i="43"/>
  <c r="BL188" i="43"/>
  <c r="BI188" i="43"/>
  <c r="BF188" i="43"/>
  <c r="BC188" i="43"/>
  <c r="AW188" i="43"/>
  <c r="AT188" i="43"/>
  <c r="AQ188" i="43"/>
  <c r="AN188" i="43"/>
  <c r="AK188" i="43"/>
  <c r="AH188" i="43"/>
  <c r="DQ187" i="43"/>
  <c r="DN187" i="43"/>
  <c r="DH187" i="43"/>
  <c r="DE187" i="43"/>
  <c r="DB187" i="43"/>
  <c r="CY187" i="43"/>
  <c r="CV187" i="43"/>
  <c r="BX187" i="43"/>
  <c r="BR187" i="43"/>
  <c r="BO187" i="43"/>
  <c r="BL187" i="43"/>
  <c r="BI187" i="43"/>
  <c r="BF187" i="43"/>
  <c r="BC187" i="43"/>
  <c r="AW187" i="43"/>
  <c r="AT187" i="43"/>
  <c r="AQ187" i="43"/>
  <c r="AN187" i="43"/>
  <c r="AK187" i="43"/>
  <c r="AH187" i="43"/>
  <c r="DQ186" i="43"/>
  <c r="DN186" i="43"/>
  <c r="DH186" i="43"/>
  <c r="DE186" i="43"/>
  <c r="DB186" i="43"/>
  <c r="CY186" i="43"/>
  <c r="CV186" i="43"/>
  <c r="CS186" i="43"/>
  <c r="CM186" i="43"/>
  <c r="BR186" i="43"/>
  <c r="BO186" i="43"/>
  <c r="BL186" i="43"/>
  <c r="BI186" i="43"/>
  <c r="BF186" i="43"/>
  <c r="BC186" i="43"/>
  <c r="AW186" i="43"/>
  <c r="AT186" i="43"/>
  <c r="AQ186" i="43"/>
  <c r="AN186" i="43"/>
  <c r="AK186" i="43"/>
  <c r="AH186" i="43"/>
  <c r="DQ185" i="43"/>
  <c r="DN185" i="43"/>
  <c r="DH185" i="43"/>
  <c r="DE185" i="43"/>
  <c r="DB185" i="43"/>
  <c r="CY185" i="43"/>
  <c r="CV185" i="43"/>
  <c r="CS185" i="43"/>
  <c r="CM185" i="43"/>
  <c r="CJ185" i="43"/>
  <c r="BO185" i="43"/>
  <c r="BL185" i="43"/>
  <c r="BI185" i="43"/>
  <c r="BF185" i="43"/>
  <c r="BC185" i="43"/>
  <c r="AW185" i="43"/>
  <c r="AT185" i="43"/>
  <c r="AQ185" i="43"/>
  <c r="AN185" i="43"/>
  <c r="AK185" i="43"/>
  <c r="AH185" i="43"/>
  <c r="DQ184" i="43"/>
  <c r="DN184" i="43"/>
  <c r="DH184" i="43"/>
  <c r="DE184" i="43"/>
  <c r="DB184" i="43"/>
  <c r="CY184" i="43"/>
  <c r="CV184" i="43"/>
  <c r="CS184" i="43"/>
  <c r="CM184" i="43"/>
  <c r="CJ184" i="43"/>
  <c r="CG184" i="43"/>
  <c r="CD184" i="43"/>
  <c r="CA184" i="43"/>
  <c r="BX184" i="43"/>
  <c r="BR184" i="43"/>
  <c r="BO184" i="43"/>
  <c r="BL184" i="43"/>
  <c r="BI184" i="43"/>
  <c r="BF184" i="43"/>
  <c r="BC184" i="43"/>
  <c r="AW184" i="43"/>
  <c r="AT184" i="43"/>
  <c r="AQ184" i="43"/>
  <c r="AN184" i="43"/>
  <c r="AK184" i="43"/>
  <c r="AH184" i="43"/>
  <c r="DQ183" i="43"/>
  <c r="DN183" i="43"/>
  <c r="DH183" i="43"/>
  <c r="DE183" i="43"/>
  <c r="DB183" i="43"/>
  <c r="CY183" i="43"/>
  <c r="CV183" i="43"/>
  <c r="CS183" i="43"/>
  <c r="CM183" i="43"/>
  <c r="CJ183" i="43"/>
  <c r="CG183" i="43"/>
  <c r="CD183" i="43"/>
  <c r="CA183" i="43"/>
  <c r="BX183" i="43"/>
  <c r="BR183" i="43"/>
  <c r="BO183" i="43"/>
  <c r="BL183" i="43"/>
  <c r="BI183" i="43"/>
  <c r="BF183" i="43"/>
  <c r="BC183" i="43"/>
  <c r="AW183" i="43"/>
  <c r="AT183" i="43"/>
  <c r="AQ183" i="43"/>
  <c r="AN183" i="43"/>
  <c r="AK183" i="43"/>
  <c r="AH183" i="43"/>
  <c r="DQ182" i="43"/>
  <c r="DN182" i="43"/>
  <c r="DH182" i="43"/>
  <c r="DE182" i="43"/>
  <c r="DB182" i="43"/>
  <c r="CY182" i="43"/>
  <c r="CV182" i="43"/>
  <c r="CS182" i="43"/>
  <c r="CM182" i="43"/>
  <c r="CJ182" i="43"/>
  <c r="CG182" i="43"/>
  <c r="CD182" i="43"/>
  <c r="CA182" i="43"/>
  <c r="BX182" i="43"/>
  <c r="BR182" i="43"/>
  <c r="BO182" i="43"/>
  <c r="BL182" i="43"/>
  <c r="BI182" i="43"/>
  <c r="BF182" i="43"/>
  <c r="BC182" i="43"/>
  <c r="AW182" i="43"/>
  <c r="AT182" i="43"/>
  <c r="AQ182" i="43"/>
  <c r="AN182" i="43"/>
  <c r="AK182" i="43"/>
  <c r="AH182" i="43"/>
  <c r="DQ181" i="43"/>
  <c r="DN181" i="43"/>
  <c r="DH181" i="43"/>
  <c r="DE181" i="43"/>
  <c r="DB181" i="43"/>
  <c r="CY181" i="43"/>
  <c r="CV181" i="43"/>
  <c r="CS181" i="43"/>
  <c r="CM181" i="43"/>
  <c r="CJ181" i="43"/>
  <c r="CG181" i="43"/>
  <c r="CD181" i="43"/>
  <c r="CA181" i="43"/>
  <c r="BX181" i="43"/>
  <c r="BR181" i="43"/>
  <c r="BO181" i="43"/>
  <c r="BL181" i="43"/>
  <c r="BI181" i="43"/>
  <c r="BF181" i="43"/>
  <c r="BC181" i="43"/>
  <c r="AW181" i="43"/>
  <c r="AT181" i="43"/>
  <c r="AQ181" i="43"/>
  <c r="AN181" i="43"/>
  <c r="AK181" i="43"/>
  <c r="AH181" i="43"/>
  <c r="DQ180" i="43"/>
  <c r="DN180" i="43"/>
  <c r="DH180" i="43"/>
  <c r="DE180" i="43"/>
  <c r="DB180" i="43"/>
  <c r="CY180" i="43"/>
  <c r="CV180" i="43"/>
  <c r="CS180" i="43"/>
  <c r="CM180" i="43"/>
  <c r="CJ180" i="43"/>
  <c r="CG180" i="43"/>
  <c r="CD180" i="43"/>
  <c r="CA180" i="43"/>
  <c r="BX180" i="43"/>
  <c r="BR180" i="43"/>
  <c r="BO180" i="43"/>
  <c r="BL180" i="43"/>
  <c r="BI180" i="43"/>
  <c r="BF180" i="43"/>
  <c r="BC180" i="43"/>
  <c r="AW180" i="43"/>
  <c r="AT180" i="43"/>
  <c r="AQ180" i="43"/>
  <c r="AN180" i="43"/>
  <c r="AK180" i="43"/>
  <c r="AH180" i="43"/>
  <c r="DQ179" i="43"/>
  <c r="DN179" i="43"/>
  <c r="DH179" i="43"/>
  <c r="DE179" i="43"/>
  <c r="DB179" i="43"/>
  <c r="CY179" i="43"/>
  <c r="CV179" i="43"/>
  <c r="CS179" i="43"/>
  <c r="CM179" i="43"/>
  <c r="CJ179" i="43"/>
  <c r="CG179" i="43"/>
  <c r="CD179" i="43"/>
  <c r="CA179" i="43"/>
  <c r="BX179" i="43"/>
  <c r="BR179" i="43"/>
  <c r="BO179" i="43"/>
  <c r="BL179" i="43"/>
  <c r="BI179" i="43"/>
  <c r="BF179" i="43"/>
  <c r="BC179" i="43"/>
  <c r="AW179" i="43"/>
  <c r="AT179" i="43"/>
  <c r="AQ179" i="43"/>
  <c r="AN179" i="43"/>
  <c r="AK179" i="43"/>
  <c r="AH179" i="43"/>
  <c r="DQ178" i="43"/>
  <c r="DN178" i="43"/>
  <c r="DH178" i="43"/>
  <c r="DE178" i="43"/>
  <c r="DB178" i="43"/>
  <c r="CY178" i="43"/>
  <c r="CV178" i="43"/>
  <c r="CS178" i="43"/>
  <c r="CM178" i="43"/>
  <c r="CJ178" i="43"/>
  <c r="CG178" i="43"/>
  <c r="CD178" i="43"/>
  <c r="CA178" i="43"/>
  <c r="BX178" i="43"/>
  <c r="BR178" i="43"/>
  <c r="BO178" i="43"/>
  <c r="BL178" i="43"/>
  <c r="BI178" i="43"/>
  <c r="BF178" i="43"/>
  <c r="BC178" i="43"/>
  <c r="AW178" i="43"/>
  <c r="AT178" i="43"/>
  <c r="AQ178" i="43"/>
  <c r="AN178" i="43"/>
  <c r="AK178" i="43"/>
  <c r="AH178" i="43"/>
  <c r="DQ177" i="43"/>
  <c r="DN177" i="43"/>
  <c r="DH177" i="43"/>
  <c r="DE177" i="43"/>
  <c r="DB177" i="43"/>
  <c r="CY177" i="43"/>
  <c r="CV177" i="43"/>
  <c r="CS177" i="43"/>
  <c r="CM177" i="43"/>
  <c r="CJ177" i="43"/>
  <c r="CG177" i="43"/>
  <c r="CD177" i="43"/>
  <c r="CA177" i="43"/>
  <c r="BX177" i="43"/>
  <c r="BR177" i="43"/>
  <c r="BO177" i="43"/>
  <c r="BL177" i="43"/>
  <c r="BI177" i="43"/>
  <c r="BF177" i="43"/>
  <c r="BC177" i="43"/>
  <c r="AW177" i="43"/>
  <c r="AT177" i="43"/>
  <c r="AQ177" i="43"/>
  <c r="AN177" i="43"/>
  <c r="AK177" i="43"/>
  <c r="AH177" i="43"/>
  <c r="DQ176" i="43"/>
  <c r="DN176" i="43"/>
  <c r="DH176" i="43"/>
  <c r="DE176" i="43"/>
  <c r="DB176" i="43"/>
  <c r="CY176" i="43"/>
  <c r="CV176" i="43"/>
  <c r="CS176" i="43"/>
  <c r="CM176" i="43"/>
  <c r="CJ176" i="43"/>
  <c r="CG176" i="43"/>
  <c r="CD176" i="43"/>
  <c r="CA176" i="43"/>
  <c r="BX176" i="43"/>
  <c r="BR176" i="43"/>
  <c r="BO176" i="43"/>
  <c r="BL176" i="43"/>
  <c r="BI176" i="43"/>
  <c r="BF176" i="43"/>
  <c r="BC176" i="43"/>
  <c r="AW176" i="43"/>
  <c r="AT176" i="43"/>
  <c r="AQ176" i="43"/>
  <c r="AN176" i="43"/>
  <c r="AK176" i="43"/>
  <c r="AH176" i="43"/>
  <c r="DQ175" i="43"/>
  <c r="DN175" i="43"/>
  <c r="DH175" i="43"/>
  <c r="DE175" i="43"/>
  <c r="DB175" i="43"/>
  <c r="CY175" i="43"/>
  <c r="CV175" i="43"/>
  <c r="CS175" i="43"/>
  <c r="CM175" i="43"/>
  <c r="CJ175" i="43"/>
  <c r="CG175" i="43"/>
  <c r="CD175" i="43"/>
  <c r="CA175" i="43"/>
  <c r="BX175" i="43"/>
  <c r="BR175" i="43"/>
  <c r="BO175" i="43"/>
  <c r="BL175" i="43"/>
  <c r="BI175" i="43"/>
  <c r="BF175" i="43"/>
  <c r="BC175" i="43"/>
  <c r="AW175" i="43"/>
  <c r="AT175" i="43"/>
  <c r="AQ175" i="43"/>
  <c r="AN175" i="43"/>
  <c r="AK175" i="43"/>
  <c r="AH175" i="43"/>
  <c r="DQ174" i="43"/>
  <c r="DN174" i="43"/>
  <c r="DH174" i="43"/>
  <c r="DE174" i="43"/>
  <c r="DB174" i="43"/>
  <c r="CY174" i="43"/>
  <c r="CV174" i="43"/>
  <c r="CS174" i="43"/>
  <c r="CM174" i="43"/>
  <c r="CJ174" i="43"/>
  <c r="CG174" i="43"/>
  <c r="CD174" i="43"/>
  <c r="CA174" i="43"/>
  <c r="BX174" i="43"/>
  <c r="BR174" i="43"/>
  <c r="BO174" i="43"/>
  <c r="BL174" i="43"/>
  <c r="BI174" i="43"/>
  <c r="BF174" i="43"/>
  <c r="BC174" i="43"/>
  <c r="AW174" i="43"/>
  <c r="AT174" i="43"/>
  <c r="AQ174" i="43"/>
  <c r="AN174" i="43"/>
  <c r="AK174" i="43"/>
  <c r="AH174" i="43"/>
  <c r="DQ173" i="43"/>
  <c r="DN173" i="43"/>
  <c r="DH173" i="43"/>
  <c r="DE173" i="43"/>
  <c r="DB173" i="43"/>
  <c r="CY173" i="43"/>
  <c r="CV173" i="43"/>
  <c r="CS173" i="43"/>
  <c r="CM173" i="43"/>
  <c r="CJ173" i="43"/>
  <c r="CG173" i="43"/>
  <c r="CD173" i="43"/>
  <c r="CA173" i="43"/>
  <c r="BX173" i="43"/>
  <c r="BR173" i="43"/>
  <c r="BO173" i="43"/>
  <c r="BL173" i="43"/>
  <c r="BI173" i="43"/>
  <c r="BF173" i="43"/>
  <c r="BC173" i="43"/>
  <c r="AW173" i="43"/>
  <c r="AT173" i="43"/>
  <c r="AQ173" i="43"/>
  <c r="AN173" i="43"/>
  <c r="AK173" i="43"/>
  <c r="AH173" i="43"/>
  <c r="DQ172" i="43"/>
  <c r="DN172" i="43"/>
  <c r="DH172" i="43"/>
  <c r="DE172" i="43"/>
  <c r="DB172" i="43"/>
  <c r="CY172" i="43"/>
  <c r="CV172" i="43"/>
  <c r="CS172" i="43"/>
  <c r="CM172" i="43"/>
  <c r="CJ172" i="43"/>
  <c r="CG172" i="43"/>
  <c r="CD172" i="43"/>
  <c r="CA172" i="43"/>
  <c r="BX172" i="43"/>
  <c r="BR172" i="43"/>
  <c r="BO172" i="43"/>
  <c r="BL172" i="43"/>
  <c r="BI172" i="43"/>
  <c r="BF172" i="43"/>
  <c r="BC172" i="43"/>
  <c r="AW172" i="43"/>
  <c r="AT172" i="43"/>
  <c r="AQ172" i="43"/>
  <c r="AN172" i="43"/>
  <c r="AK172" i="43"/>
  <c r="AH172" i="43"/>
  <c r="DQ171" i="43"/>
  <c r="DN171" i="43"/>
  <c r="DH171" i="43"/>
  <c r="DE171" i="43"/>
  <c r="DB171" i="43"/>
  <c r="CY171" i="43"/>
  <c r="CV171" i="43"/>
  <c r="CS171" i="43"/>
  <c r="CM171" i="43"/>
  <c r="CJ171" i="43"/>
  <c r="CG171" i="43"/>
  <c r="CD171" i="43"/>
  <c r="CA171" i="43"/>
  <c r="BX171" i="43"/>
  <c r="BR171" i="43"/>
  <c r="BO171" i="43"/>
  <c r="BL171" i="43"/>
  <c r="BI171" i="43"/>
  <c r="BF171" i="43"/>
  <c r="BC171" i="43"/>
  <c r="AW171" i="43"/>
  <c r="AT171" i="43"/>
  <c r="AQ171" i="43"/>
  <c r="AN171" i="43"/>
  <c r="AK171" i="43"/>
  <c r="AH171" i="43"/>
  <c r="DQ170" i="43"/>
  <c r="DN170" i="43"/>
  <c r="DH170" i="43"/>
  <c r="DE170" i="43"/>
  <c r="DB170" i="43"/>
  <c r="CY170" i="43"/>
  <c r="CV170" i="43"/>
  <c r="CS170" i="43"/>
  <c r="CM170" i="43"/>
  <c r="CJ170" i="43"/>
  <c r="CG170" i="43"/>
  <c r="CD170" i="43"/>
  <c r="CA170" i="43"/>
  <c r="BX170" i="43"/>
  <c r="BR170" i="43"/>
  <c r="BO170" i="43"/>
  <c r="BL170" i="43"/>
  <c r="BI170" i="43"/>
  <c r="BF170" i="43"/>
  <c r="BC170" i="43"/>
  <c r="AW170" i="43"/>
  <c r="AT170" i="43"/>
  <c r="AQ170" i="43"/>
  <c r="AN170" i="43"/>
  <c r="AK170" i="43"/>
  <c r="AH170" i="43"/>
  <c r="DQ169" i="43"/>
  <c r="DN169" i="43"/>
  <c r="DH169" i="43"/>
  <c r="DE169" i="43"/>
  <c r="DB169" i="43"/>
  <c r="CY169" i="43"/>
  <c r="CV169" i="43"/>
  <c r="CS169" i="43"/>
  <c r="CM169" i="43"/>
  <c r="CJ169" i="43"/>
  <c r="CG169" i="43"/>
  <c r="CD169" i="43"/>
  <c r="CA169" i="43"/>
  <c r="BX169" i="43"/>
  <c r="BR169" i="43"/>
  <c r="BO169" i="43"/>
  <c r="BL169" i="43"/>
  <c r="BI169" i="43"/>
  <c r="BF169" i="43"/>
  <c r="BC169" i="43"/>
  <c r="AW169" i="43"/>
  <c r="AT169" i="43"/>
  <c r="AQ169" i="43"/>
  <c r="AN169" i="43"/>
  <c r="AK169" i="43"/>
  <c r="AH169" i="43"/>
  <c r="DQ168" i="43"/>
  <c r="DN168" i="43"/>
  <c r="DH168" i="43"/>
  <c r="DE168" i="43"/>
  <c r="DB168" i="43"/>
  <c r="CY168" i="43"/>
  <c r="CV168" i="43"/>
  <c r="CS168" i="43"/>
  <c r="CM168" i="43"/>
  <c r="CJ168" i="43"/>
  <c r="CG168" i="43"/>
  <c r="CD168" i="43"/>
  <c r="CA168" i="43"/>
  <c r="BX168" i="43"/>
  <c r="BR168" i="43"/>
  <c r="BO168" i="43"/>
  <c r="BL168" i="43"/>
  <c r="BI168" i="43"/>
  <c r="BF168" i="43"/>
  <c r="BC168" i="43"/>
  <c r="AW168" i="43"/>
  <c r="AT168" i="43"/>
  <c r="AQ168" i="43"/>
  <c r="AN168" i="43"/>
  <c r="AK168" i="43"/>
  <c r="AH168" i="43"/>
  <c r="DQ167" i="43"/>
  <c r="DN167" i="43"/>
  <c r="DH167" i="43"/>
  <c r="DE167" i="43"/>
  <c r="DB167" i="43"/>
  <c r="CY167" i="43"/>
  <c r="CV167" i="43"/>
  <c r="CS167" i="43"/>
  <c r="CM167" i="43"/>
  <c r="CJ167" i="43"/>
  <c r="CG167" i="43"/>
  <c r="CD167" i="43"/>
  <c r="CA167" i="43"/>
  <c r="BX167" i="43"/>
  <c r="BR167" i="43"/>
  <c r="BO167" i="43"/>
  <c r="BL167" i="43"/>
  <c r="BI167" i="43"/>
  <c r="BF167" i="43"/>
  <c r="BC167" i="43"/>
  <c r="AW167" i="43"/>
  <c r="AT167" i="43"/>
  <c r="AQ167" i="43"/>
  <c r="AN167" i="43"/>
  <c r="AK167" i="43"/>
  <c r="AH167" i="43"/>
  <c r="DQ166" i="43"/>
  <c r="DN166" i="43"/>
  <c r="DH166" i="43"/>
  <c r="DE166" i="43"/>
  <c r="DB166" i="43"/>
  <c r="CY166" i="43"/>
  <c r="CV166" i="43"/>
  <c r="CS166" i="43"/>
  <c r="CM166" i="43"/>
  <c r="CJ166" i="43"/>
  <c r="CG166" i="43"/>
  <c r="CD166" i="43"/>
  <c r="CA166" i="43"/>
  <c r="BX166" i="43"/>
  <c r="BR166" i="43"/>
  <c r="BO166" i="43"/>
  <c r="BL166" i="43"/>
  <c r="BI166" i="43"/>
  <c r="BF166" i="43"/>
  <c r="BC166" i="43"/>
  <c r="AW166" i="43"/>
  <c r="AT166" i="43"/>
  <c r="AQ166" i="43"/>
  <c r="AN166" i="43"/>
  <c r="AK166" i="43"/>
  <c r="AH166" i="43"/>
  <c r="DQ165" i="43"/>
  <c r="DN165" i="43"/>
  <c r="DH165" i="43"/>
  <c r="DE165" i="43"/>
  <c r="DB165" i="43"/>
  <c r="CY165" i="43"/>
  <c r="CV165" i="43"/>
  <c r="CS165" i="43"/>
  <c r="CM165" i="43"/>
  <c r="CJ165" i="43"/>
  <c r="CG165" i="43"/>
  <c r="CD165" i="43"/>
  <c r="CA165" i="43"/>
  <c r="BX165" i="43"/>
  <c r="BR165" i="43"/>
  <c r="BO165" i="43"/>
  <c r="BL165" i="43"/>
  <c r="BI165" i="43"/>
  <c r="BF165" i="43"/>
  <c r="BC165" i="43"/>
  <c r="AW165" i="43"/>
  <c r="AT165" i="43"/>
  <c r="AQ165" i="43"/>
  <c r="AN165" i="43"/>
  <c r="AK165" i="43"/>
  <c r="AH165" i="43"/>
  <c r="DQ164" i="43"/>
  <c r="DN164" i="43"/>
  <c r="DH164" i="43"/>
  <c r="DE164" i="43"/>
  <c r="DB164" i="43"/>
  <c r="CY164" i="43"/>
  <c r="CV164" i="43"/>
  <c r="CS164" i="43"/>
  <c r="CM164" i="43"/>
  <c r="CJ164" i="43"/>
  <c r="CG164" i="43"/>
  <c r="CD164" i="43"/>
  <c r="CA164" i="43"/>
  <c r="BX164" i="43"/>
  <c r="BR164" i="43"/>
  <c r="BO164" i="43"/>
  <c r="BL164" i="43"/>
  <c r="BI164" i="43"/>
  <c r="BF164" i="43"/>
  <c r="BC164" i="43"/>
  <c r="AW164" i="43"/>
  <c r="AT164" i="43"/>
  <c r="AQ164" i="43"/>
  <c r="AN164" i="43"/>
  <c r="AK164" i="43"/>
  <c r="AH164" i="43"/>
  <c r="DQ163" i="43"/>
  <c r="DN163" i="43"/>
  <c r="DH163" i="43"/>
  <c r="DE163" i="43"/>
  <c r="DB163" i="43"/>
  <c r="CY163" i="43"/>
  <c r="CV163" i="43"/>
  <c r="CS163" i="43"/>
  <c r="CM163" i="43"/>
  <c r="CJ163" i="43"/>
  <c r="CG163" i="43"/>
  <c r="CD163" i="43"/>
  <c r="CA163" i="43"/>
  <c r="BX163" i="43"/>
  <c r="BR163" i="43"/>
  <c r="BO163" i="43"/>
  <c r="BL163" i="43"/>
  <c r="BI163" i="43"/>
  <c r="BE163" i="43"/>
  <c r="BE308" i="43" s="1"/>
  <c r="BC163" i="43"/>
  <c r="AW163" i="43"/>
  <c r="AT163" i="43"/>
  <c r="AQ163" i="43"/>
  <c r="AN163" i="43"/>
  <c r="AK163" i="43"/>
  <c r="AH163" i="43"/>
  <c r="DQ162" i="43"/>
  <c r="DN162" i="43"/>
  <c r="DH162" i="43"/>
  <c r="DE162" i="43"/>
  <c r="DB162" i="43"/>
  <c r="CY162" i="43"/>
  <c r="CV162" i="43"/>
  <c r="CS162" i="43"/>
  <c r="CM162" i="43"/>
  <c r="CJ162" i="43"/>
  <c r="CG162" i="43"/>
  <c r="CD162" i="43"/>
  <c r="CA162" i="43"/>
  <c r="BX162" i="43"/>
  <c r="BR162" i="43"/>
  <c r="BO162" i="43"/>
  <c r="BL162" i="43"/>
  <c r="BI162" i="43"/>
  <c r="BF162" i="43"/>
  <c r="BC162" i="43"/>
  <c r="AW162" i="43"/>
  <c r="AT162" i="43"/>
  <c r="AQ162" i="43"/>
  <c r="AN162" i="43"/>
  <c r="AK162" i="43"/>
  <c r="AH162" i="43"/>
  <c r="DQ161" i="43"/>
  <c r="DN161" i="43"/>
  <c r="DH161" i="43"/>
  <c r="DE161" i="43"/>
  <c r="DB161" i="43"/>
  <c r="CY161" i="43"/>
  <c r="CV161" i="43"/>
  <c r="CS161" i="43"/>
  <c r="CM161" i="43"/>
  <c r="CJ161" i="43"/>
  <c r="CG161" i="43"/>
  <c r="CD161" i="43"/>
  <c r="CA161" i="43"/>
  <c r="BX161" i="43"/>
  <c r="BR161" i="43"/>
  <c r="BO161" i="43"/>
  <c r="BL161" i="43"/>
  <c r="BI161" i="43"/>
  <c r="BF161" i="43"/>
  <c r="BC161" i="43"/>
  <c r="AW161" i="43"/>
  <c r="AT161" i="43"/>
  <c r="AQ161" i="43"/>
  <c r="AN161" i="43"/>
  <c r="AK161" i="43"/>
  <c r="AH161" i="43"/>
  <c r="DQ160" i="43"/>
  <c r="DN160" i="43"/>
  <c r="DH160" i="43"/>
  <c r="DE160" i="43"/>
  <c r="DB160" i="43"/>
  <c r="CY160" i="43"/>
  <c r="CV160" i="43"/>
  <c r="CS160" i="43"/>
  <c r="CM160" i="43"/>
  <c r="CJ160" i="43"/>
  <c r="CG160" i="43"/>
  <c r="CD160" i="43"/>
  <c r="CA160" i="43"/>
  <c r="BX160" i="43"/>
  <c r="BR160" i="43"/>
  <c r="BO160" i="43"/>
  <c r="BL160" i="43"/>
  <c r="BI160" i="43"/>
  <c r="BF160" i="43"/>
  <c r="BC160" i="43"/>
  <c r="AW160" i="43"/>
  <c r="AT160" i="43"/>
  <c r="AQ160" i="43"/>
  <c r="AN160" i="43"/>
  <c r="AK160" i="43"/>
  <c r="AH160" i="43"/>
  <c r="DQ159" i="43"/>
  <c r="DN159" i="43"/>
  <c r="DH159" i="43"/>
  <c r="DE159" i="43"/>
  <c r="DB159" i="43"/>
  <c r="CY159" i="43"/>
  <c r="CV159" i="43"/>
  <c r="CS159" i="43"/>
  <c r="CM159" i="43"/>
  <c r="CJ159" i="43"/>
  <c r="CG159" i="43"/>
  <c r="CD159" i="43"/>
  <c r="CA159" i="43"/>
  <c r="BX159" i="43"/>
  <c r="BR159" i="43"/>
  <c r="BO159" i="43"/>
  <c r="BL159" i="43"/>
  <c r="BI159" i="43"/>
  <c r="BF159" i="43"/>
  <c r="BC159" i="43"/>
  <c r="AW159" i="43"/>
  <c r="AT159" i="43"/>
  <c r="AQ159" i="43"/>
  <c r="AN159" i="43"/>
  <c r="AK159" i="43"/>
  <c r="AH159" i="43"/>
  <c r="DQ158" i="43"/>
  <c r="DN158" i="43"/>
  <c r="DH158" i="43"/>
  <c r="DE158" i="43"/>
  <c r="DB158" i="43"/>
  <c r="CY158" i="43"/>
  <c r="CV158" i="43"/>
  <c r="CS158" i="43"/>
  <c r="CM158" i="43"/>
  <c r="CJ158" i="43"/>
  <c r="CG158" i="43"/>
  <c r="CD158" i="43"/>
  <c r="CA158" i="43"/>
  <c r="BX158" i="43"/>
  <c r="BR158" i="43"/>
  <c r="BO158" i="43"/>
  <c r="BL158" i="43"/>
  <c r="BI158" i="43"/>
  <c r="BF158" i="43"/>
  <c r="BC158" i="43"/>
  <c r="AW158" i="43"/>
  <c r="AT158" i="43"/>
  <c r="AQ158" i="43"/>
  <c r="AN158" i="43"/>
  <c r="AK158" i="43"/>
  <c r="AH158" i="43"/>
  <c r="DQ157" i="43"/>
  <c r="DN157" i="43"/>
  <c r="DH157" i="43"/>
  <c r="DE157" i="43"/>
  <c r="DB157" i="43"/>
  <c r="CY157" i="43"/>
  <c r="CV157" i="43"/>
  <c r="CS157" i="43"/>
  <c r="CM157" i="43"/>
  <c r="CJ157" i="43"/>
  <c r="CG157" i="43"/>
  <c r="CD157" i="43"/>
  <c r="CA157" i="43"/>
  <c r="BX157" i="43"/>
  <c r="BR157" i="43"/>
  <c r="BO157" i="43"/>
  <c r="BL157" i="43"/>
  <c r="BI157" i="43"/>
  <c r="BF157" i="43"/>
  <c r="BC157" i="43"/>
  <c r="AW157" i="43"/>
  <c r="AT157" i="43"/>
  <c r="AQ157" i="43"/>
  <c r="AN157" i="43"/>
  <c r="AK157" i="43"/>
  <c r="AH157" i="43"/>
  <c r="DQ156" i="43"/>
  <c r="DN156" i="43"/>
  <c r="DH156" i="43"/>
  <c r="DE156" i="43"/>
  <c r="DB156" i="43"/>
  <c r="CY156" i="43"/>
  <c r="CV156" i="43"/>
  <c r="CS156" i="43"/>
  <c r="CM156" i="43"/>
  <c r="CJ156" i="43"/>
  <c r="CG156" i="43"/>
  <c r="CD156" i="43"/>
  <c r="CA156" i="43"/>
  <c r="BX156" i="43"/>
  <c r="BR156" i="43"/>
  <c r="BO156" i="43"/>
  <c r="BL156" i="43"/>
  <c r="BI156" i="43"/>
  <c r="BF156" i="43"/>
  <c r="BC156" i="43"/>
  <c r="AW156" i="43"/>
  <c r="AT156" i="43"/>
  <c r="AQ156" i="43"/>
  <c r="AN156" i="43"/>
  <c r="AK156" i="43"/>
  <c r="AH156" i="43"/>
  <c r="DQ155" i="43"/>
  <c r="DN155" i="43"/>
  <c r="DH155" i="43"/>
  <c r="DE155" i="43"/>
  <c r="DB155" i="43"/>
  <c r="CY155" i="43"/>
  <c r="CV155" i="43"/>
  <c r="CS155" i="43"/>
  <c r="CM155" i="43"/>
  <c r="CJ155" i="43"/>
  <c r="CG155" i="43"/>
  <c r="CD155" i="43"/>
  <c r="CA155" i="43"/>
  <c r="BX155" i="43"/>
  <c r="BR155" i="43"/>
  <c r="BO155" i="43"/>
  <c r="BL155" i="43"/>
  <c r="BI155" i="43"/>
  <c r="BF155" i="43"/>
  <c r="BC155" i="43"/>
  <c r="AW155" i="43"/>
  <c r="AT155" i="43"/>
  <c r="AQ155" i="43"/>
  <c r="AN155" i="43"/>
  <c r="AK155" i="43"/>
  <c r="AH155" i="43"/>
  <c r="DQ154" i="43"/>
  <c r="DN154" i="43"/>
  <c r="DH154" i="43"/>
  <c r="DE154" i="43"/>
  <c r="DB154" i="43"/>
  <c r="CY154" i="43"/>
  <c r="CV154" i="43"/>
  <c r="CS154" i="43"/>
  <c r="CM154" i="43"/>
  <c r="CJ154" i="43"/>
  <c r="CG154" i="43"/>
  <c r="CD154" i="43"/>
  <c r="CA154" i="43"/>
  <c r="BX154" i="43"/>
  <c r="BR154" i="43"/>
  <c r="BO154" i="43"/>
  <c r="BL154" i="43"/>
  <c r="BI154" i="43"/>
  <c r="BF154" i="43"/>
  <c r="BC154" i="43"/>
  <c r="AW154" i="43"/>
  <c r="AT154" i="43"/>
  <c r="AQ154" i="43"/>
  <c r="AN154" i="43"/>
  <c r="AK154" i="43"/>
  <c r="AH154" i="43"/>
  <c r="DQ153" i="43"/>
  <c r="DN153" i="43"/>
  <c r="DH153" i="43"/>
  <c r="DE153" i="43"/>
  <c r="DB153" i="43"/>
  <c r="CY153" i="43"/>
  <c r="CV153" i="43"/>
  <c r="CS153" i="43"/>
  <c r="CM153" i="43"/>
  <c r="CJ153" i="43"/>
  <c r="CG153" i="43"/>
  <c r="CD153" i="43"/>
  <c r="CA153" i="43"/>
  <c r="BX153" i="43"/>
  <c r="BR153" i="43"/>
  <c r="BO153" i="43"/>
  <c r="BL153" i="43"/>
  <c r="BI153" i="43"/>
  <c r="BF153" i="43"/>
  <c r="BC153" i="43"/>
  <c r="AW153" i="43"/>
  <c r="AT153" i="43"/>
  <c r="AQ153" i="43"/>
  <c r="AN153" i="43"/>
  <c r="AK153" i="43"/>
  <c r="AH153" i="43"/>
  <c r="DQ152" i="43"/>
  <c r="DN152" i="43"/>
  <c r="DH152" i="43"/>
  <c r="DE152" i="43"/>
  <c r="DB152" i="43"/>
  <c r="CY152" i="43"/>
  <c r="CV152" i="43"/>
  <c r="CS152" i="43"/>
  <c r="CM152" i="43"/>
  <c r="CJ152" i="43"/>
  <c r="CG152" i="43"/>
  <c r="CD152" i="43"/>
  <c r="CA152" i="43"/>
  <c r="BX152" i="43"/>
  <c r="BR152" i="43"/>
  <c r="BO152" i="43"/>
  <c r="BL152" i="43"/>
  <c r="BI152" i="43"/>
  <c r="BF152" i="43"/>
  <c r="BC152" i="43"/>
  <c r="AW152" i="43"/>
  <c r="AT152" i="43"/>
  <c r="AQ152" i="43"/>
  <c r="AN152" i="43"/>
  <c r="AK152" i="43"/>
  <c r="AH152" i="43"/>
  <c r="DQ151" i="43"/>
  <c r="DN151" i="43"/>
  <c r="DH151" i="43"/>
  <c r="DE151" i="43"/>
  <c r="DB151" i="43"/>
  <c r="CY151" i="43"/>
  <c r="CV151" i="43"/>
  <c r="CS151" i="43"/>
  <c r="CM151" i="43"/>
  <c r="CJ151" i="43"/>
  <c r="CG151" i="43"/>
  <c r="CD151" i="43"/>
  <c r="CA151" i="43"/>
  <c r="BX151" i="43"/>
  <c r="BR151" i="43"/>
  <c r="BO151" i="43"/>
  <c r="BL151" i="43"/>
  <c r="BI151" i="43"/>
  <c r="BF151" i="43"/>
  <c r="BC151" i="43"/>
  <c r="AW151" i="43"/>
  <c r="AT151" i="43"/>
  <c r="AQ151" i="43"/>
  <c r="AN151" i="43"/>
  <c r="AK151" i="43"/>
  <c r="AH151" i="43"/>
  <c r="DQ150" i="43"/>
  <c r="DN150" i="43"/>
  <c r="DH150" i="43"/>
  <c r="DE150" i="43"/>
  <c r="DB150" i="43"/>
  <c r="CY150" i="43"/>
  <c r="CV150" i="43"/>
  <c r="CS150" i="43"/>
  <c r="CM150" i="43"/>
  <c r="CJ150" i="43"/>
  <c r="CG150" i="43"/>
  <c r="CD150" i="43"/>
  <c r="CA150" i="43"/>
  <c r="BX150" i="43"/>
  <c r="BR150" i="43"/>
  <c r="BO150" i="43"/>
  <c r="BL150" i="43"/>
  <c r="BI150" i="43"/>
  <c r="BF150" i="43"/>
  <c r="BC150" i="43"/>
  <c r="AW150" i="43"/>
  <c r="AT150" i="43"/>
  <c r="AQ150" i="43"/>
  <c r="AN150" i="43"/>
  <c r="AK150" i="43"/>
  <c r="AH150" i="43"/>
  <c r="DQ149" i="43"/>
  <c r="DN149" i="43"/>
  <c r="DH149" i="43"/>
  <c r="DE149" i="43"/>
  <c r="DB149" i="43"/>
  <c r="CY149" i="43"/>
  <c r="CV149" i="43"/>
  <c r="CS149" i="43"/>
  <c r="CM149" i="43"/>
  <c r="CJ149" i="43"/>
  <c r="CG149" i="43"/>
  <c r="CD149" i="43"/>
  <c r="CA149" i="43"/>
  <c r="BX149" i="43"/>
  <c r="BR149" i="43"/>
  <c r="BO149" i="43"/>
  <c r="BL149" i="43"/>
  <c r="BI149" i="43"/>
  <c r="BF149" i="43"/>
  <c r="BC149" i="43"/>
  <c r="AW149" i="43"/>
  <c r="AT149" i="43"/>
  <c r="AQ149" i="43"/>
  <c r="AN149" i="43"/>
  <c r="AK149" i="43"/>
  <c r="AH149" i="43"/>
  <c r="DQ148" i="43"/>
  <c r="DN148" i="43"/>
  <c r="DH148" i="43"/>
  <c r="DE148" i="43"/>
  <c r="DB148" i="43"/>
  <c r="CY148" i="43"/>
  <c r="CV148" i="43"/>
  <c r="CS148" i="43"/>
  <c r="CM148" i="43"/>
  <c r="CJ148" i="43"/>
  <c r="CG148" i="43"/>
  <c r="CD148" i="43"/>
  <c r="CA148" i="43"/>
  <c r="BX148" i="43"/>
  <c r="BR148" i="43"/>
  <c r="BO148" i="43"/>
  <c r="BL148" i="43"/>
  <c r="BI148" i="43"/>
  <c r="BF148" i="43"/>
  <c r="BC148" i="43"/>
  <c r="AW148" i="43"/>
  <c r="AT148" i="43"/>
  <c r="AQ148" i="43"/>
  <c r="AN148" i="43"/>
  <c r="AK148" i="43"/>
  <c r="AH148" i="43"/>
  <c r="DQ147" i="43"/>
  <c r="DN147" i="43"/>
  <c r="DH147" i="43"/>
  <c r="DE147" i="43"/>
  <c r="DB147" i="43"/>
  <c r="CY147" i="43"/>
  <c r="CV147" i="43"/>
  <c r="CS147" i="43"/>
  <c r="CM147" i="43"/>
  <c r="CJ147" i="43"/>
  <c r="CG147" i="43"/>
  <c r="CD147" i="43"/>
  <c r="CA147" i="43"/>
  <c r="BX147" i="43"/>
  <c r="BR147" i="43"/>
  <c r="BO147" i="43"/>
  <c r="BL147" i="43"/>
  <c r="BI147" i="43"/>
  <c r="BF147" i="43"/>
  <c r="BC147" i="43"/>
  <c r="AW147" i="43"/>
  <c r="AT147" i="43"/>
  <c r="AQ147" i="43"/>
  <c r="AN147" i="43"/>
  <c r="AK147" i="43"/>
  <c r="AH147" i="43"/>
  <c r="DQ146" i="43"/>
  <c r="DN146" i="43"/>
  <c r="DH146" i="43"/>
  <c r="DE146" i="43"/>
  <c r="DB146" i="43"/>
  <c r="CY146" i="43"/>
  <c r="CV146" i="43"/>
  <c r="CS146" i="43"/>
  <c r="CM146" i="43"/>
  <c r="CJ146" i="43"/>
  <c r="CG146" i="43"/>
  <c r="CD146" i="43"/>
  <c r="CA146" i="43"/>
  <c r="BX146" i="43"/>
  <c r="BR146" i="43"/>
  <c r="BO146" i="43"/>
  <c r="BL146" i="43"/>
  <c r="BI146" i="43"/>
  <c r="BF146" i="43"/>
  <c r="BC146" i="43"/>
  <c r="AW146" i="43"/>
  <c r="AT146" i="43"/>
  <c r="AQ146" i="43"/>
  <c r="AN146" i="43"/>
  <c r="AK146" i="43"/>
  <c r="AH146" i="43"/>
  <c r="DQ145" i="43"/>
  <c r="DN145" i="43"/>
  <c r="DH145" i="43"/>
  <c r="DE145" i="43"/>
  <c r="DB145" i="43"/>
  <c r="CY145" i="43"/>
  <c r="CV145" i="43"/>
  <c r="CS145" i="43"/>
  <c r="CM145" i="43"/>
  <c r="CJ145" i="43"/>
  <c r="CG145" i="43"/>
  <c r="CD145" i="43"/>
  <c r="CA145" i="43"/>
  <c r="BX145" i="43"/>
  <c r="BR145" i="43"/>
  <c r="BO145" i="43"/>
  <c r="BL145" i="43"/>
  <c r="BI145" i="43"/>
  <c r="BF145" i="43"/>
  <c r="BC145" i="43"/>
  <c r="AW145" i="43"/>
  <c r="AT145" i="43"/>
  <c r="AQ145" i="43"/>
  <c r="AN145" i="43"/>
  <c r="AK145" i="43"/>
  <c r="AH145" i="43"/>
  <c r="DQ144" i="43"/>
  <c r="DN144" i="43"/>
  <c r="DH144" i="43"/>
  <c r="DE144" i="43"/>
  <c r="DB144" i="43"/>
  <c r="CY144" i="43"/>
  <c r="CV144" i="43"/>
  <c r="CS144" i="43"/>
  <c r="CM144" i="43"/>
  <c r="CJ144" i="43"/>
  <c r="CG144" i="43"/>
  <c r="CD144" i="43"/>
  <c r="CA144" i="43"/>
  <c r="BX144" i="43"/>
  <c r="BR144" i="43"/>
  <c r="BO144" i="43"/>
  <c r="BL144" i="43"/>
  <c r="BI144" i="43"/>
  <c r="BF144" i="43"/>
  <c r="BC144" i="43"/>
  <c r="AW144" i="43"/>
  <c r="AT144" i="43"/>
  <c r="AQ144" i="43"/>
  <c r="AN144" i="43"/>
  <c r="AK144" i="43"/>
  <c r="AH144" i="43"/>
  <c r="DQ143" i="43"/>
  <c r="DN143" i="43"/>
  <c r="DH143" i="43"/>
  <c r="DE143" i="43"/>
  <c r="DB143" i="43"/>
  <c r="CY143" i="43"/>
  <c r="CV143" i="43"/>
  <c r="CS143" i="43"/>
  <c r="CM143" i="43"/>
  <c r="CJ143" i="43"/>
  <c r="CG143" i="43"/>
  <c r="CD143" i="43"/>
  <c r="CA143" i="43"/>
  <c r="BX143" i="43"/>
  <c r="BR143" i="43"/>
  <c r="BO143" i="43"/>
  <c r="BL143" i="43"/>
  <c r="BI143" i="43"/>
  <c r="BF143" i="43"/>
  <c r="BC143" i="43"/>
  <c r="AW143" i="43"/>
  <c r="AT143" i="43"/>
  <c r="AQ143" i="43"/>
  <c r="AN143" i="43"/>
  <c r="AK143" i="43"/>
  <c r="AH143" i="43"/>
  <c r="DQ142" i="43"/>
  <c r="DN142" i="43"/>
  <c r="DH142" i="43"/>
  <c r="DE142" i="43"/>
  <c r="DB142" i="43"/>
  <c r="CY142" i="43"/>
  <c r="CV142" i="43"/>
  <c r="CS142" i="43"/>
  <c r="CM142" i="43"/>
  <c r="CJ142" i="43"/>
  <c r="CG142" i="43"/>
  <c r="CD142" i="43"/>
  <c r="CA142" i="43"/>
  <c r="BX142" i="43"/>
  <c r="BR142" i="43"/>
  <c r="BO142" i="43"/>
  <c r="BL142" i="43"/>
  <c r="BI142" i="43"/>
  <c r="BF142" i="43"/>
  <c r="BC142" i="43"/>
  <c r="AW142" i="43"/>
  <c r="AT142" i="43"/>
  <c r="AQ142" i="43"/>
  <c r="AN142" i="43"/>
  <c r="AK142" i="43"/>
  <c r="AH142" i="43"/>
  <c r="DQ141" i="43"/>
  <c r="DN141" i="43"/>
  <c r="DH141" i="43"/>
  <c r="DE141" i="43"/>
  <c r="DB141" i="43"/>
  <c r="CY141" i="43"/>
  <c r="CV141" i="43"/>
  <c r="CS141" i="43"/>
  <c r="CM141" i="43"/>
  <c r="CJ141" i="43"/>
  <c r="CG141" i="43"/>
  <c r="CD141" i="43"/>
  <c r="CA141" i="43"/>
  <c r="BX141" i="43"/>
  <c r="BR141" i="43"/>
  <c r="BO141" i="43"/>
  <c r="BL141" i="43"/>
  <c r="BI141" i="43"/>
  <c r="BF141" i="43"/>
  <c r="BC141" i="43"/>
  <c r="AW141" i="43"/>
  <c r="AT141" i="43"/>
  <c r="AQ141" i="43"/>
  <c r="AN141" i="43"/>
  <c r="AK141" i="43"/>
  <c r="AH141" i="43"/>
  <c r="DQ140" i="43"/>
  <c r="DN140" i="43"/>
  <c r="DH140" i="43"/>
  <c r="DE140" i="43"/>
  <c r="DB140" i="43"/>
  <c r="CY140" i="43"/>
  <c r="CV140" i="43"/>
  <c r="CS140" i="43"/>
  <c r="CM140" i="43"/>
  <c r="CJ140" i="43"/>
  <c r="CG140" i="43"/>
  <c r="CD140" i="43"/>
  <c r="CA140" i="43"/>
  <c r="BX140" i="43"/>
  <c r="BR140" i="43"/>
  <c r="BO140" i="43"/>
  <c r="BL140" i="43"/>
  <c r="BI140" i="43"/>
  <c r="BF140" i="43"/>
  <c r="BC140" i="43"/>
  <c r="AW140" i="43"/>
  <c r="AT140" i="43"/>
  <c r="AQ140" i="43"/>
  <c r="AN140" i="43"/>
  <c r="AK140" i="43"/>
  <c r="AH140" i="43"/>
  <c r="DQ139" i="43"/>
  <c r="DN139" i="43"/>
  <c r="DH139" i="43"/>
  <c r="DE139" i="43"/>
  <c r="DB139" i="43"/>
  <c r="CY139" i="43"/>
  <c r="CV139" i="43"/>
  <c r="CS139" i="43"/>
  <c r="CM139" i="43"/>
  <c r="CJ139" i="43"/>
  <c r="CG139" i="43"/>
  <c r="CD139" i="43"/>
  <c r="CA139" i="43"/>
  <c r="BX139" i="43"/>
  <c r="BR139" i="43"/>
  <c r="BO139" i="43"/>
  <c r="BL139" i="43"/>
  <c r="BI139" i="43"/>
  <c r="BF139" i="43"/>
  <c r="BC139" i="43"/>
  <c r="AW139" i="43"/>
  <c r="AT139" i="43"/>
  <c r="AQ139" i="43"/>
  <c r="AN139" i="43"/>
  <c r="AK139" i="43"/>
  <c r="AH139" i="43"/>
  <c r="DQ138" i="43"/>
  <c r="DN138" i="43"/>
  <c r="DH138" i="43"/>
  <c r="DE138" i="43"/>
  <c r="DB138" i="43"/>
  <c r="CY138" i="43"/>
  <c r="CV138" i="43"/>
  <c r="CS138" i="43"/>
  <c r="CM138" i="43"/>
  <c r="CJ138" i="43"/>
  <c r="CG138" i="43"/>
  <c r="CD138" i="43"/>
  <c r="CA138" i="43"/>
  <c r="BX138" i="43"/>
  <c r="BR138" i="43"/>
  <c r="BO138" i="43"/>
  <c r="BL138" i="43"/>
  <c r="BI138" i="43"/>
  <c r="BF138" i="43"/>
  <c r="BC138" i="43"/>
  <c r="AW138" i="43"/>
  <c r="AT138" i="43"/>
  <c r="AQ138" i="43"/>
  <c r="AN138" i="43"/>
  <c r="AK138" i="43"/>
  <c r="AH138" i="43"/>
  <c r="DQ137" i="43"/>
  <c r="DN137" i="43"/>
  <c r="DH137" i="43"/>
  <c r="DE137" i="43"/>
  <c r="DB137" i="43"/>
  <c r="CY137" i="43"/>
  <c r="CV137" i="43"/>
  <c r="CS137" i="43"/>
  <c r="CM137" i="43"/>
  <c r="CJ137" i="43"/>
  <c r="CG137" i="43"/>
  <c r="CD137" i="43"/>
  <c r="CA137" i="43"/>
  <c r="BX137" i="43"/>
  <c r="BR137" i="43"/>
  <c r="BO137" i="43"/>
  <c r="BL137" i="43"/>
  <c r="BI137" i="43"/>
  <c r="BF137" i="43"/>
  <c r="BC137" i="43"/>
  <c r="AW137" i="43"/>
  <c r="AT137" i="43"/>
  <c r="AQ137" i="43"/>
  <c r="AN137" i="43"/>
  <c r="AK137" i="43"/>
  <c r="AH137" i="43"/>
  <c r="DQ136" i="43"/>
  <c r="DN136" i="43"/>
  <c r="DH136" i="43"/>
  <c r="DE136" i="43"/>
  <c r="DB136" i="43"/>
  <c r="CY136" i="43"/>
  <c r="CV136" i="43"/>
  <c r="CS136" i="43"/>
  <c r="CM136" i="43"/>
  <c r="CJ136" i="43"/>
  <c r="CG136" i="43"/>
  <c r="CD136" i="43"/>
  <c r="CA136" i="43"/>
  <c r="BX136" i="43"/>
  <c r="BR136" i="43"/>
  <c r="BO136" i="43"/>
  <c r="BL136" i="43"/>
  <c r="BI136" i="43"/>
  <c r="BF136" i="43"/>
  <c r="BC136" i="43"/>
  <c r="AW136" i="43"/>
  <c r="AT136" i="43"/>
  <c r="AQ136" i="43"/>
  <c r="AN136" i="43"/>
  <c r="AK136" i="43"/>
  <c r="AH136" i="43"/>
  <c r="DQ135" i="43"/>
  <c r="DN135" i="43"/>
  <c r="DH135" i="43"/>
  <c r="DE135" i="43"/>
  <c r="DB135" i="43"/>
  <c r="CY135" i="43"/>
  <c r="CV135" i="43"/>
  <c r="CS135" i="43"/>
  <c r="CM135" i="43"/>
  <c r="CJ135" i="43"/>
  <c r="CG135" i="43"/>
  <c r="CD135" i="43"/>
  <c r="CA135" i="43"/>
  <c r="BX135" i="43"/>
  <c r="BR135" i="43"/>
  <c r="BO135" i="43"/>
  <c r="BL135" i="43"/>
  <c r="BI135" i="43"/>
  <c r="BF135" i="43"/>
  <c r="BC135" i="43"/>
  <c r="AW135" i="43"/>
  <c r="AT135" i="43"/>
  <c r="AQ135" i="43"/>
  <c r="AN135" i="43"/>
  <c r="AK135" i="43"/>
  <c r="AH135" i="43"/>
  <c r="DQ134" i="43"/>
  <c r="DN134" i="43"/>
  <c r="DH134" i="43"/>
  <c r="DE134" i="43"/>
  <c r="DB134" i="43"/>
  <c r="CY134" i="43"/>
  <c r="CQ134" i="43"/>
  <c r="CV134" i="43" s="1"/>
  <c r="CM134" i="43"/>
  <c r="CK134" i="43"/>
  <c r="CS134" i="43" s="1"/>
  <c r="CJ134" i="43"/>
  <c r="CG134" i="43"/>
  <c r="CD134" i="43"/>
  <c r="CA134" i="43"/>
  <c r="BX134" i="43"/>
  <c r="BR134" i="43"/>
  <c r="BO134" i="43"/>
  <c r="BL134" i="43"/>
  <c r="BI134" i="43"/>
  <c r="BF134" i="43"/>
  <c r="BC134" i="43"/>
  <c r="AW134" i="43"/>
  <c r="AT134" i="43"/>
  <c r="AQ134" i="43"/>
  <c r="AN134" i="43"/>
  <c r="AK134" i="43"/>
  <c r="AH134" i="43"/>
  <c r="DQ133" i="43"/>
  <c r="DN133" i="43"/>
  <c r="DH133" i="43"/>
  <c r="DE133" i="43"/>
  <c r="DB133" i="43"/>
  <c r="CY133" i="43"/>
  <c r="CV133" i="43"/>
  <c r="CS133" i="43"/>
  <c r="CM133" i="43"/>
  <c r="CJ133" i="43"/>
  <c r="CG133" i="43"/>
  <c r="CD133" i="43"/>
  <c r="CA133" i="43"/>
  <c r="BX133" i="43"/>
  <c r="BR133" i="43"/>
  <c r="BO133" i="43"/>
  <c r="BL133" i="43"/>
  <c r="BI133" i="43"/>
  <c r="BF133" i="43"/>
  <c r="BC133" i="43"/>
  <c r="AW133" i="43"/>
  <c r="AT133" i="43"/>
  <c r="AQ133" i="43"/>
  <c r="AN133" i="43"/>
  <c r="AK133" i="43"/>
  <c r="AH133" i="43"/>
  <c r="DQ132" i="43"/>
  <c r="DN132" i="43"/>
  <c r="DH132" i="43"/>
  <c r="DE132" i="43"/>
  <c r="DB132" i="43"/>
  <c r="CY132" i="43"/>
  <c r="CV132" i="43"/>
  <c r="CJ132" i="43"/>
  <c r="CG132" i="43"/>
  <c r="CD132" i="43"/>
  <c r="CA132" i="43"/>
  <c r="BX132" i="43"/>
  <c r="BR132" i="43"/>
  <c r="BO132" i="43"/>
  <c r="BL132" i="43"/>
  <c r="BI132" i="43"/>
  <c r="BF132" i="43"/>
  <c r="BC132" i="43"/>
  <c r="AW132" i="43"/>
  <c r="AT132" i="43"/>
  <c r="AQ132" i="43"/>
  <c r="AN132" i="43"/>
  <c r="AK132" i="43"/>
  <c r="AH132" i="43"/>
  <c r="DQ131" i="43"/>
  <c r="DN131" i="43"/>
  <c r="DH131" i="43"/>
  <c r="DE131" i="43"/>
  <c r="DB131" i="43"/>
  <c r="CY131" i="43"/>
  <c r="CV131" i="43"/>
  <c r="CS131" i="43"/>
  <c r="CM131" i="43"/>
  <c r="CJ131" i="43"/>
  <c r="CG131" i="43"/>
  <c r="CD131" i="43"/>
  <c r="CA131" i="43"/>
  <c r="BX131" i="43"/>
  <c r="BR131" i="43"/>
  <c r="BO131" i="43"/>
  <c r="BL131" i="43"/>
  <c r="BI131" i="43"/>
  <c r="BF131" i="43"/>
  <c r="BC131" i="43"/>
  <c r="AW131" i="43"/>
  <c r="AT131" i="43"/>
  <c r="AQ131" i="43"/>
  <c r="AN131" i="43"/>
  <c r="AK131" i="43"/>
  <c r="AH131" i="43"/>
  <c r="DQ130" i="43"/>
  <c r="DN130" i="43"/>
  <c r="DH130" i="43"/>
  <c r="DE130" i="43"/>
  <c r="DB130" i="43"/>
  <c r="CY130" i="43"/>
  <c r="CV130" i="43"/>
  <c r="CS130" i="43"/>
  <c r="CM130" i="43"/>
  <c r="CJ130" i="43"/>
  <c r="CG130" i="43"/>
  <c r="CD130" i="43"/>
  <c r="CA130" i="43"/>
  <c r="BX130" i="43"/>
  <c r="BR130" i="43"/>
  <c r="BO130" i="43"/>
  <c r="BL130" i="43"/>
  <c r="BI130" i="43"/>
  <c r="BF130" i="43"/>
  <c r="BC130" i="43"/>
  <c r="AW130" i="43"/>
  <c r="AT130" i="43"/>
  <c r="AQ130" i="43"/>
  <c r="AN130" i="43"/>
  <c r="AK130" i="43"/>
  <c r="AH130" i="43"/>
  <c r="DQ129" i="43"/>
  <c r="DN129" i="43"/>
  <c r="DH129" i="43"/>
  <c r="DE129" i="43"/>
  <c r="DB129" i="43"/>
  <c r="CY129" i="43"/>
  <c r="CV129" i="43"/>
  <c r="CS129" i="43"/>
  <c r="CM129" i="43"/>
  <c r="CJ129" i="43"/>
  <c r="CG129" i="43"/>
  <c r="CD129" i="43"/>
  <c r="CA129" i="43"/>
  <c r="BX129" i="43"/>
  <c r="BR129" i="43"/>
  <c r="BO129" i="43"/>
  <c r="BL129" i="43"/>
  <c r="BI129" i="43"/>
  <c r="BF129" i="43"/>
  <c r="BC129" i="43"/>
  <c r="AW129" i="43"/>
  <c r="AT129" i="43"/>
  <c r="AQ129" i="43"/>
  <c r="AN129" i="43"/>
  <c r="AK129" i="43"/>
  <c r="AH129" i="43"/>
  <c r="DQ128" i="43"/>
  <c r="DN128" i="43"/>
  <c r="DH128" i="43"/>
  <c r="DE128" i="43"/>
  <c r="DB128" i="43"/>
  <c r="CY128" i="43"/>
  <c r="CV128" i="43"/>
  <c r="CS128" i="43"/>
  <c r="CM128" i="43"/>
  <c r="CJ128" i="43"/>
  <c r="CG128" i="43"/>
  <c r="CD128" i="43"/>
  <c r="CA128" i="43"/>
  <c r="BX128" i="43"/>
  <c r="BR128" i="43"/>
  <c r="BO128" i="43"/>
  <c r="BL128" i="43"/>
  <c r="BI128" i="43"/>
  <c r="BF128" i="43"/>
  <c r="BC128" i="43"/>
  <c r="AW128" i="43"/>
  <c r="AT128" i="43"/>
  <c r="AQ128" i="43"/>
  <c r="AN128" i="43"/>
  <c r="AK128" i="43"/>
  <c r="AH128" i="43"/>
  <c r="DQ127" i="43"/>
  <c r="DN127" i="43"/>
  <c r="DH127" i="43"/>
  <c r="DE127" i="43"/>
  <c r="DB127" i="43"/>
  <c r="CY127" i="43"/>
  <c r="CV127" i="43"/>
  <c r="CS127" i="43"/>
  <c r="CM127" i="43"/>
  <c r="CJ127" i="43"/>
  <c r="CG127" i="43"/>
  <c r="CD127" i="43"/>
  <c r="CA127" i="43"/>
  <c r="BX127" i="43"/>
  <c r="BR127" i="43"/>
  <c r="BO127" i="43"/>
  <c r="BL127" i="43"/>
  <c r="BI127" i="43"/>
  <c r="BF127" i="43"/>
  <c r="BC127" i="43"/>
  <c r="AW127" i="43"/>
  <c r="AT127" i="43"/>
  <c r="AQ127" i="43"/>
  <c r="AN127" i="43"/>
  <c r="AK127" i="43"/>
  <c r="AH127" i="43"/>
  <c r="DQ126" i="43"/>
  <c r="DN126" i="43"/>
  <c r="DH126" i="43"/>
  <c r="DE126" i="43"/>
  <c r="DB126" i="43"/>
  <c r="CY126" i="43"/>
  <c r="CV126" i="43"/>
  <c r="CS126" i="43"/>
  <c r="CM126" i="43"/>
  <c r="CJ126" i="43"/>
  <c r="CG126" i="43"/>
  <c r="CD126" i="43"/>
  <c r="CA126" i="43"/>
  <c r="BX126" i="43"/>
  <c r="BR126" i="43"/>
  <c r="BO126" i="43"/>
  <c r="BL126" i="43"/>
  <c r="BI126" i="43"/>
  <c r="BF126" i="43"/>
  <c r="BC126" i="43"/>
  <c r="AW126" i="43"/>
  <c r="AT126" i="43"/>
  <c r="AQ126" i="43"/>
  <c r="AN126" i="43"/>
  <c r="AK126" i="43"/>
  <c r="AH126" i="43"/>
  <c r="DQ125" i="43"/>
  <c r="DN125" i="43"/>
  <c r="DH125" i="43"/>
  <c r="DE125" i="43"/>
  <c r="DB125" i="43"/>
  <c r="CY125" i="43"/>
  <c r="CV125" i="43"/>
  <c r="CS125" i="43"/>
  <c r="CM125" i="43"/>
  <c r="CJ125" i="43"/>
  <c r="CG125" i="43"/>
  <c r="CD125" i="43"/>
  <c r="CA125" i="43"/>
  <c r="BX125" i="43"/>
  <c r="BR125" i="43"/>
  <c r="BO125" i="43"/>
  <c r="BL125" i="43"/>
  <c r="BI125" i="43"/>
  <c r="BF125" i="43"/>
  <c r="BC125" i="43"/>
  <c r="AW125" i="43"/>
  <c r="AT125" i="43"/>
  <c r="AQ125" i="43"/>
  <c r="AN125" i="43"/>
  <c r="AK125" i="43"/>
  <c r="AH125" i="43"/>
  <c r="DQ124" i="43"/>
  <c r="DN124" i="43"/>
  <c r="DH124" i="43"/>
  <c r="DE124" i="43"/>
  <c r="DB124" i="43"/>
  <c r="CY124" i="43"/>
  <c r="CV124" i="43"/>
  <c r="CS124" i="43"/>
  <c r="CM124" i="43"/>
  <c r="CJ124" i="43"/>
  <c r="CG124" i="43"/>
  <c r="CD124" i="43"/>
  <c r="CA124" i="43"/>
  <c r="BX124" i="43"/>
  <c r="BR124" i="43"/>
  <c r="BO124" i="43"/>
  <c r="BL124" i="43"/>
  <c r="BI124" i="43"/>
  <c r="BF124" i="43"/>
  <c r="BC124" i="43"/>
  <c r="AW124" i="43"/>
  <c r="AT124" i="43"/>
  <c r="AQ124" i="43"/>
  <c r="AN124" i="43"/>
  <c r="AK124" i="43"/>
  <c r="AH124" i="43"/>
  <c r="DQ123" i="43"/>
  <c r="DN123" i="43"/>
  <c r="DH123" i="43"/>
  <c r="DE123" i="43"/>
  <c r="DB123" i="43"/>
  <c r="CY123" i="43"/>
  <c r="CV123" i="43"/>
  <c r="CS123" i="43"/>
  <c r="CM123" i="43"/>
  <c r="CJ123" i="43"/>
  <c r="CG123" i="43"/>
  <c r="CD123" i="43"/>
  <c r="CA123" i="43"/>
  <c r="BX123" i="43"/>
  <c r="BR123" i="43"/>
  <c r="BO123" i="43"/>
  <c r="BL123" i="43"/>
  <c r="BI123" i="43"/>
  <c r="BF123" i="43"/>
  <c r="BC123" i="43"/>
  <c r="AW123" i="43"/>
  <c r="AT123" i="43"/>
  <c r="AQ123" i="43"/>
  <c r="AN123" i="43"/>
  <c r="AK123" i="43"/>
  <c r="AH123" i="43"/>
  <c r="DQ122" i="43"/>
  <c r="DN122" i="43"/>
  <c r="DH122" i="43"/>
  <c r="DE122" i="43"/>
  <c r="DB122" i="43"/>
  <c r="CY122" i="43"/>
  <c r="CV122" i="43"/>
  <c r="CS122" i="43"/>
  <c r="CM122" i="43"/>
  <c r="CJ122" i="43"/>
  <c r="CG122" i="43"/>
  <c r="CD122" i="43"/>
  <c r="CA122" i="43"/>
  <c r="BX122" i="43"/>
  <c r="BR122" i="43"/>
  <c r="BO122" i="43"/>
  <c r="BL122" i="43"/>
  <c r="BI122" i="43"/>
  <c r="BF122" i="43"/>
  <c r="BC122" i="43"/>
  <c r="AW122" i="43"/>
  <c r="AT122" i="43"/>
  <c r="AQ122" i="43"/>
  <c r="AN122" i="43"/>
  <c r="AK122" i="43"/>
  <c r="AH122" i="43"/>
  <c r="DQ121" i="43"/>
  <c r="DN121" i="43"/>
  <c r="DH121" i="43"/>
  <c r="DE121" i="43"/>
  <c r="DB121" i="43"/>
  <c r="CY121" i="43"/>
  <c r="CV121" i="43"/>
  <c r="CS121" i="43"/>
  <c r="CM121" i="43"/>
  <c r="CJ121" i="43"/>
  <c r="CG121" i="43"/>
  <c r="CD121" i="43"/>
  <c r="CA121" i="43"/>
  <c r="BX121" i="43"/>
  <c r="BR121" i="43"/>
  <c r="BO121" i="43"/>
  <c r="BL121" i="43"/>
  <c r="BI121" i="43"/>
  <c r="BF121" i="43"/>
  <c r="BC121" i="43"/>
  <c r="AW121" i="43"/>
  <c r="AT121" i="43"/>
  <c r="AQ121" i="43"/>
  <c r="AN121" i="43"/>
  <c r="AK121" i="43"/>
  <c r="AH121" i="43"/>
  <c r="DQ120" i="43"/>
  <c r="DN120" i="43"/>
  <c r="DH120" i="43"/>
  <c r="DE120" i="43"/>
  <c r="DB120" i="43"/>
  <c r="CY120" i="43"/>
  <c r="CV120" i="43"/>
  <c r="CS120" i="43"/>
  <c r="CM120" i="43"/>
  <c r="CJ120" i="43"/>
  <c r="CG120" i="43"/>
  <c r="CD120" i="43"/>
  <c r="CA120" i="43"/>
  <c r="BX120" i="43"/>
  <c r="BR120" i="43"/>
  <c r="BO120" i="43"/>
  <c r="BL120" i="43"/>
  <c r="BI120" i="43"/>
  <c r="BF120" i="43"/>
  <c r="BC120" i="43"/>
  <c r="AW120" i="43"/>
  <c r="AT120" i="43"/>
  <c r="AQ120" i="43"/>
  <c r="AN120" i="43"/>
  <c r="AK120" i="43"/>
  <c r="AH120" i="43"/>
  <c r="DQ119" i="43"/>
  <c r="DN119" i="43"/>
  <c r="DH119" i="43"/>
  <c r="DE119" i="43"/>
  <c r="DB119" i="43"/>
  <c r="CY119" i="43"/>
  <c r="CV119" i="43"/>
  <c r="CS119" i="43"/>
  <c r="CM119" i="43"/>
  <c r="CJ119" i="43"/>
  <c r="CG119" i="43"/>
  <c r="CD119" i="43"/>
  <c r="CA119" i="43"/>
  <c r="BX119" i="43"/>
  <c r="BR119" i="43"/>
  <c r="BO119" i="43"/>
  <c r="BL119" i="43"/>
  <c r="BI119" i="43"/>
  <c r="BF119" i="43"/>
  <c r="BC119" i="43"/>
  <c r="AW119" i="43"/>
  <c r="AT119" i="43"/>
  <c r="AQ119" i="43"/>
  <c r="AN119" i="43"/>
  <c r="AK119" i="43"/>
  <c r="AH119" i="43"/>
  <c r="DQ118" i="43"/>
  <c r="DN118" i="43"/>
  <c r="DH118" i="43"/>
  <c r="DE118" i="43"/>
  <c r="DB118" i="43"/>
  <c r="CY118" i="43"/>
  <c r="CV118" i="43"/>
  <c r="CS118" i="43"/>
  <c r="CM118" i="43"/>
  <c r="CJ118" i="43"/>
  <c r="CG118" i="43"/>
  <c r="CD118" i="43"/>
  <c r="CA118" i="43"/>
  <c r="BX118" i="43"/>
  <c r="BR118" i="43"/>
  <c r="BO118" i="43"/>
  <c r="BL118" i="43"/>
  <c r="BI118" i="43"/>
  <c r="BF118" i="43"/>
  <c r="BC118" i="43"/>
  <c r="AW118" i="43"/>
  <c r="AT118" i="43"/>
  <c r="AQ118" i="43"/>
  <c r="AN118" i="43"/>
  <c r="AK118" i="43"/>
  <c r="AH118" i="43"/>
  <c r="DQ117" i="43"/>
  <c r="DN117" i="43"/>
  <c r="DH117" i="43"/>
  <c r="DE117" i="43"/>
  <c r="DB117" i="43"/>
  <c r="CY117" i="43"/>
  <c r="CV117" i="43"/>
  <c r="CS117" i="43"/>
  <c r="CM117" i="43"/>
  <c r="CJ117" i="43"/>
  <c r="CG117" i="43"/>
  <c r="CD117" i="43"/>
  <c r="CA117" i="43"/>
  <c r="BX117" i="43"/>
  <c r="BR117" i="43"/>
  <c r="BO117" i="43"/>
  <c r="BL117" i="43"/>
  <c r="BI117" i="43"/>
  <c r="BF117" i="43"/>
  <c r="BC117" i="43"/>
  <c r="AW117" i="43"/>
  <c r="AT117" i="43"/>
  <c r="AQ117" i="43"/>
  <c r="AN117" i="43"/>
  <c r="AK117" i="43"/>
  <c r="AH117" i="43"/>
  <c r="DQ116" i="43"/>
  <c r="DN116" i="43"/>
  <c r="DH116" i="43"/>
  <c r="DE116" i="43"/>
  <c r="DB116" i="43"/>
  <c r="CY116" i="43"/>
  <c r="CV116" i="43"/>
  <c r="CS116" i="43"/>
  <c r="CM116" i="43"/>
  <c r="CJ116" i="43"/>
  <c r="CG116" i="43"/>
  <c r="CD116" i="43"/>
  <c r="CA116" i="43"/>
  <c r="BX116" i="43"/>
  <c r="BR116" i="43"/>
  <c r="BO116" i="43"/>
  <c r="BL116" i="43"/>
  <c r="BI116" i="43"/>
  <c r="BF116" i="43"/>
  <c r="BC116" i="43"/>
  <c r="AW116" i="43"/>
  <c r="AT116" i="43"/>
  <c r="AQ116" i="43"/>
  <c r="AN116" i="43"/>
  <c r="AK116" i="43"/>
  <c r="AH116" i="43"/>
  <c r="DQ115" i="43"/>
  <c r="DN115" i="43"/>
  <c r="DH115" i="43"/>
  <c r="DE115" i="43"/>
  <c r="DB115" i="43"/>
  <c r="CY115" i="43"/>
  <c r="CV115" i="43"/>
  <c r="CS115" i="43"/>
  <c r="CM115" i="43"/>
  <c r="CJ115" i="43"/>
  <c r="CG115" i="43"/>
  <c r="CD115" i="43"/>
  <c r="CA115" i="43"/>
  <c r="BX115" i="43"/>
  <c r="BR115" i="43"/>
  <c r="BO115" i="43"/>
  <c r="BL115" i="43"/>
  <c r="BI115" i="43"/>
  <c r="BF115" i="43"/>
  <c r="BC115" i="43"/>
  <c r="AW115" i="43"/>
  <c r="AT115" i="43"/>
  <c r="AQ115" i="43"/>
  <c r="AN115" i="43"/>
  <c r="AK115" i="43"/>
  <c r="AH115" i="43"/>
  <c r="DQ114" i="43"/>
  <c r="DN114" i="43"/>
  <c r="DH114" i="43"/>
  <c r="DE114" i="43"/>
  <c r="DB114" i="43"/>
  <c r="CY114" i="43"/>
  <c r="CV114" i="43"/>
  <c r="CS114" i="43"/>
  <c r="CM114" i="43"/>
  <c r="CJ114" i="43"/>
  <c r="CG114" i="43"/>
  <c r="CD114" i="43"/>
  <c r="CA114" i="43"/>
  <c r="BX114" i="43"/>
  <c r="BR114" i="43"/>
  <c r="BO114" i="43"/>
  <c r="BL114" i="43"/>
  <c r="BI114" i="43"/>
  <c r="BF114" i="43"/>
  <c r="BC114" i="43"/>
  <c r="AW114" i="43"/>
  <c r="AT114" i="43"/>
  <c r="AQ114" i="43"/>
  <c r="AN114" i="43"/>
  <c r="AK114" i="43"/>
  <c r="AH114" i="43"/>
  <c r="DQ113" i="43"/>
  <c r="DN113" i="43"/>
  <c r="DH113" i="43"/>
  <c r="DE113" i="43"/>
  <c r="DB113" i="43"/>
  <c r="CY113" i="43"/>
  <c r="CV113" i="43"/>
  <c r="CS113" i="43"/>
  <c r="CM113" i="43"/>
  <c r="CJ113" i="43"/>
  <c r="CG113" i="43"/>
  <c r="CD113" i="43"/>
  <c r="CA113" i="43"/>
  <c r="BX113" i="43"/>
  <c r="BR113" i="43"/>
  <c r="BO113" i="43"/>
  <c r="BL113" i="43"/>
  <c r="BI113" i="43"/>
  <c r="BF113" i="43"/>
  <c r="BC113" i="43"/>
  <c r="AW113" i="43"/>
  <c r="AT113" i="43"/>
  <c r="AQ113" i="43"/>
  <c r="AN113" i="43"/>
  <c r="AK113" i="43"/>
  <c r="AH113" i="43"/>
  <c r="DQ112" i="43"/>
  <c r="DN112" i="43"/>
  <c r="DH112" i="43"/>
  <c r="DE112" i="43"/>
  <c r="DB112" i="43"/>
  <c r="CY112" i="43"/>
  <c r="CV112" i="43"/>
  <c r="CS112" i="43"/>
  <c r="CM112" i="43"/>
  <c r="CJ112" i="43"/>
  <c r="CG112" i="43"/>
  <c r="CD112" i="43"/>
  <c r="CA112" i="43"/>
  <c r="BX112" i="43"/>
  <c r="BR112" i="43"/>
  <c r="BO112" i="43"/>
  <c r="BL112" i="43"/>
  <c r="BI112" i="43"/>
  <c r="BF112" i="43"/>
  <c r="BC112" i="43"/>
  <c r="AW112" i="43"/>
  <c r="AT112" i="43"/>
  <c r="AQ112" i="43"/>
  <c r="AN112" i="43"/>
  <c r="AK112" i="43"/>
  <c r="AH112" i="43"/>
  <c r="DQ111" i="43"/>
  <c r="DN111" i="43"/>
  <c r="DH111" i="43"/>
  <c r="DE111" i="43"/>
  <c r="DB111" i="43"/>
  <c r="CY111" i="43"/>
  <c r="CV111" i="43"/>
  <c r="CS111" i="43"/>
  <c r="CM111" i="43"/>
  <c r="CJ111" i="43"/>
  <c r="CG111" i="43"/>
  <c r="CD111" i="43"/>
  <c r="CA111" i="43"/>
  <c r="BX111" i="43"/>
  <c r="BR111" i="43"/>
  <c r="BO111" i="43"/>
  <c r="BL111" i="43"/>
  <c r="BI111" i="43"/>
  <c r="BF111" i="43"/>
  <c r="BC111" i="43"/>
  <c r="AW111" i="43"/>
  <c r="AV111" i="43"/>
  <c r="AR111" i="43"/>
  <c r="AT111" i="43" s="1"/>
  <c r="AQ111" i="43"/>
  <c r="AN111" i="43"/>
  <c r="AK111" i="43"/>
  <c r="AH111" i="43"/>
  <c r="DQ110" i="43"/>
  <c r="DN110" i="43"/>
  <c r="DH110" i="43"/>
  <c r="DE110" i="43"/>
  <c r="DB110" i="43"/>
  <c r="CY110" i="43"/>
  <c r="CV110" i="43"/>
  <c r="CS110" i="43"/>
  <c r="CM110" i="43"/>
  <c r="CJ110" i="43"/>
  <c r="CG110" i="43"/>
  <c r="CD110" i="43"/>
  <c r="CA110" i="43"/>
  <c r="BX110" i="43"/>
  <c r="BR110" i="43"/>
  <c r="BO110" i="43"/>
  <c r="BL110" i="43"/>
  <c r="BI110" i="43"/>
  <c r="BF110" i="43"/>
  <c r="BC110" i="43"/>
  <c r="AW110" i="43"/>
  <c r="AT110" i="43"/>
  <c r="AQ110" i="43"/>
  <c r="AN110" i="43"/>
  <c r="AK110" i="43"/>
  <c r="AH110" i="43"/>
  <c r="DQ109" i="43"/>
  <c r="DN109" i="43"/>
  <c r="DH109" i="43"/>
  <c r="DE109" i="43"/>
  <c r="DB109" i="43"/>
  <c r="CY109" i="43"/>
  <c r="CV109" i="43"/>
  <c r="CS109" i="43"/>
  <c r="CM109" i="43"/>
  <c r="CJ109" i="43"/>
  <c r="CG109" i="43"/>
  <c r="CD109" i="43"/>
  <c r="CA109" i="43"/>
  <c r="BX109" i="43"/>
  <c r="BR109" i="43"/>
  <c r="BO109" i="43"/>
  <c r="BL109" i="43"/>
  <c r="BI109" i="43"/>
  <c r="BF109" i="43"/>
  <c r="BC109" i="43"/>
  <c r="AW109" i="43"/>
  <c r="AT109" i="43"/>
  <c r="AQ109" i="43"/>
  <c r="AN109" i="43"/>
  <c r="AK109" i="43"/>
  <c r="AH109" i="43"/>
  <c r="DQ108" i="43"/>
  <c r="DN108" i="43"/>
  <c r="DH108" i="43"/>
  <c r="DE108" i="43"/>
  <c r="DB108" i="43"/>
  <c r="CY108" i="43"/>
  <c r="CV108" i="43"/>
  <c r="CS108" i="43"/>
  <c r="CM108" i="43"/>
  <c r="CJ108" i="43"/>
  <c r="CG108" i="43"/>
  <c r="CD108" i="43"/>
  <c r="CA108" i="43"/>
  <c r="BX108" i="43"/>
  <c r="BR108" i="43"/>
  <c r="BO108" i="43"/>
  <c r="BL108" i="43"/>
  <c r="BI108" i="43"/>
  <c r="BF108" i="43"/>
  <c r="BC108" i="43"/>
  <c r="AW108" i="43"/>
  <c r="AT108" i="43"/>
  <c r="AQ108" i="43"/>
  <c r="AN108" i="43"/>
  <c r="AK108" i="43"/>
  <c r="AH108" i="43"/>
  <c r="DQ107" i="43"/>
  <c r="DN107" i="43"/>
  <c r="DH107" i="43"/>
  <c r="DE107" i="43"/>
  <c r="DB107" i="43"/>
  <c r="CY107" i="43"/>
  <c r="CV107" i="43"/>
  <c r="CS107" i="43"/>
  <c r="CM107" i="43"/>
  <c r="CJ107" i="43"/>
  <c r="CG107" i="43"/>
  <c r="CD107" i="43"/>
  <c r="CA107" i="43"/>
  <c r="BX107" i="43"/>
  <c r="BR107" i="43"/>
  <c r="BO107" i="43"/>
  <c r="BL107" i="43"/>
  <c r="BI107" i="43"/>
  <c r="BF107" i="43"/>
  <c r="BC107" i="43"/>
  <c r="AW107" i="43"/>
  <c r="AT107" i="43"/>
  <c r="AQ107" i="43"/>
  <c r="AN107" i="43"/>
  <c r="AK107" i="43"/>
  <c r="AH107" i="43"/>
  <c r="DQ106" i="43"/>
  <c r="DN106" i="43"/>
  <c r="DH106" i="43"/>
  <c r="DE106" i="43"/>
  <c r="DB106" i="43"/>
  <c r="CY106" i="43"/>
  <c r="CV106" i="43"/>
  <c r="CS106" i="43"/>
  <c r="CM106" i="43"/>
  <c r="CJ106" i="43"/>
  <c r="CG106" i="43"/>
  <c r="CD106" i="43"/>
  <c r="CA106" i="43"/>
  <c r="BX106" i="43"/>
  <c r="BR106" i="43"/>
  <c r="BO106" i="43"/>
  <c r="BL106" i="43"/>
  <c r="BI106" i="43"/>
  <c r="BF106" i="43"/>
  <c r="BC106" i="43"/>
  <c r="AW106" i="43"/>
  <c r="AT106" i="43"/>
  <c r="AQ106" i="43"/>
  <c r="AN106" i="43"/>
  <c r="AK106" i="43"/>
  <c r="AH106" i="43"/>
  <c r="DQ105" i="43"/>
  <c r="DN105" i="43"/>
  <c r="DH105" i="43"/>
  <c r="DE105" i="43"/>
  <c r="DB105" i="43"/>
  <c r="CY105" i="43"/>
  <c r="CV105" i="43"/>
  <c r="CS105" i="43"/>
  <c r="CM105" i="43"/>
  <c r="CJ105" i="43"/>
  <c r="CG105" i="43"/>
  <c r="CD105" i="43"/>
  <c r="CA105" i="43"/>
  <c r="BX105" i="43"/>
  <c r="BR105" i="43"/>
  <c r="BO105" i="43"/>
  <c r="BL105" i="43"/>
  <c r="BI105" i="43"/>
  <c r="BF105" i="43"/>
  <c r="BC105" i="43"/>
  <c r="AW105" i="43"/>
  <c r="AT105" i="43"/>
  <c r="AQ105" i="43"/>
  <c r="AN105" i="43"/>
  <c r="AK105" i="43"/>
  <c r="AH105" i="43"/>
  <c r="DQ104" i="43"/>
  <c r="DN104" i="43"/>
  <c r="DH104" i="43"/>
  <c r="DE104" i="43"/>
  <c r="DB104" i="43"/>
  <c r="CY104" i="43"/>
  <c r="CV104" i="43"/>
  <c r="CS104" i="43"/>
  <c r="CM104" i="43"/>
  <c r="CJ104" i="43"/>
  <c r="CG104" i="43"/>
  <c r="CD104" i="43"/>
  <c r="CA104" i="43"/>
  <c r="BX104" i="43"/>
  <c r="BR104" i="43"/>
  <c r="BO104" i="43"/>
  <c r="BL104" i="43"/>
  <c r="BI104" i="43"/>
  <c r="BF104" i="43"/>
  <c r="BC104" i="43"/>
  <c r="AW104" i="43"/>
  <c r="AT104" i="43"/>
  <c r="AQ104" i="43"/>
  <c r="AN104" i="43"/>
  <c r="AK104" i="43"/>
  <c r="AH104" i="43"/>
  <c r="DQ103" i="43"/>
  <c r="DN103" i="43"/>
  <c r="DH103" i="43"/>
  <c r="DE103" i="43"/>
  <c r="DB103" i="43"/>
  <c r="CY103" i="43"/>
  <c r="CV103" i="43"/>
  <c r="CS103" i="43"/>
  <c r="CM103" i="43"/>
  <c r="CJ103" i="43"/>
  <c r="CG103" i="43"/>
  <c r="CD103" i="43"/>
  <c r="CA103" i="43"/>
  <c r="BX103" i="43"/>
  <c r="BR103" i="43"/>
  <c r="BO103" i="43"/>
  <c r="BL103" i="43"/>
  <c r="BI103" i="43"/>
  <c r="BF103" i="43"/>
  <c r="BC103" i="43"/>
  <c r="AW103" i="43"/>
  <c r="AT103" i="43"/>
  <c r="AQ103" i="43"/>
  <c r="AN103" i="43"/>
  <c r="AK103" i="43"/>
  <c r="AH103" i="43"/>
  <c r="DQ102" i="43"/>
  <c r="DN102" i="43"/>
  <c r="DH102" i="43"/>
  <c r="DE102" i="43"/>
  <c r="DB102" i="43"/>
  <c r="CY102" i="43"/>
  <c r="CV102" i="43"/>
  <c r="CS102" i="43"/>
  <c r="CM102" i="43"/>
  <c r="CJ102" i="43"/>
  <c r="CG102" i="43"/>
  <c r="CD102" i="43"/>
  <c r="CA102" i="43"/>
  <c r="BX102" i="43"/>
  <c r="BR102" i="43"/>
  <c r="BO102" i="43"/>
  <c r="BL102" i="43"/>
  <c r="BI102" i="43"/>
  <c r="BF102" i="43"/>
  <c r="BC102" i="43"/>
  <c r="AW102" i="43"/>
  <c r="AT102" i="43"/>
  <c r="AQ102" i="43"/>
  <c r="AN102" i="43"/>
  <c r="AK102" i="43"/>
  <c r="AH102" i="43"/>
  <c r="DQ101" i="43"/>
  <c r="DN101" i="43"/>
  <c r="DH101" i="43"/>
  <c r="DE101" i="43"/>
  <c r="DB101" i="43"/>
  <c r="CY101" i="43"/>
  <c r="CV101" i="43"/>
  <c r="CS101" i="43"/>
  <c r="CM101" i="43"/>
  <c r="CJ101" i="43"/>
  <c r="CG101" i="43"/>
  <c r="CD101" i="43"/>
  <c r="CA101" i="43"/>
  <c r="BX101" i="43"/>
  <c r="BR101" i="43"/>
  <c r="BO101" i="43"/>
  <c r="BL101" i="43"/>
  <c r="BI101" i="43"/>
  <c r="BF101" i="43"/>
  <c r="BC101" i="43"/>
  <c r="AW101" i="43"/>
  <c r="AT101" i="43"/>
  <c r="AQ101" i="43"/>
  <c r="AN101" i="43"/>
  <c r="AK101" i="43"/>
  <c r="AH101" i="43"/>
  <c r="DQ100" i="43"/>
  <c r="DN100" i="43"/>
  <c r="DH100" i="43"/>
  <c r="DE100" i="43"/>
  <c r="DB100" i="43"/>
  <c r="CY100" i="43"/>
  <c r="CV100" i="43"/>
  <c r="CS100" i="43"/>
  <c r="CM100" i="43"/>
  <c r="CJ100" i="43"/>
  <c r="CG100" i="43"/>
  <c r="CD100" i="43"/>
  <c r="CA100" i="43"/>
  <c r="BX100" i="43"/>
  <c r="BR100" i="43"/>
  <c r="BO100" i="43"/>
  <c r="BL100" i="43"/>
  <c r="BI100" i="43"/>
  <c r="BF100" i="43"/>
  <c r="BC100" i="43"/>
  <c r="AW100" i="43"/>
  <c r="AT100" i="43"/>
  <c r="AQ100" i="43"/>
  <c r="AN100" i="43"/>
  <c r="AK100" i="43"/>
  <c r="AH100" i="43"/>
  <c r="DQ99" i="43"/>
  <c r="DN99" i="43"/>
  <c r="DH99" i="43"/>
  <c r="DE99" i="43"/>
  <c r="DB99" i="43"/>
  <c r="CY99" i="43"/>
  <c r="CV99" i="43"/>
  <c r="CS99" i="43"/>
  <c r="CM99" i="43"/>
  <c r="CJ99" i="43"/>
  <c r="CG99" i="43"/>
  <c r="CD99" i="43"/>
  <c r="CA99" i="43"/>
  <c r="BX99" i="43"/>
  <c r="BR99" i="43"/>
  <c r="BO99" i="43"/>
  <c r="BK99" i="43"/>
  <c r="BL99" i="43" s="1"/>
  <c r="BI99" i="43"/>
  <c r="BF99" i="43"/>
  <c r="BC99" i="43"/>
  <c r="AW99" i="43"/>
  <c r="AT99" i="43"/>
  <c r="AQ99" i="43"/>
  <c r="AN99" i="43"/>
  <c r="AK99" i="43"/>
  <c r="AH99" i="43"/>
  <c r="AG99" i="43"/>
  <c r="DQ98" i="43"/>
  <c r="DN98" i="43"/>
  <c r="DH98" i="43"/>
  <c r="DE98" i="43"/>
  <c r="DB98" i="43"/>
  <c r="CY98" i="43"/>
  <c r="CV98" i="43"/>
  <c r="CS98" i="43"/>
  <c r="CM98" i="43"/>
  <c r="CJ98" i="43"/>
  <c r="CG98" i="43"/>
  <c r="CD98" i="43"/>
  <c r="CA98" i="43"/>
  <c r="BX98" i="43"/>
  <c r="BR98" i="43"/>
  <c r="BO98" i="43"/>
  <c r="BL98" i="43"/>
  <c r="BI98" i="43"/>
  <c r="BF98" i="43"/>
  <c r="BC98" i="43"/>
  <c r="AW98" i="43"/>
  <c r="AT98" i="43"/>
  <c r="AQ98" i="43"/>
  <c r="AN98" i="43"/>
  <c r="AK98" i="43"/>
  <c r="AH98" i="43"/>
  <c r="DQ97" i="43"/>
  <c r="DN97" i="43"/>
  <c r="DH97" i="43"/>
  <c r="DE97" i="43"/>
  <c r="DB97" i="43"/>
  <c r="CY97" i="43"/>
  <c r="CV97" i="43"/>
  <c r="CS97" i="43"/>
  <c r="CM97" i="43"/>
  <c r="CJ97" i="43"/>
  <c r="CG97" i="43"/>
  <c r="CD97" i="43"/>
  <c r="CA97" i="43"/>
  <c r="BX97" i="43"/>
  <c r="BR97" i="43"/>
  <c r="BO97" i="43"/>
  <c r="BL97" i="43"/>
  <c r="BI97" i="43"/>
  <c r="BF97" i="43"/>
  <c r="BC97" i="43"/>
  <c r="AW97" i="43"/>
  <c r="AT97" i="43"/>
  <c r="AQ97" i="43"/>
  <c r="AN97" i="43"/>
  <c r="AK97" i="43"/>
  <c r="AH97" i="43"/>
  <c r="DQ96" i="43"/>
  <c r="DN96" i="43"/>
  <c r="DH96" i="43"/>
  <c r="DE96" i="43"/>
  <c r="DB96" i="43"/>
  <c r="CY96" i="43"/>
  <c r="CV96" i="43"/>
  <c r="CS96" i="43"/>
  <c r="CM96" i="43"/>
  <c r="CJ96" i="43"/>
  <c r="CG96" i="43"/>
  <c r="CD96" i="43"/>
  <c r="CA96" i="43"/>
  <c r="BX96" i="43"/>
  <c r="BR96" i="43"/>
  <c r="BO96" i="43"/>
  <c r="BL96" i="43"/>
  <c r="BI96" i="43"/>
  <c r="BF96" i="43"/>
  <c r="BC96" i="43"/>
  <c r="AW96" i="43"/>
  <c r="AT96" i="43"/>
  <c r="AQ96" i="43"/>
  <c r="AN96" i="43"/>
  <c r="AK96" i="43"/>
  <c r="AH96" i="43"/>
  <c r="DQ95" i="43"/>
  <c r="DN95" i="43"/>
  <c r="DH95" i="43"/>
  <c r="DE95" i="43"/>
  <c r="DB95" i="43"/>
  <c r="CY95" i="43"/>
  <c r="CV95" i="43"/>
  <c r="CS95" i="43"/>
  <c r="CM95" i="43"/>
  <c r="CJ95" i="43"/>
  <c r="CG95" i="43"/>
  <c r="CD95" i="43"/>
  <c r="CA95" i="43"/>
  <c r="BX95" i="43"/>
  <c r="BR95" i="43"/>
  <c r="BO95" i="43"/>
  <c r="BL95" i="43"/>
  <c r="BI95" i="43"/>
  <c r="BF95" i="43"/>
  <c r="BC95" i="43"/>
  <c r="AW95" i="43"/>
  <c r="AT95" i="43"/>
  <c r="AQ95" i="43"/>
  <c r="AN95" i="43"/>
  <c r="AK95" i="43"/>
  <c r="AH95" i="43"/>
  <c r="DQ94" i="43"/>
  <c r="DN94" i="43"/>
  <c r="DH94" i="43"/>
  <c r="DE94" i="43"/>
  <c r="DB94" i="43"/>
  <c r="CY94" i="43"/>
  <c r="CV94" i="43"/>
  <c r="CS94" i="43"/>
  <c r="CM94" i="43"/>
  <c r="CJ94" i="43"/>
  <c r="CG94" i="43"/>
  <c r="CD94" i="43"/>
  <c r="CA94" i="43"/>
  <c r="BX94" i="43"/>
  <c r="BR94" i="43"/>
  <c r="BO94" i="43"/>
  <c r="BL94" i="43"/>
  <c r="BI94" i="43"/>
  <c r="BF94" i="43"/>
  <c r="BC94" i="43"/>
  <c r="AW94" i="43"/>
  <c r="AT94" i="43"/>
  <c r="AQ94" i="43"/>
  <c r="AN94" i="43"/>
  <c r="AK94" i="43"/>
  <c r="AH94" i="43"/>
  <c r="DQ93" i="43"/>
  <c r="DN93" i="43"/>
  <c r="DH93" i="43"/>
  <c r="DE93" i="43"/>
  <c r="DB93" i="43"/>
  <c r="CY93" i="43"/>
  <c r="CV93" i="43"/>
  <c r="CS93" i="43"/>
  <c r="CM93" i="43"/>
  <c r="CJ93" i="43"/>
  <c r="CG93" i="43"/>
  <c r="CD93" i="43"/>
  <c r="CA93" i="43"/>
  <c r="BX93" i="43"/>
  <c r="BR93" i="43"/>
  <c r="BO93" i="43"/>
  <c r="BL93" i="43"/>
  <c r="BI93" i="43"/>
  <c r="BF93" i="43"/>
  <c r="BC93" i="43"/>
  <c r="AW93" i="43"/>
  <c r="AT93" i="43"/>
  <c r="AQ93" i="43"/>
  <c r="AN93" i="43"/>
  <c r="AK93" i="43"/>
  <c r="AH93" i="43"/>
  <c r="DQ92" i="43"/>
  <c r="DN92" i="43"/>
  <c r="DH92" i="43"/>
  <c r="DE92" i="43"/>
  <c r="DB92" i="43"/>
  <c r="CY92" i="43"/>
  <c r="CV92" i="43"/>
  <c r="CS92" i="43"/>
  <c r="CM92" i="43"/>
  <c r="CJ92" i="43"/>
  <c r="CG92" i="43"/>
  <c r="CD92" i="43"/>
  <c r="CA92" i="43"/>
  <c r="BX92" i="43"/>
  <c r="BR92" i="43"/>
  <c r="BO92" i="43"/>
  <c r="BL92" i="43"/>
  <c r="BI92" i="43"/>
  <c r="BF92" i="43"/>
  <c r="BC92" i="43"/>
  <c r="AW92" i="43"/>
  <c r="AT92" i="43"/>
  <c r="AQ92" i="43"/>
  <c r="AN92" i="43"/>
  <c r="AK92" i="43"/>
  <c r="AH92" i="43"/>
  <c r="DQ91" i="43"/>
  <c r="DN91" i="43"/>
  <c r="DH91" i="43"/>
  <c r="DE91" i="43"/>
  <c r="DB91" i="43"/>
  <c r="CY91" i="43"/>
  <c r="CV91" i="43"/>
  <c r="CS91" i="43"/>
  <c r="CM91" i="43"/>
  <c r="CJ91" i="43"/>
  <c r="CG91" i="43"/>
  <c r="CD91" i="43"/>
  <c r="CA91" i="43"/>
  <c r="BX91" i="43"/>
  <c r="BR91" i="43"/>
  <c r="BO91" i="43"/>
  <c r="BL91" i="43"/>
  <c r="BI91" i="43"/>
  <c r="BF91" i="43"/>
  <c r="BC91" i="43"/>
  <c r="AW91" i="43"/>
  <c r="AT91" i="43"/>
  <c r="AQ91" i="43"/>
  <c r="AN91" i="43"/>
  <c r="AK91" i="43"/>
  <c r="AH91" i="43"/>
  <c r="DQ90" i="43"/>
  <c r="DN90" i="43"/>
  <c r="DH90" i="43"/>
  <c r="DE90" i="43"/>
  <c r="DB90" i="43"/>
  <c r="CY90" i="43"/>
  <c r="CV90" i="43"/>
  <c r="CS90" i="43"/>
  <c r="CM90" i="43"/>
  <c r="CJ90" i="43"/>
  <c r="CG90" i="43"/>
  <c r="CD90" i="43"/>
  <c r="CA90" i="43"/>
  <c r="BX90" i="43"/>
  <c r="BR90" i="43"/>
  <c r="BO90" i="43"/>
  <c r="BL90" i="43"/>
  <c r="BI90" i="43"/>
  <c r="BF90" i="43"/>
  <c r="BC90" i="43"/>
  <c r="AW90" i="43"/>
  <c r="AT90" i="43"/>
  <c r="AQ90" i="43"/>
  <c r="AN90" i="43"/>
  <c r="AK90" i="43"/>
  <c r="AH90" i="43"/>
  <c r="DQ89" i="43"/>
  <c r="DN89" i="43"/>
  <c r="DH89" i="43"/>
  <c r="DE89" i="43"/>
  <c r="DB89" i="43"/>
  <c r="CY89" i="43"/>
  <c r="CV89" i="43"/>
  <c r="CS89" i="43"/>
  <c r="CM89" i="43"/>
  <c r="CJ89" i="43"/>
  <c r="CG89" i="43"/>
  <c r="CD89" i="43"/>
  <c r="CA89" i="43"/>
  <c r="BX89" i="43"/>
  <c r="BR89" i="43"/>
  <c r="BO89" i="43"/>
  <c r="BL89" i="43"/>
  <c r="BI89" i="43"/>
  <c r="BF89" i="43"/>
  <c r="BC89" i="43"/>
  <c r="AW89" i="43"/>
  <c r="AT89" i="43"/>
  <c r="AQ89" i="43"/>
  <c r="AN89" i="43"/>
  <c r="AK89" i="43"/>
  <c r="AH89" i="43"/>
  <c r="DQ88" i="43"/>
  <c r="DN88" i="43"/>
  <c r="DH88" i="43"/>
  <c r="DE88" i="43"/>
  <c r="DB88" i="43"/>
  <c r="CY88" i="43"/>
  <c r="CV88" i="43"/>
  <c r="CS88" i="43"/>
  <c r="CM88" i="43"/>
  <c r="CJ88" i="43"/>
  <c r="CG88" i="43"/>
  <c r="CD88" i="43"/>
  <c r="CA88" i="43"/>
  <c r="BX88" i="43"/>
  <c r="BR88" i="43"/>
  <c r="BO88" i="43"/>
  <c r="BL88" i="43"/>
  <c r="BI88" i="43"/>
  <c r="BF88" i="43"/>
  <c r="BC88" i="43"/>
  <c r="AW88" i="43"/>
  <c r="AT88" i="43"/>
  <c r="AQ88" i="43"/>
  <c r="AN88" i="43"/>
  <c r="AK88" i="43"/>
  <c r="AH88" i="43"/>
  <c r="DQ87" i="43"/>
  <c r="DN87" i="43"/>
  <c r="DH87" i="43"/>
  <c r="DE87" i="43"/>
  <c r="DB87" i="43"/>
  <c r="CY87" i="43"/>
  <c r="CV87" i="43"/>
  <c r="CS87" i="43"/>
  <c r="CM87" i="43"/>
  <c r="CJ87" i="43"/>
  <c r="CG87" i="43"/>
  <c r="CD87" i="43"/>
  <c r="CA87" i="43"/>
  <c r="BX87" i="43"/>
  <c r="BR87" i="43"/>
  <c r="BO87" i="43"/>
  <c r="BL87" i="43"/>
  <c r="BI87" i="43"/>
  <c r="BF87" i="43"/>
  <c r="BC87" i="43"/>
  <c r="AW87" i="43"/>
  <c r="AT87" i="43"/>
  <c r="AQ87" i="43"/>
  <c r="AN87" i="43"/>
  <c r="AK87" i="43"/>
  <c r="AH87" i="43"/>
  <c r="DQ86" i="43"/>
  <c r="DN86" i="43"/>
  <c r="DH86" i="43"/>
  <c r="DE86" i="43"/>
  <c r="DB86" i="43"/>
  <c r="CY86" i="43"/>
  <c r="CV86" i="43"/>
  <c r="CS86" i="43"/>
  <c r="CM86" i="43"/>
  <c r="CJ86" i="43"/>
  <c r="CG86" i="43"/>
  <c r="CD86" i="43"/>
  <c r="CA86" i="43"/>
  <c r="BX86" i="43"/>
  <c r="BR86" i="43"/>
  <c r="BO86" i="43"/>
  <c r="BL86" i="43"/>
  <c r="BI86" i="43"/>
  <c r="BF86" i="43"/>
  <c r="BC86" i="43"/>
  <c r="AW86" i="43"/>
  <c r="AT86" i="43"/>
  <c r="AQ86" i="43"/>
  <c r="AN86" i="43"/>
  <c r="AK86" i="43"/>
  <c r="AH86" i="43"/>
  <c r="DQ85" i="43"/>
  <c r="DN85" i="43"/>
  <c r="DH85" i="43"/>
  <c r="DE85" i="43"/>
  <c r="DB85" i="43"/>
  <c r="CY85" i="43"/>
  <c r="CV85" i="43"/>
  <c r="CS85" i="43"/>
  <c r="CM85" i="43"/>
  <c r="CJ85" i="43"/>
  <c r="CG85" i="43"/>
  <c r="CD85" i="43"/>
  <c r="CA85" i="43"/>
  <c r="BX85" i="43"/>
  <c r="BR85" i="43"/>
  <c r="BO85" i="43"/>
  <c r="BL85" i="43"/>
  <c r="BI85" i="43"/>
  <c r="BF85" i="43"/>
  <c r="BC85" i="43"/>
  <c r="AW85" i="43"/>
  <c r="AV85" i="43"/>
  <c r="AT85" i="43"/>
  <c r="AQ85" i="43"/>
  <c r="AN85" i="43"/>
  <c r="AM85" i="43"/>
  <c r="AM308" i="43" s="1"/>
  <c r="AK85" i="43"/>
  <c r="AH85" i="43"/>
  <c r="DQ84" i="43"/>
  <c r="DN84" i="43"/>
  <c r="DH84" i="43"/>
  <c r="DE84" i="43"/>
  <c r="DB84" i="43"/>
  <c r="CY84" i="43"/>
  <c r="CV84" i="43"/>
  <c r="CS84" i="43"/>
  <c r="CM84" i="43"/>
  <c r="CJ84" i="43"/>
  <c r="CG84" i="43"/>
  <c r="CD84" i="43"/>
  <c r="CA84" i="43"/>
  <c r="BX84" i="43"/>
  <c r="BR84" i="43"/>
  <c r="BO84" i="43"/>
  <c r="BL84" i="43"/>
  <c r="BI84" i="43"/>
  <c r="BF84" i="43"/>
  <c r="BC84" i="43"/>
  <c r="AW84" i="43"/>
  <c r="AT84" i="43"/>
  <c r="AQ84" i="43"/>
  <c r="AN84" i="43"/>
  <c r="AK84" i="43"/>
  <c r="AH84" i="43"/>
  <c r="DQ83" i="43"/>
  <c r="DN83" i="43"/>
  <c r="DH83" i="43"/>
  <c r="DE83" i="43"/>
  <c r="DB83" i="43"/>
  <c r="CY83" i="43"/>
  <c r="CV83" i="43"/>
  <c r="CS83" i="43"/>
  <c r="CM83" i="43"/>
  <c r="CJ83" i="43"/>
  <c r="CG83" i="43"/>
  <c r="CD83" i="43"/>
  <c r="CA83" i="43"/>
  <c r="BX83" i="43"/>
  <c r="BR83" i="43"/>
  <c r="BO83" i="43"/>
  <c r="BL83" i="43"/>
  <c r="BI83" i="43"/>
  <c r="BF83" i="43"/>
  <c r="BC83" i="43"/>
  <c r="AW83" i="43"/>
  <c r="AT83" i="43"/>
  <c r="AQ83" i="43"/>
  <c r="AN83" i="43"/>
  <c r="AK83" i="43"/>
  <c r="AH83" i="43"/>
  <c r="DQ82" i="43"/>
  <c r="DN82" i="43"/>
  <c r="DH82" i="43"/>
  <c r="DE82" i="43"/>
  <c r="DB82" i="43"/>
  <c r="CY82" i="43"/>
  <c r="CV82" i="43"/>
  <c r="CS82" i="43"/>
  <c r="CM82" i="43"/>
  <c r="CJ82" i="43"/>
  <c r="CG82" i="43"/>
  <c r="CD82" i="43"/>
  <c r="CA82" i="43"/>
  <c r="BX82" i="43"/>
  <c r="BR82" i="43"/>
  <c r="BO82" i="43"/>
  <c r="BL82" i="43"/>
  <c r="BI82" i="43"/>
  <c r="BF82" i="43"/>
  <c r="BC82" i="43"/>
  <c r="AW82" i="43"/>
  <c r="AT82" i="43"/>
  <c r="AQ82" i="43"/>
  <c r="AN82" i="43"/>
  <c r="AK82" i="43"/>
  <c r="AH82" i="43"/>
  <c r="DQ81" i="43"/>
  <c r="DN81" i="43"/>
  <c r="DH81" i="43"/>
  <c r="DE81" i="43"/>
  <c r="DB81" i="43"/>
  <c r="CY81" i="43"/>
  <c r="CV81" i="43"/>
  <c r="CS81" i="43"/>
  <c r="CM81" i="43"/>
  <c r="CJ81" i="43"/>
  <c r="CG81" i="43"/>
  <c r="CD81" i="43"/>
  <c r="CA81" i="43"/>
  <c r="BX81" i="43"/>
  <c r="BR81" i="43"/>
  <c r="BO81" i="43"/>
  <c r="BL81" i="43"/>
  <c r="BI81" i="43"/>
  <c r="BF81" i="43"/>
  <c r="BC81" i="43"/>
  <c r="AW81" i="43"/>
  <c r="AT81" i="43"/>
  <c r="AQ81" i="43"/>
  <c r="AN81" i="43"/>
  <c r="AK81" i="43"/>
  <c r="AH81" i="43"/>
  <c r="DQ80" i="43"/>
  <c r="DN80" i="43"/>
  <c r="DH80" i="43"/>
  <c r="DE80" i="43"/>
  <c r="DB80" i="43"/>
  <c r="CY80" i="43"/>
  <c r="CV80" i="43"/>
  <c r="CS80" i="43"/>
  <c r="CM80" i="43"/>
  <c r="CJ80" i="43"/>
  <c r="CG80" i="43"/>
  <c r="CD80" i="43"/>
  <c r="CA80" i="43"/>
  <c r="BX80" i="43"/>
  <c r="BR80" i="43"/>
  <c r="BO80" i="43"/>
  <c r="BL80" i="43"/>
  <c r="BI80" i="43"/>
  <c r="BF80" i="43"/>
  <c r="BC80" i="43"/>
  <c r="AW80" i="43"/>
  <c r="AT80" i="43"/>
  <c r="AQ80" i="43"/>
  <c r="AN80" i="43"/>
  <c r="AK80" i="43"/>
  <c r="AH80" i="43"/>
  <c r="DQ79" i="43"/>
  <c r="DN79" i="43"/>
  <c r="DH79" i="43"/>
  <c r="DE79" i="43"/>
  <c r="DB79" i="43"/>
  <c r="CY79" i="43"/>
  <c r="CV79" i="43"/>
  <c r="CS79" i="43"/>
  <c r="CM79" i="43"/>
  <c r="CJ79" i="43"/>
  <c r="CG79" i="43"/>
  <c r="CD79" i="43"/>
  <c r="CA79" i="43"/>
  <c r="BX79" i="43"/>
  <c r="BR79" i="43"/>
  <c r="BO79" i="43"/>
  <c r="BL79" i="43"/>
  <c r="BI79" i="43"/>
  <c r="BF79" i="43"/>
  <c r="BC79" i="43"/>
  <c r="AW79" i="43"/>
  <c r="AT79" i="43"/>
  <c r="AQ79" i="43"/>
  <c r="AN79" i="43"/>
  <c r="AK79" i="43"/>
  <c r="AH79" i="43"/>
  <c r="DQ78" i="43"/>
  <c r="DN78" i="43"/>
  <c r="DH78" i="43"/>
  <c r="DE78" i="43"/>
  <c r="DB78" i="43"/>
  <c r="CY78" i="43"/>
  <c r="CV78" i="43"/>
  <c r="CS78" i="43"/>
  <c r="CM78" i="43"/>
  <c r="CJ78" i="43"/>
  <c r="CG78" i="43"/>
  <c r="CD78" i="43"/>
  <c r="CA78" i="43"/>
  <c r="BX78" i="43"/>
  <c r="BR78" i="43"/>
  <c r="BO78" i="43"/>
  <c r="BL78" i="43"/>
  <c r="BI78" i="43"/>
  <c r="BF78" i="43"/>
  <c r="BC78" i="43"/>
  <c r="AW78" i="43"/>
  <c r="AT78" i="43"/>
  <c r="AQ78" i="43"/>
  <c r="AN78" i="43"/>
  <c r="AK78" i="43"/>
  <c r="AH78" i="43"/>
  <c r="DQ77" i="43"/>
  <c r="DN77" i="43"/>
  <c r="DH77" i="43"/>
  <c r="DE77" i="43"/>
  <c r="DB77" i="43"/>
  <c r="CY77" i="43"/>
  <c r="CV77" i="43"/>
  <c r="CS77" i="43"/>
  <c r="CM77" i="43"/>
  <c r="CJ77" i="43"/>
  <c r="CG77" i="43"/>
  <c r="CD77" i="43"/>
  <c r="CA77" i="43"/>
  <c r="BX77" i="43"/>
  <c r="BR77" i="43"/>
  <c r="BO77" i="43"/>
  <c r="BL77" i="43"/>
  <c r="BI77" i="43"/>
  <c r="BF77" i="43"/>
  <c r="BC77" i="43"/>
  <c r="AW77" i="43"/>
  <c r="AT77" i="43"/>
  <c r="AQ77" i="43"/>
  <c r="AN77" i="43"/>
  <c r="AK77" i="43"/>
  <c r="AH77" i="43"/>
  <c r="DQ76" i="43"/>
  <c r="DN76" i="43"/>
  <c r="DH76" i="43"/>
  <c r="DE76" i="43"/>
  <c r="DB76" i="43"/>
  <c r="CY76" i="43"/>
  <c r="CV76" i="43"/>
  <c r="CS76" i="43"/>
  <c r="CM76" i="43"/>
  <c r="CJ76" i="43"/>
  <c r="CG76" i="43"/>
  <c r="CD76" i="43"/>
  <c r="CA76" i="43"/>
  <c r="BX76" i="43"/>
  <c r="BR76" i="43"/>
  <c r="BO76" i="43"/>
  <c r="BL76" i="43"/>
  <c r="BI76" i="43"/>
  <c r="BF76" i="43"/>
  <c r="BC76" i="43"/>
  <c r="AW76" i="43"/>
  <c r="AT76" i="43"/>
  <c r="AQ76" i="43"/>
  <c r="AN76" i="43"/>
  <c r="AK76" i="43"/>
  <c r="AH76" i="43"/>
  <c r="DQ75" i="43"/>
  <c r="DN75" i="43"/>
  <c r="DH75" i="43"/>
  <c r="DE75" i="43"/>
  <c r="DB75" i="43"/>
  <c r="CY75" i="43"/>
  <c r="CV75" i="43"/>
  <c r="CS75" i="43"/>
  <c r="CM75" i="43"/>
  <c r="CJ75" i="43"/>
  <c r="CG75" i="43"/>
  <c r="CD75" i="43"/>
  <c r="CA75" i="43"/>
  <c r="BX75" i="43"/>
  <c r="BR75" i="43"/>
  <c r="BO75" i="43"/>
  <c r="BL75" i="43"/>
  <c r="BI75" i="43"/>
  <c r="BF75" i="43"/>
  <c r="BC75" i="43"/>
  <c r="AW75" i="43"/>
  <c r="AT75" i="43"/>
  <c r="AQ75" i="43"/>
  <c r="AN75" i="43"/>
  <c r="AK75" i="43"/>
  <c r="AH75" i="43"/>
  <c r="DQ74" i="43"/>
  <c r="DN74" i="43"/>
  <c r="DH74" i="43"/>
  <c r="DE74" i="43"/>
  <c r="DB74" i="43"/>
  <c r="CY74" i="43"/>
  <c r="CV74" i="43"/>
  <c r="CS74" i="43"/>
  <c r="CM74" i="43"/>
  <c r="CJ74" i="43"/>
  <c r="CG74" i="43"/>
  <c r="CD74" i="43"/>
  <c r="CA74" i="43"/>
  <c r="BX74" i="43"/>
  <c r="BR74" i="43"/>
  <c r="BO74" i="43"/>
  <c r="BL74" i="43"/>
  <c r="BI74" i="43"/>
  <c r="BF74" i="43"/>
  <c r="BC74" i="43"/>
  <c r="AW74" i="43"/>
  <c r="AT74" i="43"/>
  <c r="AQ74" i="43"/>
  <c r="AN74" i="43"/>
  <c r="AK74" i="43"/>
  <c r="AH74" i="43"/>
  <c r="DQ73" i="43"/>
  <c r="DN73" i="43"/>
  <c r="DH73" i="43"/>
  <c r="DE73" i="43"/>
  <c r="DB73" i="43"/>
  <c r="CY73" i="43"/>
  <c r="CV73" i="43"/>
  <c r="CS73" i="43"/>
  <c r="CM73" i="43"/>
  <c r="CJ73" i="43"/>
  <c r="CG73" i="43"/>
  <c r="CD73" i="43"/>
  <c r="CA73" i="43"/>
  <c r="BX73" i="43"/>
  <c r="BR73" i="43"/>
  <c r="BO73" i="43"/>
  <c r="BL73" i="43"/>
  <c r="BI73" i="43"/>
  <c r="BF73" i="43"/>
  <c r="BC73" i="43"/>
  <c r="AW73" i="43"/>
  <c r="AT73" i="43"/>
  <c r="AQ73" i="43"/>
  <c r="AN73" i="43"/>
  <c r="AK73" i="43"/>
  <c r="AH73" i="43"/>
  <c r="DQ72" i="43"/>
  <c r="DN72" i="43"/>
  <c r="DH72" i="43"/>
  <c r="DE72" i="43"/>
  <c r="DB72" i="43"/>
  <c r="CY72" i="43"/>
  <c r="CV72" i="43"/>
  <c r="CS72" i="43"/>
  <c r="CM72" i="43"/>
  <c r="CJ72" i="43"/>
  <c r="CG72" i="43"/>
  <c r="CD72" i="43"/>
  <c r="CA72" i="43"/>
  <c r="BX72" i="43"/>
  <c r="BR72" i="43"/>
  <c r="BO72" i="43"/>
  <c r="BL72" i="43"/>
  <c r="BI72" i="43"/>
  <c r="BF72" i="43"/>
  <c r="BC72" i="43"/>
  <c r="AW72" i="43"/>
  <c r="AT72" i="43"/>
  <c r="AQ72" i="43"/>
  <c r="AN72" i="43"/>
  <c r="AK72" i="43"/>
  <c r="AH72" i="43"/>
  <c r="DQ71" i="43"/>
  <c r="DN71" i="43"/>
  <c r="DH71" i="43"/>
  <c r="DE71" i="43"/>
  <c r="DB71" i="43"/>
  <c r="CY71" i="43"/>
  <c r="CV71" i="43"/>
  <c r="CS71" i="43"/>
  <c r="CM71" i="43"/>
  <c r="CJ71" i="43"/>
  <c r="CG71" i="43"/>
  <c r="CD71" i="43"/>
  <c r="CA71" i="43"/>
  <c r="BX71" i="43"/>
  <c r="BR71" i="43"/>
  <c r="BO71" i="43"/>
  <c r="BL71" i="43"/>
  <c r="BI71" i="43"/>
  <c r="BF71" i="43"/>
  <c r="BC71" i="43"/>
  <c r="AW71" i="43"/>
  <c r="AT71" i="43"/>
  <c r="AQ71" i="43"/>
  <c r="AN71" i="43"/>
  <c r="AK71" i="43"/>
  <c r="AH71" i="43"/>
  <c r="DQ70" i="43"/>
  <c r="DN70" i="43"/>
  <c r="DH70" i="43"/>
  <c r="DE70" i="43"/>
  <c r="DB70" i="43"/>
  <c r="CY70" i="43"/>
  <c r="CV70" i="43"/>
  <c r="CS70" i="43"/>
  <c r="CM70" i="43"/>
  <c r="CJ70" i="43"/>
  <c r="CG70" i="43"/>
  <c r="CD70" i="43"/>
  <c r="CA70" i="43"/>
  <c r="BX70" i="43"/>
  <c r="BR70" i="43"/>
  <c r="BO70" i="43"/>
  <c r="BL70" i="43"/>
  <c r="BI70" i="43"/>
  <c r="BF70" i="43"/>
  <c r="BC70" i="43"/>
  <c r="AW70" i="43"/>
  <c r="AT70" i="43"/>
  <c r="AQ70" i="43"/>
  <c r="AN70" i="43"/>
  <c r="AK70" i="43"/>
  <c r="AH70" i="43"/>
  <c r="DQ69" i="43"/>
  <c r="DN69" i="43"/>
  <c r="DH69" i="43"/>
  <c r="DE69" i="43"/>
  <c r="DB69" i="43"/>
  <c r="CY69" i="43"/>
  <c r="CV69" i="43"/>
  <c r="CS69" i="43"/>
  <c r="CM69" i="43"/>
  <c r="CJ69" i="43"/>
  <c r="CG69" i="43"/>
  <c r="CD69" i="43"/>
  <c r="CA69" i="43"/>
  <c r="BX69" i="43"/>
  <c r="BR69" i="43"/>
  <c r="BO69" i="43"/>
  <c r="BL69" i="43"/>
  <c r="BI69" i="43"/>
  <c r="BF69" i="43"/>
  <c r="BC69" i="43"/>
  <c r="AW69" i="43"/>
  <c r="AT69" i="43"/>
  <c r="AQ69" i="43"/>
  <c r="AN69" i="43"/>
  <c r="AK69" i="43"/>
  <c r="AH69" i="43"/>
  <c r="DQ68" i="43"/>
  <c r="DN68" i="43"/>
  <c r="DH68" i="43"/>
  <c r="DE68" i="43"/>
  <c r="DB68" i="43"/>
  <c r="CY68" i="43"/>
  <c r="CV68" i="43"/>
  <c r="CS68" i="43"/>
  <c r="CM68" i="43"/>
  <c r="CJ68" i="43"/>
  <c r="CG68" i="43"/>
  <c r="CD68" i="43"/>
  <c r="CA68" i="43"/>
  <c r="BX68" i="43"/>
  <c r="BR68" i="43"/>
  <c r="BO68" i="43"/>
  <c r="BL68" i="43"/>
  <c r="BI68" i="43"/>
  <c r="BF68" i="43"/>
  <c r="BC68" i="43"/>
  <c r="AW68" i="43"/>
  <c r="AT68" i="43"/>
  <c r="AQ68" i="43"/>
  <c r="AN68" i="43"/>
  <c r="AK68" i="43"/>
  <c r="AH68" i="43"/>
  <c r="DQ67" i="43"/>
  <c r="DN67" i="43"/>
  <c r="DH67" i="43"/>
  <c r="DE67" i="43"/>
  <c r="DB67" i="43"/>
  <c r="CY67" i="43"/>
  <c r="CV67" i="43"/>
  <c r="CS67" i="43"/>
  <c r="CM67" i="43"/>
  <c r="CJ67" i="43"/>
  <c r="CG67" i="43"/>
  <c r="CD67" i="43"/>
  <c r="CA67" i="43"/>
  <c r="BX67" i="43"/>
  <c r="BR67" i="43"/>
  <c r="BO67" i="43"/>
  <c r="BL67" i="43"/>
  <c r="BI67" i="43"/>
  <c r="BF67" i="43"/>
  <c r="BC67" i="43"/>
  <c r="AW67" i="43"/>
  <c r="AT67" i="43"/>
  <c r="AQ67" i="43"/>
  <c r="AN67" i="43"/>
  <c r="AK67" i="43"/>
  <c r="AH67" i="43"/>
  <c r="DQ66" i="43"/>
  <c r="DM66" i="43"/>
  <c r="DM308" i="43" s="1"/>
  <c r="DH66" i="43"/>
  <c r="DE66" i="43"/>
  <c r="DB66" i="43"/>
  <c r="CY66" i="43"/>
  <c r="CV66" i="43"/>
  <c r="CS66" i="43"/>
  <c r="CM66" i="43"/>
  <c r="CJ66" i="43"/>
  <c r="CG66" i="43"/>
  <c r="CD66" i="43"/>
  <c r="CA66" i="43"/>
  <c r="BX66" i="43"/>
  <c r="BR66" i="43"/>
  <c r="BO66" i="43"/>
  <c r="BL66" i="43"/>
  <c r="BI66" i="43"/>
  <c r="BF66" i="43"/>
  <c r="BC66" i="43"/>
  <c r="AW66" i="43"/>
  <c r="AT66" i="43"/>
  <c r="AQ66" i="43"/>
  <c r="AN66" i="43"/>
  <c r="AK66" i="43"/>
  <c r="AH66" i="43"/>
  <c r="DQ65" i="43"/>
  <c r="DN65" i="43"/>
  <c r="DH65" i="43"/>
  <c r="DE65" i="43"/>
  <c r="DB65" i="43"/>
  <c r="CY65" i="43"/>
  <c r="CV65" i="43"/>
  <c r="CS65" i="43"/>
  <c r="CM65" i="43"/>
  <c r="CJ65" i="43"/>
  <c r="CG65" i="43"/>
  <c r="CD65" i="43"/>
  <c r="CA65" i="43"/>
  <c r="BX65" i="43"/>
  <c r="BR65" i="43"/>
  <c r="BO65" i="43"/>
  <c r="BL65" i="43"/>
  <c r="BI65" i="43"/>
  <c r="BF65" i="43"/>
  <c r="BC65" i="43"/>
  <c r="AW65" i="43"/>
  <c r="AT65" i="43"/>
  <c r="AQ65" i="43"/>
  <c r="AN65" i="43"/>
  <c r="AK65" i="43"/>
  <c r="AH65" i="43"/>
  <c r="DQ64" i="43"/>
  <c r="DN64" i="43"/>
  <c r="DH64" i="43"/>
  <c r="DE64" i="43"/>
  <c r="DB64" i="43"/>
  <c r="CY64" i="43"/>
  <c r="CV64" i="43"/>
  <c r="CS64" i="43"/>
  <c r="CM64" i="43"/>
  <c r="CJ64" i="43"/>
  <c r="CG64" i="43"/>
  <c r="CD64" i="43"/>
  <c r="CA64" i="43"/>
  <c r="BX64" i="43"/>
  <c r="BR64" i="43"/>
  <c r="BO64" i="43"/>
  <c r="BL64" i="43"/>
  <c r="BI64" i="43"/>
  <c r="BF64" i="43"/>
  <c r="BC64" i="43"/>
  <c r="AW64" i="43"/>
  <c r="AT64" i="43"/>
  <c r="AQ64" i="43"/>
  <c r="AN64" i="43"/>
  <c r="AK64" i="43"/>
  <c r="AH64" i="43"/>
  <c r="DQ63" i="43"/>
  <c r="DN63" i="43"/>
  <c r="DH63" i="43"/>
  <c r="DE63" i="43"/>
  <c r="DB63" i="43"/>
  <c r="CY63" i="43"/>
  <c r="CV63" i="43"/>
  <c r="CS63" i="43"/>
  <c r="CM63" i="43"/>
  <c r="CJ63" i="43"/>
  <c r="CG63" i="43"/>
  <c r="CD63" i="43"/>
  <c r="CA63" i="43"/>
  <c r="BX63" i="43"/>
  <c r="BR63" i="43"/>
  <c r="BO63" i="43"/>
  <c r="BL63" i="43"/>
  <c r="BI63" i="43"/>
  <c r="BF63" i="43"/>
  <c r="BC63" i="43"/>
  <c r="AW63" i="43"/>
  <c r="AT63" i="43"/>
  <c r="AQ63" i="43"/>
  <c r="AN63" i="43"/>
  <c r="AK63" i="43"/>
  <c r="AH63" i="43"/>
  <c r="DQ62" i="43"/>
  <c r="DN62" i="43"/>
  <c r="DH62" i="43"/>
  <c r="DE62" i="43"/>
  <c r="DB62" i="43"/>
  <c r="CY62" i="43"/>
  <c r="CV62" i="43"/>
  <c r="CS62" i="43"/>
  <c r="CM62" i="43"/>
  <c r="CJ62" i="43"/>
  <c r="CG62" i="43"/>
  <c r="CD62" i="43"/>
  <c r="CA62" i="43"/>
  <c r="BX62" i="43"/>
  <c r="BR62" i="43"/>
  <c r="BO62" i="43"/>
  <c r="BL62" i="43"/>
  <c r="BI62" i="43"/>
  <c r="BF62" i="43"/>
  <c r="BC62" i="43"/>
  <c r="AW62" i="43"/>
  <c r="AT62" i="43"/>
  <c r="AQ62" i="43"/>
  <c r="AN62" i="43"/>
  <c r="AK62" i="43"/>
  <c r="AH62" i="43"/>
  <c r="DQ61" i="43"/>
  <c r="DN61" i="43"/>
  <c r="DH61" i="43"/>
  <c r="DE61" i="43"/>
  <c r="DB61" i="43"/>
  <c r="CY61" i="43"/>
  <c r="CV61" i="43"/>
  <c r="CS61" i="43"/>
  <c r="CM61" i="43"/>
  <c r="CJ61" i="43"/>
  <c r="CG61" i="43"/>
  <c r="CD61" i="43"/>
  <c r="CA61" i="43"/>
  <c r="BX61" i="43"/>
  <c r="BR61" i="43"/>
  <c r="BO61" i="43"/>
  <c r="BL61" i="43"/>
  <c r="BI61" i="43"/>
  <c r="BF61" i="43"/>
  <c r="BC61" i="43"/>
  <c r="AW61" i="43"/>
  <c r="AT61" i="43"/>
  <c r="AQ61" i="43"/>
  <c r="AN61" i="43"/>
  <c r="AK61" i="43"/>
  <c r="AH61" i="43"/>
  <c r="DQ60" i="43"/>
  <c r="DN60" i="43"/>
  <c r="DH60" i="43"/>
  <c r="DE60" i="43"/>
  <c r="DB60" i="43"/>
  <c r="CY60" i="43"/>
  <c r="CV60" i="43"/>
  <c r="CS60" i="43"/>
  <c r="CM60" i="43"/>
  <c r="CJ60" i="43"/>
  <c r="CG60" i="43"/>
  <c r="CD60" i="43"/>
  <c r="CA60" i="43"/>
  <c r="BX60" i="43"/>
  <c r="BR60" i="43"/>
  <c r="BO60" i="43"/>
  <c r="BL60" i="43"/>
  <c r="BI60" i="43"/>
  <c r="BF60" i="43"/>
  <c r="BC60" i="43"/>
  <c r="AW60" i="43"/>
  <c r="AT60" i="43"/>
  <c r="AQ60" i="43"/>
  <c r="AN60" i="43"/>
  <c r="AK60" i="43"/>
  <c r="AH60" i="43"/>
  <c r="DQ59" i="43"/>
  <c r="DN59" i="43"/>
  <c r="DH59" i="43"/>
  <c r="DE59" i="43"/>
  <c r="DB59" i="43"/>
  <c r="CY59" i="43"/>
  <c r="CV59" i="43"/>
  <c r="CS59" i="43"/>
  <c r="CM59" i="43"/>
  <c r="CJ59" i="43"/>
  <c r="CG59" i="43"/>
  <c r="CD59" i="43"/>
  <c r="CA59" i="43"/>
  <c r="BX59" i="43"/>
  <c r="BR59" i="43"/>
  <c r="BO59" i="43"/>
  <c r="BL59" i="43"/>
  <c r="BI59" i="43"/>
  <c r="BF59" i="43"/>
  <c r="BC59" i="43"/>
  <c r="AW59" i="43"/>
  <c r="AT59" i="43"/>
  <c r="AQ59" i="43"/>
  <c r="AN59" i="43"/>
  <c r="AK59" i="43"/>
  <c r="AH59" i="43"/>
  <c r="DQ58" i="43"/>
  <c r="DN58" i="43"/>
  <c r="DH58" i="43"/>
  <c r="DE58" i="43"/>
  <c r="DB58" i="43"/>
  <c r="CY58" i="43"/>
  <c r="CV58" i="43"/>
  <c r="CS58" i="43"/>
  <c r="CM58" i="43"/>
  <c r="CJ58" i="43"/>
  <c r="CG58" i="43"/>
  <c r="CD58" i="43"/>
  <c r="CA58" i="43"/>
  <c r="BX58" i="43"/>
  <c r="BR58" i="43"/>
  <c r="BO58" i="43"/>
  <c r="BL58" i="43"/>
  <c r="BI58" i="43"/>
  <c r="BF58" i="43"/>
  <c r="BC58" i="43"/>
  <c r="AW58" i="43"/>
  <c r="AT58" i="43"/>
  <c r="AQ58" i="43"/>
  <c r="AN58" i="43"/>
  <c r="AK58" i="43"/>
  <c r="AH58" i="43"/>
  <c r="DQ57" i="43"/>
  <c r="DN57" i="43"/>
  <c r="DH57" i="43"/>
  <c r="DE57" i="43"/>
  <c r="DB57" i="43"/>
  <c r="CY57" i="43"/>
  <c r="CV57" i="43"/>
  <c r="CS57" i="43"/>
  <c r="CM57" i="43"/>
  <c r="CJ57" i="43"/>
  <c r="CG57" i="43"/>
  <c r="CD57" i="43"/>
  <c r="CA57" i="43"/>
  <c r="BX57" i="43"/>
  <c r="BR57" i="43"/>
  <c r="BO57" i="43"/>
  <c r="BL57" i="43"/>
  <c r="BI57" i="43"/>
  <c r="BF57" i="43"/>
  <c r="BC57" i="43"/>
  <c r="AW57" i="43"/>
  <c r="AT57" i="43"/>
  <c r="AQ57" i="43"/>
  <c r="AN57" i="43"/>
  <c r="AK57" i="43"/>
  <c r="AH57" i="43"/>
  <c r="DQ56" i="43"/>
  <c r="DN56" i="43"/>
  <c r="DH56" i="43"/>
  <c r="DE56" i="43"/>
  <c r="DB56" i="43"/>
  <c r="CY56" i="43"/>
  <c r="CV56" i="43"/>
  <c r="CS56" i="43"/>
  <c r="CM56" i="43"/>
  <c r="CJ56" i="43"/>
  <c r="CG56" i="43"/>
  <c r="CD56" i="43"/>
  <c r="CA56" i="43"/>
  <c r="BX56" i="43"/>
  <c r="BR56" i="43"/>
  <c r="BO56" i="43"/>
  <c r="BL56" i="43"/>
  <c r="BI56" i="43"/>
  <c r="BF56" i="43"/>
  <c r="BC56" i="43"/>
  <c r="AW56" i="43"/>
  <c r="AT56" i="43"/>
  <c r="AQ56" i="43"/>
  <c r="AN56" i="43"/>
  <c r="AK56" i="43"/>
  <c r="AH56" i="43"/>
  <c r="DQ55" i="43"/>
  <c r="DN55" i="43"/>
  <c r="DH55" i="43"/>
  <c r="DE55" i="43"/>
  <c r="DB55" i="43"/>
  <c r="CY55" i="43"/>
  <c r="CV55" i="43"/>
  <c r="CS55" i="43"/>
  <c r="CM55" i="43"/>
  <c r="CJ55" i="43"/>
  <c r="CG55" i="43"/>
  <c r="CD55" i="43"/>
  <c r="CA55" i="43"/>
  <c r="BX55" i="43"/>
  <c r="BR55" i="43"/>
  <c r="BO55" i="43"/>
  <c r="BL55" i="43"/>
  <c r="BI55" i="43"/>
  <c r="BF55" i="43"/>
  <c r="BC55" i="43"/>
  <c r="AW55" i="43"/>
  <c r="AT55" i="43"/>
  <c r="AQ55" i="43"/>
  <c r="AN55" i="43"/>
  <c r="AK55" i="43"/>
  <c r="AH55" i="43"/>
  <c r="DQ54" i="43"/>
  <c r="DN54" i="43"/>
  <c r="DH54" i="43"/>
  <c r="DE54" i="43"/>
  <c r="DB54" i="43"/>
  <c r="CY54" i="43"/>
  <c r="CV54" i="43"/>
  <c r="CS54" i="43"/>
  <c r="CM54" i="43"/>
  <c r="CJ54" i="43"/>
  <c r="CG54" i="43"/>
  <c r="CD54" i="43"/>
  <c r="CA54" i="43"/>
  <c r="BX54" i="43"/>
  <c r="BR54" i="43"/>
  <c r="BO54" i="43"/>
  <c r="BL54" i="43"/>
  <c r="BI54" i="43"/>
  <c r="BF54" i="43"/>
  <c r="BC54" i="43"/>
  <c r="AW54" i="43"/>
  <c r="AT54" i="43"/>
  <c r="AQ54" i="43"/>
  <c r="AN54" i="43"/>
  <c r="AK54" i="43"/>
  <c r="AH54" i="43"/>
  <c r="DQ53" i="43"/>
  <c r="DN53" i="43"/>
  <c r="DH53" i="43"/>
  <c r="DE53" i="43"/>
  <c r="DB53" i="43"/>
  <c r="CY53" i="43"/>
  <c r="CV53" i="43"/>
  <c r="CS53" i="43"/>
  <c r="CM53" i="43"/>
  <c r="CJ53" i="43"/>
  <c r="CG53" i="43"/>
  <c r="CD53" i="43"/>
  <c r="CA53" i="43"/>
  <c r="BX53" i="43"/>
  <c r="BR53" i="43"/>
  <c r="BO53" i="43"/>
  <c r="BL53" i="43"/>
  <c r="BI53" i="43"/>
  <c r="BF53" i="43"/>
  <c r="BC53" i="43"/>
  <c r="AW53" i="43"/>
  <c r="AT53" i="43"/>
  <c r="AQ53" i="43"/>
  <c r="AN53" i="43"/>
  <c r="AK53" i="43"/>
  <c r="AH53" i="43"/>
  <c r="DQ52" i="43"/>
  <c r="DN52" i="43"/>
  <c r="DH52" i="43"/>
  <c r="DE52" i="43"/>
  <c r="DB52" i="43"/>
  <c r="CY52" i="43"/>
  <c r="CV52" i="43"/>
  <c r="CS52" i="43"/>
  <c r="CM52" i="43"/>
  <c r="CJ52" i="43"/>
  <c r="CG52" i="43"/>
  <c r="CD52" i="43"/>
  <c r="CA52" i="43"/>
  <c r="BX52" i="43"/>
  <c r="BR52" i="43"/>
  <c r="BO52" i="43"/>
  <c r="BL52" i="43"/>
  <c r="BI52" i="43"/>
  <c r="BF52" i="43"/>
  <c r="BC52" i="43"/>
  <c r="AW52" i="43"/>
  <c r="AT52" i="43"/>
  <c r="AQ52" i="43"/>
  <c r="AN52" i="43"/>
  <c r="AK52" i="43"/>
  <c r="AH52" i="43"/>
  <c r="DQ51" i="43"/>
  <c r="DN51" i="43"/>
  <c r="DH51" i="43"/>
  <c r="DE51" i="43"/>
  <c r="DB51" i="43"/>
  <c r="CY51" i="43"/>
  <c r="CV51" i="43"/>
  <c r="CS51" i="43"/>
  <c r="CM51" i="43"/>
  <c r="CJ51" i="43"/>
  <c r="CG51" i="43"/>
  <c r="CD51" i="43"/>
  <c r="CA51" i="43"/>
  <c r="BX51" i="43"/>
  <c r="BR51" i="43"/>
  <c r="BO51" i="43"/>
  <c r="BL51" i="43"/>
  <c r="BI51" i="43"/>
  <c r="BF51" i="43"/>
  <c r="BC51" i="43"/>
  <c r="AW51" i="43"/>
  <c r="AT51" i="43"/>
  <c r="AQ51" i="43"/>
  <c r="AN51" i="43"/>
  <c r="AK51" i="43"/>
  <c r="AH51" i="43"/>
  <c r="DQ50" i="43"/>
  <c r="DN50" i="43"/>
  <c r="DH50" i="43"/>
  <c r="DE50" i="43"/>
  <c r="DB50" i="43"/>
  <c r="CY50" i="43"/>
  <c r="CV50" i="43"/>
  <c r="CS50" i="43"/>
  <c r="CM50" i="43"/>
  <c r="CJ50" i="43"/>
  <c r="CG50" i="43"/>
  <c r="CD50" i="43"/>
  <c r="CA50" i="43"/>
  <c r="BX50" i="43"/>
  <c r="BR50" i="43"/>
  <c r="BO50" i="43"/>
  <c r="BL50" i="43"/>
  <c r="BI50" i="43"/>
  <c r="BF50" i="43"/>
  <c r="BC50" i="43"/>
  <c r="AW50" i="43"/>
  <c r="AT50" i="43"/>
  <c r="AQ50" i="43"/>
  <c r="AN50" i="43"/>
  <c r="AK50" i="43"/>
  <c r="AH50" i="43"/>
  <c r="DQ49" i="43"/>
  <c r="DN49" i="43"/>
  <c r="DH49" i="43"/>
  <c r="DE49" i="43"/>
  <c r="DB49" i="43"/>
  <c r="CY49" i="43"/>
  <c r="CV49" i="43"/>
  <c r="CS49" i="43"/>
  <c r="CM49" i="43"/>
  <c r="CJ49" i="43"/>
  <c r="CG49" i="43"/>
  <c r="CD49" i="43"/>
  <c r="CA49" i="43"/>
  <c r="BX49" i="43"/>
  <c r="BR49" i="43"/>
  <c r="BO49" i="43"/>
  <c r="BL49" i="43"/>
  <c r="BI49" i="43"/>
  <c r="BF49" i="43"/>
  <c r="BC49" i="43"/>
  <c r="AW49" i="43"/>
  <c r="AT49" i="43"/>
  <c r="AQ49" i="43"/>
  <c r="AN49" i="43"/>
  <c r="AK49" i="43"/>
  <c r="AH49" i="43"/>
  <c r="DQ48" i="43"/>
  <c r="DN48" i="43"/>
  <c r="DH48" i="43"/>
  <c r="DE48" i="43"/>
  <c r="DB48" i="43"/>
  <c r="CY48" i="43"/>
  <c r="CV48" i="43"/>
  <c r="CS48" i="43"/>
  <c r="CM48" i="43"/>
  <c r="CJ48" i="43"/>
  <c r="CG48" i="43"/>
  <c r="CD48" i="43"/>
  <c r="CA48" i="43"/>
  <c r="BX48" i="43"/>
  <c r="BR48" i="43"/>
  <c r="BO48" i="43"/>
  <c r="BL48" i="43"/>
  <c r="BI48" i="43"/>
  <c r="BF48" i="43"/>
  <c r="BC48" i="43"/>
  <c r="AW48" i="43"/>
  <c r="AT48" i="43"/>
  <c r="AQ48" i="43"/>
  <c r="AN48" i="43"/>
  <c r="AK48" i="43"/>
  <c r="AH48" i="43"/>
  <c r="DQ47" i="43"/>
  <c r="DN47" i="43"/>
  <c r="DH47" i="43"/>
  <c r="DE47" i="43"/>
  <c r="DB47" i="43"/>
  <c r="CY47" i="43"/>
  <c r="CV47" i="43"/>
  <c r="CS47" i="43"/>
  <c r="CM47" i="43"/>
  <c r="CJ47" i="43"/>
  <c r="CG47" i="43"/>
  <c r="CD47" i="43"/>
  <c r="CA47" i="43"/>
  <c r="BX47" i="43"/>
  <c r="BR47" i="43"/>
  <c r="BO47" i="43"/>
  <c r="BL47" i="43"/>
  <c r="BI47" i="43"/>
  <c r="BF47" i="43"/>
  <c r="BC47" i="43"/>
  <c r="AW47" i="43"/>
  <c r="AT47" i="43"/>
  <c r="AQ47" i="43"/>
  <c r="AN47" i="43"/>
  <c r="AK47" i="43"/>
  <c r="AH47" i="43"/>
  <c r="DQ46" i="43"/>
  <c r="DN46" i="43"/>
  <c r="DH46" i="43"/>
  <c r="DE46" i="43"/>
  <c r="DB46" i="43"/>
  <c r="CY46" i="43"/>
  <c r="CV46" i="43"/>
  <c r="CS46" i="43"/>
  <c r="CM46" i="43"/>
  <c r="CJ46" i="43"/>
  <c r="CG46" i="43"/>
  <c r="CD46" i="43"/>
  <c r="CA46" i="43"/>
  <c r="BX46" i="43"/>
  <c r="BR46" i="43"/>
  <c r="BO46" i="43"/>
  <c r="BL46" i="43"/>
  <c r="BI46" i="43"/>
  <c r="BF46" i="43"/>
  <c r="BC46" i="43"/>
  <c r="AW46" i="43"/>
  <c r="AT46" i="43"/>
  <c r="AQ46" i="43"/>
  <c r="AN46" i="43"/>
  <c r="AK46" i="43"/>
  <c r="AH46" i="43"/>
  <c r="DQ45" i="43"/>
  <c r="DN45" i="43"/>
  <c r="DH45" i="43"/>
  <c r="DE45" i="43"/>
  <c r="DB45" i="43"/>
  <c r="CY45" i="43"/>
  <c r="CV45" i="43"/>
  <c r="CS45" i="43"/>
  <c r="CM45" i="43"/>
  <c r="CJ45" i="43"/>
  <c r="CG45" i="43"/>
  <c r="CD45" i="43"/>
  <c r="CA45" i="43"/>
  <c r="BX45" i="43"/>
  <c r="BR45" i="43"/>
  <c r="BO45" i="43"/>
  <c r="BL45" i="43"/>
  <c r="BI45" i="43"/>
  <c r="BF45" i="43"/>
  <c r="BC45" i="43"/>
  <c r="AW45" i="43"/>
  <c r="AT45" i="43"/>
  <c r="AQ45" i="43"/>
  <c r="AN45" i="43"/>
  <c r="AK45" i="43"/>
  <c r="AH45" i="43"/>
  <c r="DQ44" i="43"/>
  <c r="DN44" i="43"/>
  <c r="DH44" i="43"/>
  <c r="DE44" i="43"/>
  <c r="DB44" i="43"/>
  <c r="CY44" i="43"/>
  <c r="CV44" i="43"/>
  <c r="CS44" i="43"/>
  <c r="CM44" i="43"/>
  <c r="CJ44" i="43"/>
  <c r="CG44" i="43"/>
  <c r="CD44" i="43"/>
  <c r="CA44" i="43"/>
  <c r="BX44" i="43"/>
  <c r="BR44" i="43"/>
  <c r="BO44" i="43"/>
  <c r="BL44" i="43"/>
  <c r="BI44" i="43"/>
  <c r="BF44" i="43"/>
  <c r="AU44" i="43"/>
  <c r="BC44" i="43" s="1"/>
  <c r="AR44" i="43"/>
  <c r="AT44" i="43" s="1"/>
  <c r="AQ44" i="43"/>
  <c r="AN44" i="43"/>
  <c r="AK44" i="43"/>
  <c r="AH44" i="43"/>
  <c r="DQ43" i="43"/>
  <c r="DN43" i="43"/>
  <c r="DH43" i="43"/>
  <c r="DE43" i="43"/>
  <c r="DB43" i="43"/>
  <c r="CY43" i="43"/>
  <c r="CV43" i="43"/>
  <c r="CS43" i="43"/>
  <c r="CM43" i="43"/>
  <c r="CJ43" i="43"/>
  <c r="CG43" i="43"/>
  <c r="CD43" i="43"/>
  <c r="CA43" i="43"/>
  <c r="BX43" i="43"/>
  <c r="BR43" i="43"/>
  <c r="BO43" i="43"/>
  <c r="BL43" i="43"/>
  <c r="BI43" i="43"/>
  <c r="BF43" i="43"/>
  <c r="BC43" i="43"/>
  <c r="AW43" i="43"/>
  <c r="AT43" i="43"/>
  <c r="AQ43" i="43"/>
  <c r="AN43" i="43"/>
  <c r="AK43" i="43"/>
  <c r="AH43" i="43"/>
  <c r="DQ42" i="43"/>
  <c r="DN42" i="43"/>
  <c r="DH42" i="43"/>
  <c r="DE42" i="43"/>
  <c r="DB42" i="43"/>
  <c r="CY42" i="43"/>
  <c r="CV42" i="43"/>
  <c r="CS42" i="43"/>
  <c r="CM42" i="43"/>
  <c r="CJ42" i="43"/>
  <c r="CG42" i="43"/>
  <c r="CD42" i="43"/>
  <c r="CA42" i="43"/>
  <c r="BX42" i="43"/>
  <c r="BR42" i="43"/>
  <c r="BO42" i="43"/>
  <c r="BL42" i="43"/>
  <c r="BI42" i="43"/>
  <c r="BF42" i="43"/>
  <c r="BC42" i="43"/>
  <c r="AW42" i="43"/>
  <c r="AT42" i="43"/>
  <c r="AQ42" i="43"/>
  <c r="AN42" i="43"/>
  <c r="AK42" i="43"/>
  <c r="AH42" i="43"/>
  <c r="DQ41" i="43"/>
  <c r="DN41" i="43"/>
  <c r="DH41" i="43"/>
  <c r="DE41" i="43"/>
  <c r="DB41" i="43"/>
  <c r="CY41" i="43"/>
  <c r="CV41" i="43"/>
  <c r="CS41" i="43"/>
  <c r="CM41" i="43"/>
  <c r="CJ41" i="43"/>
  <c r="CG41" i="43"/>
  <c r="CD41" i="43"/>
  <c r="CA41" i="43"/>
  <c r="BX41" i="43"/>
  <c r="BR41" i="43"/>
  <c r="BO41" i="43"/>
  <c r="BL41" i="43"/>
  <c r="BI41" i="43"/>
  <c r="BF41" i="43"/>
  <c r="BC41" i="43"/>
  <c r="AW41" i="43"/>
  <c r="AT41" i="43"/>
  <c r="AQ41" i="43"/>
  <c r="AN41" i="43"/>
  <c r="AK41" i="43"/>
  <c r="AH41" i="43"/>
  <c r="DQ40" i="43"/>
  <c r="DN40" i="43"/>
  <c r="DH40" i="43"/>
  <c r="DE40" i="43"/>
  <c r="DB40" i="43"/>
  <c r="CY40" i="43"/>
  <c r="CV40" i="43"/>
  <c r="CS40" i="43"/>
  <c r="CM40" i="43"/>
  <c r="CJ40" i="43"/>
  <c r="CG40" i="43"/>
  <c r="CD40" i="43"/>
  <c r="CA40" i="43"/>
  <c r="BX40" i="43"/>
  <c r="BR40" i="43"/>
  <c r="BO40" i="43"/>
  <c r="BL40" i="43"/>
  <c r="BI40" i="43"/>
  <c r="BF40" i="43"/>
  <c r="BC40" i="43"/>
  <c r="AW40" i="43"/>
  <c r="AT40" i="43"/>
  <c r="AQ40" i="43"/>
  <c r="AN40" i="43"/>
  <c r="AK40" i="43"/>
  <c r="AH40" i="43"/>
  <c r="DQ39" i="43"/>
  <c r="DN39" i="43"/>
  <c r="DH39" i="43"/>
  <c r="DE39" i="43"/>
  <c r="DB39" i="43"/>
  <c r="CY39" i="43"/>
  <c r="CV39" i="43"/>
  <c r="CS39" i="43"/>
  <c r="CM39" i="43"/>
  <c r="CJ39" i="43"/>
  <c r="CG39" i="43"/>
  <c r="CD39" i="43"/>
  <c r="CA39" i="43"/>
  <c r="BX39" i="43"/>
  <c r="BR39" i="43"/>
  <c r="BO39" i="43"/>
  <c r="BL39" i="43"/>
  <c r="BI39" i="43"/>
  <c r="BF39" i="43"/>
  <c r="BC39" i="43"/>
  <c r="AW39" i="43"/>
  <c r="AT39" i="43"/>
  <c r="AQ39" i="43"/>
  <c r="AN39" i="43"/>
  <c r="AK39" i="43"/>
  <c r="AH39" i="43"/>
  <c r="DQ38" i="43"/>
  <c r="DN38" i="43"/>
  <c r="DH38" i="43"/>
  <c r="DE38" i="43"/>
  <c r="DB38" i="43"/>
  <c r="CY38" i="43"/>
  <c r="CV38" i="43"/>
  <c r="CS38" i="43"/>
  <c r="CM38" i="43"/>
  <c r="CJ38" i="43"/>
  <c r="CG38" i="43"/>
  <c r="CD38" i="43"/>
  <c r="CA38" i="43"/>
  <c r="BX38" i="43"/>
  <c r="BR38" i="43"/>
  <c r="BO38" i="43"/>
  <c r="BL38" i="43"/>
  <c r="BI38" i="43"/>
  <c r="BF38" i="43"/>
  <c r="BC38" i="43"/>
  <c r="AW38" i="43"/>
  <c r="AT38" i="43"/>
  <c r="AQ38" i="43"/>
  <c r="AN38" i="43"/>
  <c r="AK38" i="43"/>
  <c r="AH38" i="43"/>
  <c r="DQ37" i="43"/>
  <c r="DN37" i="43"/>
  <c r="DH37" i="43"/>
  <c r="DE37" i="43"/>
  <c r="DB37" i="43"/>
  <c r="CY37" i="43"/>
  <c r="CV37" i="43"/>
  <c r="CS37" i="43"/>
  <c r="CM37" i="43"/>
  <c r="CJ37" i="43"/>
  <c r="CG37" i="43"/>
  <c r="CD37" i="43"/>
  <c r="CA37" i="43"/>
  <c r="BX37" i="43"/>
  <c r="BR37" i="43"/>
  <c r="BO37" i="43"/>
  <c r="BL37" i="43"/>
  <c r="BI37" i="43"/>
  <c r="BF37" i="43"/>
  <c r="BC37" i="43"/>
  <c r="AW37" i="43"/>
  <c r="AT37" i="43"/>
  <c r="AQ37" i="43"/>
  <c r="AN37" i="43"/>
  <c r="AK37" i="43"/>
  <c r="AH37" i="43"/>
  <c r="DQ36" i="43"/>
  <c r="DN36" i="43"/>
  <c r="DH36" i="43"/>
  <c r="DE36" i="43"/>
  <c r="DB36" i="43"/>
  <c r="CY36" i="43"/>
  <c r="CV36" i="43"/>
  <c r="CS36" i="43"/>
  <c r="CM36" i="43"/>
  <c r="CJ36" i="43"/>
  <c r="CG36" i="43"/>
  <c r="CD36" i="43"/>
  <c r="CA36" i="43"/>
  <c r="BX36" i="43"/>
  <c r="BR36" i="43"/>
  <c r="BO36" i="43"/>
  <c r="BL36" i="43"/>
  <c r="BG36" i="43"/>
  <c r="BI36" i="43" s="1"/>
  <c r="BD36" i="43"/>
  <c r="BF36" i="43" s="1"/>
  <c r="BC36" i="43"/>
  <c r="BA36" i="43"/>
  <c r="AW36" i="43"/>
  <c r="AT36" i="43"/>
  <c r="AQ36" i="43"/>
  <c r="AN36" i="43"/>
  <c r="AK36" i="43"/>
  <c r="AH36" i="43"/>
  <c r="DQ35" i="43"/>
  <c r="DN35" i="43"/>
  <c r="DH35" i="43"/>
  <c r="DE35" i="43"/>
  <c r="DB35" i="43"/>
  <c r="CY35" i="43"/>
  <c r="CV35" i="43"/>
  <c r="CS35" i="43"/>
  <c r="CM35" i="43"/>
  <c r="CJ35" i="43"/>
  <c r="CG35" i="43"/>
  <c r="CD35" i="43"/>
  <c r="CA35" i="43"/>
  <c r="BX35" i="43"/>
  <c r="BR35" i="43"/>
  <c r="BO35" i="43"/>
  <c r="BL35" i="43"/>
  <c r="BI35" i="43"/>
  <c r="BF35" i="43"/>
  <c r="BC35" i="43"/>
  <c r="AW35" i="43"/>
  <c r="AT35" i="43"/>
  <c r="AQ35" i="43"/>
  <c r="AN35" i="43"/>
  <c r="AK35" i="43"/>
  <c r="AH35" i="43"/>
  <c r="DQ34" i="43"/>
  <c r="DN34" i="43"/>
  <c r="DH34" i="43"/>
  <c r="DE34" i="43"/>
  <c r="DB34" i="43"/>
  <c r="CY34" i="43"/>
  <c r="CV34" i="43"/>
  <c r="BO34" i="43"/>
  <c r="BL34" i="43"/>
  <c r="BI34" i="43"/>
  <c r="BF34" i="43"/>
  <c r="BC34" i="43"/>
  <c r="AW34" i="43"/>
  <c r="AT34" i="43"/>
  <c r="AQ34" i="43"/>
  <c r="AN34" i="43"/>
  <c r="AK34" i="43"/>
  <c r="AH34" i="43"/>
  <c r="DQ33" i="43"/>
  <c r="DN33" i="43"/>
  <c r="DH33" i="43"/>
  <c r="DE33" i="43"/>
  <c r="DB33" i="43"/>
  <c r="CY33" i="43"/>
  <c r="CV33" i="43"/>
  <c r="CS33" i="43"/>
  <c r="CM33" i="43"/>
  <c r="CJ33" i="43"/>
  <c r="CG33" i="43"/>
  <c r="CD33" i="43"/>
  <c r="CA33" i="43"/>
  <c r="BX33" i="43"/>
  <c r="BR33" i="43"/>
  <c r="BO33" i="43"/>
  <c r="BL33" i="43"/>
  <c r="BI33" i="43"/>
  <c r="BF33" i="43"/>
  <c r="BC33" i="43"/>
  <c r="AW33" i="43"/>
  <c r="AT33" i="43"/>
  <c r="AQ33" i="43"/>
  <c r="AN33" i="43"/>
  <c r="AK33" i="43"/>
  <c r="AH33" i="43"/>
  <c r="DQ32" i="43"/>
  <c r="DN32" i="43"/>
  <c r="DH32" i="43"/>
  <c r="DE32" i="43"/>
  <c r="DB32" i="43"/>
  <c r="CY32" i="43"/>
  <c r="CV32" i="43"/>
  <c r="CS32" i="43"/>
  <c r="CM32" i="43"/>
  <c r="CJ32" i="43"/>
  <c r="CG32" i="43"/>
  <c r="CD32" i="43"/>
  <c r="CA32" i="43"/>
  <c r="BX32" i="43"/>
  <c r="BR32" i="43"/>
  <c r="BO32" i="43"/>
  <c r="BL32" i="43"/>
  <c r="BI32" i="43"/>
  <c r="BF32" i="43"/>
  <c r="BC32" i="43"/>
  <c r="AW32" i="43"/>
  <c r="AT32" i="43"/>
  <c r="AQ32" i="43"/>
  <c r="AN32" i="43"/>
  <c r="AK32" i="43"/>
  <c r="AH32" i="43"/>
  <c r="DQ31" i="43"/>
  <c r="DN31" i="43"/>
  <c r="DH31" i="43"/>
  <c r="DE31" i="43"/>
  <c r="DB31" i="43"/>
  <c r="CY31" i="43"/>
  <c r="CV31" i="43"/>
  <c r="CS31" i="43"/>
  <c r="CM31" i="43"/>
  <c r="CJ31" i="43"/>
  <c r="CG31" i="43"/>
  <c r="CD31" i="43"/>
  <c r="CA31" i="43"/>
  <c r="BX31" i="43"/>
  <c r="BR31" i="43"/>
  <c r="BO31" i="43"/>
  <c r="BL31" i="43"/>
  <c r="BI31" i="43"/>
  <c r="BF31" i="43"/>
  <c r="BC31" i="43"/>
  <c r="AW31" i="43"/>
  <c r="AT31" i="43"/>
  <c r="AQ31" i="43"/>
  <c r="AN31" i="43"/>
  <c r="AK31" i="43"/>
  <c r="AH31" i="43"/>
  <c r="DQ30" i="43"/>
  <c r="DN30" i="43"/>
  <c r="DH30" i="43"/>
  <c r="DE30" i="43"/>
  <c r="DB30" i="43"/>
  <c r="CY30" i="43"/>
  <c r="CV30" i="43"/>
  <c r="CS30" i="43"/>
  <c r="CM30" i="43"/>
  <c r="CJ30" i="43"/>
  <c r="CG30" i="43"/>
  <c r="CD30" i="43"/>
  <c r="CA30" i="43"/>
  <c r="BX30" i="43"/>
  <c r="BR30" i="43"/>
  <c r="BO30" i="43"/>
  <c r="BL30" i="43"/>
  <c r="BI30" i="43"/>
  <c r="BF30" i="43"/>
  <c r="BC30" i="43"/>
  <c r="AW30" i="43"/>
  <c r="AT30" i="43"/>
  <c r="AQ30" i="43"/>
  <c r="AN30" i="43"/>
  <c r="AK30" i="43"/>
  <c r="AH30" i="43"/>
  <c r="DQ29" i="43"/>
  <c r="DN29" i="43"/>
  <c r="DH29" i="43"/>
  <c r="DE29" i="43"/>
  <c r="DB29" i="43"/>
  <c r="CY29" i="43"/>
  <c r="CV29" i="43"/>
  <c r="CS29" i="43"/>
  <c r="CM29" i="43"/>
  <c r="CJ29" i="43"/>
  <c r="CG29" i="43"/>
  <c r="CD29" i="43"/>
  <c r="CA29" i="43"/>
  <c r="BX29" i="43"/>
  <c r="BR29" i="43"/>
  <c r="BO29" i="43"/>
  <c r="BL29" i="43"/>
  <c r="BI29" i="43"/>
  <c r="BF29" i="43"/>
  <c r="BC29" i="43"/>
  <c r="AW29" i="43"/>
  <c r="AT29" i="43"/>
  <c r="AQ29" i="43"/>
  <c r="AN29" i="43"/>
  <c r="AK29" i="43"/>
  <c r="AH29" i="43"/>
  <c r="DQ28" i="43"/>
  <c r="DN28" i="43"/>
  <c r="DH28" i="43"/>
  <c r="DE28" i="43"/>
  <c r="DB28" i="43"/>
  <c r="CY28" i="43"/>
  <c r="CV28" i="43"/>
  <c r="CS28" i="43"/>
  <c r="CM28" i="43"/>
  <c r="CJ28" i="43"/>
  <c r="CG28" i="43"/>
  <c r="CD28" i="43"/>
  <c r="CA28" i="43"/>
  <c r="BX28" i="43"/>
  <c r="BR28" i="43"/>
  <c r="BO28" i="43"/>
  <c r="BL28" i="43"/>
  <c r="BI28" i="43"/>
  <c r="BF28" i="43"/>
  <c r="BC28" i="43"/>
  <c r="AT28" i="43"/>
  <c r="AR28" i="43"/>
  <c r="AW28" i="43" s="1"/>
  <c r="AO28" i="43"/>
  <c r="AQ28" i="43" s="1"/>
  <c r="AL28" i="43"/>
  <c r="AN28" i="43" s="1"/>
  <c r="AK28" i="43"/>
  <c r="AI28" i="43"/>
  <c r="AH28" i="43"/>
  <c r="DQ27" i="43"/>
  <c r="DN27" i="43"/>
  <c r="DH27" i="43"/>
  <c r="DE27" i="43"/>
  <c r="DB27" i="43"/>
  <c r="CY27" i="43"/>
  <c r="CV27" i="43"/>
  <c r="CS27" i="43"/>
  <c r="CM27" i="43"/>
  <c r="CJ27" i="43"/>
  <c r="CG27" i="43"/>
  <c r="CD27" i="43"/>
  <c r="CA27" i="43"/>
  <c r="BX27" i="43"/>
  <c r="BR27" i="43"/>
  <c r="BO27" i="43"/>
  <c r="BL27" i="43"/>
  <c r="BI27" i="43"/>
  <c r="BF27" i="43"/>
  <c r="BC27" i="43"/>
  <c r="AW27" i="43"/>
  <c r="AT27" i="43"/>
  <c r="AQ27" i="43"/>
  <c r="AN27" i="43"/>
  <c r="AK27" i="43"/>
  <c r="AH27" i="43"/>
  <c r="DQ26" i="43"/>
  <c r="DN26" i="43"/>
  <c r="DH26" i="43"/>
  <c r="DE26" i="43"/>
  <c r="DB26" i="43"/>
  <c r="CY26" i="43"/>
  <c r="CV26" i="43"/>
  <c r="CS26" i="43"/>
  <c r="CM26" i="43"/>
  <c r="CJ26" i="43"/>
  <c r="CG26" i="43"/>
  <c r="CD26" i="43"/>
  <c r="CA26" i="43"/>
  <c r="BX26" i="43"/>
  <c r="BR26" i="43"/>
  <c r="BO26" i="43"/>
  <c r="BL26" i="43"/>
  <c r="BI26" i="43"/>
  <c r="BF26" i="43"/>
  <c r="BC26" i="43"/>
  <c r="AW26" i="43"/>
  <c r="AT26" i="43"/>
  <c r="AQ26" i="43"/>
  <c r="AN26" i="43"/>
  <c r="AK26" i="43"/>
  <c r="AH26" i="43"/>
  <c r="DQ25" i="43"/>
  <c r="DN25" i="43"/>
  <c r="DH25" i="43"/>
  <c r="DE25" i="43"/>
  <c r="DB25" i="43"/>
  <c r="CY25" i="43"/>
  <c r="CV25" i="43"/>
  <c r="CS25" i="43"/>
  <c r="CM25" i="43"/>
  <c r="CJ25" i="43"/>
  <c r="CG25" i="43"/>
  <c r="CD25" i="43"/>
  <c r="CA25" i="43"/>
  <c r="BX25" i="43"/>
  <c r="BR25" i="43"/>
  <c r="BO25" i="43"/>
  <c r="BL25" i="43"/>
  <c r="BI25" i="43"/>
  <c r="BF25" i="43"/>
  <c r="BC25" i="43"/>
  <c r="AW25" i="43"/>
  <c r="AT25" i="43"/>
  <c r="AQ25" i="43"/>
  <c r="AN25" i="43"/>
  <c r="AK25" i="43"/>
  <c r="AH25" i="43"/>
  <c r="DQ24" i="43"/>
  <c r="DN24" i="43"/>
  <c r="DH24" i="43"/>
  <c r="DE24" i="43"/>
  <c r="DB24" i="43"/>
  <c r="CY24" i="43"/>
  <c r="CV24" i="43"/>
  <c r="CS24" i="43"/>
  <c r="CM24" i="43"/>
  <c r="CJ24" i="43"/>
  <c r="CG24" i="43"/>
  <c r="CD24" i="43"/>
  <c r="CA24" i="43"/>
  <c r="BX24" i="43"/>
  <c r="BR24" i="43"/>
  <c r="BO24" i="43"/>
  <c r="BL24" i="43"/>
  <c r="BI24" i="43"/>
  <c r="BF24" i="43"/>
  <c r="BC24" i="43"/>
  <c r="AW24" i="43"/>
  <c r="AT24" i="43"/>
  <c r="AQ24" i="43"/>
  <c r="AN24" i="43"/>
  <c r="AK24" i="43"/>
  <c r="AH24" i="43"/>
  <c r="DQ23" i="43"/>
  <c r="DN23" i="43"/>
  <c r="DH23" i="43"/>
  <c r="DE23" i="43"/>
  <c r="DB23" i="43"/>
  <c r="CY23" i="43"/>
  <c r="CV23" i="43"/>
  <c r="CS23" i="43"/>
  <c r="CM23" i="43"/>
  <c r="CJ23" i="43"/>
  <c r="CG23" i="43"/>
  <c r="CD23" i="43"/>
  <c r="CA23" i="43"/>
  <c r="BX23" i="43"/>
  <c r="BR23" i="43"/>
  <c r="BO23" i="43"/>
  <c r="BL23" i="43"/>
  <c r="BI23" i="43"/>
  <c r="BF23" i="43"/>
  <c r="BC23" i="43"/>
  <c r="AW23" i="43"/>
  <c r="AT23" i="43"/>
  <c r="AQ23" i="43"/>
  <c r="AN23" i="43"/>
  <c r="AK23" i="43"/>
  <c r="AH23" i="43"/>
  <c r="DQ22" i="43"/>
  <c r="DN22" i="43"/>
  <c r="DH22" i="43"/>
  <c r="DE22" i="43"/>
  <c r="DB22" i="43"/>
  <c r="CY22" i="43"/>
  <c r="CV22" i="43"/>
  <c r="CS22" i="43"/>
  <c r="CM22" i="43"/>
  <c r="CJ22" i="43"/>
  <c r="CG22" i="43"/>
  <c r="CD22" i="43"/>
  <c r="CA22" i="43"/>
  <c r="BX22" i="43"/>
  <c r="BR22" i="43"/>
  <c r="BO22" i="43"/>
  <c r="BL22" i="43"/>
  <c r="BI22" i="43"/>
  <c r="BF22" i="43"/>
  <c r="BC22" i="43"/>
  <c r="AW22" i="43"/>
  <c r="AT22" i="43"/>
  <c r="AP22" i="43"/>
  <c r="AP308" i="43" s="1"/>
  <c r="AL22" i="43"/>
  <c r="AQ22" i="43" s="1"/>
  <c r="AI22" i="43"/>
  <c r="AF22" i="43"/>
  <c r="AH22" i="43" s="1"/>
  <c r="DQ21" i="43"/>
  <c r="DN21" i="43"/>
  <c r="DH21" i="43"/>
  <c r="DD21" i="43"/>
  <c r="DE21" i="43" s="1"/>
  <c r="DB21" i="43"/>
  <c r="CY21" i="43"/>
  <c r="CV21" i="43"/>
  <c r="CS21" i="43"/>
  <c r="CM21" i="43"/>
  <c r="CJ21" i="43"/>
  <c r="CG21" i="43"/>
  <c r="CD21" i="43"/>
  <c r="CA21" i="43"/>
  <c r="BX21" i="43"/>
  <c r="BR21" i="43"/>
  <c r="BO21" i="43"/>
  <c r="BL21" i="43"/>
  <c r="BI21" i="43"/>
  <c r="BF21" i="43"/>
  <c r="BC21" i="43"/>
  <c r="AW21" i="43"/>
  <c r="AT21" i="43"/>
  <c r="AQ21" i="43"/>
  <c r="AN21" i="43"/>
  <c r="AK21" i="43"/>
  <c r="AG21" i="43"/>
  <c r="AG308" i="43" s="1"/>
  <c r="DQ20" i="43"/>
  <c r="DN20" i="43"/>
  <c r="DH20" i="43"/>
  <c r="DE20" i="43"/>
  <c r="DB20" i="43"/>
  <c r="CY20" i="43"/>
  <c r="CV20" i="43"/>
  <c r="CS20" i="43"/>
  <c r="CM20" i="43"/>
  <c r="CJ20" i="43"/>
  <c r="CG20" i="43"/>
  <c r="CD20" i="43"/>
  <c r="CA20" i="43"/>
  <c r="BX20" i="43"/>
  <c r="BR20" i="43"/>
  <c r="BO20" i="43"/>
  <c r="BL20" i="43"/>
  <c r="BI20" i="43"/>
  <c r="BF20" i="43"/>
  <c r="BC20" i="43"/>
  <c r="AW20" i="43"/>
  <c r="AT20" i="43"/>
  <c r="AQ20" i="43"/>
  <c r="AN20" i="43"/>
  <c r="AK20" i="43"/>
  <c r="AH20" i="43"/>
  <c r="DQ19" i="43"/>
  <c r="DN19" i="43"/>
  <c r="DH19" i="43"/>
  <c r="DE19" i="43"/>
  <c r="DB19" i="43"/>
  <c r="CY19" i="43"/>
  <c r="CV19" i="43"/>
  <c r="CS19" i="43"/>
  <c r="CM19" i="43"/>
  <c r="CJ19" i="43"/>
  <c r="CG19" i="43"/>
  <c r="CD19" i="43"/>
  <c r="CA19" i="43"/>
  <c r="BX19" i="43"/>
  <c r="BR19" i="43"/>
  <c r="BO19" i="43"/>
  <c r="BL19" i="43"/>
  <c r="BI19" i="43"/>
  <c r="BF19" i="43"/>
  <c r="BC19" i="43"/>
  <c r="AW19" i="43"/>
  <c r="AT19" i="43"/>
  <c r="AQ19" i="43"/>
  <c r="AN19" i="43"/>
  <c r="AK19" i="43"/>
  <c r="AH19" i="43"/>
  <c r="DQ18" i="43"/>
  <c r="DN18" i="43"/>
  <c r="DH18" i="43"/>
  <c r="DE18" i="43"/>
  <c r="DB18" i="43"/>
  <c r="CY18" i="43"/>
  <c r="CV18" i="43"/>
  <c r="CS18" i="43"/>
  <c r="CM18" i="43"/>
  <c r="CJ18" i="43"/>
  <c r="CG18" i="43"/>
  <c r="CD18" i="43"/>
  <c r="CA18" i="43"/>
  <c r="BX18" i="43"/>
  <c r="BR18" i="43"/>
  <c r="BO18" i="43"/>
  <c r="BL18" i="43"/>
  <c r="BI18" i="43"/>
  <c r="BF18" i="43"/>
  <c r="BC18" i="43"/>
  <c r="AW18" i="43"/>
  <c r="AT18" i="43"/>
  <c r="AQ18" i="43"/>
  <c r="AN18" i="43"/>
  <c r="AK18" i="43"/>
  <c r="AH18" i="43"/>
  <c r="DQ17" i="43"/>
  <c r="DN17" i="43"/>
  <c r="DH17" i="43"/>
  <c r="DE17" i="43"/>
  <c r="DB17" i="43"/>
  <c r="CY17" i="43"/>
  <c r="CV17" i="43"/>
  <c r="CS17" i="43"/>
  <c r="CM17" i="43"/>
  <c r="CJ17" i="43"/>
  <c r="CG17" i="43"/>
  <c r="CD17" i="43"/>
  <c r="CA17" i="43"/>
  <c r="BX17" i="43"/>
  <c r="BR17" i="43"/>
  <c r="BO17" i="43"/>
  <c r="BL17" i="43"/>
  <c r="BI17" i="43"/>
  <c r="BF17" i="43"/>
  <c r="BC17" i="43"/>
  <c r="AW17" i="43"/>
  <c r="AT17" i="43"/>
  <c r="AQ17" i="43"/>
  <c r="AN17" i="43"/>
  <c r="AK17" i="43"/>
  <c r="AH17" i="43"/>
  <c r="DQ16" i="43"/>
  <c r="DN16" i="43"/>
  <c r="DH16" i="43"/>
  <c r="DE16" i="43"/>
  <c r="DB16" i="43"/>
  <c r="CY16" i="43"/>
  <c r="CV16" i="43"/>
  <c r="CS16" i="43"/>
  <c r="CM16" i="43"/>
  <c r="CJ16" i="43"/>
  <c r="CG16" i="43"/>
  <c r="CD16" i="43"/>
  <c r="CA16" i="43"/>
  <c r="BX16" i="43"/>
  <c r="BR16" i="43"/>
  <c r="BO16" i="43"/>
  <c r="BL16" i="43"/>
  <c r="BI16" i="43"/>
  <c r="BF16" i="43"/>
  <c r="BC16" i="43"/>
  <c r="AW16" i="43"/>
  <c r="AT16" i="43"/>
  <c r="AQ16" i="43"/>
  <c r="AN16" i="43"/>
  <c r="AK16" i="43"/>
  <c r="AH16" i="43"/>
  <c r="DQ15" i="43"/>
  <c r="DN15" i="43"/>
  <c r="DH15" i="43"/>
  <c r="DE15" i="43"/>
  <c r="DB15" i="43"/>
  <c r="CY15" i="43"/>
  <c r="CV15" i="43"/>
  <c r="CS15" i="43"/>
  <c r="CM15" i="43"/>
  <c r="CJ15" i="43"/>
  <c r="CG15" i="43"/>
  <c r="CD15" i="43"/>
  <c r="CA15" i="43"/>
  <c r="BX15" i="43"/>
  <c r="BR15" i="43"/>
  <c r="BO15" i="43"/>
  <c r="BL15" i="43"/>
  <c r="BI15" i="43"/>
  <c r="BF15" i="43"/>
  <c r="BC15" i="43"/>
  <c r="AW15" i="43"/>
  <c r="AT15" i="43"/>
  <c r="AQ15" i="43"/>
  <c r="AN15" i="43"/>
  <c r="AK15" i="43"/>
  <c r="AH15" i="43"/>
  <c r="DQ14" i="43"/>
  <c r="DN14" i="43"/>
  <c r="DH14" i="43"/>
  <c r="DE14" i="43"/>
  <c r="DB14" i="43"/>
  <c r="CY14" i="43"/>
  <c r="CV14" i="43"/>
  <c r="CS14" i="43"/>
  <c r="CM14" i="43"/>
  <c r="CJ14" i="43"/>
  <c r="CG14" i="43"/>
  <c r="CD14" i="43"/>
  <c r="CA14" i="43"/>
  <c r="BX14" i="43"/>
  <c r="BW14" i="43"/>
  <c r="BR14" i="43"/>
  <c r="BO14" i="43"/>
  <c r="BL14" i="43"/>
  <c r="BI14" i="43"/>
  <c r="BF14" i="43"/>
  <c r="BC14" i="43"/>
  <c r="AW14" i="43"/>
  <c r="AT14" i="43"/>
  <c r="AQ14" i="43"/>
  <c r="AN14" i="43"/>
  <c r="AK14" i="43"/>
  <c r="AH14" i="43"/>
  <c r="DQ13" i="43"/>
  <c r="DN13" i="43"/>
  <c r="DH13" i="43"/>
  <c r="DE13" i="43"/>
  <c r="DB13" i="43"/>
  <c r="CY13" i="43"/>
  <c r="CV13" i="43"/>
  <c r="CS13" i="43"/>
  <c r="CM13" i="43"/>
  <c r="CJ13" i="43"/>
  <c r="CG13" i="43"/>
  <c r="CD13" i="43"/>
  <c r="CA13" i="43"/>
  <c r="BX13" i="43"/>
  <c r="BR13" i="43"/>
  <c r="BO13" i="43"/>
  <c r="BL13" i="43"/>
  <c r="BI13" i="43"/>
  <c r="BF13" i="43"/>
  <c r="BC13" i="43"/>
  <c r="AW13" i="43"/>
  <c r="AT13" i="43"/>
  <c r="AQ13" i="43"/>
  <c r="AN13" i="43"/>
  <c r="AK13" i="43"/>
  <c r="AH13" i="43"/>
  <c r="DQ12" i="43"/>
  <c r="DN12" i="43"/>
  <c r="DH12" i="43"/>
  <c r="DE12" i="43"/>
  <c r="DB12" i="43"/>
  <c r="CY12" i="43"/>
  <c r="CV12" i="43"/>
  <c r="CS12" i="43"/>
  <c r="CM12" i="43"/>
  <c r="CJ12" i="43"/>
  <c r="CG12" i="43"/>
  <c r="CD12" i="43"/>
  <c r="CA12" i="43"/>
  <c r="BX12" i="43"/>
  <c r="BR12" i="43"/>
  <c r="BO12" i="43"/>
  <c r="BL12" i="43"/>
  <c r="BI12" i="43"/>
  <c r="BF12" i="43"/>
  <c r="BC12" i="43"/>
  <c r="AW12" i="43"/>
  <c r="AT12" i="43"/>
  <c r="AQ12" i="43"/>
  <c r="AN12" i="43"/>
  <c r="AK12" i="43"/>
  <c r="AH12" i="43"/>
  <c r="DQ11" i="43"/>
  <c r="DN11" i="43"/>
  <c r="DH11" i="43"/>
  <c r="DE11" i="43"/>
  <c r="DB11" i="43"/>
  <c r="CY11" i="43"/>
  <c r="CV11" i="43"/>
  <c r="CS11" i="43"/>
  <c r="CM11" i="43"/>
  <c r="CJ11" i="43"/>
  <c r="CG11" i="43"/>
  <c r="CD11" i="43"/>
  <c r="CA11" i="43"/>
  <c r="BX11" i="43"/>
  <c r="BR11" i="43"/>
  <c r="BO11" i="43"/>
  <c r="BL11" i="43"/>
  <c r="BI11" i="43"/>
  <c r="BF11" i="43"/>
  <c r="BC11" i="43"/>
  <c r="AW11" i="43"/>
  <c r="AT11" i="43"/>
  <c r="AQ11" i="43"/>
  <c r="AN11" i="43"/>
  <c r="AK11" i="43"/>
  <c r="AH11" i="43"/>
  <c r="DQ10" i="43"/>
  <c r="DN10" i="43"/>
  <c r="DH10" i="43"/>
  <c r="DE10" i="43"/>
  <c r="DB10" i="43"/>
  <c r="CY10" i="43"/>
  <c r="CV10" i="43"/>
  <c r="CS10" i="43"/>
  <c r="CM10" i="43"/>
  <c r="CJ10" i="43"/>
  <c r="CG10" i="43"/>
  <c r="CD10" i="43"/>
  <c r="CA10" i="43"/>
  <c r="BX10" i="43"/>
  <c r="BR10" i="43"/>
  <c r="BO10" i="43"/>
  <c r="BL10" i="43"/>
  <c r="BI10" i="43"/>
  <c r="BF10" i="43"/>
  <c r="BC10" i="43"/>
  <c r="AW10" i="43"/>
  <c r="AT10" i="43"/>
  <c r="AQ10" i="43"/>
  <c r="AN10" i="43"/>
  <c r="AK10" i="43"/>
  <c r="AH10" i="43"/>
  <c r="DQ9" i="43"/>
  <c r="DN9" i="43"/>
  <c r="DH9" i="43"/>
  <c r="DE9" i="43"/>
  <c r="DB9" i="43"/>
  <c r="CY9" i="43"/>
  <c r="CV9" i="43"/>
  <c r="CS9" i="43"/>
  <c r="CM9" i="43"/>
  <c r="CJ9" i="43"/>
  <c r="CG9" i="43"/>
  <c r="CD9" i="43"/>
  <c r="CA9" i="43"/>
  <c r="BX9" i="43"/>
  <c r="BR9" i="43"/>
  <c r="BO9" i="43"/>
  <c r="BL9" i="43"/>
  <c r="BI9" i="43"/>
  <c r="BF9" i="43"/>
  <c r="BC9" i="43"/>
  <c r="AW9" i="43"/>
  <c r="AT9" i="43"/>
  <c r="AQ9" i="43"/>
  <c r="AN9" i="43"/>
  <c r="AK9" i="43"/>
  <c r="AH9" i="43"/>
  <c r="DQ8" i="43"/>
  <c r="DN8" i="43"/>
  <c r="DH8" i="43"/>
  <c r="DE8" i="43"/>
  <c r="DB8" i="43"/>
  <c r="CY8" i="43"/>
  <c r="CV8" i="43"/>
  <c r="CS8" i="43"/>
  <c r="CM8" i="43"/>
  <c r="CJ8" i="43"/>
  <c r="CG8" i="43"/>
  <c r="CD8" i="43"/>
  <c r="CA8" i="43"/>
  <c r="BX8" i="43"/>
  <c r="BR8" i="43"/>
  <c r="BO8" i="43"/>
  <c r="BL8" i="43"/>
  <c r="BI8" i="43"/>
  <c r="BF8" i="43"/>
  <c r="BC8" i="43"/>
  <c r="AW8" i="43"/>
  <c r="AT8" i="43"/>
  <c r="AQ8" i="43"/>
  <c r="AN8" i="43"/>
  <c r="AK8" i="43"/>
  <c r="AH8" i="43"/>
  <c r="DQ7" i="43"/>
  <c r="DN7" i="43"/>
  <c r="DH7" i="43"/>
  <c r="DE7" i="43"/>
  <c r="DB7" i="43"/>
  <c r="CY7" i="43"/>
  <c r="CV7" i="43"/>
  <c r="CS7" i="43"/>
  <c r="CM7" i="43"/>
  <c r="CJ7" i="43"/>
  <c r="CG7" i="43"/>
  <c r="CD7" i="43"/>
  <c r="CA7" i="43"/>
  <c r="BX7" i="43"/>
  <c r="BR7" i="43"/>
  <c r="BO7" i="43"/>
  <c r="BL7" i="43"/>
  <c r="BI7" i="43"/>
  <c r="BF7" i="43"/>
  <c r="BC7" i="43"/>
  <c r="AW7" i="43"/>
  <c r="AT7" i="43"/>
  <c r="AQ7" i="43"/>
  <c r="AN7" i="43"/>
  <c r="AK7" i="43"/>
  <c r="AH7" i="43"/>
  <c r="DQ6" i="43"/>
  <c r="DN6" i="43"/>
  <c r="DH6" i="43"/>
  <c r="DE6" i="43"/>
  <c r="CZ6" i="43"/>
  <c r="CY6" i="43"/>
  <c r="CW6" i="43"/>
  <c r="DB6" i="43" s="1"/>
  <c r="CT6" i="43"/>
  <c r="CQ6" i="43"/>
  <c r="CV6" i="43" s="1"/>
  <c r="CM6" i="43"/>
  <c r="CJ6" i="43"/>
  <c r="CG6" i="43"/>
  <c r="CD6" i="43"/>
  <c r="CA6" i="43"/>
  <c r="BX6" i="43"/>
  <c r="BR6" i="43"/>
  <c r="BO6" i="43"/>
  <c r="BO308" i="43" s="1"/>
  <c r="BL6" i="43"/>
  <c r="BI6" i="43"/>
  <c r="BF6" i="43"/>
  <c r="BC6" i="43"/>
  <c r="AW6" i="43"/>
  <c r="AT6" i="43"/>
  <c r="AQ6" i="43"/>
  <c r="AQ308" i="43" s="1"/>
  <c r="AN6" i="43"/>
  <c r="AK6" i="43"/>
  <c r="AH6" i="43"/>
  <c r="DQ5" i="43"/>
  <c r="DN5" i="43"/>
  <c r="DH5" i="43"/>
  <c r="DE5" i="43"/>
  <c r="DB5" i="43"/>
  <c r="DB308" i="43" s="1"/>
  <c r="CY5" i="43"/>
  <c r="CV5" i="43"/>
  <c r="CS5" i="43"/>
  <c r="CM5" i="43"/>
  <c r="CJ5" i="43"/>
  <c r="CG5" i="43"/>
  <c r="CD5" i="43"/>
  <c r="CA5" i="43"/>
  <c r="BX5" i="43"/>
  <c r="BR5" i="43"/>
  <c r="BO5" i="43"/>
  <c r="BL5" i="43"/>
  <c r="BI5" i="43"/>
  <c r="BF5" i="43"/>
  <c r="BC5" i="43"/>
  <c r="AW5" i="43"/>
  <c r="AT5" i="43"/>
  <c r="AQ5" i="43"/>
  <c r="AN5" i="43"/>
  <c r="AK5" i="43"/>
  <c r="AH5" i="43"/>
  <c r="N740" i="41"/>
  <c r="M740" i="41"/>
  <c r="T739" i="41"/>
  <c r="L739" i="41"/>
  <c r="K739" i="41"/>
  <c r="G739" i="41"/>
  <c r="H738" i="41"/>
  <c r="T737" i="41"/>
  <c r="P737" i="41"/>
  <c r="O737" i="41"/>
  <c r="T734" i="41"/>
  <c r="L734" i="41"/>
  <c r="H734" i="41"/>
  <c r="G734" i="41"/>
  <c r="U733" i="41"/>
  <c r="T733" i="41"/>
  <c r="L733" i="41"/>
  <c r="K733" i="41"/>
  <c r="H733" i="41"/>
  <c r="G733" i="41"/>
  <c r="V732" i="41"/>
  <c r="U732" i="41"/>
  <c r="T732" i="41"/>
  <c r="L732" i="41"/>
  <c r="K732" i="41"/>
  <c r="H732" i="41"/>
  <c r="G732" i="41"/>
  <c r="T731" i="41"/>
  <c r="L731" i="41"/>
  <c r="K731" i="41"/>
  <c r="H731" i="41"/>
  <c r="G731" i="41"/>
  <c r="H730" i="41"/>
  <c r="H729" i="41"/>
  <c r="T728" i="41"/>
  <c r="O728" i="41"/>
  <c r="L728" i="41"/>
  <c r="K728" i="41"/>
  <c r="G728" i="41"/>
  <c r="T727" i="41"/>
  <c r="L727" i="41"/>
  <c r="K727" i="41"/>
  <c r="G727" i="41"/>
  <c r="T726" i="41"/>
  <c r="L726" i="41"/>
  <c r="K726" i="41"/>
  <c r="H726" i="41"/>
  <c r="G726" i="41"/>
  <c r="T725" i="41"/>
  <c r="L725" i="41"/>
  <c r="K725" i="41"/>
  <c r="H725" i="41"/>
  <c r="H724" i="41"/>
  <c r="U723" i="41"/>
  <c r="T723" i="41"/>
  <c r="L723" i="41"/>
  <c r="K723" i="41"/>
  <c r="G723" i="41"/>
  <c r="U719" i="41"/>
  <c r="T719" i="41"/>
  <c r="U717" i="41"/>
  <c r="T717" i="41"/>
  <c r="T716" i="41"/>
  <c r="P716" i="41"/>
  <c r="L716" i="41"/>
  <c r="K716" i="41"/>
  <c r="H716" i="41"/>
  <c r="G716" i="41"/>
  <c r="H715" i="41"/>
  <c r="T714" i="41"/>
  <c r="L714" i="41"/>
  <c r="K714" i="41"/>
  <c r="G714" i="41"/>
  <c r="H713" i="41"/>
  <c r="H712" i="41"/>
  <c r="H711" i="41"/>
  <c r="H710" i="41"/>
  <c r="T709" i="41"/>
  <c r="P709" i="41"/>
  <c r="O709" i="41"/>
  <c r="L709" i="41"/>
  <c r="K709" i="41"/>
  <c r="G709" i="41"/>
  <c r="G708" i="41"/>
  <c r="U707" i="41"/>
  <c r="T707" i="41"/>
  <c r="L707" i="41"/>
  <c r="K707" i="41"/>
  <c r="G707" i="41"/>
  <c r="V706" i="41"/>
  <c r="U706" i="41"/>
  <c r="T706" i="41"/>
  <c r="L706" i="41"/>
  <c r="K706" i="41"/>
  <c r="G706" i="41"/>
  <c r="T705" i="41"/>
  <c r="L705" i="41"/>
  <c r="K705" i="41"/>
  <c r="G705" i="41"/>
  <c r="T704" i="41"/>
  <c r="L704" i="41"/>
  <c r="K704" i="41"/>
  <c r="G704" i="41"/>
  <c r="U699" i="41"/>
  <c r="T699" i="41"/>
  <c r="L699" i="41"/>
  <c r="K699" i="41"/>
  <c r="G699" i="41"/>
  <c r="U697" i="41"/>
  <c r="T697" i="41"/>
  <c r="L697" i="41"/>
  <c r="K697" i="41"/>
  <c r="G697" i="41"/>
  <c r="U696" i="41"/>
  <c r="T696" i="41"/>
  <c r="L696" i="41"/>
  <c r="K696" i="41"/>
  <c r="G696" i="41"/>
  <c r="U695" i="41"/>
  <c r="T695" i="41"/>
  <c r="L695" i="41"/>
  <c r="G695" i="41"/>
  <c r="U694" i="41"/>
  <c r="T694" i="41"/>
  <c r="L694" i="41"/>
  <c r="K694" i="41"/>
  <c r="H694" i="41"/>
  <c r="U693" i="41"/>
  <c r="U740" i="41" s="1"/>
  <c r="T693" i="41"/>
  <c r="T740" i="41" s="1"/>
  <c r="L693" i="41"/>
  <c r="K693" i="41"/>
  <c r="J693" i="41"/>
  <c r="J740" i="41" s="1"/>
  <c r="I693" i="41"/>
  <c r="I740" i="41" s="1"/>
  <c r="H693" i="41"/>
  <c r="G693" i="41"/>
  <c r="Q692" i="41"/>
  <c r="P692" i="41"/>
  <c r="O692" i="41"/>
  <c r="Q690" i="41"/>
  <c r="Q689" i="41"/>
  <c r="Q688" i="41"/>
  <c r="P688" i="41"/>
  <c r="Q687" i="41"/>
  <c r="Q686" i="41"/>
  <c r="P686" i="41"/>
  <c r="O686" i="41"/>
  <c r="Q684" i="41"/>
  <c r="P684" i="41"/>
  <c r="Q683" i="41"/>
  <c r="P683" i="41"/>
  <c r="O683" i="41"/>
  <c r="Q682" i="41"/>
  <c r="P682" i="41"/>
  <c r="O682" i="41"/>
  <c r="Q681" i="41"/>
  <c r="P681" i="41"/>
  <c r="O681" i="41"/>
  <c r="Q676" i="41"/>
  <c r="P676" i="41"/>
  <c r="Q673" i="41"/>
  <c r="P673" i="41"/>
  <c r="O673" i="41"/>
  <c r="Q671" i="41"/>
  <c r="P671" i="41"/>
  <c r="O671" i="41"/>
  <c r="Q670" i="41"/>
  <c r="P670" i="41"/>
  <c r="O670" i="41"/>
  <c r="Q669" i="41"/>
  <c r="P669" i="41"/>
  <c r="Q668" i="41"/>
  <c r="P668" i="41"/>
  <c r="Q666" i="41"/>
  <c r="P666" i="41"/>
  <c r="Q665" i="41"/>
  <c r="P665" i="41"/>
  <c r="O665" i="41"/>
  <c r="Q664" i="41"/>
  <c r="P664" i="41"/>
  <c r="O664" i="41"/>
  <c r="H664" i="41"/>
  <c r="S663" i="41"/>
  <c r="R663" i="41"/>
  <c r="Q663" i="41"/>
  <c r="P663" i="41"/>
  <c r="O663" i="41"/>
  <c r="Q662" i="41"/>
  <c r="P662" i="41"/>
  <c r="O662" i="41"/>
  <c r="Q661" i="41"/>
  <c r="Q660" i="41"/>
  <c r="Q659" i="41"/>
  <c r="P659" i="41"/>
  <c r="Q658" i="41"/>
  <c r="P658" i="41"/>
  <c r="Q657" i="41"/>
  <c r="P657" i="41"/>
  <c r="O657" i="41"/>
  <c r="Q655" i="41"/>
  <c r="P655" i="41"/>
  <c r="Q654" i="41"/>
  <c r="P654" i="41"/>
  <c r="O654" i="41"/>
  <c r="Q653" i="41"/>
  <c r="P653" i="41"/>
  <c r="Q652" i="41"/>
  <c r="P652" i="41"/>
  <c r="Q647" i="41"/>
  <c r="P647" i="41"/>
  <c r="O647" i="41"/>
  <c r="Q644" i="41"/>
  <c r="P644" i="41"/>
  <c r="O644" i="41"/>
  <c r="Q642" i="41"/>
  <c r="P642" i="41"/>
  <c r="Q641" i="41"/>
  <c r="P641" i="41"/>
  <c r="Q640" i="41"/>
  <c r="P640" i="41"/>
  <c r="O640" i="41"/>
  <c r="Q639" i="41"/>
  <c r="P639" i="41"/>
  <c r="O639" i="41"/>
  <c r="Q638" i="41"/>
  <c r="P638" i="41"/>
  <c r="Q637" i="41"/>
  <c r="P637" i="41"/>
  <c r="O637" i="41"/>
  <c r="Q636" i="41"/>
  <c r="P636" i="41"/>
  <c r="O636" i="41"/>
  <c r="R635" i="41"/>
  <c r="Q635" i="41"/>
  <c r="P635" i="41"/>
  <c r="O635" i="41"/>
  <c r="Q634" i="41"/>
  <c r="P634" i="41"/>
  <c r="Q633" i="41"/>
  <c r="Q632" i="41"/>
  <c r="V630" i="41"/>
  <c r="V659" i="41" s="1"/>
  <c r="V688" i="41" s="1"/>
  <c r="Q630" i="41"/>
  <c r="O630" i="41"/>
  <c r="Q629" i="41"/>
  <c r="P629" i="41"/>
  <c r="O629" i="41"/>
  <c r="Q628" i="41"/>
  <c r="P628" i="41"/>
  <c r="O628" i="41"/>
  <c r="Q627" i="41"/>
  <c r="P627" i="41"/>
  <c r="O627" i="41"/>
  <c r="Q626" i="41"/>
  <c r="P626" i="41"/>
  <c r="O626" i="41"/>
  <c r="Q625" i="41"/>
  <c r="P625" i="41"/>
  <c r="O625" i="41"/>
  <c r="Q624" i="41"/>
  <c r="P624" i="41"/>
  <c r="O624" i="41"/>
  <c r="Q623" i="41"/>
  <c r="P623" i="41"/>
  <c r="Q617" i="41"/>
  <c r="P617" i="41"/>
  <c r="O617" i="41"/>
  <c r="Q615" i="41"/>
  <c r="P615" i="41"/>
  <c r="O615" i="41"/>
  <c r="Q613" i="41"/>
  <c r="P613" i="41"/>
  <c r="Q612" i="41"/>
  <c r="P612" i="41"/>
  <c r="O612" i="41"/>
  <c r="Q611" i="41"/>
  <c r="P611" i="41"/>
  <c r="O611" i="41"/>
  <c r="Q609" i="41"/>
  <c r="P609" i="41"/>
  <c r="O609" i="41"/>
  <c r="Q608" i="41"/>
  <c r="P608" i="41"/>
  <c r="O608" i="41"/>
  <c r="Q607" i="41"/>
  <c r="P607" i="41"/>
  <c r="O607" i="41"/>
  <c r="Q606" i="41"/>
  <c r="P606" i="41"/>
  <c r="O606" i="41"/>
  <c r="Q605" i="41"/>
  <c r="Q604" i="41"/>
  <c r="P604" i="41"/>
  <c r="Q602" i="41"/>
  <c r="Q601" i="41"/>
  <c r="Q600" i="41"/>
  <c r="Q599" i="41"/>
  <c r="P599" i="41"/>
  <c r="O599" i="41"/>
  <c r="Q598" i="41"/>
  <c r="P598" i="41"/>
  <c r="Q597" i="41"/>
  <c r="P597" i="41"/>
  <c r="O597" i="41"/>
  <c r="Q596" i="41"/>
  <c r="P596" i="41"/>
  <c r="Q595" i="41"/>
  <c r="P595" i="41"/>
  <c r="Q594" i="41"/>
  <c r="P594" i="41"/>
  <c r="O594" i="41"/>
  <c r="Q593" i="41"/>
  <c r="P593" i="41"/>
  <c r="O593" i="41"/>
  <c r="Q588" i="41"/>
  <c r="P588" i="41"/>
  <c r="Q586" i="41"/>
  <c r="P586" i="41"/>
  <c r="O586" i="41"/>
  <c r="Q585" i="41"/>
  <c r="P585" i="41"/>
  <c r="O585" i="41"/>
  <c r="Q584" i="41"/>
  <c r="P584" i="41"/>
  <c r="O584" i="41"/>
  <c r="Q583" i="41"/>
  <c r="P583" i="41"/>
  <c r="Q582" i="41"/>
  <c r="P582" i="41"/>
  <c r="O582" i="41"/>
  <c r="Q581" i="41"/>
  <c r="P581" i="41"/>
  <c r="P699" i="41" s="1"/>
  <c r="O581" i="41"/>
  <c r="Q580" i="41"/>
  <c r="P580" i="41"/>
  <c r="O580" i="41"/>
  <c r="Q579" i="41"/>
  <c r="P579" i="41"/>
  <c r="O579" i="41"/>
  <c r="Q578" i="41"/>
  <c r="P578" i="41"/>
  <c r="O578" i="41"/>
  <c r="S577" i="41"/>
  <c r="Q577" i="41"/>
  <c r="P577" i="41"/>
  <c r="O577" i="41"/>
  <c r="Q576" i="41"/>
  <c r="P576" i="41"/>
  <c r="H576" i="41"/>
  <c r="H739" i="41" s="1"/>
  <c r="Q575" i="41"/>
  <c r="Q574" i="41"/>
  <c r="Q572" i="41"/>
  <c r="P572" i="41"/>
  <c r="Q571" i="41"/>
  <c r="P571" i="41"/>
  <c r="O571" i="41"/>
  <c r="Q570" i="41"/>
  <c r="P570" i="41"/>
  <c r="O570" i="41"/>
  <c r="Q569" i="41"/>
  <c r="P569" i="41"/>
  <c r="Q568" i="41"/>
  <c r="P568" i="41"/>
  <c r="Q567" i="41"/>
  <c r="P567" i="41"/>
  <c r="O567" i="41"/>
  <c r="Q566" i="41"/>
  <c r="P566" i="41"/>
  <c r="Q565" i="41"/>
  <c r="P565" i="41"/>
  <c r="O565" i="41"/>
  <c r="Q560" i="41"/>
  <c r="P560" i="41"/>
  <c r="Q557" i="41"/>
  <c r="P557" i="41"/>
  <c r="O557" i="41"/>
  <c r="Q556" i="41"/>
  <c r="P556" i="41"/>
  <c r="Q555" i="41"/>
  <c r="P555" i="41"/>
  <c r="Q554" i="41"/>
  <c r="P554" i="41"/>
  <c r="Q553" i="41"/>
  <c r="P553" i="41"/>
  <c r="O553" i="41"/>
  <c r="O701" i="41" s="1"/>
  <c r="Q551" i="41"/>
  <c r="P551" i="41"/>
  <c r="O551" i="41"/>
  <c r="Q550" i="41"/>
  <c r="P550" i="41"/>
  <c r="O550" i="41"/>
  <c r="Q549" i="41"/>
  <c r="P549" i="41"/>
  <c r="O549" i="41"/>
  <c r="Q548" i="41"/>
  <c r="P548" i="41"/>
  <c r="O548" i="41"/>
  <c r="M548" i="41"/>
  <c r="K548" i="41"/>
  <c r="K695" i="41" s="1"/>
  <c r="S547" i="41"/>
  <c r="Q547" i="41"/>
  <c r="P547" i="41"/>
  <c r="O547" i="41"/>
  <c r="Q545" i="41"/>
  <c r="Q544" i="41"/>
  <c r="Q543" i="41"/>
  <c r="P543" i="41"/>
  <c r="Q542" i="41"/>
  <c r="P542" i="41"/>
  <c r="O542" i="41"/>
  <c r="Q541" i="41"/>
  <c r="P541" i="41"/>
  <c r="O541" i="41"/>
  <c r="Q540" i="41"/>
  <c r="P540" i="41"/>
  <c r="O540" i="41"/>
  <c r="Q539" i="41"/>
  <c r="P539" i="41"/>
  <c r="O539" i="41"/>
  <c r="Q538" i="41"/>
  <c r="P538" i="41"/>
  <c r="O538" i="41"/>
  <c r="Q537" i="41"/>
  <c r="P537" i="41"/>
  <c r="O537" i="41"/>
  <c r="Q536" i="41"/>
  <c r="P536" i="41"/>
  <c r="O536" i="41"/>
  <c r="Q531" i="41"/>
  <c r="P531" i="41"/>
  <c r="O531" i="41"/>
  <c r="Q529" i="41"/>
  <c r="P529" i="41"/>
  <c r="O529" i="41"/>
  <c r="Q528" i="41"/>
  <c r="P528" i="41"/>
  <c r="O528" i="41"/>
  <c r="Q527" i="41"/>
  <c r="P527" i="41"/>
  <c r="Q526" i="41"/>
  <c r="P526" i="41"/>
  <c r="O526" i="41"/>
  <c r="H525" i="41"/>
  <c r="H702" i="41" s="1"/>
  <c r="V524" i="41"/>
  <c r="V553" i="41" s="1"/>
  <c r="V582" i="41" s="1"/>
  <c r="Q524" i="41"/>
  <c r="P524" i="41"/>
  <c r="Q522" i="41"/>
  <c r="P522" i="41"/>
  <c r="O522" i="41"/>
  <c r="Q520" i="41"/>
  <c r="P520" i="41"/>
  <c r="O520" i="41"/>
  <c r="Q519" i="41"/>
  <c r="P519" i="41"/>
  <c r="O519" i="41"/>
  <c r="Q518" i="41"/>
  <c r="P518" i="41"/>
  <c r="O518" i="41"/>
  <c r="Q517" i="41"/>
  <c r="P517" i="41"/>
  <c r="O517" i="41"/>
  <c r="Q515" i="41"/>
  <c r="Q514" i="41"/>
  <c r="V513" i="41"/>
  <c r="V543" i="41" s="1"/>
  <c r="V572" i="41" s="1"/>
  <c r="V600" i="41" s="1"/>
  <c r="Q513" i="41"/>
  <c r="P513" i="41"/>
  <c r="O513" i="41"/>
  <c r="Q512" i="41"/>
  <c r="P512" i="41"/>
  <c r="O512" i="41"/>
  <c r="Q511" i="41"/>
  <c r="P511" i="41"/>
  <c r="O511" i="41"/>
  <c r="Q510" i="41"/>
  <c r="P510" i="41"/>
  <c r="Q509" i="41"/>
  <c r="P509" i="41"/>
  <c r="O509" i="41"/>
  <c r="Q508" i="41"/>
  <c r="P508" i="41"/>
  <c r="Q507" i="41"/>
  <c r="P507" i="41"/>
  <c r="O507" i="41"/>
  <c r="Q506" i="41"/>
  <c r="O506" i="41"/>
  <c r="Q501" i="41"/>
  <c r="P501" i="41"/>
  <c r="Q499" i="41"/>
  <c r="P499" i="41"/>
  <c r="O499" i="41"/>
  <c r="Q498" i="41"/>
  <c r="P498" i="41"/>
  <c r="O498" i="41"/>
  <c r="Q497" i="41"/>
  <c r="P497" i="41"/>
  <c r="Q496" i="41"/>
  <c r="P496" i="41"/>
  <c r="V495" i="41"/>
  <c r="Q495" i="41"/>
  <c r="P495" i="41"/>
  <c r="Q493" i="41"/>
  <c r="P493" i="41"/>
  <c r="O493" i="41"/>
  <c r="Q492" i="41"/>
  <c r="P492" i="41"/>
  <c r="Q491" i="41"/>
  <c r="P491" i="41"/>
  <c r="O491" i="41"/>
  <c r="Q490" i="41"/>
  <c r="P490" i="41"/>
  <c r="O490" i="41"/>
  <c r="Q489" i="41"/>
  <c r="P489" i="41"/>
  <c r="O489" i="41"/>
  <c r="Q487" i="41"/>
  <c r="Q486" i="41"/>
  <c r="Q484" i="41"/>
  <c r="P484" i="41"/>
  <c r="Q483" i="41"/>
  <c r="P483" i="41"/>
  <c r="O483" i="41"/>
  <c r="K483" i="41"/>
  <c r="K734" i="41" s="1"/>
  <c r="Q482" i="41"/>
  <c r="P482" i="41"/>
  <c r="O482" i="41"/>
  <c r="Q481" i="41"/>
  <c r="P481" i="41"/>
  <c r="Q480" i="41"/>
  <c r="P480" i="41"/>
  <c r="Q479" i="41"/>
  <c r="P479" i="41"/>
  <c r="Q478" i="41"/>
  <c r="P478" i="41"/>
  <c r="Q477" i="41"/>
  <c r="P477" i="41"/>
  <c r="O477" i="41"/>
  <c r="Q472" i="41"/>
  <c r="P472" i="41"/>
  <c r="O472" i="41"/>
  <c r="Q470" i="41"/>
  <c r="P470" i="41"/>
  <c r="O470" i="41"/>
  <c r="Q469" i="41"/>
  <c r="P469" i="41"/>
  <c r="O469" i="41"/>
  <c r="Q468" i="41"/>
  <c r="P468" i="41"/>
  <c r="O468" i="41"/>
  <c r="Q467" i="41"/>
  <c r="P467" i="41"/>
  <c r="O467" i="41"/>
  <c r="V465" i="41"/>
  <c r="Q465" i="41"/>
  <c r="P465" i="41"/>
  <c r="P701" i="41" s="1"/>
  <c r="Q463" i="41"/>
  <c r="P463" i="41"/>
  <c r="O463" i="41"/>
  <c r="Q462" i="41"/>
  <c r="P462" i="41"/>
  <c r="O462" i="41"/>
  <c r="Q461" i="41"/>
  <c r="P461" i="41"/>
  <c r="O461" i="41"/>
  <c r="Q460" i="41"/>
  <c r="P460" i="41"/>
  <c r="O460" i="41"/>
  <c r="Q458" i="41"/>
  <c r="P458" i="41"/>
  <c r="O458" i="41"/>
  <c r="Q456" i="41"/>
  <c r="Q455" i="41"/>
  <c r="Q454" i="41"/>
  <c r="P454" i="41"/>
  <c r="Q453" i="41"/>
  <c r="P453" i="41"/>
  <c r="O453" i="41"/>
  <c r="Q452" i="41"/>
  <c r="P452" i="41"/>
  <c r="O452" i="41"/>
  <c r="Q451" i="41"/>
  <c r="P451" i="41"/>
  <c r="O451" i="41"/>
  <c r="Q450" i="41"/>
  <c r="P450" i="41"/>
  <c r="O450" i="41"/>
  <c r="Q449" i="41"/>
  <c r="P449" i="41"/>
  <c r="O449" i="41"/>
  <c r="Q448" i="41"/>
  <c r="P448" i="41"/>
  <c r="O448" i="41"/>
  <c r="Q447" i="41"/>
  <c r="P447" i="41"/>
  <c r="O447" i="41"/>
  <c r="Q441" i="41"/>
  <c r="P441" i="41"/>
  <c r="O441" i="41"/>
  <c r="Q439" i="41"/>
  <c r="P439" i="41"/>
  <c r="O439" i="41"/>
  <c r="Q438" i="41"/>
  <c r="P438" i="41"/>
  <c r="O438" i="41"/>
  <c r="Q437" i="41"/>
  <c r="P437" i="41"/>
  <c r="Q436" i="41"/>
  <c r="P436" i="41"/>
  <c r="Q435" i="41"/>
  <c r="Q434" i="41"/>
  <c r="P434" i="41"/>
  <c r="O434" i="41"/>
  <c r="Q433" i="41"/>
  <c r="P433" i="41"/>
  <c r="O433" i="41"/>
  <c r="Q432" i="41"/>
  <c r="P432" i="41"/>
  <c r="Q431" i="41"/>
  <c r="P431" i="41"/>
  <c r="O431" i="41"/>
  <c r="S429" i="41"/>
  <c r="R429" i="41"/>
  <c r="Q429" i="41"/>
  <c r="P429" i="41"/>
  <c r="O429" i="41"/>
  <c r="Q427" i="41"/>
  <c r="Q426" i="41"/>
  <c r="V425" i="41"/>
  <c r="Q425" i="41"/>
  <c r="P425" i="41"/>
  <c r="P728" i="41" s="1"/>
  <c r="Q424" i="41"/>
  <c r="P424" i="41"/>
  <c r="O424" i="41"/>
  <c r="Q423" i="41"/>
  <c r="P423" i="41"/>
  <c r="O423" i="41"/>
  <c r="Q422" i="41"/>
  <c r="P422" i="41"/>
  <c r="O422" i="41"/>
  <c r="Q421" i="41"/>
  <c r="P421" i="41"/>
  <c r="Q420" i="41"/>
  <c r="P420" i="41"/>
  <c r="Q419" i="41"/>
  <c r="P419" i="41"/>
  <c r="P725" i="41" s="1"/>
  <c r="Q417" i="41"/>
  <c r="P417" i="41"/>
  <c r="O417" i="41"/>
  <c r="Q411" i="41"/>
  <c r="P411" i="41"/>
  <c r="Q409" i="41"/>
  <c r="P409" i="41"/>
  <c r="Q408" i="41"/>
  <c r="P408" i="41"/>
  <c r="O408" i="41"/>
  <c r="Q407" i="41"/>
  <c r="P407" i="41"/>
  <c r="Q406" i="41"/>
  <c r="P406" i="41"/>
  <c r="O406" i="41"/>
  <c r="Q405" i="41"/>
  <c r="Q404" i="41"/>
  <c r="P404" i="41"/>
  <c r="O404" i="41"/>
  <c r="Q402" i="41"/>
  <c r="P402" i="41"/>
  <c r="Q401" i="41"/>
  <c r="P401" i="41"/>
  <c r="O401" i="41"/>
  <c r="Q400" i="41"/>
  <c r="Q398" i="41"/>
  <c r="P398" i="41"/>
  <c r="O398" i="41"/>
  <c r="Q396" i="41"/>
  <c r="Q395" i="41"/>
  <c r="Q394" i="41"/>
  <c r="Q393" i="41"/>
  <c r="P393" i="41"/>
  <c r="O393" i="41"/>
  <c r="Q392" i="41"/>
  <c r="P392" i="41"/>
  <c r="O392" i="41"/>
  <c r="Q391" i="41"/>
  <c r="P391" i="41"/>
  <c r="Q390" i="41"/>
  <c r="P390" i="41"/>
  <c r="Q389" i="41"/>
  <c r="P389" i="41"/>
  <c r="Q388" i="41"/>
  <c r="P388" i="41"/>
  <c r="Q387" i="41"/>
  <c r="P387" i="41"/>
  <c r="O387" i="41"/>
  <c r="V380" i="41"/>
  <c r="V410" i="41" s="1"/>
  <c r="V440" i="41" s="1"/>
  <c r="V471" i="41" s="1"/>
  <c r="V500" i="41" s="1"/>
  <c r="V530" i="41" s="1"/>
  <c r="V558" i="41" s="1"/>
  <c r="V587" i="41" s="1"/>
  <c r="V616" i="41" s="1"/>
  <c r="V646" i="41" s="1"/>
  <c r="V675" i="41" s="1"/>
  <c r="V709" i="41" s="1"/>
  <c r="Q379" i="41"/>
  <c r="P379" i="41"/>
  <c r="O379" i="41"/>
  <c r="Q378" i="41"/>
  <c r="P378" i="41"/>
  <c r="O378" i="41"/>
  <c r="Q377" i="41"/>
  <c r="P377" i="41"/>
  <c r="Q376" i="41"/>
  <c r="P376" i="41"/>
  <c r="O376" i="41"/>
  <c r="Q375" i="41"/>
  <c r="Q374" i="41"/>
  <c r="P374" i="41"/>
  <c r="O374" i="41"/>
  <c r="Q372" i="41"/>
  <c r="P372" i="41"/>
  <c r="Q371" i="41"/>
  <c r="P371" i="41"/>
  <c r="Q370" i="41"/>
  <c r="P370" i="41"/>
  <c r="O370" i="41"/>
  <c r="P369" i="41"/>
  <c r="O369" i="41"/>
  <c r="S368" i="41"/>
  <c r="Q368" i="41"/>
  <c r="P368" i="41"/>
  <c r="O368" i="41"/>
  <c r="Q366" i="41"/>
  <c r="Q365" i="41"/>
  <c r="Q363" i="41"/>
  <c r="P363" i="41"/>
  <c r="O363" i="41"/>
  <c r="Q362" i="41"/>
  <c r="P362" i="41"/>
  <c r="O362" i="41"/>
  <c r="Q361" i="41"/>
  <c r="P361" i="41"/>
  <c r="Q360" i="41"/>
  <c r="P360" i="41"/>
  <c r="Q359" i="41"/>
  <c r="P359" i="41"/>
  <c r="O359" i="41"/>
  <c r="Q358" i="41"/>
  <c r="P358" i="41"/>
  <c r="Q357" i="41"/>
  <c r="P357" i="41"/>
  <c r="P723" i="41" s="1"/>
  <c r="O357" i="41"/>
  <c r="V349" i="41"/>
  <c r="Q348" i="41"/>
  <c r="P348" i="41"/>
  <c r="O348" i="41"/>
  <c r="Q347" i="41"/>
  <c r="P347" i="41"/>
  <c r="O347" i="41"/>
  <c r="Q346" i="41"/>
  <c r="P346" i="41"/>
  <c r="O346" i="41"/>
  <c r="Q345" i="41"/>
  <c r="P345" i="41"/>
  <c r="Q344" i="41"/>
  <c r="Q343" i="41"/>
  <c r="P343" i="41"/>
  <c r="O343" i="41"/>
  <c r="Q342" i="41"/>
  <c r="P342" i="41"/>
  <c r="O342" i="41"/>
  <c r="Q341" i="41"/>
  <c r="P341" i="41"/>
  <c r="Q340" i="41"/>
  <c r="P340" i="41"/>
  <c r="O340" i="41"/>
  <c r="Q339" i="41"/>
  <c r="P339" i="41"/>
  <c r="O339" i="41"/>
  <c r="S338" i="41"/>
  <c r="Q338" i="41"/>
  <c r="P338" i="41"/>
  <c r="O338" i="41"/>
  <c r="Q336" i="41"/>
  <c r="Q335" i="41"/>
  <c r="Q332" i="41"/>
  <c r="P332" i="41"/>
  <c r="O332" i="41"/>
  <c r="Q331" i="41"/>
  <c r="P331" i="41"/>
  <c r="Q330" i="41"/>
  <c r="P330" i="41"/>
  <c r="O330" i="41"/>
  <c r="Q329" i="41"/>
  <c r="P329" i="41"/>
  <c r="O329" i="41"/>
  <c r="Q328" i="41"/>
  <c r="P328" i="41"/>
  <c r="O328" i="41"/>
  <c r="Q326" i="41"/>
  <c r="P326" i="41"/>
  <c r="O326" i="41"/>
  <c r="V318" i="41"/>
  <c r="O318" i="41"/>
  <c r="Q317" i="41"/>
  <c r="P317" i="41"/>
  <c r="O317" i="41"/>
  <c r="Q316" i="41"/>
  <c r="P316" i="41"/>
  <c r="O316" i="41"/>
  <c r="Q315" i="41"/>
  <c r="P315" i="41"/>
  <c r="Q314" i="41"/>
  <c r="P314" i="41"/>
  <c r="Q313" i="41"/>
  <c r="Q312" i="41"/>
  <c r="P312" i="41"/>
  <c r="O312" i="41"/>
  <c r="Q311" i="41"/>
  <c r="P311" i="41"/>
  <c r="O311" i="41"/>
  <c r="Q310" i="41"/>
  <c r="P310" i="41"/>
  <c r="Q309" i="41"/>
  <c r="P309" i="41"/>
  <c r="O309" i="41"/>
  <c r="Q308" i="41"/>
  <c r="P308" i="41"/>
  <c r="O308" i="41"/>
  <c r="R307" i="41"/>
  <c r="Q307" i="41"/>
  <c r="P307" i="41"/>
  <c r="O307" i="41"/>
  <c r="Q305" i="41"/>
  <c r="Q304" i="41"/>
  <c r="Q303" i="41"/>
  <c r="P303" i="41"/>
  <c r="O303" i="41"/>
  <c r="Q302" i="41"/>
  <c r="P302" i="41"/>
  <c r="O302" i="41"/>
  <c r="Q301" i="41"/>
  <c r="P301" i="41"/>
  <c r="O301" i="41"/>
  <c r="Q300" i="41"/>
  <c r="P300" i="41"/>
  <c r="Q299" i="41"/>
  <c r="P299" i="41"/>
  <c r="Q297" i="41"/>
  <c r="P297" i="41"/>
  <c r="O297" i="41"/>
  <c r="Q290" i="41"/>
  <c r="Q289" i="41"/>
  <c r="P289" i="41"/>
  <c r="O289" i="41"/>
  <c r="Q288" i="41"/>
  <c r="P288" i="41"/>
  <c r="O288" i="41"/>
  <c r="Q287" i="41"/>
  <c r="P287" i="41"/>
  <c r="Q286" i="41"/>
  <c r="P286" i="41"/>
  <c r="O286" i="41"/>
  <c r="Q285" i="41"/>
  <c r="Q284" i="41"/>
  <c r="P284" i="41"/>
  <c r="O284" i="41"/>
  <c r="Q283" i="41"/>
  <c r="P283" i="41"/>
  <c r="O283" i="41"/>
  <c r="Q282" i="41"/>
  <c r="P282" i="41"/>
  <c r="O282" i="41"/>
  <c r="Q281" i="41"/>
  <c r="P281" i="41"/>
  <c r="O281" i="41"/>
  <c r="Q280" i="41"/>
  <c r="P280" i="41"/>
  <c r="O280" i="41"/>
  <c r="S279" i="41"/>
  <c r="R279" i="41"/>
  <c r="Q279" i="41"/>
  <c r="P279" i="41"/>
  <c r="O279" i="41"/>
  <c r="Q277" i="41"/>
  <c r="Q276" i="41"/>
  <c r="Q275" i="41"/>
  <c r="P275" i="41"/>
  <c r="Q274" i="41"/>
  <c r="P274" i="41"/>
  <c r="Q273" i="41"/>
  <c r="P273" i="41"/>
  <c r="Q272" i="41"/>
  <c r="P272" i="41"/>
  <c r="O272" i="41"/>
  <c r="Q271" i="41"/>
  <c r="P271" i="41"/>
  <c r="Q268" i="41"/>
  <c r="P268" i="41"/>
  <c r="O268" i="41"/>
  <c r="Q261" i="41"/>
  <c r="Q260" i="41"/>
  <c r="P260" i="41"/>
  <c r="O260" i="41"/>
  <c r="Q259" i="41"/>
  <c r="P259" i="41"/>
  <c r="O259" i="41"/>
  <c r="Q258" i="41"/>
  <c r="P258" i="41"/>
  <c r="Q257" i="41"/>
  <c r="P257" i="41"/>
  <c r="Q256" i="41"/>
  <c r="Q255" i="41"/>
  <c r="P255" i="41"/>
  <c r="O255" i="41"/>
  <c r="Q254" i="41"/>
  <c r="P254" i="41"/>
  <c r="O254" i="41"/>
  <c r="Q253" i="41"/>
  <c r="P253" i="41"/>
  <c r="O253" i="41"/>
  <c r="Q252" i="41"/>
  <c r="P252" i="41"/>
  <c r="O252" i="41"/>
  <c r="Q251" i="41"/>
  <c r="P251" i="41"/>
  <c r="O251" i="41"/>
  <c r="Q250" i="41"/>
  <c r="P250" i="41"/>
  <c r="O250" i="41"/>
  <c r="Q248" i="41"/>
  <c r="Q247" i="41"/>
  <c r="Q246" i="41"/>
  <c r="P246" i="41"/>
  <c r="O246" i="41"/>
  <c r="Q245" i="41"/>
  <c r="P245" i="41"/>
  <c r="Q244" i="41"/>
  <c r="P244" i="41"/>
  <c r="Q243" i="41"/>
  <c r="P243" i="41"/>
  <c r="O243" i="41"/>
  <c r="Q241" i="41"/>
  <c r="P241" i="41"/>
  <c r="Q234" i="41"/>
  <c r="Q233" i="41"/>
  <c r="P233" i="41"/>
  <c r="O233" i="41"/>
  <c r="Q232" i="41"/>
  <c r="P232" i="41"/>
  <c r="O232" i="41"/>
  <c r="Q231" i="41"/>
  <c r="P231" i="41"/>
  <c r="O231" i="41"/>
  <c r="Q230" i="41"/>
  <c r="P230" i="41"/>
  <c r="O230" i="41"/>
  <c r="Q229" i="41"/>
  <c r="Q228" i="41"/>
  <c r="P228" i="41"/>
  <c r="H227" i="41"/>
  <c r="H698" i="41" s="1"/>
  <c r="Q226" i="41"/>
  <c r="P226" i="41"/>
  <c r="Q225" i="41"/>
  <c r="P225" i="41"/>
  <c r="Q224" i="41"/>
  <c r="P224" i="41"/>
  <c r="O224" i="41"/>
  <c r="H224" i="41"/>
  <c r="Q223" i="41"/>
  <c r="P223" i="41"/>
  <c r="O223" i="41"/>
  <c r="S222" i="41"/>
  <c r="Q222" i="41"/>
  <c r="P222" i="41"/>
  <c r="O222" i="41"/>
  <c r="Q220" i="41"/>
  <c r="Q219" i="41"/>
  <c r="Q218" i="41"/>
  <c r="P218" i="41"/>
  <c r="O218" i="41"/>
  <c r="Q217" i="41"/>
  <c r="P217" i="41"/>
  <c r="O217" i="41"/>
  <c r="O732" i="41" s="1"/>
  <c r="Q216" i="41"/>
  <c r="P216" i="41"/>
  <c r="O216" i="41"/>
  <c r="Q215" i="41"/>
  <c r="P215" i="41"/>
  <c r="Q213" i="41"/>
  <c r="P213" i="41"/>
  <c r="O213" i="41"/>
  <c r="Q208" i="41"/>
  <c r="P208" i="41"/>
  <c r="O208" i="41"/>
  <c r="Q205" i="41"/>
  <c r="Q204" i="41"/>
  <c r="P204" i="41"/>
  <c r="O204" i="41"/>
  <c r="Q203" i="41"/>
  <c r="P203" i="41"/>
  <c r="O203" i="41"/>
  <c r="V202" i="41"/>
  <c r="Q202" i="41"/>
  <c r="P202" i="41"/>
  <c r="Q201" i="41"/>
  <c r="P201" i="41"/>
  <c r="Q200" i="41"/>
  <c r="Q199" i="41"/>
  <c r="P199" i="41"/>
  <c r="O199" i="41"/>
  <c r="Q198" i="41"/>
  <c r="P198" i="41"/>
  <c r="O198" i="41"/>
  <c r="Q197" i="41"/>
  <c r="P197" i="41"/>
  <c r="O197" i="41"/>
  <c r="Q196" i="41"/>
  <c r="P196" i="41"/>
  <c r="O196" i="41"/>
  <c r="Q195" i="41"/>
  <c r="P195" i="41"/>
  <c r="O195" i="41"/>
  <c r="Q194" i="41"/>
  <c r="P194" i="41"/>
  <c r="O194" i="41"/>
  <c r="Q191" i="41"/>
  <c r="Q190" i="41"/>
  <c r="Q189" i="41"/>
  <c r="P189" i="41"/>
  <c r="O189" i="41"/>
  <c r="Q188" i="41"/>
  <c r="P188" i="41"/>
  <c r="Q187" i="41"/>
  <c r="P187" i="41"/>
  <c r="O187" i="41"/>
  <c r="Q186" i="41"/>
  <c r="P186" i="41"/>
  <c r="O186" i="41"/>
  <c r="Q184" i="41"/>
  <c r="P184" i="41"/>
  <c r="O184" i="41"/>
  <c r="O723" i="41" s="1"/>
  <c r="Q179" i="41"/>
  <c r="P179" i="41"/>
  <c r="Q177" i="41"/>
  <c r="Q176" i="41"/>
  <c r="P176" i="41"/>
  <c r="O176" i="41"/>
  <c r="Q175" i="41"/>
  <c r="P175" i="41"/>
  <c r="O175" i="41"/>
  <c r="Q174" i="41"/>
  <c r="P174" i="41"/>
  <c r="P705" i="41" s="1"/>
  <c r="Q173" i="41"/>
  <c r="P173" i="41"/>
  <c r="G173" i="41"/>
  <c r="Q172" i="41"/>
  <c r="Q171" i="41"/>
  <c r="P171" i="41"/>
  <c r="O171" i="41"/>
  <c r="Q169" i="41"/>
  <c r="P169" i="41"/>
  <c r="O169" i="41"/>
  <c r="Q168" i="41"/>
  <c r="P168" i="41"/>
  <c r="O168" i="41"/>
  <c r="Q167" i="41"/>
  <c r="P167" i="41"/>
  <c r="O167" i="41"/>
  <c r="Q166" i="41"/>
  <c r="P166" i="41"/>
  <c r="P694" i="41" s="1"/>
  <c r="O166" i="41"/>
  <c r="R165" i="41"/>
  <c r="Q165" i="41"/>
  <c r="P165" i="41"/>
  <c r="O165" i="41"/>
  <c r="V164" i="41"/>
  <c r="V193" i="41" s="1"/>
  <c r="V221" i="41" s="1"/>
  <c r="V249" i="41" s="1"/>
  <c r="V278" i="41" s="1"/>
  <c r="V306" i="41" s="1"/>
  <c r="V337" i="41" s="1"/>
  <c r="V367" i="41" s="1"/>
  <c r="V397" i="41" s="1"/>
  <c r="V428" i="41" s="1"/>
  <c r="V457" i="41" s="1"/>
  <c r="V488" i="41" s="1"/>
  <c r="V516" i="41" s="1"/>
  <c r="V546" i="41" s="1"/>
  <c r="V576" i="41" s="1"/>
  <c r="V604" i="41" s="1"/>
  <c r="V634" i="41" s="1"/>
  <c r="P164" i="41"/>
  <c r="O164" i="41"/>
  <c r="Q163" i="41"/>
  <c r="Q162" i="41"/>
  <c r="Q161" i="41"/>
  <c r="P161" i="41"/>
  <c r="O161" i="41"/>
  <c r="Q160" i="41"/>
  <c r="P160" i="41"/>
  <c r="Q159" i="41"/>
  <c r="P159" i="41"/>
  <c r="O159" i="41"/>
  <c r="V159" i="41" s="1"/>
  <c r="Q158" i="41"/>
  <c r="P158" i="41"/>
  <c r="O158" i="41"/>
  <c r="Q156" i="41"/>
  <c r="P156" i="41"/>
  <c r="O156" i="41"/>
  <c r="Q151" i="41"/>
  <c r="V150" i="41"/>
  <c r="V178" i="41" s="1"/>
  <c r="V207" i="41" s="1"/>
  <c r="V235" i="41" s="1"/>
  <c r="V262" i="41" s="1"/>
  <c r="V291" i="41" s="1"/>
  <c r="V320" i="41" s="1"/>
  <c r="V351" i="41" s="1"/>
  <c r="V381" i="41" s="1"/>
  <c r="V411" i="41" s="1"/>
  <c r="V441" i="41" s="1"/>
  <c r="V472" i="41" s="1"/>
  <c r="V501" i="41" s="1"/>
  <c r="V531" i="41" s="1"/>
  <c r="Q149" i="41"/>
  <c r="Q148" i="41"/>
  <c r="P148" i="41"/>
  <c r="O148" i="41"/>
  <c r="Q147" i="41"/>
  <c r="P147" i="41"/>
  <c r="O147" i="41"/>
  <c r="V146" i="41"/>
  <c r="V173" i="41" s="1"/>
  <c r="V201" i="41" s="1"/>
  <c r="V230" i="41" s="1"/>
  <c r="V257" i="41" s="1"/>
  <c r="V286" i="41" s="1"/>
  <c r="V314" i="41" s="1"/>
  <c r="V345" i="41" s="1"/>
  <c r="V376" i="41" s="1"/>
  <c r="Q146" i="41"/>
  <c r="P146" i="41"/>
  <c r="O146" i="41"/>
  <c r="Q145" i="41"/>
  <c r="H144" i="41"/>
  <c r="H700" i="41" s="1"/>
  <c r="Q143" i="41"/>
  <c r="P143" i="41"/>
  <c r="O143" i="41"/>
  <c r="Q142" i="41"/>
  <c r="P142" i="41"/>
  <c r="O142" i="41"/>
  <c r="Q141" i="41"/>
  <c r="P141" i="41"/>
  <c r="Q140" i="41"/>
  <c r="P140" i="41"/>
  <c r="O140" i="41"/>
  <c r="H140" i="41"/>
  <c r="H695" i="41" s="1"/>
  <c r="Q139" i="41"/>
  <c r="P139" i="41"/>
  <c r="O139" i="41"/>
  <c r="Q138" i="41"/>
  <c r="P138" i="41"/>
  <c r="O138" i="41"/>
  <c r="Q137" i="41"/>
  <c r="P137" i="41"/>
  <c r="P739" i="41" s="1"/>
  <c r="Q136" i="41"/>
  <c r="Q135" i="41"/>
  <c r="Q134" i="41"/>
  <c r="P134" i="41"/>
  <c r="O134" i="41"/>
  <c r="V133" i="41"/>
  <c r="V160" i="41" s="1"/>
  <c r="V188" i="41" s="1"/>
  <c r="Q133" i="41"/>
  <c r="P133" i="41"/>
  <c r="O133" i="41"/>
  <c r="Q132" i="41"/>
  <c r="P132" i="41"/>
  <c r="Q131" i="41"/>
  <c r="P131" i="41"/>
  <c r="O131" i="41"/>
  <c r="Q128" i="41"/>
  <c r="P128" i="41"/>
  <c r="O128" i="41"/>
  <c r="Q126" i="41"/>
  <c r="Q125" i="41"/>
  <c r="Q124" i="41"/>
  <c r="Q123" i="41"/>
  <c r="V122" i="41"/>
  <c r="Q121" i="41"/>
  <c r="Q120" i="41"/>
  <c r="P120" i="41"/>
  <c r="O120" i="41"/>
  <c r="Q119" i="41"/>
  <c r="P119" i="41"/>
  <c r="O119" i="41"/>
  <c r="V118" i="41"/>
  <c r="Q118" i="41"/>
  <c r="P118" i="41"/>
  <c r="O118" i="41"/>
  <c r="O704" i="41" s="1"/>
  <c r="Q117" i="41"/>
  <c r="Q116" i="41"/>
  <c r="P116" i="41"/>
  <c r="O116" i="41"/>
  <c r="Q114" i="41"/>
  <c r="P114" i="41"/>
  <c r="O114" i="41"/>
  <c r="Q113" i="41"/>
  <c r="P113" i="41"/>
  <c r="O113" i="41"/>
  <c r="Q112" i="41"/>
  <c r="P112" i="41"/>
  <c r="O112" i="41"/>
  <c r="Q111" i="41"/>
  <c r="P111" i="41"/>
  <c r="O111" i="41"/>
  <c r="Q110" i="41"/>
  <c r="P110" i="41"/>
  <c r="O110" i="41"/>
  <c r="V109" i="41"/>
  <c r="Q109" i="41"/>
  <c r="P109" i="41"/>
  <c r="O109" i="41"/>
  <c r="Q108" i="41"/>
  <c r="Q107" i="41"/>
  <c r="Q106" i="41"/>
  <c r="P106" i="41"/>
  <c r="O106" i="41"/>
  <c r="Q105" i="41"/>
  <c r="P105" i="41"/>
  <c r="Q104" i="41"/>
  <c r="P104" i="41"/>
  <c r="Q103" i="41"/>
  <c r="P103" i="41"/>
  <c r="Q101" i="41"/>
  <c r="P101" i="41"/>
  <c r="O101" i="41"/>
  <c r="Q99" i="41"/>
  <c r="Q98" i="41"/>
  <c r="Q97" i="41"/>
  <c r="Q96" i="41"/>
  <c r="V95" i="41"/>
  <c r="Q93" i="41"/>
  <c r="Q92" i="41"/>
  <c r="P92" i="41"/>
  <c r="O92" i="41"/>
  <c r="Q91" i="41"/>
  <c r="P91" i="41"/>
  <c r="O91" i="41"/>
  <c r="Q90" i="41"/>
  <c r="P90" i="41"/>
  <c r="Q89" i="41"/>
  <c r="Q88" i="41"/>
  <c r="P88" i="41"/>
  <c r="O88" i="41"/>
  <c r="Q87" i="41"/>
  <c r="P87" i="41"/>
  <c r="O87" i="41"/>
  <c r="Q86" i="41"/>
  <c r="P86" i="41"/>
  <c r="O86" i="41"/>
  <c r="Q85" i="41"/>
  <c r="P85" i="41"/>
  <c r="O85" i="41"/>
  <c r="Q84" i="41"/>
  <c r="P84" i="41"/>
  <c r="O84" i="41"/>
  <c r="Q83" i="41"/>
  <c r="P83" i="41"/>
  <c r="O83" i="41"/>
  <c r="Q82" i="41"/>
  <c r="Q81" i="41"/>
  <c r="Q80" i="41"/>
  <c r="Q79" i="41"/>
  <c r="P79" i="41"/>
  <c r="Q78" i="41"/>
  <c r="P78" i="41"/>
  <c r="Q77" i="41"/>
  <c r="P77" i="41"/>
  <c r="Q75" i="41"/>
  <c r="P75" i="41"/>
  <c r="Q73" i="41"/>
  <c r="Q72" i="41"/>
  <c r="Q71" i="41"/>
  <c r="Q70" i="41"/>
  <c r="V69" i="41"/>
  <c r="Q68" i="41"/>
  <c r="Q67" i="41"/>
  <c r="P67" i="41"/>
  <c r="Q66" i="41"/>
  <c r="P66" i="41"/>
  <c r="P706" i="41" s="1"/>
  <c r="Q65" i="41"/>
  <c r="P65" i="41"/>
  <c r="P704" i="41" s="1"/>
  <c r="Q64" i="41"/>
  <c r="Q63" i="41"/>
  <c r="Q62" i="41"/>
  <c r="P62" i="41"/>
  <c r="O62" i="41"/>
  <c r="Q61" i="41"/>
  <c r="P61" i="41"/>
  <c r="O61" i="41"/>
  <c r="Q60" i="41"/>
  <c r="P60" i="41"/>
  <c r="O60" i="41"/>
  <c r="Q59" i="41"/>
  <c r="O59" i="41"/>
  <c r="S58" i="41"/>
  <c r="Q58" i="41"/>
  <c r="P58" i="41"/>
  <c r="O58" i="41"/>
  <c r="Q57" i="41"/>
  <c r="Q56" i="41"/>
  <c r="Q55" i="41"/>
  <c r="Q54" i="41"/>
  <c r="P54" i="41"/>
  <c r="O53" i="41"/>
  <c r="V53" i="41" s="1"/>
  <c r="Q52" i="41"/>
  <c r="P52" i="41"/>
  <c r="V50" i="41"/>
  <c r="V76" i="41" s="1"/>
  <c r="V102" i="41" s="1"/>
  <c r="V130" i="41" s="1"/>
  <c r="V157" i="41" s="1"/>
  <c r="V185" i="41" s="1"/>
  <c r="V214" i="41" s="1"/>
  <c r="V242" i="41" s="1"/>
  <c r="V270" i="41" s="1"/>
  <c r="V298" i="41" s="1"/>
  <c r="V327" i="41" s="1"/>
  <c r="V358" i="41" s="1"/>
  <c r="V388" i="41" s="1"/>
  <c r="V419" i="41" s="1"/>
  <c r="V448" i="41" s="1"/>
  <c r="V478" i="41" s="1"/>
  <c r="V507" i="41" s="1"/>
  <c r="V537" i="41" s="1"/>
  <c r="V566" i="41" s="1"/>
  <c r="Q49" i="41"/>
  <c r="P49" i="41"/>
  <c r="O49" i="41"/>
  <c r="V49" i="41" s="1"/>
  <c r="V75" i="41" s="1"/>
  <c r="V101" i="41" s="1"/>
  <c r="V128" i="41" s="1"/>
  <c r="Q47" i="41"/>
  <c r="V46" i="41"/>
  <c r="V72" i="41" s="1"/>
  <c r="V98" i="41" s="1"/>
  <c r="V125" i="41" s="1"/>
  <c r="V153" i="41" s="1"/>
  <c r="V181" i="41" s="1"/>
  <c r="V210" i="41" s="1"/>
  <c r="V238" i="41" s="1"/>
  <c r="V265" i="41" s="1"/>
  <c r="V294" i="41" s="1"/>
  <c r="V323" i="41" s="1"/>
  <c r="V354" i="41" s="1"/>
  <c r="V384" i="41" s="1"/>
  <c r="V414" i="41" s="1"/>
  <c r="V444" i="41" s="1"/>
  <c r="V474" i="41" s="1"/>
  <c r="V503" i="41" s="1"/>
  <c r="V533" i="41" s="1"/>
  <c r="V562" i="41" s="1"/>
  <c r="V590" i="41" s="1"/>
  <c r="V620" i="41" s="1"/>
  <c r="V649" i="41" s="1"/>
  <c r="V678" i="41" s="1"/>
  <c r="V719" i="41" s="1"/>
  <c r="Q46" i="41"/>
  <c r="V45" i="41"/>
  <c r="V71" i="41" s="1"/>
  <c r="V97" i="41" s="1"/>
  <c r="V124" i="41" s="1"/>
  <c r="V152" i="41" s="1"/>
  <c r="V180" i="41" s="1"/>
  <c r="V209" i="41" s="1"/>
  <c r="V237" i="41" s="1"/>
  <c r="V264" i="41" s="1"/>
  <c r="V293" i="41" s="1"/>
  <c r="V322" i="41" s="1"/>
  <c r="V353" i="41" s="1"/>
  <c r="V383" i="41" s="1"/>
  <c r="V413" i="41" s="1"/>
  <c r="V443" i="41" s="1"/>
  <c r="V473" i="41" s="1"/>
  <c r="V502" i="41" s="1"/>
  <c r="V532" i="41" s="1"/>
  <c r="V561" i="41" s="1"/>
  <c r="V589" i="41" s="1"/>
  <c r="V619" i="41" s="1"/>
  <c r="V648" i="41" s="1"/>
  <c r="V677" i="41" s="1"/>
  <c r="V717" i="41" s="1"/>
  <c r="Q45" i="41"/>
  <c r="Q44" i="41"/>
  <c r="V43" i="41"/>
  <c r="Q42" i="41"/>
  <c r="Q41" i="41"/>
  <c r="P41" i="41"/>
  <c r="Q40" i="41"/>
  <c r="P40" i="41"/>
  <c r="O40" i="41"/>
  <c r="Q39" i="41"/>
  <c r="P39" i="41"/>
  <c r="Q38" i="41"/>
  <c r="Q37" i="41"/>
  <c r="P37" i="41"/>
  <c r="O37" i="41"/>
  <c r="Q36" i="41"/>
  <c r="P36" i="41"/>
  <c r="O36" i="41"/>
  <c r="Q35" i="41"/>
  <c r="P35" i="41"/>
  <c r="O35" i="41"/>
  <c r="Q34" i="41"/>
  <c r="P34" i="41"/>
  <c r="O34" i="41"/>
  <c r="Q33" i="41"/>
  <c r="P33" i="41"/>
  <c r="O33" i="41"/>
  <c r="Q32" i="41"/>
  <c r="P32" i="41"/>
  <c r="O32" i="41"/>
  <c r="Q31" i="41"/>
  <c r="Q30" i="41"/>
  <c r="Q29" i="41"/>
  <c r="V28" i="41"/>
  <c r="V54" i="41" s="1"/>
  <c r="V79" i="41" s="1"/>
  <c r="Q28" i="41"/>
  <c r="P28" i="41"/>
  <c r="O28" i="41"/>
  <c r="V27" i="41"/>
  <c r="Q27" i="41"/>
  <c r="P27" i="41"/>
  <c r="P727" i="41" s="1"/>
  <c r="O27" i="41"/>
  <c r="O727" i="41" s="1"/>
  <c r="Q26" i="41"/>
  <c r="P26" i="41"/>
  <c r="O26" i="41"/>
  <c r="V24" i="41"/>
  <c r="Q23" i="41"/>
  <c r="P23" i="41"/>
  <c r="O23" i="41"/>
  <c r="V23" i="41" s="1"/>
  <c r="V22" i="41"/>
  <c r="V48" i="41" s="1"/>
  <c r="V74" i="41" s="1"/>
  <c r="V100" i="41" s="1"/>
  <c r="V127" i="41" s="1"/>
  <c r="V155" i="41" s="1"/>
  <c r="V183" i="41" s="1"/>
  <c r="V212" i="41" s="1"/>
  <c r="V240" i="41" s="1"/>
  <c r="V267" i="41" s="1"/>
  <c r="V296" i="41" s="1"/>
  <c r="V325" i="41" s="1"/>
  <c r="V356" i="41" s="1"/>
  <c r="V386" i="41" s="1"/>
  <c r="V416" i="41" s="1"/>
  <c r="V446" i="41" s="1"/>
  <c r="V476" i="41" s="1"/>
  <c r="V505" i="41" s="1"/>
  <c r="V535" i="41" s="1"/>
  <c r="V564" i="41" s="1"/>
  <c r="V592" i="41" s="1"/>
  <c r="V622" i="41" s="1"/>
  <c r="V651" i="41" s="1"/>
  <c r="V680" i="41" s="1"/>
  <c r="V722" i="41" s="1"/>
  <c r="V21" i="41"/>
  <c r="V47" i="41" s="1"/>
  <c r="V73" i="41" s="1"/>
  <c r="V99" i="41" s="1"/>
  <c r="V126" i="41" s="1"/>
  <c r="V154" i="41" s="1"/>
  <c r="V182" i="41" s="1"/>
  <c r="V211" i="41" s="1"/>
  <c r="V239" i="41" s="1"/>
  <c r="V266" i="41" s="1"/>
  <c r="V295" i="41" s="1"/>
  <c r="V324" i="41" s="1"/>
  <c r="V355" i="41" s="1"/>
  <c r="V385" i="41" s="1"/>
  <c r="V415" i="41" s="1"/>
  <c r="V445" i="41" s="1"/>
  <c r="V475" i="41" s="1"/>
  <c r="V504" i="41" s="1"/>
  <c r="V534" i="41" s="1"/>
  <c r="V563" i="41" s="1"/>
  <c r="V591" i="41" s="1"/>
  <c r="V621" i="41" s="1"/>
  <c r="V650" i="41" s="1"/>
  <c r="V679" i="41" s="1"/>
  <c r="V721" i="41" s="1"/>
  <c r="Q21" i="41"/>
  <c r="V20" i="41"/>
  <c r="Q20" i="41"/>
  <c r="V19" i="41"/>
  <c r="Q19" i="41"/>
  <c r="Q18" i="41"/>
  <c r="V17" i="41"/>
  <c r="Q16" i="41"/>
  <c r="Q15" i="41"/>
  <c r="P15" i="41"/>
  <c r="O15" i="41"/>
  <c r="V14" i="41"/>
  <c r="V40" i="41" s="1"/>
  <c r="Q14" i="41"/>
  <c r="P14" i="41"/>
  <c r="O14" i="41"/>
  <c r="Q13" i="41"/>
  <c r="P13" i="41"/>
  <c r="Q12" i="41"/>
  <c r="V10" i="41"/>
  <c r="Q10" i="41"/>
  <c r="P10" i="41"/>
  <c r="O10" i="41"/>
  <c r="Q8" i="41"/>
  <c r="P8" i="41"/>
  <c r="O8" i="41"/>
  <c r="O697" i="41" s="1"/>
  <c r="Q7" i="41"/>
  <c r="P7" i="41"/>
  <c r="P696" i="41" s="1"/>
  <c r="O7" i="41"/>
  <c r="V7" i="41" s="1"/>
  <c r="Q6" i="41"/>
  <c r="P6" i="41"/>
  <c r="O6" i="41"/>
  <c r="V5" i="41"/>
  <c r="Q5" i="41"/>
  <c r="P5" i="41"/>
  <c r="O5" i="41"/>
  <c r="Q4" i="41"/>
  <c r="P4" i="41"/>
  <c r="O4" i="41"/>
  <c r="DO340" i="40"/>
  <c r="DN340" i="40"/>
  <c r="DM340" i="40"/>
  <c r="DL340" i="40"/>
  <c r="S635" i="41" s="1"/>
  <c r="DK340" i="40"/>
  <c r="DJ340" i="40"/>
  <c r="DI340" i="40"/>
  <c r="S605" i="41" s="1"/>
  <c r="DH340" i="40"/>
  <c r="R605" i="41" s="1"/>
  <c r="DG340" i="40"/>
  <c r="DF340" i="40"/>
  <c r="DD340" i="40"/>
  <c r="DC340" i="40"/>
  <c r="DA340" i="40"/>
  <c r="CZ340" i="40"/>
  <c r="S517" i="41" s="1"/>
  <c r="CY340" i="40"/>
  <c r="R517" i="41" s="1"/>
  <c r="CX340" i="40"/>
  <c r="CW340" i="40"/>
  <c r="CV340" i="40"/>
  <c r="CU340" i="40"/>
  <c r="CT340" i="40"/>
  <c r="S489" i="41" s="1"/>
  <c r="CS340" i="40"/>
  <c r="R489" i="41" s="1"/>
  <c r="CR340" i="40"/>
  <c r="CQ340" i="40"/>
  <c r="S458" i="41" s="1"/>
  <c r="CP340" i="40"/>
  <c r="R458" i="41" s="1"/>
  <c r="CO340" i="40"/>
  <c r="CN340" i="40"/>
  <c r="CM340" i="40"/>
  <c r="CL340" i="40"/>
  <c r="CJ340" i="40"/>
  <c r="R398" i="41" s="1"/>
  <c r="CI340" i="40"/>
  <c r="CH340" i="40"/>
  <c r="CG340" i="40"/>
  <c r="R368" i="41" s="1"/>
  <c r="CF340" i="40"/>
  <c r="CE340" i="40"/>
  <c r="CD340" i="40"/>
  <c r="R338" i="41" s="1"/>
  <c r="CC340" i="40"/>
  <c r="CB340" i="40"/>
  <c r="CA340" i="40"/>
  <c r="BZ340" i="40"/>
  <c r="BY340" i="40"/>
  <c r="S307" i="41" s="1"/>
  <c r="BX340" i="40"/>
  <c r="BW340" i="40"/>
  <c r="BV340" i="40"/>
  <c r="BU340" i="40"/>
  <c r="BT340" i="40"/>
  <c r="BS340" i="40"/>
  <c r="S250" i="41" s="1"/>
  <c r="BR340" i="40"/>
  <c r="R250" i="41" s="1"/>
  <c r="BQ340" i="40"/>
  <c r="BP340" i="40"/>
  <c r="BN340" i="40"/>
  <c r="BM340" i="40"/>
  <c r="S194" i="41" s="1"/>
  <c r="BL340" i="40"/>
  <c r="R194" i="41" s="1"/>
  <c r="BK340" i="40"/>
  <c r="BJ340" i="40"/>
  <c r="S165" i="41" s="1"/>
  <c r="BI340" i="40"/>
  <c r="BH340" i="40"/>
  <c r="BG340" i="40"/>
  <c r="BF340" i="40"/>
  <c r="BE340" i="40"/>
  <c r="BD340" i="40"/>
  <c r="S138" i="41" s="1"/>
  <c r="BC340" i="40"/>
  <c r="R138" i="41" s="1"/>
  <c r="BB340" i="40"/>
  <c r="BA340" i="40"/>
  <c r="S110" i="41" s="1"/>
  <c r="AZ340" i="40"/>
  <c r="R110" i="41" s="1"/>
  <c r="AY340" i="40"/>
  <c r="AX340" i="40"/>
  <c r="S83" i="41" s="1"/>
  <c r="AW340" i="40"/>
  <c r="R83" i="41" s="1"/>
  <c r="AV340" i="40"/>
  <c r="AU340" i="40"/>
  <c r="AS340" i="40"/>
  <c r="AP340" i="40"/>
  <c r="AO340" i="40"/>
  <c r="S4" i="41" s="1"/>
  <c r="AN340" i="40"/>
  <c r="R4" i="41" s="1"/>
  <c r="AM340" i="40"/>
  <c r="DB338" i="40"/>
  <c r="DE330" i="40"/>
  <c r="O598" i="41" s="1"/>
  <c r="CT326" i="40"/>
  <c r="P506" i="41" s="1"/>
  <c r="DO321" i="40"/>
  <c r="BP319" i="40"/>
  <c r="BO319" i="40"/>
  <c r="O228" i="41" s="1"/>
  <c r="AU319" i="40"/>
  <c r="P63" i="41" s="1"/>
  <c r="AT319" i="40"/>
  <c r="O63" i="41" s="1"/>
  <c r="AR319" i="40"/>
  <c r="AR340" i="40" s="1"/>
  <c r="S32" i="41" s="1"/>
  <c r="AQ319" i="40"/>
  <c r="CK318" i="40"/>
  <c r="CJ318" i="40"/>
  <c r="O402" i="41" s="1"/>
  <c r="BP318" i="40"/>
  <c r="BO318" i="40"/>
  <c r="O226" i="41" s="1"/>
  <c r="AU314" i="40"/>
  <c r="AT314" i="40"/>
  <c r="AT340" i="40" s="1"/>
  <c r="R58" i="41" s="1"/>
  <c r="CK313" i="40"/>
  <c r="CJ313" i="40"/>
  <c r="O400" i="41" s="1"/>
  <c r="AU312" i="40"/>
  <c r="P59" i="41" s="1"/>
  <c r="AT312" i="40"/>
  <c r="AR312" i="40"/>
  <c r="AQ312" i="40"/>
  <c r="AQ340" i="40" s="1"/>
  <c r="R32" i="41" s="1"/>
  <c r="DI311" i="40"/>
  <c r="P605" i="41" s="1"/>
  <c r="DH311" i="40"/>
  <c r="O605" i="41" s="1"/>
  <c r="BS311" i="40"/>
  <c r="BR311" i="40"/>
  <c r="DK306" i="40"/>
  <c r="DH306" i="40"/>
  <c r="CW306" i="40"/>
  <c r="CV306" i="40"/>
  <c r="CU306" i="40"/>
  <c r="CP306" i="40"/>
  <c r="CM306" i="40"/>
  <c r="CJ306" i="40"/>
  <c r="CG306" i="40"/>
  <c r="CB306" i="40"/>
  <c r="CA306" i="40"/>
  <c r="BZ306" i="40"/>
  <c r="BR306" i="40"/>
  <c r="BO306" i="40"/>
  <c r="BL306" i="40"/>
  <c r="BG306" i="40"/>
  <c r="BF306" i="40"/>
  <c r="BE306" i="40"/>
  <c r="AZ306" i="40"/>
  <c r="AW306" i="40"/>
  <c r="AT306" i="40"/>
  <c r="AQ306" i="40"/>
  <c r="AN306" i="40"/>
  <c r="AL306" i="40"/>
  <c r="AK306" i="40"/>
  <c r="AJ306" i="40"/>
  <c r="AI306" i="40"/>
  <c r="AH306" i="40"/>
  <c r="AG306" i="40"/>
  <c r="AF306" i="40"/>
  <c r="AE306" i="40"/>
  <c r="D306" i="40"/>
  <c r="C306" i="40"/>
  <c r="DO305" i="40"/>
  <c r="DL305" i="40"/>
  <c r="DI305" i="40"/>
  <c r="DF305" i="40"/>
  <c r="DC305" i="40"/>
  <c r="CZ305" i="40"/>
  <c r="CT305" i="40"/>
  <c r="CQ305" i="40"/>
  <c r="CN305" i="40"/>
  <c r="CK305" i="40"/>
  <c r="CH305" i="40"/>
  <c r="CE305" i="40"/>
  <c r="BY305" i="40"/>
  <c r="BV305" i="40"/>
  <c r="BS305" i="40"/>
  <c r="BP305" i="40"/>
  <c r="BM305" i="40"/>
  <c r="BJ305" i="40"/>
  <c r="BD305" i="40"/>
  <c r="BA305" i="40"/>
  <c r="AX305" i="40"/>
  <c r="AU305" i="40"/>
  <c r="AR305" i="40"/>
  <c r="AO305" i="40"/>
  <c r="DM304" i="40"/>
  <c r="DO304" i="40" s="1"/>
  <c r="DJ304" i="40"/>
  <c r="DL304" i="40" s="1"/>
  <c r="DG304" i="40"/>
  <c r="DI304" i="40" s="1"/>
  <c r="DD304" i="40"/>
  <c r="DF304" i="40" s="1"/>
  <c r="DA304" i="40"/>
  <c r="CZ304" i="40"/>
  <c r="CX304" i="40"/>
  <c r="DC304" i="40" s="1"/>
  <c r="CT304" i="40"/>
  <c r="CQ304" i="40"/>
  <c r="CN304" i="40"/>
  <c r="CK304" i="40"/>
  <c r="CH304" i="40"/>
  <c r="CE304" i="40"/>
  <c r="BY304" i="40"/>
  <c r="BV304" i="40"/>
  <c r="BS304" i="40"/>
  <c r="BP304" i="40"/>
  <c r="BM304" i="40"/>
  <c r="BJ304" i="40"/>
  <c r="BD304" i="40"/>
  <c r="BA304" i="40"/>
  <c r="AX304" i="40"/>
  <c r="AU304" i="40"/>
  <c r="AR304" i="40"/>
  <c r="AO304" i="40"/>
  <c r="DO303" i="40"/>
  <c r="DL303" i="40"/>
  <c r="DI303" i="40"/>
  <c r="DF303" i="40"/>
  <c r="DC303" i="40"/>
  <c r="CZ303" i="40"/>
  <c r="CT303" i="40"/>
  <c r="CQ303" i="40"/>
  <c r="CN303" i="40"/>
  <c r="CK303" i="40"/>
  <c r="CH303" i="40"/>
  <c r="CE303" i="40"/>
  <c r="BY303" i="40"/>
  <c r="BV303" i="40"/>
  <c r="BS303" i="40"/>
  <c r="BP303" i="40"/>
  <c r="BM303" i="40"/>
  <c r="BJ303" i="40"/>
  <c r="BD303" i="40"/>
  <c r="BA303" i="40"/>
  <c r="AX303" i="40"/>
  <c r="AU303" i="40"/>
  <c r="AR303" i="40"/>
  <c r="AO303" i="40"/>
  <c r="DO302" i="40"/>
  <c r="DL302" i="40"/>
  <c r="DI302" i="40"/>
  <c r="DF302" i="40"/>
  <c r="DC302" i="40"/>
  <c r="CZ302" i="40"/>
  <c r="CT302" i="40"/>
  <c r="CQ302" i="40"/>
  <c r="CN302" i="40"/>
  <c r="CK302" i="40"/>
  <c r="CH302" i="40"/>
  <c r="CE302" i="40"/>
  <c r="BY302" i="40"/>
  <c r="BV302" i="40"/>
  <c r="BS302" i="40"/>
  <c r="BP302" i="40"/>
  <c r="BM302" i="40"/>
  <c r="BJ302" i="40"/>
  <c r="BD302" i="40"/>
  <c r="BA302" i="40"/>
  <c r="AX302" i="40"/>
  <c r="AU302" i="40"/>
  <c r="AR302" i="40"/>
  <c r="AO302" i="40"/>
  <c r="DO301" i="40"/>
  <c r="DL301" i="40"/>
  <c r="DI301" i="40"/>
  <c r="DF301" i="40"/>
  <c r="DC301" i="40"/>
  <c r="CZ301" i="40"/>
  <c r="CT301" i="40"/>
  <c r="CQ301" i="40"/>
  <c r="CN301" i="40"/>
  <c r="CK301" i="40"/>
  <c r="CH301" i="40"/>
  <c r="DO300" i="40"/>
  <c r="DL300" i="40"/>
  <c r="DI300" i="40"/>
  <c r="DF300" i="40"/>
  <c r="DC300" i="40"/>
  <c r="CZ300" i="40"/>
  <c r="CT300" i="40"/>
  <c r="CQ300" i="40"/>
  <c r="CN300" i="40"/>
  <c r="CK300" i="40"/>
  <c r="CH300" i="40"/>
  <c r="CE300" i="40"/>
  <c r="BY300" i="40"/>
  <c r="BV300" i="40"/>
  <c r="BS300" i="40"/>
  <c r="BP300" i="40"/>
  <c r="BM300" i="40"/>
  <c r="BJ300" i="40"/>
  <c r="BD300" i="40"/>
  <c r="BA300" i="40"/>
  <c r="AX300" i="40"/>
  <c r="AU300" i="40"/>
  <c r="AR300" i="40"/>
  <c r="AO300" i="40"/>
  <c r="DO299" i="40"/>
  <c r="DL299" i="40"/>
  <c r="DI299" i="40"/>
  <c r="DF299" i="40"/>
  <c r="DC299" i="40"/>
  <c r="CZ299" i="40"/>
  <c r="CT299" i="40"/>
  <c r="CQ299" i="40"/>
  <c r="CN299" i="40"/>
  <c r="CK299" i="40"/>
  <c r="CH299" i="40"/>
  <c r="CE299" i="40"/>
  <c r="BY299" i="40"/>
  <c r="BV299" i="40"/>
  <c r="BS299" i="40"/>
  <c r="BP299" i="40"/>
  <c r="BM299" i="40"/>
  <c r="BJ299" i="40"/>
  <c r="BD299" i="40"/>
  <c r="BA299" i="40"/>
  <c r="AX299" i="40"/>
  <c r="AU299" i="40"/>
  <c r="AR299" i="40"/>
  <c r="AO299" i="40"/>
  <c r="DO298" i="40"/>
  <c r="DL298" i="40"/>
  <c r="DI298" i="40"/>
  <c r="DF298" i="40"/>
  <c r="DC298" i="40"/>
  <c r="CZ298" i="40"/>
  <c r="CT298" i="40"/>
  <c r="DO297" i="40"/>
  <c r="DL297" i="40"/>
  <c r="DI297" i="40"/>
  <c r="DF297" i="40"/>
  <c r="DC297" i="40"/>
  <c r="CZ297" i="40"/>
  <c r="CT297" i="40"/>
  <c r="DO296" i="40"/>
  <c r="DL296" i="40"/>
  <c r="DI296" i="40"/>
  <c r="DF296" i="40"/>
  <c r="DC296" i="40"/>
  <c r="CZ296" i="40"/>
  <c r="CT296" i="40"/>
  <c r="DO295" i="40"/>
  <c r="DL295" i="40"/>
  <c r="DI295" i="40"/>
  <c r="DF295" i="40"/>
  <c r="DC295" i="40"/>
  <c r="CZ295" i="40"/>
  <c r="CT295" i="40"/>
  <c r="DO294" i="40"/>
  <c r="DL294" i="40"/>
  <c r="DI294" i="40"/>
  <c r="DF294" i="40"/>
  <c r="DC294" i="40"/>
  <c r="DO293" i="40"/>
  <c r="DL293" i="40"/>
  <c r="DI293" i="40"/>
  <c r="DF293" i="40"/>
  <c r="DO292" i="40"/>
  <c r="DL292" i="40"/>
  <c r="DI292" i="40"/>
  <c r="DF292" i="40"/>
  <c r="DC292" i="40"/>
  <c r="CZ292" i="40"/>
  <c r="CT292" i="40"/>
  <c r="CQ292" i="40"/>
  <c r="CM292" i="40"/>
  <c r="CN292" i="40" s="1"/>
  <c r="CK292" i="40"/>
  <c r="CH292" i="40"/>
  <c r="CE292" i="40"/>
  <c r="BY292" i="40"/>
  <c r="DO291" i="40"/>
  <c r="DL291" i="40"/>
  <c r="DI291" i="40"/>
  <c r="DF291" i="40"/>
  <c r="DC291" i="40"/>
  <c r="CZ291" i="40"/>
  <c r="CT291" i="40"/>
  <c r="CQ291" i="40"/>
  <c r="CN291" i="40"/>
  <c r="CK291" i="40"/>
  <c r="CH291" i="40"/>
  <c r="CE291" i="40"/>
  <c r="BY291" i="40"/>
  <c r="BV291" i="40"/>
  <c r="BS291" i="40"/>
  <c r="DO290" i="40"/>
  <c r="DL290" i="40"/>
  <c r="DI290" i="40"/>
  <c r="DF290" i="40"/>
  <c r="DC290" i="40"/>
  <c r="CZ290" i="40"/>
  <c r="CT290" i="40"/>
  <c r="CQ290" i="40"/>
  <c r="CN290" i="40"/>
  <c r="CK290" i="40"/>
  <c r="CH290" i="40"/>
  <c r="CE290" i="40"/>
  <c r="BY290" i="40"/>
  <c r="DO289" i="40"/>
  <c r="DL289" i="40"/>
  <c r="DI289" i="40"/>
  <c r="DF289" i="40"/>
  <c r="DC289" i="40"/>
  <c r="CZ289" i="40"/>
  <c r="CT289" i="40"/>
  <c r="CQ289" i="40"/>
  <c r="CN289" i="40"/>
  <c r="CK289" i="40"/>
  <c r="CH289" i="40"/>
  <c r="CE289" i="40"/>
  <c r="BY289" i="40"/>
  <c r="DO288" i="40"/>
  <c r="DL288" i="40"/>
  <c r="DI288" i="40"/>
  <c r="DF288" i="40"/>
  <c r="DC288" i="40"/>
  <c r="CZ288" i="40"/>
  <c r="CT288" i="40"/>
  <c r="CS288" i="40"/>
  <c r="CS306" i="40" s="1"/>
  <c r="CQ288" i="40"/>
  <c r="CN288" i="40"/>
  <c r="CK288" i="40"/>
  <c r="CH288" i="40"/>
  <c r="CE288" i="40"/>
  <c r="DO287" i="40"/>
  <c r="DL287" i="40"/>
  <c r="DI287" i="40"/>
  <c r="DF287" i="40"/>
  <c r="DC287" i="40"/>
  <c r="CZ287" i="40"/>
  <c r="CT287" i="40"/>
  <c r="CQ287" i="40"/>
  <c r="CN287" i="40"/>
  <c r="CK287" i="40"/>
  <c r="CH287" i="40"/>
  <c r="CE287" i="40"/>
  <c r="BY287" i="40"/>
  <c r="DO286" i="40"/>
  <c r="DL286" i="40"/>
  <c r="DI286" i="40"/>
  <c r="DF286" i="40"/>
  <c r="DC286" i="40"/>
  <c r="CZ286" i="40"/>
  <c r="CT286" i="40"/>
  <c r="CQ286" i="40"/>
  <c r="CN286" i="40"/>
  <c r="CK286" i="40"/>
  <c r="CH286" i="40"/>
  <c r="CE286" i="40"/>
  <c r="DO285" i="40"/>
  <c r="DL285" i="40"/>
  <c r="DI285" i="40"/>
  <c r="DF285" i="40"/>
  <c r="DC285" i="40"/>
  <c r="CZ285" i="40"/>
  <c r="CT285" i="40"/>
  <c r="CQ285" i="40"/>
  <c r="CN285" i="40"/>
  <c r="CK285" i="40"/>
  <c r="CH285" i="40"/>
  <c r="CE285" i="40"/>
  <c r="BY285" i="40"/>
  <c r="DO284" i="40"/>
  <c r="DL284" i="40"/>
  <c r="DI284" i="40"/>
  <c r="DF284" i="40"/>
  <c r="DC284" i="40"/>
  <c r="CZ284" i="40"/>
  <c r="CT284" i="40"/>
  <c r="CQ284" i="40"/>
  <c r="CN284" i="40"/>
  <c r="CK284" i="40"/>
  <c r="CH284" i="40"/>
  <c r="CE284" i="40"/>
  <c r="DO283" i="40"/>
  <c r="DL283" i="40"/>
  <c r="DI283" i="40"/>
  <c r="DF283" i="40"/>
  <c r="DC283" i="40"/>
  <c r="CZ283" i="40"/>
  <c r="CT283" i="40"/>
  <c r="CQ283" i="40"/>
  <c r="CN283" i="40"/>
  <c r="CK283" i="40"/>
  <c r="CH283" i="40"/>
  <c r="CE283" i="40"/>
  <c r="BY283" i="40"/>
  <c r="DO282" i="40"/>
  <c r="DL282" i="40"/>
  <c r="DI282" i="40"/>
  <c r="DF282" i="40"/>
  <c r="DC282" i="40"/>
  <c r="CZ282" i="40"/>
  <c r="CT282" i="40"/>
  <c r="CQ282" i="40"/>
  <c r="CN282" i="40"/>
  <c r="CK282" i="40"/>
  <c r="DO281" i="40"/>
  <c r="DL281" i="40"/>
  <c r="DI281" i="40"/>
  <c r="DF281" i="40"/>
  <c r="DC281" i="40"/>
  <c r="CZ281" i="40"/>
  <c r="CT281" i="40"/>
  <c r="CQ281" i="40"/>
  <c r="CN281" i="40"/>
  <c r="CK281" i="40"/>
  <c r="CH281" i="40"/>
  <c r="CE281" i="40"/>
  <c r="DO280" i="40"/>
  <c r="DL280" i="40"/>
  <c r="DI280" i="40"/>
  <c r="DF280" i="40"/>
  <c r="DC280" i="40"/>
  <c r="CZ280" i="40"/>
  <c r="CT280" i="40"/>
  <c r="CQ280" i="40"/>
  <c r="CN280" i="40"/>
  <c r="CK280" i="40"/>
  <c r="DO279" i="40"/>
  <c r="DL279" i="40"/>
  <c r="DI279" i="40"/>
  <c r="DF279" i="40"/>
  <c r="DC279" i="40"/>
  <c r="CZ279" i="40"/>
  <c r="CT279" i="40"/>
  <c r="CQ279" i="40"/>
  <c r="CN279" i="40"/>
  <c r="CK279" i="40"/>
  <c r="CH279" i="40"/>
  <c r="CE279" i="40"/>
  <c r="DO278" i="40"/>
  <c r="DL278" i="40"/>
  <c r="DI278" i="40"/>
  <c r="DF278" i="40"/>
  <c r="DC278" i="40"/>
  <c r="CZ278" i="40"/>
  <c r="CT278" i="40"/>
  <c r="CQ278" i="40"/>
  <c r="CN278" i="40"/>
  <c r="CK278" i="40"/>
  <c r="DO277" i="40"/>
  <c r="DL277" i="40"/>
  <c r="DI277" i="40"/>
  <c r="DF277" i="40"/>
  <c r="DC277" i="40"/>
  <c r="CZ277" i="40"/>
  <c r="CT277" i="40"/>
  <c r="CQ277" i="40"/>
  <c r="CN277" i="40"/>
  <c r="CK277" i="40"/>
  <c r="DO276" i="40"/>
  <c r="DL276" i="40"/>
  <c r="DI276" i="40"/>
  <c r="DF276" i="40"/>
  <c r="DC276" i="40"/>
  <c r="CZ276" i="40"/>
  <c r="CT276" i="40"/>
  <c r="CQ276" i="40"/>
  <c r="CN276" i="40"/>
  <c r="CK276" i="40"/>
  <c r="DO275" i="40"/>
  <c r="DL275" i="40"/>
  <c r="DI275" i="40"/>
  <c r="DF275" i="40"/>
  <c r="DC275" i="40"/>
  <c r="CZ275" i="40"/>
  <c r="CT275" i="40"/>
  <c r="CQ275" i="40"/>
  <c r="CN275" i="40"/>
  <c r="CK275" i="40"/>
  <c r="DO274" i="40"/>
  <c r="DL274" i="40"/>
  <c r="DI274" i="40"/>
  <c r="DF274" i="40"/>
  <c r="DC274" i="40"/>
  <c r="CZ274" i="40"/>
  <c r="CT274" i="40"/>
  <c r="CQ274" i="40"/>
  <c r="CN274" i="40"/>
  <c r="CK274" i="40"/>
  <c r="DO273" i="40"/>
  <c r="DL273" i="40"/>
  <c r="DI273" i="40"/>
  <c r="DF273" i="40"/>
  <c r="DE273" i="40"/>
  <c r="DC273" i="40"/>
  <c r="CZ273" i="40"/>
  <c r="CT273" i="40"/>
  <c r="CQ273" i="40"/>
  <c r="CN273" i="40"/>
  <c r="CK273" i="40"/>
  <c r="DO272" i="40"/>
  <c r="DL272" i="40"/>
  <c r="DI272" i="40"/>
  <c r="DF272" i="40"/>
  <c r="DC272" i="40"/>
  <c r="CZ272" i="40"/>
  <c r="CT272" i="40"/>
  <c r="CQ272" i="40"/>
  <c r="CN272" i="40"/>
  <c r="CK272" i="40"/>
  <c r="DO271" i="40"/>
  <c r="DL271" i="40"/>
  <c r="DI271" i="40"/>
  <c r="DF271" i="40"/>
  <c r="DC271" i="40"/>
  <c r="CZ271" i="40"/>
  <c r="CT271" i="40"/>
  <c r="CQ271" i="40"/>
  <c r="CN271" i="40"/>
  <c r="DO270" i="40"/>
  <c r="DL270" i="40"/>
  <c r="DI270" i="40"/>
  <c r="DF270" i="40"/>
  <c r="DC270" i="40"/>
  <c r="CZ270" i="40"/>
  <c r="CT270" i="40"/>
  <c r="CQ270" i="40"/>
  <c r="CN270" i="40"/>
  <c r="DO269" i="40"/>
  <c r="DL269" i="40"/>
  <c r="DI269" i="40"/>
  <c r="DF269" i="40"/>
  <c r="DC269" i="40"/>
  <c r="CZ269" i="40"/>
  <c r="CY269" i="40"/>
  <c r="CT269" i="40"/>
  <c r="CQ269" i="40"/>
  <c r="CN269" i="40"/>
  <c r="DO268" i="40"/>
  <c r="DL268" i="40"/>
  <c r="DI268" i="40"/>
  <c r="DF268" i="40"/>
  <c r="DC268" i="40"/>
  <c r="CZ268" i="40"/>
  <c r="CT268" i="40"/>
  <c r="CQ268" i="40"/>
  <c r="DO267" i="40"/>
  <c r="DL267" i="40"/>
  <c r="DI267" i="40"/>
  <c r="DF267" i="40"/>
  <c r="DC267" i="40"/>
  <c r="CZ267" i="40"/>
  <c r="CT267" i="40"/>
  <c r="CQ267" i="40"/>
  <c r="DO266" i="40"/>
  <c r="DL266" i="40"/>
  <c r="DI266" i="40"/>
  <c r="DF266" i="40"/>
  <c r="DC266" i="40"/>
  <c r="CZ266" i="40"/>
  <c r="CT266" i="40"/>
  <c r="CQ266" i="40"/>
  <c r="DO265" i="40"/>
  <c r="DL265" i="40"/>
  <c r="DI265" i="40"/>
  <c r="DF265" i="40"/>
  <c r="DC265" i="40"/>
  <c r="CZ265" i="40"/>
  <c r="CT265" i="40"/>
  <c r="DO256" i="40"/>
  <c r="DL256" i="40"/>
  <c r="DI256" i="40"/>
  <c r="DF256" i="40"/>
  <c r="DC256" i="40"/>
  <c r="CZ256" i="40"/>
  <c r="CT256" i="40"/>
  <c r="CQ256" i="40"/>
  <c r="CN256" i="40"/>
  <c r="CK256" i="40"/>
  <c r="CH256" i="40"/>
  <c r="CE256" i="40"/>
  <c r="BY256" i="40"/>
  <c r="BV256" i="40"/>
  <c r="BS256" i="40"/>
  <c r="BP256" i="40"/>
  <c r="BM256" i="40"/>
  <c r="BJ256" i="40"/>
  <c r="BD256" i="40"/>
  <c r="BA256" i="40"/>
  <c r="AX256" i="40"/>
  <c r="AU256" i="40"/>
  <c r="AR256" i="40"/>
  <c r="AO256" i="40"/>
  <c r="DO255" i="40"/>
  <c r="DL255" i="40"/>
  <c r="DI255" i="40"/>
  <c r="DF255" i="40"/>
  <c r="DC255" i="40"/>
  <c r="CZ255" i="40"/>
  <c r="CT255" i="40"/>
  <c r="CQ255" i="40"/>
  <c r="CN255" i="40"/>
  <c r="CK255" i="40"/>
  <c r="CH255" i="40"/>
  <c r="CE255" i="40"/>
  <c r="BY255" i="40"/>
  <c r="BV255" i="40"/>
  <c r="BS255" i="40"/>
  <c r="BP255" i="40"/>
  <c r="BM255" i="40"/>
  <c r="BJ255" i="40"/>
  <c r="BD255" i="40"/>
  <c r="BA255" i="40"/>
  <c r="AX255" i="40"/>
  <c r="AU255" i="40"/>
  <c r="AR255" i="40"/>
  <c r="AO255" i="40"/>
  <c r="DO254" i="40"/>
  <c r="DL254" i="40"/>
  <c r="DI254" i="40"/>
  <c r="DF254" i="40"/>
  <c r="DC254" i="40"/>
  <c r="CZ254" i="40"/>
  <c r="CT254" i="40"/>
  <c r="CQ254" i="40"/>
  <c r="CN254" i="40"/>
  <c r="CK254" i="40"/>
  <c r="CH254" i="40"/>
  <c r="CE254" i="40"/>
  <c r="BY254" i="40"/>
  <c r="BV254" i="40"/>
  <c r="BS254" i="40"/>
  <c r="BP254" i="40"/>
  <c r="BM254" i="40"/>
  <c r="BJ254" i="40"/>
  <c r="BD254" i="40"/>
  <c r="BA254" i="40"/>
  <c r="AX254" i="40"/>
  <c r="AU254" i="40"/>
  <c r="AR254" i="40"/>
  <c r="AO254" i="40"/>
  <c r="DO253" i="40"/>
  <c r="DL253" i="40"/>
  <c r="DI253" i="40"/>
  <c r="DF253" i="40"/>
  <c r="DC253" i="40"/>
  <c r="CZ253" i="40"/>
  <c r="CT253" i="40"/>
  <c r="CQ253" i="40"/>
  <c r="CN253" i="40"/>
  <c r="CK253" i="40"/>
  <c r="CH253" i="40"/>
  <c r="CE253" i="40"/>
  <c r="BY253" i="40"/>
  <c r="BV253" i="40"/>
  <c r="BS253" i="40"/>
  <c r="BP253" i="40"/>
  <c r="BM253" i="40"/>
  <c r="BJ253" i="40"/>
  <c r="BD253" i="40"/>
  <c r="BA253" i="40"/>
  <c r="AX253" i="40"/>
  <c r="AU253" i="40"/>
  <c r="AR253" i="40"/>
  <c r="AO253" i="40"/>
  <c r="DO252" i="40"/>
  <c r="DL252" i="40"/>
  <c r="DI252" i="40"/>
  <c r="DF252" i="40"/>
  <c r="DC252" i="40"/>
  <c r="CZ252" i="40"/>
  <c r="CT252" i="40"/>
  <c r="CQ252" i="40"/>
  <c r="CN252" i="40"/>
  <c r="CK252" i="40"/>
  <c r="CH252" i="40"/>
  <c r="CE252" i="40"/>
  <c r="BY252" i="40"/>
  <c r="BV252" i="40"/>
  <c r="BS252" i="40"/>
  <c r="BP252" i="40"/>
  <c r="BM252" i="40"/>
  <c r="BJ252" i="40"/>
  <c r="BD252" i="40"/>
  <c r="BA252" i="40"/>
  <c r="AX252" i="40"/>
  <c r="AU252" i="40"/>
  <c r="AR252" i="40"/>
  <c r="AO252" i="40"/>
  <c r="DO251" i="40"/>
  <c r="DL251" i="40"/>
  <c r="DI251" i="40"/>
  <c r="DF251" i="40"/>
  <c r="DC251" i="40"/>
  <c r="CZ251" i="40"/>
  <c r="CT251" i="40"/>
  <c r="CQ251" i="40"/>
  <c r="CN251" i="40"/>
  <c r="CK251" i="40"/>
  <c r="CH251" i="40"/>
  <c r="CE251" i="40"/>
  <c r="BY251" i="40"/>
  <c r="BV251" i="40"/>
  <c r="BS251" i="40"/>
  <c r="BP251" i="40"/>
  <c r="BM251" i="40"/>
  <c r="BJ251" i="40"/>
  <c r="BD251" i="40"/>
  <c r="BA251" i="40"/>
  <c r="AX251" i="40"/>
  <c r="AU251" i="40"/>
  <c r="AR251" i="40"/>
  <c r="AO251" i="40"/>
  <c r="DO250" i="40"/>
  <c r="DL250" i="40"/>
  <c r="DI250" i="40"/>
  <c r="DF250" i="40"/>
  <c r="DC250" i="40"/>
  <c r="CZ250" i="40"/>
  <c r="CT250" i="40"/>
  <c r="CQ250" i="40"/>
  <c r="CN250" i="40"/>
  <c r="CK250" i="40"/>
  <c r="CH250" i="40"/>
  <c r="CE250" i="40"/>
  <c r="BY250" i="40"/>
  <c r="BV250" i="40"/>
  <c r="BS250" i="40"/>
  <c r="BP250" i="40"/>
  <c r="BM250" i="40"/>
  <c r="BJ250" i="40"/>
  <c r="BD250" i="40"/>
  <c r="BA250" i="40"/>
  <c r="AX250" i="40"/>
  <c r="AU250" i="40"/>
  <c r="AR250" i="40"/>
  <c r="AO250" i="40"/>
  <c r="DO249" i="40"/>
  <c r="DL249" i="40"/>
  <c r="DI249" i="40"/>
  <c r="DF249" i="40"/>
  <c r="DC249" i="40"/>
  <c r="CZ249" i="40"/>
  <c r="CT249" i="40"/>
  <c r="CQ249" i="40"/>
  <c r="CN249" i="40"/>
  <c r="CK249" i="40"/>
  <c r="CH249" i="40"/>
  <c r="CE249" i="40"/>
  <c r="BY249" i="40"/>
  <c r="BV249" i="40"/>
  <c r="BS249" i="40"/>
  <c r="BP249" i="40"/>
  <c r="BM249" i="40"/>
  <c r="DO248" i="40"/>
  <c r="DL248" i="40"/>
  <c r="DI248" i="40"/>
  <c r="DF248" i="40"/>
  <c r="DC248" i="40"/>
  <c r="CZ248" i="40"/>
  <c r="CT248" i="40"/>
  <c r="CQ248" i="40"/>
  <c r="CN248" i="40"/>
  <c r="CK248" i="40"/>
  <c r="CH248" i="40"/>
  <c r="CE248" i="40"/>
  <c r="BY248" i="40"/>
  <c r="BV248" i="40"/>
  <c r="BS248" i="40"/>
  <c r="BP248" i="40"/>
  <c r="BM248" i="40"/>
  <c r="BJ248" i="40"/>
  <c r="DO247" i="40"/>
  <c r="DL247" i="40"/>
  <c r="DI247" i="40"/>
  <c r="DF247" i="40"/>
  <c r="DC247" i="40"/>
  <c r="CZ247" i="40"/>
  <c r="CT247" i="40"/>
  <c r="CQ247" i="40"/>
  <c r="DO246" i="40"/>
  <c r="DL246" i="40"/>
  <c r="DI246" i="40"/>
  <c r="DF246" i="40"/>
  <c r="DC246" i="40"/>
  <c r="CZ246" i="40"/>
  <c r="CT246" i="40"/>
  <c r="CQ246" i="40"/>
  <c r="CN246" i="40"/>
  <c r="CK246" i="40"/>
  <c r="CH246" i="40"/>
  <c r="CE246" i="40"/>
  <c r="BY246" i="40"/>
  <c r="BV246" i="40"/>
  <c r="BS246" i="40"/>
  <c r="BP246" i="40"/>
  <c r="BM246" i="40"/>
  <c r="DO245" i="40"/>
  <c r="DL245" i="40"/>
  <c r="DI245" i="40"/>
  <c r="DF245" i="40"/>
  <c r="DC245" i="40"/>
  <c r="CZ245" i="40"/>
  <c r="CT245" i="40"/>
  <c r="CQ245" i="40"/>
  <c r="DO243" i="40"/>
  <c r="DL243" i="40"/>
  <c r="DI243" i="40"/>
  <c r="DF243" i="40"/>
  <c r="DC243" i="40"/>
  <c r="CZ243" i="40"/>
  <c r="CT243" i="40"/>
  <c r="CQ243" i="40"/>
  <c r="DO241" i="40"/>
  <c r="DL241" i="40"/>
  <c r="DI241" i="40"/>
  <c r="DF241" i="40"/>
  <c r="DC241" i="40"/>
  <c r="CZ241" i="40"/>
  <c r="CT241" i="40"/>
  <c r="CQ241" i="40"/>
  <c r="DO220" i="40"/>
  <c r="DL220" i="40"/>
  <c r="DI220" i="40"/>
  <c r="DF220" i="40"/>
  <c r="DC220" i="40"/>
  <c r="CZ220" i="40"/>
  <c r="CT220" i="40"/>
  <c r="CQ220" i="40"/>
  <c r="CN220" i="40"/>
  <c r="CK220" i="40"/>
  <c r="CH220" i="40"/>
  <c r="CE220" i="40"/>
  <c r="BY220" i="40"/>
  <c r="BV220" i="40"/>
  <c r="BS220" i="40"/>
  <c r="BP220" i="40"/>
  <c r="BM220" i="40"/>
  <c r="BJ220" i="40"/>
  <c r="BD220" i="40"/>
  <c r="BA220" i="40"/>
  <c r="AX220" i="40"/>
  <c r="AU220" i="40"/>
  <c r="AR220" i="40"/>
  <c r="AO220" i="40"/>
  <c r="DO219" i="40"/>
  <c r="DL219" i="40"/>
  <c r="DI219" i="40"/>
  <c r="DF219" i="40"/>
  <c r="DC219" i="40"/>
  <c r="CZ219" i="40"/>
  <c r="CT219" i="40"/>
  <c r="CQ219" i="40"/>
  <c r="CN219" i="40"/>
  <c r="CK219" i="40"/>
  <c r="CH219" i="40"/>
  <c r="CE219" i="40"/>
  <c r="BY219" i="40"/>
  <c r="BV219" i="40"/>
  <c r="BS219" i="40"/>
  <c r="BP219" i="40"/>
  <c r="BM219" i="40"/>
  <c r="BJ219" i="40"/>
  <c r="BD219" i="40"/>
  <c r="BA219" i="40"/>
  <c r="AX219" i="40"/>
  <c r="AU219" i="40"/>
  <c r="AR219" i="40"/>
  <c r="AO219" i="40"/>
  <c r="DO218" i="40"/>
  <c r="DL218" i="40"/>
  <c r="DI218" i="40"/>
  <c r="DF218" i="40"/>
  <c r="DC218" i="40"/>
  <c r="CZ218" i="40"/>
  <c r="CT218" i="40"/>
  <c r="CQ218" i="40"/>
  <c r="CN218" i="40"/>
  <c r="CK218" i="40"/>
  <c r="CH218" i="40"/>
  <c r="CE218" i="40"/>
  <c r="BY218" i="40"/>
  <c r="BV218" i="40"/>
  <c r="BS218" i="40"/>
  <c r="BP218" i="40"/>
  <c r="BM218" i="40"/>
  <c r="BJ218" i="40"/>
  <c r="BD218" i="40"/>
  <c r="BA218" i="40"/>
  <c r="AX218" i="40"/>
  <c r="AU218" i="40"/>
  <c r="AR218" i="40"/>
  <c r="AO218" i="40"/>
  <c r="DO217" i="40"/>
  <c r="DL217" i="40"/>
  <c r="DI217" i="40"/>
  <c r="DF217" i="40"/>
  <c r="DC217" i="40"/>
  <c r="CZ217" i="40"/>
  <c r="CT217" i="40"/>
  <c r="CQ217" i="40"/>
  <c r="CN217" i="40"/>
  <c r="CK217" i="40"/>
  <c r="CH217" i="40"/>
  <c r="CE217" i="40"/>
  <c r="BY217" i="40"/>
  <c r="BU217" i="40"/>
  <c r="BV217" i="40" s="1"/>
  <c r="BS217" i="40"/>
  <c r="BP217" i="40"/>
  <c r="BM217" i="40"/>
  <c r="BJ217" i="40"/>
  <c r="BD217" i="40"/>
  <c r="BA217" i="40"/>
  <c r="AX217" i="40"/>
  <c r="AU217" i="40"/>
  <c r="AR217" i="40"/>
  <c r="AO217" i="40"/>
  <c r="DO216" i="40"/>
  <c r="DL216" i="40"/>
  <c r="DI216" i="40"/>
  <c r="DF216" i="40"/>
  <c r="DC216" i="40"/>
  <c r="CZ216" i="40"/>
  <c r="CT216" i="40"/>
  <c r="CQ216" i="40"/>
  <c r="CN216" i="40"/>
  <c r="CK216" i="40"/>
  <c r="CH216" i="40"/>
  <c r="CE216" i="40"/>
  <c r="BY216" i="40"/>
  <c r="BV216" i="40"/>
  <c r="BS216" i="40"/>
  <c r="BP216" i="40"/>
  <c r="BM216" i="40"/>
  <c r="BJ216" i="40"/>
  <c r="BD216" i="40"/>
  <c r="BA216" i="40"/>
  <c r="AX216" i="40"/>
  <c r="AU216" i="40"/>
  <c r="AR216" i="40"/>
  <c r="AO216" i="40"/>
  <c r="DO215" i="40"/>
  <c r="DL215" i="40"/>
  <c r="DI215" i="40"/>
  <c r="DF215" i="40"/>
  <c r="DC215" i="40"/>
  <c r="CZ215" i="40"/>
  <c r="CT215" i="40"/>
  <c r="CQ215" i="40"/>
  <c r="CN215" i="40"/>
  <c r="CK215" i="40"/>
  <c r="CH215" i="40"/>
  <c r="CE215" i="40"/>
  <c r="BY215" i="40"/>
  <c r="BV215" i="40"/>
  <c r="BS215" i="40"/>
  <c r="BP215" i="40"/>
  <c r="BM215" i="40"/>
  <c r="BJ215" i="40"/>
  <c r="BD215" i="40"/>
  <c r="BA215" i="40"/>
  <c r="AX215" i="40"/>
  <c r="AU215" i="40"/>
  <c r="AR215" i="40"/>
  <c r="AO215" i="40"/>
  <c r="DO214" i="40"/>
  <c r="DL214" i="40"/>
  <c r="DI214" i="40"/>
  <c r="DF214" i="40"/>
  <c r="DC214" i="40"/>
  <c r="CZ214" i="40"/>
  <c r="CT214" i="40"/>
  <c r="CQ214" i="40"/>
  <c r="CN214" i="40"/>
  <c r="CK214" i="40"/>
  <c r="CH214" i="40"/>
  <c r="CE214" i="40"/>
  <c r="BY214" i="40"/>
  <c r="BU214" i="40"/>
  <c r="BV214" i="40" s="1"/>
  <c r="BS214" i="40"/>
  <c r="BP214" i="40"/>
  <c r="BM214" i="40"/>
  <c r="BJ214" i="40"/>
  <c r="BD214" i="40"/>
  <c r="BA214" i="40"/>
  <c r="AX214" i="40"/>
  <c r="AU214" i="40"/>
  <c r="AR214" i="40"/>
  <c r="AO214" i="40"/>
  <c r="DO213" i="40"/>
  <c r="DL213" i="40"/>
  <c r="DI213" i="40"/>
  <c r="DF213" i="40"/>
  <c r="DC213" i="40"/>
  <c r="CZ213" i="40"/>
  <c r="CT213" i="40"/>
  <c r="CQ213" i="40"/>
  <c r="CN213" i="40"/>
  <c r="CK213" i="40"/>
  <c r="CH213" i="40"/>
  <c r="CE213" i="40"/>
  <c r="BY213" i="40"/>
  <c r="BV213" i="40"/>
  <c r="BS213" i="40"/>
  <c r="BP213" i="40"/>
  <c r="BM213" i="40"/>
  <c r="BJ213" i="40"/>
  <c r="BD213" i="40"/>
  <c r="BA213" i="40"/>
  <c r="AX213" i="40"/>
  <c r="AU213" i="40"/>
  <c r="AR213" i="40"/>
  <c r="AO213" i="40"/>
  <c r="DO212" i="40"/>
  <c r="DL212" i="40"/>
  <c r="DI212" i="40"/>
  <c r="DF212" i="40"/>
  <c r="DC212" i="40"/>
  <c r="CZ212" i="40"/>
  <c r="CT212" i="40"/>
  <c r="CQ212" i="40"/>
  <c r="CN212" i="40"/>
  <c r="CK212" i="40"/>
  <c r="CH212" i="40"/>
  <c r="CE212" i="40"/>
  <c r="BY212" i="40"/>
  <c r="BV212" i="40"/>
  <c r="BS212" i="40"/>
  <c r="BP212" i="40"/>
  <c r="BM212" i="40"/>
  <c r="BJ212" i="40"/>
  <c r="BD212" i="40"/>
  <c r="BA212" i="40"/>
  <c r="AX212" i="40"/>
  <c r="AU212" i="40"/>
  <c r="AR212" i="40"/>
  <c r="AO212" i="40"/>
  <c r="DO211" i="40"/>
  <c r="DL211" i="40"/>
  <c r="DI211" i="40"/>
  <c r="DF211" i="40"/>
  <c r="DC211" i="40"/>
  <c r="CZ211" i="40"/>
  <c r="CT211" i="40"/>
  <c r="CQ211" i="40"/>
  <c r="CN211" i="40"/>
  <c r="CK211" i="40"/>
  <c r="CH211" i="40"/>
  <c r="CE211" i="40"/>
  <c r="BY211" i="40"/>
  <c r="BV211" i="40"/>
  <c r="BS211" i="40"/>
  <c r="BP211" i="40"/>
  <c r="BM211" i="40"/>
  <c r="BJ211" i="40"/>
  <c r="BD211" i="40"/>
  <c r="BA211" i="40"/>
  <c r="AX211" i="40"/>
  <c r="AU211" i="40"/>
  <c r="AR211" i="40"/>
  <c r="AO211" i="40"/>
  <c r="DO210" i="40"/>
  <c r="DL210" i="40"/>
  <c r="DI210" i="40"/>
  <c r="DF210" i="40"/>
  <c r="DC210" i="40"/>
  <c r="CZ210" i="40"/>
  <c r="CT210" i="40"/>
  <c r="CQ210" i="40"/>
  <c r="CN210" i="40"/>
  <c r="CK210" i="40"/>
  <c r="CH210" i="40"/>
  <c r="CE210" i="40"/>
  <c r="BY210" i="40"/>
  <c r="BV210" i="40"/>
  <c r="BS210" i="40"/>
  <c r="BP210" i="40"/>
  <c r="BM210" i="40"/>
  <c r="BJ210" i="40"/>
  <c r="BD210" i="40"/>
  <c r="BA210" i="40"/>
  <c r="AX210" i="40"/>
  <c r="AU210" i="40"/>
  <c r="AR210" i="40"/>
  <c r="AO210" i="40"/>
  <c r="DO209" i="40"/>
  <c r="DL209" i="40"/>
  <c r="DI209" i="40"/>
  <c r="DF209" i="40"/>
  <c r="DC209" i="40"/>
  <c r="CZ209" i="40"/>
  <c r="CT209" i="40"/>
  <c r="CQ209" i="40"/>
  <c r="CN209" i="40"/>
  <c r="CK209" i="40"/>
  <c r="CH209" i="40"/>
  <c r="CE209" i="40"/>
  <c r="BY209" i="40"/>
  <c r="BV209" i="40"/>
  <c r="BS209" i="40"/>
  <c r="BP209" i="40"/>
  <c r="BM209" i="40"/>
  <c r="BJ209" i="40"/>
  <c r="BD209" i="40"/>
  <c r="BA209" i="40"/>
  <c r="AX209" i="40"/>
  <c r="AU209" i="40"/>
  <c r="AR209" i="40"/>
  <c r="AO209" i="40"/>
  <c r="DO208" i="40"/>
  <c r="DL208" i="40"/>
  <c r="DI208" i="40"/>
  <c r="DF208" i="40"/>
  <c r="DC208" i="40"/>
  <c r="CZ208" i="40"/>
  <c r="CT208" i="40"/>
  <c r="CQ208" i="40"/>
  <c r="CN208" i="40"/>
  <c r="CK208" i="40"/>
  <c r="CH208" i="40"/>
  <c r="CE208" i="40"/>
  <c r="BY208" i="40"/>
  <c r="BV208" i="40"/>
  <c r="BS208" i="40"/>
  <c r="BP208" i="40"/>
  <c r="BM208" i="40"/>
  <c r="BJ208" i="40"/>
  <c r="BD208" i="40"/>
  <c r="BA208" i="40"/>
  <c r="AX208" i="40"/>
  <c r="AU208" i="40"/>
  <c r="AR208" i="40"/>
  <c r="AO208" i="40"/>
  <c r="DO207" i="40"/>
  <c r="DL207" i="40"/>
  <c r="DI207" i="40"/>
  <c r="DF207" i="40"/>
  <c r="DC207" i="40"/>
  <c r="CZ207" i="40"/>
  <c r="CT207" i="40"/>
  <c r="CQ207" i="40"/>
  <c r="CN207" i="40"/>
  <c r="CK207" i="40"/>
  <c r="CH207" i="40"/>
  <c r="CE207" i="40"/>
  <c r="BY207" i="40"/>
  <c r="BV207" i="40"/>
  <c r="BS207" i="40"/>
  <c r="BP207" i="40"/>
  <c r="BM207" i="40"/>
  <c r="BJ207" i="40"/>
  <c r="BD207" i="40"/>
  <c r="BA207" i="40"/>
  <c r="AX207" i="40"/>
  <c r="AU207" i="40"/>
  <c r="AR207" i="40"/>
  <c r="AO207" i="40"/>
  <c r="DO206" i="40"/>
  <c r="DL206" i="40"/>
  <c r="DI206" i="40"/>
  <c r="DF206" i="40"/>
  <c r="DC206" i="40"/>
  <c r="CZ206" i="40"/>
  <c r="CT206" i="40"/>
  <c r="CQ206" i="40"/>
  <c r="CN206" i="40"/>
  <c r="CK206" i="40"/>
  <c r="CH206" i="40"/>
  <c r="CE206" i="40"/>
  <c r="BY206" i="40"/>
  <c r="BV206" i="40"/>
  <c r="BS206" i="40"/>
  <c r="BP206" i="40"/>
  <c r="BM206" i="40"/>
  <c r="BJ206" i="40"/>
  <c r="BD206" i="40"/>
  <c r="BA206" i="40"/>
  <c r="AX206" i="40"/>
  <c r="AU206" i="40"/>
  <c r="AR206" i="40"/>
  <c r="AO206" i="40"/>
  <c r="DO205" i="40"/>
  <c r="DL205" i="40"/>
  <c r="DI205" i="40"/>
  <c r="DF205" i="40"/>
  <c r="DC205" i="40"/>
  <c r="CZ205" i="40"/>
  <c r="CT205" i="40"/>
  <c r="CQ205" i="40"/>
  <c r="CN205" i="40"/>
  <c r="CK205" i="40"/>
  <c r="CH205" i="40"/>
  <c r="CE205" i="40"/>
  <c r="BY205" i="40"/>
  <c r="BV205" i="40"/>
  <c r="BS205" i="40"/>
  <c r="BP205" i="40"/>
  <c r="BM205" i="40"/>
  <c r="BJ205" i="40"/>
  <c r="BD205" i="40"/>
  <c r="BA205" i="40"/>
  <c r="AX205" i="40"/>
  <c r="AU205" i="40"/>
  <c r="AR205" i="40"/>
  <c r="AO205" i="40"/>
  <c r="DO204" i="40"/>
  <c r="DL204" i="40"/>
  <c r="DI204" i="40"/>
  <c r="DF204" i="40"/>
  <c r="DC204" i="40"/>
  <c r="CZ204" i="40"/>
  <c r="CT204" i="40"/>
  <c r="CQ204" i="40"/>
  <c r="CN204" i="40"/>
  <c r="CK204" i="40"/>
  <c r="CH204" i="40"/>
  <c r="CE204" i="40"/>
  <c r="BY204" i="40"/>
  <c r="BV204" i="40"/>
  <c r="BS204" i="40"/>
  <c r="BP204" i="40"/>
  <c r="BM204" i="40"/>
  <c r="BJ204" i="40"/>
  <c r="BD204" i="40"/>
  <c r="BA204" i="40"/>
  <c r="AX204" i="40"/>
  <c r="AU204" i="40"/>
  <c r="AR204" i="40"/>
  <c r="AO204" i="40"/>
  <c r="DO203" i="40"/>
  <c r="DL203" i="40"/>
  <c r="DI203" i="40"/>
  <c r="DF203" i="40"/>
  <c r="DC203" i="40"/>
  <c r="CZ203" i="40"/>
  <c r="CT203" i="40"/>
  <c r="CQ203" i="40"/>
  <c r="CN203" i="40"/>
  <c r="CK203" i="40"/>
  <c r="CH203" i="40"/>
  <c r="CE203" i="40"/>
  <c r="BY203" i="40"/>
  <c r="BV203" i="40"/>
  <c r="BS203" i="40"/>
  <c r="BP203" i="40"/>
  <c r="BM203" i="40"/>
  <c r="BJ203" i="40"/>
  <c r="BD203" i="40"/>
  <c r="BA203" i="40"/>
  <c r="AX203" i="40"/>
  <c r="AU203" i="40"/>
  <c r="AR203" i="40"/>
  <c r="AO203" i="40"/>
  <c r="DO202" i="40"/>
  <c r="DL202" i="40"/>
  <c r="DI202" i="40"/>
  <c r="DF202" i="40"/>
  <c r="DC202" i="40"/>
  <c r="CZ202" i="40"/>
  <c r="CT202" i="40"/>
  <c r="CQ202" i="40"/>
  <c r="CN202" i="40"/>
  <c r="CK202" i="40"/>
  <c r="CH202" i="40"/>
  <c r="CE202" i="40"/>
  <c r="BY202" i="40"/>
  <c r="BV202" i="40"/>
  <c r="BS202" i="40"/>
  <c r="BP202" i="40"/>
  <c r="BM202" i="40"/>
  <c r="BJ202" i="40"/>
  <c r="BD202" i="40"/>
  <c r="BA202" i="40"/>
  <c r="AX202" i="40"/>
  <c r="AU202" i="40"/>
  <c r="AR202" i="40"/>
  <c r="AO202" i="40"/>
  <c r="DO201" i="40"/>
  <c r="DL201" i="40"/>
  <c r="DI201" i="40"/>
  <c r="DF201" i="40"/>
  <c r="DC201" i="40"/>
  <c r="CZ201" i="40"/>
  <c r="CT201" i="40"/>
  <c r="CQ201" i="40"/>
  <c r="CN201" i="40"/>
  <c r="CK201" i="40"/>
  <c r="CH201" i="40"/>
  <c r="CE201" i="40"/>
  <c r="BY201" i="40"/>
  <c r="BV201" i="40"/>
  <c r="BS201" i="40"/>
  <c r="BP201" i="40"/>
  <c r="BM201" i="40"/>
  <c r="BJ201" i="40"/>
  <c r="BD201" i="40"/>
  <c r="BA201" i="40"/>
  <c r="AX201" i="40"/>
  <c r="AU201" i="40"/>
  <c r="AR201" i="40"/>
  <c r="AO201" i="40"/>
  <c r="DO200" i="40"/>
  <c r="DL200" i="40"/>
  <c r="DI200" i="40"/>
  <c r="DF200" i="40"/>
  <c r="DC200" i="40"/>
  <c r="CZ200" i="40"/>
  <c r="CT200" i="40"/>
  <c r="CQ200" i="40"/>
  <c r="CN200" i="40"/>
  <c r="CK200" i="40"/>
  <c r="CH200" i="40"/>
  <c r="CE200" i="40"/>
  <c r="BY200" i="40"/>
  <c r="BV200" i="40"/>
  <c r="BS200" i="40"/>
  <c r="BP200" i="40"/>
  <c r="BM200" i="40"/>
  <c r="BJ200" i="40"/>
  <c r="BC200" i="40"/>
  <c r="BD200" i="40" s="1"/>
  <c r="BA200" i="40"/>
  <c r="AX200" i="40"/>
  <c r="AU200" i="40"/>
  <c r="AR200" i="40"/>
  <c r="AO200" i="40"/>
  <c r="DO199" i="40"/>
  <c r="DL199" i="40"/>
  <c r="DI199" i="40"/>
  <c r="DF199" i="40"/>
  <c r="DC199" i="40"/>
  <c r="CZ199" i="40"/>
  <c r="CT199" i="40"/>
  <c r="CQ199" i="40"/>
  <c r="CN199" i="40"/>
  <c r="CK199" i="40"/>
  <c r="CH199" i="40"/>
  <c r="CE199" i="40"/>
  <c r="BY199" i="40"/>
  <c r="BV199" i="40"/>
  <c r="BS199" i="40"/>
  <c r="BP199" i="40"/>
  <c r="BM199" i="40"/>
  <c r="BJ199" i="40"/>
  <c r="BD199" i="40"/>
  <c r="BA199" i="40"/>
  <c r="AX199" i="40"/>
  <c r="AU199" i="40"/>
  <c r="AR199" i="40"/>
  <c r="AO199" i="40"/>
  <c r="DO198" i="40"/>
  <c r="DL198" i="40"/>
  <c r="DI198" i="40"/>
  <c r="DF198" i="40"/>
  <c r="DC198" i="40"/>
  <c r="CZ198" i="40"/>
  <c r="CT198" i="40"/>
  <c r="CQ198" i="40"/>
  <c r="CN198" i="40"/>
  <c r="CK198" i="40"/>
  <c r="CH198" i="40"/>
  <c r="CE198" i="40"/>
  <c r="BY198" i="40"/>
  <c r="BV198" i="40"/>
  <c r="BS198" i="40"/>
  <c r="BP198" i="40"/>
  <c r="BM198" i="40"/>
  <c r="BJ198" i="40"/>
  <c r="BD198" i="40"/>
  <c r="BA198" i="40"/>
  <c r="AX198" i="40"/>
  <c r="AU198" i="40"/>
  <c r="AR198" i="40"/>
  <c r="AO198" i="40"/>
  <c r="DO197" i="40"/>
  <c r="DL197" i="40"/>
  <c r="DI197" i="40"/>
  <c r="DF197" i="40"/>
  <c r="DC197" i="40"/>
  <c r="CZ197" i="40"/>
  <c r="CT197" i="40"/>
  <c r="CQ197" i="40"/>
  <c r="CN197" i="40"/>
  <c r="CK197" i="40"/>
  <c r="CH197" i="40"/>
  <c r="CE197" i="40"/>
  <c r="BY197" i="40"/>
  <c r="BV197" i="40"/>
  <c r="BS197" i="40"/>
  <c r="BP197" i="40"/>
  <c r="BM197" i="40"/>
  <c r="BJ197" i="40"/>
  <c r="BD197" i="40"/>
  <c r="BA197" i="40"/>
  <c r="AX197" i="40"/>
  <c r="AU197" i="40"/>
  <c r="AR197" i="40"/>
  <c r="AO197" i="40"/>
  <c r="DO196" i="40"/>
  <c r="DL196" i="40"/>
  <c r="DI196" i="40"/>
  <c r="DF196" i="40"/>
  <c r="DC196" i="40"/>
  <c r="CZ196" i="40"/>
  <c r="CT196" i="40"/>
  <c r="CQ196" i="40"/>
  <c r="CN196" i="40"/>
  <c r="CK196" i="40"/>
  <c r="CH196" i="40"/>
  <c r="CE196" i="40"/>
  <c r="BY196" i="40"/>
  <c r="BV196" i="40"/>
  <c r="BS196" i="40"/>
  <c r="BP196" i="40"/>
  <c r="BM196" i="40"/>
  <c r="BJ196" i="40"/>
  <c r="BD196" i="40"/>
  <c r="BA196" i="40"/>
  <c r="AX196" i="40"/>
  <c r="AU196" i="40"/>
  <c r="AR196" i="40"/>
  <c r="AO196" i="40"/>
  <c r="DO195" i="40"/>
  <c r="DL195" i="40"/>
  <c r="DI195" i="40"/>
  <c r="DF195" i="40"/>
  <c r="DC195" i="40"/>
  <c r="CZ195" i="40"/>
  <c r="CT195" i="40"/>
  <c r="CQ195" i="40"/>
  <c r="CN195" i="40"/>
  <c r="CK195" i="40"/>
  <c r="CH195" i="40"/>
  <c r="CE195" i="40"/>
  <c r="BY195" i="40"/>
  <c r="BV195" i="40"/>
  <c r="BS195" i="40"/>
  <c r="BP195" i="40"/>
  <c r="BM195" i="40"/>
  <c r="BJ195" i="40"/>
  <c r="BD195" i="40"/>
  <c r="BA195" i="40"/>
  <c r="AX195" i="40"/>
  <c r="AU195" i="40"/>
  <c r="AR195" i="40"/>
  <c r="AO195" i="40"/>
  <c r="DO194" i="40"/>
  <c r="DL194" i="40"/>
  <c r="DI194" i="40"/>
  <c r="DF194" i="40"/>
  <c r="DC194" i="40"/>
  <c r="CZ194" i="40"/>
  <c r="CT194" i="40"/>
  <c r="CQ194" i="40"/>
  <c r="CN194" i="40"/>
  <c r="CK194" i="40"/>
  <c r="CH194" i="40"/>
  <c r="CE194" i="40"/>
  <c r="BY194" i="40"/>
  <c r="BV194" i="40"/>
  <c r="BS194" i="40"/>
  <c r="BP194" i="40"/>
  <c r="BM194" i="40"/>
  <c r="BJ194" i="40"/>
  <c r="BD194" i="40"/>
  <c r="BA194" i="40"/>
  <c r="AX194" i="40"/>
  <c r="AU194" i="40"/>
  <c r="AR194" i="40"/>
  <c r="AO194" i="40"/>
  <c r="DO193" i="40"/>
  <c r="DL193" i="40"/>
  <c r="DI193" i="40"/>
  <c r="DF193" i="40"/>
  <c r="DC193" i="40"/>
  <c r="CZ193" i="40"/>
  <c r="CT193" i="40"/>
  <c r="CQ193" i="40"/>
  <c r="CN193" i="40"/>
  <c r="CK193" i="40"/>
  <c r="CH193" i="40"/>
  <c r="CE193" i="40"/>
  <c r="BY193" i="40"/>
  <c r="BV193" i="40"/>
  <c r="BS193" i="40"/>
  <c r="BP193" i="40"/>
  <c r="BM193" i="40"/>
  <c r="BJ193" i="40"/>
  <c r="BD193" i="40"/>
  <c r="BA193" i="40"/>
  <c r="AX193" i="40"/>
  <c r="AU193" i="40"/>
  <c r="AR193" i="40"/>
  <c r="AO193" i="40"/>
  <c r="DO192" i="40"/>
  <c r="DL192" i="40"/>
  <c r="DI192" i="40"/>
  <c r="DF192" i="40"/>
  <c r="DC192" i="40"/>
  <c r="CZ192" i="40"/>
  <c r="CT192" i="40"/>
  <c r="CQ192" i="40"/>
  <c r="CN192" i="40"/>
  <c r="CK192" i="40"/>
  <c r="CH192" i="40"/>
  <c r="CE192" i="40"/>
  <c r="BY192" i="40"/>
  <c r="BV192" i="40"/>
  <c r="BS192" i="40"/>
  <c r="BP192" i="40"/>
  <c r="BM192" i="40"/>
  <c r="BJ192" i="40"/>
  <c r="BD192" i="40"/>
  <c r="BA192" i="40"/>
  <c r="AX192" i="40"/>
  <c r="AU192" i="40"/>
  <c r="AR192" i="40"/>
  <c r="AO192" i="40"/>
  <c r="DO191" i="40"/>
  <c r="DL191" i="40"/>
  <c r="DI191" i="40"/>
  <c r="DF191" i="40"/>
  <c r="DC191" i="40"/>
  <c r="CZ191" i="40"/>
  <c r="CT191" i="40"/>
  <c r="CQ191" i="40"/>
  <c r="CN191" i="40"/>
  <c r="CK191" i="40"/>
  <c r="CH191" i="40"/>
  <c r="CE191" i="40"/>
  <c r="BY191" i="40"/>
  <c r="BV191" i="40"/>
  <c r="BS191" i="40"/>
  <c r="BP191" i="40"/>
  <c r="BM191" i="40"/>
  <c r="BJ191" i="40"/>
  <c r="BD191" i="40"/>
  <c r="BA191" i="40"/>
  <c r="AX191" i="40"/>
  <c r="AU191" i="40"/>
  <c r="AR191" i="40"/>
  <c r="AO191" i="40"/>
  <c r="DO190" i="40"/>
  <c r="DL190" i="40"/>
  <c r="DI190" i="40"/>
  <c r="DF190" i="40"/>
  <c r="DC190" i="40"/>
  <c r="CZ190" i="40"/>
  <c r="CT190" i="40"/>
  <c r="CQ190" i="40"/>
  <c r="CN190" i="40"/>
  <c r="CK190" i="40"/>
  <c r="CH190" i="40"/>
  <c r="CE190" i="40"/>
  <c r="BY190" i="40"/>
  <c r="BV190" i="40"/>
  <c r="BS190" i="40"/>
  <c r="BP190" i="40"/>
  <c r="BM190" i="40"/>
  <c r="BJ190" i="40"/>
  <c r="BD190" i="40"/>
  <c r="BA190" i="40"/>
  <c r="AX190" i="40"/>
  <c r="AU190" i="40"/>
  <c r="AR190" i="40"/>
  <c r="AO190" i="40"/>
  <c r="DO189" i="40"/>
  <c r="DL189" i="40"/>
  <c r="DI189" i="40"/>
  <c r="DF189" i="40"/>
  <c r="DC189" i="40"/>
  <c r="CZ189" i="40"/>
  <c r="CT189" i="40"/>
  <c r="CQ189" i="40"/>
  <c r="CN189" i="40"/>
  <c r="CK189" i="40"/>
  <c r="CH189" i="40"/>
  <c r="CE189" i="40"/>
  <c r="BY189" i="40"/>
  <c r="BV189" i="40"/>
  <c r="BS189" i="40"/>
  <c r="BP189" i="40"/>
  <c r="BM189" i="40"/>
  <c r="BJ189" i="40"/>
  <c r="BD189" i="40"/>
  <c r="BA189" i="40"/>
  <c r="AX189" i="40"/>
  <c r="AU189" i="40"/>
  <c r="AR189" i="40"/>
  <c r="AO189" i="40"/>
  <c r="DO188" i="40"/>
  <c r="DL188" i="40"/>
  <c r="DI188" i="40"/>
  <c r="DF188" i="40"/>
  <c r="DC188" i="40"/>
  <c r="CZ188" i="40"/>
  <c r="CT188" i="40"/>
  <c r="CQ188" i="40"/>
  <c r="CN188" i="40"/>
  <c r="CK188" i="40"/>
  <c r="CH188" i="40"/>
  <c r="CE188" i="40"/>
  <c r="BY188" i="40"/>
  <c r="BV188" i="40"/>
  <c r="BS188" i="40"/>
  <c r="BP188" i="40"/>
  <c r="BM188" i="40"/>
  <c r="BJ188" i="40"/>
  <c r="BD188" i="40"/>
  <c r="BA188" i="40"/>
  <c r="AX188" i="40"/>
  <c r="AU188" i="40"/>
  <c r="AR188" i="40"/>
  <c r="AO188" i="40"/>
  <c r="DO187" i="40"/>
  <c r="DL187" i="40"/>
  <c r="DI187" i="40"/>
  <c r="DF187" i="40"/>
  <c r="DC187" i="40"/>
  <c r="CZ187" i="40"/>
  <c r="CT187" i="40"/>
  <c r="CQ187" i="40"/>
  <c r="CN187" i="40"/>
  <c r="CK187" i="40"/>
  <c r="CH187" i="40"/>
  <c r="CE187" i="40"/>
  <c r="BY187" i="40"/>
  <c r="BV187" i="40"/>
  <c r="BS187" i="40"/>
  <c r="BP187" i="40"/>
  <c r="BM187" i="40"/>
  <c r="BJ187" i="40"/>
  <c r="BD187" i="40"/>
  <c r="BA187" i="40"/>
  <c r="AX187" i="40"/>
  <c r="AU187" i="40"/>
  <c r="AR187" i="40"/>
  <c r="AO187" i="40"/>
  <c r="DO186" i="40"/>
  <c r="DL186" i="40"/>
  <c r="DI186" i="40"/>
  <c r="DF186" i="40"/>
  <c r="DC186" i="40"/>
  <c r="CZ186" i="40"/>
  <c r="CT186" i="40"/>
  <c r="CQ186" i="40"/>
  <c r="CN186" i="40"/>
  <c r="CK186" i="40"/>
  <c r="CH186" i="40"/>
  <c r="CE186" i="40"/>
  <c r="BY186" i="40"/>
  <c r="BV186" i="40"/>
  <c r="BS186" i="40"/>
  <c r="BP186" i="40"/>
  <c r="BM186" i="40"/>
  <c r="BJ186" i="40"/>
  <c r="BD186" i="40"/>
  <c r="BA186" i="40"/>
  <c r="AX186" i="40"/>
  <c r="AU186" i="40"/>
  <c r="AR186" i="40"/>
  <c r="AO186" i="40"/>
  <c r="DO185" i="40"/>
  <c r="DL185" i="40"/>
  <c r="DI185" i="40"/>
  <c r="DF185" i="40"/>
  <c r="DC185" i="40"/>
  <c r="CZ185" i="40"/>
  <c r="CT185" i="40"/>
  <c r="CQ185" i="40"/>
  <c r="CN185" i="40"/>
  <c r="CK185" i="40"/>
  <c r="CH185" i="40"/>
  <c r="CE185" i="40"/>
  <c r="BY185" i="40"/>
  <c r="BV185" i="40"/>
  <c r="BS185" i="40"/>
  <c r="BP185" i="40"/>
  <c r="BM185" i="40"/>
  <c r="BJ185" i="40"/>
  <c r="BD185" i="40"/>
  <c r="BA185" i="40"/>
  <c r="AX185" i="40"/>
  <c r="AU185" i="40"/>
  <c r="AR185" i="40"/>
  <c r="AO185" i="40"/>
  <c r="DO184" i="40"/>
  <c r="DL184" i="40"/>
  <c r="DI184" i="40"/>
  <c r="DF184" i="40"/>
  <c r="DC184" i="40"/>
  <c r="CZ184" i="40"/>
  <c r="CT184" i="40"/>
  <c r="CQ184" i="40"/>
  <c r="CN184" i="40"/>
  <c r="CK184" i="40"/>
  <c r="CH184" i="40"/>
  <c r="CE184" i="40"/>
  <c r="BY184" i="40"/>
  <c r="BV184" i="40"/>
  <c r="BS184" i="40"/>
  <c r="BP184" i="40"/>
  <c r="BM184" i="40"/>
  <c r="BJ184" i="40"/>
  <c r="BD184" i="40"/>
  <c r="BA184" i="40"/>
  <c r="AX184" i="40"/>
  <c r="AU184" i="40"/>
  <c r="AR184" i="40"/>
  <c r="AO184" i="40"/>
  <c r="DO183" i="40"/>
  <c r="DL183" i="40"/>
  <c r="DI183" i="40"/>
  <c r="DF183" i="40"/>
  <c r="DC183" i="40"/>
  <c r="CZ183" i="40"/>
  <c r="CT183" i="40"/>
  <c r="CQ183" i="40"/>
  <c r="CN183" i="40"/>
  <c r="CK183" i="40"/>
  <c r="CH183" i="40"/>
  <c r="CE183" i="40"/>
  <c r="BY183" i="40"/>
  <c r="BV183" i="40"/>
  <c r="BS183" i="40"/>
  <c r="BP183" i="40"/>
  <c r="BM183" i="40"/>
  <c r="BJ183" i="40"/>
  <c r="BD183" i="40"/>
  <c r="BA183" i="40"/>
  <c r="AX183" i="40"/>
  <c r="AU183" i="40"/>
  <c r="AR183" i="40"/>
  <c r="AO183" i="40"/>
  <c r="DO182" i="40"/>
  <c r="DL182" i="40"/>
  <c r="DI182" i="40"/>
  <c r="DF182" i="40"/>
  <c r="DC182" i="40"/>
  <c r="CZ182" i="40"/>
  <c r="CT182" i="40"/>
  <c r="CQ182" i="40"/>
  <c r="CN182" i="40"/>
  <c r="CK182" i="40"/>
  <c r="CH182" i="40"/>
  <c r="CE182" i="40"/>
  <c r="BY182" i="40"/>
  <c r="BV182" i="40"/>
  <c r="BS182" i="40"/>
  <c r="BP182" i="40"/>
  <c r="BM182" i="40"/>
  <c r="BJ182" i="40"/>
  <c r="BD182" i="40"/>
  <c r="BA182" i="40"/>
  <c r="AX182" i="40"/>
  <c r="AU182" i="40"/>
  <c r="AR182" i="40"/>
  <c r="AO182" i="40"/>
  <c r="DO181" i="40"/>
  <c r="DL181" i="40"/>
  <c r="DI181" i="40"/>
  <c r="DF181" i="40"/>
  <c r="DC181" i="40"/>
  <c r="CZ181" i="40"/>
  <c r="CT181" i="40"/>
  <c r="CQ181" i="40"/>
  <c r="CN181" i="40"/>
  <c r="CK181" i="40"/>
  <c r="CH181" i="40"/>
  <c r="CE181" i="40"/>
  <c r="BY181" i="40"/>
  <c r="BV181" i="40"/>
  <c r="BS181" i="40"/>
  <c r="BP181" i="40"/>
  <c r="BM181" i="40"/>
  <c r="BJ181" i="40"/>
  <c r="BD181" i="40"/>
  <c r="BA181" i="40"/>
  <c r="AX181" i="40"/>
  <c r="AU181" i="40"/>
  <c r="AR181" i="40"/>
  <c r="AO181" i="40"/>
  <c r="DO180" i="40"/>
  <c r="DL180" i="40"/>
  <c r="DI180" i="40"/>
  <c r="DF180" i="40"/>
  <c r="DC180" i="40"/>
  <c r="CZ180" i="40"/>
  <c r="CT180" i="40"/>
  <c r="CQ180" i="40"/>
  <c r="CN180" i="40"/>
  <c r="CK180" i="40"/>
  <c r="CH180" i="40"/>
  <c r="CE180" i="40"/>
  <c r="BY180" i="40"/>
  <c r="BV180" i="40"/>
  <c r="BS180" i="40"/>
  <c r="BP180" i="40"/>
  <c r="BM180" i="40"/>
  <c r="BJ180" i="40"/>
  <c r="BD180" i="40"/>
  <c r="BA180" i="40"/>
  <c r="AX180" i="40"/>
  <c r="AU180" i="40"/>
  <c r="AR180" i="40"/>
  <c r="AO180" i="40"/>
  <c r="DO179" i="40"/>
  <c r="DL179" i="40"/>
  <c r="DI179" i="40"/>
  <c r="DF179" i="40"/>
  <c r="DC179" i="40"/>
  <c r="CZ179" i="40"/>
  <c r="CT179" i="40"/>
  <c r="CQ179" i="40"/>
  <c r="CN179" i="40"/>
  <c r="CK179" i="40"/>
  <c r="CH179" i="40"/>
  <c r="CE179" i="40"/>
  <c r="BY179" i="40"/>
  <c r="BV179" i="40"/>
  <c r="BS179" i="40"/>
  <c r="BP179" i="40"/>
  <c r="BM179" i="40"/>
  <c r="BJ179" i="40"/>
  <c r="BD179" i="40"/>
  <c r="BA179" i="40"/>
  <c r="AX179" i="40"/>
  <c r="AU179" i="40"/>
  <c r="AR179" i="40"/>
  <c r="AO179" i="40"/>
  <c r="DO178" i="40"/>
  <c r="DL178" i="40"/>
  <c r="DI178" i="40"/>
  <c r="DF178" i="40"/>
  <c r="DC178" i="40"/>
  <c r="CZ178" i="40"/>
  <c r="CT178" i="40"/>
  <c r="CQ178" i="40"/>
  <c r="CN178" i="40"/>
  <c r="CK178" i="40"/>
  <c r="CH178" i="40"/>
  <c r="CE178" i="40"/>
  <c r="BY178" i="40"/>
  <c r="BV178" i="40"/>
  <c r="BS178" i="40"/>
  <c r="BP178" i="40"/>
  <c r="BM178" i="40"/>
  <c r="BJ178" i="40"/>
  <c r="BD178" i="40"/>
  <c r="BA178" i="40"/>
  <c r="AX178" i="40"/>
  <c r="AU178" i="40"/>
  <c r="AR178" i="40"/>
  <c r="AO178" i="40"/>
  <c r="DO177" i="40"/>
  <c r="DL177" i="40"/>
  <c r="DI177" i="40"/>
  <c r="DF177" i="40"/>
  <c r="DC177" i="40"/>
  <c r="CZ177" i="40"/>
  <c r="CT177" i="40"/>
  <c r="CQ177" i="40"/>
  <c r="CN177" i="40"/>
  <c r="CK177" i="40"/>
  <c r="CH177" i="40"/>
  <c r="CE177" i="40"/>
  <c r="BY177" i="40"/>
  <c r="BV177" i="40"/>
  <c r="BS177" i="40"/>
  <c r="BP177" i="40"/>
  <c r="BM177" i="40"/>
  <c r="BJ177" i="40"/>
  <c r="BD177" i="40"/>
  <c r="BA177" i="40"/>
  <c r="AX177" i="40"/>
  <c r="AU177" i="40"/>
  <c r="AR177" i="40"/>
  <c r="AO177" i="40"/>
  <c r="DO176" i="40"/>
  <c r="DL176" i="40"/>
  <c r="DI176" i="40"/>
  <c r="DF176" i="40"/>
  <c r="DC176" i="40"/>
  <c r="CZ176" i="40"/>
  <c r="CT176" i="40"/>
  <c r="CQ176" i="40"/>
  <c r="CN176" i="40"/>
  <c r="CK176" i="40"/>
  <c r="CH176" i="40"/>
  <c r="CE176" i="40"/>
  <c r="BY176" i="40"/>
  <c r="BV176" i="40"/>
  <c r="BS176" i="40"/>
  <c r="BP176" i="40"/>
  <c r="BM176" i="40"/>
  <c r="BJ176" i="40"/>
  <c r="BD176" i="40"/>
  <c r="BA176" i="40"/>
  <c r="AX176" i="40"/>
  <c r="AU176" i="40"/>
  <c r="AR176" i="40"/>
  <c r="AO176" i="40"/>
  <c r="DO175" i="40"/>
  <c r="DL175" i="40"/>
  <c r="DI175" i="40"/>
  <c r="DF175" i="40"/>
  <c r="DC175" i="40"/>
  <c r="CZ175" i="40"/>
  <c r="CT175" i="40"/>
  <c r="CQ175" i="40"/>
  <c r="CN175" i="40"/>
  <c r="CK175" i="40"/>
  <c r="CH175" i="40"/>
  <c r="CE175" i="40"/>
  <c r="BY175" i="40"/>
  <c r="BV175" i="40"/>
  <c r="BS175" i="40"/>
  <c r="BP175" i="40"/>
  <c r="BM175" i="40"/>
  <c r="BJ175" i="40"/>
  <c r="BD175" i="40"/>
  <c r="BA175" i="40"/>
  <c r="AX175" i="40"/>
  <c r="AU175" i="40"/>
  <c r="AR175" i="40"/>
  <c r="AO175" i="40"/>
  <c r="DO174" i="40"/>
  <c r="DL174" i="40"/>
  <c r="DI174" i="40"/>
  <c r="DF174" i="40"/>
  <c r="DC174" i="40"/>
  <c r="CZ174" i="40"/>
  <c r="CT174" i="40"/>
  <c r="CQ174" i="40"/>
  <c r="CN174" i="40"/>
  <c r="CK174" i="40"/>
  <c r="CH174" i="40"/>
  <c r="CE174" i="40"/>
  <c r="BY174" i="40"/>
  <c r="BV174" i="40"/>
  <c r="BS174" i="40"/>
  <c r="BP174" i="40"/>
  <c r="BM174" i="40"/>
  <c r="BJ174" i="40"/>
  <c r="BD174" i="40"/>
  <c r="BA174" i="40"/>
  <c r="AX174" i="40"/>
  <c r="AU174" i="40"/>
  <c r="AR174" i="40"/>
  <c r="AO174" i="40"/>
  <c r="DO173" i="40"/>
  <c r="DL173" i="40"/>
  <c r="DI173" i="40"/>
  <c r="DF173" i="40"/>
  <c r="DC173" i="40"/>
  <c r="CZ173" i="40"/>
  <c r="CT173" i="40"/>
  <c r="CQ173" i="40"/>
  <c r="CN173" i="40"/>
  <c r="CK173" i="40"/>
  <c r="CH173" i="40"/>
  <c r="CE173" i="40"/>
  <c r="BY173" i="40"/>
  <c r="BV173" i="40"/>
  <c r="BS173" i="40"/>
  <c r="BP173" i="40"/>
  <c r="BM173" i="40"/>
  <c r="BJ173" i="40"/>
  <c r="BD173" i="40"/>
  <c r="BA173" i="40"/>
  <c r="AX173" i="40"/>
  <c r="AU173" i="40"/>
  <c r="AR173" i="40"/>
  <c r="AO173" i="40"/>
  <c r="DO172" i="40"/>
  <c r="DL172" i="40"/>
  <c r="DI172" i="40"/>
  <c r="DF172" i="40"/>
  <c r="DC172" i="40"/>
  <c r="CZ172" i="40"/>
  <c r="CT172" i="40"/>
  <c r="CQ172" i="40"/>
  <c r="CN172" i="40"/>
  <c r="CK172" i="40"/>
  <c r="CH172" i="40"/>
  <c r="CE172" i="40"/>
  <c r="BY172" i="40"/>
  <c r="BV172" i="40"/>
  <c r="BS172" i="40"/>
  <c r="BP172" i="40"/>
  <c r="BM172" i="40"/>
  <c r="BJ172" i="40"/>
  <c r="BD172" i="40"/>
  <c r="BA172" i="40"/>
  <c r="AX172" i="40"/>
  <c r="AU172" i="40"/>
  <c r="AR172" i="40"/>
  <c r="AO172" i="40"/>
  <c r="DO171" i="40"/>
  <c r="DL171" i="40"/>
  <c r="DI171" i="40"/>
  <c r="DF171" i="40"/>
  <c r="DC171" i="40"/>
  <c r="CZ171" i="40"/>
  <c r="CT171" i="40"/>
  <c r="CQ171" i="40"/>
  <c r="CN171" i="40"/>
  <c r="CK171" i="40"/>
  <c r="CH171" i="40"/>
  <c r="CE171" i="40"/>
  <c r="BY171" i="40"/>
  <c r="BV171" i="40"/>
  <c r="BS171" i="40"/>
  <c r="BP171" i="40"/>
  <c r="BM171" i="40"/>
  <c r="BJ171" i="40"/>
  <c r="BD171" i="40"/>
  <c r="BA171" i="40"/>
  <c r="AX171" i="40"/>
  <c r="AU171" i="40"/>
  <c r="AR171" i="40"/>
  <c r="AO171" i="40"/>
  <c r="DO170" i="40"/>
  <c r="DL170" i="40"/>
  <c r="DI170" i="40"/>
  <c r="DF170" i="40"/>
  <c r="DC170" i="40"/>
  <c r="CZ170" i="40"/>
  <c r="CT170" i="40"/>
  <c r="CQ170" i="40"/>
  <c r="CN170" i="40"/>
  <c r="CK170" i="40"/>
  <c r="CH170" i="40"/>
  <c r="CE170" i="40"/>
  <c r="BY170" i="40"/>
  <c r="BV170" i="40"/>
  <c r="BS170" i="40"/>
  <c r="BP170" i="40"/>
  <c r="BM170" i="40"/>
  <c r="BJ170" i="40"/>
  <c r="BD170" i="40"/>
  <c r="BA170" i="40"/>
  <c r="AX170" i="40"/>
  <c r="AU170" i="40"/>
  <c r="AR170" i="40"/>
  <c r="AO170" i="40"/>
  <c r="DO169" i="40"/>
  <c r="DL169" i="40"/>
  <c r="DI169" i="40"/>
  <c r="DF169" i="40"/>
  <c r="DC169" i="40"/>
  <c r="CZ169" i="40"/>
  <c r="CT169" i="40"/>
  <c r="CQ169" i="40"/>
  <c r="CN169" i="40"/>
  <c r="CK169" i="40"/>
  <c r="CH169" i="40"/>
  <c r="CE169" i="40"/>
  <c r="BY169" i="40"/>
  <c r="BV169" i="40"/>
  <c r="BS169" i="40"/>
  <c r="BP169" i="40"/>
  <c r="BM169" i="40"/>
  <c r="BJ169" i="40"/>
  <c r="BD169" i="40"/>
  <c r="BA169" i="40"/>
  <c r="AX169" i="40"/>
  <c r="AU169" i="40"/>
  <c r="AR169" i="40"/>
  <c r="AO169" i="40"/>
  <c r="DO168" i="40"/>
  <c r="DN168" i="40"/>
  <c r="DN306" i="40" s="1"/>
  <c r="DL168" i="40"/>
  <c r="DI168" i="40"/>
  <c r="DF168" i="40"/>
  <c r="DC168" i="40"/>
  <c r="CZ168" i="40"/>
  <c r="CT168" i="40"/>
  <c r="CQ168" i="40"/>
  <c r="CN168" i="40"/>
  <c r="CF168" i="40"/>
  <c r="CC168" i="40"/>
  <c r="CE168" i="40" s="1"/>
  <c r="BY168" i="40"/>
  <c r="BV168" i="40"/>
  <c r="BS168" i="40"/>
  <c r="BP168" i="40"/>
  <c r="BM168" i="40"/>
  <c r="BJ168" i="40"/>
  <c r="BD168" i="40"/>
  <c r="BA168" i="40"/>
  <c r="AX168" i="40"/>
  <c r="AU168" i="40"/>
  <c r="AR168" i="40"/>
  <c r="AO168" i="40"/>
  <c r="DO167" i="40"/>
  <c r="DL167" i="40"/>
  <c r="DI167" i="40"/>
  <c r="DF167" i="40"/>
  <c r="DC167" i="40"/>
  <c r="CZ167" i="40"/>
  <c r="CT167" i="40"/>
  <c r="CQ167" i="40"/>
  <c r="CN167" i="40"/>
  <c r="CK167" i="40"/>
  <c r="CH167" i="40"/>
  <c r="CE167" i="40"/>
  <c r="BY167" i="40"/>
  <c r="BV167" i="40"/>
  <c r="BS167" i="40"/>
  <c r="BP167" i="40"/>
  <c r="BM167" i="40"/>
  <c r="BJ167" i="40"/>
  <c r="BD167" i="40"/>
  <c r="BA167" i="40"/>
  <c r="AX167" i="40"/>
  <c r="AU167" i="40"/>
  <c r="AR167" i="40"/>
  <c r="AO167" i="40"/>
  <c r="DO166" i="40"/>
  <c r="DL166" i="40"/>
  <c r="DI166" i="40"/>
  <c r="DF166" i="40"/>
  <c r="DC166" i="40"/>
  <c r="CZ166" i="40"/>
  <c r="CT166" i="40"/>
  <c r="CQ166" i="40"/>
  <c r="CN166" i="40"/>
  <c r="CK166" i="40"/>
  <c r="CH166" i="40"/>
  <c r="CE166" i="40"/>
  <c r="BY166" i="40"/>
  <c r="BV166" i="40"/>
  <c r="BS166" i="40"/>
  <c r="BP166" i="40"/>
  <c r="BM166" i="40"/>
  <c r="BJ166" i="40"/>
  <c r="BD166" i="40"/>
  <c r="BA166" i="40"/>
  <c r="AX166" i="40"/>
  <c r="AU166" i="40"/>
  <c r="AR166" i="40"/>
  <c r="AO166" i="40"/>
  <c r="DO165" i="40"/>
  <c r="DL165" i="40"/>
  <c r="DI165" i="40"/>
  <c r="DF165" i="40"/>
  <c r="DC165" i="40"/>
  <c r="CZ165" i="40"/>
  <c r="CT165" i="40"/>
  <c r="CQ165" i="40"/>
  <c r="CN165" i="40"/>
  <c r="CK165" i="40"/>
  <c r="CH165" i="40"/>
  <c r="CE165" i="40"/>
  <c r="BY165" i="40"/>
  <c r="BV165" i="40"/>
  <c r="BS165" i="40"/>
  <c r="BP165" i="40"/>
  <c r="BM165" i="40"/>
  <c r="BJ165" i="40"/>
  <c r="BD165" i="40"/>
  <c r="BA165" i="40"/>
  <c r="AX165" i="40"/>
  <c r="AU165" i="40"/>
  <c r="AR165" i="40"/>
  <c r="AO165" i="40"/>
  <c r="DO164" i="40"/>
  <c r="DL164" i="40"/>
  <c r="DI164" i="40"/>
  <c r="DF164" i="40"/>
  <c r="DC164" i="40"/>
  <c r="CZ164" i="40"/>
  <c r="CT164" i="40"/>
  <c r="CQ164" i="40"/>
  <c r="CN164" i="40"/>
  <c r="CK164" i="40"/>
  <c r="CH164" i="40"/>
  <c r="CE164" i="40"/>
  <c r="BY164" i="40"/>
  <c r="BV164" i="40"/>
  <c r="BS164" i="40"/>
  <c r="BP164" i="40"/>
  <c r="BM164" i="40"/>
  <c r="BJ164" i="40"/>
  <c r="BD164" i="40"/>
  <c r="BA164" i="40"/>
  <c r="AX164" i="40"/>
  <c r="AU164" i="40"/>
  <c r="AR164" i="40"/>
  <c r="AO164" i="40"/>
  <c r="DO163" i="40"/>
  <c r="DL163" i="40"/>
  <c r="DI163" i="40"/>
  <c r="DF163" i="40"/>
  <c r="DC163" i="40"/>
  <c r="CZ163" i="40"/>
  <c r="CT163" i="40"/>
  <c r="CQ163" i="40"/>
  <c r="CN163" i="40"/>
  <c r="CK163" i="40"/>
  <c r="CH163" i="40"/>
  <c r="CE163" i="40"/>
  <c r="BY163" i="40"/>
  <c r="BV163" i="40"/>
  <c r="BS163" i="40"/>
  <c r="BP163" i="40"/>
  <c r="BM163" i="40"/>
  <c r="BJ163" i="40"/>
  <c r="BD163" i="40"/>
  <c r="BA163" i="40"/>
  <c r="AX163" i="40"/>
  <c r="AU163" i="40"/>
  <c r="AR163" i="40"/>
  <c r="AO163" i="40"/>
  <c r="DO162" i="40"/>
  <c r="DL162" i="40"/>
  <c r="DI162" i="40"/>
  <c r="DF162" i="40"/>
  <c r="DC162" i="40"/>
  <c r="CZ162" i="40"/>
  <c r="CT162" i="40"/>
  <c r="CQ162" i="40"/>
  <c r="CN162" i="40"/>
  <c r="CK162" i="40"/>
  <c r="CH162" i="40"/>
  <c r="CE162" i="40"/>
  <c r="BY162" i="40"/>
  <c r="BV162" i="40"/>
  <c r="BS162" i="40"/>
  <c r="BP162" i="40"/>
  <c r="BM162" i="40"/>
  <c r="BJ162" i="40"/>
  <c r="BD162" i="40"/>
  <c r="BA162" i="40"/>
  <c r="AX162" i="40"/>
  <c r="AU162" i="40"/>
  <c r="AR162" i="40"/>
  <c r="AO162" i="40"/>
  <c r="DO161" i="40"/>
  <c r="DL161" i="40"/>
  <c r="DI161" i="40"/>
  <c r="DF161" i="40"/>
  <c r="DC161" i="40"/>
  <c r="CZ161" i="40"/>
  <c r="CT161" i="40"/>
  <c r="CQ161" i="40"/>
  <c r="CN161" i="40"/>
  <c r="CK161" i="40"/>
  <c r="CH161" i="40"/>
  <c r="CE161" i="40"/>
  <c r="BY161" i="40"/>
  <c r="BV161" i="40"/>
  <c r="BS161" i="40"/>
  <c r="BP161" i="40"/>
  <c r="BM161" i="40"/>
  <c r="BJ161" i="40"/>
  <c r="BD161" i="40"/>
  <c r="BA161" i="40"/>
  <c r="AX161" i="40"/>
  <c r="AU161" i="40"/>
  <c r="AR161" i="40"/>
  <c r="AO161" i="40"/>
  <c r="DO160" i="40"/>
  <c r="DL160" i="40"/>
  <c r="DI160" i="40"/>
  <c r="DF160" i="40"/>
  <c r="DC160" i="40"/>
  <c r="CZ160" i="40"/>
  <c r="CT160" i="40"/>
  <c r="CQ160" i="40"/>
  <c r="CN160" i="40"/>
  <c r="CK160" i="40"/>
  <c r="CH160" i="40"/>
  <c r="CE160" i="40"/>
  <c r="BY160" i="40"/>
  <c r="BX160" i="40"/>
  <c r="BV160" i="40"/>
  <c r="BS160" i="40"/>
  <c r="BP160" i="40"/>
  <c r="BM160" i="40"/>
  <c r="BJ160" i="40"/>
  <c r="BD160" i="40"/>
  <c r="BA160" i="40"/>
  <c r="AX160" i="40"/>
  <c r="AU160" i="40"/>
  <c r="AR160" i="40"/>
  <c r="AO160" i="40"/>
  <c r="DO159" i="40"/>
  <c r="DL159" i="40"/>
  <c r="DI159" i="40"/>
  <c r="DF159" i="40"/>
  <c r="DC159" i="40"/>
  <c r="CZ159" i="40"/>
  <c r="CT159" i="40"/>
  <c r="CQ159" i="40"/>
  <c r="CN159" i="40"/>
  <c r="CK159" i="40"/>
  <c r="CH159" i="40"/>
  <c r="CE159" i="40"/>
  <c r="BY159" i="40"/>
  <c r="BV159" i="40"/>
  <c r="BS159" i="40"/>
  <c r="BP159" i="40"/>
  <c r="BM159" i="40"/>
  <c r="BJ159" i="40"/>
  <c r="BD159" i="40"/>
  <c r="BA159" i="40"/>
  <c r="AX159" i="40"/>
  <c r="AU159" i="40"/>
  <c r="AR159" i="40"/>
  <c r="AO159" i="40"/>
  <c r="DO158" i="40"/>
  <c r="DL158" i="40"/>
  <c r="DI158" i="40"/>
  <c r="DF158" i="40"/>
  <c r="DC158" i="40"/>
  <c r="CZ158" i="40"/>
  <c r="CT158" i="40"/>
  <c r="CQ158" i="40"/>
  <c r="CN158" i="40"/>
  <c r="CK158" i="40"/>
  <c r="CH158" i="40"/>
  <c r="CE158" i="40"/>
  <c r="BY158" i="40"/>
  <c r="BV158" i="40"/>
  <c r="BS158" i="40"/>
  <c r="BP158" i="40"/>
  <c r="BM158" i="40"/>
  <c r="BJ158" i="40"/>
  <c r="BD158" i="40"/>
  <c r="BA158" i="40"/>
  <c r="AX158" i="40"/>
  <c r="AU158" i="40"/>
  <c r="AR158" i="40"/>
  <c r="AO158" i="40"/>
  <c r="DO157" i="40"/>
  <c r="DL157" i="40"/>
  <c r="DI157" i="40"/>
  <c r="DF157" i="40"/>
  <c r="DC157" i="40"/>
  <c r="CZ157" i="40"/>
  <c r="CT157" i="40"/>
  <c r="CQ157" i="40"/>
  <c r="CN157" i="40"/>
  <c r="CK157" i="40"/>
  <c r="CH157" i="40"/>
  <c r="CE157" i="40"/>
  <c r="BY157" i="40"/>
  <c r="BV157" i="40"/>
  <c r="BS157" i="40"/>
  <c r="BP157" i="40"/>
  <c r="BM157" i="40"/>
  <c r="BJ157" i="40"/>
  <c r="BD157" i="40"/>
  <c r="BA157" i="40"/>
  <c r="AX157" i="40"/>
  <c r="AU157" i="40"/>
  <c r="AR157" i="40"/>
  <c r="AO157" i="40"/>
  <c r="DO156" i="40"/>
  <c r="DL156" i="40"/>
  <c r="DI156" i="40"/>
  <c r="DF156" i="40"/>
  <c r="DC156" i="40"/>
  <c r="CZ156" i="40"/>
  <c r="CT156" i="40"/>
  <c r="CQ156" i="40"/>
  <c r="CN156" i="40"/>
  <c r="CK156" i="40"/>
  <c r="CH156" i="40"/>
  <c r="CE156" i="40"/>
  <c r="BY156" i="40"/>
  <c r="BV156" i="40"/>
  <c r="BS156" i="40"/>
  <c r="BP156" i="40"/>
  <c r="BM156" i="40"/>
  <c r="BJ156" i="40"/>
  <c r="BD156" i="40"/>
  <c r="BA156" i="40"/>
  <c r="AX156" i="40"/>
  <c r="AU156" i="40"/>
  <c r="AR156" i="40"/>
  <c r="AO156" i="40"/>
  <c r="DO155" i="40"/>
  <c r="DL155" i="40"/>
  <c r="DI155" i="40"/>
  <c r="DF155" i="40"/>
  <c r="DC155" i="40"/>
  <c r="CZ155" i="40"/>
  <c r="CT155" i="40"/>
  <c r="CQ155" i="40"/>
  <c r="CN155" i="40"/>
  <c r="CK155" i="40"/>
  <c r="CH155" i="40"/>
  <c r="CE155" i="40"/>
  <c r="BY155" i="40"/>
  <c r="BV155" i="40"/>
  <c r="BS155" i="40"/>
  <c r="BP155" i="40"/>
  <c r="BM155" i="40"/>
  <c r="BJ155" i="40"/>
  <c r="BD155" i="40"/>
  <c r="BA155" i="40"/>
  <c r="AX155" i="40"/>
  <c r="AU155" i="40"/>
  <c r="AR155" i="40"/>
  <c r="AO155" i="40"/>
  <c r="DO154" i="40"/>
  <c r="DL154" i="40"/>
  <c r="DI154" i="40"/>
  <c r="DF154" i="40"/>
  <c r="DC154" i="40"/>
  <c r="CZ154" i="40"/>
  <c r="CT154" i="40"/>
  <c r="CQ154" i="40"/>
  <c r="CN154" i="40"/>
  <c r="CK154" i="40"/>
  <c r="CH154" i="40"/>
  <c r="CE154" i="40"/>
  <c r="BY154" i="40"/>
  <c r="BV154" i="40"/>
  <c r="BS154" i="40"/>
  <c r="BP154" i="40"/>
  <c r="BM154" i="40"/>
  <c r="BJ154" i="40"/>
  <c r="BD154" i="40"/>
  <c r="BA154" i="40"/>
  <c r="AX154" i="40"/>
  <c r="AU154" i="40"/>
  <c r="AR154" i="40"/>
  <c r="AO154" i="40"/>
  <c r="DO153" i="40"/>
  <c r="DL153" i="40"/>
  <c r="DI153" i="40"/>
  <c r="DF153" i="40"/>
  <c r="DC153" i="40"/>
  <c r="CZ153" i="40"/>
  <c r="CT153" i="40"/>
  <c r="CQ153" i="40"/>
  <c r="CN153" i="40"/>
  <c r="CK153" i="40"/>
  <c r="CH153" i="40"/>
  <c r="CE153" i="40"/>
  <c r="BY153" i="40"/>
  <c r="BV153" i="40"/>
  <c r="BS153" i="40"/>
  <c r="BP153" i="40"/>
  <c r="BM153" i="40"/>
  <c r="BJ153" i="40"/>
  <c r="BD153" i="40"/>
  <c r="BA153" i="40"/>
  <c r="AX153" i="40"/>
  <c r="AU153" i="40"/>
  <c r="AR153" i="40"/>
  <c r="AO153" i="40"/>
  <c r="DO152" i="40"/>
  <c r="DL152" i="40"/>
  <c r="DI152" i="40"/>
  <c r="DF152" i="40"/>
  <c r="DC152" i="40"/>
  <c r="CZ152" i="40"/>
  <c r="CT152" i="40"/>
  <c r="CQ152" i="40"/>
  <c r="CN152" i="40"/>
  <c r="CK152" i="40"/>
  <c r="CH152" i="40"/>
  <c r="CE152" i="40"/>
  <c r="BY152" i="40"/>
  <c r="BV152" i="40"/>
  <c r="BS152" i="40"/>
  <c r="BP152" i="40"/>
  <c r="BM152" i="40"/>
  <c r="BJ152" i="40"/>
  <c r="BD152" i="40"/>
  <c r="BA152" i="40"/>
  <c r="AX152" i="40"/>
  <c r="AU152" i="40"/>
  <c r="AR152" i="40"/>
  <c r="AO152" i="40"/>
  <c r="DO151" i="40"/>
  <c r="DL151" i="40"/>
  <c r="DI151" i="40"/>
  <c r="DF151" i="40"/>
  <c r="DC151" i="40"/>
  <c r="CZ151" i="40"/>
  <c r="CT151" i="40"/>
  <c r="CQ151" i="40"/>
  <c r="CN151" i="40"/>
  <c r="CK151" i="40"/>
  <c r="CH151" i="40"/>
  <c r="CE151" i="40"/>
  <c r="BY151" i="40"/>
  <c r="BV151" i="40"/>
  <c r="BS151" i="40"/>
  <c r="BP151" i="40"/>
  <c r="BM151" i="40"/>
  <c r="BJ151" i="40"/>
  <c r="BD151" i="40"/>
  <c r="BA151" i="40"/>
  <c r="AX151" i="40"/>
  <c r="AU151" i="40"/>
  <c r="AR151" i="40"/>
  <c r="AO151" i="40"/>
  <c r="DO150" i="40"/>
  <c r="DL150" i="40"/>
  <c r="DI150" i="40"/>
  <c r="DF150" i="40"/>
  <c r="DC150" i="40"/>
  <c r="CZ150" i="40"/>
  <c r="CT150" i="40"/>
  <c r="CQ150" i="40"/>
  <c r="CN150" i="40"/>
  <c r="CK150" i="40"/>
  <c r="CH150" i="40"/>
  <c r="CE150" i="40"/>
  <c r="BY150" i="40"/>
  <c r="BV150" i="40"/>
  <c r="BS150" i="40"/>
  <c r="BP150" i="40"/>
  <c r="BM150" i="40"/>
  <c r="BJ150" i="40"/>
  <c r="BD150" i="40"/>
  <c r="BA150" i="40"/>
  <c r="AX150" i="40"/>
  <c r="AU150" i="40"/>
  <c r="AR150" i="40"/>
  <c r="AO150" i="40"/>
  <c r="DO149" i="40"/>
  <c r="DL149" i="40"/>
  <c r="DI149" i="40"/>
  <c r="DF149" i="40"/>
  <c r="DC149" i="40"/>
  <c r="CZ149" i="40"/>
  <c r="CT149" i="40"/>
  <c r="CQ149" i="40"/>
  <c r="CN149" i="40"/>
  <c r="CK149" i="40"/>
  <c r="CH149" i="40"/>
  <c r="CE149" i="40"/>
  <c r="BY149" i="40"/>
  <c r="BV149" i="40"/>
  <c r="BS149" i="40"/>
  <c r="BP149" i="40"/>
  <c r="BM149" i="40"/>
  <c r="BJ149" i="40"/>
  <c r="BD149" i="40"/>
  <c r="BA149" i="40"/>
  <c r="AX149" i="40"/>
  <c r="AU149" i="40"/>
  <c r="AR149" i="40"/>
  <c r="AO149" i="40"/>
  <c r="DO148" i="40"/>
  <c r="DL148" i="40"/>
  <c r="DI148" i="40"/>
  <c r="DF148" i="40"/>
  <c r="DC148" i="40"/>
  <c r="CZ148" i="40"/>
  <c r="CT148" i="40"/>
  <c r="CQ148" i="40"/>
  <c r="CN148" i="40"/>
  <c r="CK148" i="40"/>
  <c r="CH148" i="40"/>
  <c r="CE148" i="40"/>
  <c r="BY148" i="40"/>
  <c r="BV148" i="40"/>
  <c r="BS148" i="40"/>
  <c r="BP148" i="40"/>
  <c r="BM148" i="40"/>
  <c r="BJ148" i="40"/>
  <c r="BD148" i="40"/>
  <c r="BA148" i="40"/>
  <c r="AX148" i="40"/>
  <c r="AU148" i="40"/>
  <c r="AR148" i="40"/>
  <c r="AO148" i="40"/>
  <c r="DO147" i="40"/>
  <c r="DL147" i="40"/>
  <c r="DI147" i="40"/>
  <c r="DF147" i="40"/>
  <c r="DC147" i="40"/>
  <c r="CZ147" i="40"/>
  <c r="CT147" i="40"/>
  <c r="CQ147" i="40"/>
  <c r="CN147" i="40"/>
  <c r="CK147" i="40"/>
  <c r="CH147" i="40"/>
  <c r="CE147" i="40"/>
  <c r="BY147" i="40"/>
  <c r="BV147" i="40"/>
  <c r="BS147" i="40"/>
  <c r="BP147" i="40"/>
  <c r="BM147" i="40"/>
  <c r="BJ147" i="40"/>
  <c r="BD147" i="40"/>
  <c r="BA147" i="40"/>
  <c r="AX147" i="40"/>
  <c r="AU147" i="40"/>
  <c r="AR147" i="40"/>
  <c r="AO147" i="40"/>
  <c r="DO146" i="40"/>
  <c r="DL146" i="40"/>
  <c r="DI146" i="40"/>
  <c r="DF146" i="40"/>
  <c r="DC146" i="40"/>
  <c r="CZ146" i="40"/>
  <c r="CT146" i="40"/>
  <c r="CQ146" i="40"/>
  <c r="CN146" i="40"/>
  <c r="CK146" i="40"/>
  <c r="CH146" i="40"/>
  <c r="CE146" i="40"/>
  <c r="BY146" i="40"/>
  <c r="BQ146" i="40"/>
  <c r="BV146" i="40" s="1"/>
  <c r="BN146" i="40"/>
  <c r="BS146" i="40" s="1"/>
  <c r="BK146" i="40"/>
  <c r="BM146" i="40" s="1"/>
  <c r="BH146" i="40"/>
  <c r="BJ146" i="40" s="1"/>
  <c r="BD146" i="40"/>
  <c r="BA146" i="40"/>
  <c r="AX146" i="40"/>
  <c r="AU146" i="40"/>
  <c r="AR146" i="40"/>
  <c r="AO146" i="40"/>
  <c r="DO145" i="40"/>
  <c r="DL145" i="40"/>
  <c r="DI145" i="40"/>
  <c r="DF145" i="40"/>
  <c r="DC145" i="40"/>
  <c r="CZ145" i="40"/>
  <c r="CT145" i="40"/>
  <c r="CQ145" i="40"/>
  <c r="CN145" i="40"/>
  <c r="CK145" i="40"/>
  <c r="CH145" i="40"/>
  <c r="CE145" i="40"/>
  <c r="BY145" i="40"/>
  <c r="BV145" i="40"/>
  <c r="BS145" i="40"/>
  <c r="BP145" i="40"/>
  <c r="BM145" i="40"/>
  <c r="BJ145" i="40"/>
  <c r="BD145" i="40"/>
  <c r="BA145" i="40"/>
  <c r="AX145" i="40"/>
  <c r="AU145" i="40"/>
  <c r="AR145" i="40"/>
  <c r="AO145" i="40"/>
  <c r="DO144" i="40"/>
  <c r="DL144" i="40"/>
  <c r="DI144" i="40"/>
  <c r="DF144" i="40"/>
  <c r="DC144" i="40"/>
  <c r="CZ144" i="40"/>
  <c r="CT144" i="40"/>
  <c r="CQ144" i="40"/>
  <c r="CN144" i="40"/>
  <c r="CK144" i="40"/>
  <c r="CH144" i="40"/>
  <c r="CE144" i="40"/>
  <c r="BY144" i="40"/>
  <c r="BV144" i="40"/>
  <c r="BS144" i="40"/>
  <c r="BP144" i="40"/>
  <c r="BM144" i="40"/>
  <c r="BJ144" i="40"/>
  <c r="BD144" i="40"/>
  <c r="BA144" i="40"/>
  <c r="AX144" i="40"/>
  <c r="AU144" i="40"/>
  <c r="AR144" i="40"/>
  <c r="AO144" i="40"/>
  <c r="DO143" i="40"/>
  <c r="DL143" i="40"/>
  <c r="DI143" i="40"/>
  <c r="DF143" i="40"/>
  <c r="DC143" i="40"/>
  <c r="CZ143" i="40"/>
  <c r="CT143" i="40"/>
  <c r="CQ143" i="40"/>
  <c r="CN143" i="40"/>
  <c r="CJ143" i="40"/>
  <c r="CK143" i="40" s="1"/>
  <c r="CH143" i="40"/>
  <c r="CE143" i="40"/>
  <c r="BY143" i="40"/>
  <c r="BV143" i="40"/>
  <c r="BS143" i="40"/>
  <c r="BP143" i="40"/>
  <c r="BM143" i="40"/>
  <c r="BJ143" i="40"/>
  <c r="BD143" i="40"/>
  <c r="BA143" i="40"/>
  <c r="AX143" i="40"/>
  <c r="AU143" i="40"/>
  <c r="AR143" i="40"/>
  <c r="AO143" i="40"/>
  <c r="DO142" i="40"/>
  <c r="DL142" i="40"/>
  <c r="DI142" i="40"/>
  <c r="DF142" i="40"/>
  <c r="DC142" i="40"/>
  <c r="CZ142" i="40"/>
  <c r="CT142" i="40"/>
  <c r="CQ142" i="40"/>
  <c r="CN142" i="40"/>
  <c r="CK142" i="40"/>
  <c r="CH142" i="40"/>
  <c r="CE142" i="40"/>
  <c r="BY142" i="40"/>
  <c r="BV142" i="40"/>
  <c r="BS142" i="40"/>
  <c r="BP142" i="40"/>
  <c r="BM142" i="40"/>
  <c r="BJ142" i="40"/>
  <c r="BD142" i="40"/>
  <c r="BA142" i="40"/>
  <c r="AX142" i="40"/>
  <c r="AU142" i="40"/>
  <c r="AR142" i="40"/>
  <c r="AO142" i="40"/>
  <c r="DO141" i="40"/>
  <c r="DL141" i="40"/>
  <c r="DI141" i="40"/>
  <c r="DF141" i="40"/>
  <c r="DC141" i="40"/>
  <c r="CZ141" i="40"/>
  <c r="CT141" i="40"/>
  <c r="CQ141" i="40"/>
  <c r="CN141" i="40"/>
  <c r="CK141" i="40"/>
  <c r="CH141" i="40"/>
  <c r="CE141" i="40"/>
  <c r="BY141" i="40"/>
  <c r="BV141" i="40"/>
  <c r="BS141" i="40"/>
  <c r="BP141" i="40"/>
  <c r="BM141" i="40"/>
  <c r="BJ141" i="40"/>
  <c r="BD141" i="40"/>
  <c r="BA141" i="40"/>
  <c r="AX141" i="40"/>
  <c r="AU141" i="40"/>
  <c r="AR141" i="40"/>
  <c r="AO141" i="40"/>
  <c r="DO140" i="40"/>
  <c r="DL140" i="40"/>
  <c r="DI140" i="40"/>
  <c r="DF140" i="40"/>
  <c r="DC140" i="40"/>
  <c r="CZ140" i="40"/>
  <c r="CT140" i="40"/>
  <c r="CQ140" i="40"/>
  <c r="CN140" i="40"/>
  <c r="CK140" i="40"/>
  <c r="CH140" i="40"/>
  <c r="CE140" i="40"/>
  <c r="BY140" i="40"/>
  <c r="BV140" i="40"/>
  <c r="BS140" i="40"/>
  <c r="BP140" i="40"/>
  <c r="BM140" i="40"/>
  <c r="BJ140" i="40"/>
  <c r="BD140" i="40"/>
  <c r="BA140" i="40"/>
  <c r="AX140" i="40"/>
  <c r="AU140" i="40"/>
  <c r="AR140" i="40"/>
  <c r="AO140" i="40"/>
  <c r="DO139" i="40"/>
  <c r="DL139" i="40"/>
  <c r="DI139" i="40"/>
  <c r="DF139" i="40"/>
  <c r="DC139" i="40"/>
  <c r="CZ139" i="40"/>
  <c r="CT139" i="40"/>
  <c r="CQ139" i="40"/>
  <c r="CN139" i="40"/>
  <c r="CK139" i="40"/>
  <c r="CH139" i="40"/>
  <c r="CE139" i="40"/>
  <c r="BY139" i="40"/>
  <c r="BV139" i="40"/>
  <c r="BS139" i="40"/>
  <c r="BP139" i="40"/>
  <c r="BM139" i="40"/>
  <c r="BJ139" i="40"/>
  <c r="BD139" i="40"/>
  <c r="BA139" i="40"/>
  <c r="AX139" i="40"/>
  <c r="AU139" i="40"/>
  <c r="AR139" i="40"/>
  <c r="AO139" i="40"/>
  <c r="DO138" i="40"/>
  <c r="DL138" i="40"/>
  <c r="DI138" i="40"/>
  <c r="DF138" i="40"/>
  <c r="DC138" i="40"/>
  <c r="CZ138" i="40"/>
  <c r="CT138" i="40"/>
  <c r="CQ138" i="40"/>
  <c r="CN138" i="40"/>
  <c r="CK138" i="40"/>
  <c r="CH138" i="40"/>
  <c r="CE138" i="40"/>
  <c r="BY138" i="40"/>
  <c r="BV138" i="40"/>
  <c r="BS138" i="40"/>
  <c r="BP138" i="40"/>
  <c r="BM138" i="40"/>
  <c r="BJ138" i="40"/>
  <c r="BD138" i="40"/>
  <c r="BA138" i="40"/>
  <c r="AX138" i="40"/>
  <c r="AU138" i="40"/>
  <c r="AR138" i="40"/>
  <c r="AO138" i="40"/>
  <c r="DO137" i="40"/>
  <c r="DL137" i="40"/>
  <c r="DI137" i="40"/>
  <c r="DF137" i="40"/>
  <c r="DC137" i="40"/>
  <c r="CZ137" i="40"/>
  <c r="CT137" i="40"/>
  <c r="CQ137" i="40"/>
  <c r="CN137" i="40"/>
  <c r="CK137" i="40"/>
  <c r="CH137" i="40"/>
  <c r="CE137" i="40"/>
  <c r="BY137" i="40"/>
  <c r="BV137" i="40"/>
  <c r="BS137" i="40"/>
  <c r="BP137" i="40"/>
  <c r="BM137" i="40"/>
  <c r="BJ137" i="40"/>
  <c r="BD137" i="40"/>
  <c r="BA137" i="40"/>
  <c r="AX137" i="40"/>
  <c r="AU137" i="40"/>
  <c r="AR137" i="40"/>
  <c r="AO137" i="40"/>
  <c r="DO136" i="40"/>
  <c r="DL136" i="40"/>
  <c r="DI136" i="40"/>
  <c r="DF136" i="40"/>
  <c r="DC136" i="40"/>
  <c r="CZ136" i="40"/>
  <c r="CT136" i="40"/>
  <c r="CQ136" i="40"/>
  <c r="CN136" i="40"/>
  <c r="CK136" i="40"/>
  <c r="CH136" i="40"/>
  <c r="CE136" i="40"/>
  <c r="BY136" i="40"/>
  <c r="BV136" i="40"/>
  <c r="BS136" i="40"/>
  <c r="BP136" i="40"/>
  <c r="BM136" i="40"/>
  <c r="BJ136" i="40"/>
  <c r="BD136" i="40"/>
  <c r="BA136" i="40"/>
  <c r="AX136" i="40"/>
  <c r="AU136" i="40"/>
  <c r="AR136" i="40"/>
  <c r="AO136" i="40"/>
  <c r="DO135" i="40"/>
  <c r="DL135" i="40"/>
  <c r="DI135" i="40"/>
  <c r="DF135" i="40"/>
  <c r="DC135" i="40"/>
  <c r="CZ135" i="40"/>
  <c r="CT135" i="40"/>
  <c r="CQ135" i="40"/>
  <c r="CN135" i="40"/>
  <c r="CK135" i="40"/>
  <c r="CH135" i="40"/>
  <c r="CE135" i="40"/>
  <c r="BY135" i="40"/>
  <c r="BV135" i="40"/>
  <c r="BS135" i="40"/>
  <c r="BP135" i="40"/>
  <c r="BM135" i="40"/>
  <c r="BJ135" i="40"/>
  <c r="BD135" i="40"/>
  <c r="BA135" i="40"/>
  <c r="AX135" i="40"/>
  <c r="AU135" i="40"/>
  <c r="AR135" i="40"/>
  <c r="AO135" i="40"/>
  <c r="DO134" i="40"/>
  <c r="DL134" i="40"/>
  <c r="DI134" i="40"/>
  <c r="DF134" i="40"/>
  <c r="DC134" i="40"/>
  <c r="CZ134" i="40"/>
  <c r="CT134" i="40"/>
  <c r="CQ134" i="40"/>
  <c r="CN134" i="40"/>
  <c r="CK134" i="40"/>
  <c r="CH134" i="40"/>
  <c r="CE134" i="40"/>
  <c r="BY134" i="40"/>
  <c r="BV134" i="40"/>
  <c r="BS134" i="40"/>
  <c r="BP134" i="40"/>
  <c r="BM134" i="40"/>
  <c r="BJ134" i="40"/>
  <c r="BD134" i="40"/>
  <c r="BA134" i="40"/>
  <c r="AX134" i="40"/>
  <c r="AU134" i="40"/>
  <c r="AR134" i="40"/>
  <c r="AO134" i="40"/>
  <c r="DO133" i="40"/>
  <c r="DL133" i="40"/>
  <c r="DI133" i="40"/>
  <c r="DF133" i="40"/>
  <c r="DC133" i="40"/>
  <c r="CZ133" i="40"/>
  <c r="CT133" i="40"/>
  <c r="CQ133" i="40"/>
  <c r="CN133" i="40"/>
  <c r="CK133" i="40"/>
  <c r="CH133" i="40"/>
  <c r="CE133" i="40"/>
  <c r="CD133" i="40"/>
  <c r="CD306" i="40" s="1"/>
  <c r="BY133" i="40"/>
  <c r="BV133" i="40"/>
  <c r="BS133" i="40"/>
  <c r="BP133" i="40"/>
  <c r="BM133" i="40"/>
  <c r="BJ133" i="40"/>
  <c r="BD133" i="40"/>
  <c r="BA133" i="40"/>
  <c r="AX133" i="40"/>
  <c r="AU133" i="40"/>
  <c r="AR133" i="40"/>
  <c r="AO133" i="40"/>
  <c r="DO132" i="40"/>
  <c r="DL132" i="40"/>
  <c r="DI132" i="40"/>
  <c r="DF132" i="40"/>
  <c r="DC132" i="40"/>
  <c r="CZ132" i="40"/>
  <c r="CT132" i="40"/>
  <c r="CQ132" i="40"/>
  <c r="CN132" i="40"/>
  <c r="CK132" i="40"/>
  <c r="CH132" i="40"/>
  <c r="CE132" i="40"/>
  <c r="BY132" i="40"/>
  <c r="BV132" i="40"/>
  <c r="BS132" i="40"/>
  <c r="BP132" i="40"/>
  <c r="BM132" i="40"/>
  <c r="BJ132" i="40"/>
  <c r="BD132" i="40"/>
  <c r="BA132" i="40"/>
  <c r="AX132" i="40"/>
  <c r="AU132" i="40"/>
  <c r="AR132" i="40"/>
  <c r="AO132" i="40"/>
  <c r="DO131" i="40"/>
  <c r="DL131" i="40"/>
  <c r="DI131" i="40"/>
  <c r="DF131" i="40"/>
  <c r="DC131" i="40"/>
  <c r="CZ131" i="40"/>
  <c r="CT131" i="40"/>
  <c r="CQ131" i="40"/>
  <c r="CN131" i="40"/>
  <c r="CK131" i="40"/>
  <c r="CH131" i="40"/>
  <c r="CE131" i="40"/>
  <c r="BY131" i="40"/>
  <c r="BV131" i="40"/>
  <c r="BS131" i="40"/>
  <c r="BP131" i="40"/>
  <c r="BM131" i="40"/>
  <c r="BJ131" i="40"/>
  <c r="BD131" i="40"/>
  <c r="BA131" i="40"/>
  <c r="AX131" i="40"/>
  <c r="AU131" i="40"/>
  <c r="AR131" i="40"/>
  <c r="AO131" i="40"/>
  <c r="DO130" i="40"/>
  <c r="DL130" i="40"/>
  <c r="DI130" i="40"/>
  <c r="DF130" i="40"/>
  <c r="DC130" i="40"/>
  <c r="CZ130" i="40"/>
  <c r="CT130" i="40"/>
  <c r="CQ130" i="40"/>
  <c r="CN130" i="40"/>
  <c r="CK130" i="40"/>
  <c r="CH130" i="40"/>
  <c r="CE130" i="40"/>
  <c r="BY130" i="40"/>
  <c r="BV130" i="40"/>
  <c r="BS130" i="40"/>
  <c r="BP130" i="40"/>
  <c r="BM130" i="40"/>
  <c r="BJ130" i="40"/>
  <c r="BD130" i="40"/>
  <c r="BA130" i="40"/>
  <c r="AX130" i="40"/>
  <c r="AU130" i="40"/>
  <c r="AR130" i="40"/>
  <c r="AO130" i="40"/>
  <c r="DO129" i="40"/>
  <c r="DL129" i="40"/>
  <c r="DI129" i="40"/>
  <c r="DF129" i="40"/>
  <c r="DC129" i="40"/>
  <c r="CZ129" i="40"/>
  <c r="CT129" i="40"/>
  <c r="CQ129" i="40"/>
  <c r="CN129" i="40"/>
  <c r="CK129" i="40"/>
  <c r="CH129" i="40"/>
  <c r="CE129" i="40"/>
  <c r="BY129" i="40"/>
  <c r="BV129" i="40"/>
  <c r="BS129" i="40"/>
  <c r="BP129" i="40"/>
  <c r="BM129" i="40"/>
  <c r="BJ129" i="40"/>
  <c r="BD129" i="40"/>
  <c r="BA129" i="40"/>
  <c r="AX129" i="40"/>
  <c r="AU129" i="40"/>
  <c r="AR129" i="40"/>
  <c r="AO129" i="40"/>
  <c r="DO128" i="40"/>
  <c r="DL128" i="40"/>
  <c r="DI128" i="40"/>
  <c r="DF128" i="40"/>
  <c r="DC128" i="40"/>
  <c r="CZ128" i="40"/>
  <c r="CT128" i="40"/>
  <c r="CQ128" i="40"/>
  <c r="CN128" i="40"/>
  <c r="CK128" i="40"/>
  <c r="CH128" i="40"/>
  <c r="CE128" i="40"/>
  <c r="BY128" i="40"/>
  <c r="BV128" i="40"/>
  <c r="BS128" i="40"/>
  <c r="BP128" i="40"/>
  <c r="BM128" i="40"/>
  <c r="BJ128" i="40"/>
  <c r="BD128" i="40"/>
  <c r="BA128" i="40"/>
  <c r="AX128" i="40"/>
  <c r="AU128" i="40"/>
  <c r="AR128" i="40"/>
  <c r="AO128" i="40"/>
  <c r="DO127" i="40"/>
  <c r="DL127" i="40"/>
  <c r="DI127" i="40"/>
  <c r="DF127" i="40"/>
  <c r="DC127" i="40"/>
  <c r="CZ127" i="40"/>
  <c r="CT127" i="40"/>
  <c r="CQ127" i="40"/>
  <c r="CN127" i="40"/>
  <c r="CK127" i="40"/>
  <c r="CH127" i="40"/>
  <c r="CE127" i="40"/>
  <c r="BY127" i="40"/>
  <c r="BV127" i="40"/>
  <c r="BS127" i="40"/>
  <c r="BP127" i="40"/>
  <c r="BM127" i="40"/>
  <c r="BJ127" i="40"/>
  <c r="BD127" i="40"/>
  <c r="BA127" i="40"/>
  <c r="AX127" i="40"/>
  <c r="AU127" i="40"/>
  <c r="AR127" i="40"/>
  <c r="AO127" i="40"/>
  <c r="DO126" i="40"/>
  <c r="DL126" i="40"/>
  <c r="DI126" i="40"/>
  <c r="DF126" i="40"/>
  <c r="DC126" i="40"/>
  <c r="CZ126" i="40"/>
  <c r="CT126" i="40"/>
  <c r="CQ126" i="40"/>
  <c r="CN126" i="40"/>
  <c r="CK126" i="40"/>
  <c r="CH126" i="40"/>
  <c r="CE126" i="40"/>
  <c r="BY126" i="40"/>
  <c r="BV126" i="40"/>
  <c r="BS126" i="40"/>
  <c r="BP126" i="40"/>
  <c r="BM126" i="40"/>
  <c r="BJ126" i="40"/>
  <c r="BD126" i="40"/>
  <c r="BA126" i="40"/>
  <c r="AX126" i="40"/>
  <c r="AU126" i="40"/>
  <c r="AR126" i="40"/>
  <c r="AO126" i="40"/>
  <c r="DO125" i="40"/>
  <c r="DL125" i="40"/>
  <c r="DI125" i="40"/>
  <c r="DF125" i="40"/>
  <c r="DC125" i="40"/>
  <c r="CZ125" i="40"/>
  <c r="CT125" i="40"/>
  <c r="CQ125" i="40"/>
  <c r="CN125" i="40"/>
  <c r="CK125" i="40"/>
  <c r="CH125" i="40"/>
  <c r="CE125" i="40"/>
  <c r="BY125" i="40"/>
  <c r="BV125" i="40"/>
  <c r="BS125" i="40"/>
  <c r="BP125" i="40"/>
  <c r="BM125" i="40"/>
  <c r="BJ125" i="40"/>
  <c r="BD125" i="40"/>
  <c r="BA125" i="40"/>
  <c r="AX125" i="40"/>
  <c r="AU125" i="40"/>
  <c r="AR125" i="40"/>
  <c r="AO125" i="40"/>
  <c r="DO124" i="40"/>
  <c r="DL124" i="40"/>
  <c r="DI124" i="40"/>
  <c r="DF124" i="40"/>
  <c r="DC124" i="40"/>
  <c r="CZ124" i="40"/>
  <c r="CT124" i="40"/>
  <c r="CQ124" i="40"/>
  <c r="CN124" i="40"/>
  <c r="CK124" i="40"/>
  <c r="CH124" i="40"/>
  <c r="CE124" i="40"/>
  <c r="BY124" i="40"/>
  <c r="BV124" i="40"/>
  <c r="BS124" i="40"/>
  <c r="BP124" i="40"/>
  <c r="BM124" i="40"/>
  <c r="BJ124" i="40"/>
  <c r="BD124" i="40"/>
  <c r="BA124" i="40"/>
  <c r="AX124" i="40"/>
  <c r="AU124" i="40"/>
  <c r="AR124" i="40"/>
  <c r="AO124" i="40"/>
  <c r="DO123" i="40"/>
  <c r="DL123" i="40"/>
  <c r="DI123" i="40"/>
  <c r="DF123" i="40"/>
  <c r="DC123" i="40"/>
  <c r="CZ123" i="40"/>
  <c r="CT123" i="40"/>
  <c r="CQ123" i="40"/>
  <c r="CN123" i="40"/>
  <c r="CK123" i="40"/>
  <c r="CH123" i="40"/>
  <c r="CE123" i="40"/>
  <c r="BY123" i="40"/>
  <c r="BV123" i="40"/>
  <c r="BS123" i="40"/>
  <c r="BP123" i="40"/>
  <c r="BM123" i="40"/>
  <c r="BJ123" i="40"/>
  <c r="BD123" i="40"/>
  <c r="BA123" i="40"/>
  <c r="AX123" i="40"/>
  <c r="AU123" i="40"/>
  <c r="AR123" i="40"/>
  <c r="AO123" i="40"/>
  <c r="DO122" i="40"/>
  <c r="DL122" i="40"/>
  <c r="DI122" i="40"/>
  <c r="DF122" i="40"/>
  <c r="DC122" i="40"/>
  <c r="CZ122" i="40"/>
  <c r="CT122" i="40"/>
  <c r="CQ122" i="40"/>
  <c r="CN122" i="40"/>
  <c r="CK122" i="40"/>
  <c r="CH122" i="40"/>
  <c r="CE122" i="40"/>
  <c r="BY122" i="40"/>
  <c r="BV122" i="40"/>
  <c r="BS122" i="40"/>
  <c r="BP122" i="40"/>
  <c r="BM122" i="40"/>
  <c r="BJ122" i="40"/>
  <c r="BD122" i="40"/>
  <c r="BA122" i="40"/>
  <c r="AX122" i="40"/>
  <c r="AU122" i="40"/>
  <c r="AR122" i="40"/>
  <c r="AO122" i="40"/>
  <c r="DO121" i="40"/>
  <c r="DL121" i="40"/>
  <c r="DI121" i="40"/>
  <c r="DF121" i="40"/>
  <c r="DC121" i="40"/>
  <c r="CZ121" i="40"/>
  <c r="CT121" i="40"/>
  <c r="CQ121" i="40"/>
  <c r="CN121" i="40"/>
  <c r="CK121" i="40"/>
  <c r="CH121" i="40"/>
  <c r="CE121" i="40"/>
  <c r="BY121" i="40"/>
  <c r="BV121" i="40"/>
  <c r="BS121" i="40"/>
  <c r="BP121" i="40"/>
  <c r="BM121" i="40"/>
  <c r="BJ121" i="40"/>
  <c r="BD121" i="40"/>
  <c r="BA121" i="40"/>
  <c r="AX121" i="40"/>
  <c r="AU121" i="40"/>
  <c r="AR121" i="40"/>
  <c r="AO121" i="40"/>
  <c r="DO120" i="40"/>
  <c r="DL120" i="40"/>
  <c r="DI120" i="40"/>
  <c r="DF120" i="40"/>
  <c r="DC120" i="40"/>
  <c r="CZ120" i="40"/>
  <c r="CT120" i="40"/>
  <c r="CQ120" i="40"/>
  <c r="CN120" i="40"/>
  <c r="CK120" i="40"/>
  <c r="CH120" i="40"/>
  <c r="CE120" i="40"/>
  <c r="BY120" i="40"/>
  <c r="BV120" i="40"/>
  <c r="BS120" i="40"/>
  <c r="BP120" i="40"/>
  <c r="BM120" i="40"/>
  <c r="BJ120" i="40"/>
  <c r="BD120" i="40"/>
  <c r="BA120" i="40"/>
  <c r="AX120" i="40"/>
  <c r="AU120" i="40"/>
  <c r="AR120" i="40"/>
  <c r="AO120" i="40"/>
  <c r="DO119" i="40"/>
  <c r="DL119" i="40"/>
  <c r="DI119" i="40"/>
  <c r="DF119" i="40"/>
  <c r="DC119" i="40"/>
  <c r="CZ119" i="40"/>
  <c r="CT119" i="40"/>
  <c r="CQ119" i="40"/>
  <c r="CN119" i="40"/>
  <c r="CK119" i="40"/>
  <c r="CH119" i="40"/>
  <c r="CE119" i="40"/>
  <c r="BY119" i="40"/>
  <c r="BV119" i="40"/>
  <c r="BS119" i="40"/>
  <c r="BP119" i="40"/>
  <c r="BM119" i="40"/>
  <c r="BJ119" i="40"/>
  <c r="BD119" i="40"/>
  <c r="BA119" i="40"/>
  <c r="AX119" i="40"/>
  <c r="AU119" i="40"/>
  <c r="AR119" i="40"/>
  <c r="AO119" i="40"/>
  <c r="DO118" i="40"/>
  <c r="DL118" i="40"/>
  <c r="DI118" i="40"/>
  <c r="DF118" i="40"/>
  <c r="DC118" i="40"/>
  <c r="CZ118" i="40"/>
  <c r="CT118" i="40"/>
  <c r="CQ118" i="40"/>
  <c r="CN118" i="40"/>
  <c r="CK118" i="40"/>
  <c r="CH118" i="40"/>
  <c r="CE118" i="40"/>
  <c r="BY118" i="40"/>
  <c r="BV118" i="40"/>
  <c r="BS118" i="40"/>
  <c r="BP118" i="40"/>
  <c r="BM118" i="40"/>
  <c r="BJ118" i="40"/>
  <c r="BD118" i="40"/>
  <c r="BA118" i="40"/>
  <c r="AX118" i="40"/>
  <c r="AU118" i="40"/>
  <c r="AR118" i="40"/>
  <c r="AO118" i="40"/>
  <c r="DO117" i="40"/>
  <c r="DL117" i="40"/>
  <c r="DI117" i="40"/>
  <c r="DF117" i="40"/>
  <c r="DC117" i="40"/>
  <c r="CZ117" i="40"/>
  <c r="CT117" i="40"/>
  <c r="CQ117" i="40"/>
  <c r="CN117" i="40"/>
  <c r="CK117" i="40"/>
  <c r="CH117" i="40"/>
  <c r="CE117" i="40"/>
  <c r="BY117" i="40"/>
  <c r="BV117" i="40"/>
  <c r="BS117" i="40"/>
  <c r="BP117" i="40"/>
  <c r="BM117" i="40"/>
  <c r="BJ117" i="40"/>
  <c r="BD117" i="40"/>
  <c r="BA117" i="40"/>
  <c r="AX117" i="40"/>
  <c r="AU117" i="40"/>
  <c r="AR117" i="40"/>
  <c r="AO117" i="40"/>
  <c r="DO116" i="40"/>
  <c r="DL116" i="40"/>
  <c r="DI116" i="40"/>
  <c r="DF116" i="40"/>
  <c r="DC116" i="40"/>
  <c r="CZ116" i="40"/>
  <c r="CT116" i="40"/>
  <c r="CQ116" i="40"/>
  <c r="CN116" i="40"/>
  <c r="CK116" i="40"/>
  <c r="CH116" i="40"/>
  <c r="CE116" i="40"/>
  <c r="BY116" i="40"/>
  <c r="BV116" i="40"/>
  <c r="BS116" i="40"/>
  <c r="BP116" i="40"/>
  <c r="BM116" i="40"/>
  <c r="BJ116" i="40"/>
  <c r="BD116" i="40"/>
  <c r="BA116" i="40"/>
  <c r="AX116" i="40"/>
  <c r="AU116" i="40"/>
  <c r="AR116" i="40"/>
  <c r="AO116" i="40"/>
  <c r="DO115" i="40"/>
  <c r="DL115" i="40"/>
  <c r="DI115" i="40"/>
  <c r="DF115" i="40"/>
  <c r="DC115" i="40"/>
  <c r="CZ115" i="40"/>
  <c r="CT115" i="40"/>
  <c r="CQ115" i="40"/>
  <c r="CN115" i="40"/>
  <c r="CK115" i="40"/>
  <c r="CH115" i="40"/>
  <c r="CE115" i="40"/>
  <c r="BY115" i="40"/>
  <c r="BV115" i="40"/>
  <c r="BS115" i="40"/>
  <c r="BP115" i="40"/>
  <c r="BM115" i="40"/>
  <c r="BJ115" i="40"/>
  <c r="BD115" i="40"/>
  <c r="BA115" i="40"/>
  <c r="AX115" i="40"/>
  <c r="AU115" i="40"/>
  <c r="AR115" i="40"/>
  <c r="AO115" i="40"/>
  <c r="DO114" i="40"/>
  <c r="DL114" i="40"/>
  <c r="DI114" i="40"/>
  <c r="DF114" i="40"/>
  <c r="DC114" i="40"/>
  <c r="CZ114" i="40"/>
  <c r="CT114" i="40"/>
  <c r="CQ114" i="40"/>
  <c r="CN114" i="40"/>
  <c r="CK114" i="40"/>
  <c r="CH114" i="40"/>
  <c r="CE114" i="40"/>
  <c r="BY114" i="40"/>
  <c r="BV114" i="40"/>
  <c r="BS114" i="40"/>
  <c r="BP114" i="40"/>
  <c r="BM114" i="40"/>
  <c r="BJ114" i="40"/>
  <c r="BD114" i="40"/>
  <c r="BA114" i="40"/>
  <c r="AX114" i="40"/>
  <c r="AU114" i="40"/>
  <c r="AR114" i="40"/>
  <c r="AO114" i="40"/>
  <c r="DO113" i="40"/>
  <c r="DL113" i="40"/>
  <c r="DI113" i="40"/>
  <c r="DF113" i="40"/>
  <c r="DC113" i="40"/>
  <c r="CZ113" i="40"/>
  <c r="CT113" i="40"/>
  <c r="CQ113" i="40"/>
  <c r="CN113" i="40"/>
  <c r="CK113" i="40"/>
  <c r="CH113" i="40"/>
  <c r="CE113" i="40"/>
  <c r="BY113" i="40"/>
  <c r="BV113" i="40"/>
  <c r="BS113" i="40"/>
  <c r="BP113" i="40"/>
  <c r="BM113" i="40"/>
  <c r="BJ113" i="40"/>
  <c r="BD113" i="40"/>
  <c r="BA113" i="40"/>
  <c r="AX113" i="40"/>
  <c r="AU113" i="40"/>
  <c r="AR113" i="40"/>
  <c r="AO113" i="40"/>
  <c r="DO112" i="40"/>
  <c r="DL112" i="40"/>
  <c r="DI112" i="40"/>
  <c r="DF112" i="40"/>
  <c r="DC112" i="40"/>
  <c r="CZ112" i="40"/>
  <c r="CT112" i="40"/>
  <c r="CQ112" i="40"/>
  <c r="CN112" i="40"/>
  <c r="CK112" i="40"/>
  <c r="CH112" i="40"/>
  <c r="CE112" i="40"/>
  <c r="BY112" i="40"/>
  <c r="BV112" i="40"/>
  <c r="BS112" i="40"/>
  <c r="BP112" i="40"/>
  <c r="BM112" i="40"/>
  <c r="BJ112" i="40"/>
  <c r="BD112" i="40"/>
  <c r="BA112" i="40"/>
  <c r="AX112" i="40"/>
  <c r="AU112" i="40"/>
  <c r="AR112" i="40"/>
  <c r="AO112" i="40"/>
  <c r="DO111" i="40"/>
  <c r="DL111" i="40"/>
  <c r="DI111" i="40"/>
  <c r="DF111" i="40"/>
  <c r="DC111" i="40"/>
  <c r="CZ111" i="40"/>
  <c r="CT111" i="40"/>
  <c r="CQ111" i="40"/>
  <c r="CN111" i="40"/>
  <c r="CK111" i="40"/>
  <c r="CH111" i="40"/>
  <c r="CE111" i="40"/>
  <c r="BY111" i="40"/>
  <c r="BV111" i="40"/>
  <c r="BS111" i="40"/>
  <c r="BP111" i="40"/>
  <c r="BM111" i="40"/>
  <c r="BJ111" i="40"/>
  <c r="BD111" i="40"/>
  <c r="BA111" i="40"/>
  <c r="AX111" i="40"/>
  <c r="AU111" i="40"/>
  <c r="AR111" i="40"/>
  <c r="AO111" i="40"/>
  <c r="DO110" i="40"/>
  <c r="DL110" i="40"/>
  <c r="DI110" i="40"/>
  <c r="DF110" i="40"/>
  <c r="DC110" i="40"/>
  <c r="CZ110" i="40"/>
  <c r="CT110" i="40"/>
  <c r="CQ110" i="40"/>
  <c r="CN110" i="40"/>
  <c r="CK110" i="40"/>
  <c r="CH110" i="40"/>
  <c r="CE110" i="40"/>
  <c r="BY110" i="40"/>
  <c r="BV110" i="40"/>
  <c r="BS110" i="40"/>
  <c r="BP110" i="40"/>
  <c r="BM110" i="40"/>
  <c r="BJ110" i="40"/>
  <c r="BD110" i="40"/>
  <c r="BA110" i="40"/>
  <c r="AX110" i="40"/>
  <c r="AU110" i="40"/>
  <c r="AR110" i="40"/>
  <c r="AO110" i="40"/>
  <c r="DO109" i="40"/>
  <c r="DL109" i="40"/>
  <c r="DI109" i="40"/>
  <c r="DF109" i="40"/>
  <c r="DC109" i="40"/>
  <c r="CZ109" i="40"/>
  <c r="CT109" i="40"/>
  <c r="CQ109" i="40"/>
  <c r="CN109" i="40"/>
  <c r="CK109" i="40"/>
  <c r="CH109" i="40"/>
  <c r="CE109" i="40"/>
  <c r="BY109" i="40"/>
  <c r="BV109" i="40"/>
  <c r="BS109" i="40"/>
  <c r="BP109" i="40"/>
  <c r="BM109" i="40"/>
  <c r="BJ109" i="40"/>
  <c r="BD109" i="40"/>
  <c r="BA109" i="40"/>
  <c r="AX109" i="40"/>
  <c r="AU109" i="40"/>
  <c r="AR109" i="40"/>
  <c r="AO109" i="40"/>
  <c r="DO108" i="40"/>
  <c r="DL108" i="40"/>
  <c r="DI108" i="40"/>
  <c r="DF108" i="40"/>
  <c r="DC108" i="40"/>
  <c r="CZ108" i="40"/>
  <c r="CT108" i="40"/>
  <c r="CQ108" i="40"/>
  <c r="CN108" i="40"/>
  <c r="CK108" i="40"/>
  <c r="CH108" i="40"/>
  <c r="CE108" i="40"/>
  <c r="BY108" i="40"/>
  <c r="BV108" i="40"/>
  <c r="BS108" i="40"/>
  <c r="BP108" i="40"/>
  <c r="BM108" i="40"/>
  <c r="BJ108" i="40"/>
  <c r="BD108" i="40"/>
  <c r="BA108" i="40"/>
  <c r="AX108" i="40"/>
  <c r="AU108" i="40"/>
  <c r="AR108" i="40"/>
  <c r="AO108" i="40"/>
  <c r="DO107" i="40"/>
  <c r="DL107" i="40"/>
  <c r="DI107" i="40"/>
  <c r="DF107" i="40"/>
  <c r="DC107" i="40"/>
  <c r="CZ107" i="40"/>
  <c r="CT107" i="40"/>
  <c r="CQ107" i="40"/>
  <c r="CN107" i="40"/>
  <c r="CK107" i="40"/>
  <c r="CH107" i="40"/>
  <c r="CE107" i="40"/>
  <c r="BY107" i="40"/>
  <c r="BV107" i="40"/>
  <c r="BS107" i="40"/>
  <c r="BP107" i="40"/>
  <c r="BM107" i="40"/>
  <c r="BJ107" i="40"/>
  <c r="BD107" i="40"/>
  <c r="BA107" i="40"/>
  <c r="AX107" i="40"/>
  <c r="AU107" i="40"/>
  <c r="AR107" i="40"/>
  <c r="AO107" i="40"/>
  <c r="DO106" i="40"/>
  <c r="DL106" i="40"/>
  <c r="DI106" i="40"/>
  <c r="DF106" i="40"/>
  <c r="DC106" i="40"/>
  <c r="CZ106" i="40"/>
  <c r="CT106" i="40"/>
  <c r="CQ106" i="40"/>
  <c r="CN106" i="40"/>
  <c r="CK106" i="40"/>
  <c r="CH106" i="40"/>
  <c r="CE106" i="40"/>
  <c r="BY106" i="40"/>
  <c r="BV106" i="40"/>
  <c r="BS106" i="40"/>
  <c r="BP106" i="40"/>
  <c r="BI106" i="40"/>
  <c r="BH106" i="40"/>
  <c r="BM106" i="40" s="1"/>
  <c r="BD106" i="40"/>
  <c r="BA106" i="40"/>
  <c r="AX106" i="40"/>
  <c r="AU106" i="40"/>
  <c r="AR106" i="40"/>
  <c r="AO106" i="40"/>
  <c r="DO105" i="40"/>
  <c r="DL105" i="40"/>
  <c r="DI105" i="40"/>
  <c r="DF105" i="40"/>
  <c r="DC105" i="40"/>
  <c r="CZ105" i="40"/>
  <c r="CT105" i="40"/>
  <c r="CQ105" i="40"/>
  <c r="CN105" i="40"/>
  <c r="CK105" i="40"/>
  <c r="CH105" i="40"/>
  <c r="CE105" i="40"/>
  <c r="BY105" i="40"/>
  <c r="BV105" i="40"/>
  <c r="BS105" i="40"/>
  <c r="BP105" i="40"/>
  <c r="BM105" i="40"/>
  <c r="BJ105" i="40"/>
  <c r="BD105" i="40"/>
  <c r="BA105" i="40"/>
  <c r="AX105" i="40"/>
  <c r="AU105" i="40"/>
  <c r="AR105" i="40"/>
  <c r="AO105" i="40"/>
  <c r="DO104" i="40"/>
  <c r="DL104" i="40"/>
  <c r="DI104" i="40"/>
  <c r="DF104" i="40"/>
  <c r="DC104" i="40"/>
  <c r="CZ104" i="40"/>
  <c r="CT104" i="40"/>
  <c r="CQ104" i="40"/>
  <c r="CN104" i="40"/>
  <c r="CK104" i="40"/>
  <c r="CH104" i="40"/>
  <c r="CE104" i="40"/>
  <c r="BY104" i="40"/>
  <c r="BV104" i="40"/>
  <c r="BS104" i="40"/>
  <c r="BP104" i="40"/>
  <c r="BM104" i="40"/>
  <c r="BJ104" i="40"/>
  <c r="BD104" i="40"/>
  <c r="BA104" i="40"/>
  <c r="AX104" i="40"/>
  <c r="AU104" i="40"/>
  <c r="AR104" i="40"/>
  <c r="AO104" i="40"/>
  <c r="DO103" i="40"/>
  <c r="DL103" i="40"/>
  <c r="DI103" i="40"/>
  <c r="DF103" i="40"/>
  <c r="DC103" i="40"/>
  <c r="CZ103" i="40"/>
  <c r="CT103" i="40"/>
  <c r="CQ103" i="40"/>
  <c r="CN103" i="40"/>
  <c r="CK103" i="40"/>
  <c r="CH103" i="40"/>
  <c r="CE103" i="40"/>
  <c r="BY103" i="40"/>
  <c r="BV103" i="40"/>
  <c r="BS103" i="40"/>
  <c r="BP103" i="40"/>
  <c r="BM103" i="40"/>
  <c r="BJ103" i="40"/>
  <c r="BD103" i="40"/>
  <c r="BA103" i="40"/>
  <c r="AX103" i="40"/>
  <c r="AU103" i="40"/>
  <c r="AR103" i="40"/>
  <c r="AO103" i="40"/>
  <c r="DO102" i="40"/>
  <c r="DL102" i="40"/>
  <c r="DI102" i="40"/>
  <c r="DF102" i="40"/>
  <c r="DC102" i="40"/>
  <c r="CZ102" i="40"/>
  <c r="CT102" i="40"/>
  <c r="CQ102" i="40"/>
  <c r="CN102" i="40"/>
  <c r="CK102" i="40"/>
  <c r="CH102" i="40"/>
  <c r="CE102" i="40"/>
  <c r="BY102" i="40"/>
  <c r="BV102" i="40"/>
  <c r="BS102" i="40"/>
  <c r="BP102" i="40"/>
  <c r="BM102" i="40"/>
  <c r="BJ102" i="40"/>
  <c r="BD102" i="40"/>
  <c r="BA102" i="40"/>
  <c r="AX102" i="40"/>
  <c r="AU102" i="40"/>
  <c r="AR102" i="40"/>
  <c r="AO102" i="40"/>
  <c r="DO101" i="40"/>
  <c r="DL101" i="40"/>
  <c r="DI101" i="40"/>
  <c r="DF101" i="40"/>
  <c r="DC101" i="40"/>
  <c r="CZ101" i="40"/>
  <c r="CT101" i="40"/>
  <c r="CQ101" i="40"/>
  <c r="CN101" i="40"/>
  <c r="CK101" i="40"/>
  <c r="CH101" i="40"/>
  <c r="CE101" i="40"/>
  <c r="BY101" i="40"/>
  <c r="BV101" i="40"/>
  <c r="BS101" i="40"/>
  <c r="BP101" i="40"/>
  <c r="BM101" i="40"/>
  <c r="BJ101" i="40"/>
  <c r="BD101" i="40"/>
  <c r="BA101" i="40"/>
  <c r="AX101" i="40"/>
  <c r="AU101" i="40"/>
  <c r="AR101" i="40"/>
  <c r="AO101" i="40"/>
  <c r="DO100" i="40"/>
  <c r="DL100" i="40"/>
  <c r="DI100" i="40"/>
  <c r="DF100" i="40"/>
  <c r="DC100" i="40"/>
  <c r="CZ100" i="40"/>
  <c r="CT100" i="40"/>
  <c r="CQ100" i="40"/>
  <c r="CN100" i="40"/>
  <c r="CK100" i="40"/>
  <c r="CH100" i="40"/>
  <c r="CE100" i="40"/>
  <c r="BY100" i="40"/>
  <c r="BV100" i="40"/>
  <c r="BS100" i="40"/>
  <c r="BP100" i="40"/>
  <c r="BM100" i="40"/>
  <c r="BJ100" i="40"/>
  <c r="BD100" i="40"/>
  <c r="BA100" i="40"/>
  <c r="AX100" i="40"/>
  <c r="AU100" i="40"/>
  <c r="AR100" i="40"/>
  <c r="AO100" i="40"/>
  <c r="DO99" i="40"/>
  <c r="DM99" i="40"/>
  <c r="DJ99" i="40"/>
  <c r="DL99" i="40" s="1"/>
  <c r="DG99" i="40"/>
  <c r="DI99" i="40" s="1"/>
  <c r="DF99" i="40"/>
  <c r="DC99" i="40"/>
  <c r="CZ99" i="40"/>
  <c r="CT99" i="40"/>
  <c r="CQ99" i="40"/>
  <c r="CN99" i="40"/>
  <c r="CK99" i="40"/>
  <c r="CH99" i="40"/>
  <c r="CE99" i="40"/>
  <c r="BY99" i="40"/>
  <c r="BV99" i="40"/>
  <c r="BS99" i="40"/>
  <c r="BP99" i="40"/>
  <c r="BM99" i="40"/>
  <c r="BJ99" i="40"/>
  <c r="BD99" i="40"/>
  <c r="BA99" i="40"/>
  <c r="AX99" i="40"/>
  <c r="AU99" i="40"/>
  <c r="AR99" i="40"/>
  <c r="AO99" i="40"/>
  <c r="DO98" i="40"/>
  <c r="DL98" i="40"/>
  <c r="DI98" i="40"/>
  <c r="DF98" i="40"/>
  <c r="DC98" i="40"/>
  <c r="CZ98" i="40"/>
  <c r="CT98" i="40"/>
  <c r="CQ98" i="40"/>
  <c r="CN98" i="40"/>
  <c r="CK98" i="40"/>
  <c r="CH98" i="40"/>
  <c r="CE98" i="40"/>
  <c r="BY98" i="40"/>
  <c r="BV98" i="40"/>
  <c r="BS98" i="40"/>
  <c r="BP98" i="40"/>
  <c r="BM98" i="40"/>
  <c r="BJ98" i="40"/>
  <c r="BD98" i="40"/>
  <c r="BA98" i="40"/>
  <c r="AX98" i="40"/>
  <c r="AU98" i="40"/>
  <c r="AR98" i="40"/>
  <c r="AO98" i="40"/>
  <c r="DO97" i="40"/>
  <c r="DL97" i="40"/>
  <c r="DI97" i="40"/>
  <c r="DF97" i="40"/>
  <c r="DC97" i="40"/>
  <c r="CZ97" i="40"/>
  <c r="CT97" i="40"/>
  <c r="CQ97" i="40"/>
  <c r="CN97" i="40"/>
  <c r="CK97" i="40"/>
  <c r="CH97" i="40"/>
  <c r="CE97" i="40"/>
  <c r="BY97" i="40"/>
  <c r="BV97" i="40"/>
  <c r="BS97" i="40"/>
  <c r="BP97" i="40"/>
  <c r="BM97" i="40"/>
  <c r="BJ97" i="40"/>
  <c r="BD97" i="40"/>
  <c r="BA97" i="40"/>
  <c r="AX97" i="40"/>
  <c r="AU97" i="40"/>
  <c r="AR97" i="40"/>
  <c r="AO97" i="40"/>
  <c r="DO96" i="40"/>
  <c r="DL96" i="40"/>
  <c r="DI96" i="40"/>
  <c r="DF96" i="40"/>
  <c r="DC96" i="40"/>
  <c r="CZ96" i="40"/>
  <c r="CT96" i="40"/>
  <c r="CQ96" i="40"/>
  <c r="CN96" i="40"/>
  <c r="CK96" i="40"/>
  <c r="CH96" i="40"/>
  <c r="CE96" i="40"/>
  <c r="BY96" i="40"/>
  <c r="BV96" i="40"/>
  <c r="BS96" i="40"/>
  <c r="BP96" i="40"/>
  <c r="BM96" i="40"/>
  <c r="BJ96" i="40"/>
  <c r="BD96" i="40"/>
  <c r="BA96" i="40"/>
  <c r="AX96" i="40"/>
  <c r="AU96" i="40"/>
  <c r="AR96" i="40"/>
  <c r="AO96" i="40"/>
  <c r="DO95" i="40"/>
  <c r="DL95" i="40"/>
  <c r="DI95" i="40"/>
  <c r="DF95" i="40"/>
  <c r="DC95" i="40"/>
  <c r="CZ95" i="40"/>
  <c r="CT95" i="40"/>
  <c r="CQ95" i="40"/>
  <c r="CN95" i="40"/>
  <c r="CK95" i="40"/>
  <c r="CH95" i="40"/>
  <c r="CE95" i="40"/>
  <c r="BY95" i="40"/>
  <c r="BV95" i="40"/>
  <c r="BS95" i="40"/>
  <c r="BP95" i="40"/>
  <c r="BM95" i="40"/>
  <c r="BJ95" i="40"/>
  <c r="BD95" i="40"/>
  <c r="BA95" i="40"/>
  <c r="AX95" i="40"/>
  <c r="AU95" i="40"/>
  <c r="AR95" i="40"/>
  <c r="AO95" i="40"/>
  <c r="DO94" i="40"/>
  <c r="DL94" i="40"/>
  <c r="DI94" i="40"/>
  <c r="DF94" i="40"/>
  <c r="DC94" i="40"/>
  <c r="CZ94" i="40"/>
  <c r="CT94" i="40"/>
  <c r="CQ94" i="40"/>
  <c r="CN94" i="40"/>
  <c r="CK94" i="40"/>
  <c r="CH94" i="40"/>
  <c r="CE94" i="40"/>
  <c r="BY94" i="40"/>
  <c r="BV94" i="40"/>
  <c r="BS94" i="40"/>
  <c r="BP94" i="40"/>
  <c r="BM94" i="40"/>
  <c r="BJ94" i="40"/>
  <c r="BD94" i="40"/>
  <c r="BA94" i="40"/>
  <c r="AX94" i="40"/>
  <c r="AU94" i="40"/>
  <c r="AR94" i="40"/>
  <c r="AO94" i="40"/>
  <c r="DO93" i="40"/>
  <c r="DL93" i="40"/>
  <c r="DI93" i="40"/>
  <c r="DF93" i="40"/>
  <c r="DC93" i="40"/>
  <c r="CZ93" i="40"/>
  <c r="CT93" i="40"/>
  <c r="CQ93" i="40"/>
  <c r="CN93" i="40"/>
  <c r="CK93" i="40"/>
  <c r="CH93" i="40"/>
  <c r="CE93" i="40"/>
  <c r="BY93" i="40"/>
  <c r="BV93" i="40"/>
  <c r="BS93" i="40"/>
  <c r="BP93" i="40"/>
  <c r="BM93" i="40"/>
  <c r="BJ93" i="40"/>
  <c r="BD93" i="40"/>
  <c r="BA93" i="40"/>
  <c r="AX93" i="40"/>
  <c r="AU93" i="40"/>
  <c r="AR93" i="40"/>
  <c r="AO93" i="40"/>
  <c r="DO92" i="40"/>
  <c r="DL92" i="40"/>
  <c r="DI92" i="40"/>
  <c r="DF92" i="40"/>
  <c r="DC92" i="40"/>
  <c r="CZ92" i="40"/>
  <c r="CT92" i="40"/>
  <c r="CQ92" i="40"/>
  <c r="CN92" i="40"/>
  <c r="CK92" i="40"/>
  <c r="CH92" i="40"/>
  <c r="CE92" i="40"/>
  <c r="BY92" i="40"/>
  <c r="BV92" i="40"/>
  <c r="BS92" i="40"/>
  <c r="BP92" i="40"/>
  <c r="BM92" i="40"/>
  <c r="BJ92" i="40"/>
  <c r="BD92" i="40"/>
  <c r="BA92" i="40"/>
  <c r="AX92" i="40"/>
  <c r="AU92" i="40"/>
  <c r="AR92" i="40"/>
  <c r="AO92" i="40"/>
  <c r="DO91" i="40"/>
  <c r="DL91" i="40"/>
  <c r="DI91" i="40"/>
  <c r="DF91" i="40"/>
  <c r="DC91" i="40"/>
  <c r="CZ91" i="40"/>
  <c r="CT91" i="40"/>
  <c r="CQ91" i="40"/>
  <c r="CN91" i="40"/>
  <c r="CK91" i="40"/>
  <c r="CH91" i="40"/>
  <c r="CE91" i="40"/>
  <c r="BY91" i="40"/>
  <c r="BV91" i="40"/>
  <c r="BS91" i="40"/>
  <c r="BP91" i="40"/>
  <c r="BM91" i="40"/>
  <c r="BJ91" i="40"/>
  <c r="BD91" i="40"/>
  <c r="BA91" i="40"/>
  <c r="AX91" i="40"/>
  <c r="AU91" i="40"/>
  <c r="AR91" i="40"/>
  <c r="AO91" i="40"/>
  <c r="DO90" i="40"/>
  <c r="DL90" i="40"/>
  <c r="DI90" i="40"/>
  <c r="DF90" i="40"/>
  <c r="DC90" i="40"/>
  <c r="CZ90" i="40"/>
  <c r="CT90" i="40"/>
  <c r="CQ90" i="40"/>
  <c r="CN90" i="40"/>
  <c r="CK90" i="40"/>
  <c r="CH90" i="40"/>
  <c r="CE90" i="40"/>
  <c r="BY90" i="40"/>
  <c r="BV90" i="40"/>
  <c r="BS90" i="40"/>
  <c r="BP90" i="40"/>
  <c r="BM90" i="40"/>
  <c r="BJ90" i="40"/>
  <c r="BD90" i="40"/>
  <c r="BA90" i="40"/>
  <c r="AX90" i="40"/>
  <c r="AU90" i="40"/>
  <c r="AR90" i="40"/>
  <c r="AO90" i="40"/>
  <c r="DO89" i="40"/>
  <c r="DL89" i="40"/>
  <c r="DI89" i="40"/>
  <c r="DF89" i="40"/>
  <c r="DC89" i="40"/>
  <c r="CZ89" i="40"/>
  <c r="CT89" i="40"/>
  <c r="CQ89" i="40"/>
  <c r="CN89" i="40"/>
  <c r="CK89" i="40"/>
  <c r="CH89" i="40"/>
  <c r="CE89" i="40"/>
  <c r="BY89" i="40"/>
  <c r="BV89" i="40"/>
  <c r="BS89" i="40"/>
  <c r="BP89" i="40"/>
  <c r="BM89" i="40"/>
  <c r="BJ89" i="40"/>
  <c r="BD89" i="40"/>
  <c r="BA89" i="40"/>
  <c r="AX89" i="40"/>
  <c r="AU89" i="40"/>
  <c r="AR89" i="40"/>
  <c r="AO89" i="40"/>
  <c r="DO88" i="40"/>
  <c r="DL88" i="40"/>
  <c r="DI88" i="40"/>
  <c r="DF88" i="40"/>
  <c r="DC88" i="40"/>
  <c r="CZ88" i="40"/>
  <c r="CT88" i="40"/>
  <c r="CQ88" i="40"/>
  <c r="CN88" i="40"/>
  <c r="CK88" i="40"/>
  <c r="CH88" i="40"/>
  <c r="CE88" i="40"/>
  <c r="BY88" i="40"/>
  <c r="BV88" i="40"/>
  <c r="BS88" i="40"/>
  <c r="BP88" i="40"/>
  <c r="BM88" i="40"/>
  <c r="BJ88" i="40"/>
  <c r="BD88" i="40"/>
  <c r="BA88" i="40"/>
  <c r="AX88" i="40"/>
  <c r="AU88" i="40"/>
  <c r="AR88" i="40"/>
  <c r="AO88" i="40"/>
  <c r="DO87" i="40"/>
  <c r="DL87" i="40"/>
  <c r="DI87" i="40"/>
  <c r="DF87" i="40"/>
  <c r="DC87" i="40"/>
  <c r="CZ87" i="40"/>
  <c r="CT87" i="40"/>
  <c r="CQ87" i="40"/>
  <c r="CN87" i="40"/>
  <c r="CK87" i="40"/>
  <c r="CH87" i="40"/>
  <c r="CE87" i="40"/>
  <c r="BY87" i="40"/>
  <c r="BV87" i="40"/>
  <c r="BS87" i="40"/>
  <c r="BP87" i="40"/>
  <c r="BM87" i="40"/>
  <c r="BJ87" i="40"/>
  <c r="BD87" i="40"/>
  <c r="BA87" i="40"/>
  <c r="AX87" i="40"/>
  <c r="AU87" i="40"/>
  <c r="AR87" i="40"/>
  <c r="AO87" i="40"/>
  <c r="DO86" i="40"/>
  <c r="DL86" i="40"/>
  <c r="DI86" i="40"/>
  <c r="DF86" i="40"/>
  <c r="DC86" i="40"/>
  <c r="CZ86" i="40"/>
  <c r="CT86" i="40"/>
  <c r="CQ86" i="40"/>
  <c r="CN86" i="40"/>
  <c r="CK86" i="40"/>
  <c r="CH86" i="40"/>
  <c r="CE86" i="40"/>
  <c r="BY86" i="40"/>
  <c r="BV86" i="40"/>
  <c r="BS86" i="40"/>
  <c r="BP86" i="40"/>
  <c r="BM86" i="40"/>
  <c r="BJ86" i="40"/>
  <c r="BD86" i="40"/>
  <c r="BA86" i="40"/>
  <c r="AX86" i="40"/>
  <c r="AU86" i="40"/>
  <c r="AR86" i="40"/>
  <c r="AO86" i="40"/>
  <c r="DO85" i="40"/>
  <c r="DL85" i="40"/>
  <c r="DI85" i="40"/>
  <c r="DF85" i="40"/>
  <c r="DC85" i="40"/>
  <c r="CZ85" i="40"/>
  <c r="CT85" i="40"/>
  <c r="CQ85" i="40"/>
  <c r="CN85" i="40"/>
  <c r="CK85" i="40"/>
  <c r="CH85" i="40"/>
  <c r="CE85" i="40"/>
  <c r="BY85" i="40"/>
  <c r="BV85" i="40"/>
  <c r="BS85" i="40"/>
  <c r="BP85" i="40"/>
  <c r="BM85" i="40"/>
  <c r="BJ85" i="40"/>
  <c r="BD85" i="40"/>
  <c r="BA85" i="40"/>
  <c r="AX85" i="40"/>
  <c r="AU85" i="40"/>
  <c r="AR85" i="40"/>
  <c r="AO85" i="40"/>
  <c r="DO84" i="40"/>
  <c r="DL84" i="40"/>
  <c r="DI84" i="40"/>
  <c r="DE84" i="40"/>
  <c r="DC84" i="40"/>
  <c r="CZ84" i="40"/>
  <c r="CT84" i="40"/>
  <c r="CQ84" i="40"/>
  <c r="CN84" i="40"/>
  <c r="CK84" i="40"/>
  <c r="CH84" i="40"/>
  <c r="CE84" i="40"/>
  <c r="BY84" i="40"/>
  <c r="BV84" i="40"/>
  <c r="BS84" i="40"/>
  <c r="BP84" i="40"/>
  <c r="BM84" i="40"/>
  <c r="BJ84" i="40"/>
  <c r="BD84" i="40"/>
  <c r="BA84" i="40"/>
  <c r="AX84" i="40"/>
  <c r="AU84" i="40"/>
  <c r="AR84" i="40"/>
  <c r="AO84" i="40"/>
  <c r="DO83" i="40"/>
  <c r="DL83" i="40"/>
  <c r="DI83" i="40"/>
  <c r="DF83" i="40"/>
  <c r="DC83" i="40"/>
  <c r="CZ83" i="40"/>
  <c r="CT83" i="40"/>
  <c r="CQ83" i="40"/>
  <c r="CN83" i="40"/>
  <c r="CK83" i="40"/>
  <c r="CH83" i="40"/>
  <c r="CE83" i="40"/>
  <c r="BY83" i="40"/>
  <c r="BV83" i="40"/>
  <c r="BS83" i="40"/>
  <c r="BP83" i="40"/>
  <c r="BM83" i="40"/>
  <c r="BJ83" i="40"/>
  <c r="BD83" i="40"/>
  <c r="BA83" i="40"/>
  <c r="AX83" i="40"/>
  <c r="AU83" i="40"/>
  <c r="AR83" i="40"/>
  <c r="AO83" i="40"/>
  <c r="DO82" i="40"/>
  <c r="DL82" i="40"/>
  <c r="DI82" i="40"/>
  <c r="DF82" i="40"/>
  <c r="DC82" i="40"/>
  <c r="CZ82" i="40"/>
  <c r="CT82" i="40"/>
  <c r="CQ82" i="40"/>
  <c r="CN82" i="40"/>
  <c r="CK82" i="40"/>
  <c r="CH82" i="40"/>
  <c r="CE82" i="40"/>
  <c r="BY82" i="40"/>
  <c r="BV82" i="40"/>
  <c r="BS82" i="40"/>
  <c r="BP82" i="40"/>
  <c r="BM82" i="40"/>
  <c r="BJ82" i="40"/>
  <c r="BD82" i="40"/>
  <c r="BA82" i="40"/>
  <c r="AX82" i="40"/>
  <c r="AU82" i="40"/>
  <c r="AR82" i="40"/>
  <c r="AO82" i="40"/>
  <c r="DO81" i="40"/>
  <c r="DL81" i="40"/>
  <c r="DI81" i="40"/>
  <c r="DF81" i="40"/>
  <c r="DC81" i="40"/>
  <c r="CZ81" i="40"/>
  <c r="CT81" i="40"/>
  <c r="CQ81" i="40"/>
  <c r="CN81" i="40"/>
  <c r="CK81" i="40"/>
  <c r="CH81" i="40"/>
  <c r="CE81" i="40"/>
  <c r="BY81" i="40"/>
  <c r="BV81" i="40"/>
  <c r="BS81" i="40"/>
  <c r="BP81" i="40"/>
  <c r="BM81" i="40"/>
  <c r="BJ81" i="40"/>
  <c r="BD81" i="40"/>
  <c r="BA81" i="40"/>
  <c r="AX81" i="40"/>
  <c r="AU81" i="40"/>
  <c r="AR81" i="40"/>
  <c r="AO81" i="40"/>
  <c r="DO80" i="40"/>
  <c r="DL80" i="40"/>
  <c r="DI80" i="40"/>
  <c r="DF80" i="40"/>
  <c r="DC80" i="40"/>
  <c r="CZ80" i="40"/>
  <c r="CT80" i="40"/>
  <c r="CQ80" i="40"/>
  <c r="CN80" i="40"/>
  <c r="CK80" i="40"/>
  <c r="CH80" i="40"/>
  <c r="CE80" i="40"/>
  <c r="BY80" i="40"/>
  <c r="BV80" i="40"/>
  <c r="BS80" i="40"/>
  <c r="BP80" i="40"/>
  <c r="BM80" i="40"/>
  <c r="BJ80" i="40"/>
  <c r="BD80" i="40"/>
  <c r="BA80" i="40"/>
  <c r="AX80" i="40"/>
  <c r="AU80" i="40"/>
  <c r="AR80" i="40"/>
  <c r="AO80" i="40"/>
  <c r="DO79" i="40"/>
  <c r="DL79" i="40"/>
  <c r="DI79" i="40"/>
  <c r="DF79" i="40"/>
  <c r="DC79" i="40"/>
  <c r="CZ79" i="40"/>
  <c r="CT79" i="40"/>
  <c r="CQ79" i="40"/>
  <c r="CN79" i="40"/>
  <c r="CK79" i="40"/>
  <c r="CH79" i="40"/>
  <c r="CE79" i="40"/>
  <c r="BY79" i="40"/>
  <c r="BV79" i="40"/>
  <c r="BS79" i="40"/>
  <c r="BP79" i="40"/>
  <c r="BM79" i="40"/>
  <c r="BJ79" i="40"/>
  <c r="BD79" i="40"/>
  <c r="BA79" i="40"/>
  <c r="AX79" i="40"/>
  <c r="AU79" i="40"/>
  <c r="AR79" i="40"/>
  <c r="AO79" i="40"/>
  <c r="DO78" i="40"/>
  <c r="DL78" i="40"/>
  <c r="DI78" i="40"/>
  <c r="DF78" i="40"/>
  <c r="DC78" i="40"/>
  <c r="CZ78" i="40"/>
  <c r="CT78" i="40"/>
  <c r="CQ78" i="40"/>
  <c r="CN78" i="40"/>
  <c r="CK78" i="40"/>
  <c r="CH78" i="40"/>
  <c r="CE78" i="40"/>
  <c r="BY78" i="40"/>
  <c r="BV78" i="40"/>
  <c r="BS78" i="40"/>
  <c r="BP78" i="40"/>
  <c r="BM78" i="40"/>
  <c r="BJ78" i="40"/>
  <c r="BD78" i="40"/>
  <c r="BA78" i="40"/>
  <c r="AX78" i="40"/>
  <c r="AU78" i="40"/>
  <c r="AR78" i="40"/>
  <c r="AO78" i="40"/>
  <c r="DO77" i="40"/>
  <c r="DL77" i="40"/>
  <c r="DI77" i="40"/>
  <c r="DF77" i="40"/>
  <c r="DC77" i="40"/>
  <c r="CZ77" i="40"/>
  <c r="CT77" i="40"/>
  <c r="CQ77" i="40"/>
  <c r="CN77" i="40"/>
  <c r="CK77" i="40"/>
  <c r="CH77" i="40"/>
  <c r="CE77" i="40"/>
  <c r="BY77" i="40"/>
  <c r="BV77" i="40"/>
  <c r="BS77" i="40"/>
  <c r="BP77" i="40"/>
  <c r="BM77" i="40"/>
  <c r="BJ77" i="40"/>
  <c r="BD77" i="40"/>
  <c r="BA77" i="40"/>
  <c r="AX77" i="40"/>
  <c r="AU77" i="40"/>
  <c r="AR77" i="40"/>
  <c r="AO77" i="40"/>
  <c r="DO76" i="40"/>
  <c r="DL76" i="40"/>
  <c r="DI76" i="40"/>
  <c r="DF76" i="40"/>
  <c r="DC76" i="40"/>
  <c r="CZ76" i="40"/>
  <c r="CT76" i="40"/>
  <c r="CQ76" i="40"/>
  <c r="CN76" i="40"/>
  <c r="CK76" i="40"/>
  <c r="CH76" i="40"/>
  <c r="CE76" i="40"/>
  <c r="BY76" i="40"/>
  <c r="BV76" i="40"/>
  <c r="BS76" i="40"/>
  <c r="BP76" i="40"/>
  <c r="BM76" i="40"/>
  <c r="BJ76" i="40"/>
  <c r="BD76" i="40"/>
  <c r="BA76" i="40"/>
  <c r="AX76" i="40"/>
  <c r="AU76" i="40"/>
  <c r="AR76" i="40"/>
  <c r="AO76" i="40"/>
  <c r="DO75" i="40"/>
  <c r="DL75" i="40"/>
  <c r="DI75" i="40"/>
  <c r="DF75" i="40"/>
  <c r="DC75" i="40"/>
  <c r="CZ75" i="40"/>
  <c r="CT75" i="40"/>
  <c r="CQ75" i="40"/>
  <c r="CN75" i="40"/>
  <c r="CK75" i="40"/>
  <c r="CH75" i="40"/>
  <c r="CE75" i="40"/>
  <c r="BY75" i="40"/>
  <c r="BV75" i="40"/>
  <c r="BS75" i="40"/>
  <c r="BP75" i="40"/>
  <c r="BM75" i="40"/>
  <c r="BJ75" i="40"/>
  <c r="BD75" i="40"/>
  <c r="BA75" i="40"/>
  <c r="AX75" i="40"/>
  <c r="AU75" i="40"/>
  <c r="AR75" i="40"/>
  <c r="AO75" i="40"/>
  <c r="DO74" i="40"/>
  <c r="DL74" i="40"/>
  <c r="DI74" i="40"/>
  <c r="DF74" i="40"/>
  <c r="DC74" i="40"/>
  <c r="CZ74" i="40"/>
  <c r="CT74" i="40"/>
  <c r="CQ74" i="40"/>
  <c r="CN74" i="40"/>
  <c r="CK74" i="40"/>
  <c r="CH74" i="40"/>
  <c r="CE74" i="40"/>
  <c r="BY74" i="40"/>
  <c r="BV74" i="40"/>
  <c r="BS74" i="40"/>
  <c r="BP74" i="40"/>
  <c r="BM74" i="40"/>
  <c r="BJ74" i="40"/>
  <c r="BD74" i="40"/>
  <c r="BA74" i="40"/>
  <c r="AX74" i="40"/>
  <c r="AU74" i="40"/>
  <c r="AR74" i="40"/>
  <c r="AO74" i="40"/>
  <c r="DO73" i="40"/>
  <c r="DL73" i="40"/>
  <c r="DI73" i="40"/>
  <c r="DF73" i="40"/>
  <c r="DC73" i="40"/>
  <c r="CZ73" i="40"/>
  <c r="CT73" i="40"/>
  <c r="CQ73" i="40"/>
  <c r="CN73" i="40"/>
  <c r="CK73" i="40"/>
  <c r="CH73" i="40"/>
  <c r="CE73" i="40"/>
  <c r="BY73" i="40"/>
  <c r="BV73" i="40"/>
  <c r="BS73" i="40"/>
  <c r="BP73" i="40"/>
  <c r="BM73" i="40"/>
  <c r="BJ73" i="40"/>
  <c r="BD73" i="40"/>
  <c r="BA73" i="40"/>
  <c r="AX73" i="40"/>
  <c r="AU73" i="40"/>
  <c r="AR73" i="40"/>
  <c r="AO73" i="40"/>
  <c r="DO72" i="40"/>
  <c r="DL72" i="40"/>
  <c r="DI72" i="40"/>
  <c r="DF72" i="40"/>
  <c r="DC72" i="40"/>
  <c r="CZ72" i="40"/>
  <c r="CT72" i="40"/>
  <c r="CQ72" i="40"/>
  <c r="CN72" i="40"/>
  <c r="CK72" i="40"/>
  <c r="CH72" i="40"/>
  <c r="CE72" i="40"/>
  <c r="BY72" i="40"/>
  <c r="BV72" i="40"/>
  <c r="BS72" i="40"/>
  <c r="BP72" i="40"/>
  <c r="BM72" i="40"/>
  <c r="BJ72" i="40"/>
  <c r="BD72" i="40"/>
  <c r="BA72" i="40"/>
  <c r="AX72" i="40"/>
  <c r="AU72" i="40"/>
  <c r="AR72" i="40"/>
  <c r="AO72" i="40"/>
  <c r="DO71" i="40"/>
  <c r="DL71" i="40"/>
  <c r="DI71" i="40"/>
  <c r="DF71" i="40"/>
  <c r="DC71" i="40"/>
  <c r="CZ71" i="40"/>
  <c r="CT71" i="40"/>
  <c r="CQ71" i="40"/>
  <c r="CN71" i="40"/>
  <c r="CK71" i="40"/>
  <c r="CH71" i="40"/>
  <c r="CE71" i="40"/>
  <c r="BY71" i="40"/>
  <c r="BV71" i="40"/>
  <c r="BS71" i="40"/>
  <c r="BP71" i="40"/>
  <c r="BM71" i="40"/>
  <c r="BJ71" i="40"/>
  <c r="BD71" i="40"/>
  <c r="BA71" i="40"/>
  <c r="AX71" i="40"/>
  <c r="AU71" i="40"/>
  <c r="AR71" i="40"/>
  <c r="AO71" i="40"/>
  <c r="DO70" i="40"/>
  <c r="DL70" i="40"/>
  <c r="DI70" i="40"/>
  <c r="DF70" i="40"/>
  <c r="DC70" i="40"/>
  <c r="CZ70" i="40"/>
  <c r="CT70" i="40"/>
  <c r="CQ70" i="40"/>
  <c r="CN70" i="40"/>
  <c r="CK70" i="40"/>
  <c r="CH70" i="40"/>
  <c r="CE70" i="40"/>
  <c r="BY70" i="40"/>
  <c r="BV70" i="40"/>
  <c r="BS70" i="40"/>
  <c r="BP70" i="40"/>
  <c r="BM70" i="40"/>
  <c r="BJ70" i="40"/>
  <c r="BD70" i="40"/>
  <c r="BA70" i="40"/>
  <c r="AX70" i="40"/>
  <c r="AU70" i="40"/>
  <c r="AR70" i="40"/>
  <c r="AO70" i="40"/>
  <c r="DO69" i="40"/>
  <c r="DL69" i="40"/>
  <c r="DI69" i="40"/>
  <c r="DF69" i="40"/>
  <c r="DC69" i="40"/>
  <c r="CZ69" i="40"/>
  <c r="CT69" i="40"/>
  <c r="CQ69" i="40"/>
  <c r="CN69" i="40"/>
  <c r="CK69" i="40"/>
  <c r="CH69" i="40"/>
  <c r="CE69" i="40"/>
  <c r="BY69" i="40"/>
  <c r="BV69" i="40"/>
  <c r="BS69" i="40"/>
  <c r="BP69" i="40"/>
  <c r="BM69" i="40"/>
  <c r="BJ69" i="40"/>
  <c r="BD69" i="40"/>
  <c r="BA69" i="40"/>
  <c r="AX69" i="40"/>
  <c r="AU69" i="40"/>
  <c r="AR69" i="40"/>
  <c r="AO69" i="40"/>
  <c r="DO68" i="40"/>
  <c r="DL68" i="40"/>
  <c r="DI68" i="40"/>
  <c r="DF68" i="40"/>
  <c r="DC68" i="40"/>
  <c r="CZ68" i="40"/>
  <c r="CT68" i="40"/>
  <c r="CQ68" i="40"/>
  <c r="CN68" i="40"/>
  <c r="CK68" i="40"/>
  <c r="CH68" i="40"/>
  <c r="CE68" i="40"/>
  <c r="BY68" i="40"/>
  <c r="BV68" i="40"/>
  <c r="BS68" i="40"/>
  <c r="BP68" i="40"/>
  <c r="BM68" i="40"/>
  <c r="BJ68" i="40"/>
  <c r="BD68" i="40"/>
  <c r="BA68" i="40"/>
  <c r="AX68" i="40"/>
  <c r="AU68" i="40"/>
  <c r="AR68" i="40"/>
  <c r="AO68" i="40"/>
  <c r="DO67" i="40"/>
  <c r="DL67" i="40"/>
  <c r="DI67" i="40"/>
  <c r="DF67" i="40"/>
  <c r="DC67" i="40"/>
  <c r="CZ67" i="40"/>
  <c r="CT67" i="40"/>
  <c r="CQ67" i="40"/>
  <c r="CN67" i="40"/>
  <c r="CK67" i="40"/>
  <c r="CH67" i="40"/>
  <c r="CE67" i="40"/>
  <c r="BY67" i="40"/>
  <c r="BV67" i="40"/>
  <c r="BS67" i="40"/>
  <c r="BP67" i="40"/>
  <c r="BM67" i="40"/>
  <c r="BJ67" i="40"/>
  <c r="BD67" i="40"/>
  <c r="BA67" i="40"/>
  <c r="AX67" i="40"/>
  <c r="AU67" i="40"/>
  <c r="AR67" i="40"/>
  <c r="AO67" i="40"/>
  <c r="DO66" i="40"/>
  <c r="DL66" i="40"/>
  <c r="DI66" i="40"/>
  <c r="DF66" i="40"/>
  <c r="DC66" i="40"/>
  <c r="CZ66" i="40"/>
  <c r="CT66" i="40"/>
  <c r="CQ66" i="40"/>
  <c r="CN66" i="40"/>
  <c r="CK66" i="40"/>
  <c r="CH66" i="40"/>
  <c r="CE66" i="40"/>
  <c r="BY66" i="40"/>
  <c r="BV66" i="40"/>
  <c r="BS66" i="40"/>
  <c r="BP66" i="40"/>
  <c r="BM66" i="40"/>
  <c r="BJ66" i="40"/>
  <c r="BD66" i="40"/>
  <c r="BA66" i="40"/>
  <c r="AX66" i="40"/>
  <c r="AU66" i="40"/>
  <c r="AR66" i="40"/>
  <c r="AO66" i="40"/>
  <c r="DO65" i="40"/>
  <c r="DL65" i="40"/>
  <c r="DI65" i="40"/>
  <c r="DF65" i="40"/>
  <c r="DC65" i="40"/>
  <c r="CZ65" i="40"/>
  <c r="CT65" i="40"/>
  <c r="CQ65" i="40"/>
  <c r="CN65" i="40"/>
  <c r="CK65" i="40"/>
  <c r="CH65" i="40"/>
  <c r="CE65" i="40"/>
  <c r="BY65" i="40"/>
  <c r="BV65" i="40"/>
  <c r="BS65" i="40"/>
  <c r="BP65" i="40"/>
  <c r="BM65" i="40"/>
  <c r="BJ65" i="40"/>
  <c r="BD65" i="40"/>
  <c r="BA65" i="40"/>
  <c r="AX65" i="40"/>
  <c r="AU65" i="40"/>
  <c r="AR65" i="40"/>
  <c r="AO65" i="40"/>
  <c r="DO64" i="40"/>
  <c r="DL64" i="40"/>
  <c r="DI64" i="40"/>
  <c r="DF64" i="40"/>
  <c r="DC64" i="40"/>
  <c r="CZ64" i="40"/>
  <c r="CT64" i="40"/>
  <c r="CQ64" i="40"/>
  <c r="CN64" i="40"/>
  <c r="CK64" i="40"/>
  <c r="CH64" i="40"/>
  <c r="CE64" i="40"/>
  <c r="BY64" i="40"/>
  <c r="BV64" i="40"/>
  <c r="BS64" i="40"/>
  <c r="BP64" i="40"/>
  <c r="BM64" i="40"/>
  <c r="BJ64" i="40"/>
  <c r="BD64" i="40"/>
  <c r="BA64" i="40"/>
  <c r="AX64" i="40"/>
  <c r="AU64" i="40"/>
  <c r="AR64" i="40"/>
  <c r="AO64" i="40"/>
  <c r="DO63" i="40"/>
  <c r="DL63" i="40"/>
  <c r="DI63" i="40"/>
  <c r="DF63" i="40"/>
  <c r="DC63" i="40"/>
  <c r="CZ63" i="40"/>
  <c r="CT63" i="40"/>
  <c r="CQ63" i="40"/>
  <c r="CN63" i="40"/>
  <c r="CK63" i="40"/>
  <c r="CH63" i="40"/>
  <c r="CE63" i="40"/>
  <c r="BY63" i="40"/>
  <c r="BV63" i="40"/>
  <c r="BS63" i="40"/>
  <c r="BP63" i="40"/>
  <c r="BM63" i="40"/>
  <c r="BJ63" i="40"/>
  <c r="BD63" i="40"/>
  <c r="BA63" i="40"/>
  <c r="AX63" i="40"/>
  <c r="AU63" i="40"/>
  <c r="AR63" i="40"/>
  <c r="AO63" i="40"/>
  <c r="DO62" i="40"/>
  <c r="DL62" i="40"/>
  <c r="DI62" i="40"/>
  <c r="DF62" i="40"/>
  <c r="DC62" i="40"/>
  <c r="CZ62" i="40"/>
  <c r="CT62" i="40"/>
  <c r="CQ62" i="40"/>
  <c r="CN62" i="40"/>
  <c r="CK62" i="40"/>
  <c r="CH62" i="40"/>
  <c r="CE62" i="40"/>
  <c r="BY62" i="40"/>
  <c r="BV62" i="40"/>
  <c r="BS62" i="40"/>
  <c r="BP62" i="40"/>
  <c r="BM62" i="40"/>
  <c r="BJ62" i="40"/>
  <c r="BD62" i="40"/>
  <c r="BA62" i="40"/>
  <c r="AX62" i="40"/>
  <c r="AU62" i="40"/>
  <c r="AR62" i="40"/>
  <c r="AO62" i="40"/>
  <c r="DO61" i="40"/>
  <c r="DL61" i="40"/>
  <c r="DI61" i="40"/>
  <c r="DF61" i="40"/>
  <c r="DC61" i="40"/>
  <c r="CZ61" i="40"/>
  <c r="CT61" i="40"/>
  <c r="CQ61" i="40"/>
  <c r="CN61" i="40"/>
  <c r="CK61" i="40"/>
  <c r="CH61" i="40"/>
  <c r="CE61" i="40"/>
  <c r="BY61" i="40"/>
  <c r="BV61" i="40"/>
  <c r="BS61" i="40"/>
  <c r="BP61" i="40"/>
  <c r="BM61" i="40"/>
  <c r="BJ61" i="40"/>
  <c r="BD61" i="40"/>
  <c r="BA61" i="40"/>
  <c r="AX61" i="40"/>
  <c r="AU61" i="40"/>
  <c r="AR61" i="40"/>
  <c r="AO61" i="40"/>
  <c r="DO60" i="40"/>
  <c r="DL60" i="40"/>
  <c r="DI60" i="40"/>
  <c r="DF60" i="40"/>
  <c r="DC60" i="40"/>
  <c r="CZ60" i="40"/>
  <c r="CT60" i="40"/>
  <c r="CQ60" i="40"/>
  <c r="CN60" i="40"/>
  <c r="CK60" i="40"/>
  <c r="CH60" i="40"/>
  <c r="CE60" i="40"/>
  <c r="BY60" i="40"/>
  <c r="BV60" i="40"/>
  <c r="BS60" i="40"/>
  <c r="BP60" i="40"/>
  <c r="BM60" i="40"/>
  <c r="BJ60" i="40"/>
  <c r="BD60" i="40"/>
  <c r="BA60" i="40"/>
  <c r="AX60" i="40"/>
  <c r="AU60" i="40"/>
  <c r="AR60" i="40"/>
  <c r="AO60" i="40"/>
  <c r="DO59" i="40"/>
  <c r="DL59" i="40"/>
  <c r="DI59" i="40"/>
  <c r="DF59" i="40"/>
  <c r="DC59" i="40"/>
  <c r="CZ59" i="40"/>
  <c r="CT59" i="40"/>
  <c r="CQ59" i="40"/>
  <c r="CN59" i="40"/>
  <c r="CK59" i="40"/>
  <c r="CH59" i="40"/>
  <c r="CE59" i="40"/>
  <c r="BY59" i="40"/>
  <c r="BV59" i="40"/>
  <c r="BS59" i="40"/>
  <c r="BP59" i="40"/>
  <c r="BM59" i="40"/>
  <c r="BJ59" i="40"/>
  <c r="BD59" i="40"/>
  <c r="BA59" i="40"/>
  <c r="AX59" i="40"/>
  <c r="AU59" i="40"/>
  <c r="AR59" i="40"/>
  <c r="AO59" i="40"/>
  <c r="DO58" i="40"/>
  <c r="DL58" i="40"/>
  <c r="DI58" i="40"/>
  <c r="DF58" i="40"/>
  <c r="DC58" i="40"/>
  <c r="CZ58" i="40"/>
  <c r="CT58" i="40"/>
  <c r="CQ58" i="40"/>
  <c r="CN58" i="40"/>
  <c r="CK58" i="40"/>
  <c r="CH58" i="40"/>
  <c r="CE58" i="40"/>
  <c r="BY58" i="40"/>
  <c r="BV58" i="40"/>
  <c r="BS58" i="40"/>
  <c r="BP58" i="40"/>
  <c r="BM58" i="40"/>
  <c r="BJ58" i="40"/>
  <c r="BD58" i="40"/>
  <c r="BA58" i="40"/>
  <c r="AX58" i="40"/>
  <c r="AU58" i="40"/>
  <c r="AR58" i="40"/>
  <c r="AO58" i="40"/>
  <c r="DO57" i="40"/>
  <c r="DL57" i="40"/>
  <c r="DI57" i="40"/>
  <c r="DF57" i="40"/>
  <c r="DC57" i="40"/>
  <c r="CZ57" i="40"/>
  <c r="CT57" i="40"/>
  <c r="CQ57" i="40"/>
  <c r="CN57" i="40"/>
  <c r="CK57" i="40"/>
  <c r="CH57" i="40"/>
  <c r="CE57" i="40"/>
  <c r="BY57" i="40"/>
  <c r="BV57" i="40"/>
  <c r="BS57" i="40"/>
  <c r="BP57" i="40"/>
  <c r="BM57" i="40"/>
  <c r="BJ57" i="40"/>
  <c r="BD57" i="40"/>
  <c r="BA57" i="40"/>
  <c r="AX57" i="40"/>
  <c r="AU57" i="40"/>
  <c r="AR57" i="40"/>
  <c r="AO57" i="40"/>
  <c r="DO56" i="40"/>
  <c r="DL56" i="40"/>
  <c r="DI56" i="40"/>
  <c r="DF56" i="40"/>
  <c r="DC56" i="40"/>
  <c r="CZ56" i="40"/>
  <c r="CT56" i="40"/>
  <c r="CQ56" i="40"/>
  <c r="CN56" i="40"/>
  <c r="CK56" i="40"/>
  <c r="CH56" i="40"/>
  <c r="CE56" i="40"/>
  <c r="BY56" i="40"/>
  <c r="BV56" i="40"/>
  <c r="BS56" i="40"/>
  <c r="BP56" i="40"/>
  <c r="BM56" i="40"/>
  <c r="BJ56" i="40"/>
  <c r="BD56" i="40"/>
  <c r="BA56" i="40"/>
  <c r="AX56" i="40"/>
  <c r="AU56" i="40"/>
  <c r="AR56" i="40"/>
  <c r="AO56" i="40"/>
  <c r="DO55" i="40"/>
  <c r="DL55" i="40"/>
  <c r="DI55" i="40"/>
  <c r="DF55" i="40"/>
  <c r="DC55" i="40"/>
  <c r="CZ55" i="40"/>
  <c r="CT55" i="40"/>
  <c r="CQ55" i="40"/>
  <c r="CN55" i="40"/>
  <c r="CK55" i="40"/>
  <c r="CH55" i="40"/>
  <c r="CE55" i="40"/>
  <c r="BY55" i="40"/>
  <c r="BV55" i="40"/>
  <c r="BS55" i="40"/>
  <c r="BP55" i="40"/>
  <c r="BM55" i="40"/>
  <c r="BJ55" i="40"/>
  <c r="BD55" i="40"/>
  <c r="BA55" i="40"/>
  <c r="AX55" i="40"/>
  <c r="AU55" i="40"/>
  <c r="AR55" i="40"/>
  <c r="AO55" i="40"/>
  <c r="DO54" i="40"/>
  <c r="DL54" i="40"/>
  <c r="DI54" i="40"/>
  <c r="DF54" i="40"/>
  <c r="DC54" i="40"/>
  <c r="CZ54" i="40"/>
  <c r="CT54" i="40"/>
  <c r="CQ54" i="40"/>
  <c r="CN54" i="40"/>
  <c r="CK54" i="40"/>
  <c r="CH54" i="40"/>
  <c r="CE54" i="40"/>
  <c r="BY54" i="40"/>
  <c r="BV54" i="40"/>
  <c r="BS54" i="40"/>
  <c r="BP54" i="40"/>
  <c r="BM54" i="40"/>
  <c r="BJ54" i="40"/>
  <c r="BD54" i="40"/>
  <c r="BA54" i="40"/>
  <c r="AX54" i="40"/>
  <c r="AU54" i="40"/>
  <c r="AR54" i="40"/>
  <c r="AO54" i="40"/>
  <c r="DO53" i="40"/>
  <c r="DL53" i="40"/>
  <c r="DI53" i="40"/>
  <c r="DF53" i="40"/>
  <c r="DC53" i="40"/>
  <c r="CZ53" i="40"/>
  <c r="CT53" i="40"/>
  <c r="CQ53" i="40"/>
  <c r="CN53" i="40"/>
  <c r="CK53" i="40"/>
  <c r="CH53" i="40"/>
  <c r="CE53" i="40"/>
  <c r="BY53" i="40"/>
  <c r="BV53" i="40"/>
  <c r="BS53" i="40"/>
  <c r="BP53" i="40"/>
  <c r="BM53" i="40"/>
  <c r="BJ53" i="40"/>
  <c r="BD53" i="40"/>
  <c r="BA53" i="40"/>
  <c r="AX53" i="40"/>
  <c r="AU53" i="40"/>
  <c r="AR53" i="40"/>
  <c r="AO53" i="40"/>
  <c r="DO52" i="40"/>
  <c r="DL52" i="40"/>
  <c r="DI52" i="40"/>
  <c r="DF52" i="40"/>
  <c r="DC52" i="40"/>
  <c r="CZ52" i="40"/>
  <c r="CT52" i="40"/>
  <c r="CQ52" i="40"/>
  <c r="CN52" i="40"/>
  <c r="CK52" i="40"/>
  <c r="CH52" i="40"/>
  <c r="CE52" i="40"/>
  <c r="BY52" i="40"/>
  <c r="BV52" i="40"/>
  <c r="BS52" i="40"/>
  <c r="BP52" i="40"/>
  <c r="BM52" i="40"/>
  <c r="BJ52" i="40"/>
  <c r="BD52" i="40"/>
  <c r="BA52" i="40"/>
  <c r="AX52" i="40"/>
  <c r="AU52" i="40"/>
  <c r="AR52" i="40"/>
  <c r="AO52" i="40"/>
  <c r="DO51" i="40"/>
  <c r="DL51" i="40"/>
  <c r="DI51" i="40"/>
  <c r="DF51" i="40"/>
  <c r="DC51" i="40"/>
  <c r="CZ51" i="40"/>
  <c r="CT51" i="40"/>
  <c r="CQ51" i="40"/>
  <c r="CN51" i="40"/>
  <c r="CK51" i="40"/>
  <c r="CH51" i="40"/>
  <c r="CE51" i="40"/>
  <c r="BY51" i="40"/>
  <c r="BV51" i="40"/>
  <c r="BS51" i="40"/>
  <c r="BP51" i="40"/>
  <c r="BM51" i="40"/>
  <c r="BJ51" i="40"/>
  <c r="BD51" i="40"/>
  <c r="BA51" i="40"/>
  <c r="AX51" i="40"/>
  <c r="AU51" i="40"/>
  <c r="AR51" i="40"/>
  <c r="AO51" i="40"/>
  <c r="DO50" i="40"/>
  <c r="DL50" i="40"/>
  <c r="DI50" i="40"/>
  <c r="DF50" i="40"/>
  <c r="DC50" i="40"/>
  <c r="CZ50" i="40"/>
  <c r="CT50" i="40"/>
  <c r="CQ50" i="40"/>
  <c r="CN50" i="40"/>
  <c r="CK50" i="40"/>
  <c r="CH50" i="40"/>
  <c r="CE50" i="40"/>
  <c r="BY50" i="40"/>
  <c r="BV50" i="40"/>
  <c r="BS50" i="40"/>
  <c r="BP50" i="40"/>
  <c r="BM50" i="40"/>
  <c r="BJ50" i="40"/>
  <c r="BD50" i="40"/>
  <c r="BA50" i="40"/>
  <c r="AX50" i="40"/>
  <c r="AU50" i="40"/>
  <c r="AR50" i="40"/>
  <c r="AO50" i="40"/>
  <c r="DO49" i="40"/>
  <c r="DL49" i="40"/>
  <c r="DI49" i="40"/>
  <c r="DF49" i="40"/>
  <c r="DC49" i="40"/>
  <c r="CZ49" i="40"/>
  <c r="CT49" i="40"/>
  <c r="CQ49" i="40"/>
  <c r="CN49" i="40"/>
  <c r="CK49" i="40"/>
  <c r="CH49" i="40"/>
  <c r="CE49" i="40"/>
  <c r="BY49" i="40"/>
  <c r="BV49" i="40"/>
  <c r="BS49" i="40"/>
  <c r="BP49" i="40"/>
  <c r="BM49" i="40"/>
  <c r="BJ49" i="40"/>
  <c r="BD49" i="40"/>
  <c r="BA49" i="40"/>
  <c r="AX49" i="40"/>
  <c r="AU49" i="40"/>
  <c r="AR49" i="40"/>
  <c r="AO49" i="40"/>
  <c r="DO48" i="40"/>
  <c r="DL48" i="40"/>
  <c r="DI48" i="40"/>
  <c r="DF48" i="40"/>
  <c r="DC48" i="40"/>
  <c r="CZ48" i="40"/>
  <c r="CT48" i="40"/>
  <c r="CQ48" i="40"/>
  <c r="CN48" i="40"/>
  <c r="CK48" i="40"/>
  <c r="CH48" i="40"/>
  <c r="CE48" i="40"/>
  <c r="BY48" i="40"/>
  <c r="BV48" i="40"/>
  <c r="BS48" i="40"/>
  <c r="BP48" i="40"/>
  <c r="BM48" i="40"/>
  <c r="BJ48" i="40"/>
  <c r="BD48" i="40"/>
  <c r="BA48" i="40"/>
  <c r="AX48" i="40"/>
  <c r="AU48" i="40"/>
  <c r="AR48" i="40"/>
  <c r="AO48" i="40"/>
  <c r="DO47" i="40"/>
  <c r="DL47" i="40"/>
  <c r="DI47" i="40"/>
  <c r="DF47" i="40"/>
  <c r="DC47" i="40"/>
  <c r="CZ47" i="40"/>
  <c r="CT47" i="40"/>
  <c r="CQ47" i="40"/>
  <c r="CN47" i="40"/>
  <c r="CK47" i="40"/>
  <c r="CH47" i="40"/>
  <c r="CE47" i="40"/>
  <c r="BX47" i="40"/>
  <c r="BX306" i="40" s="1"/>
  <c r="BT47" i="40"/>
  <c r="BV47" i="40" s="1"/>
  <c r="BQ47" i="40"/>
  <c r="BS47" i="40" s="1"/>
  <c r="BP47" i="40"/>
  <c r="BM47" i="40"/>
  <c r="BJ47" i="40"/>
  <c r="BD47" i="40"/>
  <c r="BA47" i="40"/>
  <c r="AX47" i="40"/>
  <c r="AU47" i="40"/>
  <c r="AR47" i="40"/>
  <c r="AO47" i="40"/>
  <c r="DO46" i="40"/>
  <c r="DL46" i="40"/>
  <c r="DI46" i="40"/>
  <c r="DF46" i="40"/>
  <c r="DC46" i="40"/>
  <c r="CZ46" i="40"/>
  <c r="CT46" i="40"/>
  <c r="CQ46" i="40"/>
  <c r="CN46" i="40"/>
  <c r="CK46" i="40"/>
  <c r="CH46" i="40"/>
  <c r="CE46" i="40"/>
  <c r="BY46" i="40"/>
  <c r="BV46" i="40"/>
  <c r="BS46" i="40"/>
  <c r="BP46" i="40"/>
  <c r="BM46" i="40"/>
  <c r="BJ46" i="40"/>
  <c r="BD46" i="40"/>
  <c r="BA46" i="40"/>
  <c r="AX46" i="40"/>
  <c r="AU46" i="40"/>
  <c r="AR46" i="40"/>
  <c r="AO46" i="40"/>
  <c r="DO45" i="40"/>
  <c r="DL45" i="40"/>
  <c r="DI45" i="40"/>
  <c r="DF45" i="40"/>
  <c r="DC45" i="40"/>
  <c r="CZ45" i="40"/>
  <c r="CT45" i="40"/>
  <c r="CQ45" i="40"/>
  <c r="CN45" i="40"/>
  <c r="CK45" i="40"/>
  <c r="CH45" i="40"/>
  <c r="CE45" i="40"/>
  <c r="BY45" i="40"/>
  <c r="BV45" i="40"/>
  <c r="BS45" i="40"/>
  <c r="BP45" i="40"/>
  <c r="BM45" i="40"/>
  <c r="BJ45" i="40"/>
  <c r="BD45" i="40"/>
  <c r="BA45" i="40"/>
  <c r="AX45" i="40"/>
  <c r="AU45" i="40"/>
  <c r="AR45" i="40"/>
  <c r="AO45" i="40"/>
  <c r="DO44" i="40"/>
  <c r="DL44" i="40"/>
  <c r="DI44" i="40"/>
  <c r="DF44" i="40"/>
  <c r="DC44" i="40"/>
  <c r="CZ44" i="40"/>
  <c r="CT44" i="40"/>
  <c r="CQ44" i="40"/>
  <c r="CN44" i="40"/>
  <c r="CK44" i="40"/>
  <c r="CH44" i="40"/>
  <c r="CE44" i="40"/>
  <c r="BY44" i="40"/>
  <c r="BV44" i="40"/>
  <c r="BS44" i="40"/>
  <c r="BP44" i="40"/>
  <c r="BM44" i="40"/>
  <c r="BJ44" i="40"/>
  <c r="BD44" i="40"/>
  <c r="BA44" i="40"/>
  <c r="AX44" i="40"/>
  <c r="AU44" i="40"/>
  <c r="AR44" i="40"/>
  <c r="AO44" i="40"/>
  <c r="DO43" i="40"/>
  <c r="DL43" i="40"/>
  <c r="DI43" i="40"/>
  <c r="DF43" i="40"/>
  <c r="DC43" i="40"/>
  <c r="CZ43" i="40"/>
  <c r="CT43" i="40"/>
  <c r="CQ43" i="40"/>
  <c r="CN43" i="40"/>
  <c r="CK43" i="40"/>
  <c r="CH43" i="40"/>
  <c r="CE43" i="40"/>
  <c r="BY43" i="40"/>
  <c r="BV43" i="40"/>
  <c r="BS43" i="40"/>
  <c r="BP43" i="40"/>
  <c r="BM43" i="40"/>
  <c r="BJ43" i="40"/>
  <c r="BD43" i="40"/>
  <c r="BA43" i="40"/>
  <c r="AX43" i="40"/>
  <c r="AU43" i="40"/>
  <c r="AR43" i="40"/>
  <c r="AO43" i="40"/>
  <c r="DO42" i="40"/>
  <c r="DL42" i="40"/>
  <c r="DI42" i="40"/>
  <c r="DF42" i="40"/>
  <c r="DC42" i="40"/>
  <c r="CZ42" i="40"/>
  <c r="CT42" i="40"/>
  <c r="CQ42" i="40"/>
  <c r="CN42" i="40"/>
  <c r="CK42" i="40"/>
  <c r="CH42" i="40"/>
  <c r="CE42" i="40"/>
  <c r="BY42" i="40"/>
  <c r="BV42" i="40"/>
  <c r="BS42" i="40"/>
  <c r="BP42" i="40"/>
  <c r="BM42" i="40"/>
  <c r="BJ42" i="40"/>
  <c r="BD42" i="40"/>
  <c r="BA42" i="40"/>
  <c r="AX42" i="40"/>
  <c r="AU42" i="40"/>
  <c r="AR42" i="40"/>
  <c r="AO42" i="40"/>
  <c r="DO41" i="40"/>
  <c r="DL41" i="40"/>
  <c r="DI41" i="40"/>
  <c r="DF41" i="40"/>
  <c r="DC41" i="40"/>
  <c r="CZ41" i="40"/>
  <c r="CT41" i="40"/>
  <c r="CQ41" i="40"/>
  <c r="CN41" i="40"/>
  <c r="CK41" i="40"/>
  <c r="CH41" i="40"/>
  <c r="CE41" i="40"/>
  <c r="BY41" i="40"/>
  <c r="BV41" i="40"/>
  <c r="BS41" i="40"/>
  <c r="BP41" i="40"/>
  <c r="BM41" i="40"/>
  <c r="BJ41" i="40"/>
  <c r="BD41" i="40"/>
  <c r="BA41" i="40"/>
  <c r="AX41" i="40"/>
  <c r="AU41" i="40"/>
  <c r="AR41" i="40"/>
  <c r="AO41" i="40"/>
  <c r="DO40" i="40"/>
  <c r="DL40" i="40"/>
  <c r="DI40" i="40"/>
  <c r="DE40" i="40"/>
  <c r="DF40" i="40" s="1"/>
  <c r="DC40" i="40"/>
  <c r="CZ40" i="40"/>
  <c r="CT40" i="40"/>
  <c r="CQ40" i="40"/>
  <c r="CN40" i="40"/>
  <c r="CK40" i="40"/>
  <c r="CH40" i="40"/>
  <c r="CE40" i="40"/>
  <c r="BY40" i="40"/>
  <c r="BV40" i="40"/>
  <c r="BS40" i="40"/>
  <c r="BP40" i="40"/>
  <c r="BM40" i="40"/>
  <c r="BJ40" i="40"/>
  <c r="BC40" i="40"/>
  <c r="BD40" i="40" s="1"/>
  <c r="BA40" i="40"/>
  <c r="AX40" i="40"/>
  <c r="AU40" i="40"/>
  <c r="AR40" i="40"/>
  <c r="AO40" i="40"/>
  <c r="DO39" i="40"/>
  <c r="DL39" i="40"/>
  <c r="DI39" i="40"/>
  <c r="DF39" i="40"/>
  <c r="DC39" i="40"/>
  <c r="CZ39" i="40"/>
  <c r="CT39" i="40"/>
  <c r="CQ39" i="40"/>
  <c r="CN39" i="40"/>
  <c r="CK39" i="40"/>
  <c r="CH39" i="40"/>
  <c r="CE39" i="40"/>
  <c r="BY39" i="40"/>
  <c r="BV39" i="40"/>
  <c r="BU39" i="40"/>
  <c r="BS39" i="40"/>
  <c r="BP39" i="40"/>
  <c r="BM39" i="40"/>
  <c r="BJ39" i="40"/>
  <c r="BD39" i="40"/>
  <c r="BA39" i="40"/>
  <c r="AX39" i="40"/>
  <c r="AU39" i="40"/>
  <c r="AR39" i="40"/>
  <c r="AO39" i="40"/>
  <c r="DO38" i="40"/>
  <c r="DL38" i="40"/>
  <c r="DI38" i="40"/>
  <c r="DF38" i="40"/>
  <c r="DC38" i="40"/>
  <c r="CZ38" i="40"/>
  <c r="CT38" i="40"/>
  <c r="CQ38" i="40"/>
  <c r="CN38" i="40"/>
  <c r="CK38" i="40"/>
  <c r="CH38" i="40"/>
  <c r="CE38" i="40"/>
  <c r="BY38" i="40"/>
  <c r="BV38" i="40"/>
  <c r="BS38" i="40"/>
  <c r="BP38" i="40"/>
  <c r="BM38" i="40"/>
  <c r="BJ38" i="40"/>
  <c r="BD38" i="40"/>
  <c r="BA38" i="40"/>
  <c r="AX38" i="40"/>
  <c r="AU38" i="40"/>
  <c r="AR38" i="40"/>
  <c r="AO38" i="40"/>
  <c r="DO37" i="40"/>
  <c r="DL37" i="40"/>
  <c r="DI37" i="40"/>
  <c r="DF37" i="40"/>
  <c r="DC37" i="40"/>
  <c r="CZ37" i="40"/>
  <c r="CT37" i="40"/>
  <c r="CQ37" i="40"/>
  <c r="CN37" i="40"/>
  <c r="CK37" i="40"/>
  <c r="CH37" i="40"/>
  <c r="CE37" i="40"/>
  <c r="BY37" i="40"/>
  <c r="BV37" i="40"/>
  <c r="BS37" i="40"/>
  <c r="BP37" i="40"/>
  <c r="BM37" i="40"/>
  <c r="BJ37" i="40"/>
  <c r="BD37" i="40"/>
  <c r="BA37" i="40"/>
  <c r="AX37" i="40"/>
  <c r="AU37" i="40"/>
  <c r="AR37" i="40"/>
  <c r="AO37" i="40"/>
  <c r="DO36" i="40"/>
  <c r="DL36" i="40"/>
  <c r="DI36" i="40"/>
  <c r="DF36" i="40"/>
  <c r="DC36" i="40"/>
  <c r="CZ36" i="40"/>
  <c r="CT36" i="40"/>
  <c r="CQ36" i="40"/>
  <c r="CN36" i="40"/>
  <c r="CK36" i="40"/>
  <c r="CH36" i="40"/>
  <c r="CE36" i="40"/>
  <c r="BY36" i="40"/>
  <c r="BV36" i="40"/>
  <c r="BS36" i="40"/>
  <c r="BP36" i="40"/>
  <c r="BM36" i="40"/>
  <c r="BJ36" i="40"/>
  <c r="BD36" i="40"/>
  <c r="BA36" i="40"/>
  <c r="AX36" i="40"/>
  <c r="AU36" i="40"/>
  <c r="AR36" i="40"/>
  <c r="AO36" i="40"/>
  <c r="DO35" i="40"/>
  <c r="DL35" i="40"/>
  <c r="DI35" i="40"/>
  <c r="DF35" i="40"/>
  <c r="DC35" i="40"/>
  <c r="CZ35" i="40"/>
  <c r="CT35" i="40"/>
  <c r="CQ35" i="40"/>
  <c r="CN35" i="40"/>
  <c r="CK35" i="40"/>
  <c r="CH35" i="40"/>
  <c r="CE35" i="40"/>
  <c r="BY35" i="40"/>
  <c r="BV35" i="40"/>
  <c r="BS35" i="40"/>
  <c r="BP35" i="40"/>
  <c r="BM35" i="40"/>
  <c r="BJ35" i="40"/>
  <c r="BD35" i="40"/>
  <c r="BA35" i="40"/>
  <c r="AX35" i="40"/>
  <c r="AU35" i="40"/>
  <c r="AR35" i="40"/>
  <c r="AO35" i="40"/>
  <c r="DO34" i="40"/>
  <c r="DL34" i="40"/>
  <c r="DI34" i="40"/>
  <c r="DF34" i="40"/>
  <c r="DC34" i="40"/>
  <c r="DB34" i="40"/>
  <c r="DB306" i="40" s="1"/>
  <c r="CY34" i="40"/>
  <c r="CZ34" i="40" s="1"/>
  <c r="CT34" i="40"/>
  <c r="CQ34" i="40"/>
  <c r="CN34" i="40"/>
  <c r="CK34" i="40"/>
  <c r="CH34" i="40"/>
  <c r="CE34" i="40"/>
  <c r="BY34" i="40"/>
  <c r="BV34" i="40"/>
  <c r="BS34" i="40"/>
  <c r="BP34" i="40"/>
  <c r="BM34" i="40"/>
  <c r="BJ34" i="40"/>
  <c r="BD34" i="40"/>
  <c r="BA34" i="40"/>
  <c r="AX34" i="40"/>
  <c r="AU34" i="40"/>
  <c r="AR34" i="40"/>
  <c r="AO34" i="40"/>
  <c r="DO33" i="40"/>
  <c r="DL33" i="40"/>
  <c r="DI33" i="40"/>
  <c r="DF33" i="40"/>
  <c r="DC33" i="40"/>
  <c r="CZ33" i="40"/>
  <c r="CT33" i="40"/>
  <c r="CQ33" i="40"/>
  <c r="CN33" i="40"/>
  <c r="CK33" i="40"/>
  <c r="CH33" i="40"/>
  <c r="CE33" i="40"/>
  <c r="BY33" i="40"/>
  <c r="BV33" i="40"/>
  <c r="BS33" i="40"/>
  <c r="BP33" i="40"/>
  <c r="BM33" i="40"/>
  <c r="BJ33" i="40"/>
  <c r="BD33" i="40"/>
  <c r="BA33" i="40"/>
  <c r="AX33" i="40"/>
  <c r="AU33" i="40"/>
  <c r="AR33" i="40"/>
  <c r="AO33" i="40"/>
  <c r="DO32" i="40"/>
  <c r="DL32" i="40"/>
  <c r="DI32" i="40"/>
  <c r="DF32" i="40"/>
  <c r="DC32" i="40"/>
  <c r="CZ32" i="40"/>
  <c r="CT32" i="40"/>
  <c r="CQ32" i="40"/>
  <c r="CN32" i="40"/>
  <c r="CK32" i="40"/>
  <c r="CH32" i="40"/>
  <c r="CE32" i="40"/>
  <c r="BY32" i="40"/>
  <c r="BV32" i="40"/>
  <c r="BS32" i="40"/>
  <c r="BP32" i="40"/>
  <c r="BM32" i="40"/>
  <c r="BI32" i="40"/>
  <c r="BJ32" i="40" s="1"/>
  <c r="BD32" i="40"/>
  <c r="BA32" i="40"/>
  <c r="AX32" i="40"/>
  <c r="AU32" i="40"/>
  <c r="AR32" i="40"/>
  <c r="AO32" i="40"/>
  <c r="DO31" i="40"/>
  <c r="DL31" i="40"/>
  <c r="DI31" i="40"/>
  <c r="DF31" i="40"/>
  <c r="DC31" i="40"/>
  <c r="CZ31" i="40"/>
  <c r="CT31" i="40"/>
  <c r="CQ31" i="40"/>
  <c r="CN31" i="40"/>
  <c r="CK31" i="40"/>
  <c r="CH31" i="40"/>
  <c r="CE31" i="40"/>
  <c r="BY31" i="40"/>
  <c r="BV31" i="40"/>
  <c r="BS31" i="40"/>
  <c r="BP31" i="40"/>
  <c r="BM31" i="40"/>
  <c r="BJ31" i="40"/>
  <c r="BD31" i="40"/>
  <c r="BA31" i="40"/>
  <c r="AX31" i="40"/>
  <c r="AU31" i="40"/>
  <c r="AR31" i="40"/>
  <c r="AO31" i="40"/>
  <c r="DO30" i="40"/>
  <c r="DL30" i="40"/>
  <c r="DI30" i="40"/>
  <c r="DF30" i="40"/>
  <c r="DC30" i="40"/>
  <c r="CZ30" i="40"/>
  <c r="CT30" i="40"/>
  <c r="CQ30" i="40"/>
  <c r="CN30" i="40"/>
  <c r="CK30" i="40"/>
  <c r="CH30" i="40"/>
  <c r="CE30" i="40"/>
  <c r="BY30" i="40"/>
  <c r="BS30" i="40"/>
  <c r="BQ30" i="40"/>
  <c r="BV30" i="40" s="1"/>
  <c r="BP30" i="40"/>
  <c r="BM30" i="40"/>
  <c r="BJ30" i="40"/>
  <c r="BD30" i="40"/>
  <c r="BA30" i="40"/>
  <c r="AX30" i="40"/>
  <c r="AU30" i="40"/>
  <c r="AR30" i="40"/>
  <c r="AO30" i="40"/>
  <c r="DO29" i="40"/>
  <c r="DL29" i="40"/>
  <c r="DI29" i="40"/>
  <c r="DF29" i="40"/>
  <c r="DC29" i="40"/>
  <c r="CZ29" i="40"/>
  <c r="CT29" i="40"/>
  <c r="CQ29" i="40"/>
  <c r="CN29" i="40"/>
  <c r="CK29" i="40"/>
  <c r="CH29" i="40"/>
  <c r="CE29" i="40"/>
  <c r="BY29" i="40"/>
  <c r="BV29" i="40"/>
  <c r="BS29" i="40"/>
  <c r="BP29" i="40"/>
  <c r="BM29" i="40"/>
  <c r="BJ29" i="40"/>
  <c r="BD29" i="40"/>
  <c r="BA29" i="40"/>
  <c r="AX29" i="40"/>
  <c r="AU29" i="40"/>
  <c r="AR29" i="40"/>
  <c r="AO29" i="40"/>
  <c r="DO28" i="40"/>
  <c r="DL28" i="40"/>
  <c r="DI28" i="40"/>
  <c r="DF28" i="40"/>
  <c r="DC28" i="40"/>
  <c r="CZ28" i="40"/>
  <c r="CT28" i="40"/>
  <c r="CQ28" i="40"/>
  <c r="CN28" i="40"/>
  <c r="CK28" i="40"/>
  <c r="CH28" i="40"/>
  <c r="CE28" i="40"/>
  <c r="BY28" i="40"/>
  <c r="BV28" i="40"/>
  <c r="BS28" i="40"/>
  <c r="BP28" i="40"/>
  <c r="BM28" i="40"/>
  <c r="BJ28" i="40"/>
  <c r="BD28" i="40"/>
  <c r="BA28" i="40"/>
  <c r="AX28" i="40"/>
  <c r="AU28" i="40"/>
  <c r="AR28" i="40"/>
  <c r="AO28" i="40"/>
  <c r="DO27" i="40"/>
  <c r="DL27" i="40"/>
  <c r="DI27" i="40"/>
  <c r="DF27" i="40"/>
  <c r="DC27" i="40"/>
  <c r="CZ27" i="40"/>
  <c r="CT27" i="40"/>
  <c r="CQ27" i="40"/>
  <c r="CN27" i="40"/>
  <c r="CK27" i="40"/>
  <c r="CH27" i="40"/>
  <c r="CE27" i="40"/>
  <c r="BY27" i="40"/>
  <c r="BV27" i="40"/>
  <c r="BS27" i="40"/>
  <c r="BP27" i="40"/>
  <c r="BM27" i="40"/>
  <c r="BJ27" i="40"/>
  <c r="BD27" i="40"/>
  <c r="BA27" i="40"/>
  <c r="AX27" i="40"/>
  <c r="AU27" i="40"/>
  <c r="AR27" i="40"/>
  <c r="AO27" i="40"/>
  <c r="DO26" i="40"/>
  <c r="DL26" i="40"/>
  <c r="DI26" i="40"/>
  <c r="DF26" i="40"/>
  <c r="DC26" i="40"/>
  <c r="CZ26" i="40"/>
  <c r="CT26" i="40"/>
  <c r="CQ26" i="40"/>
  <c r="CN26" i="40"/>
  <c r="CK26" i="40"/>
  <c r="CH26" i="40"/>
  <c r="CE26" i="40"/>
  <c r="BY26" i="40"/>
  <c r="BV26" i="40"/>
  <c r="BS26" i="40"/>
  <c r="BP26" i="40"/>
  <c r="BM26" i="40"/>
  <c r="BJ26" i="40"/>
  <c r="BD26" i="40"/>
  <c r="BA26" i="40"/>
  <c r="AX26" i="40"/>
  <c r="AU26" i="40"/>
  <c r="AR26" i="40"/>
  <c r="AO26" i="40"/>
  <c r="DO25" i="40"/>
  <c r="DL25" i="40"/>
  <c r="DI25" i="40"/>
  <c r="DF25" i="40"/>
  <c r="DC25" i="40"/>
  <c r="CZ25" i="40"/>
  <c r="CT25" i="40"/>
  <c r="CQ25" i="40"/>
  <c r="CN25" i="40"/>
  <c r="CK25" i="40"/>
  <c r="CH25" i="40"/>
  <c r="CE25" i="40"/>
  <c r="BY25" i="40"/>
  <c r="BV25" i="40"/>
  <c r="BS25" i="40"/>
  <c r="BP25" i="40"/>
  <c r="BM25" i="40"/>
  <c r="BJ25" i="40"/>
  <c r="BD25" i="40"/>
  <c r="BA25" i="40"/>
  <c r="AX25" i="40"/>
  <c r="AU25" i="40"/>
  <c r="AR25" i="40"/>
  <c r="AO25" i="40"/>
  <c r="DO24" i="40"/>
  <c r="DL24" i="40"/>
  <c r="DI24" i="40"/>
  <c r="DF24" i="40"/>
  <c r="DC24" i="40"/>
  <c r="CZ24" i="40"/>
  <c r="CT24" i="40"/>
  <c r="CQ24" i="40"/>
  <c r="CN24" i="40"/>
  <c r="CK24" i="40"/>
  <c r="CH24" i="40"/>
  <c r="CE24" i="40"/>
  <c r="BY24" i="40"/>
  <c r="BV24" i="40"/>
  <c r="BS24" i="40"/>
  <c r="BP24" i="40"/>
  <c r="BM24" i="40"/>
  <c r="BJ24" i="40"/>
  <c r="BD24" i="40"/>
  <c r="BA24" i="40"/>
  <c r="AX24" i="40"/>
  <c r="AU24" i="40"/>
  <c r="AR24" i="40"/>
  <c r="AO24" i="40"/>
  <c r="DO23" i="40"/>
  <c r="DL23" i="40"/>
  <c r="DI23" i="40"/>
  <c r="DF23" i="40"/>
  <c r="DC23" i="40"/>
  <c r="CZ23" i="40"/>
  <c r="CT23" i="40"/>
  <c r="CQ23" i="40"/>
  <c r="CN23" i="40"/>
  <c r="CK23" i="40"/>
  <c r="CH23" i="40"/>
  <c r="CE23" i="40"/>
  <c r="BY23" i="40"/>
  <c r="BV23" i="40"/>
  <c r="BS23" i="40"/>
  <c r="BP23" i="40"/>
  <c r="BM23" i="40"/>
  <c r="BM306" i="40" s="1"/>
  <c r="BJ23" i="40"/>
  <c r="BD23" i="40"/>
  <c r="BA23" i="40"/>
  <c r="AX23" i="40"/>
  <c r="AU23" i="40"/>
  <c r="AR23" i="40"/>
  <c r="AO23" i="40"/>
  <c r="DO22" i="40"/>
  <c r="DM22" i="40"/>
  <c r="DL22" i="40"/>
  <c r="DI22" i="40"/>
  <c r="DF22" i="40"/>
  <c r="DC22" i="40"/>
  <c r="CZ22" i="40"/>
  <c r="CT22" i="40"/>
  <c r="CQ22" i="40"/>
  <c r="CN22" i="40"/>
  <c r="CK22" i="40"/>
  <c r="CH22" i="40"/>
  <c r="CE22" i="40"/>
  <c r="BY22" i="40"/>
  <c r="BV22" i="40"/>
  <c r="BS22" i="40"/>
  <c r="BP22" i="40"/>
  <c r="BM22" i="40"/>
  <c r="BJ22" i="40"/>
  <c r="BD22" i="40"/>
  <c r="BD306" i="40" s="1"/>
  <c r="BA22" i="40"/>
  <c r="AX22" i="40"/>
  <c r="AU22" i="40"/>
  <c r="AR22" i="40"/>
  <c r="AO22" i="40"/>
  <c r="DO21" i="40"/>
  <c r="DM21" i="40"/>
  <c r="DL21" i="40"/>
  <c r="DJ21" i="40"/>
  <c r="DI21" i="40"/>
  <c r="DG21" i="40"/>
  <c r="DF21" i="40"/>
  <c r="DC21" i="40"/>
  <c r="CZ21" i="40"/>
  <c r="CT21" i="40"/>
  <c r="CQ21" i="40"/>
  <c r="CN21" i="40"/>
  <c r="CK21" i="40"/>
  <c r="CH21" i="40"/>
  <c r="CE21" i="40"/>
  <c r="BY21" i="40"/>
  <c r="BV21" i="40"/>
  <c r="BS21" i="40"/>
  <c r="BP21" i="40"/>
  <c r="BM21" i="40"/>
  <c r="BJ21" i="40"/>
  <c r="BD21" i="40"/>
  <c r="BA21" i="40"/>
  <c r="AX21" i="40"/>
  <c r="AU21" i="40"/>
  <c r="AR21" i="40"/>
  <c r="AO21" i="40"/>
  <c r="DO20" i="40"/>
  <c r="DL20" i="40"/>
  <c r="DI20" i="40"/>
  <c r="DF20" i="40"/>
  <c r="DC20" i="40"/>
  <c r="CZ20" i="40"/>
  <c r="CT20" i="40"/>
  <c r="CQ20" i="40"/>
  <c r="CN20" i="40"/>
  <c r="CK20" i="40"/>
  <c r="CH20" i="40"/>
  <c r="CE20" i="40"/>
  <c r="BY20" i="40"/>
  <c r="BV20" i="40"/>
  <c r="BS20" i="40"/>
  <c r="BP20" i="40"/>
  <c r="BM20" i="40"/>
  <c r="BJ20" i="40"/>
  <c r="BD20" i="40"/>
  <c r="BA20" i="40"/>
  <c r="AX20" i="40"/>
  <c r="AU20" i="40"/>
  <c r="AR20" i="40"/>
  <c r="AO20" i="40"/>
  <c r="DO19" i="40"/>
  <c r="DL19" i="40"/>
  <c r="DI19" i="40"/>
  <c r="DF19" i="40"/>
  <c r="DC19" i="40"/>
  <c r="CZ19" i="40"/>
  <c r="CT19" i="40"/>
  <c r="CQ19" i="40"/>
  <c r="CN19" i="40"/>
  <c r="CK19" i="40"/>
  <c r="CH19" i="40"/>
  <c r="CE19" i="40"/>
  <c r="BY19" i="40"/>
  <c r="BV19" i="40"/>
  <c r="BS19" i="40"/>
  <c r="BP19" i="40"/>
  <c r="BM19" i="40"/>
  <c r="BJ19" i="40"/>
  <c r="BD19" i="40"/>
  <c r="BA19" i="40"/>
  <c r="AX19" i="40"/>
  <c r="AU19" i="40"/>
  <c r="AR19" i="40"/>
  <c r="AO19" i="40"/>
  <c r="DO18" i="40"/>
  <c r="DL18" i="40"/>
  <c r="DI18" i="40"/>
  <c r="DF18" i="40"/>
  <c r="DC18" i="40"/>
  <c r="CZ18" i="40"/>
  <c r="CT18" i="40"/>
  <c r="CQ18" i="40"/>
  <c r="CN18" i="40"/>
  <c r="CK18" i="40"/>
  <c r="CH18" i="40"/>
  <c r="CE18" i="40"/>
  <c r="BY18" i="40"/>
  <c r="BV18" i="40"/>
  <c r="BS18" i="40"/>
  <c r="BP18" i="40"/>
  <c r="BM18" i="40"/>
  <c r="BJ18" i="40"/>
  <c r="BD18" i="40"/>
  <c r="BA18" i="40"/>
  <c r="AX18" i="40"/>
  <c r="AU18" i="40"/>
  <c r="AR18" i="40"/>
  <c r="AO18" i="40"/>
  <c r="DO17" i="40"/>
  <c r="DL17" i="40"/>
  <c r="DI17" i="40"/>
  <c r="DF17" i="40"/>
  <c r="DC17" i="40"/>
  <c r="CZ17" i="40"/>
  <c r="CT17" i="40"/>
  <c r="CQ17" i="40"/>
  <c r="CN17" i="40"/>
  <c r="CK17" i="40"/>
  <c r="CH17" i="40"/>
  <c r="CE17" i="40"/>
  <c r="BY17" i="40"/>
  <c r="BV17" i="40"/>
  <c r="BS17" i="40"/>
  <c r="BP17" i="40"/>
  <c r="BM17" i="40"/>
  <c r="BJ17" i="40"/>
  <c r="BD17" i="40"/>
  <c r="BA17" i="40"/>
  <c r="AX17" i="40"/>
  <c r="AU17" i="40"/>
  <c r="AR17" i="40"/>
  <c r="AO17" i="40"/>
  <c r="DO16" i="40"/>
  <c r="DL16" i="40"/>
  <c r="DI16" i="40"/>
  <c r="DF16" i="40"/>
  <c r="DC16" i="40"/>
  <c r="CZ16" i="40"/>
  <c r="CT16" i="40"/>
  <c r="CQ16" i="40"/>
  <c r="CN16" i="40"/>
  <c r="CK16" i="40"/>
  <c r="CH16" i="40"/>
  <c r="CE16" i="40"/>
  <c r="BY16" i="40"/>
  <c r="BV16" i="40"/>
  <c r="BS16" i="40"/>
  <c r="BP16" i="40"/>
  <c r="BM16" i="40"/>
  <c r="BJ16" i="40"/>
  <c r="BD16" i="40"/>
  <c r="BA16" i="40"/>
  <c r="AX16" i="40"/>
  <c r="AU16" i="40"/>
  <c r="AR16" i="40"/>
  <c r="AO16" i="40"/>
  <c r="DO15" i="40"/>
  <c r="DL15" i="40"/>
  <c r="DI15" i="40"/>
  <c r="DF15" i="40"/>
  <c r="DC15" i="40"/>
  <c r="CZ15" i="40"/>
  <c r="CT15" i="40"/>
  <c r="CQ15" i="40"/>
  <c r="CN15" i="40"/>
  <c r="CK15" i="40"/>
  <c r="CH15" i="40"/>
  <c r="CE15" i="40"/>
  <c r="BY15" i="40"/>
  <c r="BV15" i="40"/>
  <c r="BS15" i="40"/>
  <c r="BP15" i="40"/>
  <c r="BM15" i="40"/>
  <c r="BJ15" i="40"/>
  <c r="BD15" i="40"/>
  <c r="BA15" i="40"/>
  <c r="AX15" i="40"/>
  <c r="AU15" i="40"/>
  <c r="AR15" i="40"/>
  <c r="AO15" i="40"/>
  <c r="DO14" i="40"/>
  <c r="DL14" i="40"/>
  <c r="DI14" i="40"/>
  <c r="DF14" i="40"/>
  <c r="DC14" i="40"/>
  <c r="CZ14" i="40"/>
  <c r="CT14" i="40"/>
  <c r="CQ14" i="40"/>
  <c r="CN14" i="40"/>
  <c r="CK14" i="40"/>
  <c r="CH14" i="40"/>
  <c r="CE14" i="40"/>
  <c r="BY14" i="40"/>
  <c r="BV14" i="40"/>
  <c r="BS14" i="40"/>
  <c r="BP14" i="40"/>
  <c r="BM14" i="40"/>
  <c r="BJ14" i="40"/>
  <c r="BD14" i="40"/>
  <c r="BA14" i="40"/>
  <c r="AX14" i="40"/>
  <c r="AU14" i="40"/>
  <c r="AR14" i="40"/>
  <c r="AO14" i="40"/>
  <c r="DO13" i="40"/>
  <c r="DL13" i="40"/>
  <c r="DI13" i="40"/>
  <c r="DF13" i="40"/>
  <c r="DC13" i="40"/>
  <c r="CZ13" i="40"/>
  <c r="CT13" i="40"/>
  <c r="CQ13" i="40"/>
  <c r="CN13" i="40"/>
  <c r="CK13" i="40"/>
  <c r="CH13" i="40"/>
  <c r="CE13" i="40"/>
  <c r="BY13" i="40"/>
  <c r="BV13" i="40"/>
  <c r="BS13" i="40"/>
  <c r="BP13" i="40"/>
  <c r="BM13" i="40"/>
  <c r="BJ13" i="40"/>
  <c r="BD13" i="40"/>
  <c r="BA13" i="40"/>
  <c r="AX13" i="40"/>
  <c r="AU13" i="40"/>
  <c r="AR13" i="40"/>
  <c r="AO13" i="40"/>
  <c r="DO12" i="40"/>
  <c r="DL12" i="40"/>
  <c r="DI12" i="40"/>
  <c r="DF12" i="40"/>
  <c r="DC12" i="40"/>
  <c r="CZ12" i="40"/>
  <c r="CT12" i="40"/>
  <c r="CQ12" i="40"/>
  <c r="CN12" i="40"/>
  <c r="CK12" i="40"/>
  <c r="CH12" i="40"/>
  <c r="CE12" i="40"/>
  <c r="BY12" i="40"/>
  <c r="BV12" i="40"/>
  <c r="BS12" i="40"/>
  <c r="BP12" i="40"/>
  <c r="BM12" i="40"/>
  <c r="BJ12" i="40"/>
  <c r="BD12" i="40"/>
  <c r="BA12" i="40"/>
  <c r="AX12" i="40"/>
  <c r="AU12" i="40"/>
  <c r="AR12" i="40"/>
  <c r="AO12" i="40"/>
  <c r="DO11" i="40"/>
  <c r="DL11" i="40"/>
  <c r="DI11" i="40"/>
  <c r="DF11" i="40"/>
  <c r="DC11" i="40"/>
  <c r="CZ11" i="40"/>
  <c r="CT11" i="40"/>
  <c r="CQ11" i="40"/>
  <c r="CN11" i="40"/>
  <c r="CK11" i="40"/>
  <c r="CH11" i="40"/>
  <c r="CE11" i="40"/>
  <c r="BY11" i="40"/>
  <c r="BV11" i="40"/>
  <c r="BS11" i="40"/>
  <c r="BP11" i="40"/>
  <c r="BM11" i="40"/>
  <c r="BJ11" i="40"/>
  <c r="BD11" i="40"/>
  <c r="BA11" i="40"/>
  <c r="AX11" i="40"/>
  <c r="AU11" i="40"/>
  <c r="AR11" i="40"/>
  <c r="AO11" i="40"/>
  <c r="DO10" i="40"/>
  <c r="DL10" i="40"/>
  <c r="DI10" i="40"/>
  <c r="DF10" i="40"/>
  <c r="DC10" i="40"/>
  <c r="CZ10" i="40"/>
  <c r="CT10" i="40"/>
  <c r="CQ10" i="40"/>
  <c r="CN10" i="40"/>
  <c r="CK10" i="40"/>
  <c r="CH10" i="40"/>
  <c r="CE10" i="40"/>
  <c r="BY10" i="40"/>
  <c r="BV10" i="40"/>
  <c r="BS10" i="40"/>
  <c r="BP10" i="40"/>
  <c r="BM10" i="40"/>
  <c r="BJ10" i="40"/>
  <c r="BD10" i="40"/>
  <c r="BA10" i="40"/>
  <c r="AX10" i="40"/>
  <c r="AU10" i="40"/>
  <c r="AR10" i="40"/>
  <c r="AO10" i="40"/>
  <c r="DO9" i="40"/>
  <c r="DL9" i="40"/>
  <c r="DI9" i="40"/>
  <c r="DF9" i="40"/>
  <c r="DC9" i="40"/>
  <c r="CZ9" i="40"/>
  <c r="CT9" i="40"/>
  <c r="CQ9" i="40"/>
  <c r="CN9" i="40"/>
  <c r="CK9" i="40"/>
  <c r="CH9" i="40"/>
  <c r="CE9" i="40"/>
  <c r="BY9" i="40"/>
  <c r="BV9" i="40"/>
  <c r="BS9" i="40"/>
  <c r="BP9" i="40"/>
  <c r="BM9" i="40"/>
  <c r="BJ9" i="40"/>
  <c r="BD9" i="40"/>
  <c r="BA9" i="40"/>
  <c r="AX9" i="40"/>
  <c r="AU9" i="40"/>
  <c r="AR9" i="40"/>
  <c r="AO9" i="40"/>
  <c r="DO8" i="40"/>
  <c r="DL8" i="40"/>
  <c r="DI8" i="40"/>
  <c r="DF8" i="40"/>
  <c r="DC8" i="40"/>
  <c r="CZ8" i="40"/>
  <c r="CT8" i="40"/>
  <c r="CQ8" i="40"/>
  <c r="CN8" i="40"/>
  <c r="CK8" i="40"/>
  <c r="CH8" i="40"/>
  <c r="CE8" i="40"/>
  <c r="BY8" i="40"/>
  <c r="BV8" i="40"/>
  <c r="BS8" i="40"/>
  <c r="BP8" i="40"/>
  <c r="BM8" i="40"/>
  <c r="BJ8" i="40"/>
  <c r="BD8" i="40"/>
  <c r="BA8" i="40"/>
  <c r="AX8" i="40"/>
  <c r="AU8" i="40"/>
  <c r="AR8" i="40"/>
  <c r="AO8" i="40"/>
  <c r="DO7" i="40"/>
  <c r="DL7" i="40"/>
  <c r="DI7" i="40"/>
  <c r="DF7" i="40"/>
  <c r="DC7" i="40"/>
  <c r="CZ7" i="40"/>
  <c r="CT7" i="40"/>
  <c r="CQ7" i="40"/>
  <c r="CN7" i="40"/>
  <c r="CK7" i="40"/>
  <c r="CH7" i="40"/>
  <c r="CE7" i="40"/>
  <c r="BY7" i="40"/>
  <c r="BV7" i="40"/>
  <c r="BS7" i="40"/>
  <c r="BP7" i="40"/>
  <c r="BM7" i="40"/>
  <c r="BJ7" i="40"/>
  <c r="BD7" i="40"/>
  <c r="BA7" i="40"/>
  <c r="AX7" i="40"/>
  <c r="AU7" i="40"/>
  <c r="AR7" i="40"/>
  <c r="AO7" i="40"/>
  <c r="DO6" i="40"/>
  <c r="DL6" i="40"/>
  <c r="DI6" i="40"/>
  <c r="DF6" i="40"/>
  <c r="DC6" i="40"/>
  <c r="CZ6" i="40"/>
  <c r="CT6" i="40"/>
  <c r="CQ6" i="40"/>
  <c r="CN6" i="40"/>
  <c r="CK6" i="40"/>
  <c r="CH6" i="40"/>
  <c r="CE6" i="40"/>
  <c r="BY6" i="40"/>
  <c r="BV6" i="40"/>
  <c r="BS6" i="40"/>
  <c r="BP6" i="40"/>
  <c r="BM6" i="40"/>
  <c r="BJ6" i="40"/>
  <c r="BD6" i="40"/>
  <c r="BA6" i="40"/>
  <c r="AX6" i="40"/>
  <c r="AU6" i="40"/>
  <c r="AR6" i="40"/>
  <c r="AO6" i="40"/>
  <c r="DO5" i="40"/>
  <c r="DL5" i="40"/>
  <c r="DI5" i="40"/>
  <c r="DF5" i="40"/>
  <c r="DC5" i="40"/>
  <c r="CZ5" i="40"/>
  <c r="CT5" i="40"/>
  <c r="CT306" i="40" s="1"/>
  <c r="CQ5" i="40"/>
  <c r="CN5" i="40"/>
  <c r="CK5" i="40"/>
  <c r="CH5" i="40"/>
  <c r="CE5" i="40"/>
  <c r="BY5" i="40"/>
  <c r="BV5" i="40"/>
  <c r="BS5" i="40"/>
  <c r="BP5" i="40"/>
  <c r="BM5" i="40"/>
  <c r="BJ5" i="40"/>
  <c r="BD5" i="40"/>
  <c r="BA5" i="40"/>
  <c r="AX5" i="40"/>
  <c r="AU5" i="40"/>
  <c r="AR5" i="40"/>
  <c r="AR306" i="40" s="1"/>
  <c r="AO5" i="40"/>
  <c r="P612" i="38"/>
  <c r="N160" i="35" s="1"/>
  <c r="O612" i="38"/>
  <c r="M160" i="35" s="1"/>
  <c r="H612" i="38"/>
  <c r="H160" i="35" s="1"/>
  <c r="H422" i="35" s="1"/>
  <c r="H611" i="38"/>
  <c r="T610" i="38"/>
  <c r="O158" i="35" s="1"/>
  <c r="O420" i="35" s="1"/>
  <c r="P610" i="38"/>
  <c r="N158" i="35" s="1"/>
  <c r="N420" i="35" s="1"/>
  <c r="U607" i="38"/>
  <c r="P154" i="35" s="1"/>
  <c r="T607" i="38"/>
  <c r="O154" i="35" s="1"/>
  <c r="H607" i="38"/>
  <c r="H154" i="35" s="1"/>
  <c r="O606" i="38"/>
  <c r="N606" i="38"/>
  <c r="M606" i="38"/>
  <c r="H606" i="38"/>
  <c r="H144" i="35" s="1"/>
  <c r="G606" i="38"/>
  <c r="G144" i="35" s="1"/>
  <c r="U605" i="38"/>
  <c r="P153" i="35" s="1"/>
  <c r="P409" i="35" s="1"/>
  <c r="T605" i="38"/>
  <c r="O153" i="35" s="1"/>
  <c r="O409" i="35" s="1"/>
  <c r="L605" i="38"/>
  <c r="L153" i="35" s="1"/>
  <c r="L409" i="35" s="1"/>
  <c r="K605" i="38"/>
  <c r="K153" i="35" s="1"/>
  <c r="K409" i="35" s="1"/>
  <c r="H605" i="38"/>
  <c r="H153" i="35" s="1"/>
  <c r="H409" i="35" s="1"/>
  <c r="G605" i="38"/>
  <c r="G153" i="35" s="1"/>
  <c r="G409" i="35" s="1"/>
  <c r="T604" i="38"/>
  <c r="O152" i="35" s="1"/>
  <c r="O417" i="35" s="1"/>
  <c r="L604" i="38"/>
  <c r="L152" i="35" s="1"/>
  <c r="L417" i="35" s="1"/>
  <c r="K604" i="38"/>
  <c r="K152" i="35" s="1"/>
  <c r="K417" i="35" s="1"/>
  <c r="G604" i="38"/>
  <c r="G152" i="35" s="1"/>
  <c r="G417" i="35" s="1"/>
  <c r="U602" i="38"/>
  <c r="P150" i="35" s="1"/>
  <c r="P415" i="35" s="1"/>
  <c r="T602" i="38"/>
  <c r="O150" i="35" s="1"/>
  <c r="O415" i="35" s="1"/>
  <c r="O602" i="38"/>
  <c r="M150" i="35" s="1"/>
  <c r="M415" i="35" s="1"/>
  <c r="L602" i="38"/>
  <c r="L150" i="35" s="1"/>
  <c r="L415" i="35" s="1"/>
  <c r="K602" i="38"/>
  <c r="K150" i="35" s="1"/>
  <c r="K415" i="35" s="1"/>
  <c r="G602" i="38"/>
  <c r="G150" i="35" s="1"/>
  <c r="G415" i="35" s="1"/>
  <c r="T601" i="38"/>
  <c r="O146" i="35" s="1"/>
  <c r="N601" i="38"/>
  <c r="M601" i="38"/>
  <c r="L601" i="38"/>
  <c r="L146" i="35" s="1"/>
  <c r="L398" i="35" s="1"/>
  <c r="K601" i="38"/>
  <c r="K146" i="35" s="1"/>
  <c r="K398" i="35" s="1"/>
  <c r="H601" i="38"/>
  <c r="H146" i="35" s="1"/>
  <c r="H398" i="35" s="1"/>
  <c r="G601" i="38"/>
  <c r="G146" i="35" s="1"/>
  <c r="G398" i="35" s="1"/>
  <c r="H600" i="38"/>
  <c r="H149" i="35" s="1"/>
  <c r="H404" i="35" s="1"/>
  <c r="H599" i="38"/>
  <c r="H148" i="35" s="1"/>
  <c r="H425" i="35" s="1"/>
  <c r="T598" i="38"/>
  <c r="O147" i="35" s="1"/>
  <c r="O403" i="35" s="1"/>
  <c r="L598" i="38"/>
  <c r="L147" i="35" s="1"/>
  <c r="L403" i="35" s="1"/>
  <c r="K598" i="38"/>
  <c r="K147" i="35" s="1"/>
  <c r="K403" i="35" s="1"/>
  <c r="G598" i="38"/>
  <c r="G147" i="35" s="1"/>
  <c r="G403" i="35" s="1"/>
  <c r="N597" i="38"/>
  <c r="M597" i="38"/>
  <c r="G597" i="38"/>
  <c r="G145" i="35" s="1"/>
  <c r="G397" i="35" s="1"/>
  <c r="T596" i="38"/>
  <c r="O143" i="35" s="1"/>
  <c r="N596" i="38"/>
  <c r="M596" i="38"/>
  <c r="H595" i="38"/>
  <c r="H142" i="35" s="1"/>
  <c r="H391" i="35" s="1"/>
  <c r="U594" i="38"/>
  <c r="P141" i="35" s="1"/>
  <c r="P389" i="35" s="1"/>
  <c r="T594" i="38"/>
  <c r="O141" i="35" s="1"/>
  <c r="O389" i="35" s="1"/>
  <c r="N594" i="38"/>
  <c r="M594" i="38"/>
  <c r="L594" i="38"/>
  <c r="L141" i="35" s="1"/>
  <c r="L389" i="35" s="1"/>
  <c r="K594" i="38"/>
  <c r="K141" i="35" s="1"/>
  <c r="K389" i="35" s="1"/>
  <c r="G594" i="38"/>
  <c r="G141" i="35" s="1"/>
  <c r="G389" i="35" s="1"/>
  <c r="N593" i="38"/>
  <c r="M593" i="38"/>
  <c r="N588" i="38"/>
  <c r="M588" i="38"/>
  <c r="T587" i="38"/>
  <c r="O134" i="35" s="1"/>
  <c r="O379" i="35" s="1"/>
  <c r="O587" i="38"/>
  <c r="M134" i="35" s="1"/>
  <c r="M379" i="35" s="1"/>
  <c r="L587" i="38"/>
  <c r="L134" i="35" s="1"/>
  <c r="L379" i="35" s="1"/>
  <c r="K587" i="38"/>
  <c r="K134" i="35" s="1"/>
  <c r="K379" i="35" s="1"/>
  <c r="G587" i="38"/>
  <c r="G134" i="35" s="1"/>
  <c r="G379" i="35" s="1"/>
  <c r="P585" i="38"/>
  <c r="O585" i="38"/>
  <c r="N585" i="38"/>
  <c r="M585" i="38"/>
  <c r="H584" i="38"/>
  <c r="H131" i="35" s="1"/>
  <c r="H376" i="35" s="1"/>
  <c r="H583" i="38"/>
  <c r="H130" i="35" s="1"/>
  <c r="H375" i="35" s="1"/>
  <c r="H582" i="38"/>
  <c r="H129" i="35" s="1"/>
  <c r="H373" i="35" s="1"/>
  <c r="T581" i="38"/>
  <c r="O128" i="35" s="1"/>
  <c r="O370" i="35" s="1"/>
  <c r="L581" i="38"/>
  <c r="L128" i="35" s="1"/>
  <c r="L370" i="35" s="1"/>
  <c r="K581" i="38"/>
  <c r="K128" i="35" s="1"/>
  <c r="K370" i="35" s="1"/>
  <c r="G581" i="38"/>
  <c r="G128" i="35" s="1"/>
  <c r="G370" i="35" s="1"/>
  <c r="P580" i="38"/>
  <c r="N127" i="35" s="1"/>
  <c r="O580" i="38"/>
  <c r="M127" i="35" s="1"/>
  <c r="N580" i="38"/>
  <c r="M580" i="38"/>
  <c r="L580" i="38"/>
  <c r="L127" i="35" s="1"/>
  <c r="L368" i="35" s="1"/>
  <c r="K580" i="38"/>
  <c r="K127" i="35" s="1"/>
  <c r="K368" i="35" s="1"/>
  <c r="G580" i="38"/>
  <c r="G127" i="35" s="1"/>
  <c r="G368" i="35" s="1"/>
  <c r="U579" i="38"/>
  <c r="T579" i="38"/>
  <c r="O126" i="35" s="1"/>
  <c r="O367" i="35" s="1"/>
  <c r="N579" i="38"/>
  <c r="M579" i="38"/>
  <c r="L579" i="38"/>
  <c r="L126" i="35" s="1"/>
  <c r="L367" i="35" s="1"/>
  <c r="K579" i="38"/>
  <c r="K126" i="35" s="1"/>
  <c r="K367" i="35" s="1"/>
  <c r="G579" i="38"/>
  <c r="G126" i="35" s="1"/>
  <c r="G367" i="35" s="1"/>
  <c r="T578" i="38"/>
  <c r="O125" i="35" s="1"/>
  <c r="L578" i="38"/>
  <c r="L125" i="35" s="1"/>
  <c r="L362" i="35" s="1"/>
  <c r="K578" i="38"/>
  <c r="K125" i="35" s="1"/>
  <c r="K362" i="35" s="1"/>
  <c r="G578" i="38"/>
  <c r="G125" i="35" s="1"/>
  <c r="G362" i="35" s="1"/>
  <c r="P575" i="38"/>
  <c r="N122" i="35" s="1"/>
  <c r="O575" i="38"/>
  <c r="U573" i="38"/>
  <c r="P120" i="35" s="1"/>
  <c r="P353" i="35" s="1"/>
  <c r="T573" i="38"/>
  <c r="O120" i="35" s="1"/>
  <c r="N573" i="38"/>
  <c r="M573" i="38"/>
  <c r="L573" i="38"/>
  <c r="L120" i="35" s="1"/>
  <c r="K573" i="38"/>
  <c r="K120" i="35" s="1"/>
  <c r="G573" i="38"/>
  <c r="G120" i="35" s="1"/>
  <c r="G353" i="35" s="1"/>
  <c r="H572" i="38"/>
  <c r="H119" i="35" s="1"/>
  <c r="N571" i="38"/>
  <c r="M571" i="38"/>
  <c r="L571" i="38"/>
  <c r="L118" i="35" s="1"/>
  <c r="L351" i="35" s="1"/>
  <c r="K571" i="38"/>
  <c r="K118" i="35" s="1"/>
  <c r="K351" i="35" s="1"/>
  <c r="G571" i="38"/>
  <c r="G118" i="35" s="1"/>
  <c r="G351" i="35" s="1"/>
  <c r="U570" i="38"/>
  <c r="P117" i="35" s="1"/>
  <c r="P350" i="35" s="1"/>
  <c r="T570" i="38"/>
  <c r="O117" i="35" s="1"/>
  <c r="L570" i="38"/>
  <c r="L117" i="35" s="1"/>
  <c r="K570" i="38"/>
  <c r="K117" i="35" s="1"/>
  <c r="U569" i="38"/>
  <c r="P116" i="35" s="1"/>
  <c r="T569" i="38"/>
  <c r="O116" i="35" s="1"/>
  <c r="N569" i="38"/>
  <c r="M569" i="38"/>
  <c r="L569" i="38"/>
  <c r="L116" i="35" s="1"/>
  <c r="K569" i="38"/>
  <c r="K116" i="35" s="1"/>
  <c r="H569" i="38"/>
  <c r="H116" i="35" s="1"/>
  <c r="G569" i="38"/>
  <c r="G116" i="35" s="1"/>
  <c r="G348" i="35" s="1"/>
  <c r="U568" i="38"/>
  <c r="P115" i="35" s="1"/>
  <c r="P347" i="35" s="1"/>
  <c r="T568" i="38"/>
  <c r="O115" i="35" s="1"/>
  <c r="O347" i="35" s="1"/>
  <c r="L568" i="38"/>
  <c r="L115" i="35" s="1"/>
  <c r="L347" i="35" s="1"/>
  <c r="K568" i="38"/>
  <c r="K115" i="35" s="1"/>
  <c r="K347" i="35" s="1"/>
  <c r="H568" i="38"/>
  <c r="H115" i="35" s="1"/>
  <c r="H347" i="35" s="1"/>
  <c r="G568" i="38"/>
  <c r="G115" i="35" s="1"/>
  <c r="G347" i="35" s="1"/>
  <c r="U567" i="38"/>
  <c r="P114" i="35" s="1"/>
  <c r="T567" i="38"/>
  <c r="N567" i="38"/>
  <c r="M567" i="38"/>
  <c r="L567" i="38"/>
  <c r="L114" i="35" s="1"/>
  <c r="K567" i="38"/>
  <c r="J567" i="38"/>
  <c r="J613" i="38" s="1"/>
  <c r="I567" i="38"/>
  <c r="I613" i="38" s="1"/>
  <c r="H567" i="38"/>
  <c r="G567" i="38"/>
  <c r="G114" i="35" s="1"/>
  <c r="Q566" i="38"/>
  <c r="Q564" i="38"/>
  <c r="Q563" i="38"/>
  <c r="Q562" i="38"/>
  <c r="P562" i="38"/>
  <c r="P606" i="38" s="1"/>
  <c r="Q560" i="38"/>
  <c r="P560" i="38"/>
  <c r="V559" i="38"/>
  <c r="Q559" i="38"/>
  <c r="P559" i="38"/>
  <c r="Q556" i="38"/>
  <c r="P556" i="38"/>
  <c r="O556" i="38"/>
  <c r="O594" i="38" s="1"/>
  <c r="M141" i="35" s="1"/>
  <c r="Q554" i="38"/>
  <c r="Q553" i="38"/>
  <c r="Q552" i="38"/>
  <c r="Q551" i="38"/>
  <c r="Q549" i="38"/>
  <c r="V548" i="38"/>
  <c r="Q548" i="38"/>
  <c r="P548" i="38"/>
  <c r="Q547" i="38"/>
  <c r="P547" i="38"/>
  <c r="O547" i="38"/>
  <c r="Q546" i="38"/>
  <c r="Q545" i="38"/>
  <c r="Q543" i="38"/>
  <c r="P543" i="38"/>
  <c r="O543" i="38"/>
  <c r="Q542" i="38"/>
  <c r="P542" i="38"/>
  <c r="Q541" i="38"/>
  <c r="P541" i="38"/>
  <c r="Q540" i="38"/>
  <c r="P540" i="38"/>
  <c r="O540" i="38"/>
  <c r="Q539" i="38"/>
  <c r="P539" i="38"/>
  <c r="O539" i="38"/>
  <c r="S538" i="38"/>
  <c r="Q538" i="38"/>
  <c r="P538" i="38"/>
  <c r="O538" i="38"/>
  <c r="Q537" i="38"/>
  <c r="Q535" i="38"/>
  <c r="Q534" i="38"/>
  <c r="Q533" i="38"/>
  <c r="Q530" i="38"/>
  <c r="P530" i="38"/>
  <c r="V529" i="38"/>
  <c r="V601" i="38" s="1"/>
  <c r="Q529" i="38"/>
  <c r="P529" i="38"/>
  <c r="Q526" i="38"/>
  <c r="P526" i="38"/>
  <c r="Q524" i="38"/>
  <c r="Q523" i="38"/>
  <c r="Q522" i="38"/>
  <c r="Q521" i="38"/>
  <c r="Q517" i="38"/>
  <c r="V516" i="38"/>
  <c r="Q516" i="38"/>
  <c r="P516" i="38"/>
  <c r="Q515" i="38"/>
  <c r="P515" i="38"/>
  <c r="O515" i="38"/>
  <c r="Q514" i="38"/>
  <c r="Q513" i="38"/>
  <c r="Q512" i="38"/>
  <c r="P512" i="38"/>
  <c r="O512" i="38"/>
  <c r="Q511" i="38"/>
  <c r="P511" i="38"/>
  <c r="O511" i="38"/>
  <c r="Q510" i="38"/>
  <c r="P510" i="38"/>
  <c r="Q509" i="38"/>
  <c r="P509" i="38"/>
  <c r="O509" i="38"/>
  <c r="Q508" i="38"/>
  <c r="P508" i="38"/>
  <c r="Q507" i="38"/>
  <c r="Q506" i="38"/>
  <c r="Q504" i="38"/>
  <c r="Q503" i="38"/>
  <c r="Q502" i="38"/>
  <c r="Q500" i="38"/>
  <c r="P500" i="38"/>
  <c r="V499" i="38"/>
  <c r="Q499" i="38"/>
  <c r="P499" i="38"/>
  <c r="Q497" i="38"/>
  <c r="P497" i="38"/>
  <c r="Q495" i="38"/>
  <c r="Q494" i="38"/>
  <c r="Q493" i="38"/>
  <c r="Q492" i="38"/>
  <c r="Q490" i="38"/>
  <c r="Q489" i="38"/>
  <c r="P489" i="38"/>
  <c r="Q488" i="38"/>
  <c r="P488" i="38"/>
  <c r="O488" i="38"/>
  <c r="Q487" i="38"/>
  <c r="Q486" i="38"/>
  <c r="Q485" i="38"/>
  <c r="P485" i="38"/>
  <c r="O485" i="38"/>
  <c r="Q484" i="38"/>
  <c r="P484" i="38"/>
  <c r="O484" i="38"/>
  <c r="Q483" i="38"/>
  <c r="P483" i="38"/>
  <c r="O483" i="38"/>
  <c r="Q482" i="38"/>
  <c r="P482" i="38"/>
  <c r="O482" i="38"/>
  <c r="Q481" i="38"/>
  <c r="P481" i="38"/>
  <c r="O481" i="38"/>
  <c r="Q480" i="38"/>
  <c r="P480" i="38"/>
  <c r="O480" i="38"/>
  <c r="Q479" i="38"/>
  <c r="Q477" i="38"/>
  <c r="Q476" i="38"/>
  <c r="Q475" i="38"/>
  <c r="V474" i="38"/>
  <c r="V501" i="38" s="1"/>
  <c r="V532" i="38" s="1"/>
  <c r="V605" i="38" s="1"/>
  <c r="P474" i="38"/>
  <c r="O474" i="38"/>
  <c r="Q472" i="38"/>
  <c r="P472" i="38"/>
  <c r="O472" i="38"/>
  <c r="Q471" i="38"/>
  <c r="P471" i="38"/>
  <c r="P601" i="38" s="1"/>
  <c r="N146" i="35" s="1"/>
  <c r="Q468" i="38"/>
  <c r="P468" i="38"/>
  <c r="Q466" i="38"/>
  <c r="Q465" i="38"/>
  <c r="Q464" i="38"/>
  <c r="Q463" i="38"/>
  <c r="Q461" i="38"/>
  <c r="Q459" i="38"/>
  <c r="P459" i="38"/>
  <c r="O459" i="38"/>
  <c r="Q458" i="38"/>
  <c r="Q457" i="38"/>
  <c r="Q456" i="38"/>
  <c r="P456" i="38"/>
  <c r="O456" i="38"/>
  <c r="Q454" i="38"/>
  <c r="P454" i="38"/>
  <c r="O454" i="38"/>
  <c r="Q453" i="38"/>
  <c r="P453" i="38"/>
  <c r="O453" i="38"/>
  <c r="Q452" i="38"/>
  <c r="P452" i="38"/>
  <c r="O452" i="38"/>
  <c r="Q451" i="38"/>
  <c r="P451" i="38"/>
  <c r="O451" i="38"/>
  <c r="Q450" i="38"/>
  <c r="P450" i="38"/>
  <c r="O450" i="38"/>
  <c r="Q449" i="38"/>
  <c r="Q447" i="38"/>
  <c r="Q446" i="38"/>
  <c r="Q445" i="38"/>
  <c r="Q444" i="38"/>
  <c r="P444" i="38"/>
  <c r="O444" i="38"/>
  <c r="Q441" i="38"/>
  <c r="P441" i="38"/>
  <c r="Q440" i="38"/>
  <c r="O440" i="38"/>
  <c r="O601" i="38" s="1"/>
  <c r="M146" i="35" s="1"/>
  <c r="Q438" i="38"/>
  <c r="P438" i="38"/>
  <c r="Q436" i="38"/>
  <c r="Q435" i="38"/>
  <c r="Q434" i="38"/>
  <c r="V433" i="38"/>
  <c r="V463" i="38" s="1"/>
  <c r="V492" i="38" s="1"/>
  <c r="V587" i="38" s="1"/>
  <c r="Q433" i="38"/>
  <c r="P433" i="38"/>
  <c r="O433" i="38"/>
  <c r="Q431" i="38"/>
  <c r="Q429" i="38"/>
  <c r="P429" i="38"/>
  <c r="O429" i="38"/>
  <c r="Q428" i="38"/>
  <c r="Q427" i="38"/>
  <c r="H426" i="38"/>
  <c r="H574" i="38" s="1"/>
  <c r="H121" i="35" s="1"/>
  <c r="Q425" i="38"/>
  <c r="P425" i="38"/>
  <c r="O425" i="38"/>
  <c r="Q424" i="38"/>
  <c r="P424" i="38"/>
  <c r="O424" i="38"/>
  <c r="Q423" i="38"/>
  <c r="P423" i="38"/>
  <c r="O423" i="38"/>
  <c r="Q422" i="38"/>
  <c r="P422" i="38"/>
  <c r="O422" i="38"/>
  <c r="Q421" i="38"/>
  <c r="P421" i="38"/>
  <c r="O421" i="38"/>
  <c r="R420" i="38"/>
  <c r="Q420" i="38"/>
  <c r="P420" i="38"/>
  <c r="O420" i="38"/>
  <c r="Q419" i="38"/>
  <c r="Q417" i="38"/>
  <c r="Q416" i="38"/>
  <c r="Q415" i="38"/>
  <c r="Q414" i="38"/>
  <c r="P414" i="38"/>
  <c r="Q412" i="38"/>
  <c r="Q411" i="38"/>
  <c r="Q409" i="38"/>
  <c r="P409" i="38"/>
  <c r="P594" i="38" s="1"/>
  <c r="N141" i="35" s="1"/>
  <c r="N389" i="35" s="1"/>
  <c r="Q407" i="38"/>
  <c r="Q406" i="38"/>
  <c r="Q405" i="38"/>
  <c r="Q404" i="38"/>
  <c r="P404" i="38"/>
  <c r="P587" i="38" s="1"/>
  <c r="N134" i="35" s="1"/>
  <c r="N379" i="35" s="1"/>
  <c r="Q402" i="38"/>
  <c r="Q401" i="38"/>
  <c r="P401" i="38"/>
  <c r="O401" i="38"/>
  <c r="Q400" i="38"/>
  <c r="Q399" i="38"/>
  <c r="Q398" i="38"/>
  <c r="P398" i="38"/>
  <c r="O398" i="38"/>
  <c r="Q397" i="38"/>
  <c r="P397" i="38"/>
  <c r="O397" i="38"/>
  <c r="Q396" i="38"/>
  <c r="P396" i="38"/>
  <c r="Q395" i="38"/>
  <c r="P395" i="38"/>
  <c r="O395" i="38"/>
  <c r="Q394" i="38"/>
  <c r="P394" i="38"/>
  <c r="O394" i="38"/>
  <c r="R393" i="38"/>
  <c r="Q393" i="38"/>
  <c r="P393" i="38"/>
  <c r="O393" i="38"/>
  <c r="V392" i="38"/>
  <c r="Q392" i="38"/>
  <c r="P392" i="38"/>
  <c r="Q391" i="38"/>
  <c r="Q390" i="38"/>
  <c r="Q389" i="38"/>
  <c r="Q388" i="38"/>
  <c r="V387" i="38"/>
  <c r="V414" i="38" s="1"/>
  <c r="V444" i="38" s="1"/>
  <c r="Q387" i="38"/>
  <c r="P387" i="38"/>
  <c r="O387" i="38"/>
  <c r="O605" i="38" s="1"/>
  <c r="M153" i="35" s="1"/>
  <c r="M409" i="35" s="1"/>
  <c r="Q385" i="38"/>
  <c r="Q384" i="38"/>
  <c r="Q380" i="38"/>
  <c r="Q379" i="38"/>
  <c r="Q378" i="38"/>
  <c r="Q375" i="38"/>
  <c r="Q374" i="38"/>
  <c r="P374" i="38"/>
  <c r="O374" i="38"/>
  <c r="Q373" i="38"/>
  <c r="Q372" i="38"/>
  <c r="Q371" i="38"/>
  <c r="P371" i="38"/>
  <c r="O371" i="38"/>
  <c r="Q370" i="38"/>
  <c r="P370" i="38"/>
  <c r="O370" i="38"/>
  <c r="Q369" i="38"/>
  <c r="P369" i="38"/>
  <c r="O369" i="38"/>
  <c r="Q368" i="38"/>
  <c r="P368" i="38"/>
  <c r="O368" i="38"/>
  <c r="Q367" i="38"/>
  <c r="Q366" i="38"/>
  <c r="Q365" i="38"/>
  <c r="P365" i="38"/>
  <c r="Q364" i="38"/>
  <c r="Q363" i="38"/>
  <c r="Q362" i="38"/>
  <c r="Q361" i="38"/>
  <c r="Q360" i="38"/>
  <c r="P360" i="38"/>
  <c r="Q356" i="38"/>
  <c r="Q355" i="38"/>
  <c r="Q351" i="38"/>
  <c r="Q350" i="38"/>
  <c r="Q349" i="38"/>
  <c r="Q347" i="38"/>
  <c r="Q346" i="38"/>
  <c r="P346" i="38"/>
  <c r="O346" i="38"/>
  <c r="Q345" i="38"/>
  <c r="Q344" i="38"/>
  <c r="Q342" i="38"/>
  <c r="P342" i="38"/>
  <c r="O342" i="38"/>
  <c r="Q340" i="38"/>
  <c r="P340" i="38"/>
  <c r="Q339" i="38"/>
  <c r="P339" i="38"/>
  <c r="O339" i="38"/>
  <c r="Q338" i="38"/>
  <c r="P338" i="38"/>
  <c r="P569" i="38" s="1"/>
  <c r="N116" i="35" s="1"/>
  <c r="O338" i="38"/>
  <c r="Q337" i="38"/>
  <c r="P337" i="38"/>
  <c r="O337" i="38"/>
  <c r="S336" i="38"/>
  <c r="R336" i="38"/>
  <c r="Q336" i="38"/>
  <c r="P336" i="38"/>
  <c r="O336" i="38"/>
  <c r="Q335" i="38"/>
  <c r="Q334" i="38"/>
  <c r="Q333" i="38"/>
  <c r="Q332" i="38"/>
  <c r="Q331" i="38"/>
  <c r="Q330" i="38"/>
  <c r="P330" i="38"/>
  <c r="P605" i="38" s="1"/>
  <c r="N153" i="35" s="1"/>
  <c r="N409" i="35" s="1"/>
  <c r="P329" i="38"/>
  <c r="O329" i="38"/>
  <c r="O604" i="38" s="1"/>
  <c r="M152" i="35" s="1"/>
  <c r="M417" i="35" s="1"/>
  <c r="P328" i="38"/>
  <c r="O328" i="38"/>
  <c r="Q326" i="38"/>
  <c r="Q325" i="38"/>
  <c r="Q321" i="38"/>
  <c r="Q320" i="38"/>
  <c r="Q319" i="38"/>
  <c r="Q317" i="38"/>
  <c r="Q316" i="38"/>
  <c r="P316" i="38"/>
  <c r="O316" i="38"/>
  <c r="Q315" i="38"/>
  <c r="Q314" i="38"/>
  <c r="Q313" i="38"/>
  <c r="P313" i="38"/>
  <c r="O313" i="38"/>
  <c r="Q312" i="38"/>
  <c r="P312" i="38"/>
  <c r="O312" i="38"/>
  <c r="Q311" i="38"/>
  <c r="P311" i="38"/>
  <c r="O311" i="38"/>
  <c r="Q310" i="38"/>
  <c r="P310" i="38"/>
  <c r="Q309" i="38"/>
  <c r="P309" i="38"/>
  <c r="O309" i="38"/>
  <c r="Q308" i="38"/>
  <c r="P308" i="38"/>
  <c r="O308" i="38"/>
  <c r="Q307" i="38"/>
  <c r="Q306" i="38"/>
  <c r="Q305" i="38"/>
  <c r="Q304" i="38"/>
  <c r="Q303" i="38"/>
  <c r="Q301" i="38"/>
  <c r="P301" i="38"/>
  <c r="P604" i="38" s="1"/>
  <c r="N152" i="35" s="1"/>
  <c r="N417" i="35" s="1"/>
  <c r="H300" i="38"/>
  <c r="H603" i="38" s="1"/>
  <c r="H151" i="35" s="1"/>
  <c r="V299" i="38"/>
  <c r="Q299" i="38"/>
  <c r="P299" i="38"/>
  <c r="P602" i="38" s="1"/>
  <c r="N150" i="35" s="1"/>
  <c r="N415" i="35" s="1"/>
  <c r="O299" i="38"/>
  <c r="P298" i="38"/>
  <c r="O298" i="38"/>
  <c r="O607" i="38" s="1"/>
  <c r="M154" i="35" s="1"/>
  <c r="Q297" i="38"/>
  <c r="Q296" i="38"/>
  <c r="Q292" i="38"/>
  <c r="Q291" i="38"/>
  <c r="Q290" i="38"/>
  <c r="Q287" i="38"/>
  <c r="P287" i="38"/>
  <c r="O287" i="38"/>
  <c r="V287" i="38" s="1"/>
  <c r="V317" i="38" s="1"/>
  <c r="V347" i="38" s="1"/>
  <c r="V375" i="38" s="1"/>
  <c r="Q286" i="38"/>
  <c r="P286" i="38"/>
  <c r="O286" i="38"/>
  <c r="Q285" i="38"/>
  <c r="Q284" i="38"/>
  <c r="Q283" i="38"/>
  <c r="P283" i="38"/>
  <c r="O283" i="38"/>
  <c r="Q282" i="38"/>
  <c r="P282" i="38"/>
  <c r="O282" i="38"/>
  <c r="V282" i="38" s="1"/>
  <c r="Q281" i="38"/>
  <c r="P281" i="38"/>
  <c r="V280" i="38"/>
  <c r="V310" i="38" s="1"/>
  <c r="V338" i="38" s="1"/>
  <c r="Q279" i="38"/>
  <c r="P279" i="38"/>
  <c r="O279" i="38"/>
  <c r="Q278" i="38"/>
  <c r="Q277" i="38"/>
  <c r="Q276" i="38"/>
  <c r="Q275" i="38"/>
  <c r="Q274" i="38"/>
  <c r="Q273" i="38"/>
  <c r="Q270" i="38"/>
  <c r="P270" i="38"/>
  <c r="Q269" i="38"/>
  <c r="Q268" i="38"/>
  <c r="Q264" i="38"/>
  <c r="Q263" i="38"/>
  <c r="Q262" i="38"/>
  <c r="V259" i="38"/>
  <c r="Q259" i="38"/>
  <c r="P259" i="38"/>
  <c r="P581" i="38" s="1"/>
  <c r="N128" i="35" s="1"/>
  <c r="N370" i="35" s="1"/>
  <c r="Q258" i="38"/>
  <c r="P258" i="38"/>
  <c r="O258" i="38"/>
  <c r="Q257" i="38"/>
  <c r="Q256" i="38"/>
  <c r="Q254" i="38"/>
  <c r="P254" i="38"/>
  <c r="O254" i="38"/>
  <c r="Q253" i="38"/>
  <c r="P253" i="38"/>
  <c r="Q252" i="38"/>
  <c r="P252" i="38"/>
  <c r="O252" i="38"/>
  <c r="Q251" i="38"/>
  <c r="P251" i="38"/>
  <c r="O251" i="38"/>
  <c r="S250" i="38"/>
  <c r="Q250" i="38"/>
  <c r="P250" i="38"/>
  <c r="O250" i="38"/>
  <c r="Q249" i="38"/>
  <c r="Q248" i="38"/>
  <c r="Q247" i="38"/>
  <c r="Q246" i="38"/>
  <c r="Q245" i="38"/>
  <c r="Q244" i="38"/>
  <c r="P244" i="38"/>
  <c r="Q243" i="38"/>
  <c r="Q242" i="38"/>
  <c r="V241" i="38"/>
  <c r="V267" i="38" s="1"/>
  <c r="V295" i="38" s="1"/>
  <c r="V324" i="38" s="1"/>
  <c r="V354" i="38" s="1"/>
  <c r="V383" i="38" s="1"/>
  <c r="V410" i="38" s="1"/>
  <c r="V439" i="38" s="1"/>
  <c r="V470" i="38" s="1"/>
  <c r="V498" i="38" s="1"/>
  <c r="V527" i="38" s="1"/>
  <c r="V557" i="38" s="1"/>
  <c r="V596" i="38" s="1"/>
  <c r="Q238" i="38"/>
  <c r="Q237" i="38"/>
  <c r="Q236" i="38"/>
  <c r="Q233" i="38"/>
  <c r="P233" i="38"/>
  <c r="O233" i="38"/>
  <c r="Q232" i="38"/>
  <c r="Q231" i="38"/>
  <c r="Q230" i="38"/>
  <c r="P230" i="38"/>
  <c r="O230" i="38"/>
  <c r="Q228" i="38"/>
  <c r="P228" i="38"/>
  <c r="Q227" i="38"/>
  <c r="P227" i="38"/>
  <c r="O227" i="38"/>
  <c r="Q226" i="38"/>
  <c r="P226" i="38"/>
  <c r="O226" i="38"/>
  <c r="S225" i="38"/>
  <c r="Q225" i="38"/>
  <c r="P225" i="38"/>
  <c r="O225" i="38"/>
  <c r="Q224" i="38"/>
  <c r="Q223" i="38"/>
  <c r="Q222" i="38"/>
  <c r="Q221" i="38"/>
  <c r="Q220" i="38"/>
  <c r="Q219" i="38"/>
  <c r="P219" i="38"/>
  <c r="P607" i="38" s="1"/>
  <c r="N154" i="35" s="1"/>
  <c r="Q218" i="38"/>
  <c r="Q217" i="38"/>
  <c r="V213" i="38"/>
  <c r="V238" i="38" s="1"/>
  <c r="V264" i="38" s="1"/>
  <c r="V292" i="38" s="1"/>
  <c r="V321" i="38" s="1"/>
  <c r="V351" i="38" s="1"/>
  <c r="V380" i="38" s="1"/>
  <c r="V407" i="38" s="1"/>
  <c r="V436" i="38" s="1"/>
  <c r="V466" i="38" s="1"/>
  <c r="V495" i="38" s="1"/>
  <c r="V524" i="38" s="1"/>
  <c r="V554" i="38" s="1"/>
  <c r="V592" i="38" s="1"/>
  <c r="Q213" i="38"/>
  <c r="Q212" i="38"/>
  <c r="Q211" i="38"/>
  <c r="Q209" i="38"/>
  <c r="P209" i="38"/>
  <c r="O209" i="38"/>
  <c r="Q208" i="38"/>
  <c r="P208" i="38"/>
  <c r="O208" i="38"/>
  <c r="V208" i="38" s="1"/>
  <c r="V232" i="38" s="1"/>
  <c r="V257" i="38" s="1"/>
  <c r="V285" i="38" s="1"/>
  <c r="V315" i="38" s="1"/>
  <c r="V345" i="38" s="1"/>
  <c r="V373" i="38" s="1"/>
  <c r="V578" i="38" s="1"/>
  <c r="Q207" i="38"/>
  <c r="Q206" i="38"/>
  <c r="P206" i="38"/>
  <c r="O206" i="38"/>
  <c r="V205" i="38"/>
  <c r="V228" i="38" s="1"/>
  <c r="V253" i="38" s="1"/>
  <c r="Q205" i="38"/>
  <c r="P205" i="38"/>
  <c r="Q204" i="38"/>
  <c r="P204" i="38"/>
  <c r="O204" i="38"/>
  <c r="Q203" i="38"/>
  <c r="P203" i="38"/>
  <c r="O203" i="38"/>
  <c r="Q202" i="38"/>
  <c r="Q201" i="38"/>
  <c r="Q200" i="38"/>
  <c r="Q199" i="38"/>
  <c r="Q198" i="38"/>
  <c r="Q197" i="38"/>
  <c r="Q196" i="38"/>
  <c r="Q195" i="38"/>
  <c r="Q191" i="38"/>
  <c r="Q190" i="38"/>
  <c r="Q189" i="38"/>
  <c r="Q187" i="38"/>
  <c r="P187" i="38"/>
  <c r="O187" i="38"/>
  <c r="Q186" i="38"/>
  <c r="P186" i="38"/>
  <c r="P578" i="38" s="1"/>
  <c r="N125" i="35" s="1"/>
  <c r="N362" i="35" s="1"/>
  <c r="Q185" i="38"/>
  <c r="Q183" i="38"/>
  <c r="P183" i="38"/>
  <c r="O183" i="38"/>
  <c r="Q181" i="38"/>
  <c r="P181" i="38"/>
  <c r="O181" i="38"/>
  <c r="Q180" i="38"/>
  <c r="P180" i="38"/>
  <c r="O180" i="38"/>
  <c r="S179" i="38"/>
  <c r="R179" i="38"/>
  <c r="Q179" i="38"/>
  <c r="P179" i="38"/>
  <c r="O179" i="38"/>
  <c r="Q178" i="38"/>
  <c r="Q177" i="38"/>
  <c r="Q176" i="38"/>
  <c r="Q175" i="38"/>
  <c r="Q174" i="38"/>
  <c r="Q173" i="38"/>
  <c r="Q172" i="38"/>
  <c r="V168" i="38"/>
  <c r="V191" i="38" s="1"/>
  <c r="Q168" i="38"/>
  <c r="Q167" i="38"/>
  <c r="Q166" i="38"/>
  <c r="Q163" i="38"/>
  <c r="P163" i="38"/>
  <c r="O163" i="38"/>
  <c r="Q162" i="38"/>
  <c r="P162" i="38"/>
  <c r="Q161" i="38"/>
  <c r="Q160" i="38"/>
  <c r="P160" i="38"/>
  <c r="O160" i="38"/>
  <c r="Q158" i="38"/>
  <c r="P158" i="38"/>
  <c r="O158" i="38"/>
  <c r="Q157" i="38"/>
  <c r="P157" i="38"/>
  <c r="O157" i="38"/>
  <c r="S156" i="38"/>
  <c r="Q156" i="38"/>
  <c r="P156" i="38"/>
  <c r="O156" i="38"/>
  <c r="Q155" i="38"/>
  <c r="Q154" i="38"/>
  <c r="Q153" i="38"/>
  <c r="Q152" i="38"/>
  <c r="Q151" i="38"/>
  <c r="Q150" i="38"/>
  <c r="Q149" i="38"/>
  <c r="Q145" i="38"/>
  <c r="Q144" i="38"/>
  <c r="Q143" i="38"/>
  <c r="Q140" i="38"/>
  <c r="P140" i="38"/>
  <c r="O140" i="38"/>
  <c r="Q139" i="38"/>
  <c r="Q138" i="38"/>
  <c r="P138" i="38"/>
  <c r="O138" i="38"/>
  <c r="Q135" i="38"/>
  <c r="P135" i="38"/>
  <c r="O135" i="38"/>
  <c r="Q134" i="38"/>
  <c r="P134" i="38"/>
  <c r="P568" i="38" s="1"/>
  <c r="N115" i="35" s="1"/>
  <c r="N347" i="35" s="1"/>
  <c r="O134" i="38"/>
  <c r="Q133" i="38"/>
  <c r="P133" i="38"/>
  <c r="O133" i="38"/>
  <c r="Q132" i="38"/>
  <c r="Q131" i="38"/>
  <c r="Q130" i="38"/>
  <c r="Q129" i="38"/>
  <c r="Q128" i="38"/>
  <c r="Q127" i="38"/>
  <c r="P127" i="38"/>
  <c r="O127" i="38"/>
  <c r="Q126" i="38"/>
  <c r="Q122" i="38"/>
  <c r="Q121" i="38"/>
  <c r="Q120" i="38"/>
  <c r="Q118" i="38"/>
  <c r="P118" i="38"/>
  <c r="O118" i="38"/>
  <c r="Q117" i="38"/>
  <c r="Q115" i="38"/>
  <c r="P115" i="38"/>
  <c r="O115" i="38"/>
  <c r="Q113" i="38"/>
  <c r="P113" i="38"/>
  <c r="O113" i="38"/>
  <c r="Q112" i="38"/>
  <c r="P112" i="38"/>
  <c r="O112" i="38"/>
  <c r="Q111" i="38"/>
  <c r="P111" i="38"/>
  <c r="O111" i="38"/>
  <c r="Q110" i="38"/>
  <c r="Q109" i="38"/>
  <c r="Q108" i="38"/>
  <c r="Q107" i="38"/>
  <c r="Q106" i="38"/>
  <c r="Q105" i="38"/>
  <c r="P105" i="38"/>
  <c r="Q104" i="38"/>
  <c r="Q100" i="38"/>
  <c r="Q99" i="38"/>
  <c r="Q98" i="38"/>
  <c r="Q96" i="38"/>
  <c r="P96" i="38"/>
  <c r="O96" i="38"/>
  <c r="Q95" i="38"/>
  <c r="Q94" i="38"/>
  <c r="P94" i="38"/>
  <c r="O94" i="38"/>
  <c r="Q93" i="38"/>
  <c r="P93" i="38"/>
  <c r="O93" i="38"/>
  <c r="Q92" i="38"/>
  <c r="P92" i="38"/>
  <c r="O92" i="38"/>
  <c r="S91" i="38"/>
  <c r="Q91" i="38"/>
  <c r="P91" i="38"/>
  <c r="O91" i="38"/>
  <c r="Q90" i="38"/>
  <c r="Q89" i="38"/>
  <c r="Q88" i="38"/>
  <c r="Q87" i="38"/>
  <c r="Q86" i="38"/>
  <c r="Q85" i="38"/>
  <c r="Q84" i="38"/>
  <c r="P84" i="38"/>
  <c r="P598" i="38" s="1"/>
  <c r="N147" i="35" s="1"/>
  <c r="N403" i="35" s="1"/>
  <c r="V83" i="38"/>
  <c r="V103" i="38" s="1"/>
  <c r="V125" i="38" s="1"/>
  <c r="V148" i="38" s="1"/>
  <c r="V171" i="38" s="1"/>
  <c r="V194" i="38" s="1"/>
  <c r="V216" i="38" s="1"/>
  <c r="V82" i="38"/>
  <c r="V102" i="38" s="1"/>
  <c r="V124" i="38" s="1"/>
  <c r="V147" i="38" s="1"/>
  <c r="V170" i="38" s="1"/>
  <c r="V193" i="38" s="1"/>
  <c r="V215" i="38" s="1"/>
  <c r="V240" i="38" s="1"/>
  <c r="V266" i="38" s="1"/>
  <c r="V294" i="38" s="1"/>
  <c r="V323" i="38" s="1"/>
  <c r="V353" i="38" s="1"/>
  <c r="V382" i="38" s="1"/>
  <c r="V409" i="38" s="1"/>
  <c r="V438" i="38" s="1"/>
  <c r="V468" i="38" s="1"/>
  <c r="V497" i="38" s="1"/>
  <c r="V526" i="38" s="1"/>
  <c r="V556" i="38" s="1"/>
  <c r="V594" i="38" s="1"/>
  <c r="V81" i="38"/>
  <c r="V101" i="38" s="1"/>
  <c r="V123" i="38" s="1"/>
  <c r="V146" i="38" s="1"/>
  <c r="V169" i="38" s="1"/>
  <c r="V192" i="38" s="1"/>
  <c r="V214" i="38" s="1"/>
  <c r="V239" i="38" s="1"/>
  <c r="V265" i="38" s="1"/>
  <c r="V293" i="38" s="1"/>
  <c r="V322" i="38" s="1"/>
  <c r="V352" i="38" s="1"/>
  <c r="V381" i="38" s="1"/>
  <c r="V408" i="38" s="1"/>
  <c r="V437" i="38" s="1"/>
  <c r="V467" i="38" s="1"/>
  <c r="V496" i="38" s="1"/>
  <c r="V525" i="38" s="1"/>
  <c r="V555" i="38" s="1"/>
  <c r="V593" i="38" s="1"/>
  <c r="Q80" i="38"/>
  <c r="Q79" i="38"/>
  <c r="Q78" i="38"/>
  <c r="Q76" i="38"/>
  <c r="P76" i="38"/>
  <c r="O76" i="38"/>
  <c r="Q75" i="38"/>
  <c r="Q74" i="38"/>
  <c r="P74" i="38"/>
  <c r="O74" i="38"/>
  <c r="Q73" i="38"/>
  <c r="P73" i="38"/>
  <c r="O73" i="38"/>
  <c r="Q72" i="38"/>
  <c r="P72" i="38"/>
  <c r="O72" i="38"/>
  <c r="V72" i="38" s="1"/>
  <c r="S71" i="38"/>
  <c r="R71" i="38"/>
  <c r="Q71" i="38"/>
  <c r="P71" i="38"/>
  <c r="O71" i="38"/>
  <c r="Q70" i="38"/>
  <c r="Q69" i="38"/>
  <c r="Q68" i="38"/>
  <c r="Q67" i="38"/>
  <c r="Q66" i="38"/>
  <c r="Q63" i="38"/>
  <c r="V62" i="38"/>
  <c r="V61" i="38"/>
  <c r="Q59" i="38"/>
  <c r="Q58" i="38"/>
  <c r="Q57" i="38"/>
  <c r="Q53" i="38"/>
  <c r="P53" i="38"/>
  <c r="O53" i="38"/>
  <c r="Q52" i="38"/>
  <c r="Q50" i="38"/>
  <c r="P50" i="38"/>
  <c r="O50" i="38"/>
  <c r="Q48" i="38"/>
  <c r="P48" i="38"/>
  <c r="O48" i="38"/>
  <c r="V48" i="38" s="1"/>
  <c r="V73" i="38" s="1"/>
  <c r="V47" i="38"/>
  <c r="Q47" i="38"/>
  <c r="P47" i="38"/>
  <c r="O47" i="38"/>
  <c r="S46" i="38"/>
  <c r="R46" i="38"/>
  <c r="Q46" i="38"/>
  <c r="P46" i="38"/>
  <c r="O46" i="38"/>
  <c r="Q45" i="38"/>
  <c r="Q44" i="38"/>
  <c r="Q43" i="38"/>
  <c r="Q42" i="38"/>
  <c r="Q41" i="38"/>
  <c r="V40" i="38"/>
  <c r="V63" i="38" s="1"/>
  <c r="V85" i="38" s="1"/>
  <c r="V104" i="38" s="1"/>
  <c r="V126" i="38" s="1"/>
  <c r="V149" i="38" s="1"/>
  <c r="V172" i="38" s="1"/>
  <c r="V195" i="38" s="1"/>
  <c r="V217" i="38" s="1"/>
  <c r="V242" i="38" s="1"/>
  <c r="V268" i="38" s="1"/>
  <c r="V296" i="38" s="1"/>
  <c r="V325" i="38" s="1"/>
  <c r="V355" i="38" s="1"/>
  <c r="V384" i="38" s="1"/>
  <c r="Q40" i="38"/>
  <c r="V39" i="38"/>
  <c r="V38" i="38"/>
  <c r="V36" i="38"/>
  <c r="V59" i="38" s="1"/>
  <c r="V80" i="38" s="1"/>
  <c r="V100" i="38" s="1"/>
  <c r="V122" i="38" s="1"/>
  <c r="V145" i="38" s="1"/>
  <c r="Q36" i="38"/>
  <c r="V35" i="38"/>
  <c r="V58" i="38" s="1"/>
  <c r="V79" i="38" s="1"/>
  <c r="V99" i="38" s="1"/>
  <c r="V121" i="38" s="1"/>
  <c r="V144" i="38" s="1"/>
  <c r="V167" i="38" s="1"/>
  <c r="V190" i="38" s="1"/>
  <c r="V212" i="38" s="1"/>
  <c r="V237" i="38" s="1"/>
  <c r="V263" i="38" s="1"/>
  <c r="V291" i="38" s="1"/>
  <c r="V320" i="38" s="1"/>
  <c r="V350" i="38" s="1"/>
  <c r="V379" i="38" s="1"/>
  <c r="V406" i="38" s="1"/>
  <c r="V435" i="38" s="1"/>
  <c r="V465" i="38" s="1"/>
  <c r="V494" i="38" s="1"/>
  <c r="V523" i="38" s="1"/>
  <c r="V553" i="38" s="1"/>
  <c r="V590" i="38" s="1"/>
  <c r="Q35" i="38"/>
  <c r="V34" i="38"/>
  <c r="V57" i="38" s="1"/>
  <c r="V78" i="38" s="1"/>
  <c r="V98" i="38" s="1"/>
  <c r="V120" i="38" s="1"/>
  <c r="V143" i="38" s="1"/>
  <c r="V166" i="38" s="1"/>
  <c r="V189" i="38" s="1"/>
  <c r="V211" i="38" s="1"/>
  <c r="V236" i="38" s="1"/>
  <c r="V262" i="38" s="1"/>
  <c r="V290" i="38" s="1"/>
  <c r="V319" i="38" s="1"/>
  <c r="V349" i="38" s="1"/>
  <c r="V378" i="38" s="1"/>
  <c r="V405" i="38" s="1"/>
  <c r="V434" i="38" s="1"/>
  <c r="V464" i="38" s="1"/>
  <c r="V493" i="38" s="1"/>
  <c r="V522" i="38" s="1"/>
  <c r="V552" i="38" s="1"/>
  <c r="V588" i="38" s="1"/>
  <c r="Q34" i="38"/>
  <c r="Q31" i="38"/>
  <c r="P31" i="38"/>
  <c r="O31" i="38"/>
  <c r="V31" i="38" s="1"/>
  <c r="V53" i="38" s="1"/>
  <c r="V76" i="38" s="1"/>
  <c r="V96" i="38" s="1"/>
  <c r="Q30" i="38"/>
  <c r="V29" i="38"/>
  <c r="Q29" i="38"/>
  <c r="P29" i="38"/>
  <c r="O29" i="38"/>
  <c r="V27" i="38"/>
  <c r="Q27" i="38"/>
  <c r="P27" i="38"/>
  <c r="O27" i="38"/>
  <c r="Q26" i="38"/>
  <c r="P26" i="38"/>
  <c r="O26" i="38"/>
  <c r="Q25" i="38"/>
  <c r="P25" i="38"/>
  <c r="O25" i="38"/>
  <c r="Q24" i="38"/>
  <c r="Q23" i="38"/>
  <c r="P23" i="38"/>
  <c r="O23" i="38"/>
  <c r="O610" i="38" s="1"/>
  <c r="M158" i="35" s="1"/>
  <c r="M420" i="35" s="1"/>
  <c r="Q22" i="38"/>
  <c r="Q21" i="38"/>
  <c r="Q20" i="38"/>
  <c r="V18" i="38"/>
  <c r="Q18" i="38"/>
  <c r="V17" i="38"/>
  <c r="V16" i="38"/>
  <c r="V15" i="38"/>
  <c r="V37" i="38" s="1"/>
  <c r="V60" i="38" s="1"/>
  <c r="V14" i="38"/>
  <c r="Q14" i="38"/>
  <c r="V13" i="38"/>
  <c r="Q13" i="38"/>
  <c r="V12" i="38"/>
  <c r="Q12" i="38"/>
  <c r="V11" i="38"/>
  <c r="V33" i="38" s="1"/>
  <c r="V56" i="38" s="1"/>
  <c r="V77" i="38" s="1"/>
  <c r="V97" i="38" s="1"/>
  <c r="V119" i="38" s="1"/>
  <c r="V142" i="38" s="1"/>
  <c r="V165" i="38" s="1"/>
  <c r="V188" i="38" s="1"/>
  <c r="V210" i="38" s="1"/>
  <c r="V235" i="38" s="1"/>
  <c r="V261" i="38" s="1"/>
  <c r="V289" i="38" s="1"/>
  <c r="V318" i="38" s="1"/>
  <c r="V348" i="38" s="1"/>
  <c r="V377" i="38" s="1"/>
  <c r="V403" i="38" s="1"/>
  <c r="V432" i="38" s="1"/>
  <c r="V462" i="38" s="1"/>
  <c r="V491" i="38" s="1"/>
  <c r="V520" i="38" s="1"/>
  <c r="V550" i="38" s="1"/>
  <c r="V585" i="38" s="1"/>
  <c r="V10" i="38"/>
  <c r="Q10" i="38"/>
  <c r="P10" i="38"/>
  <c r="P579" i="38" s="1"/>
  <c r="N126" i="35" s="1"/>
  <c r="N367" i="35" s="1"/>
  <c r="O10" i="38"/>
  <c r="O579" i="38" s="1"/>
  <c r="M126" i="35" s="1"/>
  <c r="M367" i="35" s="1"/>
  <c r="Q9" i="38"/>
  <c r="P9" i="38"/>
  <c r="Q7" i="38"/>
  <c r="P7" i="38"/>
  <c r="P573" i="38" s="1"/>
  <c r="N120" i="35" s="1"/>
  <c r="O7" i="38"/>
  <c r="V7" i="38" s="1"/>
  <c r="V6" i="38"/>
  <c r="Q6" i="38"/>
  <c r="P6" i="38"/>
  <c r="O6" i="38"/>
  <c r="Q5" i="38"/>
  <c r="P5" i="38"/>
  <c r="O5" i="38"/>
  <c r="V5" i="38" s="1"/>
  <c r="V26" i="38" s="1"/>
  <c r="V4" i="38"/>
  <c r="R4" i="38"/>
  <c r="Q4" i="38"/>
  <c r="P4" i="38"/>
  <c r="O4" i="38"/>
  <c r="DM303" i="39"/>
  <c r="DL303" i="39"/>
  <c r="DK303" i="39"/>
  <c r="DJ303" i="39"/>
  <c r="DI303" i="39"/>
  <c r="DH303" i="39"/>
  <c r="DG303" i="39"/>
  <c r="DF303" i="39"/>
  <c r="DE303" i="39"/>
  <c r="DD303" i="39"/>
  <c r="DC303" i="39"/>
  <c r="DB303" i="39"/>
  <c r="DA303" i="39"/>
  <c r="CZ303" i="39"/>
  <c r="CY303" i="39"/>
  <c r="CW303" i="39"/>
  <c r="R538" i="38" s="1"/>
  <c r="CV303" i="39"/>
  <c r="CS303" i="39"/>
  <c r="CR303" i="39"/>
  <c r="S480" i="38" s="1"/>
  <c r="CQ303" i="39"/>
  <c r="R480" i="38" s="1"/>
  <c r="CP303" i="39"/>
  <c r="CO303" i="39"/>
  <c r="S450" i="38" s="1"/>
  <c r="CN303" i="39"/>
  <c r="R450" i="38" s="1"/>
  <c r="CM303" i="39"/>
  <c r="CL303" i="39"/>
  <c r="S420" i="38" s="1"/>
  <c r="CK303" i="39"/>
  <c r="CJ303" i="39"/>
  <c r="CI303" i="39"/>
  <c r="S393" i="38" s="1"/>
  <c r="CH303" i="39"/>
  <c r="CG303" i="39"/>
  <c r="CF303" i="39"/>
  <c r="CE303" i="39"/>
  <c r="CD303" i="39"/>
  <c r="CC303" i="39"/>
  <c r="S366" i="38" s="1"/>
  <c r="CB303" i="39"/>
  <c r="R366" i="38" s="1"/>
  <c r="CA303" i="39"/>
  <c r="BZ303" i="39"/>
  <c r="BY303" i="39"/>
  <c r="BX303" i="39"/>
  <c r="BW303" i="39"/>
  <c r="S308" i="38" s="1"/>
  <c r="BV303" i="39"/>
  <c r="R308" i="38" s="1"/>
  <c r="BU303" i="39"/>
  <c r="BR303" i="39"/>
  <c r="BQ303" i="39"/>
  <c r="BP303" i="39"/>
  <c r="R250" i="38" s="1"/>
  <c r="BO303" i="39"/>
  <c r="BN303" i="39"/>
  <c r="BM303" i="39"/>
  <c r="R225" i="38" s="1"/>
  <c r="BL303" i="39"/>
  <c r="BK303" i="39"/>
  <c r="BJ303" i="39"/>
  <c r="BI303" i="39"/>
  <c r="BF303" i="39"/>
  <c r="BE303" i="39"/>
  <c r="BD303" i="39"/>
  <c r="BC303" i="39"/>
  <c r="BB303" i="39"/>
  <c r="BA303" i="39"/>
  <c r="R156" i="38" s="1"/>
  <c r="AZ303" i="39"/>
  <c r="AY303" i="39"/>
  <c r="S133" i="38" s="1"/>
  <c r="AX303" i="39"/>
  <c r="R133" i="38" s="1"/>
  <c r="AW303" i="39"/>
  <c r="AV303" i="39"/>
  <c r="S111" i="38" s="1"/>
  <c r="AU303" i="39"/>
  <c r="R111" i="38" s="1"/>
  <c r="AT303" i="39"/>
  <c r="AS303" i="39"/>
  <c r="AR303" i="39"/>
  <c r="R91" i="38" s="1"/>
  <c r="AQ303" i="39"/>
  <c r="AP303" i="39"/>
  <c r="AO303" i="39"/>
  <c r="AN303" i="39"/>
  <c r="AM303" i="39"/>
  <c r="AL303" i="39"/>
  <c r="AK303" i="39"/>
  <c r="AJ303" i="39"/>
  <c r="AI303" i="39"/>
  <c r="AH303" i="39"/>
  <c r="AG303" i="39"/>
  <c r="S25" i="38" s="1"/>
  <c r="AF303" i="39"/>
  <c r="R25" i="38" s="1"/>
  <c r="AE303" i="39"/>
  <c r="AD303" i="39"/>
  <c r="S4" i="38" s="1"/>
  <c r="AC303" i="39"/>
  <c r="AB303" i="39"/>
  <c r="BT282" i="39"/>
  <c r="BT303" i="39" s="1"/>
  <c r="S278" i="38" s="1"/>
  <c r="BS282" i="39"/>
  <c r="O281" i="38" s="1"/>
  <c r="BH282" i="39"/>
  <c r="BG282" i="39"/>
  <c r="CX279" i="39"/>
  <c r="CX303" i="39" s="1"/>
  <c r="CW279" i="39"/>
  <c r="CU277" i="39"/>
  <c r="CT277" i="39"/>
  <c r="O508" i="38" s="1"/>
  <c r="CC277" i="39"/>
  <c r="P367" i="38" s="1"/>
  <c r="CB277" i="39"/>
  <c r="O367" i="38" s="1"/>
  <c r="CU276" i="39"/>
  <c r="CT276" i="39"/>
  <c r="CC276" i="39"/>
  <c r="P366" i="38" s="1"/>
  <c r="CB276" i="39"/>
  <c r="O366" i="38" s="1"/>
  <c r="BT276" i="39"/>
  <c r="P278" i="38" s="1"/>
  <c r="BS276" i="39"/>
  <c r="O278" i="38" s="1"/>
  <c r="BH276" i="39"/>
  <c r="BG276" i="39"/>
  <c r="O202" i="38" s="1"/>
  <c r="DM271" i="39"/>
  <c r="DL271" i="39"/>
  <c r="DK271" i="39"/>
  <c r="DJ271" i="39"/>
  <c r="DI271" i="39"/>
  <c r="DH271" i="39"/>
  <c r="DG271" i="39"/>
  <c r="DF271" i="39"/>
  <c r="DE271" i="39"/>
  <c r="DD271" i="39"/>
  <c r="DC271" i="39"/>
  <c r="DB271" i="39"/>
  <c r="DA271" i="39"/>
  <c r="CZ271" i="39"/>
  <c r="CY271" i="39"/>
  <c r="CW271" i="39"/>
  <c r="CV271" i="39"/>
  <c r="CT271" i="39"/>
  <c r="CQ271" i="39"/>
  <c r="CN271" i="39"/>
  <c r="CK271" i="39"/>
  <c r="CH271" i="39"/>
  <c r="CF271" i="39"/>
  <c r="CE271" i="39"/>
  <c r="CD271" i="39"/>
  <c r="CB271" i="39"/>
  <c r="BV271" i="39"/>
  <c r="BP271" i="39"/>
  <c r="BM271" i="39"/>
  <c r="BK271" i="39"/>
  <c r="BJ271" i="39"/>
  <c r="BG271" i="39"/>
  <c r="BA271" i="39"/>
  <c r="AU271" i="39"/>
  <c r="AR271" i="39"/>
  <c r="AP271" i="39"/>
  <c r="AO271" i="39"/>
  <c r="AN271" i="39"/>
  <c r="AI271" i="39"/>
  <c r="AF271" i="39"/>
  <c r="D271" i="39"/>
  <c r="C271" i="39"/>
  <c r="CX270" i="39"/>
  <c r="CU270" i="39"/>
  <c r="CR270" i="39"/>
  <c r="CO270" i="39"/>
  <c r="CX269" i="39"/>
  <c r="CU269" i="39"/>
  <c r="CR269" i="39"/>
  <c r="CO269" i="39"/>
  <c r="CX268" i="39"/>
  <c r="CU268" i="39"/>
  <c r="CR268" i="39"/>
  <c r="CO268" i="39"/>
  <c r="CL268" i="39"/>
  <c r="CI268" i="39"/>
  <c r="CC268" i="39"/>
  <c r="BZ268" i="39"/>
  <c r="BW268" i="39"/>
  <c r="BT268" i="39"/>
  <c r="BQ268" i="39"/>
  <c r="BN268" i="39"/>
  <c r="BH268" i="39"/>
  <c r="BE268" i="39"/>
  <c r="BB268" i="39"/>
  <c r="AY268" i="39"/>
  <c r="AV268" i="39"/>
  <c r="AS268" i="39"/>
  <c r="AM268" i="39"/>
  <c r="CX267" i="39"/>
  <c r="CU267" i="39"/>
  <c r="CR267" i="39"/>
  <c r="CO267" i="39"/>
  <c r="CL267" i="39"/>
  <c r="CI267" i="39"/>
  <c r="CC267" i="39"/>
  <c r="BZ267" i="39"/>
  <c r="BW267" i="39"/>
  <c r="BT267" i="39"/>
  <c r="BQ267" i="39"/>
  <c r="BN267" i="39"/>
  <c r="BH267" i="39"/>
  <c r="BE267" i="39"/>
  <c r="BB267" i="39"/>
  <c r="AY267" i="39"/>
  <c r="AV267" i="39"/>
  <c r="AS267" i="39"/>
  <c r="AM267" i="39"/>
  <c r="AJ267" i="39"/>
  <c r="AG267" i="39"/>
  <c r="AD267" i="39"/>
  <c r="CX266" i="39"/>
  <c r="CU266" i="39"/>
  <c r="CR266" i="39"/>
  <c r="CO266" i="39"/>
  <c r="CL266" i="39"/>
  <c r="CI266" i="39"/>
  <c r="CC266" i="39"/>
  <c r="BZ266" i="39"/>
  <c r="BW266" i="39"/>
  <c r="BT266" i="39"/>
  <c r="BQ266" i="39"/>
  <c r="BN266" i="39"/>
  <c r="BH266" i="39"/>
  <c r="BE266" i="39"/>
  <c r="BB266" i="39"/>
  <c r="AY266" i="39"/>
  <c r="AV266" i="39"/>
  <c r="AS266" i="39"/>
  <c r="AM266" i="39"/>
  <c r="AJ266" i="39"/>
  <c r="AG266" i="39"/>
  <c r="AD266" i="39"/>
  <c r="CX265" i="39"/>
  <c r="CU265" i="39"/>
  <c r="CR265" i="39"/>
  <c r="CO265" i="39"/>
  <c r="CL265" i="39"/>
  <c r="CI265" i="39"/>
  <c r="CC265" i="39"/>
  <c r="BZ265" i="39"/>
  <c r="BW265" i="39"/>
  <c r="BT265" i="39"/>
  <c r="BQ265" i="39"/>
  <c r="BN265" i="39"/>
  <c r="BH265" i="39"/>
  <c r="BE265" i="39"/>
  <c r="BB265" i="39"/>
  <c r="AY265" i="39"/>
  <c r="AV265" i="39"/>
  <c r="AS265" i="39"/>
  <c r="AM265" i="39"/>
  <c r="AJ265" i="39"/>
  <c r="AG265" i="39"/>
  <c r="AD265" i="39"/>
  <c r="CX256" i="39"/>
  <c r="CU256" i="39"/>
  <c r="CR256" i="39"/>
  <c r="CO256" i="39"/>
  <c r="CL256" i="39"/>
  <c r="CI256" i="39"/>
  <c r="CC256" i="39"/>
  <c r="BZ256" i="39"/>
  <c r="BW256" i="39"/>
  <c r="BT256" i="39"/>
  <c r="BQ256" i="39"/>
  <c r="BN256" i="39"/>
  <c r="BH256" i="39"/>
  <c r="BE256" i="39"/>
  <c r="BB256" i="39"/>
  <c r="AY256" i="39"/>
  <c r="AV256" i="39"/>
  <c r="AS256" i="39"/>
  <c r="AM256" i="39"/>
  <c r="AJ256" i="39"/>
  <c r="AG256" i="39"/>
  <c r="AD256" i="39"/>
  <c r="CX255" i="39"/>
  <c r="CU255" i="39"/>
  <c r="CR255" i="39"/>
  <c r="CO255" i="39"/>
  <c r="CL255" i="39"/>
  <c r="CI255" i="39"/>
  <c r="CC255" i="39"/>
  <c r="BZ255" i="39"/>
  <c r="BW255" i="39"/>
  <c r="BT255" i="39"/>
  <c r="BQ255" i="39"/>
  <c r="BN255" i="39"/>
  <c r="BH255" i="39"/>
  <c r="BE255" i="39"/>
  <c r="BB255" i="39"/>
  <c r="AY255" i="39"/>
  <c r="AV255" i="39"/>
  <c r="AS255" i="39"/>
  <c r="AM255" i="39"/>
  <c r="AJ255" i="39"/>
  <c r="AG255" i="39"/>
  <c r="AD255" i="39"/>
  <c r="CX254" i="39"/>
  <c r="CU254" i="39"/>
  <c r="CR254" i="39"/>
  <c r="CO254" i="39"/>
  <c r="CL254" i="39"/>
  <c r="CI254" i="39"/>
  <c r="CC254" i="39"/>
  <c r="BZ254" i="39"/>
  <c r="BW254" i="39"/>
  <c r="BT254" i="39"/>
  <c r="BQ254" i="39"/>
  <c r="BN254" i="39"/>
  <c r="BH254" i="39"/>
  <c r="BE254" i="39"/>
  <c r="BB254" i="39"/>
  <c r="AY254" i="39"/>
  <c r="AV254" i="39"/>
  <c r="AS254" i="39"/>
  <c r="AM254" i="39"/>
  <c r="AJ254" i="39"/>
  <c r="AG254" i="39"/>
  <c r="AD254" i="39"/>
  <c r="CX253" i="39"/>
  <c r="CU253" i="39"/>
  <c r="CR253" i="39"/>
  <c r="CO253" i="39"/>
  <c r="CL253" i="39"/>
  <c r="CI253" i="39"/>
  <c r="CC253" i="39"/>
  <c r="BZ253" i="39"/>
  <c r="BW253" i="39"/>
  <c r="BT253" i="39"/>
  <c r="BQ253" i="39"/>
  <c r="BN253" i="39"/>
  <c r="BH253" i="39"/>
  <c r="BE253" i="39"/>
  <c r="BB253" i="39"/>
  <c r="AY253" i="39"/>
  <c r="AV253" i="39"/>
  <c r="AS253" i="39"/>
  <c r="AM253" i="39"/>
  <c r="AJ253" i="39"/>
  <c r="AG253" i="39"/>
  <c r="AD253" i="39"/>
  <c r="CX252" i="39"/>
  <c r="CU252" i="39"/>
  <c r="CR252" i="39"/>
  <c r="CO252" i="39"/>
  <c r="CL252" i="39"/>
  <c r="CI252" i="39"/>
  <c r="CC252" i="39"/>
  <c r="BZ252" i="39"/>
  <c r="BW252" i="39"/>
  <c r="BT252" i="39"/>
  <c r="BQ252" i="39"/>
  <c r="BN252" i="39"/>
  <c r="BH252" i="39"/>
  <c r="BE252" i="39"/>
  <c r="BB252" i="39"/>
  <c r="CX251" i="39"/>
  <c r="CU251" i="39"/>
  <c r="CR251" i="39"/>
  <c r="CO251" i="39"/>
  <c r="CL251" i="39"/>
  <c r="CI251" i="39"/>
  <c r="CC251" i="39"/>
  <c r="BZ251" i="39"/>
  <c r="BW251" i="39"/>
  <c r="BT251" i="39"/>
  <c r="BQ251" i="39"/>
  <c r="BN251" i="39"/>
  <c r="BH251" i="39"/>
  <c r="BE251" i="39"/>
  <c r="BB251" i="39"/>
  <c r="AY251" i="39"/>
  <c r="AV251" i="39"/>
  <c r="AS251" i="39"/>
  <c r="AM251" i="39"/>
  <c r="AJ251" i="39"/>
  <c r="AG251" i="39"/>
  <c r="AD251" i="39"/>
  <c r="CX250" i="39"/>
  <c r="CU250" i="39"/>
  <c r="CR250" i="39"/>
  <c r="CO250" i="39"/>
  <c r="CL250" i="39"/>
  <c r="CI250" i="39"/>
  <c r="CC250" i="39"/>
  <c r="BZ250" i="39"/>
  <c r="BW250" i="39"/>
  <c r="BT250" i="39"/>
  <c r="BQ250" i="39"/>
  <c r="BN250" i="39"/>
  <c r="BH250" i="39"/>
  <c r="BE250" i="39"/>
  <c r="BB250" i="39"/>
  <c r="AY250" i="39"/>
  <c r="AV250" i="39"/>
  <c r="AS250" i="39"/>
  <c r="AM250" i="39"/>
  <c r="AJ250" i="39"/>
  <c r="AG250" i="39"/>
  <c r="AD250" i="39"/>
  <c r="CX220" i="39"/>
  <c r="CU220" i="39"/>
  <c r="CR220" i="39"/>
  <c r="CO220" i="39"/>
  <c r="CL220" i="39"/>
  <c r="CI220" i="39"/>
  <c r="CC220" i="39"/>
  <c r="BZ220" i="39"/>
  <c r="BW220" i="39"/>
  <c r="BT220" i="39"/>
  <c r="BQ220" i="39"/>
  <c r="BN220" i="39"/>
  <c r="BH220" i="39"/>
  <c r="BE220" i="39"/>
  <c r="BB220" i="39"/>
  <c r="AY220" i="39"/>
  <c r="AV220" i="39"/>
  <c r="AS220" i="39"/>
  <c r="AM220" i="39"/>
  <c r="AJ220" i="39"/>
  <c r="AG220" i="39"/>
  <c r="AD220" i="39"/>
  <c r="CX219" i="39"/>
  <c r="CU219" i="39"/>
  <c r="CR219" i="39"/>
  <c r="CO219" i="39"/>
  <c r="CL219" i="39"/>
  <c r="CI219" i="39"/>
  <c r="CC219" i="39"/>
  <c r="BZ219" i="39"/>
  <c r="BW219" i="39"/>
  <c r="BT219" i="39"/>
  <c r="BQ219" i="39"/>
  <c r="BN219" i="39"/>
  <c r="BH219" i="39"/>
  <c r="BE219" i="39"/>
  <c r="BB219" i="39"/>
  <c r="AY219" i="39"/>
  <c r="AV219" i="39"/>
  <c r="AS219" i="39"/>
  <c r="AM219" i="39"/>
  <c r="AJ219" i="39"/>
  <c r="AG219" i="39"/>
  <c r="AD219" i="39"/>
  <c r="CX218" i="39"/>
  <c r="CU218" i="39"/>
  <c r="CR218" i="39"/>
  <c r="CO218" i="39"/>
  <c r="CL218" i="39"/>
  <c r="CI218" i="39"/>
  <c r="CC218" i="39"/>
  <c r="BZ218" i="39"/>
  <c r="BW218" i="39"/>
  <c r="BT218" i="39"/>
  <c r="BQ218" i="39"/>
  <c r="BN218" i="39"/>
  <c r="BH218" i="39"/>
  <c r="BE218" i="39"/>
  <c r="BB218" i="39"/>
  <c r="AY218" i="39"/>
  <c r="AV218" i="39"/>
  <c r="AS218" i="39"/>
  <c r="AM218" i="39"/>
  <c r="AJ218" i="39"/>
  <c r="AG218" i="39"/>
  <c r="AD218" i="39"/>
  <c r="CX217" i="39"/>
  <c r="CU217" i="39"/>
  <c r="CR217" i="39"/>
  <c r="CO217" i="39"/>
  <c r="CL217" i="39"/>
  <c r="CI217" i="39"/>
  <c r="CC217" i="39"/>
  <c r="BZ217" i="39"/>
  <c r="BW217" i="39"/>
  <c r="BT217" i="39"/>
  <c r="BQ217" i="39"/>
  <c r="BN217" i="39"/>
  <c r="BH217" i="39"/>
  <c r="BE217" i="39"/>
  <c r="BB217" i="39"/>
  <c r="AY217" i="39"/>
  <c r="AV217" i="39"/>
  <c r="AS217" i="39"/>
  <c r="AM217" i="39"/>
  <c r="AJ217" i="39"/>
  <c r="AG217" i="39"/>
  <c r="AD217" i="39"/>
  <c r="CX216" i="39"/>
  <c r="CU216" i="39"/>
  <c r="CR216" i="39"/>
  <c r="CO216" i="39"/>
  <c r="CL216" i="39"/>
  <c r="CI216" i="39"/>
  <c r="CC216" i="39"/>
  <c r="BZ216" i="39"/>
  <c r="BW216" i="39"/>
  <c r="BT216" i="39"/>
  <c r="BQ216" i="39"/>
  <c r="BN216" i="39"/>
  <c r="BH216" i="39"/>
  <c r="BE216" i="39"/>
  <c r="BB216" i="39"/>
  <c r="AY216" i="39"/>
  <c r="AV216" i="39"/>
  <c r="AS216" i="39"/>
  <c r="AM216" i="39"/>
  <c r="AJ216" i="39"/>
  <c r="AG216" i="39"/>
  <c r="AD216" i="39"/>
  <c r="CX215" i="39"/>
  <c r="CU215" i="39"/>
  <c r="CR215" i="39"/>
  <c r="CO215" i="39"/>
  <c r="CL215" i="39"/>
  <c r="CI215" i="39"/>
  <c r="CC215" i="39"/>
  <c r="BZ215" i="39"/>
  <c r="BW215" i="39"/>
  <c r="BT215" i="39"/>
  <c r="BQ215" i="39"/>
  <c r="BN215" i="39"/>
  <c r="BH215" i="39"/>
  <c r="BE215" i="39"/>
  <c r="BB215" i="39"/>
  <c r="AY215" i="39"/>
  <c r="AV215" i="39"/>
  <c r="AS215" i="39"/>
  <c r="AM215" i="39"/>
  <c r="AJ215" i="39"/>
  <c r="AG215" i="39"/>
  <c r="AD215" i="39"/>
  <c r="CX214" i="39"/>
  <c r="CU214" i="39"/>
  <c r="CR214" i="39"/>
  <c r="CO214" i="39"/>
  <c r="CL214" i="39"/>
  <c r="CI214" i="39"/>
  <c r="CC214" i="39"/>
  <c r="BZ214" i="39"/>
  <c r="BW214" i="39"/>
  <c r="BT214" i="39"/>
  <c r="BQ214" i="39"/>
  <c r="BN214" i="39"/>
  <c r="BH214" i="39"/>
  <c r="BE214" i="39"/>
  <c r="BB214" i="39"/>
  <c r="AY214" i="39"/>
  <c r="AV214" i="39"/>
  <c r="AS214" i="39"/>
  <c r="AM214" i="39"/>
  <c r="AJ214" i="39"/>
  <c r="AG214" i="39"/>
  <c r="AD214" i="39"/>
  <c r="CX213" i="39"/>
  <c r="CU213" i="39"/>
  <c r="CR213" i="39"/>
  <c r="CO213" i="39"/>
  <c r="CL213" i="39"/>
  <c r="CI213" i="39"/>
  <c r="CC213" i="39"/>
  <c r="BZ213" i="39"/>
  <c r="BW213" i="39"/>
  <c r="BT213" i="39"/>
  <c r="BQ213" i="39"/>
  <c r="BN213" i="39"/>
  <c r="BH213" i="39"/>
  <c r="BE213" i="39"/>
  <c r="BB213" i="39"/>
  <c r="AY213" i="39"/>
  <c r="AV213" i="39"/>
  <c r="AS213" i="39"/>
  <c r="AM213" i="39"/>
  <c r="AJ213" i="39"/>
  <c r="AG213" i="39"/>
  <c r="AD213" i="39"/>
  <c r="CX212" i="39"/>
  <c r="CU212" i="39"/>
  <c r="CR212" i="39"/>
  <c r="CO212" i="39"/>
  <c r="CL212" i="39"/>
  <c r="CI212" i="39"/>
  <c r="CC212" i="39"/>
  <c r="BZ212" i="39"/>
  <c r="BW212" i="39"/>
  <c r="BT212" i="39"/>
  <c r="BQ212" i="39"/>
  <c r="BN212" i="39"/>
  <c r="BH212" i="39"/>
  <c r="BE212" i="39"/>
  <c r="BB212" i="39"/>
  <c r="AY212" i="39"/>
  <c r="AV212" i="39"/>
  <c r="AS212" i="39"/>
  <c r="AM212" i="39"/>
  <c r="AJ212" i="39"/>
  <c r="AG212" i="39"/>
  <c r="AD212" i="39"/>
  <c r="CX211" i="39"/>
  <c r="CU211" i="39"/>
  <c r="CR211" i="39"/>
  <c r="CO211" i="39"/>
  <c r="CL211" i="39"/>
  <c r="CI211" i="39"/>
  <c r="CC211" i="39"/>
  <c r="BZ211" i="39"/>
  <c r="BW211" i="39"/>
  <c r="BT211" i="39"/>
  <c r="BQ211" i="39"/>
  <c r="BN211" i="39"/>
  <c r="BH211" i="39"/>
  <c r="BE211" i="39"/>
  <c r="BB211" i="39"/>
  <c r="AY211" i="39"/>
  <c r="AV211" i="39"/>
  <c r="AS211" i="39"/>
  <c r="AM211" i="39"/>
  <c r="AJ211" i="39"/>
  <c r="AG211" i="39"/>
  <c r="AD211" i="39"/>
  <c r="CX210" i="39"/>
  <c r="CU210" i="39"/>
  <c r="CR210" i="39"/>
  <c r="CO210" i="39"/>
  <c r="CL210" i="39"/>
  <c r="CI210" i="39"/>
  <c r="CC210" i="39"/>
  <c r="BZ210" i="39"/>
  <c r="BW210" i="39"/>
  <c r="BT210" i="39"/>
  <c r="BQ210" i="39"/>
  <c r="BN210" i="39"/>
  <c r="BH210" i="39"/>
  <c r="BE210" i="39"/>
  <c r="BB210" i="39"/>
  <c r="AY210" i="39"/>
  <c r="AV210" i="39"/>
  <c r="AS210" i="39"/>
  <c r="AM210" i="39"/>
  <c r="AJ210" i="39"/>
  <c r="AI210" i="39"/>
  <c r="AG210" i="39"/>
  <c r="AD210" i="39"/>
  <c r="CX209" i="39"/>
  <c r="CU209" i="39"/>
  <c r="CR209" i="39"/>
  <c r="CO209" i="39"/>
  <c r="CL209" i="39"/>
  <c r="CI209" i="39"/>
  <c r="CC209" i="39"/>
  <c r="BZ209" i="39"/>
  <c r="BW209" i="39"/>
  <c r="BT209" i="39"/>
  <c r="BQ209" i="39"/>
  <c r="BN209" i="39"/>
  <c r="BH209" i="39"/>
  <c r="BE209" i="39"/>
  <c r="BB209" i="39"/>
  <c r="AY209" i="39"/>
  <c r="AV209" i="39"/>
  <c r="AS209" i="39"/>
  <c r="AM209" i="39"/>
  <c r="AJ209" i="39"/>
  <c r="AG209" i="39"/>
  <c r="AD209" i="39"/>
  <c r="CX208" i="39"/>
  <c r="CU208" i="39"/>
  <c r="CR208" i="39"/>
  <c r="CO208" i="39"/>
  <c r="CL208" i="39"/>
  <c r="CI208" i="39"/>
  <c r="CC208" i="39"/>
  <c r="BZ208" i="39"/>
  <c r="BW208" i="39"/>
  <c r="BT208" i="39"/>
  <c r="BQ208" i="39"/>
  <c r="BN208" i="39"/>
  <c r="BH208" i="39"/>
  <c r="BE208" i="39"/>
  <c r="BB208" i="39"/>
  <c r="AY208" i="39"/>
  <c r="AV208" i="39"/>
  <c r="AS208" i="39"/>
  <c r="AM208" i="39"/>
  <c r="AJ208" i="39"/>
  <c r="AG208" i="39"/>
  <c r="AD208" i="39"/>
  <c r="CX207" i="39"/>
  <c r="CU207" i="39"/>
  <c r="CR207" i="39"/>
  <c r="CO207" i="39"/>
  <c r="CL207" i="39"/>
  <c r="CI207" i="39"/>
  <c r="CC207" i="39"/>
  <c r="BZ207" i="39"/>
  <c r="BW207" i="39"/>
  <c r="BT207" i="39"/>
  <c r="BQ207" i="39"/>
  <c r="BN207" i="39"/>
  <c r="BH207" i="39"/>
  <c r="BE207" i="39"/>
  <c r="BB207" i="39"/>
  <c r="AY207" i="39"/>
  <c r="AV207" i="39"/>
  <c r="AS207" i="39"/>
  <c r="AM207" i="39"/>
  <c r="AJ207" i="39"/>
  <c r="AG207" i="39"/>
  <c r="AD207" i="39"/>
  <c r="CX206" i="39"/>
  <c r="CU206" i="39"/>
  <c r="CR206" i="39"/>
  <c r="CO206" i="39"/>
  <c r="CL206" i="39"/>
  <c r="CI206" i="39"/>
  <c r="CC206" i="39"/>
  <c r="BZ206" i="39"/>
  <c r="BW206" i="39"/>
  <c r="BT206" i="39"/>
  <c r="BQ206" i="39"/>
  <c r="BN206" i="39"/>
  <c r="BH206" i="39"/>
  <c r="BE206" i="39"/>
  <c r="BB206" i="39"/>
  <c r="AY206" i="39"/>
  <c r="AV206" i="39"/>
  <c r="AS206" i="39"/>
  <c r="AM206" i="39"/>
  <c r="AJ206" i="39"/>
  <c r="AG206" i="39"/>
  <c r="AD206" i="39"/>
  <c r="CX205" i="39"/>
  <c r="CU205" i="39"/>
  <c r="CR205" i="39"/>
  <c r="CO205" i="39"/>
  <c r="CL205" i="39"/>
  <c r="CI205" i="39"/>
  <c r="CC205" i="39"/>
  <c r="BZ205" i="39"/>
  <c r="BW205" i="39"/>
  <c r="BT205" i="39"/>
  <c r="BQ205" i="39"/>
  <c r="BN205" i="39"/>
  <c r="BH205" i="39"/>
  <c r="BE205" i="39"/>
  <c r="BB205" i="39"/>
  <c r="AY205" i="39"/>
  <c r="AV205" i="39"/>
  <c r="AS205" i="39"/>
  <c r="AM205" i="39"/>
  <c r="AJ205" i="39"/>
  <c r="AG205" i="39"/>
  <c r="AD205" i="39"/>
  <c r="CX204" i="39"/>
  <c r="CU204" i="39"/>
  <c r="CR204" i="39"/>
  <c r="CO204" i="39"/>
  <c r="CL204" i="39"/>
  <c r="CI204" i="39"/>
  <c r="CC204" i="39"/>
  <c r="BZ204" i="39"/>
  <c r="BW204" i="39"/>
  <c r="BT204" i="39"/>
  <c r="BQ204" i="39"/>
  <c r="BN204" i="39"/>
  <c r="BH204" i="39"/>
  <c r="BE204" i="39"/>
  <c r="BB204" i="39"/>
  <c r="AY204" i="39"/>
  <c r="AV204" i="39"/>
  <c r="AS204" i="39"/>
  <c r="AM204" i="39"/>
  <c r="AJ204" i="39"/>
  <c r="AG204" i="39"/>
  <c r="AD204" i="39"/>
  <c r="CX203" i="39"/>
  <c r="CU203" i="39"/>
  <c r="CR203" i="39"/>
  <c r="CO203" i="39"/>
  <c r="CL203" i="39"/>
  <c r="CI203" i="39"/>
  <c r="CC203" i="39"/>
  <c r="BZ203" i="39"/>
  <c r="BW203" i="39"/>
  <c r="BT203" i="39"/>
  <c r="BQ203" i="39"/>
  <c r="BN203" i="39"/>
  <c r="BH203" i="39"/>
  <c r="BE203" i="39"/>
  <c r="BB203" i="39"/>
  <c r="AY203" i="39"/>
  <c r="AV203" i="39"/>
  <c r="AS203" i="39"/>
  <c r="AM203" i="39"/>
  <c r="AJ203" i="39"/>
  <c r="AG203" i="39"/>
  <c r="AD203" i="39"/>
  <c r="CX202" i="39"/>
  <c r="CU202" i="39"/>
  <c r="CR202" i="39"/>
  <c r="CO202" i="39"/>
  <c r="CL202" i="39"/>
  <c r="CI202" i="39"/>
  <c r="CC202" i="39"/>
  <c r="BZ202" i="39"/>
  <c r="BW202" i="39"/>
  <c r="BT202" i="39"/>
  <c r="BQ202" i="39"/>
  <c r="BN202" i="39"/>
  <c r="BH202" i="39"/>
  <c r="BE202" i="39"/>
  <c r="BB202" i="39"/>
  <c r="AY202" i="39"/>
  <c r="AV202" i="39"/>
  <c r="AS202" i="39"/>
  <c r="AM202" i="39"/>
  <c r="AJ202" i="39"/>
  <c r="AG202" i="39"/>
  <c r="AD202" i="39"/>
  <c r="CX201" i="39"/>
  <c r="CU201" i="39"/>
  <c r="CR201" i="39"/>
  <c r="CO201" i="39"/>
  <c r="CL201" i="39"/>
  <c r="CI201" i="39"/>
  <c r="CC201" i="39"/>
  <c r="BZ201" i="39"/>
  <c r="BW201" i="39"/>
  <c r="BT201" i="39"/>
  <c r="BQ201" i="39"/>
  <c r="BN201" i="39"/>
  <c r="BH201" i="39"/>
  <c r="BE201" i="39"/>
  <c r="BB201" i="39"/>
  <c r="AY201" i="39"/>
  <c r="AV201" i="39"/>
  <c r="AS201" i="39"/>
  <c r="AM201" i="39"/>
  <c r="AJ201" i="39"/>
  <c r="AG201" i="39"/>
  <c r="AD201" i="39"/>
  <c r="CX200" i="39"/>
  <c r="CU200" i="39"/>
  <c r="CR200" i="39"/>
  <c r="CO200" i="39"/>
  <c r="CN200" i="39"/>
  <c r="CL200" i="39"/>
  <c r="CI200" i="39"/>
  <c r="CC200" i="39"/>
  <c r="BZ200" i="39"/>
  <c r="BW200" i="39"/>
  <c r="BT200" i="39"/>
  <c r="BQ200" i="39"/>
  <c r="BN200" i="39"/>
  <c r="BH200" i="39"/>
  <c r="BE200" i="39"/>
  <c r="BB200" i="39"/>
  <c r="AY200" i="39"/>
  <c r="AV200" i="39"/>
  <c r="AS200" i="39"/>
  <c r="AM200" i="39"/>
  <c r="AJ200" i="39"/>
  <c r="AG200" i="39"/>
  <c r="AD200" i="39"/>
  <c r="CX199" i="39"/>
  <c r="CU199" i="39"/>
  <c r="CR199" i="39"/>
  <c r="CO199" i="39"/>
  <c r="CL199" i="39"/>
  <c r="CI199" i="39"/>
  <c r="CC199" i="39"/>
  <c r="BZ199" i="39"/>
  <c r="BW199" i="39"/>
  <c r="BT199" i="39"/>
  <c r="BQ199" i="39"/>
  <c r="BN199" i="39"/>
  <c r="BH199" i="39"/>
  <c r="BE199" i="39"/>
  <c r="BB199" i="39"/>
  <c r="AY199" i="39"/>
  <c r="AV199" i="39"/>
  <c r="AS199" i="39"/>
  <c r="AM199" i="39"/>
  <c r="AJ199" i="39"/>
  <c r="AG199" i="39"/>
  <c r="AD199" i="39"/>
  <c r="CX198" i="39"/>
  <c r="CU198" i="39"/>
  <c r="CR198" i="39"/>
  <c r="CO198" i="39"/>
  <c r="CL198" i="39"/>
  <c r="CI198" i="39"/>
  <c r="CC198" i="39"/>
  <c r="BZ198" i="39"/>
  <c r="BW198" i="39"/>
  <c r="BT198" i="39"/>
  <c r="BQ198" i="39"/>
  <c r="BN198" i="39"/>
  <c r="BH198" i="39"/>
  <c r="BE198" i="39"/>
  <c r="BB198" i="39"/>
  <c r="AY198" i="39"/>
  <c r="AV198" i="39"/>
  <c r="AS198" i="39"/>
  <c r="AM198" i="39"/>
  <c r="AJ198" i="39"/>
  <c r="AG198" i="39"/>
  <c r="AD198" i="39"/>
  <c r="CX197" i="39"/>
  <c r="CU197" i="39"/>
  <c r="CR197" i="39"/>
  <c r="CO197" i="39"/>
  <c r="CL197" i="39"/>
  <c r="CI197" i="39"/>
  <c r="CC197" i="39"/>
  <c r="BZ197" i="39"/>
  <c r="BW197" i="39"/>
  <c r="BT197" i="39"/>
  <c r="BQ197" i="39"/>
  <c r="BN197" i="39"/>
  <c r="BH197" i="39"/>
  <c r="BE197" i="39"/>
  <c r="BB197" i="39"/>
  <c r="AY197" i="39"/>
  <c r="AV197" i="39"/>
  <c r="AS197" i="39"/>
  <c r="AM197" i="39"/>
  <c r="AJ197" i="39"/>
  <c r="AG197" i="39"/>
  <c r="AD197" i="39"/>
  <c r="CX196" i="39"/>
  <c r="CU196" i="39"/>
  <c r="CR196" i="39"/>
  <c r="CO196" i="39"/>
  <c r="CL196" i="39"/>
  <c r="CI196" i="39"/>
  <c r="CC196" i="39"/>
  <c r="BZ196" i="39"/>
  <c r="BW196" i="39"/>
  <c r="BT196" i="39"/>
  <c r="BQ196" i="39"/>
  <c r="BN196" i="39"/>
  <c r="BH196" i="39"/>
  <c r="BE196" i="39"/>
  <c r="BB196" i="39"/>
  <c r="AY196" i="39"/>
  <c r="AV196" i="39"/>
  <c r="AS196" i="39"/>
  <c r="AM196" i="39"/>
  <c r="AJ196" i="39"/>
  <c r="AG196" i="39"/>
  <c r="AD196" i="39"/>
  <c r="CX195" i="39"/>
  <c r="CU195" i="39"/>
  <c r="CR195" i="39"/>
  <c r="CO195" i="39"/>
  <c r="CL195" i="39"/>
  <c r="CI195" i="39"/>
  <c r="CC195" i="39"/>
  <c r="BZ195" i="39"/>
  <c r="BW195" i="39"/>
  <c r="BT195" i="39"/>
  <c r="BQ195" i="39"/>
  <c r="BN195" i="39"/>
  <c r="BH195" i="39"/>
  <c r="BE195" i="39"/>
  <c r="BB195" i="39"/>
  <c r="AY195" i="39"/>
  <c r="AV195" i="39"/>
  <c r="AS195" i="39"/>
  <c r="AM195" i="39"/>
  <c r="AJ195" i="39"/>
  <c r="AG195" i="39"/>
  <c r="AD195" i="39"/>
  <c r="CX194" i="39"/>
  <c r="CU194" i="39"/>
  <c r="CR194" i="39"/>
  <c r="CO194" i="39"/>
  <c r="CL194" i="39"/>
  <c r="CI194" i="39"/>
  <c r="CC194" i="39"/>
  <c r="BZ194" i="39"/>
  <c r="BW194" i="39"/>
  <c r="BT194" i="39"/>
  <c r="BQ194" i="39"/>
  <c r="BN194" i="39"/>
  <c r="BH194" i="39"/>
  <c r="BE194" i="39"/>
  <c r="BB194" i="39"/>
  <c r="AY194" i="39"/>
  <c r="AV194" i="39"/>
  <c r="AS194" i="39"/>
  <c r="AM194" i="39"/>
  <c r="AJ194" i="39"/>
  <c r="AG194" i="39"/>
  <c r="AD194" i="39"/>
  <c r="CX193" i="39"/>
  <c r="CU193" i="39"/>
  <c r="CR193" i="39"/>
  <c r="CO193" i="39"/>
  <c r="CL193" i="39"/>
  <c r="CI193" i="39"/>
  <c r="CC193" i="39"/>
  <c r="BZ193" i="39"/>
  <c r="BW193" i="39"/>
  <c r="BT193" i="39"/>
  <c r="BQ193" i="39"/>
  <c r="BN193" i="39"/>
  <c r="BH193" i="39"/>
  <c r="BE193" i="39"/>
  <c r="BB193" i="39"/>
  <c r="AY193" i="39"/>
  <c r="AV193" i="39"/>
  <c r="AS193" i="39"/>
  <c r="AM193" i="39"/>
  <c r="AJ193" i="39"/>
  <c r="AG193" i="39"/>
  <c r="AD193" i="39"/>
  <c r="CX192" i="39"/>
  <c r="CU192" i="39"/>
  <c r="CR192" i="39"/>
  <c r="CO192" i="39"/>
  <c r="CL192" i="39"/>
  <c r="CI192" i="39"/>
  <c r="CC192" i="39"/>
  <c r="BZ192" i="39"/>
  <c r="BW192" i="39"/>
  <c r="BT192" i="39"/>
  <c r="BQ192" i="39"/>
  <c r="BN192" i="39"/>
  <c r="BH192" i="39"/>
  <c r="BE192" i="39"/>
  <c r="BB192" i="39"/>
  <c r="AY192" i="39"/>
  <c r="AV192" i="39"/>
  <c r="AS192" i="39"/>
  <c r="AM192" i="39"/>
  <c r="AJ192" i="39"/>
  <c r="AG192" i="39"/>
  <c r="AD192" i="39"/>
  <c r="CX191" i="39"/>
  <c r="CU191" i="39"/>
  <c r="CR191" i="39"/>
  <c r="CO191" i="39"/>
  <c r="CL191" i="39"/>
  <c r="CI191" i="39"/>
  <c r="CC191" i="39"/>
  <c r="BZ191" i="39"/>
  <c r="BW191" i="39"/>
  <c r="BT191" i="39"/>
  <c r="BQ191" i="39"/>
  <c r="BN191" i="39"/>
  <c r="BH191" i="39"/>
  <c r="BE191" i="39"/>
  <c r="BB191" i="39"/>
  <c r="AY191" i="39"/>
  <c r="AV191" i="39"/>
  <c r="AS191" i="39"/>
  <c r="AM191" i="39"/>
  <c r="AJ191" i="39"/>
  <c r="AG191" i="39"/>
  <c r="AD191" i="39"/>
  <c r="CX190" i="39"/>
  <c r="CU190" i="39"/>
  <c r="CR190" i="39"/>
  <c r="CO190" i="39"/>
  <c r="CL190" i="39"/>
  <c r="CI190" i="39"/>
  <c r="CC190" i="39"/>
  <c r="BZ190" i="39"/>
  <c r="BW190" i="39"/>
  <c r="BT190" i="39"/>
  <c r="BQ190" i="39"/>
  <c r="BN190" i="39"/>
  <c r="BH190" i="39"/>
  <c r="BE190" i="39"/>
  <c r="BB190" i="39"/>
  <c r="AY190" i="39"/>
  <c r="AV190" i="39"/>
  <c r="AS190" i="39"/>
  <c r="AM190" i="39"/>
  <c r="AJ190" i="39"/>
  <c r="AG190" i="39"/>
  <c r="AD190" i="39"/>
  <c r="CX189" i="39"/>
  <c r="CU189" i="39"/>
  <c r="CR189" i="39"/>
  <c r="CO189" i="39"/>
  <c r="CL189" i="39"/>
  <c r="CI189" i="39"/>
  <c r="CC189" i="39"/>
  <c r="BZ189" i="39"/>
  <c r="BW189" i="39"/>
  <c r="BT189" i="39"/>
  <c r="BQ189" i="39"/>
  <c r="BN189" i="39"/>
  <c r="BH189" i="39"/>
  <c r="BE189" i="39"/>
  <c r="BB189" i="39"/>
  <c r="AY189" i="39"/>
  <c r="AV189" i="39"/>
  <c r="AS189" i="39"/>
  <c r="AM189" i="39"/>
  <c r="AJ189" i="39"/>
  <c r="AG189" i="39"/>
  <c r="AD189" i="39"/>
  <c r="CX188" i="39"/>
  <c r="CU188" i="39"/>
  <c r="CR188" i="39"/>
  <c r="CO188" i="39"/>
  <c r="CL188" i="39"/>
  <c r="CI188" i="39"/>
  <c r="CC188" i="39"/>
  <c r="BZ188" i="39"/>
  <c r="BW188" i="39"/>
  <c r="BT188" i="39"/>
  <c r="BQ188" i="39"/>
  <c r="BN188" i="39"/>
  <c r="BH188" i="39"/>
  <c r="BE188" i="39"/>
  <c r="BB188" i="39"/>
  <c r="AY188" i="39"/>
  <c r="AV188" i="39"/>
  <c r="AS188" i="39"/>
  <c r="AM188" i="39"/>
  <c r="AJ188" i="39"/>
  <c r="AG188" i="39"/>
  <c r="AD188" i="39"/>
  <c r="CX187" i="39"/>
  <c r="CU187" i="39"/>
  <c r="CR187" i="39"/>
  <c r="CO187" i="39"/>
  <c r="CL187" i="39"/>
  <c r="CI187" i="39"/>
  <c r="CC187" i="39"/>
  <c r="BZ187" i="39"/>
  <c r="BW187" i="39"/>
  <c r="BT187" i="39"/>
  <c r="BQ187" i="39"/>
  <c r="BN187" i="39"/>
  <c r="BH187" i="39"/>
  <c r="BE187" i="39"/>
  <c r="BB187" i="39"/>
  <c r="AY187" i="39"/>
  <c r="AV187" i="39"/>
  <c r="AS187" i="39"/>
  <c r="AM187" i="39"/>
  <c r="AJ187" i="39"/>
  <c r="AG187" i="39"/>
  <c r="AD187" i="39"/>
  <c r="CX186" i="39"/>
  <c r="CU186" i="39"/>
  <c r="CR186" i="39"/>
  <c r="CO186" i="39"/>
  <c r="CL186" i="39"/>
  <c r="CI186" i="39"/>
  <c r="CC186" i="39"/>
  <c r="BZ186" i="39"/>
  <c r="BW186" i="39"/>
  <c r="BT186" i="39"/>
  <c r="BQ186" i="39"/>
  <c r="BN186" i="39"/>
  <c r="BH186" i="39"/>
  <c r="BE186" i="39"/>
  <c r="BB186" i="39"/>
  <c r="AY186" i="39"/>
  <c r="AV186" i="39"/>
  <c r="AS186" i="39"/>
  <c r="AM186" i="39"/>
  <c r="AJ186" i="39"/>
  <c r="AG186" i="39"/>
  <c r="AD186" i="39"/>
  <c r="CX185" i="39"/>
  <c r="CU185" i="39"/>
  <c r="CR185" i="39"/>
  <c r="CO185" i="39"/>
  <c r="CL185" i="39"/>
  <c r="CI185" i="39"/>
  <c r="CC185" i="39"/>
  <c r="BZ185" i="39"/>
  <c r="BW185" i="39"/>
  <c r="BT185" i="39"/>
  <c r="BQ185" i="39"/>
  <c r="BN185" i="39"/>
  <c r="BH185" i="39"/>
  <c r="BE185" i="39"/>
  <c r="BB185" i="39"/>
  <c r="AY185" i="39"/>
  <c r="AV185" i="39"/>
  <c r="AS185" i="39"/>
  <c r="AM185" i="39"/>
  <c r="AJ185" i="39"/>
  <c r="AG185" i="39"/>
  <c r="AD185" i="39"/>
  <c r="CX184" i="39"/>
  <c r="CU184" i="39"/>
  <c r="CR184" i="39"/>
  <c r="CO184" i="39"/>
  <c r="CL184" i="39"/>
  <c r="CI184" i="39"/>
  <c r="CC184" i="39"/>
  <c r="BZ184" i="39"/>
  <c r="BW184" i="39"/>
  <c r="BT184" i="39"/>
  <c r="BQ184" i="39"/>
  <c r="BN184" i="39"/>
  <c r="BH184" i="39"/>
  <c r="BE184" i="39"/>
  <c r="BB184" i="39"/>
  <c r="AY184" i="39"/>
  <c r="AV184" i="39"/>
  <c r="AS184" i="39"/>
  <c r="AM184" i="39"/>
  <c r="AJ184" i="39"/>
  <c r="AG184" i="39"/>
  <c r="AD184" i="39"/>
  <c r="CX183" i="39"/>
  <c r="CU183" i="39"/>
  <c r="CR183" i="39"/>
  <c r="CO183" i="39"/>
  <c r="CL183" i="39"/>
  <c r="CI183" i="39"/>
  <c r="CC183" i="39"/>
  <c r="BZ183" i="39"/>
  <c r="BW183" i="39"/>
  <c r="BT183" i="39"/>
  <c r="BQ183" i="39"/>
  <c r="BN183" i="39"/>
  <c r="BH183" i="39"/>
  <c r="BE183" i="39"/>
  <c r="BB183" i="39"/>
  <c r="AY183" i="39"/>
  <c r="AV183" i="39"/>
  <c r="AS183" i="39"/>
  <c r="AM183" i="39"/>
  <c r="AJ183" i="39"/>
  <c r="AG183" i="39"/>
  <c r="AD183" i="39"/>
  <c r="CX182" i="39"/>
  <c r="CU182" i="39"/>
  <c r="CR182" i="39"/>
  <c r="CO182" i="39"/>
  <c r="CL182" i="39"/>
  <c r="CI182" i="39"/>
  <c r="CC182" i="39"/>
  <c r="BZ182" i="39"/>
  <c r="BW182" i="39"/>
  <c r="BT182" i="39"/>
  <c r="BQ182" i="39"/>
  <c r="BN182" i="39"/>
  <c r="BH182" i="39"/>
  <c r="BE182" i="39"/>
  <c r="BB182" i="39"/>
  <c r="AY182" i="39"/>
  <c r="AV182" i="39"/>
  <c r="AS182" i="39"/>
  <c r="AM182" i="39"/>
  <c r="AJ182" i="39"/>
  <c r="AG182" i="39"/>
  <c r="AD182" i="39"/>
  <c r="CX181" i="39"/>
  <c r="CU181" i="39"/>
  <c r="CR181" i="39"/>
  <c r="CO181" i="39"/>
  <c r="CL181" i="39"/>
  <c r="CI181" i="39"/>
  <c r="CC181" i="39"/>
  <c r="BZ181" i="39"/>
  <c r="BW181" i="39"/>
  <c r="BT181" i="39"/>
  <c r="BQ181" i="39"/>
  <c r="BN181" i="39"/>
  <c r="BH181" i="39"/>
  <c r="BE181" i="39"/>
  <c r="BB181" i="39"/>
  <c r="AY181" i="39"/>
  <c r="AV181" i="39"/>
  <c r="AS181" i="39"/>
  <c r="AM181" i="39"/>
  <c r="AJ181" i="39"/>
  <c r="AG181" i="39"/>
  <c r="AD181" i="39"/>
  <c r="CX180" i="39"/>
  <c r="CU180" i="39"/>
  <c r="CR180" i="39"/>
  <c r="CO180" i="39"/>
  <c r="CL180" i="39"/>
  <c r="CI180" i="39"/>
  <c r="CC180" i="39"/>
  <c r="BZ180" i="39"/>
  <c r="BW180" i="39"/>
  <c r="BT180" i="39"/>
  <c r="BQ180" i="39"/>
  <c r="BN180" i="39"/>
  <c r="BH180" i="39"/>
  <c r="BE180" i="39"/>
  <c r="BB180" i="39"/>
  <c r="AY180" i="39"/>
  <c r="AV180" i="39"/>
  <c r="AS180" i="39"/>
  <c r="AM180" i="39"/>
  <c r="AJ180" i="39"/>
  <c r="AG180" i="39"/>
  <c r="AD180" i="39"/>
  <c r="CX179" i="39"/>
  <c r="CU179" i="39"/>
  <c r="CR179" i="39"/>
  <c r="CO179" i="39"/>
  <c r="CL179" i="39"/>
  <c r="CI179" i="39"/>
  <c r="CC179" i="39"/>
  <c r="BZ179" i="39"/>
  <c r="BW179" i="39"/>
  <c r="BT179" i="39"/>
  <c r="BQ179" i="39"/>
  <c r="BN179" i="39"/>
  <c r="BH179" i="39"/>
  <c r="BE179" i="39"/>
  <c r="BB179" i="39"/>
  <c r="AY179" i="39"/>
  <c r="AV179" i="39"/>
  <c r="AS179" i="39"/>
  <c r="AM179" i="39"/>
  <c r="AJ179" i="39"/>
  <c r="AG179" i="39"/>
  <c r="AD179" i="39"/>
  <c r="CX178" i="39"/>
  <c r="CU178" i="39"/>
  <c r="CR178" i="39"/>
  <c r="CO178" i="39"/>
  <c r="CL178" i="39"/>
  <c r="CI178" i="39"/>
  <c r="CC178" i="39"/>
  <c r="BZ178" i="39"/>
  <c r="BW178" i="39"/>
  <c r="BT178" i="39"/>
  <c r="BQ178" i="39"/>
  <c r="BN178" i="39"/>
  <c r="BH178" i="39"/>
  <c r="BE178" i="39"/>
  <c r="BB178" i="39"/>
  <c r="AY178" i="39"/>
  <c r="AV178" i="39"/>
  <c r="AS178" i="39"/>
  <c r="AM178" i="39"/>
  <c r="AJ178" i="39"/>
  <c r="AG178" i="39"/>
  <c r="AD178" i="39"/>
  <c r="CX177" i="39"/>
  <c r="CU177" i="39"/>
  <c r="CR177" i="39"/>
  <c r="CO177" i="39"/>
  <c r="CL177" i="39"/>
  <c r="CI177" i="39"/>
  <c r="CC177" i="39"/>
  <c r="BZ177" i="39"/>
  <c r="BW177" i="39"/>
  <c r="BT177" i="39"/>
  <c r="BQ177" i="39"/>
  <c r="BN177" i="39"/>
  <c r="BH177" i="39"/>
  <c r="BE177" i="39"/>
  <c r="BB177" i="39"/>
  <c r="AY177" i="39"/>
  <c r="AV177" i="39"/>
  <c r="AS177" i="39"/>
  <c r="AM177" i="39"/>
  <c r="AJ177" i="39"/>
  <c r="AG177" i="39"/>
  <c r="AD177" i="39"/>
  <c r="CX176" i="39"/>
  <c r="CU176" i="39"/>
  <c r="CR176" i="39"/>
  <c r="CO176" i="39"/>
  <c r="CL176" i="39"/>
  <c r="CI176" i="39"/>
  <c r="CC176" i="39"/>
  <c r="BZ176" i="39"/>
  <c r="BW176" i="39"/>
  <c r="BT176" i="39"/>
  <c r="BQ176" i="39"/>
  <c r="BN176" i="39"/>
  <c r="BH176" i="39"/>
  <c r="BE176" i="39"/>
  <c r="BB176" i="39"/>
  <c r="AY176" i="39"/>
  <c r="AV176" i="39"/>
  <c r="AS176" i="39"/>
  <c r="AM176" i="39"/>
  <c r="AJ176" i="39"/>
  <c r="AG176" i="39"/>
  <c r="AD176" i="39"/>
  <c r="CX175" i="39"/>
  <c r="CU175" i="39"/>
  <c r="CR175" i="39"/>
  <c r="CO175" i="39"/>
  <c r="CL175" i="39"/>
  <c r="CI175" i="39"/>
  <c r="CC175" i="39"/>
  <c r="BZ175" i="39"/>
  <c r="BW175" i="39"/>
  <c r="BT175" i="39"/>
  <c r="BP175" i="39"/>
  <c r="BQ175" i="39" s="1"/>
  <c r="BN175" i="39"/>
  <c r="BH175" i="39"/>
  <c r="BE175" i="39"/>
  <c r="BB175" i="39"/>
  <c r="AY175" i="39"/>
  <c r="AV175" i="39"/>
  <c r="AS175" i="39"/>
  <c r="AM175" i="39"/>
  <c r="AJ175" i="39"/>
  <c r="AG175" i="39"/>
  <c r="AD175" i="39"/>
  <c r="CX174" i="39"/>
  <c r="CU174" i="39"/>
  <c r="CR174" i="39"/>
  <c r="CO174" i="39"/>
  <c r="CL174" i="39"/>
  <c r="CI174" i="39"/>
  <c r="CC174" i="39"/>
  <c r="BZ174" i="39"/>
  <c r="BW174" i="39"/>
  <c r="BT174" i="39"/>
  <c r="BQ174" i="39"/>
  <c r="BN174" i="39"/>
  <c r="BH174" i="39"/>
  <c r="BE174" i="39"/>
  <c r="BB174" i="39"/>
  <c r="AY174" i="39"/>
  <c r="AV174" i="39"/>
  <c r="AS174" i="39"/>
  <c r="AM174" i="39"/>
  <c r="AJ174" i="39"/>
  <c r="AG174" i="39"/>
  <c r="AD174" i="39"/>
  <c r="CX173" i="39"/>
  <c r="CU173" i="39"/>
  <c r="CR173" i="39"/>
  <c r="CO173" i="39"/>
  <c r="CL173" i="39"/>
  <c r="CI173" i="39"/>
  <c r="CC173" i="39"/>
  <c r="BZ173" i="39"/>
  <c r="BW173" i="39"/>
  <c r="BT173" i="39"/>
  <c r="BQ173" i="39"/>
  <c r="BN173" i="39"/>
  <c r="BH173" i="39"/>
  <c r="BE173" i="39"/>
  <c r="BB173" i="39"/>
  <c r="AY173" i="39"/>
  <c r="AV173" i="39"/>
  <c r="AS173" i="39"/>
  <c r="AM173" i="39"/>
  <c r="AJ173" i="39"/>
  <c r="AG173" i="39"/>
  <c r="AD173" i="39"/>
  <c r="CX172" i="39"/>
  <c r="CU172" i="39"/>
  <c r="CR172" i="39"/>
  <c r="CO172" i="39"/>
  <c r="CL172" i="39"/>
  <c r="CI172" i="39"/>
  <c r="CC172" i="39"/>
  <c r="BZ172" i="39"/>
  <c r="BW172" i="39"/>
  <c r="BT172" i="39"/>
  <c r="BQ172" i="39"/>
  <c r="BN172" i="39"/>
  <c r="BH172" i="39"/>
  <c r="BE172" i="39"/>
  <c r="BB172" i="39"/>
  <c r="AY172" i="39"/>
  <c r="AV172" i="39"/>
  <c r="AS172" i="39"/>
  <c r="AM172" i="39"/>
  <c r="AJ172" i="39"/>
  <c r="AG172" i="39"/>
  <c r="AD172" i="39"/>
  <c r="CX171" i="39"/>
  <c r="CU171" i="39"/>
  <c r="CR171" i="39"/>
  <c r="CO171" i="39"/>
  <c r="CL171" i="39"/>
  <c r="CI171" i="39"/>
  <c r="CC171" i="39"/>
  <c r="BZ171" i="39"/>
  <c r="BW171" i="39"/>
  <c r="BT171" i="39"/>
  <c r="BQ171" i="39"/>
  <c r="BN171" i="39"/>
  <c r="BH171" i="39"/>
  <c r="BE171" i="39"/>
  <c r="BB171" i="39"/>
  <c r="AY171" i="39"/>
  <c r="AV171" i="39"/>
  <c r="AS171" i="39"/>
  <c r="AM171" i="39"/>
  <c r="AJ171" i="39"/>
  <c r="AG171" i="39"/>
  <c r="AD171" i="39"/>
  <c r="CX170" i="39"/>
  <c r="CU170" i="39"/>
  <c r="CR170" i="39"/>
  <c r="CO170" i="39"/>
  <c r="CL170" i="39"/>
  <c r="CI170" i="39"/>
  <c r="CC170" i="39"/>
  <c r="BZ170" i="39"/>
  <c r="BW170" i="39"/>
  <c r="BT170" i="39"/>
  <c r="BQ170" i="39"/>
  <c r="BN170" i="39"/>
  <c r="BH170" i="39"/>
  <c r="BE170" i="39"/>
  <c r="BB170" i="39"/>
  <c r="AY170" i="39"/>
  <c r="AV170" i="39"/>
  <c r="AS170" i="39"/>
  <c r="AM170" i="39"/>
  <c r="AJ170" i="39"/>
  <c r="AG170" i="39"/>
  <c r="AD170" i="39"/>
  <c r="CX169" i="39"/>
  <c r="CU169" i="39"/>
  <c r="CR169" i="39"/>
  <c r="CO169" i="39"/>
  <c r="CL169" i="39"/>
  <c r="CI169" i="39"/>
  <c r="CC169" i="39"/>
  <c r="BZ169" i="39"/>
  <c r="BW169" i="39"/>
  <c r="BT169" i="39"/>
  <c r="BQ169" i="39"/>
  <c r="BN169" i="39"/>
  <c r="BH169" i="39"/>
  <c r="BE169" i="39"/>
  <c r="BB169" i="39"/>
  <c r="AY169" i="39"/>
  <c r="AV169" i="39"/>
  <c r="AS169" i="39"/>
  <c r="AM169" i="39"/>
  <c r="AJ169" i="39"/>
  <c r="AG169" i="39"/>
  <c r="AD169" i="39"/>
  <c r="CX168" i="39"/>
  <c r="CU168" i="39"/>
  <c r="CR168" i="39"/>
  <c r="CO168" i="39"/>
  <c r="CL168" i="39"/>
  <c r="CI168" i="39"/>
  <c r="CC168" i="39"/>
  <c r="BZ168" i="39"/>
  <c r="BW168" i="39"/>
  <c r="BT168" i="39"/>
  <c r="BQ168" i="39"/>
  <c r="BN168" i="39"/>
  <c r="BH168" i="39"/>
  <c r="BE168" i="39"/>
  <c r="BB168" i="39"/>
  <c r="AY168" i="39"/>
  <c r="AV168" i="39"/>
  <c r="AS168" i="39"/>
  <c r="AM168" i="39"/>
  <c r="AJ168" i="39"/>
  <c r="AG168" i="39"/>
  <c r="AD168" i="39"/>
  <c r="CX167" i="39"/>
  <c r="CU167" i="39"/>
  <c r="CR167" i="39"/>
  <c r="CO167" i="39"/>
  <c r="CL167" i="39"/>
  <c r="CI167" i="39"/>
  <c r="CC167" i="39"/>
  <c r="BZ167" i="39"/>
  <c r="BW167" i="39"/>
  <c r="BT167" i="39"/>
  <c r="BQ167" i="39"/>
  <c r="BN167" i="39"/>
  <c r="BH167" i="39"/>
  <c r="BE167" i="39"/>
  <c r="BB167" i="39"/>
  <c r="AY167" i="39"/>
  <c r="AV167" i="39"/>
  <c r="AS167" i="39"/>
  <c r="AM167" i="39"/>
  <c r="AJ167" i="39"/>
  <c r="AG167" i="39"/>
  <c r="AD167" i="39"/>
  <c r="CX166" i="39"/>
  <c r="CU166" i="39"/>
  <c r="CR166" i="39"/>
  <c r="CO166" i="39"/>
  <c r="CL166" i="39"/>
  <c r="CI166" i="39"/>
  <c r="CC166" i="39"/>
  <c r="BZ166" i="39"/>
  <c r="BW166" i="39"/>
  <c r="BT166" i="39"/>
  <c r="BQ166" i="39"/>
  <c r="BN166" i="39"/>
  <c r="BH166" i="39"/>
  <c r="BE166" i="39"/>
  <c r="BB166" i="39"/>
  <c r="AY166" i="39"/>
  <c r="AV166" i="39"/>
  <c r="AS166" i="39"/>
  <c r="AM166" i="39"/>
  <c r="AJ166" i="39"/>
  <c r="AG166" i="39"/>
  <c r="AD166" i="39"/>
  <c r="CX165" i="39"/>
  <c r="CU165" i="39"/>
  <c r="CR165" i="39"/>
  <c r="CO165" i="39"/>
  <c r="CL165" i="39"/>
  <c r="CI165" i="39"/>
  <c r="CC165" i="39"/>
  <c r="BZ165" i="39"/>
  <c r="BW165" i="39"/>
  <c r="BT165" i="39"/>
  <c r="BQ165" i="39"/>
  <c r="BN165" i="39"/>
  <c r="BH165" i="39"/>
  <c r="BE165" i="39"/>
  <c r="BB165" i="39"/>
  <c r="AY165" i="39"/>
  <c r="AV165" i="39"/>
  <c r="AS165" i="39"/>
  <c r="AM165" i="39"/>
  <c r="AJ165" i="39"/>
  <c r="AG165" i="39"/>
  <c r="AD165" i="39"/>
  <c r="CX164" i="39"/>
  <c r="CU164" i="39"/>
  <c r="CR164" i="39"/>
  <c r="CO164" i="39"/>
  <c r="CL164" i="39"/>
  <c r="CI164" i="39"/>
  <c r="CC164" i="39"/>
  <c r="BZ164" i="39"/>
  <c r="BW164" i="39"/>
  <c r="BT164" i="39"/>
  <c r="BQ164" i="39"/>
  <c r="BN164" i="39"/>
  <c r="BH164" i="39"/>
  <c r="BE164" i="39"/>
  <c r="BB164" i="39"/>
  <c r="AY164" i="39"/>
  <c r="AV164" i="39"/>
  <c r="AS164" i="39"/>
  <c r="AM164" i="39"/>
  <c r="AJ164" i="39"/>
  <c r="AG164" i="39"/>
  <c r="AD164" i="39"/>
  <c r="CX163" i="39"/>
  <c r="CU163" i="39"/>
  <c r="CR163" i="39"/>
  <c r="CO163" i="39"/>
  <c r="CL163" i="39"/>
  <c r="CI163" i="39"/>
  <c r="CC163" i="39"/>
  <c r="BZ163" i="39"/>
  <c r="BW163" i="39"/>
  <c r="BT163" i="39"/>
  <c r="BQ163" i="39"/>
  <c r="BN163" i="39"/>
  <c r="BH163" i="39"/>
  <c r="BE163" i="39"/>
  <c r="BB163" i="39"/>
  <c r="AY163" i="39"/>
  <c r="AV163" i="39"/>
  <c r="AS163" i="39"/>
  <c r="AM163" i="39"/>
  <c r="AJ163" i="39"/>
  <c r="AG163" i="39"/>
  <c r="AD163" i="39"/>
  <c r="CX162" i="39"/>
  <c r="CU162" i="39"/>
  <c r="CR162" i="39"/>
  <c r="CO162" i="39"/>
  <c r="CL162" i="39"/>
  <c r="CI162" i="39"/>
  <c r="CC162" i="39"/>
  <c r="BZ162" i="39"/>
  <c r="BW162" i="39"/>
  <c r="BT162" i="39"/>
  <c r="BQ162" i="39"/>
  <c r="BN162" i="39"/>
  <c r="BH162" i="39"/>
  <c r="BE162" i="39"/>
  <c r="BB162" i="39"/>
  <c r="AY162" i="39"/>
  <c r="AV162" i="39"/>
  <c r="AS162" i="39"/>
  <c r="AM162" i="39"/>
  <c r="AJ162" i="39"/>
  <c r="AG162" i="39"/>
  <c r="AD162" i="39"/>
  <c r="CX161" i="39"/>
  <c r="CU161" i="39"/>
  <c r="CR161" i="39"/>
  <c r="CO161" i="39"/>
  <c r="CL161" i="39"/>
  <c r="CI161" i="39"/>
  <c r="CC161" i="39"/>
  <c r="BZ161" i="39"/>
  <c r="BW161" i="39"/>
  <c r="BT161" i="39"/>
  <c r="BQ161" i="39"/>
  <c r="BN161" i="39"/>
  <c r="BH161" i="39"/>
  <c r="BE161" i="39"/>
  <c r="BB161" i="39"/>
  <c r="AY161" i="39"/>
  <c r="AV161" i="39"/>
  <c r="AS161" i="39"/>
  <c r="AL161" i="39"/>
  <c r="AM161" i="39" s="1"/>
  <c r="AJ161" i="39"/>
  <c r="AG161" i="39"/>
  <c r="AD161" i="39"/>
  <c r="CX160" i="39"/>
  <c r="CU160" i="39"/>
  <c r="CR160" i="39"/>
  <c r="CO160" i="39"/>
  <c r="CL160" i="39"/>
  <c r="CI160" i="39"/>
  <c r="CC160" i="39"/>
  <c r="BZ160" i="39"/>
  <c r="BW160" i="39"/>
  <c r="BT160" i="39"/>
  <c r="BQ160" i="39"/>
  <c r="BN160" i="39"/>
  <c r="BH160" i="39"/>
  <c r="BE160" i="39"/>
  <c r="BB160" i="39"/>
  <c r="AY160" i="39"/>
  <c r="AV160" i="39"/>
  <c r="AS160" i="39"/>
  <c r="AM160" i="39"/>
  <c r="AJ160" i="39"/>
  <c r="AG160" i="39"/>
  <c r="AD160" i="39"/>
  <c r="CX159" i="39"/>
  <c r="CU159" i="39"/>
  <c r="CR159" i="39"/>
  <c r="CO159" i="39"/>
  <c r="CL159" i="39"/>
  <c r="CI159" i="39"/>
  <c r="CC159" i="39"/>
  <c r="BZ159" i="39"/>
  <c r="BW159" i="39"/>
  <c r="BT159" i="39"/>
  <c r="BQ159" i="39"/>
  <c r="BN159" i="39"/>
  <c r="BH159" i="39"/>
  <c r="BE159" i="39"/>
  <c r="BB159" i="39"/>
  <c r="AY159" i="39"/>
  <c r="AV159" i="39"/>
  <c r="AS159" i="39"/>
  <c r="AM159" i="39"/>
  <c r="AJ159" i="39"/>
  <c r="AG159" i="39"/>
  <c r="AD159" i="39"/>
  <c r="CX158" i="39"/>
  <c r="CU158" i="39"/>
  <c r="CR158" i="39"/>
  <c r="CO158" i="39"/>
  <c r="CL158" i="39"/>
  <c r="CI158" i="39"/>
  <c r="CC158" i="39"/>
  <c r="BZ158" i="39"/>
  <c r="BW158" i="39"/>
  <c r="BT158" i="39"/>
  <c r="BQ158" i="39"/>
  <c r="BN158" i="39"/>
  <c r="BH158" i="39"/>
  <c r="BE158" i="39"/>
  <c r="BB158" i="39"/>
  <c r="AY158" i="39"/>
  <c r="AV158" i="39"/>
  <c r="AS158" i="39"/>
  <c r="AM158" i="39"/>
  <c r="AJ158" i="39"/>
  <c r="AG158" i="39"/>
  <c r="AD158" i="39"/>
  <c r="CX157" i="39"/>
  <c r="CU157" i="39"/>
  <c r="CR157" i="39"/>
  <c r="CO157" i="39"/>
  <c r="CL157" i="39"/>
  <c r="CI157" i="39"/>
  <c r="CC157" i="39"/>
  <c r="BZ157" i="39"/>
  <c r="BW157" i="39"/>
  <c r="BT157" i="39"/>
  <c r="BQ157" i="39"/>
  <c r="BN157" i="39"/>
  <c r="BH157" i="39"/>
  <c r="BE157" i="39"/>
  <c r="BB157" i="39"/>
  <c r="AY157" i="39"/>
  <c r="AV157" i="39"/>
  <c r="AS157" i="39"/>
  <c r="AM157" i="39"/>
  <c r="AJ157" i="39"/>
  <c r="AG157" i="39"/>
  <c r="AD157" i="39"/>
  <c r="CX156" i="39"/>
  <c r="CU156" i="39"/>
  <c r="CR156" i="39"/>
  <c r="CO156" i="39"/>
  <c r="CL156" i="39"/>
  <c r="CI156" i="39"/>
  <c r="CC156" i="39"/>
  <c r="BZ156" i="39"/>
  <c r="BW156" i="39"/>
  <c r="BT156" i="39"/>
  <c r="BQ156" i="39"/>
  <c r="BN156" i="39"/>
  <c r="BH156" i="39"/>
  <c r="BE156" i="39"/>
  <c r="BB156" i="39"/>
  <c r="AY156" i="39"/>
  <c r="AV156" i="39"/>
  <c r="AS156" i="39"/>
  <c r="AM156" i="39"/>
  <c r="AJ156" i="39"/>
  <c r="AG156" i="39"/>
  <c r="AD156" i="39"/>
  <c r="CX155" i="39"/>
  <c r="CU155" i="39"/>
  <c r="CR155" i="39"/>
  <c r="CO155" i="39"/>
  <c r="CL155" i="39"/>
  <c r="CI155" i="39"/>
  <c r="CC155" i="39"/>
  <c r="BZ155" i="39"/>
  <c r="BW155" i="39"/>
  <c r="BT155" i="39"/>
  <c r="BQ155" i="39"/>
  <c r="BN155" i="39"/>
  <c r="BH155" i="39"/>
  <c r="BE155" i="39"/>
  <c r="BB155" i="39"/>
  <c r="AY155" i="39"/>
  <c r="AV155" i="39"/>
  <c r="AS155" i="39"/>
  <c r="AM155" i="39"/>
  <c r="AJ155" i="39"/>
  <c r="AG155" i="39"/>
  <c r="AD155" i="39"/>
  <c r="CX154" i="39"/>
  <c r="CU154" i="39"/>
  <c r="CR154" i="39"/>
  <c r="CO154" i="39"/>
  <c r="CL154" i="39"/>
  <c r="CI154" i="39"/>
  <c r="CC154" i="39"/>
  <c r="BZ154" i="39"/>
  <c r="BW154" i="39"/>
  <c r="BT154" i="39"/>
  <c r="BQ154" i="39"/>
  <c r="BN154" i="39"/>
  <c r="BH154" i="39"/>
  <c r="BE154" i="39"/>
  <c r="BB154" i="39"/>
  <c r="AY154" i="39"/>
  <c r="AV154" i="39"/>
  <c r="AS154" i="39"/>
  <c r="AM154" i="39"/>
  <c r="AJ154" i="39"/>
  <c r="AG154" i="39"/>
  <c r="AD154" i="39"/>
  <c r="CX153" i="39"/>
  <c r="CU153" i="39"/>
  <c r="CR153" i="39"/>
  <c r="CO153" i="39"/>
  <c r="CL153" i="39"/>
  <c r="CI153" i="39"/>
  <c r="CC153" i="39"/>
  <c r="BZ153" i="39"/>
  <c r="BW153" i="39"/>
  <c r="BT153" i="39"/>
  <c r="BQ153" i="39"/>
  <c r="BN153" i="39"/>
  <c r="BH153" i="39"/>
  <c r="BE153" i="39"/>
  <c r="BB153" i="39"/>
  <c r="AY153" i="39"/>
  <c r="AV153" i="39"/>
  <c r="AS153" i="39"/>
  <c r="AM153" i="39"/>
  <c r="AJ153" i="39"/>
  <c r="AG153" i="39"/>
  <c r="AD153" i="39"/>
  <c r="CX152" i="39"/>
  <c r="CU152" i="39"/>
  <c r="CR152" i="39"/>
  <c r="CO152" i="39"/>
  <c r="CL152" i="39"/>
  <c r="CI152" i="39"/>
  <c r="CC152" i="39"/>
  <c r="BZ152" i="39"/>
  <c r="BW152" i="39"/>
  <c r="BT152" i="39"/>
  <c r="BQ152" i="39"/>
  <c r="BN152" i="39"/>
  <c r="BH152" i="39"/>
  <c r="BE152" i="39"/>
  <c r="BB152" i="39"/>
  <c r="AY152" i="39"/>
  <c r="AV152" i="39"/>
  <c r="AS152" i="39"/>
  <c r="AM152" i="39"/>
  <c r="AJ152" i="39"/>
  <c r="AG152" i="39"/>
  <c r="AD152" i="39"/>
  <c r="CX151" i="39"/>
  <c r="CU151" i="39"/>
  <c r="CR151" i="39"/>
  <c r="CO151" i="39"/>
  <c r="CL151" i="39"/>
  <c r="CI151" i="39"/>
  <c r="CC151" i="39"/>
  <c r="BZ151" i="39"/>
  <c r="BW151" i="39"/>
  <c r="BT151" i="39"/>
  <c r="BQ151" i="39"/>
  <c r="BN151" i="39"/>
  <c r="BH151" i="39"/>
  <c r="BE151" i="39"/>
  <c r="BB151" i="39"/>
  <c r="AY151" i="39"/>
  <c r="AV151" i="39"/>
  <c r="AS151" i="39"/>
  <c r="AM151" i="39"/>
  <c r="AJ151" i="39"/>
  <c r="AG151" i="39"/>
  <c r="AD151" i="39"/>
  <c r="CX150" i="39"/>
  <c r="CU150" i="39"/>
  <c r="CR150" i="39"/>
  <c r="CO150" i="39"/>
  <c r="CL150" i="39"/>
  <c r="CI150" i="39"/>
  <c r="CC150" i="39"/>
  <c r="BZ150" i="39"/>
  <c r="BW150" i="39"/>
  <c r="BT150" i="39"/>
  <c r="BQ150" i="39"/>
  <c r="BN150" i="39"/>
  <c r="BH150" i="39"/>
  <c r="BE150" i="39"/>
  <c r="BB150" i="39"/>
  <c r="AY150" i="39"/>
  <c r="AV150" i="39"/>
  <c r="AS150" i="39"/>
  <c r="AM150" i="39"/>
  <c r="AJ150" i="39"/>
  <c r="AG150" i="39"/>
  <c r="AD150" i="39"/>
  <c r="CX149" i="39"/>
  <c r="CU149" i="39"/>
  <c r="CR149" i="39"/>
  <c r="CO149" i="39"/>
  <c r="CL149" i="39"/>
  <c r="CI149" i="39"/>
  <c r="CC149" i="39"/>
  <c r="BZ149" i="39"/>
  <c r="BW149" i="39"/>
  <c r="BT149" i="39"/>
  <c r="BQ149" i="39"/>
  <c r="BN149" i="39"/>
  <c r="BH149" i="39"/>
  <c r="BE149" i="39"/>
  <c r="BB149" i="39"/>
  <c r="AY149" i="39"/>
  <c r="AV149" i="39"/>
  <c r="AS149" i="39"/>
  <c r="AM149" i="39"/>
  <c r="AJ149" i="39"/>
  <c r="AG149" i="39"/>
  <c r="AD149" i="39"/>
  <c r="CX148" i="39"/>
  <c r="CU148" i="39"/>
  <c r="CR148" i="39"/>
  <c r="CO148" i="39"/>
  <c r="CL148" i="39"/>
  <c r="CI148" i="39"/>
  <c r="CC148" i="39"/>
  <c r="BZ148" i="39"/>
  <c r="BW148" i="39"/>
  <c r="BT148" i="39"/>
  <c r="BQ148" i="39"/>
  <c r="BN148" i="39"/>
  <c r="BH148" i="39"/>
  <c r="BE148" i="39"/>
  <c r="BB148" i="39"/>
  <c r="AY148" i="39"/>
  <c r="AV148" i="39"/>
  <c r="AS148" i="39"/>
  <c r="AL148" i="39"/>
  <c r="AM148" i="39" s="1"/>
  <c r="AJ148" i="39"/>
  <c r="AG148" i="39"/>
  <c r="AD148" i="39"/>
  <c r="CX147" i="39"/>
  <c r="CU147" i="39"/>
  <c r="CR147" i="39"/>
  <c r="CO147" i="39"/>
  <c r="CL147" i="39"/>
  <c r="CI147" i="39"/>
  <c r="CC147" i="39"/>
  <c r="BZ147" i="39"/>
  <c r="BW147" i="39"/>
  <c r="BT147" i="39"/>
  <c r="BQ147" i="39"/>
  <c r="BN147" i="39"/>
  <c r="BH147" i="39"/>
  <c r="BE147" i="39"/>
  <c r="BB147" i="39"/>
  <c r="AY147" i="39"/>
  <c r="AV147" i="39"/>
  <c r="AS147" i="39"/>
  <c r="AM147" i="39"/>
  <c r="AJ147" i="39"/>
  <c r="AG147" i="39"/>
  <c r="AD147" i="39"/>
  <c r="CX146" i="39"/>
  <c r="CU146" i="39"/>
  <c r="CR146" i="39"/>
  <c r="CO146" i="39"/>
  <c r="CL146" i="39"/>
  <c r="CI146" i="39"/>
  <c r="CC146" i="39"/>
  <c r="BZ146" i="39"/>
  <c r="BW146" i="39"/>
  <c r="BT146" i="39"/>
  <c r="BQ146" i="39"/>
  <c r="BN146" i="39"/>
  <c r="BH146" i="39"/>
  <c r="BE146" i="39"/>
  <c r="BB146" i="39"/>
  <c r="AY146" i="39"/>
  <c r="AV146" i="39"/>
  <c r="AS146" i="39"/>
  <c r="AM146" i="39"/>
  <c r="AJ146" i="39"/>
  <c r="AG146" i="39"/>
  <c r="AD146" i="39"/>
  <c r="CX145" i="39"/>
  <c r="CU145" i="39"/>
  <c r="CR145" i="39"/>
  <c r="CO145" i="39"/>
  <c r="CL145" i="39"/>
  <c r="CI145" i="39"/>
  <c r="CC145" i="39"/>
  <c r="BZ145" i="39"/>
  <c r="BW145" i="39"/>
  <c r="BT145" i="39"/>
  <c r="BQ145" i="39"/>
  <c r="BN145" i="39"/>
  <c r="BH145" i="39"/>
  <c r="BE145" i="39"/>
  <c r="BB145" i="39"/>
  <c r="AY145" i="39"/>
  <c r="AV145" i="39"/>
  <c r="AS145" i="39"/>
  <c r="AM145" i="39"/>
  <c r="AJ145" i="39"/>
  <c r="AG145" i="39"/>
  <c r="AD145" i="39"/>
  <c r="CX144" i="39"/>
  <c r="CU144" i="39"/>
  <c r="CR144" i="39"/>
  <c r="CO144" i="39"/>
  <c r="CL144" i="39"/>
  <c r="CI144" i="39"/>
  <c r="CC144" i="39"/>
  <c r="BZ144" i="39"/>
  <c r="BW144" i="39"/>
  <c r="BT144" i="39"/>
  <c r="BQ144" i="39"/>
  <c r="BN144" i="39"/>
  <c r="BH144" i="39"/>
  <c r="BE144" i="39"/>
  <c r="BB144" i="39"/>
  <c r="AY144" i="39"/>
  <c r="AV144" i="39"/>
  <c r="AS144" i="39"/>
  <c r="AM144" i="39"/>
  <c r="AJ144" i="39"/>
  <c r="AG144" i="39"/>
  <c r="AD144" i="39"/>
  <c r="CX143" i="39"/>
  <c r="CU143" i="39"/>
  <c r="CR143" i="39"/>
  <c r="CO143" i="39"/>
  <c r="CL143" i="39"/>
  <c r="CI143" i="39"/>
  <c r="CC143" i="39"/>
  <c r="BZ143" i="39"/>
  <c r="BW143" i="39"/>
  <c r="BT143" i="39"/>
  <c r="BQ143" i="39"/>
  <c r="BN143" i="39"/>
  <c r="BH143" i="39"/>
  <c r="BE143" i="39"/>
  <c r="BB143" i="39"/>
  <c r="AY143" i="39"/>
  <c r="AV143" i="39"/>
  <c r="AS143" i="39"/>
  <c r="AM143" i="39"/>
  <c r="AJ143" i="39"/>
  <c r="AG143" i="39"/>
  <c r="AD143" i="39"/>
  <c r="CX142" i="39"/>
  <c r="CU142" i="39"/>
  <c r="CR142" i="39"/>
  <c r="CO142" i="39"/>
  <c r="CL142" i="39"/>
  <c r="CI142" i="39"/>
  <c r="BY142" i="39"/>
  <c r="BY271" i="39" s="1"/>
  <c r="BX142" i="39"/>
  <c r="CC142" i="39" s="1"/>
  <c r="BW142" i="39"/>
  <c r="BT142" i="39"/>
  <c r="BQ142" i="39"/>
  <c r="BN142" i="39"/>
  <c r="BH142" i="39"/>
  <c r="BE142" i="39"/>
  <c r="BB142" i="39"/>
  <c r="AY142" i="39"/>
  <c r="AV142" i="39"/>
  <c r="AS142" i="39"/>
  <c r="AM142" i="39"/>
  <c r="AJ142" i="39"/>
  <c r="AG142" i="39"/>
  <c r="AD142" i="39"/>
  <c r="CX141" i="39"/>
  <c r="CU141" i="39"/>
  <c r="CR141" i="39"/>
  <c r="CO141" i="39"/>
  <c r="CL141" i="39"/>
  <c r="CI141" i="39"/>
  <c r="CC141" i="39"/>
  <c r="BZ141" i="39"/>
  <c r="BW141" i="39"/>
  <c r="BT141" i="39"/>
  <c r="BQ141" i="39"/>
  <c r="BN141" i="39"/>
  <c r="BH141" i="39"/>
  <c r="BE141" i="39"/>
  <c r="BB141" i="39"/>
  <c r="AY141" i="39"/>
  <c r="AV141" i="39"/>
  <c r="AS141" i="39"/>
  <c r="AM141" i="39"/>
  <c r="AJ141" i="39"/>
  <c r="AG141" i="39"/>
  <c r="AD141" i="39"/>
  <c r="CX140" i="39"/>
  <c r="CU140" i="39"/>
  <c r="CR140" i="39"/>
  <c r="CO140" i="39"/>
  <c r="CL140" i="39"/>
  <c r="CI140" i="39"/>
  <c r="CC140" i="39"/>
  <c r="BZ140" i="39"/>
  <c r="BW140" i="39"/>
  <c r="BT140" i="39"/>
  <c r="BQ140" i="39"/>
  <c r="BN140" i="39"/>
  <c r="BH140" i="39"/>
  <c r="BE140" i="39"/>
  <c r="BB140" i="39"/>
  <c r="AY140" i="39"/>
  <c r="AV140" i="39"/>
  <c r="AS140" i="39"/>
  <c r="AM140" i="39"/>
  <c r="AJ140" i="39"/>
  <c r="AG140" i="39"/>
  <c r="AD140" i="39"/>
  <c r="CX139" i="39"/>
  <c r="CU139" i="39"/>
  <c r="CR139" i="39"/>
  <c r="CO139" i="39"/>
  <c r="CL139" i="39"/>
  <c r="CI139" i="39"/>
  <c r="CC139" i="39"/>
  <c r="BZ139" i="39"/>
  <c r="BW139" i="39"/>
  <c r="BT139" i="39"/>
  <c r="BQ139" i="39"/>
  <c r="BN139" i="39"/>
  <c r="BH139" i="39"/>
  <c r="BE139" i="39"/>
  <c r="BB139" i="39"/>
  <c r="AY139" i="39"/>
  <c r="AV139" i="39"/>
  <c r="AS139" i="39"/>
  <c r="AM139" i="39"/>
  <c r="AJ139" i="39"/>
  <c r="AG139" i="39"/>
  <c r="AD139" i="39"/>
  <c r="CX138" i="39"/>
  <c r="CU138" i="39"/>
  <c r="CR138" i="39"/>
  <c r="CO138" i="39"/>
  <c r="CL138" i="39"/>
  <c r="CI138" i="39"/>
  <c r="CC138" i="39"/>
  <c r="BZ138" i="39"/>
  <c r="BW138" i="39"/>
  <c r="BT138" i="39"/>
  <c r="BQ138" i="39"/>
  <c r="BN138" i="39"/>
  <c r="BH138" i="39"/>
  <c r="BE138" i="39"/>
  <c r="BB138" i="39"/>
  <c r="AY138" i="39"/>
  <c r="AV138" i="39"/>
  <c r="AS138" i="39"/>
  <c r="AM138" i="39"/>
  <c r="AJ138" i="39"/>
  <c r="AG138" i="39"/>
  <c r="AD138" i="39"/>
  <c r="CX137" i="39"/>
  <c r="CU137" i="39"/>
  <c r="CR137" i="39"/>
  <c r="CO137" i="39"/>
  <c r="CL137" i="39"/>
  <c r="CI137" i="39"/>
  <c r="CC137" i="39"/>
  <c r="BZ137" i="39"/>
  <c r="BW137" i="39"/>
  <c r="BT137" i="39"/>
  <c r="BQ137" i="39"/>
  <c r="BN137" i="39"/>
  <c r="BH137" i="39"/>
  <c r="BE137" i="39"/>
  <c r="BB137" i="39"/>
  <c r="AY137" i="39"/>
  <c r="AV137" i="39"/>
  <c r="AS137" i="39"/>
  <c r="AM137" i="39"/>
  <c r="AJ137" i="39"/>
  <c r="AG137" i="39"/>
  <c r="AD137" i="39"/>
  <c r="CX136" i="39"/>
  <c r="CU136" i="39"/>
  <c r="CR136" i="39"/>
  <c r="CO136" i="39"/>
  <c r="CL136" i="39"/>
  <c r="CI136" i="39"/>
  <c r="CC136" i="39"/>
  <c r="BZ136" i="39"/>
  <c r="BW136" i="39"/>
  <c r="BT136" i="39"/>
  <c r="BQ136" i="39"/>
  <c r="BN136" i="39"/>
  <c r="BH136" i="39"/>
  <c r="BE136" i="39"/>
  <c r="BB136" i="39"/>
  <c r="AY136" i="39"/>
  <c r="AV136" i="39"/>
  <c r="AS136" i="39"/>
  <c r="AM136" i="39"/>
  <c r="AJ136" i="39"/>
  <c r="AG136" i="39"/>
  <c r="AD136" i="39"/>
  <c r="CX135" i="39"/>
  <c r="CU135" i="39"/>
  <c r="CR135" i="39"/>
  <c r="CO135" i="39"/>
  <c r="CL135" i="39"/>
  <c r="CI135" i="39"/>
  <c r="CC135" i="39"/>
  <c r="BZ135" i="39"/>
  <c r="BW135" i="39"/>
  <c r="BT135" i="39"/>
  <c r="BQ135" i="39"/>
  <c r="BN135" i="39"/>
  <c r="BH135" i="39"/>
  <c r="BE135" i="39"/>
  <c r="BB135" i="39"/>
  <c r="AY135" i="39"/>
  <c r="AV135" i="39"/>
  <c r="AS135" i="39"/>
  <c r="AM135" i="39"/>
  <c r="AJ135" i="39"/>
  <c r="AG135" i="39"/>
  <c r="AD135" i="39"/>
  <c r="CX134" i="39"/>
  <c r="CU134" i="39"/>
  <c r="CR134" i="39"/>
  <c r="CO134" i="39"/>
  <c r="CL134" i="39"/>
  <c r="CI134" i="39"/>
  <c r="CC134" i="39"/>
  <c r="BZ134" i="39"/>
  <c r="BW134" i="39"/>
  <c r="BT134" i="39"/>
  <c r="BQ134" i="39"/>
  <c r="BN134" i="39"/>
  <c r="BH134" i="39"/>
  <c r="BE134" i="39"/>
  <c r="BB134" i="39"/>
  <c r="AY134" i="39"/>
  <c r="AV134" i="39"/>
  <c r="AS134" i="39"/>
  <c r="AM134" i="39"/>
  <c r="AJ134" i="39"/>
  <c r="AG134" i="39"/>
  <c r="AD134" i="39"/>
  <c r="CX133" i="39"/>
  <c r="CU133" i="39"/>
  <c r="CR133" i="39"/>
  <c r="CO133" i="39"/>
  <c r="CL133" i="39"/>
  <c r="CI133" i="39"/>
  <c r="CC133" i="39"/>
  <c r="BZ133" i="39"/>
  <c r="BW133" i="39"/>
  <c r="BT133" i="39"/>
  <c r="BQ133" i="39"/>
  <c r="BN133" i="39"/>
  <c r="BH133" i="39"/>
  <c r="BE133" i="39"/>
  <c r="BB133" i="39"/>
  <c r="AY133" i="39"/>
  <c r="AV133" i="39"/>
  <c r="AS133" i="39"/>
  <c r="AM133" i="39"/>
  <c r="AJ133" i="39"/>
  <c r="AG133" i="39"/>
  <c r="AD133" i="39"/>
  <c r="CX132" i="39"/>
  <c r="CU132" i="39"/>
  <c r="CR132" i="39"/>
  <c r="CO132" i="39"/>
  <c r="CL132" i="39"/>
  <c r="CI132" i="39"/>
  <c r="CC132" i="39"/>
  <c r="BZ132" i="39"/>
  <c r="BW132" i="39"/>
  <c r="BT132" i="39"/>
  <c r="BQ132" i="39"/>
  <c r="BN132" i="39"/>
  <c r="BH132" i="39"/>
  <c r="BE132" i="39"/>
  <c r="BB132" i="39"/>
  <c r="AY132" i="39"/>
  <c r="AV132" i="39"/>
  <c r="AS132" i="39"/>
  <c r="AM132" i="39"/>
  <c r="AJ132" i="39"/>
  <c r="AG132" i="39"/>
  <c r="AD132" i="39"/>
  <c r="CX131" i="39"/>
  <c r="CU131" i="39"/>
  <c r="CR131" i="39"/>
  <c r="CO131" i="39"/>
  <c r="CL131" i="39"/>
  <c r="CI131" i="39"/>
  <c r="CC131" i="39"/>
  <c r="BZ131" i="39"/>
  <c r="BW131" i="39"/>
  <c r="BT131" i="39"/>
  <c r="BQ131" i="39"/>
  <c r="BN131" i="39"/>
  <c r="BH131" i="39"/>
  <c r="BE131" i="39"/>
  <c r="BB131" i="39"/>
  <c r="AY131" i="39"/>
  <c r="AV131" i="39"/>
  <c r="AS131" i="39"/>
  <c r="AM131" i="39"/>
  <c r="AJ131" i="39"/>
  <c r="AG131" i="39"/>
  <c r="AD131" i="39"/>
  <c r="CX130" i="39"/>
  <c r="CU130" i="39"/>
  <c r="CR130" i="39"/>
  <c r="CO130" i="39"/>
  <c r="CL130" i="39"/>
  <c r="CI130" i="39"/>
  <c r="CC130" i="39"/>
  <c r="BZ130" i="39"/>
  <c r="BW130" i="39"/>
  <c r="BT130" i="39"/>
  <c r="BQ130" i="39"/>
  <c r="BN130" i="39"/>
  <c r="BH130" i="39"/>
  <c r="BE130" i="39"/>
  <c r="BB130" i="39"/>
  <c r="AY130" i="39"/>
  <c r="AV130" i="39"/>
  <c r="AS130" i="39"/>
  <c r="AM130" i="39"/>
  <c r="AJ130" i="39"/>
  <c r="AG130" i="39"/>
  <c r="AD130" i="39"/>
  <c r="CX129" i="39"/>
  <c r="CU129" i="39"/>
  <c r="CR129" i="39"/>
  <c r="CO129" i="39"/>
  <c r="CL129" i="39"/>
  <c r="CI129" i="39"/>
  <c r="CC129" i="39"/>
  <c r="BZ129" i="39"/>
  <c r="BW129" i="39"/>
  <c r="BT129" i="39"/>
  <c r="BQ129" i="39"/>
  <c r="BN129" i="39"/>
  <c r="BH129" i="39"/>
  <c r="BE129" i="39"/>
  <c r="BB129" i="39"/>
  <c r="AY129" i="39"/>
  <c r="AV129" i="39"/>
  <c r="AS129" i="39"/>
  <c r="AM129" i="39"/>
  <c r="AJ129" i="39"/>
  <c r="AG129" i="39"/>
  <c r="AD129" i="39"/>
  <c r="CX128" i="39"/>
  <c r="CU128" i="39"/>
  <c r="CR128" i="39"/>
  <c r="CO128" i="39"/>
  <c r="CL128" i="39"/>
  <c r="CI128" i="39"/>
  <c r="CC128" i="39"/>
  <c r="BZ128" i="39"/>
  <c r="BW128" i="39"/>
  <c r="BT128" i="39"/>
  <c r="BQ128" i="39"/>
  <c r="BN128" i="39"/>
  <c r="BH128" i="39"/>
  <c r="BE128" i="39"/>
  <c r="BB128" i="39"/>
  <c r="AY128" i="39"/>
  <c r="AV128" i="39"/>
  <c r="AS128" i="39"/>
  <c r="AM128" i="39"/>
  <c r="AJ128" i="39"/>
  <c r="AG128" i="39"/>
  <c r="AD128" i="39"/>
  <c r="CX127" i="39"/>
  <c r="CU127" i="39"/>
  <c r="CR127" i="39"/>
  <c r="CO127" i="39"/>
  <c r="CL127" i="39"/>
  <c r="CI127" i="39"/>
  <c r="CC127" i="39"/>
  <c r="BZ127" i="39"/>
  <c r="BW127" i="39"/>
  <c r="BT127" i="39"/>
  <c r="BQ127" i="39"/>
  <c r="BN127" i="39"/>
  <c r="BH127" i="39"/>
  <c r="BE127" i="39"/>
  <c r="BB127" i="39"/>
  <c r="AY127" i="39"/>
  <c r="AV127" i="39"/>
  <c r="AS127" i="39"/>
  <c r="AM127" i="39"/>
  <c r="AJ127" i="39"/>
  <c r="AG127" i="39"/>
  <c r="AD127" i="39"/>
  <c r="CX126" i="39"/>
  <c r="CU126" i="39"/>
  <c r="CR126" i="39"/>
  <c r="CO126" i="39"/>
  <c r="CL126" i="39"/>
  <c r="CI126" i="39"/>
  <c r="CC126" i="39"/>
  <c r="BZ126" i="39"/>
  <c r="BW126" i="39"/>
  <c r="BT126" i="39"/>
  <c r="BQ126" i="39"/>
  <c r="BN126" i="39"/>
  <c r="BH126" i="39"/>
  <c r="BE126" i="39"/>
  <c r="BB126" i="39"/>
  <c r="AY126" i="39"/>
  <c r="AV126" i="39"/>
  <c r="AS126" i="39"/>
  <c r="AM126" i="39"/>
  <c r="AJ126" i="39"/>
  <c r="AG126" i="39"/>
  <c r="AD126" i="39"/>
  <c r="CX125" i="39"/>
  <c r="CU125" i="39"/>
  <c r="CR125" i="39"/>
  <c r="CO125" i="39"/>
  <c r="CL125" i="39"/>
  <c r="CI125" i="39"/>
  <c r="CC125" i="39"/>
  <c r="BZ125" i="39"/>
  <c r="BW125" i="39"/>
  <c r="BT125" i="39"/>
  <c r="BQ125" i="39"/>
  <c r="BN125" i="39"/>
  <c r="BH125" i="39"/>
  <c r="BE125" i="39"/>
  <c r="BB125" i="39"/>
  <c r="AY125" i="39"/>
  <c r="AV125" i="39"/>
  <c r="AS125" i="39"/>
  <c r="AM125" i="39"/>
  <c r="AJ125" i="39"/>
  <c r="AG125" i="39"/>
  <c r="AD125" i="39"/>
  <c r="CX124" i="39"/>
  <c r="CU124" i="39"/>
  <c r="CR124" i="39"/>
  <c r="CO124" i="39"/>
  <c r="CL124" i="39"/>
  <c r="CI124" i="39"/>
  <c r="CC124" i="39"/>
  <c r="BZ124" i="39"/>
  <c r="BW124" i="39"/>
  <c r="BT124" i="39"/>
  <c r="BQ124" i="39"/>
  <c r="BN124" i="39"/>
  <c r="BH124" i="39"/>
  <c r="BE124" i="39"/>
  <c r="BB124" i="39"/>
  <c r="AY124" i="39"/>
  <c r="AV124" i="39"/>
  <c r="AS124" i="39"/>
  <c r="AM124" i="39"/>
  <c r="AJ124" i="39"/>
  <c r="AG124" i="39"/>
  <c r="AD124" i="39"/>
  <c r="CX123" i="39"/>
  <c r="CU123" i="39"/>
  <c r="CR123" i="39"/>
  <c r="CO123" i="39"/>
  <c r="CL123" i="39"/>
  <c r="CI123" i="39"/>
  <c r="CC123" i="39"/>
  <c r="BZ123" i="39"/>
  <c r="BW123" i="39"/>
  <c r="BT123" i="39"/>
  <c r="BQ123" i="39"/>
  <c r="BN123" i="39"/>
  <c r="BH123" i="39"/>
  <c r="BE123" i="39"/>
  <c r="BB123" i="39"/>
  <c r="AY123" i="39"/>
  <c r="AV123" i="39"/>
  <c r="AS123" i="39"/>
  <c r="AM123" i="39"/>
  <c r="AJ123" i="39"/>
  <c r="AG123" i="39"/>
  <c r="AD123" i="39"/>
  <c r="CX122" i="39"/>
  <c r="CU122" i="39"/>
  <c r="CR122" i="39"/>
  <c r="CO122" i="39"/>
  <c r="CL122" i="39"/>
  <c r="CI122" i="39"/>
  <c r="CC122" i="39"/>
  <c r="BZ122" i="39"/>
  <c r="BW122" i="39"/>
  <c r="BT122" i="39"/>
  <c r="BQ122" i="39"/>
  <c r="BN122" i="39"/>
  <c r="BH122" i="39"/>
  <c r="BE122" i="39"/>
  <c r="BB122" i="39"/>
  <c r="AY122" i="39"/>
  <c r="AV122" i="39"/>
  <c r="AS122" i="39"/>
  <c r="AM122" i="39"/>
  <c r="AJ122" i="39"/>
  <c r="AG122" i="39"/>
  <c r="AD122" i="39"/>
  <c r="CX121" i="39"/>
  <c r="CU121" i="39"/>
  <c r="CR121" i="39"/>
  <c r="CO121" i="39"/>
  <c r="CL121" i="39"/>
  <c r="CI121" i="39"/>
  <c r="CC121" i="39"/>
  <c r="BZ121" i="39"/>
  <c r="BW121" i="39"/>
  <c r="BT121" i="39"/>
  <c r="BQ121" i="39"/>
  <c r="BN121" i="39"/>
  <c r="BH121" i="39"/>
  <c r="BE121" i="39"/>
  <c r="BB121" i="39"/>
  <c r="AY121" i="39"/>
  <c r="AV121" i="39"/>
  <c r="AS121" i="39"/>
  <c r="AM121" i="39"/>
  <c r="AJ121" i="39"/>
  <c r="AG121" i="39"/>
  <c r="AD121" i="39"/>
  <c r="CX120" i="39"/>
  <c r="CU120" i="39"/>
  <c r="CR120" i="39"/>
  <c r="CO120" i="39"/>
  <c r="CL120" i="39"/>
  <c r="CI120" i="39"/>
  <c r="CC120" i="39"/>
  <c r="BZ120" i="39"/>
  <c r="BW120" i="39"/>
  <c r="BT120" i="39"/>
  <c r="BQ120" i="39"/>
  <c r="BN120" i="39"/>
  <c r="BH120" i="39"/>
  <c r="BE120" i="39"/>
  <c r="BB120" i="39"/>
  <c r="AY120" i="39"/>
  <c r="AV120" i="39"/>
  <c r="AS120" i="39"/>
  <c r="AM120" i="39"/>
  <c r="AJ120" i="39"/>
  <c r="AG120" i="39"/>
  <c r="AD120" i="39"/>
  <c r="CX119" i="39"/>
  <c r="CU119" i="39"/>
  <c r="CR119" i="39"/>
  <c r="CO119" i="39"/>
  <c r="CL119" i="39"/>
  <c r="CI119" i="39"/>
  <c r="CC119" i="39"/>
  <c r="BZ119" i="39"/>
  <c r="BW119" i="39"/>
  <c r="BT119" i="39"/>
  <c r="BQ119" i="39"/>
  <c r="BN119" i="39"/>
  <c r="BH119" i="39"/>
  <c r="BE119" i="39"/>
  <c r="BB119" i="39"/>
  <c r="AY119" i="39"/>
  <c r="AV119" i="39"/>
  <c r="AS119" i="39"/>
  <c r="AM119" i="39"/>
  <c r="AJ119" i="39"/>
  <c r="AG119" i="39"/>
  <c r="AD119" i="39"/>
  <c r="CX118" i="39"/>
  <c r="CU118" i="39"/>
  <c r="CR118" i="39"/>
  <c r="CO118" i="39"/>
  <c r="CL118" i="39"/>
  <c r="CI118" i="39"/>
  <c r="CC118" i="39"/>
  <c r="BZ118" i="39"/>
  <c r="BW118" i="39"/>
  <c r="BT118" i="39"/>
  <c r="BQ118" i="39"/>
  <c r="BN118" i="39"/>
  <c r="BH118" i="39"/>
  <c r="BE118" i="39"/>
  <c r="BB118" i="39"/>
  <c r="AY118" i="39"/>
  <c r="AV118" i="39"/>
  <c r="AS118" i="39"/>
  <c r="AM118" i="39"/>
  <c r="AJ118" i="39"/>
  <c r="AG118" i="39"/>
  <c r="AD118" i="39"/>
  <c r="CX117" i="39"/>
  <c r="CU117" i="39"/>
  <c r="CR117" i="39"/>
  <c r="CO117" i="39"/>
  <c r="CL117" i="39"/>
  <c r="CI117" i="39"/>
  <c r="CC117" i="39"/>
  <c r="BZ117" i="39"/>
  <c r="BW117" i="39"/>
  <c r="BT117" i="39"/>
  <c r="BQ117" i="39"/>
  <c r="BN117" i="39"/>
  <c r="BH117" i="39"/>
  <c r="BE117" i="39"/>
  <c r="BB117" i="39"/>
  <c r="AY117" i="39"/>
  <c r="AV117" i="39"/>
  <c r="AS117" i="39"/>
  <c r="AM117" i="39"/>
  <c r="AJ117" i="39"/>
  <c r="AG117" i="39"/>
  <c r="AD117" i="39"/>
  <c r="CX116" i="39"/>
  <c r="CU116" i="39"/>
  <c r="CR116" i="39"/>
  <c r="CO116" i="39"/>
  <c r="CL116" i="39"/>
  <c r="CI116" i="39"/>
  <c r="CC116" i="39"/>
  <c r="BZ116" i="39"/>
  <c r="BW116" i="39"/>
  <c r="BT116" i="39"/>
  <c r="BQ116" i="39"/>
  <c r="BN116" i="39"/>
  <c r="BH116" i="39"/>
  <c r="BE116" i="39"/>
  <c r="BB116" i="39"/>
  <c r="AY116" i="39"/>
  <c r="AV116" i="39"/>
  <c r="AS116" i="39"/>
  <c r="AM116" i="39"/>
  <c r="AJ116" i="39"/>
  <c r="AG116" i="39"/>
  <c r="AD116" i="39"/>
  <c r="CX115" i="39"/>
  <c r="CU115" i="39"/>
  <c r="CR115" i="39"/>
  <c r="CO115" i="39"/>
  <c r="CL115" i="39"/>
  <c r="CI115" i="39"/>
  <c r="CC115" i="39"/>
  <c r="BZ115" i="39"/>
  <c r="BW115" i="39"/>
  <c r="BT115" i="39"/>
  <c r="BQ115" i="39"/>
  <c r="BN115" i="39"/>
  <c r="BH115" i="39"/>
  <c r="BE115" i="39"/>
  <c r="BB115" i="39"/>
  <c r="AY115" i="39"/>
  <c r="AV115" i="39"/>
  <c r="AS115" i="39"/>
  <c r="AM115" i="39"/>
  <c r="AJ115" i="39"/>
  <c r="AG115" i="39"/>
  <c r="AD115" i="39"/>
  <c r="CX114" i="39"/>
  <c r="CU114" i="39"/>
  <c r="CR114" i="39"/>
  <c r="CO114" i="39"/>
  <c r="CL114" i="39"/>
  <c r="CI114" i="39"/>
  <c r="CC114" i="39"/>
  <c r="BZ114" i="39"/>
  <c r="BW114" i="39"/>
  <c r="BT114" i="39"/>
  <c r="BQ114" i="39"/>
  <c r="BN114" i="39"/>
  <c r="BH114" i="39"/>
  <c r="BE114" i="39"/>
  <c r="BB114" i="39"/>
  <c r="AY114" i="39"/>
  <c r="AV114" i="39"/>
  <c r="AS114" i="39"/>
  <c r="AM114" i="39"/>
  <c r="AJ114" i="39"/>
  <c r="AG114" i="39"/>
  <c r="AD114" i="39"/>
  <c r="CX113" i="39"/>
  <c r="CU113" i="39"/>
  <c r="CR113" i="39"/>
  <c r="CO113" i="39"/>
  <c r="CL113" i="39"/>
  <c r="CI113" i="39"/>
  <c r="CC113" i="39"/>
  <c r="BZ113" i="39"/>
  <c r="BW113" i="39"/>
  <c r="BT113" i="39"/>
  <c r="BQ113" i="39"/>
  <c r="BN113" i="39"/>
  <c r="BH113" i="39"/>
  <c r="BE113" i="39"/>
  <c r="BB113" i="39"/>
  <c r="AY113" i="39"/>
  <c r="AV113" i="39"/>
  <c r="AS113" i="39"/>
  <c r="AM113" i="39"/>
  <c r="AJ113" i="39"/>
  <c r="AG113" i="39"/>
  <c r="AD113" i="39"/>
  <c r="CX112" i="39"/>
  <c r="CU112" i="39"/>
  <c r="CR112" i="39"/>
  <c r="CO112" i="39"/>
  <c r="CL112" i="39"/>
  <c r="CI112" i="39"/>
  <c r="CC112" i="39"/>
  <c r="BZ112" i="39"/>
  <c r="BW112" i="39"/>
  <c r="BT112" i="39"/>
  <c r="BQ112" i="39"/>
  <c r="BN112" i="39"/>
  <c r="BH112" i="39"/>
  <c r="BE112" i="39"/>
  <c r="BD112" i="39"/>
  <c r="BB112" i="39"/>
  <c r="AY112" i="39"/>
  <c r="AX112" i="39"/>
  <c r="AX271" i="39" s="1"/>
  <c r="AV112" i="39"/>
  <c r="AS112" i="39"/>
  <c r="AM112" i="39"/>
  <c r="AJ112" i="39"/>
  <c r="AG112" i="39"/>
  <c r="AD112" i="39"/>
  <c r="CX111" i="39"/>
  <c r="CU111" i="39"/>
  <c r="CR111" i="39"/>
  <c r="CO111" i="39"/>
  <c r="CL111" i="39"/>
  <c r="CI111" i="39"/>
  <c r="CC111" i="39"/>
  <c r="BZ111" i="39"/>
  <c r="BW111" i="39"/>
  <c r="BS111" i="39"/>
  <c r="BT111" i="39" s="1"/>
  <c r="BQ111" i="39"/>
  <c r="BN111" i="39"/>
  <c r="BH111" i="39"/>
  <c r="BE111" i="39"/>
  <c r="BB111" i="39"/>
  <c r="AY111" i="39"/>
  <c r="AV111" i="39"/>
  <c r="AS111" i="39"/>
  <c r="AM111" i="39"/>
  <c r="AJ111" i="39"/>
  <c r="AG111" i="39"/>
  <c r="AD111" i="39"/>
  <c r="CX110" i="39"/>
  <c r="CU110" i="39"/>
  <c r="CR110" i="39"/>
  <c r="CO110" i="39"/>
  <c r="CL110" i="39"/>
  <c r="CI110" i="39"/>
  <c r="CC110" i="39"/>
  <c r="BZ110" i="39"/>
  <c r="BW110" i="39"/>
  <c r="BT110" i="39"/>
  <c r="BQ110" i="39"/>
  <c r="BN110" i="39"/>
  <c r="BH110" i="39"/>
  <c r="BE110" i="39"/>
  <c r="BB110" i="39"/>
  <c r="AY110" i="39"/>
  <c r="AV110" i="39"/>
  <c r="AS110" i="39"/>
  <c r="AM110" i="39"/>
  <c r="AJ110" i="39"/>
  <c r="AG110" i="39"/>
  <c r="AD110" i="39"/>
  <c r="CX109" i="39"/>
  <c r="CU109" i="39"/>
  <c r="CR109" i="39"/>
  <c r="CO109" i="39"/>
  <c r="CL109" i="39"/>
  <c r="CI109" i="39"/>
  <c r="CC109" i="39"/>
  <c r="BZ109" i="39"/>
  <c r="BW109" i="39"/>
  <c r="BT109" i="39"/>
  <c r="BQ109" i="39"/>
  <c r="BN109" i="39"/>
  <c r="BH109" i="39"/>
  <c r="BE109" i="39"/>
  <c r="BB109" i="39"/>
  <c r="AY109" i="39"/>
  <c r="AV109" i="39"/>
  <c r="AS109" i="39"/>
  <c r="AM109" i="39"/>
  <c r="AJ109" i="39"/>
  <c r="AG109" i="39"/>
  <c r="AD109" i="39"/>
  <c r="CX108" i="39"/>
  <c r="CU108" i="39"/>
  <c r="CR108" i="39"/>
  <c r="CO108" i="39"/>
  <c r="CL108" i="39"/>
  <c r="CI108" i="39"/>
  <c r="CC108" i="39"/>
  <c r="BZ108" i="39"/>
  <c r="BW108" i="39"/>
  <c r="BT108" i="39"/>
  <c r="BQ108" i="39"/>
  <c r="BN108" i="39"/>
  <c r="BH108" i="39"/>
  <c r="BE108" i="39"/>
  <c r="BB108" i="39"/>
  <c r="AY108" i="39"/>
  <c r="AV108" i="39"/>
  <c r="AS108" i="39"/>
  <c r="AM108" i="39"/>
  <c r="AJ108" i="39"/>
  <c r="AG108" i="39"/>
  <c r="AD108" i="39"/>
  <c r="CX107" i="39"/>
  <c r="CU107" i="39"/>
  <c r="CR107" i="39"/>
  <c r="CO107" i="39"/>
  <c r="CL107" i="39"/>
  <c r="CI107" i="39"/>
  <c r="CC107" i="39"/>
  <c r="BZ107" i="39"/>
  <c r="BW107" i="39"/>
  <c r="BT107" i="39"/>
  <c r="BQ107" i="39"/>
  <c r="BN107" i="39"/>
  <c r="BH107" i="39"/>
  <c r="BG107" i="39"/>
  <c r="BE107" i="39"/>
  <c r="BB107" i="39"/>
  <c r="AY107" i="39"/>
  <c r="AV107" i="39"/>
  <c r="AS107" i="39"/>
  <c r="AM107" i="39"/>
  <c r="AJ107" i="39"/>
  <c r="AG107" i="39"/>
  <c r="AD107" i="39"/>
  <c r="CX106" i="39"/>
  <c r="CU106" i="39"/>
  <c r="CR106" i="39"/>
  <c r="CO106" i="39"/>
  <c r="CL106" i="39"/>
  <c r="CI106" i="39"/>
  <c r="CC106" i="39"/>
  <c r="BZ106" i="39"/>
  <c r="BW106" i="39"/>
  <c r="BT106" i="39"/>
  <c r="BQ106" i="39"/>
  <c r="BN106" i="39"/>
  <c r="BH106" i="39"/>
  <c r="BE106" i="39"/>
  <c r="BB106" i="39"/>
  <c r="AY106" i="39"/>
  <c r="AV106" i="39"/>
  <c r="AS106" i="39"/>
  <c r="AM106" i="39"/>
  <c r="AJ106" i="39"/>
  <c r="AG106" i="39"/>
  <c r="AD106" i="39"/>
  <c r="CX105" i="39"/>
  <c r="CU105" i="39"/>
  <c r="CR105" i="39"/>
  <c r="CO105" i="39"/>
  <c r="CL105" i="39"/>
  <c r="CI105" i="39"/>
  <c r="CC105" i="39"/>
  <c r="BZ105" i="39"/>
  <c r="BW105" i="39"/>
  <c r="BT105" i="39"/>
  <c r="BQ105" i="39"/>
  <c r="BN105" i="39"/>
  <c r="BH105" i="39"/>
  <c r="BE105" i="39"/>
  <c r="BB105" i="39"/>
  <c r="AY105" i="39"/>
  <c r="AV105" i="39"/>
  <c r="AS105" i="39"/>
  <c r="AM105" i="39"/>
  <c r="AJ105" i="39"/>
  <c r="AG105" i="39"/>
  <c r="AD105" i="39"/>
  <c r="CX104" i="39"/>
  <c r="CU104" i="39"/>
  <c r="CR104" i="39"/>
  <c r="CO104" i="39"/>
  <c r="CL104" i="39"/>
  <c r="CI104" i="39"/>
  <c r="CC104" i="39"/>
  <c r="BZ104" i="39"/>
  <c r="BW104" i="39"/>
  <c r="BT104" i="39"/>
  <c r="BQ104" i="39"/>
  <c r="BN104" i="39"/>
  <c r="BH104" i="39"/>
  <c r="BE104" i="39"/>
  <c r="BB104" i="39"/>
  <c r="AY104" i="39"/>
  <c r="AV104" i="39"/>
  <c r="AS104" i="39"/>
  <c r="AM104" i="39"/>
  <c r="AJ104" i="39"/>
  <c r="AG104" i="39"/>
  <c r="AD104" i="39"/>
  <c r="CX103" i="39"/>
  <c r="CU103" i="39"/>
  <c r="CR103" i="39"/>
  <c r="CO103" i="39"/>
  <c r="CL103" i="39"/>
  <c r="CI103" i="39"/>
  <c r="CC103" i="39"/>
  <c r="BZ103" i="39"/>
  <c r="BW103" i="39"/>
  <c r="BT103" i="39"/>
  <c r="BQ103" i="39"/>
  <c r="BN103" i="39"/>
  <c r="BH103" i="39"/>
  <c r="BE103" i="39"/>
  <c r="BB103" i="39"/>
  <c r="AY103" i="39"/>
  <c r="AV103" i="39"/>
  <c r="AS103" i="39"/>
  <c r="AM103" i="39"/>
  <c r="AJ103" i="39"/>
  <c r="AG103" i="39"/>
  <c r="AD103" i="39"/>
  <c r="CX102" i="39"/>
  <c r="CU102" i="39"/>
  <c r="CR102" i="39"/>
  <c r="CO102" i="39"/>
  <c r="CL102" i="39"/>
  <c r="CI102" i="39"/>
  <c r="CC102" i="39"/>
  <c r="BZ102" i="39"/>
  <c r="BW102" i="39"/>
  <c r="BT102" i="39"/>
  <c r="BQ102" i="39"/>
  <c r="BN102" i="39"/>
  <c r="BH102" i="39"/>
  <c r="BE102" i="39"/>
  <c r="BB102" i="39"/>
  <c r="AY102" i="39"/>
  <c r="AV102" i="39"/>
  <c r="AS102" i="39"/>
  <c r="AM102" i="39"/>
  <c r="AJ102" i="39"/>
  <c r="AG102" i="39"/>
  <c r="AD102" i="39"/>
  <c r="CX101" i="39"/>
  <c r="CU101" i="39"/>
  <c r="CR101" i="39"/>
  <c r="CO101" i="39"/>
  <c r="CL101" i="39"/>
  <c r="CI101" i="39"/>
  <c r="CC101" i="39"/>
  <c r="BZ101" i="39"/>
  <c r="BW101" i="39"/>
  <c r="BT101" i="39"/>
  <c r="BQ101" i="39"/>
  <c r="BN101" i="39"/>
  <c r="BH101" i="39"/>
  <c r="BE101" i="39"/>
  <c r="BB101" i="39"/>
  <c r="AY101" i="39"/>
  <c r="AV101" i="39"/>
  <c r="AS101" i="39"/>
  <c r="AM101" i="39"/>
  <c r="AJ101" i="39"/>
  <c r="AG101" i="39"/>
  <c r="AD101" i="39"/>
  <c r="CX100" i="39"/>
  <c r="CU100" i="39"/>
  <c r="CR100" i="39"/>
  <c r="CO100" i="39"/>
  <c r="CL100" i="39"/>
  <c r="CI100" i="39"/>
  <c r="CC100" i="39"/>
  <c r="BZ100" i="39"/>
  <c r="BW100" i="39"/>
  <c r="BT100" i="39"/>
  <c r="BQ100" i="39"/>
  <c r="BN100" i="39"/>
  <c r="BH100" i="39"/>
  <c r="BE100" i="39"/>
  <c r="BB100" i="39"/>
  <c r="AY100" i="39"/>
  <c r="AV100" i="39"/>
  <c r="AS100" i="39"/>
  <c r="AM100" i="39"/>
  <c r="AJ100" i="39"/>
  <c r="AG100" i="39"/>
  <c r="AD100" i="39"/>
  <c r="CX99" i="39"/>
  <c r="CU99" i="39"/>
  <c r="CR99" i="39"/>
  <c r="CO99" i="39"/>
  <c r="CL99" i="39"/>
  <c r="CI99" i="39"/>
  <c r="CC99" i="39"/>
  <c r="BZ99" i="39"/>
  <c r="BW99" i="39"/>
  <c r="BT99" i="39"/>
  <c r="BQ99" i="39"/>
  <c r="BN99" i="39"/>
  <c r="BH99" i="39"/>
  <c r="BE99" i="39"/>
  <c r="BB99" i="39"/>
  <c r="AY99" i="39"/>
  <c r="AV99" i="39"/>
  <c r="AS99" i="39"/>
  <c r="AM99" i="39"/>
  <c r="AJ99" i="39"/>
  <c r="AG99" i="39"/>
  <c r="AD99" i="39"/>
  <c r="CX98" i="39"/>
  <c r="CU98" i="39"/>
  <c r="CR98" i="39"/>
  <c r="CO98" i="39"/>
  <c r="CL98" i="39"/>
  <c r="CI98" i="39"/>
  <c r="CC98" i="39"/>
  <c r="BZ98" i="39"/>
  <c r="BW98" i="39"/>
  <c r="BT98" i="39"/>
  <c r="BQ98" i="39"/>
  <c r="BN98" i="39"/>
  <c r="BH98" i="39"/>
  <c r="BE98" i="39"/>
  <c r="BB98" i="39"/>
  <c r="AY98" i="39"/>
  <c r="AV98" i="39"/>
  <c r="AS98" i="39"/>
  <c r="AM98" i="39"/>
  <c r="AJ98" i="39"/>
  <c r="AG98" i="39"/>
  <c r="AD98" i="39"/>
  <c r="CX97" i="39"/>
  <c r="CU97" i="39"/>
  <c r="CR97" i="39"/>
  <c r="CO97" i="39"/>
  <c r="CL97" i="39"/>
  <c r="CI97" i="39"/>
  <c r="CC97" i="39"/>
  <c r="BZ97" i="39"/>
  <c r="BW97" i="39"/>
  <c r="BT97" i="39"/>
  <c r="BQ97" i="39"/>
  <c r="BN97" i="39"/>
  <c r="BH97" i="39"/>
  <c r="BE97" i="39"/>
  <c r="BB97" i="39"/>
  <c r="AY97" i="39"/>
  <c r="AV97" i="39"/>
  <c r="AS97" i="39"/>
  <c r="AM97" i="39"/>
  <c r="AJ97" i="39"/>
  <c r="AG97" i="39"/>
  <c r="AD97" i="39"/>
  <c r="CX96" i="39"/>
  <c r="CU96" i="39"/>
  <c r="CR96" i="39"/>
  <c r="CO96" i="39"/>
  <c r="CL96" i="39"/>
  <c r="CI96" i="39"/>
  <c r="CC96" i="39"/>
  <c r="BZ96" i="39"/>
  <c r="BW96" i="39"/>
  <c r="BT96" i="39"/>
  <c r="BQ96" i="39"/>
  <c r="BN96" i="39"/>
  <c r="BH96" i="39"/>
  <c r="BE96" i="39"/>
  <c r="BB96" i="39"/>
  <c r="AY96" i="39"/>
  <c r="AV96" i="39"/>
  <c r="AS96" i="39"/>
  <c r="AM96" i="39"/>
  <c r="AJ96" i="39"/>
  <c r="AG96" i="39"/>
  <c r="AD96" i="39"/>
  <c r="CX95" i="39"/>
  <c r="CU95" i="39"/>
  <c r="CR95" i="39"/>
  <c r="CO95" i="39"/>
  <c r="CL95" i="39"/>
  <c r="CI95" i="39"/>
  <c r="CC95" i="39"/>
  <c r="BZ95" i="39"/>
  <c r="BW95" i="39"/>
  <c r="BT95" i="39"/>
  <c r="BQ95" i="39"/>
  <c r="BN95" i="39"/>
  <c r="BH95" i="39"/>
  <c r="BE95" i="39"/>
  <c r="BB95" i="39"/>
  <c r="AY95" i="39"/>
  <c r="AV95" i="39"/>
  <c r="AS95" i="39"/>
  <c r="AM95" i="39"/>
  <c r="AJ95" i="39"/>
  <c r="AG95" i="39"/>
  <c r="AD95" i="39"/>
  <c r="CX94" i="39"/>
  <c r="CU94" i="39"/>
  <c r="CR94" i="39"/>
  <c r="CO94" i="39"/>
  <c r="CL94" i="39"/>
  <c r="CI94" i="39"/>
  <c r="CC94" i="39"/>
  <c r="BZ94" i="39"/>
  <c r="BW94" i="39"/>
  <c r="BT94" i="39"/>
  <c r="BQ94" i="39"/>
  <c r="BN94" i="39"/>
  <c r="BH94" i="39"/>
  <c r="BE94" i="39"/>
  <c r="BB94" i="39"/>
  <c r="AY94" i="39"/>
  <c r="AV94" i="39"/>
  <c r="AS94" i="39"/>
  <c r="AM94" i="39"/>
  <c r="AJ94" i="39"/>
  <c r="AG94" i="39"/>
  <c r="AD94" i="39"/>
  <c r="CX93" i="39"/>
  <c r="CU93" i="39"/>
  <c r="CR93" i="39"/>
  <c r="CO93" i="39"/>
  <c r="CL93" i="39"/>
  <c r="CI93" i="39"/>
  <c r="CC93" i="39"/>
  <c r="BZ93" i="39"/>
  <c r="BW93" i="39"/>
  <c r="BT93" i="39"/>
  <c r="BQ93" i="39"/>
  <c r="BN93" i="39"/>
  <c r="BH93" i="39"/>
  <c r="BE93" i="39"/>
  <c r="BB93" i="39"/>
  <c r="AY93" i="39"/>
  <c r="AV93" i="39"/>
  <c r="AS93" i="39"/>
  <c r="AM93" i="39"/>
  <c r="AJ93" i="39"/>
  <c r="AG93" i="39"/>
  <c r="AD93" i="39"/>
  <c r="CX92" i="39"/>
  <c r="CU92" i="39"/>
  <c r="CR92" i="39"/>
  <c r="CO92" i="39"/>
  <c r="CL92" i="39"/>
  <c r="CI92" i="39"/>
  <c r="CC92" i="39"/>
  <c r="BZ92" i="39"/>
  <c r="BW92" i="39"/>
  <c r="BT92" i="39"/>
  <c r="BQ92" i="39"/>
  <c r="BN92" i="39"/>
  <c r="BH92" i="39"/>
  <c r="BE92" i="39"/>
  <c r="BB92" i="39"/>
  <c r="AY92" i="39"/>
  <c r="AV92" i="39"/>
  <c r="AS92" i="39"/>
  <c r="AM92" i="39"/>
  <c r="AJ92" i="39"/>
  <c r="AG92" i="39"/>
  <c r="AD92" i="39"/>
  <c r="CX91" i="39"/>
  <c r="CU91" i="39"/>
  <c r="CR91" i="39"/>
  <c r="CO91" i="39"/>
  <c r="CL91" i="39"/>
  <c r="CI91" i="39"/>
  <c r="CC91" i="39"/>
  <c r="BZ91" i="39"/>
  <c r="BW91" i="39"/>
  <c r="BT91" i="39"/>
  <c r="BQ91" i="39"/>
  <c r="BN91" i="39"/>
  <c r="BH91" i="39"/>
  <c r="BE91" i="39"/>
  <c r="BB91" i="39"/>
  <c r="AY91" i="39"/>
  <c r="AV91" i="39"/>
  <c r="AS91" i="39"/>
  <c r="AM91" i="39"/>
  <c r="AJ91" i="39"/>
  <c r="AG91" i="39"/>
  <c r="AD91" i="39"/>
  <c r="CX90" i="39"/>
  <c r="CU90" i="39"/>
  <c r="CR90" i="39"/>
  <c r="CO90" i="39"/>
  <c r="CL90" i="39"/>
  <c r="CI90" i="39"/>
  <c r="CC90" i="39"/>
  <c r="BZ90" i="39"/>
  <c r="BW90" i="39"/>
  <c r="BT90" i="39"/>
  <c r="BQ90" i="39"/>
  <c r="BN90" i="39"/>
  <c r="BH90" i="39"/>
  <c r="BE90" i="39"/>
  <c r="BB90" i="39"/>
  <c r="AY90" i="39"/>
  <c r="AV90" i="39"/>
  <c r="AS90" i="39"/>
  <c r="AM90" i="39"/>
  <c r="AJ90" i="39"/>
  <c r="AG90" i="39"/>
  <c r="AD90" i="39"/>
  <c r="CX89" i="39"/>
  <c r="CU89" i="39"/>
  <c r="CR89" i="39"/>
  <c r="CO89" i="39"/>
  <c r="CL89" i="39"/>
  <c r="CI89" i="39"/>
  <c r="CC89" i="39"/>
  <c r="BZ89" i="39"/>
  <c r="BW89" i="39"/>
  <c r="BT89" i="39"/>
  <c r="BQ89" i="39"/>
  <c r="BN89" i="39"/>
  <c r="BH89" i="39"/>
  <c r="BD89" i="39"/>
  <c r="BD271" i="39" s="1"/>
  <c r="BB89" i="39"/>
  <c r="AY89" i="39"/>
  <c r="AV89" i="39"/>
  <c r="AS89" i="39"/>
  <c r="AM89" i="39"/>
  <c r="AJ89" i="39"/>
  <c r="AG89" i="39"/>
  <c r="AD89" i="39"/>
  <c r="CX88" i="39"/>
  <c r="CU88" i="39"/>
  <c r="CR88" i="39"/>
  <c r="CO88" i="39"/>
  <c r="CL88" i="39"/>
  <c r="CI88" i="39"/>
  <c r="CC88" i="39"/>
  <c r="BZ88" i="39"/>
  <c r="BW88" i="39"/>
  <c r="BT88" i="39"/>
  <c r="BQ88" i="39"/>
  <c r="BN88" i="39"/>
  <c r="BH88" i="39"/>
  <c r="BE88" i="39"/>
  <c r="BB88" i="39"/>
  <c r="AY88" i="39"/>
  <c r="AV88" i="39"/>
  <c r="AS88" i="39"/>
  <c r="AM88" i="39"/>
  <c r="AJ88" i="39"/>
  <c r="AG88" i="39"/>
  <c r="AD88" i="39"/>
  <c r="CX87" i="39"/>
  <c r="CU87" i="39"/>
  <c r="CR87" i="39"/>
  <c r="CO87" i="39"/>
  <c r="CL87" i="39"/>
  <c r="CI87" i="39"/>
  <c r="CC87" i="39"/>
  <c r="BZ87" i="39"/>
  <c r="BW87" i="39"/>
  <c r="BT87" i="39"/>
  <c r="BQ87" i="39"/>
  <c r="BN87" i="39"/>
  <c r="BH87" i="39"/>
  <c r="BE87" i="39"/>
  <c r="BB87" i="39"/>
  <c r="AY87" i="39"/>
  <c r="AV87" i="39"/>
  <c r="AS87" i="39"/>
  <c r="AM87" i="39"/>
  <c r="AJ87" i="39"/>
  <c r="AG87" i="39"/>
  <c r="AD87" i="39"/>
  <c r="CX86" i="39"/>
  <c r="CU86" i="39"/>
  <c r="CR86" i="39"/>
  <c r="CO86" i="39"/>
  <c r="CL86" i="39"/>
  <c r="CI86" i="39"/>
  <c r="CC86" i="39"/>
  <c r="BZ86" i="39"/>
  <c r="BW86" i="39"/>
  <c r="BT86" i="39"/>
  <c r="BQ86" i="39"/>
  <c r="BN86" i="39"/>
  <c r="BH86" i="39"/>
  <c r="BE86" i="39"/>
  <c r="BB86" i="39"/>
  <c r="AY86" i="39"/>
  <c r="AV86" i="39"/>
  <c r="AS86" i="39"/>
  <c r="AM86" i="39"/>
  <c r="AJ86" i="39"/>
  <c r="AG86" i="39"/>
  <c r="AD86" i="39"/>
  <c r="CX85" i="39"/>
  <c r="CU85" i="39"/>
  <c r="CR85" i="39"/>
  <c r="CO85" i="39"/>
  <c r="CL85" i="39"/>
  <c r="CI85" i="39"/>
  <c r="CC85" i="39"/>
  <c r="BZ85" i="39"/>
  <c r="BW85" i="39"/>
  <c r="BT85" i="39"/>
  <c r="BQ85" i="39"/>
  <c r="BN85" i="39"/>
  <c r="BH85" i="39"/>
  <c r="BE85" i="39"/>
  <c r="BB85" i="39"/>
  <c r="AY85" i="39"/>
  <c r="AV85" i="39"/>
  <c r="AS85" i="39"/>
  <c r="AM85" i="39"/>
  <c r="AJ85" i="39"/>
  <c r="AG85" i="39"/>
  <c r="AD85" i="39"/>
  <c r="CX84" i="39"/>
  <c r="CU84" i="39"/>
  <c r="CR84" i="39"/>
  <c r="CO84" i="39"/>
  <c r="CL84" i="39"/>
  <c r="CI84" i="39"/>
  <c r="CC84" i="39"/>
  <c r="BZ84" i="39"/>
  <c r="BW84" i="39"/>
  <c r="BT84" i="39"/>
  <c r="BQ84" i="39"/>
  <c r="BN84" i="39"/>
  <c r="BH84" i="39"/>
  <c r="BE84" i="39"/>
  <c r="BB84" i="39"/>
  <c r="AY84" i="39"/>
  <c r="AV84" i="39"/>
  <c r="AS84" i="39"/>
  <c r="AM84" i="39"/>
  <c r="AJ84" i="39"/>
  <c r="AG84" i="39"/>
  <c r="AD84" i="39"/>
  <c r="CX83" i="39"/>
  <c r="CU83" i="39"/>
  <c r="CR83" i="39"/>
  <c r="CO83" i="39"/>
  <c r="CL83" i="39"/>
  <c r="CI83" i="39"/>
  <c r="CC83" i="39"/>
  <c r="BZ83" i="39"/>
  <c r="BW83" i="39"/>
  <c r="BT83" i="39"/>
  <c r="BQ83" i="39"/>
  <c r="BN83" i="39"/>
  <c r="BH83" i="39"/>
  <c r="BE83" i="39"/>
  <c r="BB83" i="39"/>
  <c r="AY83" i="39"/>
  <c r="AV83" i="39"/>
  <c r="AS83" i="39"/>
  <c r="AM83" i="39"/>
  <c r="AJ83" i="39"/>
  <c r="AG83" i="39"/>
  <c r="AD83" i="39"/>
  <c r="CX82" i="39"/>
  <c r="CU82" i="39"/>
  <c r="CR82" i="39"/>
  <c r="CO82" i="39"/>
  <c r="CL82" i="39"/>
  <c r="CI82" i="39"/>
  <c r="CC82" i="39"/>
  <c r="BZ82" i="39"/>
  <c r="BW82" i="39"/>
  <c r="BT82" i="39"/>
  <c r="BQ82" i="39"/>
  <c r="BN82" i="39"/>
  <c r="BH82" i="39"/>
  <c r="BE82" i="39"/>
  <c r="BB82" i="39"/>
  <c r="AY82" i="39"/>
  <c r="AV82" i="39"/>
  <c r="AS82" i="39"/>
  <c r="AM82" i="39"/>
  <c r="AJ82" i="39"/>
  <c r="AG82" i="39"/>
  <c r="AD82" i="39"/>
  <c r="CX81" i="39"/>
  <c r="CU81" i="39"/>
  <c r="CR81" i="39"/>
  <c r="CO81" i="39"/>
  <c r="CL81" i="39"/>
  <c r="CI81" i="39"/>
  <c r="CC81" i="39"/>
  <c r="BZ81" i="39"/>
  <c r="BW81" i="39"/>
  <c r="BT81" i="39"/>
  <c r="BQ81" i="39"/>
  <c r="BN81" i="39"/>
  <c r="BH81" i="39"/>
  <c r="BE81" i="39"/>
  <c r="BB81" i="39"/>
  <c r="AY81" i="39"/>
  <c r="AV81" i="39"/>
  <c r="AS81" i="39"/>
  <c r="AM81" i="39"/>
  <c r="AJ81" i="39"/>
  <c r="AG81" i="39"/>
  <c r="AD81" i="39"/>
  <c r="CX80" i="39"/>
  <c r="CU80" i="39"/>
  <c r="CR80" i="39"/>
  <c r="CO80" i="39"/>
  <c r="CL80" i="39"/>
  <c r="CI80" i="39"/>
  <c r="CC80" i="39"/>
  <c r="BZ80" i="39"/>
  <c r="BW80" i="39"/>
  <c r="BT80" i="39"/>
  <c r="BQ80" i="39"/>
  <c r="BN80" i="39"/>
  <c r="BH80" i="39"/>
  <c r="BE80" i="39"/>
  <c r="BB80" i="39"/>
  <c r="AY80" i="39"/>
  <c r="AV80" i="39"/>
  <c r="AS80" i="39"/>
  <c r="AM80" i="39"/>
  <c r="AJ80" i="39"/>
  <c r="AG80" i="39"/>
  <c r="AD80" i="39"/>
  <c r="CX79" i="39"/>
  <c r="CU79" i="39"/>
  <c r="CR79" i="39"/>
  <c r="CO79" i="39"/>
  <c r="CL79" i="39"/>
  <c r="CI79" i="39"/>
  <c r="CC79" i="39"/>
  <c r="BZ79" i="39"/>
  <c r="BW79" i="39"/>
  <c r="BT79" i="39"/>
  <c r="BQ79" i="39"/>
  <c r="BN79" i="39"/>
  <c r="BH79" i="39"/>
  <c r="BE79" i="39"/>
  <c r="BB79" i="39"/>
  <c r="AY79" i="39"/>
  <c r="AV79" i="39"/>
  <c r="AS79" i="39"/>
  <c r="AM79" i="39"/>
  <c r="AJ79" i="39"/>
  <c r="AG79" i="39"/>
  <c r="AD79" i="39"/>
  <c r="CX78" i="39"/>
  <c r="CU78" i="39"/>
  <c r="CR78" i="39"/>
  <c r="CO78" i="39"/>
  <c r="CL78" i="39"/>
  <c r="CI78" i="39"/>
  <c r="CC78" i="39"/>
  <c r="BZ78" i="39"/>
  <c r="BW78" i="39"/>
  <c r="BT78" i="39"/>
  <c r="BQ78" i="39"/>
  <c r="BN78" i="39"/>
  <c r="BH78" i="39"/>
  <c r="BE78" i="39"/>
  <c r="BB78" i="39"/>
  <c r="AY78" i="39"/>
  <c r="AV78" i="39"/>
  <c r="AS78" i="39"/>
  <c r="AM78" i="39"/>
  <c r="AJ78" i="39"/>
  <c r="AG78" i="39"/>
  <c r="AD78" i="39"/>
  <c r="CX77" i="39"/>
  <c r="CU77" i="39"/>
  <c r="CR77" i="39"/>
  <c r="CO77" i="39"/>
  <c r="CL77" i="39"/>
  <c r="CI77" i="39"/>
  <c r="CC77" i="39"/>
  <c r="BZ77" i="39"/>
  <c r="BW77" i="39"/>
  <c r="BT77" i="39"/>
  <c r="BQ77" i="39"/>
  <c r="BN77" i="39"/>
  <c r="BH77" i="39"/>
  <c r="BE77" i="39"/>
  <c r="BB77" i="39"/>
  <c r="AY77" i="39"/>
  <c r="AV77" i="39"/>
  <c r="AS77" i="39"/>
  <c r="AM77" i="39"/>
  <c r="AJ77" i="39"/>
  <c r="AG77" i="39"/>
  <c r="AD77" i="39"/>
  <c r="CX76" i="39"/>
  <c r="CU76" i="39"/>
  <c r="CR76" i="39"/>
  <c r="CO76" i="39"/>
  <c r="CL76" i="39"/>
  <c r="CI76" i="39"/>
  <c r="CC76" i="39"/>
  <c r="BZ76" i="39"/>
  <c r="BW76" i="39"/>
  <c r="BT76" i="39"/>
  <c r="BQ76" i="39"/>
  <c r="BN76" i="39"/>
  <c r="BH76" i="39"/>
  <c r="BE76" i="39"/>
  <c r="BB76" i="39"/>
  <c r="AY76" i="39"/>
  <c r="AV76" i="39"/>
  <c r="AS76" i="39"/>
  <c r="AM76" i="39"/>
  <c r="AJ76" i="39"/>
  <c r="AG76" i="39"/>
  <c r="AD76" i="39"/>
  <c r="CX75" i="39"/>
  <c r="CU75" i="39"/>
  <c r="CR75" i="39"/>
  <c r="CO75" i="39"/>
  <c r="CL75" i="39"/>
  <c r="CI75" i="39"/>
  <c r="CC75" i="39"/>
  <c r="BZ75" i="39"/>
  <c r="BW75" i="39"/>
  <c r="BT75" i="39"/>
  <c r="BQ75" i="39"/>
  <c r="BN75" i="39"/>
  <c r="BH75" i="39"/>
  <c r="BE75" i="39"/>
  <c r="BB75" i="39"/>
  <c r="AY75" i="39"/>
  <c r="AV75" i="39"/>
  <c r="AS75" i="39"/>
  <c r="AM75" i="39"/>
  <c r="AJ75" i="39"/>
  <c r="AG75" i="39"/>
  <c r="AD75" i="39"/>
  <c r="CX74" i="39"/>
  <c r="CU74" i="39"/>
  <c r="CR74" i="39"/>
  <c r="CO74" i="39"/>
  <c r="CL74" i="39"/>
  <c r="CI74" i="39"/>
  <c r="CC74" i="39"/>
  <c r="BZ74" i="39"/>
  <c r="BW74" i="39"/>
  <c r="BT74" i="39"/>
  <c r="BQ74" i="39"/>
  <c r="BN74" i="39"/>
  <c r="BH74" i="39"/>
  <c r="BE74" i="39"/>
  <c r="BB74" i="39"/>
  <c r="AY74" i="39"/>
  <c r="AV74" i="39"/>
  <c r="AS74" i="39"/>
  <c r="AM74" i="39"/>
  <c r="AJ74" i="39"/>
  <c r="AG74" i="39"/>
  <c r="AD74" i="39"/>
  <c r="CX73" i="39"/>
  <c r="CU73" i="39"/>
  <c r="CR73" i="39"/>
  <c r="CO73" i="39"/>
  <c r="CL73" i="39"/>
  <c r="CI73" i="39"/>
  <c r="CC73" i="39"/>
  <c r="BZ73" i="39"/>
  <c r="BW73" i="39"/>
  <c r="BT73" i="39"/>
  <c r="BQ73" i="39"/>
  <c r="BN73" i="39"/>
  <c r="BH73" i="39"/>
  <c r="BE73" i="39"/>
  <c r="BB73" i="39"/>
  <c r="AY73" i="39"/>
  <c r="AV73" i="39"/>
  <c r="AS73" i="39"/>
  <c r="AM73" i="39"/>
  <c r="AJ73" i="39"/>
  <c r="AG73" i="39"/>
  <c r="AD73" i="39"/>
  <c r="CX72" i="39"/>
  <c r="CU72" i="39"/>
  <c r="CR72" i="39"/>
  <c r="CO72" i="39"/>
  <c r="CL72" i="39"/>
  <c r="CI72" i="39"/>
  <c r="CC72" i="39"/>
  <c r="BZ72" i="39"/>
  <c r="BW72" i="39"/>
  <c r="BT72" i="39"/>
  <c r="BQ72" i="39"/>
  <c r="BN72" i="39"/>
  <c r="BH72" i="39"/>
  <c r="BE72" i="39"/>
  <c r="BB72" i="39"/>
  <c r="AY72" i="39"/>
  <c r="AV72" i="39"/>
  <c r="AS72" i="39"/>
  <c r="AM72" i="39"/>
  <c r="AJ72" i="39"/>
  <c r="AG72" i="39"/>
  <c r="AD72" i="39"/>
  <c r="CX71" i="39"/>
  <c r="CU71" i="39"/>
  <c r="CR71" i="39"/>
  <c r="CO71" i="39"/>
  <c r="CL71" i="39"/>
  <c r="CI71" i="39"/>
  <c r="CC71" i="39"/>
  <c r="BZ71" i="39"/>
  <c r="BW71" i="39"/>
  <c r="BT71" i="39"/>
  <c r="BQ71" i="39"/>
  <c r="BN71" i="39"/>
  <c r="BH71" i="39"/>
  <c r="BE71" i="39"/>
  <c r="BB71" i="39"/>
  <c r="AY71" i="39"/>
  <c r="AV71" i="39"/>
  <c r="AS71" i="39"/>
  <c r="AM71" i="39"/>
  <c r="AJ71" i="39"/>
  <c r="AG71" i="39"/>
  <c r="AD71" i="39"/>
  <c r="CX70" i="39"/>
  <c r="CU70" i="39"/>
  <c r="CR70" i="39"/>
  <c r="CO70" i="39"/>
  <c r="CL70" i="39"/>
  <c r="CI70" i="39"/>
  <c r="CC70" i="39"/>
  <c r="BZ70" i="39"/>
  <c r="BW70" i="39"/>
  <c r="BT70" i="39"/>
  <c r="BQ70" i="39"/>
  <c r="BN70" i="39"/>
  <c r="BH70" i="39"/>
  <c r="BE70" i="39"/>
  <c r="BB70" i="39"/>
  <c r="AY70" i="39"/>
  <c r="AV70" i="39"/>
  <c r="AS70" i="39"/>
  <c r="AM70" i="39"/>
  <c r="AJ70" i="39"/>
  <c r="AG70" i="39"/>
  <c r="AD70" i="39"/>
  <c r="CX69" i="39"/>
  <c r="CU69" i="39"/>
  <c r="CR69" i="39"/>
  <c r="CO69" i="39"/>
  <c r="CL69" i="39"/>
  <c r="CI69" i="39"/>
  <c r="CC69" i="39"/>
  <c r="BZ69" i="39"/>
  <c r="BW69" i="39"/>
  <c r="BT69" i="39"/>
  <c r="BQ69" i="39"/>
  <c r="BN69" i="39"/>
  <c r="BH69" i="39"/>
  <c r="BE69" i="39"/>
  <c r="BB69" i="39"/>
  <c r="AY69" i="39"/>
  <c r="AV69" i="39"/>
  <c r="AS69" i="39"/>
  <c r="AM69" i="39"/>
  <c r="AJ69" i="39"/>
  <c r="AG69" i="39"/>
  <c r="AD69" i="39"/>
  <c r="CX68" i="39"/>
  <c r="CU68" i="39"/>
  <c r="CR68" i="39"/>
  <c r="CO68" i="39"/>
  <c r="CL68" i="39"/>
  <c r="CI68" i="39"/>
  <c r="CC68" i="39"/>
  <c r="BZ68" i="39"/>
  <c r="BW68" i="39"/>
  <c r="BT68" i="39"/>
  <c r="BQ68" i="39"/>
  <c r="BN68" i="39"/>
  <c r="BH68" i="39"/>
  <c r="BE68" i="39"/>
  <c r="BB68" i="39"/>
  <c r="AY68" i="39"/>
  <c r="AV68" i="39"/>
  <c r="AS68" i="39"/>
  <c r="AM68" i="39"/>
  <c r="AJ68" i="39"/>
  <c r="AG68" i="39"/>
  <c r="AD68" i="39"/>
  <c r="CX67" i="39"/>
  <c r="CU67" i="39"/>
  <c r="CR67" i="39"/>
  <c r="CO67" i="39"/>
  <c r="CL67" i="39"/>
  <c r="CI67" i="39"/>
  <c r="CC67" i="39"/>
  <c r="BZ67" i="39"/>
  <c r="BW67" i="39"/>
  <c r="BT67" i="39"/>
  <c r="BQ67" i="39"/>
  <c r="BN67" i="39"/>
  <c r="BH67" i="39"/>
  <c r="BE67" i="39"/>
  <c r="BB67" i="39"/>
  <c r="AY67" i="39"/>
  <c r="AV67" i="39"/>
  <c r="AS67" i="39"/>
  <c r="AM67" i="39"/>
  <c r="AJ67" i="39"/>
  <c r="AG67" i="39"/>
  <c r="AD67" i="39"/>
  <c r="CX66" i="39"/>
  <c r="CU66" i="39"/>
  <c r="CR66" i="39"/>
  <c r="CO66" i="39"/>
  <c r="CL66" i="39"/>
  <c r="CK66" i="39"/>
  <c r="CI66" i="39"/>
  <c r="CC66" i="39"/>
  <c r="BZ66" i="39"/>
  <c r="BW66" i="39"/>
  <c r="BT66" i="39"/>
  <c r="BQ66" i="39"/>
  <c r="BN66" i="39"/>
  <c r="BH66" i="39"/>
  <c r="BE66" i="39"/>
  <c r="BB66" i="39"/>
  <c r="AY66" i="39"/>
  <c r="AV66" i="39"/>
  <c r="AS66" i="39"/>
  <c r="AM66" i="39"/>
  <c r="AJ66" i="39"/>
  <c r="AG66" i="39"/>
  <c r="AD66" i="39"/>
  <c r="CX65" i="39"/>
  <c r="CU65" i="39"/>
  <c r="CR65" i="39"/>
  <c r="CO65" i="39"/>
  <c r="CL65" i="39"/>
  <c r="CI65" i="39"/>
  <c r="CC65" i="39"/>
  <c r="BZ65" i="39"/>
  <c r="BW65" i="39"/>
  <c r="BT65" i="39"/>
  <c r="BQ65" i="39"/>
  <c r="BN65" i="39"/>
  <c r="BH65" i="39"/>
  <c r="BE65" i="39"/>
  <c r="BB65" i="39"/>
  <c r="AY65" i="39"/>
  <c r="AV65" i="39"/>
  <c r="AS65" i="39"/>
  <c r="AM65" i="39"/>
  <c r="AJ65" i="39"/>
  <c r="AG65" i="39"/>
  <c r="AD65" i="39"/>
  <c r="CX64" i="39"/>
  <c r="CU64" i="39"/>
  <c r="CR64" i="39"/>
  <c r="CO64" i="39"/>
  <c r="CL64" i="39"/>
  <c r="CI64" i="39"/>
  <c r="CC64" i="39"/>
  <c r="BZ64" i="39"/>
  <c r="BW64" i="39"/>
  <c r="BT64" i="39"/>
  <c r="BQ64" i="39"/>
  <c r="BN64" i="39"/>
  <c r="BH64" i="39"/>
  <c r="BE64" i="39"/>
  <c r="BB64" i="39"/>
  <c r="AY64" i="39"/>
  <c r="AV64" i="39"/>
  <c r="AS64" i="39"/>
  <c r="AM64" i="39"/>
  <c r="AJ64" i="39"/>
  <c r="AG64" i="39"/>
  <c r="AD64" i="39"/>
  <c r="CX63" i="39"/>
  <c r="CU63" i="39"/>
  <c r="CR63" i="39"/>
  <c r="CO63" i="39"/>
  <c r="CL63" i="39"/>
  <c r="CI63" i="39"/>
  <c r="CC63" i="39"/>
  <c r="BZ63" i="39"/>
  <c r="BW63" i="39"/>
  <c r="BT63" i="39"/>
  <c r="BQ63" i="39"/>
  <c r="BN63" i="39"/>
  <c r="BH63" i="39"/>
  <c r="BE63" i="39"/>
  <c r="BB63" i="39"/>
  <c r="AY63" i="39"/>
  <c r="AV63" i="39"/>
  <c r="AS63" i="39"/>
  <c r="AM63" i="39"/>
  <c r="AJ63" i="39"/>
  <c r="AG63" i="39"/>
  <c r="AD63" i="39"/>
  <c r="CX62" i="39"/>
  <c r="CU62" i="39"/>
  <c r="CR62" i="39"/>
  <c r="CO62" i="39"/>
  <c r="CL62" i="39"/>
  <c r="CI62" i="39"/>
  <c r="CC62" i="39"/>
  <c r="BZ62" i="39"/>
  <c r="BW62" i="39"/>
  <c r="BT62" i="39"/>
  <c r="BQ62" i="39"/>
  <c r="BN62" i="39"/>
  <c r="BH62" i="39"/>
  <c r="BE62" i="39"/>
  <c r="BB62" i="39"/>
  <c r="AY62" i="39"/>
  <c r="AV62" i="39"/>
  <c r="AS62" i="39"/>
  <c r="AM62" i="39"/>
  <c r="AJ62" i="39"/>
  <c r="AG62" i="39"/>
  <c r="AD62" i="39"/>
  <c r="CX61" i="39"/>
  <c r="CU61" i="39"/>
  <c r="CR61" i="39"/>
  <c r="CO61" i="39"/>
  <c r="CL61" i="39"/>
  <c r="CI61" i="39"/>
  <c r="CC61" i="39"/>
  <c r="BZ61" i="39"/>
  <c r="BW61" i="39"/>
  <c r="BT61" i="39"/>
  <c r="BQ61" i="39"/>
  <c r="BN61" i="39"/>
  <c r="BH61" i="39"/>
  <c r="BE61" i="39"/>
  <c r="BB61" i="39"/>
  <c r="AY61" i="39"/>
  <c r="AV61" i="39"/>
  <c r="AS61" i="39"/>
  <c r="AM61" i="39"/>
  <c r="AJ61" i="39"/>
  <c r="AG61" i="39"/>
  <c r="AD61" i="39"/>
  <c r="CX60" i="39"/>
  <c r="CU60" i="39"/>
  <c r="CR60" i="39"/>
  <c r="CO60" i="39"/>
  <c r="CL60" i="39"/>
  <c r="CI60" i="39"/>
  <c r="CC60" i="39"/>
  <c r="BZ60" i="39"/>
  <c r="BW60" i="39"/>
  <c r="BT60" i="39"/>
  <c r="BQ60" i="39"/>
  <c r="BN60" i="39"/>
  <c r="BH60" i="39"/>
  <c r="BE60" i="39"/>
  <c r="BB60" i="39"/>
  <c r="AY60" i="39"/>
  <c r="AV60" i="39"/>
  <c r="AS60" i="39"/>
  <c r="AM60" i="39"/>
  <c r="AJ60" i="39"/>
  <c r="AG60" i="39"/>
  <c r="AD60" i="39"/>
  <c r="CX59" i="39"/>
  <c r="CU59" i="39"/>
  <c r="CR59" i="39"/>
  <c r="CO59" i="39"/>
  <c r="CL59" i="39"/>
  <c r="CI59" i="39"/>
  <c r="CC59" i="39"/>
  <c r="BZ59" i="39"/>
  <c r="BW59" i="39"/>
  <c r="BT59" i="39"/>
  <c r="BQ59" i="39"/>
  <c r="BN59" i="39"/>
  <c r="BH59" i="39"/>
  <c r="BE59" i="39"/>
  <c r="BB59" i="39"/>
  <c r="AY59" i="39"/>
  <c r="AV59" i="39"/>
  <c r="AS59" i="39"/>
  <c r="AM59" i="39"/>
  <c r="AJ59" i="39"/>
  <c r="AG59" i="39"/>
  <c r="AD59" i="39"/>
  <c r="CX58" i="39"/>
  <c r="CU58" i="39"/>
  <c r="CR58" i="39"/>
  <c r="CO58" i="39"/>
  <c r="CL58" i="39"/>
  <c r="CI58" i="39"/>
  <c r="CC58" i="39"/>
  <c r="BZ58" i="39"/>
  <c r="BW58" i="39"/>
  <c r="BT58" i="39"/>
  <c r="BQ58" i="39"/>
  <c r="BN58" i="39"/>
  <c r="BH58" i="39"/>
  <c r="BE58" i="39"/>
  <c r="BB58" i="39"/>
  <c r="AY58" i="39"/>
  <c r="AV58" i="39"/>
  <c r="AS58" i="39"/>
  <c r="AM58" i="39"/>
  <c r="AJ58" i="39"/>
  <c r="AG58" i="39"/>
  <c r="AD58" i="39"/>
  <c r="CX57" i="39"/>
  <c r="CU57" i="39"/>
  <c r="CR57" i="39"/>
  <c r="CO57" i="39"/>
  <c r="CL57" i="39"/>
  <c r="CI57" i="39"/>
  <c r="CC57" i="39"/>
  <c r="BZ57" i="39"/>
  <c r="BW57" i="39"/>
  <c r="BT57" i="39"/>
  <c r="BQ57" i="39"/>
  <c r="BN57" i="39"/>
  <c r="BH57" i="39"/>
  <c r="BE57" i="39"/>
  <c r="BB57" i="39"/>
  <c r="AY57" i="39"/>
  <c r="AV57" i="39"/>
  <c r="AS57" i="39"/>
  <c r="AM57" i="39"/>
  <c r="AJ57" i="39"/>
  <c r="AG57" i="39"/>
  <c r="AD57" i="39"/>
  <c r="CX56" i="39"/>
  <c r="CU56" i="39"/>
  <c r="CR56" i="39"/>
  <c r="CO56" i="39"/>
  <c r="CL56" i="39"/>
  <c r="CI56" i="39"/>
  <c r="CC56" i="39"/>
  <c r="BZ56" i="39"/>
  <c r="BW56" i="39"/>
  <c r="BT56" i="39"/>
  <c r="BQ56" i="39"/>
  <c r="BN56" i="39"/>
  <c r="BH56" i="39"/>
  <c r="BE56" i="39"/>
  <c r="BB56" i="39"/>
  <c r="AY56" i="39"/>
  <c r="AV56" i="39"/>
  <c r="AS56" i="39"/>
  <c r="AM56" i="39"/>
  <c r="AJ56" i="39"/>
  <c r="AG56" i="39"/>
  <c r="AD56" i="39"/>
  <c r="CX55" i="39"/>
  <c r="CU55" i="39"/>
  <c r="CR55" i="39"/>
  <c r="CO55" i="39"/>
  <c r="CL55" i="39"/>
  <c r="CI55" i="39"/>
  <c r="CC55" i="39"/>
  <c r="BZ55" i="39"/>
  <c r="BW55" i="39"/>
  <c r="BT55" i="39"/>
  <c r="BQ55" i="39"/>
  <c r="BN55" i="39"/>
  <c r="BH55" i="39"/>
  <c r="BE55" i="39"/>
  <c r="BB55" i="39"/>
  <c r="AY55" i="39"/>
  <c r="AV55" i="39"/>
  <c r="AS55" i="39"/>
  <c r="AM55" i="39"/>
  <c r="AJ55" i="39"/>
  <c r="AG55" i="39"/>
  <c r="AD55" i="39"/>
  <c r="CX54" i="39"/>
  <c r="CU54" i="39"/>
  <c r="CR54" i="39"/>
  <c r="CO54" i="39"/>
  <c r="CL54" i="39"/>
  <c r="CI54" i="39"/>
  <c r="CC54" i="39"/>
  <c r="BZ54" i="39"/>
  <c r="BW54" i="39"/>
  <c r="BT54" i="39"/>
  <c r="BQ54" i="39"/>
  <c r="BN54" i="39"/>
  <c r="BH54" i="39"/>
  <c r="BE54" i="39"/>
  <c r="BB54" i="39"/>
  <c r="AY54" i="39"/>
  <c r="AV54" i="39"/>
  <c r="AS54" i="39"/>
  <c r="AM54" i="39"/>
  <c r="AJ54" i="39"/>
  <c r="AG54" i="39"/>
  <c r="AD54" i="39"/>
  <c r="CX53" i="39"/>
  <c r="CU53" i="39"/>
  <c r="CR53" i="39"/>
  <c r="CO53" i="39"/>
  <c r="CL53" i="39"/>
  <c r="CI53" i="39"/>
  <c r="CC53" i="39"/>
  <c r="BZ53" i="39"/>
  <c r="BW53" i="39"/>
  <c r="BT53" i="39"/>
  <c r="BQ53" i="39"/>
  <c r="BN53" i="39"/>
  <c r="BH53" i="39"/>
  <c r="BE53" i="39"/>
  <c r="BB53" i="39"/>
  <c r="AY53" i="39"/>
  <c r="AV53" i="39"/>
  <c r="AS53" i="39"/>
  <c r="AM53" i="39"/>
  <c r="AJ53" i="39"/>
  <c r="AG53" i="39"/>
  <c r="AD53" i="39"/>
  <c r="CX52" i="39"/>
  <c r="CU52" i="39"/>
  <c r="CR52" i="39"/>
  <c r="CO52" i="39"/>
  <c r="CL52" i="39"/>
  <c r="CI52" i="39"/>
  <c r="CC52" i="39"/>
  <c r="BZ52" i="39"/>
  <c r="BW52" i="39"/>
  <c r="BT52" i="39"/>
  <c r="BQ52" i="39"/>
  <c r="BN52" i="39"/>
  <c r="BH52" i="39"/>
  <c r="BE52" i="39"/>
  <c r="BB52" i="39"/>
  <c r="AY52" i="39"/>
  <c r="AV52" i="39"/>
  <c r="AS52" i="39"/>
  <c r="AM52" i="39"/>
  <c r="AJ52" i="39"/>
  <c r="AG52" i="39"/>
  <c r="AD52" i="39"/>
  <c r="CX51" i="39"/>
  <c r="CU51" i="39"/>
  <c r="CR51" i="39"/>
  <c r="CO51" i="39"/>
  <c r="CL51" i="39"/>
  <c r="CI51" i="39"/>
  <c r="CC51" i="39"/>
  <c r="BZ51" i="39"/>
  <c r="BW51" i="39"/>
  <c r="BT51" i="39"/>
  <c r="BQ51" i="39"/>
  <c r="BN51" i="39"/>
  <c r="BH51" i="39"/>
  <c r="BE51" i="39"/>
  <c r="BB51" i="39"/>
  <c r="AY51" i="39"/>
  <c r="AV51" i="39"/>
  <c r="AS51" i="39"/>
  <c r="AM51" i="39"/>
  <c r="AJ51" i="39"/>
  <c r="AG51" i="39"/>
  <c r="AD51" i="39"/>
  <c r="CX50" i="39"/>
  <c r="CU50" i="39"/>
  <c r="CR50" i="39"/>
  <c r="CO50" i="39"/>
  <c r="CL50" i="39"/>
  <c r="CI50" i="39"/>
  <c r="CC50" i="39"/>
  <c r="BZ50" i="39"/>
  <c r="BW50" i="39"/>
  <c r="BT50" i="39"/>
  <c r="BQ50" i="39"/>
  <c r="BN50" i="39"/>
  <c r="BH50" i="39"/>
  <c r="BE50" i="39"/>
  <c r="BB50" i="39"/>
  <c r="AY50" i="39"/>
  <c r="AV50" i="39"/>
  <c r="AS50" i="39"/>
  <c r="AM50" i="39"/>
  <c r="AJ50" i="39"/>
  <c r="AG50" i="39"/>
  <c r="AD50" i="39"/>
  <c r="CX49" i="39"/>
  <c r="CU49" i="39"/>
  <c r="CR49" i="39"/>
  <c r="CO49" i="39"/>
  <c r="CL49" i="39"/>
  <c r="CI49" i="39"/>
  <c r="CC49" i="39"/>
  <c r="BZ49" i="39"/>
  <c r="BW49" i="39"/>
  <c r="BT49" i="39"/>
  <c r="BQ49" i="39"/>
  <c r="BN49" i="39"/>
  <c r="BH49" i="39"/>
  <c r="BE49" i="39"/>
  <c r="BB49" i="39"/>
  <c r="AY49" i="39"/>
  <c r="AV49" i="39"/>
  <c r="AS49" i="39"/>
  <c r="AM49" i="39"/>
  <c r="AJ49" i="39"/>
  <c r="AJ271" i="39" s="1"/>
  <c r="AG49" i="39"/>
  <c r="AD49" i="39"/>
  <c r="CX48" i="39"/>
  <c r="CU48" i="39"/>
  <c r="CR48" i="39"/>
  <c r="CO48" i="39"/>
  <c r="CL48" i="39"/>
  <c r="CI48" i="39"/>
  <c r="CC48" i="39"/>
  <c r="BZ48" i="39"/>
  <c r="BW48" i="39"/>
  <c r="BT48" i="39"/>
  <c r="BQ48" i="39"/>
  <c r="BN48" i="39"/>
  <c r="BH48" i="39"/>
  <c r="BE48" i="39"/>
  <c r="BB48" i="39"/>
  <c r="AY48" i="39"/>
  <c r="AV48" i="39"/>
  <c r="AS48" i="39"/>
  <c r="AM48" i="39"/>
  <c r="AJ48" i="39"/>
  <c r="AG48" i="39"/>
  <c r="AD48" i="39"/>
  <c r="CX47" i="39"/>
  <c r="CU47" i="39"/>
  <c r="CR47" i="39"/>
  <c r="CO47" i="39"/>
  <c r="CL47" i="39"/>
  <c r="CI47" i="39"/>
  <c r="CC47" i="39"/>
  <c r="BZ47" i="39"/>
  <c r="BW47" i="39"/>
  <c r="BT47" i="39"/>
  <c r="BQ47" i="39"/>
  <c r="BN47" i="39"/>
  <c r="BH47" i="39"/>
  <c r="BE47" i="39"/>
  <c r="BB47" i="39"/>
  <c r="AY47" i="39"/>
  <c r="AV47" i="39"/>
  <c r="AS47" i="39"/>
  <c r="AM47" i="39"/>
  <c r="AJ47" i="39"/>
  <c r="AG47" i="39"/>
  <c r="AD47" i="39"/>
  <c r="CX46" i="39"/>
  <c r="CU46" i="39"/>
  <c r="CR46" i="39"/>
  <c r="CO46" i="39"/>
  <c r="CL46" i="39"/>
  <c r="CI46" i="39"/>
  <c r="CC46" i="39"/>
  <c r="BZ46" i="39"/>
  <c r="BW46" i="39"/>
  <c r="BT46" i="39"/>
  <c r="BQ46" i="39"/>
  <c r="BN46" i="39"/>
  <c r="BH46" i="39"/>
  <c r="BE46" i="39"/>
  <c r="BB46" i="39"/>
  <c r="AY46" i="39"/>
  <c r="AV46" i="39"/>
  <c r="AS46" i="39"/>
  <c r="AM46" i="39"/>
  <c r="AJ46" i="39"/>
  <c r="AG46" i="39"/>
  <c r="AD46" i="39"/>
  <c r="CX45" i="39"/>
  <c r="CU45" i="39"/>
  <c r="CR45" i="39"/>
  <c r="CO45" i="39"/>
  <c r="CL45" i="39"/>
  <c r="CI45" i="39"/>
  <c r="CC45" i="39"/>
  <c r="BZ45" i="39"/>
  <c r="BW45" i="39"/>
  <c r="BT45" i="39"/>
  <c r="BQ45" i="39"/>
  <c r="BN45" i="39"/>
  <c r="BH45" i="39"/>
  <c r="BE45" i="39"/>
  <c r="BB45" i="39"/>
  <c r="AY45" i="39"/>
  <c r="AV45" i="39"/>
  <c r="AS45" i="39"/>
  <c r="AM45" i="39"/>
  <c r="AJ45" i="39"/>
  <c r="AG45" i="39"/>
  <c r="AD45" i="39"/>
  <c r="CX44" i="39"/>
  <c r="CU44" i="39"/>
  <c r="CR44" i="39"/>
  <c r="CO44" i="39"/>
  <c r="CL44" i="39"/>
  <c r="CI44" i="39"/>
  <c r="CC44" i="39"/>
  <c r="BZ44" i="39"/>
  <c r="BW44" i="39"/>
  <c r="BT44" i="39"/>
  <c r="BQ44" i="39"/>
  <c r="BN44" i="39"/>
  <c r="BH44" i="39"/>
  <c r="BE44" i="39"/>
  <c r="BB44" i="39"/>
  <c r="AY44" i="39"/>
  <c r="AV44" i="39"/>
  <c r="AS44" i="39"/>
  <c r="AM44" i="39"/>
  <c r="AJ44" i="39"/>
  <c r="AG44" i="39"/>
  <c r="AD44" i="39"/>
  <c r="AC44" i="39"/>
  <c r="AC271" i="39" s="1"/>
  <c r="CX43" i="39"/>
  <c r="CU43" i="39"/>
  <c r="CR43" i="39"/>
  <c r="CO43" i="39"/>
  <c r="CL43" i="39"/>
  <c r="CI43" i="39"/>
  <c r="CC43" i="39"/>
  <c r="BZ43" i="39"/>
  <c r="BW43" i="39"/>
  <c r="BT43" i="39"/>
  <c r="BQ43" i="39"/>
  <c r="BN43" i="39"/>
  <c r="BH43" i="39"/>
  <c r="BE43" i="39"/>
  <c r="BB43" i="39"/>
  <c r="AY43" i="39"/>
  <c r="AV43" i="39"/>
  <c r="AS43" i="39"/>
  <c r="AM43" i="39"/>
  <c r="AJ43" i="39"/>
  <c r="AG43" i="39"/>
  <c r="AD43" i="39"/>
  <c r="CX42" i="39"/>
  <c r="CU42" i="39"/>
  <c r="CR42" i="39"/>
  <c r="CO42" i="39"/>
  <c r="CL42" i="39"/>
  <c r="CI42" i="39"/>
  <c r="CC42" i="39"/>
  <c r="BZ42" i="39"/>
  <c r="BW42" i="39"/>
  <c r="BT42" i="39"/>
  <c r="BQ42" i="39"/>
  <c r="BN42" i="39"/>
  <c r="BH42" i="39"/>
  <c r="BE42" i="39"/>
  <c r="BB42" i="39"/>
  <c r="AY42" i="39"/>
  <c r="AV42" i="39"/>
  <c r="AS42" i="39"/>
  <c r="AM42" i="39"/>
  <c r="AJ42" i="39"/>
  <c r="AG42" i="39"/>
  <c r="AD42" i="39"/>
  <c r="CX41" i="39"/>
  <c r="CU41" i="39"/>
  <c r="CR41" i="39"/>
  <c r="CO41" i="39"/>
  <c r="CL41" i="39"/>
  <c r="CI41" i="39"/>
  <c r="CC41" i="39"/>
  <c r="BZ41" i="39"/>
  <c r="BW41" i="39"/>
  <c r="BT41" i="39"/>
  <c r="BQ41" i="39"/>
  <c r="BN41" i="39"/>
  <c r="BH41" i="39"/>
  <c r="BE41" i="39"/>
  <c r="BB41" i="39"/>
  <c r="AY41" i="39"/>
  <c r="AV41" i="39"/>
  <c r="AS41" i="39"/>
  <c r="AM41" i="39"/>
  <c r="AJ41" i="39"/>
  <c r="AG41" i="39"/>
  <c r="AD41" i="39"/>
  <c r="CX40" i="39"/>
  <c r="CU40" i="39"/>
  <c r="CR40" i="39"/>
  <c r="CO40" i="39"/>
  <c r="CL40" i="39"/>
  <c r="CI40" i="39"/>
  <c r="CC40" i="39"/>
  <c r="BZ40" i="39"/>
  <c r="BW40" i="39"/>
  <c r="BT40" i="39"/>
  <c r="BQ40" i="39"/>
  <c r="BN40" i="39"/>
  <c r="BH40" i="39"/>
  <c r="BE40" i="39"/>
  <c r="BB40" i="39"/>
  <c r="AY40" i="39"/>
  <c r="AV40" i="39"/>
  <c r="AS40" i="39"/>
  <c r="AM40" i="39"/>
  <c r="AJ40" i="39"/>
  <c r="AG40" i="39"/>
  <c r="AD40" i="39"/>
  <c r="CX39" i="39"/>
  <c r="CU39" i="39"/>
  <c r="CR39" i="39"/>
  <c r="CO39" i="39"/>
  <c r="CL39" i="39"/>
  <c r="CI39" i="39"/>
  <c r="CC39" i="39"/>
  <c r="BZ39" i="39"/>
  <c r="BW39" i="39"/>
  <c r="BT39" i="39"/>
  <c r="BQ39" i="39"/>
  <c r="BN39" i="39"/>
  <c r="BH39" i="39"/>
  <c r="BE39" i="39"/>
  <c r="BB39" i="39"/>
  <c r="AY39" i="39"/>
  <c r="AV39" i="39"/>
  <c r="AS39" i="39"/>
  <c r="AM39" i="39"/>
  <c r="AJ39" i="39"/>
  <c r="AG39" i="39"/>
  <c r="AD39" i="39"/>
  <c r="CX38" i="39"/>
  <c r="CU38" i="39"/>
  <c r="CR38" i="39"/>
  <c r="CO38" i="39"/>
  <c r="CL38" i="39"/>
  <c r="CI38" i="39"/>
  <c r="CC38" i="39"/>
  <c r="BZ38" i="39"/>
  <c r="BW38" i="39"/>
  <c r="BT38" i="39"/>
  <c r="BQ38" i="39"/>
  <c r="BN38" i="39"/>
  <c r="BH38" i="39"/>
  <c r="BE38" i="39"/>
  <c r="BB38" i="39"/>
  <c r="AY38" i="39"/>
  <c r="AV38" i="39"/>
  <c r="AS38" i="39"/>
  <c r="AM38" i="39"/>
  <c r="AJ38" i="39"/>
  <c r="AG38" i="39"/>
  <c r="AD38" i="39"/>
  <c r="CX37" i="39"/>
  <c r="CU37" i="39"/>
  <c r="CR37" i="39"/>
  <c r="CO37" i="39"/>
  <c r="CL37" i="39"/>
  <c r="CI37" i="39"/>
  <c r="CC37" i="39"/>
  <c r="BZ37" i="39"/>
  <c r="BW37" i="39"/>
  <c r="BT37" i="39"/>
  <c r="BQ37" i="39"/>
  <c r="BN37" i="39"/>
  <c r="BH37" i="39"/>
  <c r="BE37" i="39"/>
  <c r="BB37" i="39"/>
  <c r="AY37" i="39"/>
  <c r="AV37" i="39"/>
  <c r="AS37" i="39"/>
  <c r="AM37" i="39"/>
  <c r="AJ37" i="39"/>
  <c r="AG37" i="39"/>
  <c r="AD37" i="39"/>
  <c r="CX36" i="39"/>
  <c r="CU36" i="39"/>
  <c r="CR36" i="39"/>
  <c r="CO36" i="39"/>
  <c r="CL36" i="39"/>
  <c r="CI36" i="39"/>
  <c r="CC36" i="39"/>
  <c r="BZ36" i="39"/>
  <c r="BW36" i="39"/>
  <c r="BT36" i="39"/>
  <c r="BQ36" i="39"/>
  <c r="BN36" i="39"/>
  <c r="BH36" i="39"/>
  <c r="BE36" i="39"/>
  <c r="BB36" i="39"/>
  <c r="AY36" i="39"/>
  <c r="AV36" i="39"/>
  <c r="AS36" i="39"/>
  <c r="AM36" i="39"/>
  <c r="AJ36" i="39"/>
  <c r="AG36" i="39"/>
  <c r="AD36" i="39"/>
  <c r="CX35" i="39"/>
  <c r="CU35" i="39"/>
  <c r="CR35" i="39"/>
  <c r="CO35" i="39"/>
  <c r="CL35" i="39"/>
  <c r="CI35" i="39"/>
  <c r="CC35" i="39"/>
  <c r="BZ35" i="39"/>
  <c r="BW35" i="39"/>
  <c r="BT35" i="39"/>
  <c r="BQ35" i="39"/>
  <c r="BN35" i="39"/>
  <c r="BH35" i="39"/>
  <c r="BE35" i="39"/>
  <c r="BB35" i="39"/>
  <c r="AY35" i="39"/>
  <c r="AV35" i="39"/>
  <c r="AS35" i="39"/>
  <c r="AM35" i="39"/>
  <c r="AJ35" i="39"/>
  <c r="AG35" i="39"/>
  <c r="AD35" i="39"/>
  <c r="CX34" i="39"/>
  <c r="CU34" i="39"/>
  <c r="CR34" i="39"/>
  <c r="CO34" i="39"/>
  <c r="CL34" i="39"/>
  <c r="CI34" i="39"/>
  <c r="CC34" i="39"/>
  <c r="BZ34" i="39"/>
  <c r="BW34" i="39"/>
  <c r="BT34" i="39"/>
  <c r="BQ34" i="39"/>
  <c r="BN34" i="39"/>
  <c r="BH34" i="39"/>
  <c r="BE34" i="39"/>
  <c r="BB34" i="39"/>
  <c r="AY34" i="39"/>
  <c r="AV34" i="39"/>
  <c r="AS34" i="39"/>
  <c r="AM34" i="39"/>
  <c r="AJ34" i="39"/>
  <c r="AG34" i="39"/>
  <c r="AD34" i="39"/>
  <c r="CX33" i="39"/>
  <c r="CU33" i="39"/>
  <c r="CR33" i="39"/>
  <c r="CO33" i="39"/>
  <c r="CL33" i="39"/>
  <c r="CI33" i="39"/>
  <c r="CC33" i="39"/>
  <c r="BZ33" i="39"/>
  <c r="BW33" i="39"/>
  <c r="BT33" i="39"/>
  <c r="BQ33" i="39"/>
  <c r="BN33" i="39"/>
  <c r="BH33" i="39"/>
  <c r="BE33" i="39"/>
  <c r="BB33" i="39"/>
  <c r="AY33" i="39"/>
  <c r="AV33" i="39"/>
  <c r="AS33" i="39"/>
  <c r="AM33" i="39"/>
  <c r="AJ33" i="39"/>
  <c r="AG33" i="39"/>
  <c r="AD33" i="39"/>
  <c r="CX32" i="39"/>
  <c r="CU32" i="39"/>
  <c r="CR32" i="39"/>
  <c r="CO32" i="39"/>
  <c r="CL32" i="39"/>
  <c r="CI32" i="39"/>
  <c r="CC32" i="39"/>
  <c r="BZ32" i="39"/>
  <c r="BW32" i="39"/>
  <c r="BT32" i="39"/>
  <c r="BQ32" i="39"/>
  <c r="BN32" i="39"/>
  <c r="BH32" i="39"/>
  <c r="BE32" i="39"/>
  <c r="BB32" i="39"/>
  <c r="AY32" i="39"/>
  <c r="AV32" i="39"/>
  <c r="AS32" i="39"/>
  <c r="AM32" i="39"/>
  <c r="AJ32" i="39"/>
  <c r="AG32" i="39"/>
  <c r="AD32" i="39"/>
  <c r="CX31" i="39"/>
  <c r="CU31" i="39"/>
  <c r="CR31" i="39"/>
  <c r="CO31" i="39"/>
  <c r="CL31" i="39"/>
  <c r="CI31" i="39"/>
  <c r="CC31" i="39"/>
  <c r="BZ31" i="39"/>
  <c r="BW31" i="39"/>
  <c r="BT31" i="39"/>
  <c r="BQ31" i="39"/>
  <c r="BN31" i="39"/>
  <c r="BH31" i="39"/>
  <c r="BE31" i="39"/>
  <c r="BB31" i="39"/>
  <c r="AY31" i="39"/>
  <c r="AV31" i="39"/>
  <c r="AS31" i="39"/>
  <c r="AM31" i="39"/>
  <c r="AJ31" i="39"/>
  <c r="AG31" i="39"/>
  <c r="AD31" i="39"/>
  <c r="CX30" i="39"/>
  <c r="CU30" i="39"/>
  <c r="CR30" i="39"/>
  <c r="CO30" i="39"/>
  <c r="CL30" i="39"/>
  <c r="CI30" i="39"/>
  <c r="CC30" i="39"/>
  <c r="BZ30" i="39"/>
  <c r="BW30" i="39"/>
  <c r="BT30" i="39"/>
  <c r="BQ30" i="39"/>
  <c r="BN30" i="39"/>
  <c r="BH30" i="39"/>
  <c r="BE30" i="39"/>
  <c r="BB30" i="39"/>
  <c r="AY30" i="39"/>
  <c r="AV30" i="39"/>
  <c r="AS30" i="39"/>
  <c r="AM30" i="39"/>
  <c r="AJ30" i="39"/>
  <c r="AG30" i="39"/>
  <c r="AD30" i="39"/>
  <c r="CX29" i="39"/>
  <c r="CU29" i="39"/>
  <c r="CR29" i="39"/>
  <c r="CO29" i="39"/>
  <c r="CL29" i="39"/>
  <c r="CI29" i="39"/>
  <c r="CC29" i="39"/>
  <c r="BZ29" i="39"/>
  <c r="BW29" i="39"/>
  <c r="BT29" i="39"/>
  <c r="BQ29" i="39"/>
  <c r="BN29" i="39"/>
  <c r="BH29" i="39"/>
  <c r="BE29" i="39"/>
  <c r="BB29" i="39"/>
  <c r="AY29" i="39"/>
  <c r="AV29" i="39"/>
  <c r="AS29" i="39"/>
  <c r="AM29" i="39"/>
  <c r="AJ29" i="39"/>
  <c r="AG29" i="39"/>
  <c r="AD29" i="39"/>
  <c r="CX28" i="39"/>
  <c r="CU28" i="39"/>
  <c r="CR28" i="39"/>
  <c r="CO28" i="39"/>
  <c r="CL28" i="39"/>
  <c r="CI28" i="39"/>
  <c r="CC28" i="39"/>
  <c r="BZ28" i="39"/>
  <c r="BW28" i="39"/>
  <c r="BT28" i="39"/>
  <c r="BQ28" i="39"/>
  <c r="BN28" i="39"/>
  <c r="BH28" i="39"/>
  <c r="BE28" i="39"/>
  <c r="BB28" i="39"/>
  <c r="AY28" i="39"/>
  <c r="AV28" i="39"/>
  <c r="AS28" i="39"/>
  <c r="AM28" i="39"/>
  <c r="AJ28" i="39"/>
  <c r="AG28" i="39"/>
  <c r="AD28" i="39"/>
  <c r="CX27" i="39"/>
  <c r="CU27" i="39"/>
  <c r="CR27" i="39"/>
  <c r="CO27" i="39"/>
  <c r="CL27" i="39"/>
  <c r="CI27" i="39"/>
  <c r="CC27" i="39"/>
  <c r="BZ27" i="39"/>
  <c r="BW27" i="39"/>
  <c r="BT27" i="39"/>
  <c r="BQ27" i="39"/>
  <c r="BN27" i="39"/>
  <c r="BH27" i="39"/>
  <c r="BE27" i="39"/>
  <c r="BB27" i="39"/>
  <c r="AY27" i="39"/>
  <c r="AV27" i="39"/>
  <c r="AS27" i="39"/>
  <c r="AM27" i="39"/>
  <c r="AJ27" i="39"/>
  <c r="AG27" i="39"/>
  <c r="AD27" i="39"/>
  <c r="CX26" i="39"/>
  <c r="CU26" i="39"/>
  <c r="CR26" i="39"/>
  <c r="CO26" i="39"/>
  <c r="CL26" i="39"/>
  <c r="CI26" i="39"/>
  <c r="CC26" i="39"/>
  <c r="BZ26" i="39"/>
  <c r="BW26" i="39"/>
  <c r="BT26" i="39"/>
  <c r="BQ26" i="39"/>
  <c r="BN26" i="39"/>
  <c r="BH26" i="39"/>
  <c r="BE26" i="39"/>
  <c r="BB26" i="39"/>
  <c r="AY26" i="39"/>
  <c r="AV26" i="39"/>
  <c r="AS26" i="39"/>
  <c r="AM26" i="39"/>
  <c r="AJ26" i="39"/>
  <c r="AG26" i="39"/>
  <c r="AD26" i="39"/>
  <c r="CX25" i="39"/>
  <c r="CU25" i="39"/>
  <c r="CR25" i="39"/>
  <c r="CO25" i="39"/>
  <c r="CL25" i="39"/>
  <c r="CI25" i="39"/>
  <c r="CC25" i="39"/>
  <c r="BZ25" i="39"/>
  <c r="BW25" i="39"/>
  <c r="BT25" i="39"/>
  <c r="BQ25" i="39"/>
  <c r="BN25" i="39"/>
  <c r="BH25" i="39"/>
  <c r="BE25" i="39"/>
  <c r="BB25" i="39"/>
  <c r="AY25" i="39"/>
  <c r="AV25" i="39"/>
  <c r="AS25" i="39"/>
  <c r="AM25" i="39"/>
  <c r="AJ25" i="39"/>
  <c r="AG25" i="39"/>
  <c r="AD25" i="39"/>
  <c r="CX24" i="39"/>
  <c r="CU24" i="39"/>
  <c r="CR24" i="39"/>
  <c r="CO24" i="39"/>
  <c r="CL24" i="39"/>
  <c r="CI24" i="39"/>
  <c r="CC24" i="39"/>
  <c r="BZ24" i="39"/>
  <c r="BW24" i="39"/>
  <c r="BT24" i="39"/>
  <c r="BQ24" i="39"/>
  <c r="BN24" i="39"/>
  <c r="BH24" i="39"/>
  <c r="BE24" i="39"/>
  <c r="BB24" i="39"/>
  <c r="AY24" i="39"/>
  <c r="AV24" i="39"/>
  <c r="AS24" i="39"/>
  <c r="AM24" i="39"/>
  <c r="AJ24" i="39"/>
  <c r="AG24" i="39"/>
  <c r="AD24" i="39"/>
  <c r="CX23" i="39"/>
  <c r="CU23" i="39"/>
  <c r="CR23" i="39"/>
  <c r="CO23" i="39"/>
  <c r="CL23" i="39"/>
  <c r="CI23" i="39"/>
  <c r="CC23" i="39"/>
  <c r="BZ23" i="39"/>
  <c r="BW23" i="39"/>
  <c r="BT23" i="39"/>
  <c r="BQ23" i="39"/>
  <c r="BN23" i="39"/>
  <c r="BH23" i="39"/>
  <c r="BE23" i="39"/>
  <c r="BB23" i="39"/>
  <c r="AY23" i="39"/>
  <c r="AV23" i="39"/>
  <c r="AS23" i="39"/>
  <c r="AM23" i="39"/>
  <c r="AJ23" i="39"/>
  <c r="AG23" i="39"/>
  <c r="AD23" i="39"/>
  <c r="CX22" i="39"/>
  <c r="CU22" i="39"/>
  <c r="CR22" i="39"/>
  <c r="CO22" i="39"/>
  <c r="CL22" i="39"/>
  <c r="CI22" i="39"/>
  <c r="CC22" i="39"/>
  <c r="BZ22" i="39"/>
  <c r="BW22" i="39"/>
  <c r="BT22" i="39"/>
  <c r="BQ22" i="39"/>
  <c r="BN22" i="39"/>
  <c r="BH22" i="39"/>
  <c r="BE22" i="39"/>
  <c r="BB22" i="39"/>
  <c r="AY22" i="39"/>
  <c r="AV22" i="39"/>
  <c r="AS22" i="39"/>
  <c r="AM22" i="39"/>
  <c r="AJ22" i="39"/>
  <c r="AG22" i="39"/>
  <c r="AD22" i="39"/>
  <c r="CX21" i="39"/>
  <c r="CU21" i="39"/>
  <c r="CR21" i="39"/>
  <c r="CO21" i="39"/>
  <c r="CL21" i="39"/>
  <c r="CI21" i="39"/>
  <c r="CC21" i="39"/>
  <c r="BZ21" i="39"/>
  <c r="BW21" i="39"/>
  <c r="BT21" i="39"/>
  <c r="BQ21" i="39"/>
  <c r="BN21" i="39"/>
  <c r="BH21" i="39"/>
  <c r="BE21" i="39"/>
  <c r="BB21" i="39"/>
  <c r="AY21" i="39"/>
  <c r="AV21" i="39"/>
  <c r="AS21" i="39"/>
  <c r="AM21" i="39"/>
  <c r="AJ21" i="39"/>
  <c r="AG21" i="39"/>
  <c r="AD21" i="39"/>
  <c r="CX20" i="39"/>
  <c r="CU20" i="39"/>
  <c r="CR20" i="39"/>
  <c r="CO20" i="39"/>
  <c r="CL20" i="39"/>
  <c r="CI20" i="39"/>
  <c r="CC20" i="39"/>
  <c r="BZ20" i="39"/>
  <c r="BW20" i="39"/>
  <c r="BT20" i="39"/>
  <c r="BQ20" i="39"/>
  <c r="BN20" i="39"/>
  <c r="BH20" i="39"/>
  <c r="BE20" i="39"/>
  <c r="BB20" i="39"/>
  <c r="AY20" i="39"/>
  <c r="AV20" i="39"/>
  <c r="AS20" i="39"/>
  <c r="AM20" i="39"/>
  <c r="AJ20" i="39"/>
  <c r="AG20" i="39"/>
  <c r="AD20" i="39"/>
  <c r="CX19" i="39"/>
  <c r="CU19" i="39"/>
  <c r="CR19" i="39"/>
  <c r="CO19" i="39"/>
  <c r="CL19" i="39"/>
  <c r="CI19" i="39"/>
  <c r="CC19" i="39"/>
  <c r="BZ19" i="39"/>
  <c r="BW19" i="39"/>
  <c r="BT19" i="39"/>
  <c r="BQ19" i="39"/>
  <c r="BN19" i="39"/>
  <c r="BH19" i="39"/>
  <c r="BE19" i="39"/>
  <c r="BB19" i="39"/>
  <c r="AY19" i="39"/>
  <c r="AV19" i="39"/>
  <c r="AS19" i="39"/>
  <c r="AM19" i="39"/>
  <c r="AJ19" i="39"/>
  <c r="AG19" i="39"/>
  <c r="AD19" i="39"/>
  <c r="CX18" i="39"/>
  <c r="CU18" i="39"/>
  <c r="CR18" i="39"/>
  <c r="CO18" i="39"/>
  <c r="CL18" i="39"/>
  <c r="CI18" i="39"/>
  <c r="CC18" i="39"/>
  <c r="BZ18" i="39"/>
  <c r="BW18" i="39"/>
  <c r="BT18" i="39"/>
  <c r="BQ18" i="39"/>
  <c r="BN18" i="39"/>
  <c r="BH18" i="39"/>
  <c r="BE18" i="39"/>
  <c r="BB18" i="39"/>
  <c r="AY18" i="39"/>
  <c r="AV18" i="39"/>
  <c r="AS18" i="39"/>
  <c r="AM18" i="39"/>
  <c r="AJ18" i="39"/>
  <c r="AG18" i="39"/>
  <c r="AD18" i="39"/>
  <c r="CX17" i="39"/>
  <c r="CU17" i="39"/>
  <c r="CR17" i="39"/>
  <c r="CO17" i="39"/>
  <c r="CL17" i="39"/>
  <c r="CI17" i="39"/>
  <c r="CC17" i="39"/>
  <c r="BZ17" i="39"/>
  <c r="BW17" i="39"/>
  <c r="BT17" i="39"/>
  <c r="BQ17" i="39"/>
  <c r="BN17" i="39"/>
  <c r="BH17" i="39"/>
  <c r="BE17" i="39"/>
  <c r="BB17" i="39"/>
  <c r="AY17" i="39"/>
  <c r="AV17" i="39"/>
  <c r="AS17" i="39"/>
  <c r="AM17" i="39"/>
  <c r="AJ17" i="39"/>
  <c r="AG17" i="39"/>
  <c r="AD17" i="39"/>
  <c r="CX16" i="39"/>
  <c r="CU16" i="39"/>
  <c r="CR16" i="39"/>
  <c r="CO16" i="39"/>
  <c r="CL16" i="39"/>
  <c r="CI16" i="39"/>
  <c r="CC16" i="39"/>
  <c r="BZ16" i="39"/>
  <c r="BW16" i="39"/>
  <c r="BT16" i="39"/>
  <c r="BQ16" i="39"/>
  <c r="BN16" i="39"/>
  <c r="BH16" i="39"/>
  <c r="BE16" i="39"/>
  <c r="BB16" i="39"/>
  <c r="AY16" i="39"/>
  <c r="AV16" i="39"/>
  <c r="AS16" i="39"/>
  <c r="AM16" i="39"/>
  <c r="AJ16" i="39"/>
  <c r="AG16" i="39"/>
  <c r="AD16" i="39"/>
  <c r="CX15" i="39"/>
  <c r="CU15" i="39"/>
  <c r="CR15" i="39"/>
  <c r="CO15" i="39"/>
  <c r="CL15" i="39"/>
  <c r="CI15" i="39"/>
  <c r="CC15" i="39"/>
  <c r="BZ15" i="39"/>
  <c r="BW15" i="39"/>
  <c r="BT15" i="39"/>
  <c r="BQ15" i="39"/>
  <c r="BN15" i="39"/>
  <c r="BH15" i="39"/>
  <c r="BE15" i="39"/>
  <c r="BB15" i="39"/>
  <c r="AY15" i="39"/>
  <c r="AV15" i="39"/>
  <c r="AS15" i="39"/>
  <c r="AM15" i="39"/>
  <c r="AJ15" i="39"/>
  <c r="AG15" i="39"/>
  <c r="AD15" i="39"/>
  <c r="CX14" i="39"/>
  <c r="CU14" i="39"/>
  <c r="CR14" i="39"/>
  <c r="CO14" i="39"/>
  <c r="CL14" i="39"/>
  <c r="CI14" i="39"/>
  <c r="CC14" i="39"/>
  <c r="BZ14" i="39"/>
  <c r="BW14" i="39"/>
  <c r="BT14" i="39"/>
  <c r="BQ14" i="39"/>
  <c r="BN14" i="39"/>
  <c r="BH14" i="39"/>
  <c r="BE14" i="39"/>
  <c r="BB14" i="39"/>
  <c r="AY14" i="39"/>
  <c r="AV14" i="39"/>
  <c r="AS14" i="39"/>
  <c r="AM14" i="39"/>
  <c r="AJ14" i="39"/>
  <c r="AG14" i="39"/>
  <c r="AD14" i="39"/>
  <c r="CX13" i="39"/>
  <c r="CU13" i="39"/>
  <c r="CR13" i="39"/>
  <c r="CO13" i="39"/>
  <c r="CL13" i="39"/>
  <c r="CI13" i="39"/>
  <c r="CC13" i="39"/>
  <c r="BZ13" i="39"/>
  <c r="BW13" i="39"/>
  <c r="BT13" i="39"/>
  <c r="BQ13" i="39"/>
  <c r="BN13" i="39"/>
  <c r="BH13" i="39"/>
  <c r="BE13" i="39"/>
  <c r="BB13" i="39"/>
  <c r="AY13" i="39"/>
  <c r="AV13" i="39"/>
  <c r="AS13" i="39"/>
  <c r="AM13" i="39"/>
  <c r="AJ13" i="39"/>
  <c r="AG13" i="39"/>
  <c r="AD13" i="39"/>
  <c r="CX12" i="39"/>
  <c r="CU12" i="39"/>
  <c r="CR12" i="39"/>
  <c r="CO12" i="39"/>
  <c r="CL12" i="39"/>
  <c r="CL271" i="39" s="1"/>
  <c r="CI12" i="39"/>
  <c r="CC12" i="39"/>
  <c r="BZ12" i="39"/>
  <c r="BW12" i="39"/>
  <c r="BT12" i="39"/>
  <c r="BQ12" i="39"/>
  <c r="BN12" i="39"/>
  <c r="BH12" i="39"/>
  <c r="BE12" i="39"/>
  <c r="BB12" i="39"/>
  <c r="AY12" i="39"/>
  <c r="AV12" i="39"/>
  <c r="AS12" i="39"/>
  <c r="AM12" i="39"/>
  <c r="AJ12" i="39"/>
  <c r="AG12" i="39"/>
  <c r="AD12" i="39"/>
  <c r="CX11" i="39"/>
  <c r="CU11" i="39"/>
  <c r="CR11" i="39"/>
  <c r="CO11" i="39"/>
  <c r="CL11" i="39"/>
  <c r="CI11" i="39"/>
  <c r="CC11" i="39"/>
  <c r="BZ11" i="39"/>
  <c r="BW11" i="39"/>
  <c r="BS11" i="39"/>
  <c r="BT11" i="39" s="1"/>
  <c r="BQ11" i="39"/>
  <c r="BN11" i="39"/>
  <c r="BH11" i="39"/>
  <c r="BE11" i="39"/>
  <c r="BB11" i="39"/>
  <c r="AY11" i="39"/>
  <c r="AV11" i="39"/>
  <c r="AS11" i="39"/>
  <c r="AM11" i="39"/>
  <c r="AJ11" i="39"/>
  <c r="AG11" i="39"/>
  <c r="AD11" i="39"/>
  <c r="CX10" i="39"/>
  <c r="CU10" i="39"/>
  <c r="CR10" i="39"/>
  <c r="CO10" i="39"/>
  <c r="CL10" i="39"/>
  <c r="CI10" i="39"/>
  <c r="CC10" i="39"/>
  <c r="BZ10" i="39"/>
  <c r="BW10" i="39"/>
  <c r="BT10" i="39"/>
  <c r="BQ10" i="39"/>
  <c r="BN10" i="39"/>
  <c r="BH10" i="39"/>
  <c r="BE10" i="39"/>
  <c r="BB10" i="39"/>
  <c r="AY10" i="39"/>
  <c r="AV10" i="39"/>
  <c r="AS10" i="39"/>
  <c r="AM10" i="39"/>
  <c r="AJ10" i="39"/>
  <c r="AG10" i="39"/>
  <c r="AD10" i="39"/>
  <c r="CX9" i="39"/>
  <c r="CU9" i="39"/>
  <c r="CR9" i="39"/>
  <c r="CO9" i="39"/>
  <c r="CL9" i="39"/>
  <c r="CI9" i="39"/>
  <c r="CC9" i="39"/>
  <c r="BZ9" i="39"/>
  <c r="BW9" i="39"/>
  <c r="BT9" i="39"/>
  <c r="BQ9" i="39"/>
  <c r="BN9" i="39"/>
  <c r="BH9" i="39"/>
  <c r="BE9" i="39"/>
  <c r="BB9" i="39"/>
  <c r="AY9" i="39"/>
  <c r="AV9" i="39"/>
  <c r="AS9" i="39"/>
  <c r="AM9" i="39"/>
  <c r="AJ9" i="39"/>
  <c r="AG9" i="39"/>
  <c r="AD9" i="39"/>
  <c r="CX8" i="39"/>
  <c r="CU8" i="39"/>
  <c r="CR8" i="39"/>
  <c r="CO8" i="39"/>
  <c r="CL8" i="39"/>
  <c r="CI8" i="39"/>
  <c r="CC8" i="39"/>
  <c r="BZ8" i="39"/>
  <c r="BW8" i="39"/>
  <c r="BT8" i="39"/>
  <c r="BQ8" i="39"/>
  <c r="BN8" i="39"/>
  <c r="BH8" i="39"/>
  <c r="BE8" i="39"/>
  <c r="BB8" i="39"/>
  <c r="AY8" i="39"/>
  <c r="AV8" i="39"/>
  <c r="AS8" i="39"/>
  <c r="AM8" i="39"/>
  <c r="AJ8" i="39"/>
  <c r="AG8" i="39"/>
  <c r="AD8" i="39"/>
  <c r="CX7" i="39"/>
  <c r="CU7" i="39"/>
  <c r="CR7" i="39"/>
  <c r="CO7" i="39"/>
  <c r="CL7" i="39"/>
  <c r="CI7" i="39"/>
  <c r="CC7" i="39"/>
  <c r="CC271" i="39" s="1"/>
  <c r="BZ7" i="39"/>
  <c r="BW7" i="39"/>
  <c r="BT7" i="39"/>
  <c r="BQ7" i="39"/>
  <c r="BN7" i="39"/>
  <c r="BN271" i="39" s="1"/>
  <c r="BH7" i="39"/>
  <c r="BE7" i="39"/>
  <c r="BB7" i="39"/>
  <c r="AY7" i="39"/>
  <c r="AV7" i="39"/>
  <c r="AS7" i="39"/>
  <c r="AM7" i="39"/>
  <c r="AJ7" i="39"/>
  <c r="AG7" i="39"/>
  <c r="AD7" i="39"/>
  <c r="CX6" i="39"/>
  <c r="CU6" i="39"/>
  <c r="CR6" i="39"/>
  <c r="CO6" i="39"/>
  <c r="CL6" i="39"/>
  <c r="CI6" i="39"/>
  <c r="CC6" i="39"/>
  <c r="BZ6" i="39"/>
  <c r="BW6" i="39"/>
  <c r="BT6" i="39"/>
  <c r="BQ6" i="39"/>
  <c r="BN6" i="39"/>
  <c r="BH6" i="39"/>
  <c r="BE6" i="39"/>
  <c r="BB6" i="39"/>
  <c r="AY6" i="39"/>
  <c r="AV6" i="39"/>
  <c r="AS6" i="39"/>
  <c r="AM6" i="39"/>
  <c r="AJ6" i="39"/>
  <c r="AG6" i="39"/>
  <c r="AD6" i="39"/>
  <c r="CX5" i="39"/>
  <c r="CX271" i="39" s="1"/>
  <c r="CU5" i="39"/>
  <c r="CR5" i="39"/>
  <c r="CO5" i="39"/>
  <c r="CL5" i="39"/>
  <c r="CI5" i="39"/>
  <c r="CC5" i="39"/>
  <c r="BZ5" i="39"/>
  <c r="BW5" i="39"/>
  <c r="BT5" i="39"/>
  <c r="BQ5" i="39"/>
  <c r="BN5" i="39"/>
  <c r="BH5" i="39"/>
  <c r="BE5" i="39"/>
  <c r="BB5" i="39"/>
  <c r="AY5" i="39"/>
  <c r="AV5" i="39"/>
  <c r="AS5" i="39"/>
  <c r="AM5" i="39"/>
  <c r="AJ5" i="39"/>
  <c r="AG5" i="39"/>
  <c r="AD5" i="39"/>
  <c r="H589" i="37"/>
  <c r="T588" i="37"/>
  <c r="L588" i="37"/>
  <c r="K588" i="37"/>
  <c r="G588" i="37"/>
  <c r="H587" i="37"/>
  <c r="O586" i="37"/>
  <c r="O585" i="37"/>
  <c r="T584" i="37"/>
  <c r="T583" i="37"/>
  <c r="O583" i="37"/>
  <c r="H583" i="37"/>
  <c r="H582" i="37"/>
  <c r="T581" i="37"/>
  <c r="L581" i="37"/>
  <c r="K581" i="37"/>
  <c r="G581" i="37"/>
  <c r="T580" i="37"/>
  <c r="L580" i="37"/>
  <c r="K580" i="37"/>
  <c r="G580" i="37"/>
  <c r="T579" i="37"/>
  <c r="O579" i="37"/>
  <c r="N579" i="37"/>
  <c r="M579" i="37"/>
  <c r="L579" i="37"/>
  <c r="K579" i="37"/>
  <c r="H579" i="37"/>
  <c r="G579" i="37"/>
  <c r="H578" i="37"/>
  <c r="U577" i="37"/>
  <c r="T577" i="37"/>
  <c r="N577" i="37"/>
  <c r="M577" i="37"/>
  <c r="L577" i="37"/>
  <c r="K577" i="37"/>
  <c r="T576" i="37"/>
  <c r="N576" i="37"/>
  <c r="M576" i="37"/>
  <c r="L576" i="37"/>
  <c r="K576" i="37"/>
  <c r="H576" i="37"/>
  <c r="T575" i="37"/>
  <c r="L575" i="37"/>
  <c r="K575" i="37"/>
  <c r="G575" i="37"/>
  <c r="T573" i="37"/>
  <c r="O573" i="37"/>
  <c r="L573" i="37"/>
  <c r="K573" i="37"/>
  <c r="G573" i="37"/>
  <c r="T571" i="37"/>
  <c r="N571" i="37"/>
  <c r="M571" i="37"/>
  <c r="L571" i="37"/>
  <c r="K571" i="37"/>
  <c r="G571" i="37"/>
  <c r="H570" i="37"/>
  <c r="T569" i="37"/>
  <c r="N569" i="37"/>
  <c r="M569" i="37"/>
  <c r="L569" i="37"/>
  <c r="K569" i="37"/>
  <c r="H568" i="37"/>
  <c r="H567" i="37"/>
  <c r="U566" i="37"/>
  <c r="T566" i="37"/>
  <c r="N566" i="37"/>
  <c r="M566" i="37"/>
  <c r="L566" i="37"/>
  <c r="K566" i="37"/>
  <c r="G566" i="37"/>
  <c r="H564" i="37"/>
  <c r="V563" i="37"/>
  <c r="U563" i="37"/>
  <c r="T563" i="37"/>
  <c r="L563" i="37"/>
  <c r="K563" i="37"/>
  <c r="H562" i="37"/>
  <c r="U561" i="37"/>
  <c r="T561" i="37"/>
  <c r="N561" i="37"/>
  <c r="M561" i="37"/>
  <c r="L561" i="37"/>
  <c r="K561" i="37"/>
  <c r="G561" i="37"/>
  <c r="H560" i="37"/>
  <c r="U559" i="37"/>
  <c r="T559" i="37"/>
  <c r="N559" i="37"/>
  <c r="M559" i="37"/>
  <c r="L559" i="37"/>
  <c r="K559" i="37"/>
  <c r="G559" i="37"/>
  <c r="U558" i="37"/>
  <c r="T558" i="37"/>
  <c r="N558" i="37"/>
  <c r="N591" i="37" s="1"/>
  <c r="M558" i="37"/>
  <c r="L558" i="37"/>
  <c r="K558" i="37"/>
  <c r="H558" i="37"/>
  <c r="G558" i="37"/>
  <c r="U557" i="37"/>
  <c r="T557" i="37"/>
  <c r="N557" i="37"/>
  <c r="M557" i="37"/>
  <c r="M591" i="37" s="1"/>
  <c r="L557" i="37"/>
  <c r="K557" i="37"/>
  <c r="J557" i="37"/>
  <c r="J591" i="37" s="1"/>
  <c r="I557" i="37"/>
  <c r="I591" i="37" s="1"/>
  <c r="H557" i="37"/>
  <c r="G557" i="37"/>
  <c r="G591" i="37" s="1"/>
  <c r="Q556" i="37"/>
  <c r="Q555" i="37"/>
  <c r="P555" i="37"/>
  <c r="Q554" i="37"/>
  <c r="Q553" i="37"/>
  <c r="Q552" i="37"/>
  <c r="Q550" i="37"/>
  <c r="Q546" i="37"/>
  <c r="Q545" i="37"/>
  <c r="Q544" i="37"/>
  <c r="Q541" i="37"/>
  <c r="P541" i="37"/>
  <c r="O541" i="37"/>
  <c r="Q540" i="37"/>
  <c r="P540" i="37"/>
  <c r="Q539" i="37"/>
  <c r="P539" i="37"/>
  <c r="O539" i="37"/>
  <c r="Q537" i="37"/>
  <c r="P537" i="37"/>
  <c r="O537" i="37"/>
  <c r="Q536" i="37"/>
  <c r="P536" i="37"/>
  <c r="O536" i="37"/>
  <c r="S535" i="37"/>
  <c r="R535" i="37"/>
  <c r="Q535" i="37"/>
  <c r="P535" i="37"/>
  <c r="O535" i="37"/>
  <c r="Q534" i="37"/>
  <c r="Q532" i="37"/>
  <c r="Q531" i="37"/>
  <c r="Q530" i="37"/>
  <c r="Q528" i="37"/>
  <c r="Q524" i="37"/>
  <c r="Q523" i="37"/>
  <c r="Q522" i="37"/>
  <c r="Q519" i="37"/>
  <c r="P519" i="37"/>
  <c r="O519" i="37"/>
  <c r="Q517" i="37"/>
  <c r="P517" i="37"/>
  <c r="O517" i="37"/>
  <c r="Q515" i="37"/>
  <c r="P515" i="37"/>
  <c r="O515" i="37"/>
  <c r="Q514" i="37"/>
  <c r="P514" i="37"/>
  <c r="O514" i="37"/>
  <c r="Q513" i="37"/>
  <c r="P513" i="37"/>
  <c r="O513" i="37"/>
  <c r="Q512" i="37"/>
  <c r="Q511" i="37"/>
  <c r="Q510" i="37"/>
  <c r="Q509" i="37"/>
  <c r="Q508" i="37"/>
  <c r="Q507" i="37"/>
  <c r="Q503" i="37"/>
  <c r="Q502" i="37"/>
  <c r="Q501" i="37"/>
  <c r="Q499" i="37"/>
  <c r="P499" i="37"/>
  <c r="O499" i="37"/>
  <c r="P498" i="37"/>
  <c r="O498" i="37"/>
  <c r="Q496" i="37"/>
  <c r="P496" i="37"/>
  <c r="O496" i="37"/>
  <c r="Q494" i="37"/>
  <c r="P494" i="37"/>
  <c r="O494" i="37"/>
  <c r="Q493" i="37"/>
  <c r="P493" i="37"/>
  <c r="O493" i="37"/>
  <c r="Q492" i="37"/>
  <c r="P492" i="37"/>
  <c r="O492" i="37"/>
  <c r="Q491" i="37"/>
  <c r="Q490" i="37"/>
  <c r="P490" i="37"/>
  <c r="P586" i="37" s="1"/>
  <c r="Q489" i="37"/>
  <c r="P489" i="37"/>
  <c r="Q488" i="37"/>
  <c r="Q487" i="37"/>
  <c r="Q486" i="37"/>
  <c r="P486" i="37"/>
  <c r="Q482" i="37"/>
  <c r="Q481" i="37"/>
  <c r="Q480" i="37"/>
  <c r="Q478" i="37"/>
  <c r="P478" i="37"/>
  <c r="O478" i="37"/>
  <c r="Q477" i="37"/>
  <c r="P477" i="37"/>
  <c r="Q476" i="37"/>
  <c r="P476" i="37"/>
  <c r="O476" i="37"/>
  <c r="Q475" i="37"/>
  <c r="P475" i="37"/>
  <c r="O475" i="37"/>
  <c r="Q474" i="37"/>
  <c r="P474" i="37"/>
  <c r="O474" i="37"/>
  <c r="S473" i="37"/>
  <c r="Q473" i="37"/>
  <c r="P473" i="37"/>
  <c r="O473" i="37"/>
  <c r="Q472" i="37"/>
  <c r="Q471" i="37"/>
  <c r="P471" i="37"/>
  <c r="Q470" i="37"/>
  <c r="P470" i="37"/>
  <c r="Q469" i="37"/>
  <c r="Q468" i="37"/>
  <c r="Q467" i="37"/>
  <c r="P467" i="37"/>
  <c r="Q463" i="37"/>
  <c r="Q462" i="37"/>
  <c r="Q461" i="37"/>
  <c r="Q458" i="37"/>
  <c r="P458" i="37"/>
  <c r="O458" i="37"/>
  <c r="Q457" i="37"/>
  <c r="P457" i="37"/>
  <c r="Q456" i="37"/>
  <c r="P456" i="37"/>
  <c r="O456" i="37"/>
  <c r="Q455" i="37"/>
  <c r="P455" i="37"/>
  <c r="O455" i="37"/>
  <c r="Q454" i="37"/>
  <c r="P454" i="37"/>
  <c r="O454" i="37"/>
  <c r="S453" i="37"/>
  <c r="R453" i="37"/>
  <c r="Q453" i="37"/>
  <c r="P453" i="37"/>
  <c r="O453" i="37"/>
  <c r="Q452" i="37"/>
  <c r="Q451" i="37"/>
  <c r="Q450" i="37"/>
  <c r="Q449" i="37"/>
  <c r="Q448" i="37"/>
  <c r="Q447" i="37"/>
  <c r="V443" i="37"/>
  <c r="V463" i="37" s="1"/>
  <c r="V482" i="37" s="1"/>
  <c r="V503" i="37" s="1"/>
  <c r="V524" i="37" s="1"/>
  <c r="V546" i="37" s="1"/>
  <c r="V575" i="37" s="1"/>
  <c r="Q443" i="37"/>
  <c r="Q442" i="37"/>
  <c r="Q441" i="37"/>
  <c r="Q439" i="37"/>
  <c r="P439" i="37"/>
  <c r="O439" i="37"/>
  <c r="Q438" i="37"/>
  <c r="O438" i="37"/>
  <c r="Q436" i="37"/>
  <c r="P436" i="37"/>
  <c r="O436" i="37"/>
  <c r="Q435" i="37"/>
  <c r="P435" i="37"/>
  <c r="O435" i="37"/>
  <c r="Q434" i="37"/>
  <c r="P434" i="37"/>
  <c r="O434" i="37"/>
  <c r="R433" i="37"/>
  <c r="Q433" i="37"/>
  <c r="P433" i="37"/>
  <c r="O433" i="37"/>
  <c r="Q432" i="37"/>
  <c r="Q431" i="37"/>
  <c r="Q430" i="37"/>
  <c r="Q429" i="37"/>
  <c r="Q428" i="37"/>
  <c r="Q427" i="37"/>
  <c r="Q423" i="37"/>
  <c r="Q422" i="37"/>
  <c r="Q421" i="37"/>
  <c r="Q418" i="37"/>
  <c r="P418" i="37"/>
  <c r="O418" i="37"/>
  <c r="Q417" i="37"/>
  <c r="P417" i="37"/>
  <c r="O417" i="37"/>
  <c r="Q416" i="37"/>
  <c r="P416" i="37"/>
  <c r="O416" i="37"/>
  <c r="Q414" i="37"/>
  <c r="P414" i="37"/>
  <c r="O414" i="37"/>
  <c r="Q413" i="37"/>
  <c r="P413" i="37"/>
  <c r="O413" i="37"/>
  <c r="Q412" i="37"/>
  <c r="P412" i="37"/>
  <c r="O412" i="37"/>
  <c r="Q411" i="37"/>
  <c r="Q410" i="37"/>
  <c r="Q409" i="37"/>
  <c r="Q408" i="37"/>
  <c r="Q407" i="37"/>
  <c r="Q406" i="37"/>
  <c r="Q402" i="37"/>
  <c r="Q401" i="37"/>
  <c r="Q400" i="37"/>
  <c r="Q398" i="37"/>
  <c r="P398" i="37"/>
  <c r="O398" i="37"/>
  <c r="Q397" i="37"/>
  <c r="P397" i="37"/>
  <c r="Q396" i="37"/>
  <c r="P396" i="37"/>
  <c r="O396" i="37"/>
  <c r="Q395" i="37"/>
  <c r="P395" i="37"/>
  <c r="O395" i="37"/>
  <c r="Q394" i="37"/>
  <c r="P394" i="37"/>
  <c r="O394" i="37"/>
  <c r="S393" i="37"/>
  <c r="Q393" i="37"/>
  <c r="P393" i="37"/>
  <c r="O393" i="37"/>
  <c r="Q392" i="37"/>
  <c r="Q391" i="37"/>
  <c r="Q390" i="37"/>
  <c r="Q389" i="37"/>
  <c r="Q388" i="37"/>
  <c r="Q387" i="37"/>
  <c r="Q383" i="37"/>
  <c r="Q382" i="37"/>
  <c r="Q381" i="37"/>
  <c r="Q380" i="37"/>
  <c r="P380" i="37"/>
  <c r="O380" i="37"/>
  <c r="Q379" i="37"/>
  <c r="O379" i="37"/>
  <c r="Q378" i="37"/>
  <c r="P378" i="37"/>
  <c r="O378" i="37"/>
  <c r="Q377" i="37"/>
  <c r="P377" i="37"/>
  <c r="O377" i="37"/>
  <c r="Q376" i="37"/>
  <c r="P376" i="37"/>
  <c r="O376" i="37"/>
  <c r="Q375" i="37"/>
  <c r="P375" i="37"/>
  <c r="O375" i="37"/>
  <c r="Q374" i="37"/>
  <c r="P374" i="37"/>
  <c r="O374" i="37"/>
  <c r="Q373" i="37"/>
  <c r="Q371" i="37"/>
  <c r="Q370" i="37"/>
  <c r="Q369" i="37"/>
  <c r="Q368" i="37"/>
  <c r="Q367" i="37"/>
  <c r="Q363" i="37"/>
  <c r="Q362" i="37"/>
  <c r="Q361" i="37"/>
  <c r="Q360" i="37"/>
  <c r="P360" i="37"/>
  <c r="Q359" i="37"/>
  <c r="P359" i="37"/>
  <c r="O359" i="37"/>
  <c r="Q358" i="37"/>
  <c r="P358" i="37"/>
  <c r="Q356" i="37"/>
  <c r="P356" i="37"/>
  <c r="O356" i="37"/>
  <c r="Q355" i="37"/>
  <c r="P355" i="37"/>
  <c r="O355" i="37"/>
  <c r="Q354" i="37"/>
  <c r="P354" i="37"/>
  <c r="O354" i="37"/>
  <c r="Q353" i="37"/>
  <c r="P353" i="37"/>
  <c r="O353" i="37"/>
  <c r="Q352" i="37"/>
  <c r="Q351" i="37"/>
  <c r="Q350" i="37"/>
  <c r="Q349" i="37"/>
  <c r="Q348" i="37"/>
  <c r="Q347" i="37"/>
  <c r="O344" i="37"/>
  <c r="Q343" i="37"/>
  <c r="Q342" i="37"/>
  <c r="Q341" i="37"/>
  <c r="Q340" i="37"/>
  <c r="Q338" i="37"/>
  <c r="P338" i="37"/>
  <c r="O338" i="37"/>
  <c r="Q337" i="37"/>
  <c r="P337" i="37"/>
  <c r="O337" i="37"/>
  <c r="Q336" i="37"/>
  <c r="P336" i="37"/>
  <c r="O336" i="37"/>
  <c r="Q335" i="37"/>
  <c r="P335" i="37"/>
  <c r="O335" i="37"/>
  <c r="Q334" i="37"/>
  <c r="P334" i="37"/>
  <c r="O334" i="37"/>
  <c r="R333" i="37"/>
  <c r="Q333" i="37"/>
  <c r="P333" i="37"/>
  <c r="O333" i="37"/>
  <c r="Q332" i="37"/>
  <c r="Q330" i="37"/>
  <c r="Q329" i="37"/>
  <c r="Q328" i="37"/>
  <c r="O328" i="37"/>
  <c r="V328" i="37" s="1"/>
  <c r="Q327" i="37"/>
  <c r="O327" i="37"/>
  <c r="Q326" i="37"/>
  <c r="Q324" i="37"/>
  <c r="P324" i="37"/>
  <c r="O324" i="37"/>
  <c r="Q323" i="37"/>
  <c r="P323" i="37"/>
  <c r="Q322" i="37"/>
  <c r="Q321" i="37"/>
  <c r="Q320" i="37"/>
  <c r="Q319" i="37"/>
  <c r="Q318" i="37"/>
  <c r="P318" i="37"/>
  <c r="O318" i="37"/>
  <c r="Q317" i="37"/>
  <c r="P317" i="37"/>
  <c r="O317" i="37"/>
  <c r="Q316" i="37"/>
  <c r="P316" i="37"/>
  <c r="O316" i="37"/>
  <c r="H315" i="37"/>
  <c r="Q314" i="37"/>
  <c r="P314" i="37"/>
  <c r="O314" i="37"/>
  <c r="Q313" i="37"/>
  <c r="P313" i="37"/>
  <c r="O313" i="37"/>
  <c r="Q312" i="37"/>
  <c r="P312" i="37"/>
  <c r="O312" i="37"/>
  <c r="M312" i="37"/>
  <c r="H312" i="37"/>
  <c r="Q311" i="37"/>
  <c r="V309" i="37"/>
  <c r="V331" i="37" s="1"/>
  <c r="Q309" i="37"/>
  <c r="P309" i="37"/>
  <c r="O309" i="37"/>
  <c r="Q308" i="37"/>
  <c r="Q307" i="37"/>
  <c r="V306" i="37"/>
  <c r="Q306" i="37"/>
  <c r="P306" i="37"/>
  <c r="V305" i="37"/>
  <c r="Q305" i="37"/>
  <c r="P305" i="37"/>
  <c r="V304" i="37"/>
  <c r="V326" i="37" s="1"/>
  <c r="V347" i="37" s="1"/>
  <c r="V367" i="37" s="1"/>
  <c r="V387" i="37" s="1"/>
  <c r="V406" i="37" s="1"/>
  <c r="V427" i="37" s="1"/>
  <c r="V447" i="37" s="1"/>
  <c r="V467" i="37" s="1"/>
  <c r="V486" i="37" s="1"/>
  <c r="V507" i="37" s="1"/>
  <c r="V528" i="37" s="1"/>
  <c r="V550" i="37" s="1"/>
  <c r="V580" i="37" s="1"/>
  <c r="P303" i="37"/>
  <c r="O303" i="37"/>
  <c r="Q302" i="37"/>
  <c r="P302" i="37"/>
  <c r="Q301" i="37"/>
  <c r="P301" i="37"/>
  <c r="Q300" i="37"/>
  <c r="Q299" i="37"/>
  <c r="Q298" i="37"/>
  <c r="Q297" i="37"/>
  <c r="Q295" i="37"/>
  <c r="P295" i="37"/>
  <c r="O295" i="37"/>
  <c r="Q294" i="37"/>
  <c r="P294" i="37"/>
  <c r="O294" i="37"/>
  <c r="Q292" i="37"/>
  <c r="P292" i="37"/>
  <c r="O292" i="37"/>
  <c r="Q291" i="37"/>
  <c r="P291" i="37"/>
  <c r="O291" i="37"/>
  <c r="Q290" i="37"/>
  <c r="P290" i="37"/>
  <c r="O290" i="37"/>
  <c r="Q289" i="37"/>
  <c r="P289" i="37"/>
  <c r="O289" i="37"/>
  <c r="Q288" i="37"/>
  <c r="Q287" i="37"/>
  <c r="P287" i="37"/>
  <c r="Q286" i="37"/>
  <c r="Q285" i="37"/>
  <c r="Q284" i="37"/>
  <c r="P284" i="37"/>
  <c r="Q283" i="37"/>
  <c r="P283" i="37"/>
  <c r="P584" i="37" s="1"/>
  <c r="Q281" i="37"/>
  <c r="P281" i="37"/>
  <c r="Q280" i="37"/>
  <c r="P280" i="37"/>
  <c r="Q279" i="37"/>
  <c r="P279" i="37"/>
  <c r="O279" i="37"/>
  <c r="Q278" i="37"/>
  <c r="Q277" i="37"/>
  <c r="Q276" i="37"/>
  <c r="Q275" i="37"/>
  <c r="Q273" i="37"/>
  <c r="P273" i="37"/>
  <c r="O273" i="37"/>
  <c r="Q271" i="37"/>
  <c r="P271" i="37"/>
  <c r="O271" i="37"/>
  <c r="Q270" i="37"/>
  <c r="P270" i="37"/>
  <c r="O270" i="37"/>
  <c r="Q269" i="37"/>
  <c r="P269" i="37"/>
  <c r="O269" i="37"/>
  <c r="Q268" i="37"/>
  <c r="P268" i="37"/>
  <c r="O268" i="37"/>
  <c r="R267" i="37"/>
  <c r="Q267" i="37"/>
  <c r="P267" i="37"/>
  <c r="O267" i="37"/>
  <c r="Q266" i="37"/>
  <c r="Q265" i="37"/>
  <c r="Q264" i="37"/>
  <c r="Q263" i="37"/>
  <c r="Q262" i="37"/>
  <c r="Q261" i="37"/>
  <c r="Q259" i="37"/>
  <c r="P259" i="37"/>
  <c r="Q258" i="37"/>
  <c r="P258" i="37"/>
  <c r="O258" i="37"/>
  <c r="Q257" i="37"/>
  <c r="P257" i="37"/>
  <c r="Q256" i="37"/>
  <c r="Q255" i="37"/>
  <c r="Q254" i="37"/>
  <c r="Q253" i="37"/>
  <c r="Q252" i="37"/>
  <c r="P252" i="37"/>
  <c r="O252" i="37"/>
  <c r="Q250" i="37"/>
  <c r="P250" i="37"/>
  <c r="O250" i="37"/>
  <c r="Q249" i="37"/>
  <c r="P249" i="37"/>
  <c r="O249" i="37"/>
  <c r="Q248" i="37"/>
  <c r="P248" i="37"/>
  <c r="O248" i="37"/>
  <c r="Q247" i="37"/>
  <c r="P247" i="37"/>
  <c r="O247" i="37"/>
  <c r="S246" i="37"/>
  <c r="Q246" i="37"/>
  <c r="P246" i="37"/>
  <c r="O246" i="37"/>
  <c r="Q245" i="37"/>
  <c r="Q244" i="37"/>
  <c r="Q243" i="37"/>
  <c r="Q242" i="37"/>
  <c r="Q241" i="37"/>
  <c r="Q240" i="37"/>
  <c r="V239" i="37"/>
  <c r="V260" i="37" s="1"/>
  <c r="V282" i="37" s="1"/>
  <c r="Q238" i="37"/>
  <c r="P238" i="37"/>
  <c r="Q237" i="37"/>
  <c r="P237" i="37"/>
  <c r="Q236" i="37"/>
  <c r="P236" i="37"/>
  <c r="O236" i="37"/>
  <c r="Q235" i="37"/>
  <c r="Q234" i="37"/>
  <c r="Q233" i="37"/>
  <c r="Q232" i="37"/>
  <c r="Q230" i="37"/>
  <c r="P230" i="37"/>
  <c r="O230" i="37"/>
  <c r="Q229" i="37"/>
  <c r="P229" i="37"/>
  <c r="O229" i="37"/>
  <c r="Q228" i="37"/>
  <c r="P228" i="37"/>
  <c r="O228" i="37"/>
  <c r="Q227" i="37"/>
  <c r="P227" i="37"/>
  <c r="O227" i="37"/>
  <c r="Q226" i="37"/>
  <c r="P226" i="37"/>
  <c r="O226" i="37"/>
  <c r="Q225" i="37"/>
  <c r="P225" i="37"/>
  <c r="O225" i="37"/>
  <c r="Q224" i="37"/>
  <c r="Q223" i="37"/>
  <c r="Q222" i="37"/>
  <c r="Q221" i="37"/>
  <c r="Q220" i="37"/>
  <c r="Q219" i="37"/>
  <c r="V218" i="37"/>
  <c r="Q218" i="37"/>
  <c r="P218" i="37"/>
  <c r="O218" i="37"/>
  <c r="Q217" i="37"/>
  <c r="P217" i="37"/>
  <c r="O217" i="37"/>
  <c r="Q216" i="37"/>
  <c r="P216" i="37"/>
  <c r="O216" i="37"/>
  <c r="Q215" i="37"/>
  <c r="P215" i="37"/>
  <c r="O215" i="37"/>
  <c r="Q214" i="37"/>
  <c r="Q213" i="37"/>
  <c r="Q212" i="37"/>
  <c r="Q211" i="37"/>
  <c r="Q210" i="37"/>
  <c r="P210" i="37"/>
  <c r="O210" i="37"/>
  <c r="Q209" i="37"/>
  <c r="P209" i="37"/>
  <c r="O209" i="37"/>
  <c r="Q208" i="37"/>
  <c r="P208" i="37"/>
  <c r="P561" i="37" s="1"/>
  <c r="O208" i="37"/>
  <c r="Q206" i="37"/>
  <c r="P206" i="37"/>
  <c r="O206" i="37"/>
  <c r="Q205" i="37"/>
  <c r="P205" i="37"/>
  <c r="O205" i="37"/>
  <c r="Q204" i="37"/>
  <c r="P204" i="37"/>
  <c r="O204" i="37"/>
  <c r="Q203" i="37"/>
  <c r="Q202" i="37"/>
  <c r="Q201" i="37"/>
  <c r="Q200" i="37"/>
  <c r="Q199" i="37"/>
  <c r="Q198" i="37"/>
  <c r="Q197" i="37"/>
  <c r="P197" i="37"/>
  <c r="Q196" i="37"/>
  <c r="P196" i="37"/>
  <c r="Q195" i="37"/>
  <c r="P195" i="37"/>
  <c r="O195" i="37"/>
  <c r="Q194" i="37"/>
  <c r="P194" i="37"/>
  <c r="O194" i="37"/>
  <c r="Q193" i="37"/>
  <c r="Q192" i="37"/>
  <c r="Q191" i="37"/>
  <c r="Q190" i="37"/>
  <c r="Q189" i="37"/>
  <c r="P189" i="37"/>
  <c r="O189" i="37"/>
  <c r="Q188" i="37"/>
  <c r="P188" i="37"/>
  <c r="O188" i="37"/>
  <c r="Q186" i="37"/>
  <c r="P186" i="37"/>
  <c r="O186" i="37"/>
  <c r="Q185" i="37"/>
  <c r="P185" i="37"/>
  <c r="O185" i="37"/>
  <c r="Q184" i="37"/>
  <c r="P184" i="37"/>
  <c r="O184" i="37"/>
  <c r="Q183" i="37"/>
  <c r="P183" i="37"/>
  <c r="O183" i="37"/>
  <c r="Q182" i="37"/>
  <c r="Q181" i="37"/>
  <c r="Q180" i="37"/>
  <c r="Q179" i="37"/>
  <c r="Q178" i="37"/>
  <c r="Q177" i="37"/>
  <c r="Q175" i="37"/>
  <c r="P175" i="37"/>
  <c r="O175" i="37"/>
  <c r="O581" i="37" s="1"/>
  <c r="V174" i="37"/>
  <c r="Q174" i="37"/>
  <c r="P174" i="37"/>
  <c r="O174" i="37"/>
  <c r="O580" i="37" s="1"/>
  <c r="Q173" i="37"/>
  <c r="P173" i="37"/>
  <c r="O173" i="37"/>
  <c r="Q171" i="37"/>
  <c r="P171" i="37"/>
  <c r="O171" i="37"/>
  <c r="Q170" i="37"/>
  <c r="P170" i="37"/>
  <c r="O170" i="37"/>
  <c r="Q169" i="37"/>
  <c r="Q168" i="37"/>
  <c r="Q167" i="37"/>
  <c r="Q166" i="37"/>
  <c r="Q165" i="37"/>
  <c r="P165" i="37"/>
  <c r="O165" i="37"/>
  <c r="Q164" i="37"/>
  <c r="P164" i="37"/>
  <c r="O164" i="37"/>
  <c r="Q163" i="37"/>
  <c r="P163" i="37"/>
  <c r="O163" i="37"/>
  <c r="Q162" i="37"/>
  <c r="P162" i="37"/>
  <c r="Q161" i="37"/>
  <c r="P161" i="37"/>
  <c r="O161" i="37"/>
  <c r="S160" i="37"/>
  <c r="R160" i="37"/>
  <c r="Q160" i="37"/>
  <c r="P160" i="37"/>
  <c r="O160" i="37"/>
  <c r="Q159" i="37"/>
  <c r="Q158" i="37"/>
  <c r="Q157" i="37"/>
  <c r="Q156" i="37"/>
  <c r="Q155" i="37"/>
  <c r="Q154" i="37"/>
  <c r="V152" i="37"/>
  <c r="Q152" i="37"/>
  <c r="P152" i="37"/>
  <c r="O152" i="37"/>
  <c r="Q151" i="37"/>
  <c r="P151" i="37"/>
  <c r="Q150" i="37"/>
  <c r="P150" i="37"/>
  <c r="O150" i="37"/>
  <c r="Q149" i="37"/>
  <c r="P149" i="37"/>
  <c r="O149" i="37"/>
  <c r="Q148" i="37"/>
  <c r="P148" i="37"/>
  <c r="O148" i="37"/>
  <c r="Q147" i="37"/>
  <c r="Q146" i="37"/>
  <c r="Q145" i="37"/>
  <c r="Q144" i="37"/>
  <c r="Q142" i="37"/>
  <c r="P142" i="37"/>
  <c r="O142" i="37"/>
  <c r="Q141" i="37"/>
  <c r="P141" i="37"/>
  <c r="O141" i="37"/>
  <c r="Q140" i="37"/>
  <c r="P140" i="37"/>
  <c r="O140" i="37"/>
  <c r="Q139" i="37"/>
  <c r="P139" i="37"/>
  <c r="O139" i="37"/>
  <c r="Q138" i="37"/>
  <c r="P138" i="37"/>
  <c r="O138" i="37"/>
  <c r="R137" i="37"/>
  <c r="Q137" i="37"/>
  <c r="P137" i="37"/>
  <c r="O137" i="37"/>
  <c r="Q136" i="37"/>
  <c r="Q135" i="37"/>
  <c r="Q134" i="37"/>
  <c r="Q133" i="37"/>
  <c r="Q132" i="37"/>
  <c r="Q131" i="37"/>
  <c r="Q130" i="37"/>
  <c r="P130" i="37"/>
  <c r="P581" i="37" s="1"/>
  <c r="Q129" i="37"/>
  <c r="P129" i="37"/>
  <c r="Q128" i="37"/>
  <c r="P128" i="37"/>
  <c r="O128" i="37"/>
  <c r="Q127" i="37"/>
  <c r="P127" i="37"/>
  <c r="O127" i="37"/>
  <c r="Q126" i="37"/>
  <c r="P126" i="37"/>
  <c r="O126" i="37"/>
  <c r="Q125" i="37"/>
  <c r="Q124" i="37"/>
  <c r="Q123" i="37"/>
  <c r="Q122" i="37"/>
  <c r="Q120" i="37"/>
  <c r="P120" i="37"/>
  <c r="O120" i="37"/>
  <c r="Q119" i="37"/>
  <c r="P119" i="37"/>
  <c r="O119" i="37"/>
  <c r="Q118" i="37"/>
  <c r="P118" i="37"/>
  <c r="O118" i="37"/>
  <c r="Q117" i="37"/>
  <c r="P117" i="37"/>
  <c r="O117" i="37"/>
  <c r="Q116" i="37"/>
  <c r="P116" i="37"/>
  <c r="O116" i="37"/>
  <c r="R115" i="37"/>
  <c r="Q115" i="37"/>
  <c r="P115" i="37"/>
  <c r="O115" i="37"/>
  <c r="Q114" i="37"/>
  <c r="V113" i="37"/>
  <c r="V135" i="37" s="1"/>
  <c r="Q113" i="37"/>
  <c r="P113" i="37"/>
  <c r="O113" i="37"/>
  <c r="O588" i="37" s="1"/>
  <c r="Q112" i="37"/>
  <c r="Q111" i="37"/>
  <c r="Q110" i="37"/>
  <c r="Q109" i="37"/>
  <c r="Q106" i="37"/>
  <c r="Q105" i="37"/>
  <c r="P105" i="37"/>
  <c r="O105" i="37"/>
  <c r="Q103" i="37"/>
  <c r="P103" i="37"/>
  <c r="O103" i="37"/>
  <c r="Q102" i="37"/>
  <c r="P102" i="37"/>
  <c r="Q101" i="37"/>
  <c r="Q100" i="37"/>
  <c r="P100" i="37"/>
  <c r="O100" i="37"/>
  <c r="V100" i="37" s="1"/>
  <c r="V124" i="37" s="1"/>
  <c r="V146" i="37" s="1"/>
  <c r="V168" i="37" s="1"/>
  <c r="V192" i="37" s="1"/>
  <c r="V213" i="37" s="1"/>
  <c r="V234" i="37" s="1"/>
  <c r="V255" i="37" s="1"/>
  <c r="V277" i="37" s="1"/>
  <c r="V299" i="37" s="1"/>
  <c r="V321" i="37" s="1"/>
  <c r="V342" i="37" s="1"/>
  <c r="V362" i="37" s="1"/>
  <c r="V382" i="37" s="1"/>
  <c r="V401" i="37" s="1"/>
  <c r="V422" i="37" s="1"/>
  <c r="V442" i="37" s="1"/>
  <c r="V462" i="37" s="1"/>
  <c r="V481" i="37" s="1"/>
  <c r="V502" i="37" s="1"/>
  <c r="V523" i="37" s="1"/>
  <c r="V545" i="37" s="1"/>
  <c r="V573" i="37" s="1"/>
  <c r="Q99" i="37"/>
  <c r="Q98" i="37"/>
  <c r="Q96" i="37"/>
  <c r="P96" i="37"/>
  <c r="O96" i="37"/>
  <c r="Q94" i="37"/>
  <c r="P94" i="37"/>
  <c r="O94" i="37"/>
  <c r="Q92" i="37"/>
  <c r="P92" i="37"/>
  <c r="O92" i="37"/>
  <c r="Q91" i="37"/>
  <c r="P91" i="37"/>
  <c r="O91" i="37"/>
  <c r="Q90" i="37"/>
  <c r="P90" i="37"/>
  <c r="O90" i="37"/>
  <c r="Q89" i="37"/>
  <c r="P89" i="37"/>
  <c r="P557" i="37" s="1"/>
  <c r="O89" i="37"/>
  <c r="Q88" i="37"/>
  <c r="Q86" i="37"/>
  <c r="P86" i="37"/>
  <c r="Q85" i="37"/>
  <c r="Q84" i="37"/>
  <c r="Q83" i="37"/>
  <c r="P83" i="37"/>
  <c r="P583" i="37" s="1"/>
  <c r="O83" i="37"/>
  <c r="V83" i="37" s="1"/>
  <c r="Q82" i="37"/>
  <c r="Q81" i="37"/>
  <c r="P81" i="37"/>
  <c r="O81" i="37"/>
  <c r="Q79" i="37"/>
  <c r="P79" i="37"/>
  <c r="O79" i="37"/>
  <c r="Q78" i="37"/>
  <c r="P78" i="37"/>
  <c r="O78" i="37"/>
  <c r="Q77" i="37"/>
  <c r="P77" i="37"/>
  <c r="O77" i="37"/>
  <c r="Q76" i="37"/>
  <c r="P76" i="37"/>
  <c r="Q75" i="37"/>
  <c r="P75" i="37"/>
  <c r="P571" i="37" s="1"/>
  <c r="O75" i="37"/>
  <c r="V74" i="37"/>
  <c r="V98" i="37" s="1"/>
  <c r="V122" i="37" s="1"/>
  <c r="V144" i="37" s="1"/>
  <c r="V166" i="37" s="1"/>
  <c r="V190" i="37" s="1"/>
  <c r="V211" i="37" s="1"/>
  <c r="V232" i="37" s="1"/>
  <c r="V253" i="37" s="1"/>
  <c r="V275" i="37" s="1"/>
  <c r="V297" i="37" s="1"/>
  <c r="V319" i="37" s="1"/>
  <c r="V340" i="37" s="1"/>
  <c r="V360" i="37" s="1"/>
  <c r="Q74" i="37"/>
  <c r="P74" i="37"/>
  <c r="O74" i="37"/>
  <c r="Q73" i="37"/>
  <c r="P73" i="37"/>
  <c r="O73" i="37"/>
  <c r="Q71" i="37"/>
  <c r="P71" i="37"/>
  <c r="O71" i="37"/>
  <c r="Q69" i="37"/>
  <c r="P69" i="37"/>
  <c r="O69" i="37"/>
  <c r="Q68" i="37"/>
  <c r="P68" i="37"/>
  <c r="O68" i="37"/>
  <c r="Q67" i="37"/>
  <c r="P67" i="37"/>
  <c r="O67" i="37"/>
  <c r="R66" i="37"/>
  <c r="Q66" i="37"/>
  <c r="P66" i="37"/>
  <c r="O66" i="37"/>
  <c r="Q65" i="37"/>
  <c r="Q64" i="37"/>
  <c r="Q63" i="37"/>
  <c r="Q62" i="37"/>
  <c r="Q61" i="37"/>
  <c r="Q60" i="37"/>
  <c r="Q59" i="37"/>
  <c r="P59" i="37"/>
  <c r="O59" i="37"/>
  <c r="Q57" i="37"/>
  <c r="P57" i="37"/>
  <c r="O57" i="37"/>
  <c r="Q56" i="37"/>
  <c r="P56" i="37"/>
  <c r="V55" i="37"/>
  <c r="V77" i="37" s="1"/>
  <c r="V101" i="37" s="1"/>
  <c r="V125" i="37" s="1"/>
  <c r="V147" i="37" s="1"/>
  <c r="V169" i="37" s="1"/>
  <c r="V193" i="37" s="1"/>
  <c r="V214" i="37" s="1"/>
  <c r="V235" i="37" s="1"/>
  <c r="V256" i="37" s="1"/>
  <c r="V278" i="37" s="1"/>
  <c r="V300" i="37" s="1"/>
  <c r="V322" i="37" s="1"/>
  <c r="V343" i="37" s="1"/>
  <c r="V363" i="37" s="1"/>
  <c r="V383" i="37" s="1"/>
  <c r="V402" i="37" s="1"/>
  <c r="V423" i="37" s="1"/>
  <c r="Q55" i="37"/>
  <c r="P55" i="37"/>
  <c r="P575" i="37" s="1"/>
  <c r="O55" i="37"/>
  <c r="O575" i="37" s="1"/>
  <c r="Q54" i="37"/>
  <c r="P54" i="37"/>
  <c r="P573" i="37" s="1"/>
  <c r="Q53" i="37"/>
  <c r="P53" i="37"/>
  <c r="Q51" i="37"/>
  <c r="P51" i="37"/>
  <c r="Q50" i="37"/>
  <c r="P50" i="37"/>
  <c r="O50" i="37"/>
  <c r="Q49" i="37"/>
  <c r="P49" i="37"/>
  <c r="O49" i="37"/>
  <c r="Q48" i="37"/>
  <c r="P48" i="37"/>
  <c r="O48" i="37"/>
  <c r="Q46" i="37"/>
  <c r="P46" i="37"/>
  <c r="O46" i="37"/>
  <c r="Q45" i="37"/>
  <c r="P45" i="37"/>
  <c r="O45" i="37"/>
  <c r="S44" i="37"/>
  <c r="R44" i="37"/>
  <c r="Q44" i="37"/>
  <c r="P44" i="37"/>
  <c r="O44" i="37"/>
  <c r="Q43" i="37"/>
  <c r="Q42" i="37"/>
  <c r="Q41" i="37"/>
  <c r="Q40" i="37"/>
  <c r="Q39" i="37"/>
  <c r="Q38" i="37"/>
  <c r="Q37" i="37"/>
  <c r="P37" i="37"/>
  <c r="O37" i="37"/>
  <c r="Q35" i="37"/>
  <c r="P35" i="37"/>
  <c r="O35" i="37"/>
  <c r="V35" i="37" s="1"/>
  <c r="Q34" i="37"/>
  <c r="P34" i="37"/>
  <c r="O34" i="37"/>
  <c r="V34" i="37" s="1"/>
  <c r="V56" i="37" s="1"/>
  <c r="V78" i="37" s="1"/>
  <c r="V102" i="37" s="1"/>
  <c r="V126" i="37" s="1"/>
  <c r="V148" i="37" s="1"/>
  <c r="V33" i="37"/>
  <c r="Q33" i="37"/>
  <c r="Q31" i="37"/>
  <c r="V30" i="37"/>
  <c r="V51" i="37" s="1"/>
  <c r="Q30" i="37"/>
  <c r="P30" i="37"/>
  <c r="P569" i="37" s="1"/>
  <c r="V29" i="37"/>
  <c r="Q29" i="37"/>
  <c r="P29" i="37"/>
  <c r="O29" i="37"/>
  <c r="Q27" i="37"/>
  <c r="P27" i="37"/>
  <c r="O27" i="37"/>
  <c r="Q26" i="37"/>
  <c r="P26" i="37"/>
  <c r="O26" i="37"/>
  <c r="Q25" i="37"/>
  <c r="P25" i="37"/>
  <c r="O25" i="37"/>
  <c r="Q24" i="37"/>
  <c r="P24" i="37"/>
  <c r="O24" i="37"/>
  <c r="R23" i="37"/>
  <c r="Q23" i="37"/>
  <c r="P23" i="37"/>
  <c r="O23" i="37"/>
  <c r="Q22" i="37"/>
  <c r="Q21" i="37"/>
  <c r="Q20" i="37"/>
  <c r="Q19" i="37"/>
  <c r="Q18" i="37"/>
  <c r="Q17" i="37"/>
  <c r="V16" i="37"/>
  <c r="Q16" i="37"/>
  <c r="P16" i="37"/>
  <c r="O16" i="37"/>
  <c r="Q15" i="37"/>
  <c r="P15" i="37"/>
  <c r="P577" i="37" s="1"/>
  <c r="O15" i="37"/>
  <c r="V15" i="37" s="1"/>
  <c r="Q14" i="37"/>
  <c r="P14" i="37"/>
  <c r="O14" i="37"/>
  <c r="V14" i="37" s="1"/>
  <c r="V13" i="37"/>
  <c r="Q13" i="37"/>
  <c r="V12" i="37"/>
  <c r="V32" i="37" s="1"/>
  <c r="V54" i="37" s="1"/>
  <c r="V76" i="37" s="1"/>
  <c r="V11" i="37"/>
  <c r="V31" i="37" s="1"/>
  <c r="V53" i="37" s="1"/>
  <c r="Q11" i="37"/>
  <c r="V10" i="37"/>
  <c r="V9" i="37"/>
  <c r="Q9" i="37"/>
  <c r="P9" i="37"/>
  <c r="O9" i="37"/>
  <c r="O566" i="37" s="1"/>
  <c r="V8" i="37"/>
  <c r="Q8" i="37"/>
  <c r="P8" i="37"/>
  <c r="O8" i="37"/>
  <c r="O563" i="37" s="1"/>
  <c r="Q7" i="37"/>
  <c r="P7" i="37"/>
  <c r="O7" i="37"/>
  <c r="Q6" i="37"/>
  <c r="P6" i="37"/>
  <c r="P559" i="37" s="1"/>
  <c r="Q5" i="37"/>
  <c r="P5" i="37"/>
  <c r="O5" i="37"/>
  <c r="S4" i="37"/>
  <c r="Q4" i="37"/>
  <c r="P4" i="37"/>
  <c r="DQ294" i="36"/>
  <c r="DP294" i="36"/>
  <c r="DO294" i="36"/>
  <c r="DN294" i="36"/>
  <c r="S513" i="37" s="1"/>
  <c r="DM294" i="36"/>
  <c r="R513" i="37" s="1"/>
  <c r="DL294" i="36"/>
  <c r="DK294" i="36"/>
  <c r="DJ294" i="36"/>
  <c r="DI294" i="36"/>
  <c r="DH294" i="36"/>
  <c r="S492" i="37" s="1"/>
  <c r="DG294" i="36"/>
  <c r="R492" i="37" s="1"/>
  <c r="DF294" i="36"/>
  <c r="DE294" i="36"/>
  <c r="DD294" i="36"/>
  <c r="R473" i="37" s="1"/>
  <c r="DC294" i="36"/>
  <c r="DB294" i="36"/>
  <c r="DA294" i="36"/>
  <c r="CZ294" i="36"/>
  <c r="CX294" i="36"/>
  <c r="CW294" i="36"/>
  <c r="CV294" i="36"/>
  <c r="S412" i="37" s="1"/>
  <c r="CU294" i="36"/>
  <c r="R412" i="37" s="1"/>
  <c r="CT294" i="36"/>
  <c r="CS294" i="36"/>
  <c r="CR294" i="36"/>
  <c r="R393" i="37" s="1"/>
  <c r="CQ294" i="36"/>
  <c r="CK294" i="36"/>
  <c r="CJ294" i="36"/>
  <c r="S353" i="37" s="1"/>
  <c r="CI294" i="36"/>
  <c r="R353" i="37" s="1"/>
  <c r="CH294" i="36"/>
  <c r="CG294" i="36"/>
  <c r="S333" i="37" s="1"/>
  <c r="CF294" i="36"/>
  <c r="CE294" i="36"/>
  <c r="CD294" i="36"/>
  <c r="S312" i="37" s="1"/>
  <c r="CC294" i="36"/>
  <c r="R312" i="37" s="1"/>
  <c r="CB294" i="36"/>
  <c r="CA294" i="36"/>
  <c r="S289" i="37" s="1"/>
  <c r="BZ294" i="36"/>
  <c r="R289" i="37" s="1"/>
  <c r="BY294" i="36"/>
  <c r="BX294" i="36"/>
  <c r="S267" i="37" s="1"/>
  <c r="BW294" i="36"/>
  <c r="BV294" i="36"/>
  <c r="BU294" i="36"/>
  <c r="BT294" i="36"/>
  <c r="BS294" i="36"/>
  <c r="BR294" i="36"/>
  <c r="BQ294" i="36"/>
  <c r="R246" i="37" s="1"/>
  <c r="BP294" i="36"/>
  <c r="BO294" i="36"/>
  <c r="S225" i="37" s="1"/>
  <c r="BN294" i="36"/>
  <c r="R225" i="37" s="1"/>
  <c r="BM294" i="36"/>
  <c r="BL294" i="36"/>
  <c r="S204" i="37" s="1"/>
  <c r="BK294" i="36"/>
  <c r="R204" i="37" s="1"/>
  <c r="BJ294" i="36"/>
  <c r="BI294" i="36"/>
  <c r="S183" i="37" s="1"/>
  <c r="BH294" i="36"/>
  <c r="R183" i="37" s="1"/>
  <c r="BG294" i="36"/>
  <c r="BF294" i="36"/>
  <c r="BE294" i="36"/>
  <c r="BD294" i="36"/>
  <c r="BC294" i="36"/>
  <c r="S137" i="37" s="1"/>
  <c r="BB294" i="36"/>
  <c r="BA294" i="36"/>
  <c r="AZ294" i="36"/>
  <c r="AY294" i="36"/>
  <c r="AX294" i="36"/>
  <c r="AW294" i="36"/>
  <c r="S115" i="37" s="1"/>
  <c r="AV294" i="36"/>
  <c r="AU294" i="36"/>
  <c r="AT294" i="36"/>
  <c r="S89" i="37" s="1"/>
  <c r="AS294" i="36"/>
  <c r="R89" i="37" s="1"/>
  <c r="AR294" i="36"/>
  <c r="AQ294" i="36"/>
  <c r="S66" i="37" s="1"/>
  <c r="AP294" i="36"/>
  <c r="AO294" i="36"/>
  <c r="AN294" i="36"/>
  <c r="AM294" i="36"/>
  <c r="AL294" i="36"/>
  <c r="AK294" i="36"/>
  <c r="S23" i="37" s="1"/>
  <c r="AJ294" i="36"/>
  <c r="AI294" i="36"/>
  <c r="AH294" i="36"/>
  <c r="AG294" i="36"/>
  <c r="R4" i="37" s="1"/>
  <c r="AF294" i="36"/>
  <c r="CY278" i="36"/>
  <c r="CY294" i="36" s="1"/>
  <c r="S433" i="37" s="1"/>
  <c r="CX278" i="36"/>
  <c r="AG276" i="36"/>
  <c r="O6" i="37" s="1"/>
  <c r="CM275" i="36"/>
  <c r="P379" i="37" s="1"/>
  <c r="CL275" i="36"/>
  <c r="CL294" i="36" s="1"/>
  <c r="R374" i="37" s="1"/>
  <c r="AH273" i="36"/>
  <c r="AG273" i="36"/>
  <c r="O4" i="37" s="1"/>
  <c r="DP268" i="36"/>
  <c r="DM268" i="36"/>
  <c r="DL268" i="36"/>
  <c r="DK268" i="36"/>
  <c r="DJ268" i="36"/>
  <c r="DI268" i="36"/>
  <c r="DG268" i="36"/>
  <c r="DD268" i="36"/>
  <c r="DA268" i="36"/>
  <c r="CX268" i="36"/>
  <c r="CU268" i="36"/>
  <c r="CI268" i="36"/>
  <c r="CF268" i="36"/>
  <c r="CC268" i="36"/>
  <c r="BZ268" i="36"/>
  <c r="BW268" i="36"/>
  <c r="BU268" i="36"/>
  <c r="BT268" i="36"/>
  <c r="BS268" i="36"/>
  <c r="BQ268" i="36"/>
  <c r="BN268" i="36"/>
  <c r="BK268" i="36"/>
  <c r="BH268" i="36"/>
  <c r="BB268" i="36"/>
  <c r="AZ268" i="36"/>
  <c r="AY268" i="36"/>
  <c r="AX268" i="36"/>
  <c r="AV268" i="36"/>
  <c r="AS268" i="36"/>
  <c r="AN268" i="36"/>
  <c r="AM268" i="36"/>
  <c r="AJ268" i="36"/>
  <c r="AG268" i="36"/>
  <c r="D268" i="36"/>
  <c r="C268" i="36"/>
  <c r="DQ267" i="36"/>
  <c r="DN267" i="36"/>
  <c r="DH267" i="36"/>
  <c r="DE267" i="36"/>
  <c r="DB267" i="36"/>
  <c r="BL267" i="36"/>
  <c r="BI267" i="36"/>
  <c r="BF267" i="36"/>
  <c r="BC267" i="36"/>
  <c r="AW267" i="36"/>
  <c r="DQ266" i="36"/>
  <c r="DN266" i="36"/>
  <c r="DH266" i="36"/>
  <c r="DE266" i="36"/>
  <c r="DB266" i="36"/>
  <c r="DQ265" i="36"/>
  <c r="DN265" i="36"/>
  <c r="DH265" i="36"/>
  <c r="DE265" i="36"/>
  <c r="DB265" i="36"/>
  <c r="DQ256" i="36"/>
  <c r="DN256" i="36"/>
  <c r="DH256" i="36"/>
  <c r="DE256" i="36"/>
  <c r="DB256" i="36"/>
  <c r="CY256" i="36"/>
  <c r="CV256" i="36"/>
  <c r="CS256" i="36"/>
  <c r="CM256" i="36"/>
  <c r="CJ256" i="36"/>
  <c r="CG256" i="36"/>
  <c r="CD256" i="36"/>
  <c r="CA256" i="36"/>
  <c r="BX256" i="36"/>
  <c r="BR256" i="36"/>
  <c r="BO256" i="36"/>
  <c r="BL256" i="36"/>
  <c r="BI256" i="36"/>
  <c r="BF256" i="36"/>
  <c r="BC256" i="36"/>
  <c r="AW256" i="36"/>
  <c r="AT256" i="36"/>
  <c r="AQ256" i="36"/>
  <c r="AN256" i="36"/>
  <c r="AK256" i="36"/>
  <c r="AH256" i="36"/>
  <c r="DQ255" i="36"/>
  <c r="DN255" i="36"/>
  <c r="DH255" i="36"/>
  <c r="DE255" i="36"/>
  <c r="DB255" i="36"/>
  <c r="CY255" i="36"/>
  <c r="CV255" i="36"/>
  <c r="CS255" i="36"/>
  <c r="CM255" i="36"/>
  <c r="CJ255" i="36"/>
  <c r="CG255" i="36"/>
  <c r="CD255" i="36"/>
  <c r="CA255" i="36"/>
  <c r="BX255" i="36"/>
  <c r="BR255" i="36"/>
  <c r="BO255" i="36"/>
  <c r="BL255" i="36"/>
  <c r="BI255" i="36"/>
  <c r="BF255" i="36"/>
  <c r="BC255" i="36"/>
  <c r="AW255" i="36"/>
  <c r="AT255" i="36"/>
  <c r="AQ255" i="36"/>
  <c r="AN255" i="36"/>
  <c r="AK255" i="36"/>
  <c r="AH255" i="36"/>
  <c r="DQ254" i="36"/>
  <c r="DN254" i="36"/>
  <c r="DH254" i="36"/>
  <c r="DE254" i="36"/>
  <c r="DB254" i="36"/>
  <c r="CY254" i="36"/>
  <c r="CV254" i="36"/>
  <c r="CS254" i="36"/>
  <c r="CM254" i="36"/>
  <c r="CJ254" i="36"/>
  <c r="CG254" i="36"/>
  <c r="CD254" i="36"/>
  <c r="CA254" i="36"/>
  <c r="BX254" i="36"/>
  <c r="BR254" i="36"/>
  <c r="BO254" i="36"/>
  <c r="BL254" i="36"/>
  <c r="BI254" i="36"/>
  <c r="BF254" i="36"/>
  <c r="BC254" i="36"/>
  <c r="AW254" i="36"/>
  <c r="AT254" i="36"/>
  <c r="AQ254" i="36"/>
  <c r="AN254" i="36"/>
  <c r="AK254" i="36"/>
  <c r="AH254" i="36"/>
  <c r="DQ253" i="36"/>
  <c r="DN253" i="36"/>
  <c r="DH253" i="36"/>
  <c r="DE253" i="36"/>
  <c r="DB253" i="36"/>
  <c r="CY253" i="36"/>
  <c r="CV253" i="36"/>
  <c r="CS253" i="36"/>
  <c r="CM253" i="36"/>
  <c r="CJ253" i="36"/>
  <c r="CG253" i="36"/>
  <c r="CD253" i="36"/>
  <c r="CA253" i="36"/>
  <c r="BX253" i="36"/>
  <c r="BR253" i="36"/>
  <c r="BO253" i="36"/>
  <c r="BL253" i="36"/>
  <c r="BI253" i="36"/>
  <c r="BF253" i="36"/>
  <c r="BC253" i="36"/>
  <c r="AW253" i="36"/>
  <c r="AT253" i="36"/>
  <c r="AQ253" i="36"/>
  <c r="AN253" i="36"/>
  <c r="AK253" i="36"/>
  <c r="AH253" i="36"/>
  <c r="DE252" i="36"/>
  <c r="DB252" i="36"/>
  <c r="CY252" i="36"/>
  <c r="CV252" i="36"/>
  <c r="CS252" i="36"/>
  <c r="CM252" i="36"/>
  <c r="CJ252" i="36"/>
  <c r="CG252" i="36"/>
  <c r="CD252" i="36"/>
  <c r="CA252" i="36"/>
  <c r="BX252" i="36"/>
  <c r="BR252" i="36"/>
  <c r="BO252" i="36"/>
  <c r="BL252" i="36"/>
  <c r="BI252" i="36"/>
  <c r="BF252" i="36"/>
  <c r="BC252" i="36"/>
  <c r="AW252" i="36"/>
  <c r="AT252" i="36"/>
  <c r="AQ252" i="36"/>
  <c r="AN252" i="36"/>
  <c r="AK252" i="36"/>
  <c r="AH252" i="36"/>
  <c r="DQ251" i="36"/>
  <c r="DB251" i="36"/>
  <c r="BF251" i="36"/>
  <c r="BC251" i="36"/>
  <c r="AW251" i="36"/>
  <c r="AT251" i="36"/>
  <c r="AQ251" i="36"/>
  <c r="AN251" i="36"/>
  <c r="AK251" i="36"/>
  <c r="AH251" i="36"/>
  <c r="DQ250" i="36"/>
  <c r="DN250" i="36"/>
  <c r="DH250" i="36"/>
  <c r="DE250" i="36"/>
  <c r="DB250" i="36"/>
  <c r="CY250" i="36"/>
  <c r="CV250" i="36"/>
  <c r="CS250" i="36"/>
  <c r="CM250" i="36"/>
  <c r="CJ250" i="36"/>
  <c r="CG250" i="36"/>
  <c r="CD250" i="36"/>
  <c r="CA250" i="36"/>
  <c r="BX250" i="36"/>
  <c r="BR250" i="36"/>
  <c r="BO250" i="36"/>
  <c r="BL250" i="36"/>
  <c r="BI250" i="36"/>
  <c r="BF250" i="36"/>
  <c r="BC250" i="36"/>
  <c r="AW250" i="36"/>
  <c r="AT250" i="36"/>
  <c r="AQ250" i="36"/>
  <c r="AN250" i="36"/>
  <c r="AK250" i="36"/>
  <c r="AH250" i="36"/>
  <c r="BF249" i="36"/>
  <c r="BC249" i="36"/>
  <c r="AW249" i="36"/>
  <c r="AT249" i="36"/>
  <c r="AQ249" i="36"/>
  <c r="AN249" i="36"/>
  <c r="AK249" i="36"/>
  <c r="AH249" i="36"/>
  <c r="BI248" i="36"/>
  <c r="BF248" i="36"/>
  <c r="BC248" i="36"/>
  <c r="AW248" i="36"/>
  <c r="AT248" i="36"/>
  <c r="AQ248" i="36"/>
  <c r="AN248" i="36"/>
  <c r="AK248" i="36"/>
  <c r="AH248" i="36"/>
  <c r="BF247" i="36"/>
  <c r="BC247" i="36"/>
  <c r="AW247" i="36"/>
  <c r="AT247" i="36"/>
  <c r="AQ247" i="36"/>
  <c r="AN247" i="36"/>
  <c r="AK247" i="36"/>
  <c r="AH247" i="36"/>
  <c r="BI246" i="36"/>
  <c r="BF246" i="36"/>
  <c r="BC246" i="36"/>
  <c r="AW246" i="36"/>
  <c r="AT246" i="36"/>
  <c r="AQ246" i="36"/>
  <c r="AN246" i="36"/>
  <c r="AK246" i="36"/>
  <c r="AH246" i="36"/>
  <c r="BI245" i="36"/>
  <c r="BF245" i="36"/>
  <c r="BC245" i="36"/>
  <c r="AW245" i="36"/>
  <c r="AT245" i="36"/>
  <c r="AQ245" i="36"/>
  <c r="AN245" i="36"/>
  <c r="AK245" i="36"/>
  <c r="AH245" i="36"/>
  <c r="BI244" i="36"/>
  <c r="BF244" i="36"/>
  <c r="BC244" i="36"/>
  <c r="AW244" i="36"/>
  <c r="AT244" i="36"/>
  <c r="AQ244" i="36"/>
  <c r="AN244" i="36"/>
  <c r="AK244" i="36"/>
  <c r="AH244" i="36"/>
  <c r="BI243" i="36"/>
  <c r="BF243" i="36"/>
  <c r="BC243" i="36"/>
  <c r="AW243" i="36"/>
  <c r="AT243" i="36"/>
  <c r="AQ243" i="36"/>
  <c r="AN243" i="36"/>
  <c r="AK243" i="36"/>
  <c r="AH243" i="36"/>
  <c r="BF242" i="36"/>
  <c r="BC242" i="36"/>
  <c r="AW242" i="36"/>
  <c r="AT242" i="36"/>
  <c r="AQ242" i="36"/>
  <c r="AN242" i="36"/>
  <c r="AK242" i="36"/>
  <c r="AH242" i="36"/>
  <c r="BF241" i="36"/>
  <c r="BC241" i="36"/>
  <c r="AW241" i="36"/>
  <c r="AT241" i="36"/>
  <c r="AQ241" i="36"/>
  <c r="AN241" i="36"/>
  <c r="AK241" i="36"/>
  <c r="AH241" i="36"/>
  <c r="BF240" i="36"/>
  <c r="BC240" i="36"/>
  <c r="AW240" i="36"/>
  <c r="AT240" i="36"/>
  <c r="AQ240" i="36"/>
  <c r="AN240" i="36"/>
  <c r="AK240" i="36"/>
  <c r="AH240" i="36"/>
  <c r="BF239" i="36"/>
  <c r="BC239" i="36"/>
  <c r="AW239" i="36"/>
  <c r="AT239" i="36"/>
  <c r="AQ239" i="36"/>
  <c r="AN239" i="36"/>
  <c r="AK239" i="36"/>
  <c r="AH239" i="36"/>
  <c r="BF238" i="36"/>
  <c r="BC238" i="36"/>
  <c r="AW238" i="36"/>
  <c r="AT238" i="36"/>
  <c r="AQ238" i="36"/>
  <c r="AN238" i="36"/>
  <c r="AK238" i="36"/>
  <c r="AH238" i="36"/>
  <c r="BF237" i="36"/>
  <c r="BC237" i="36"/>
  <c r="AW237" i="36"/>
  <c r="AT237" i="36"/>
  <c r="AQ237" i="36"/>
  <c r="AN237" i="36"/>
  <c r="AK237" i="36"/>
  <c r="AH237" i="36"/>
  <c r="BI236" i="36"/>
  <c r="BF236" i="36"/>
  <c r="BC236" i="36"/>
  <c r="AW236" i="36"/>
  <c r="AT236" i="36"/>
  <c r="AQ236" i="36"/>
  <c r="AN236" i="36"/>
  <c r="AK236" i="36"/>
  <c r="AH236" i="36"/>
  <c r="BI235" i="36"/>
  <c r="BF235" i="36"/>
  <c r="BC235" i="36"/>
  <c r="AW235" i="36"/>
  <c r="AT235" i="36"/>
  <c r="AQ235" i="36"/>
  <c r="AN235" i="36"/>
  <c r="AK235" i="36"/>
  <c r="AH235" i="36"/>
  <c r="BI234" i="36"/>
  <c r="BF234" i="36"/>
  <c r="BC234" i="36"/>
  <c r="AW234" i="36"/>
  <c r="AT234" i="36"/>
  <c r="AQ234" i="36"/>
  <c r="AN234" i="36"/>
  <c r="AK234" i="36"/>
  <c r="AH234" i="36"/>
  <c r="BI233" i="36"/>
  <c r="BF233" i="36"/>
  <c r="BC233" i="36"/>
  <c r="AW233" i="36"/>
  <c r="AT233" i="36"/>
  <c r="AQ233" i="36"/>
  <c r="AN233" i="36"/>
  <c r="AK233" i="36"/>
  <c r="AH233" i="36"/>
  <c r="BI232" i="36"/>
  <c r="BF232" i="36"/>
  <c r="BC232" i="36"/>
  <c r="AW232" i="36"/>
  <c r="AT232" i="36"/>
  <c r="AQ232" i="36"/>
  <c r="AN232" i="36"/>
  <c r="AK232" i="36"/>
  <c r="AH232" i="36"/>
  <c r="BI231" i="36"/>
  <c r="BF231" i="36"/>
  <c r="BC231" i="36"/>
  <c r="AW231" i="36"/>
  <c r="AT231" i="36"/>
  <c r="AQ231" i="36"/>
  <c r="AN231" i="36"/>
  <c r="AK231" i="36"/>
  <c r="AH231" i="36"/>
  <c r="BI230" i="36"/>
  <c r="BF230" i="36"/>
  <c r="BC230" i="36"/>
  <c r="AW230" i="36"/>
  <c r="AT230" i="36"/>
  <c r="AQ230" i="36"/>
  <c r="AN230" i="36"/>
  <c r="AK230" i="36"/>
  <c r="AH230" i="36"/>
  <c r="BI229" i="36"/>
  <c r="BF229" i="36"/>
  <c r="BC229" i="36"/>
  <c r="AW229" i="36"/>
  <c r="AT229" i="36"/>
  <c r="AQ229" i="36"/>
  <c r="AN229" i="36"/>
  <c r="AK229" i="36"/>
  <c r="AH229" i="36"/>
  <c r="BI228" i="36"/>
  <c r="BF228" i="36"/>
  <c r="BC228" i="36"/>
  <c r="AW228" i="36"/>
  <c r="AT228" i="36"/>
  <c r="AQ228" i="36"/>
  <c r="AN228" i="36"/>
  <c r="AK228" i="36"/>
  <c r="AH228" i="36"/>
  <c r="BI227" i="36"/>
  <c r="BF227" i="36"/>
  <c r="BC227" i="36"/>
  <c r="AW227" i="36"/>
  <c r="AT227" i="36"/>
  <c r="AQ227" i="36"/>
  <c r="AN227" i="36"/>
  <c r="AK227" i="36"/>
  <c r="AH227" i="36"/>
  <c r="BI226" i="36"/>
  <c r="AW226" i="36"/>
  <c r="AT226" i="36"/>
  <c r="AQ226" i="36"/>
  <c r="AN226" i="36"/>
  <c r="AK226" i="36"/>
  <c r="AH226" i="36"/>
  <c r="BI225" i="36"/>
  <c r="AW225" i="36"/>
  <c r="AT225" i="36"/>
  <c r="AQ225" i="36"/>
  <c r="AN225" i="36"/>
  <c r="AK225" i="36"/>
  <c r="AH225" i="36"/>
  <c r="BI224" i="36"/>
  <c r="AW224" i="36"/>
  <c r="AT224" i="36"/>
  <c r="AQ224" i="36"/>
  <c r="AN224" i="36"/>
  <c r="AK224" i="36"/>
  <c r="AH224" i="36"/>
  <c r="BI223" i="36"/>
  <c r="AW223" i="36"/>
  <c r="AT223" i="36"/>
  <c r="AQ223" i="36"/>
  <c r="AN223" i="36"/>
  <c r="AK223" i="36"/>
  <c r="AH223" i="36"/>
  <c r="BI222" i="36"/>
  <c r="AW222" i="36"/>
  <c r="AT222" i="36"/>
  <c r="AQ222" i="36"/>
  <c r="AN222" i="36"/>
  <c r="AK222" i="36"/>
  <c r="AH222" i="36"/>
  <c r="BI221" i="36"/>
  <c r="AW221" i="36"/>
  <c r="AT221" i="36"/>
  <c r="AQ221" i="36"/>
  <c r="AN221" i="36"/>
  <c r="AK221" i="36"/>
  <c r="AH221" i="36"/>
  <c r="DQ220" i="36"/>
  <c r="DN220" i="36"/>
  <c r="DH220" i="36"/>
  <c r="DE220" i="36"/>
  <c r="DB220" i="36"/>
  <c r="CY220" i="36"/>
  <c r="CV220" i="36"/>
  <c r="CS220" i="36"/>
  <c r="CM220" i="36"/>
  <c r="CJ220" i="36"/>
  <c r="CG220" i="36"/>
  <c r="CD220" i="36"/>
  <c r="CA220" i="36"/>
  <c r="BX220" i="36"/>
  <c r="BR220" i="36"/>
  <c r="BO220" i="36"/>
  <c r="BL220" i="36"/>
  <c r="BI220" i="36"/>
  <c r="BF220" i="36"/>
  <c r="BC220" i="36"/>
  <c r="AW220" i="36"/>
  <c r="AT220" i="36"/>
  <c r="AQ220" i="36"/>
  <c r="AN220" i="36"/>
  <c r="AK220" i="36"/>
  <c r="AH220" i="36"/>
  <c r="DQ219" i="36"/>
  <c r="DN219" i="36"/>
  <c r="DH219" i="36"/>
  <c r="DE219" i="36"/>
  <c r="DB219" i="36"/>
  <c r="CY219" i="36"/>
  <c r="CV219" i="36"/>
  <c r="CS219" i="36"/>
  <c r="CM219" i="36"/>
  <c r="CJ219" i="36"/>
  <c r="CG219" i="36"/>
  <c r="CD219" i="36"/>
  <c r="CA219" i="36"/>
  <c r="BX219" i="36"/>
  <c r="BR219" i="36"/>
  <c r="BO219" i="36"/>
  <c r="BL219" i="36"/>
  <c r="BI219" i="36"/>
  <c r="BF219" i="36"/>
  <c r="BC219" i="36"/>
  <c r="AW219" i="36"/>
  <c r="AT219" i="36"/>
  <c r="AQ219" i="36"/>
  <c r="AN219" i="36"/>
  <c r="AK219" i="36"/>
  <c r="AH219" i="36"/>
  <c r="DQ218" i="36"/>
  <c r="DN218" i="36"/>
  <c r="DH218" i="36"/>
  <c r="DE218" i="36"/>
  <c r="DB218" i="36"/>
  <c r="CY218" i="36"/>
  <c r="CV218" i="36"/>
  <c r="CS218" i="36"/>
  <c r="CM218" i="36"/>
  <c r="CJ218" i="36"/>
  <c r="CG218" i="36"/>
  <c r="CD218" i="36"/>
  <c r="CA218" i="36"/>
  <c r="BX218" i="36"/>
  <c r="BR218" i="36"/>
  <c r="BO218" i="36"/>
  <c r="BL218" i="36"/>
  <c r="BI218" i="36"/>
  <c r="BF218" i="36"/>
  <c r="BC218" i="36"/>
  <c r="AW218" i="36"/>
  <c r="AT218" i="36"/>
  <c r="AQ218" i="36"/>
  <c r="AN218" i="36"/>
  <c r="AK218" i="36"/>
  <c r="AH218" i="36"/>
  <c r="DQ217" i="36"/>
  <c r="DN217" i="36"/>
  <c r="DH217" i="36"/>
  <c r="DE217" i="36"/>
  <c r="DB217" i="36"/>
  <c r="CY217" i="36"/>
  <c r="CV217" i="36"/>
  <c r="CS217" i="36"/>
  <c r="CM217" i="36"/>
  <c r="CJ217" i="36"/>
  <c r="CG217" i="36"/>
  <c r="CD217" i="36"/>
  <c r="CA217" i="36"/>
  <c r="BX217" i="36"/>
  <c r="BR217" i="36"/>
  <c r="BO217" i="36"/>
  <c r="BL217" i="36"/>
  <c r="BI217" i="36"/>
  <c r="BF217" i="36"/>
  <c r="BC217" i="36"/>
  <c r="AW217" i="36"/>
  <c r="AT217" i="36"/>
  <c r="AQ217" i="36"/>
  <c r="AN217" i="36"/>
  <c r="AK217" i="36"/>
  <c r="AH217" i="36"/>
  <c r="DQ216" i="36"/>
  <c r="DN216" i="36"/>
  <c r="DH216" i="36"/>
  <c r="DE216" i="36"/>
  <c r="DB216" i="36"/>
  <c r="CY216" i="36"/>
  <c r="CV216" i="36"/>
  <c r="CS216" i="36"/>
  <c r="CM216" i="36"/>
  <c r="CJ216" i="36"/>
  <c r="CG216" i="36"/>
  <c r="CD216" i="36"/>
  <c r="CA216" i="36"/>
  <c r="BX216" i="36"/>
  <c r="BR216" i="36"/>
  <c r="BO216" i="36"/>
  <c r="BL216" i="36"/>
  <c r="BI216" i="36"/>
  <c r="BF216" i="36"/>
  <c r="BC216" i="36"/>
  <c r="AW216" i="36"/>
  <c r="AT216" i="36"/>
  <c r="AQ216" i="36"/>
  <c r="AN216" i="36"/>
  <c r="AK216" i="36"/>
  <c r="AH216" i="36"/>
  <c r="DQ215" i="36"/>
  <c r="DN215" i="36"/>
  <c r="DH215" i="36"/>
  <c r="DE215" i="36"/>
  <c r="DB215" i="36"/>
  <c r="CY215" i="36"/>
  <c r="CV215" i="36"/>
  <c r="CS215" i="36"/>
  <c r="CM215" i="36"/>
  <c r="CJ215" i="36"/>
  <c r="CG215" i="36"/>
  <c r="CD215" i="36"/>
  <c r="CA215" i="36"/>
  <c r="BX215" i="36"/>
  <c r="BR215" i="36"/>
  <c r="BO215" i="36"/>
  <c r="BL215" i="36"/>
  <c r="BI215" i="36"/>
  <c r="BF215" i="36"/>
  <c r="BC215" i="36"/>
  <c r="AW215" i="36"/>
  <c r="AT215" i="36"/>
  <c r="AQ215" i="36"/>
  <c r="AN215" i="36"/>
  <c r="AK215" i="36"/>
  <c r="AH215" i="36"/>
  <c r="DQ214" i="36"/>
  <c r="DN214" i="36"/>
  <c r="DH214" i="36"/>
  <c r="DE214" i="36"/>
  <c r="DB214" i="36"/>
  <c r="CY214" i="36"/>
  <c r="CV214" i="36"/>
  <c r="CS214" i="36"/>
  <c r="CM214" i="36"/>
  <c r="CJ214" i="36"/>
  <c r="CG214" i="36"/>
  <c r="CD214" i="36"/>
  <c r="CA214" i="36"/>
  <c r="BX214" i="36"/>
  <c r="BR214" i="36"/>
  <c r="BO214" i="36"/>
  <c r="BL214" i="36"/>
  <c r="BI214" i="36"/>
  <c r="BF214" i="36"/>
  <c r="BC214" i="36"/>
  <c r="AW214" i="36"/>
  <c r="AT214" i="36"/>
  <c r="AQ214" i="36"/>
  <c r="AN214" i="36"/>
  <c r="AK214" i="36"/>
  <c r="AH214" i="36"/>
  <c r="DQ213" i="36"/>
  <c r="DN213" i="36"/>
  <c r="DH213" i="36"/>
  <c r="DE213" i="36"/>
  <c r="DB213" i="36"/>
  <c r="CY213" i="36"/>
  <c r="CV213" i="36"/>
  <c r="CS213" i="36"/>
  <c r="CM213" i="36"/>
  <c r="CJ213" i="36"/>
  <c r="CG213" i="36"/>
  <c r="CD213" i="36"/>
  <c r="CA213" i="36"/>
  <c r="BX213" i="36"/>
  <c r="BR213" i="36"/>
  <c r="BO213" i="36"/>
  <c r="BL213" i="36"/>
  <c r="BI213" i="36"/>
  <c r="BF213" i="36"/>
  <c r="BC213" i="36"/>
  <c r="AW213" i="36"/>
  <c r="AT213" i="36"/>
  <c r="AQ213" i="36"/>
  <c r="AN213" i="36"/>
  <c r="AK213" i="36"/>
  <c r="AH213" i="36"/>
  <c r="DQ212" i="36"/>
  <c r="DN212" i="36"/>
  <c r="DH212" i="36"/>
  <c r="DE212" i="36"/>
  <c r="DB212" i="36"/>
  <c r="CY212" i="36"/>
  <c r="CV212" i="36"/>
  <c r="CS212" i="36"/>
  <c r="CM212" i="36"/>
  <c r="CJ212" i="36"/>
  <c r="CG212" i="36"/>
  <c r="CD212" i="36"/>
  <c r="CA212" i="36"/>
  <c r="BX212" i="36"/>
  <c r="BR212" i="36"/>
  <c r="BO212" i="36"/>
  <c r="BL212" i="36"/>
  <c r="BI212" i="36"/>
  <c r="BF212" i="36"/>
  <c r="BC212" i="36"/>
  <c r="AW212" i="36"/>
  <c r="AT212" i="36"/>
  <c r="AQ212" i="36"/>
  <c r="AN212" i="36"/>
  <c r="AK212" i="36"/>
  <c r="AH212" i="36"/>
  <c r="DQ211" i="36"/>
  <c r="DN211" i="36"/>
  <c r="DH211" i="36"/>
  <c r="DE211" i="36"/>
  <c r="DB211" i="36"/>
  <c r="CY211" i="36"/>
  <c r="CV211" i="36"/>
  <c r="CS211" i="36"/>
  <c r="CM211" i="36"/>
  <c r="CJ211" i="36"/>
  <c r="CG211" i="36"/>
  <c r="CD211" i="36"/>
  <c r="CA211" i="36"/>
  <c r="BX211" i="36"/>
  <c r="BR211" i="36"/>
  <c r="BO211" i="36"/>
  <c r="BL211" i="36"/>
  <c r="BI211" i="36"/>
  <c r="BF211" i="36"/>
  <c r="BC211" i="36"/>
  <c r="AW211" i="36"/>
  <c r="AT211" i="36"/>
  <c r="AQ211" i="36"/>
  <c r="AN211" i="36"/>
  <c r="AK211" i="36"/>
  <c r="AH211" i="36"/>
  <c r="DQ210" i="36"/>
  <c r="DN210" i="36"/>
  <c r="DH210" i="36"/>
  <c r="DE210" i="36"/>
  <c r="DB210" i="36"/>
  <c r="CY210" i="36"/>
  <c r="CV210" i="36"/>
  <c r="CS210" i="36"/>
  <c r="CM210" i="36"/>
  <c r="CJ210" i="36"/>
  <c r="CG210" i="36"/>
  <c r="CD210" i="36"/>
  <c r="CA210" i="36"/>
  <c r="BX210" i="36"/>
  <c r="BR210" i="36"/>
  <c r="BO210" i="36"/>
  <c r="BL210" i="36"/>
  <c r="BI210" i="36"/>
  <c r="BF210" i="36"/>
  <c r="BC210" i="36"/>
  <c r="AW210" i="36"/>
  <c r="AT210" i="36"/>
  <c r="AQ210" i="36"/>
  <c r="AN210" i="36"/>
  <c r="AK210" i="36"/>
  <c r="AH210" i="36"/>
  <c r="DQ209" i="36"/>
  <c r="DN209" i="36"/>
  <c r="DH209" i="36"/>
  <c r="DE209" i="36"/>
  <c r="DB209" i="36"/>
  <c r="CY209" i="36"/>
  <c r="CV209" i="36"/>
  <c r="CS209" i="36"/>
  <c r="CM209" i="36"/>
  <c r="CJ209" i="36"/>
  <c r="CG209" i="36"/>
  <c r="CD209" i="36"/>
  <c r="CA209" i="36"/>
  <c r="BX209" i="36"/>
  <c r="BR209" i="36"/>
  <c r="BO209" i="36"/>
  <c r="BL209" i="36"/>
  <c r="BI209" i="36"/>
  <c r="BF209" i="36"/>
  <c r="BC209" i="36"/>
  <c r="AW209" i="36"/>
  <c r="AT209" i="36"/>
  <c r="AQ209" i="36"/>
  <c r="AN209" i="36"/>
  <c r="AK209" i="36"/>
  <c r="AH209" i="36"/>
  <c r="DQ208" i="36"/>
  <c r="DN208" i="36"/>
  <c r="DH208" i="36"/>
  <c r="DE208" i="36"/>
  <c r="DB208" i="36"/>
  <c r="CY208" i="36"/>
  <c r="CV208" i="36"/>
  <c r="CS208" i="36"/>
  <c r="CM208" i="36"/>
  <c r="CJ208" i="36"/>
  <c r="CG208" i="36"/>
  <c r="CD208" i="36"/>
  <c r="CA208" i="36"/>
  <c r="BX208" i="36"/>
  <c r="BR208" i="36"/>
  <c r="BO208" i="36"/>
  <c r="BL208" i="36"/>
  <c r="BI208" i="36"/>
  <c r="BF208" i="36"/>
  <c r="BC208" i="36"/>
  <c r="AW208" i="36"/>
  <c r="AT208" i="36"/>
  <c r="AQ208" i="36"/>
  <c r="AN208" i="36"/>
  <c r="AK208" i="36"/>
  <c r="AH208" i="36"/>
  <c r="DQ207" i="36"/>
  <c r="DN207" i="36"/>
  <c r="DH207" i="36"/>
  <c r="DE207" i="36"/>
  <c r="DB207" i="36"/>
  <c r="CY207" i="36"/>
  <c r="CV207" i="36"/>
  <c r="CS207" i="36"/>
  <c r="CM207" i="36"/>
  <c r="CJ207" i="36"/>
  <c r="CG207" i="36"/>
  <c r="CD207" i="36"/>
  <c r="CA207" i="36"/>
  <c r="BX207" i="36"/>
  <c r="BR207" i="36"/>
  <c r="BO207" i="36"/>
  <c r="BL207" i="36"/>
  <c r="BI207" i="36"/>
  <c r="BF207" i="36"/>
  <c r="BC207" i="36"/>
  <c r="AW207" i="36"/>
  <c r="AT207" i="36"/>
  <c r="AQ207" i="36"/>
  <c r="AN207" i="36"/>
  <c r="AK207" i="36"/>
  <c r="AH207" i="36"/>
  <c r="DQ206" i="36"/>
  <c r="DN206" i="36"/>
  <c r="DH206" i="36"/>
  <c r="DE206" i="36"/>
  <c r="DB206" i="36"/>
  <c r="CY206" i="36"/>
  <c r="CV206" i="36"/>
  <c r="CS206" i="36"/>
  <c r="CM206" i="36"/>
  <c r="CJ206" i="36"/>
  <c r="CG206" i="36"/>
  <c r="CD206" i="36"/>
  <c r="CA206" i="36"/>
  <c r="BX206" i="36"/>
  <c r="BR206" i="36"/>
  <c r="BO206" i="36"/>
  <c r="BL206" i="36"/>
  <c r="BI206" i="36"/>
  <c r="BF206" i="36"/>
  <c r="BC206" i="36"/>
  <c r="AW206" i="36"/>
  <c r="AT206" i="36"/>
  <c r="AQ206" i="36"/>
  <c r="AN206" i="36"/>
  <c r="AK206" i="36"/>
  <c r="AH206" i="36"/>
  <c r="DQ205" i="36"/>
  <c r="DN205" i="36"/>
  <c r="DH205" i="36"/>
  <c r="DE205" i="36"/>
  <c r="DB205" i="36"/>
  <c r="CY205" i="36"/>
  <c r="CV205" i="36"/>
  <c r="CS205" i="36"/>
  <c r="CM205" i="36"/>
  <c r="CJ205" i="36"/>
  <c r="CG205" i="36"/>
  <c r="CD205" i="36"/>
  <c r="CA205" i="36"/>
  <c r="BX205" i="36"/>
  <c r="BR205" i="36"/>
  <c r="BO205" i="36"/>
  <c r="BL205" i="36"/>
  <c r="BI205" i="36"/>
  <c r="BF205" i="36"/>
  <c r="BC205" i="36"/>
  <c r="AW205" i="36"/>
  <c r="AT205" i="36"/>
  <c r="AQ205" i="36"/>
  <c r="AN205" i="36"/>
  <c r="AK205" i="36"/>
  <c r="AH205" i="36"/>
  <c r="DQ204" i="36"/>
  <c r="DN204" i="36"/>
  <c r="DH204" i="36"/>
  <c r="DE204" i="36"/>
  <c r="DB204" i="36"/>
  <c r="CY204" i="36"/>
  <c r="CV204" i="36"/>
  <c r="CS204" i="36"/>
  <c r="CM204" i="36"/>
  <c r="CJ204" i="36"/>
  <c r="CG204" i="36"/>
  <c r="CD204" i="36"/>
  <c r="CA204" i="36"/>
  <c r="BX204" i="36"/>
  <c r="BR204" i="36"/>
  <c r="BO204" i="36"/>
  <c r="BL204" i="36"/>
  <c r="BI204" i="36"/>
  <c r="BF204" i="36"/>
  <c r="BC204" i="36"/>
  <c r="AW204" i="36"/>
  <c r="AT204" i="36"/>
  <c r="AQ204" i="36"/>
  <c r="AN204" i="36"/>
  <c r="AK204" i="36"/>
  <c r="AH204" i="36"/>
  <c r="DQ203" i="36"/>
  <c r="DN203" i="36"/>
  <c r="DH203" i="36"/>
  <c r="DE203" i="36"/>
  <c r="DB203" i="36"/>
  <c r="CY203" i="36"/>
  <c r="CV203" i="36"/>
  <c r="CS203" i="36"/>
  <c r="CM203" i="36"/>
  <c r="CJ203" i="36"/>
  <c r="CG203" i="36"/>
  <c r="CD203" i="36"/>
  <c r="CA203" i="36"/>
  <c r="BX203" i="36"/>
  <c r="BR203" i="36"/>
  <c r="BO203" i="36"/>
  <c r="BL203" i="36"/>
  <c r="BI203" i="36"/>
  <c r="BF203" i="36"/>
  <c r="BC203" i="36"/>
  <c r="AW203" i="36"/>
  <c r="AT203" i="36"/>
  <c r="AQ203" i="36"/>
  <c r="AN203" i="36"/>
  <c r="AK203" i="36"/>
  <c r="AH203" i="36"/>
  <c r="DQ202" i="36"/>
  <c r="DN202" i="36"/>
  <c r="DH202" i="36"/>
  <c r="DE202" i="36"/>
  <c r="DB202" i="36"/>
  <c r="CY202" i="36"/>
  <c r="CV202" i="36"/>
  <c r="CS202" i="36"/>
  <c r="CM202" i="36"/>
  <c r="CJ202" i="36"/>
  <c r="CG202" i="36"/>
  <c r="CA202" i="36"/>
  <c r="BZ202" i="36"/>
  <c r="BY202" i="36"/>
  <c r="CD202" i="36" s="1"/>
  <c r="BX202" i="36"/>
  <c r="BR202" i="36"/>
  <c r="BO202" i="36"/>
  <c r="BL202" i="36"/>
  <c r="BI202" i="36"/>
  <c r="BF202" i="36"/>
  <c r="BC202" i="36"/>
  <c r="AW202" i="36"/>
  <c r="AT202" i="36"/>
  <c r="AQ202" i="36"/>
  <c r="AN202" i="36"/>
  <c r="AK202" i="36"/>
  <c r="AH202" i="36"/>
  <c r="DQ201" i="36"/>
  <c r="DN201" i="36"/>
  <c r="DH201" i="36"/>
  <c r="DE201" i="36"/>
  <c r="DB201" i="36"/>
  <c r="CY201" i="36"/>
  <c r="CV201" i="36"/>
  <c r="CS201" i="36"/>
  <c r="CM201" i="36"/>
  <c r="CJ201" i="36"/>
  <c r="CG201" i="36"/>
  <c r="CD201" i="36"/>
  <c r="CA201" i="36"/>
  <c r="BX201" i="36"/>
  <c r="BR201" i="36"/>
  <c r="BO201" i="36"/>
  <c r="BL201" i="36"/>
  <c r="BI201" i="36"/>
  <c r="BF201" i="36"/>
  <c r="BC201" i="36"/>
  <c r="AW201" i="36"/>
  <c r="AT201" i="36"/>
  <c r="AQ201" i="36"/>
  <c r="AN201" i="36"/>
  <c r="AK201" i="36"/>
  <c r="AH201" i="36"/>
  <c r="DQ200" i="36"/>
  <c r="DN200" i="36"/>
  <c r="DH200" i="36"/>
  <c r="DE200" i="36"/>
  <c r="DB200" i="36"/>
  <c r="CY200" i="36"/>
  <c r="CV200" i="36"/>
  <c r="CS200" i="36"/>
  <c r="CM200" i="36"/>
  <c r="CJ200" i="36"/>
  <c r="CG200" i="36"/>
  <c r="CD200" i="36"/>
  <c r="CA200" i="36"/>
  <c r="BX200" i="36"/>
  <c r="BR200" i="36"/>
  <c r="BO200" i="36"/>
  <c r="BL200" i="36"/>
  <c r="BI200" i="36"/>
  <c r="BF200" i="36"/>
  <c r="BC200" i="36"/>
  <c r="AW200" i="36"/>
  <c r="AT200" i="36"/>
  <c r="AQ200" i="36"/>
  <c r="AN200" i="36"/>
  <c r="AK200" i="36"/>
  <c r="AH200" i="36"/>
  <c r="DQ199" i="36"/>
  <c r="DN199" i="36"/>
  <c r="DH199" i="36"/>
  <c r="DE199" i="36"/>
  <c r="DB199" i="36"/>
  <c r="CY199" i="36"/>
  <c r="CV199" i="36"/>
  <c r="CS199" i="36"/>
  <c r="CM199" i="36"/>
  <c r="CJ199" i="36"/>
  <c r="CG199" i="36"/>
  <c r="CD199" i="36"/>
  <c r="CA199" i="36"/>
  <c r="BX199" i="36"/>
  <c r="BR199" i="36"/>
  <c r="BO199" i="36"/>
  <c r="BL199" i="36"/>
  <c r="BI199" i="36"/>
  <c r="BF199" i="36"/>
  <c r="BC199" i="36"/>
  <c r="AW199" i="36"/>
  <c r="AT199" i="36"/>
  <c r="AQ199" i="36"/>
  <c r="AN199" i="36"/>
  <c r="AK199" i="36"/>
  <c r="AH199" i="36"/>
  <c r="DQ198" i="36"/>
  <c r="DN198" i="36"/>
  <c r="DH198" i="36"/>
  <c r="DE198" i="36"/>
  <c r="DB198" i="36"/>
  <c r="CY198" i="36"/>
  <c r="CV198" i="36"/>
  <c r="CS198" i="36"/>
  <c r="CM198" i="36"/>
  <c r="CJ198" i="36"/>
  <c r="CG198" i="36"/>
  <c r="CD198" i="36"/>
  <c r="CA198" i="36"/>
  <c r="BX198" i="36"/>
  <c r="BR198" i="36"/>
  <c r="BO198" i="36"/>
  <c r="BL198" i="36"/>
  <c r="BI198" i="36"/>
  <c r="BF198" i="36"/>
  <c r="BC198" i="36"/>
  <c r="AW198" i="36"/>
  <c r="AT198" i="36"/>
  <c r="AQ198" i="36"/>
  <c r="AN198" i="36"/>
  <c r="AK198" i="36"/>
  <c r="AH198" i="36"/>
  <c r="DQ197" i="36"/>
  <c r="DN197" i="36"/>
  <c r="DH197" i="36"/>
  <c r="DE197" i="36"/>
  <c r="DB197" i="36"/>
  <c r="CY197" i="36"/>
  <c r="CV197" i="36"/>
  <c r="CS197" i="36"/>
  <c r="CM197" i="36"/>
  <c r="CJ197" i="36"/>
  <c r="CG197" i="36"/>
  <c r="CD197" i="36"/>
  <c r="CA197" i="36"/>
  <c r="BX197" i="36"/>
  <c r="BR197" i="36"/>
  <c r="BO197" i="36"/>
  <c r="BL197" i="36"/>
  <c r="BI197" i="36"/>
  <c r="BF197" i="36"/>
  <c r="BC197" i="36"/>
  <c r="AW197" i="36"/>
  <c r="AT197" i="36"/>
  <c r="AQ197" i="36"/>
  <c r="AN197" i="36"/>
  <c r="AK197" i="36"/>
  <c r="AH197" i="36"/>
  <c r="DQ196" i="36"/>
  <c r="DN196" i="36"/>
  <c r="DH196" i="36"/>
  <c r="DE196" i="36"/>
  <c r="DB196" i="36"/>
  <c r="CY196" i="36"/>
  <c r="CV196" i="36"/>
  <c r="CS196" i="36"/>
  <c r="CM196" i="36"/>
  <c r="CJ196" i="36"/>
  <c r="CG196" i="36"/>
  <c r="CD196" i="36"/>
  <c r="CA196" i="36"/>
  <c r="BX196" i="36"/>
  <c r="BR196" i="36"/>
  <c r="BO196" i="36"/>
  <c r="BL196" i="36"/>
  <c r="BI196" i="36"/>
  <c r="BF196" i="36"/>
  <c r="BC196" i="36"/>
  <c r="AW196" i="36"/>
  <c r="AT196" i="36"/>
  <c r="AQ196" i="36"/>
  <c r="AN196" i="36"/>
  <c r="AK196" i="36"/>
  <c r="AH196" i="36"/>
  <c r="DQ195" i="36"/>
  <c r="DN195" i="36"/>
  <c r="DH195" i="36"/>
  <c r="DE195" i="36"/>
  <c r="DB195" i="36"/>
  <c r="CY195" i="36"/>
  <c r="CV195" i="36"/>
  <c r="CS195" i="36"/>
  <c r="CM195" i="36"/>
  <c r="CJ195" i="36"/>
  <c r="CG195" i="36"/>
  <c r="CD195" i="36"/>
  <c r="CA195" i="36"/>
  <c r="BX195" i="36"/>
  <c r="BR195" i="36"/>
  <c r="BO195" i="36"/>
  <c r="BL195" i="36"/>
  <c r="BI195" i="36"/>
  <c r="BF195" i="36"/>
  <c r="BC195" i="36"/>
  <c r="AW195" i="36"/>
  <c r="AT195" i="36"/>
  <c r="AQ195" i="36"/>
  <c r="AN195" i="36"/>
  <c r="AK195" i="36"/>
  <c r="AH195" i="36"/>
  <c r="DQ194" i="36"/>
  <c r="DN194" i="36"/>
  <c r="DH194" i="36"/>
  <c r="DE194" i="36"/>
  <c r="DB194" i="36"/>
  <c r="CY194" i="36"/>
  <c r="CV194" i="36"/>
  <c r="CS194" i="36"/>
  <c r="CM194" i="36"/>
  <c r="CJ194" i="36"/>
  <c r="CG194" i="36"/>
  <c r="CD194" i="36"/>
  <c r="CA194" i="36"/>
  <c r="BX194" i="36"/>
  <c r="BR194" i="36"/>
  <c r="BO194" i="36"/>
  <c r="BL194" i="36"/>
  <c r="BI194" i="36"/>
  <c r="BF194" i="36"/>
  <c r="BC194" i="36"/>
  <c r="AW194" i="36"/>
  <c r="AT194" i="36"/>
  <c r="AQ194" i="36"/>
  <c r="AN194" i="36"/>
  <c r="AK194" i="36"/>
  <c r="AH194" i="36"/>
  <c r="DQ193" i="36"/>
  <c r="DN193" i="36"/>
  <c r="DH193" i="36"/>
  <c r="DE193" i="36"/>
  <c r="DB193" i="36"/>
  <c r="CY193" i="36"/>
  <c r="CV193" i="36"/>
  <c r="CS193" i="36"/>
  <c r="CM193" i="36"/>
  <c r="CJ193" i="36"/>
  <c r="CG193" i="36"/>
  <c r="CD193" i="36"/>
  <c r="CA193" i="36"/>
  <c r="BX193" i="36"/>
  <c r="BR193" i="36"/>
  <c r="BO193" i="36"/>
  <c r="BL193" i="36"/>
  <c r="BI193" i="36"/>
  <c r="BF193" i="36"/>
  <c r="BC193" i="36"/>
  <c r="AW193" i="36"/>
  <c r="AT193" i="36"/>
  <c r="AQ193" i="36"/>
  <c r="AN193" i="36"/>
  <c r="AK193" i="36"/>
  <c r="AH193" i="36"/>
  <c r="DQ192" i="36"/>
  <c r="DN192" i="36"/>
  <c r="DH192" i="36"/>
  <c r="DE192" i="36"/>
  <c r="DB192" i="36"/>
  <c r="CY192" i="36"/>
  <c r="CV192" i="36"/>
  <c r="CS192" i="36"/>
  <c r="CM192" i="36"/>
  <c r="CJ192" i="36"/>
  <c r="CG192" i="36"/>
  <c r="CD192" i="36"/>
  <c r="CA192" i="36"/>
  <c r="BX192" i="36"/>
  <c r="BR192" i="36"/>
  <c r="BO192" i="36"/>
  <c r="BL192" i="36"/>
  <c r="BI192" i="36"/>
  <c r="BF192" i="36"/>
  <c r="BC192" i="36"/>
  <c r="AW192" i="36"/>
  <c r="AT192" i="36"/>
  <c r="AQ192" i="36"/>
  <c r="AN192" i="36"/>
  <c r="AK192" i="36"/>
  <c r="AH192" i="36"/>
  <c r="DQ191" i="36"/>
  <c r="DN191" i="36"/>
  <c r="DH191" i="36"/>
  <c r="DE191" i="36"/>
  <c r="DB191" i="36"/>
  <c r="CY191" i="36"/>
  <c r="CV191" i="36"/>
  <c r="CS191" i="36"/>
  <c r="CM191" i="36"/>
  <c r="CJ191" i="36"/>
  <c r="CG191" i="36"/>
  <c r="CD191" i="36"/>
  <c r="CA191" i="36"/>
  <c r="BX191" i="36"/>
  <c r="BR191" i="36"/>
  <c r="BO191" i="36"/>
  <c r="BL191" i="36"/>
  <c r="BI191" i="36"/>
  <c r="BF191" i="36"/>
  <c r="BC191" i="36"/>
  <c r="AW191" i="36"/>
  <c r="AT191" i="36"/>
  <c r="AQ191" i="36"/>
  <c r="AN191" i="36"/>
  <c r="AK191" i="36"/>
  <c r="AH191" i="36"/>
  <c r="DQ190" i="36"/>
  <c r="DN190" i="36"/>
  <c r="DH190" i="36"/>
  <c r="DE190" i="36"/>
  <c r="DB190" i="36"/>
  <c r="CY190" i="36"/>
  <c r="CV190" i="36"/>
  <c r="CS190" i="36"/>
  <c r="CM190" i="36"/>
  <c r="CJ190" i="36"/>
  <c r="CG190" i="36"/>
  <c r="CD190" i="36"/>
  <c r="CA190" i="36"/>
  <c r="BX190" i="36"/>
  <c r="BR190" i="36"/>
  <c r="BO190" i="36"/>
  <c r="BL190" i="36"/>
  <c r="BI190" i="36"/>
  <c r="BF190" i="36"/>
  <c r="BC190" i="36"/>
  <c r="AW190" i="36"/>
  <c r="AT190" i="36"/>
  <c r="AQ190" i="36"/>
  <c r="AN190" i="36"/>
  <c r="AK190" i="36"/>
  <c r="AH190" i="36"/>
  <c r="DQ189" i="36"/>
  <c r="DN189" i="36"/>
  <c r="DH189" i="36"/>
  <c r="DE189" i="36"/>
  <c r="DB189" i="36"/>
  <c r="CY189" i="36"/>
  <c r="CV189" i="36"/>
  <c r="CS189" i="36"/>
  <c r="CM189" i="36"/>
  <c r="CJ189" i="36"/>
  <c r="CG189" i="36"/>
  <c r="CD189" i="36"/>
  <c r="CA189" i="36"/>
  <c r="BX189" i="36"/>
  <c r="BR189" i="36"/>
  <c r="BO189" i="36"/>
  <c r="BL189" i="36"/>
  <c r="BI189" i="36"/>
  <c r="BF189" i="36"/>
  <c r="BC189" i="36"/>
  <c r="AW189" i="36"/>
  <c r="AT189" i="36"/>
  <c r="AQ189" i="36"/>
  <c r="AN189" i="36"/>
  <c r="AK189" i="36"/>
  <c r="AH189" i="36"/>
  <c r="DQ188" i="36"/>
  <c r="DN188" i="36"/>
  <c r="DH188" i="36"/>
  <c r="DE188" i="36"/>
  <c r="DB188" i="36"/>
  <c r="CY188" i="36"/>
  <c r="CV188" i="36"/>
  <c r="CS188" i="36"/>
  <c r="CM188" i="36"/>
  <c r="CJ188" i="36"/>
  <c r="CG188" i="36"/>
  <c r="CD188" i="36"/>
  <c r="CA188" i="36"/>
  <c r="BX188" i="36"/>
  <c r="BR188" i="36"/>
  <c r="BO188" i="36"/>
  <c r="BL188" i="36"/>
  <c r="BI188" i="36"/>
  <c r="BF188" i="36"/>
  <c r="BC188" i="36"/>
  <c r="AW188" i="36"/>
  <c r="AT188" i="36"/>
  <c r="AQ188" i="36"/>
  <c r="AN188" i="36"/>
  <c r="AK188" i="36"/>
  <c r="AH188" i="36"/>
  <c r="DQ187" i="36"/>
  <c r="DN187" i="36"/>
  <c r="DH187" i="36"/>
  <c r="DE187" i="36"/>
  <c r="DB187" i="36"/>
  <c r="CY187" i="36"/>
  <c r="CV187" i="36"/>
  <c r="CS187" i="36"/>
  <c r="CM187" i="36"/>
  <c r="CJ187" i="36"/>
  <c r="CG187" i="36"/>
  <c r="CD187" i="36"/>
  <c r="CA187" i="36"/>
  <c r="BX187" i="36"/>
  <c r="BR187" i="36"/>
  <c r="BO187" i="36"/>
  <c r="BL187" i="36"/>
  <c r="BI187" i="36"/>
  <c r="BF187" i="36"/>
  <c r="BC187" i="36"/>
  <c r="AW187" i="36"/>
  <c r="AT187" i="36"/>
  <c r="AQ187" i="36"/>
  <c r="AN187" i="36"/>
  <c r="AK187" i="36"/>
  <c r="AH187" i="36"/>
  <c r="DQ186" i="36"/>
  <c r="DN186" i="36"/>
  <c r="DH186" i="36"/>
  <c r="DE186" i="36"/>
  <c r="DB186" i="36"/>
  <c r="CY186" i="36"/>
  <c r="CV186" i="36"/>
  <c r="CS186" i="36"/>
  <c r="CM186" i="36"/>
  <c r="CJ186" i="36"/>
  <c r="CG186" i="36"/>
  <c r="CD186" i="36"/>
  <c r="CA186" i="36"/>
  <c r="BX186" i="36"/>
  <c r="BR186" i="36"/>
  <c r="BO186" i="36"/>
  <c r="BL186" i="36"/>
  <c r="BI186" i="36"/>
  <c r="BF186" i="36"/>
  <c r="BC186" i="36"/>
  <c r="AW186" i="36"/>
  <c r="AT186" i="36"/>
  <c r="AQ186" i="36"/>
  <c r="AN186" i="36"/>
  <c r="AK186" i="36"/>
  <c r="AH186" i="36"/>
  <c r="DQ185" i="36"/>
  <c r="DN185" i="36"/>
  <c r="DH185" i="36"/>
  <c r="DE185" i="36"/>
  <c r="DB185" i="36"/>
  <c r="CY185" i="36"/>
  <c r="CV185" i="36"/>
  <c r="CS185" i="36"/>
  <c r="CM185" i="36"/>
  <c r="CJ185" i="36"/>
  <c r="CG185" i="36"/>
  <c r="CD185" i="36"/>
  <c r="CA185" i="36"/>
  <c r="BX185" i="36"/>
  <c r="BR185" i="36"/>
  <c r="BO185" i="36"/>
  <c r="BL185" i="36"/>
  <c r="BI185" i="36"/>
  <c r="BF185" i="36"/>
  <c r="BC185" i="36"/>
  <c r="AW185" i="36"/>
  <c r="AT185" i="36"/>
  <c r="AQ185" i="36"/>
  <c r="AN185" i="36"/>
  <c r="AK185" i="36"/>
  <c r="AH185" i="36"/>
  <c r="DQ184" i="36"/>
  <c r="DN184" i="36"/>
  <c r="DH184" i="36"/>
  <c r="DE184" i="36"/>
  <c r="DB184" i="36"/>
  <c r="CY184" i="36"/>
  <c r="CV184" i="36"/>
  <c r="CS184" i="36"/>
  <c r="CM184" i="36"/>
  <c r="CJ184" i="36"/>
  <c r="CG184" i="36"/>
  <c r="CD184" i="36"/>
  <c r="CA184" i="36"/>
  <c r="BX184" i="36"/>
  <c r="BR184" i="36"/>
  <c r="BO184" i="36"/>
  <c r="BL184" i="36"/>
  <c r="BI184" i="36"/>
  <c r="BF184" i="36"/>
  <c r="BC184" i="36"/>
  <c r="AW184" i="36"/>
  <c r="AT184" i="36"/>
  <c r="AQ184" i="36"/>
  <c r="AN184" i="36"/>
  <c r="AK184" i="36"/>
  <c r="AH184" i="36"/>
  <c r="DQ183" i="36"/>
  <c r="DN183" i="36"/>
  <c r="DH183" i="36"/>
  <c r="DE183" i="36"/>
  <c r="DB183" i="36"/>
  <c r="CY183" i="36"/>
  <c r="CV183" i="36"/>
  <c r="CS183" i="36"/>
  <c r="CM183" i="36"/>
  <c r="CJ183" i="36"/>
  <c r="CG183" i="36"/>
  <c r="CD183" i="36"/>
  <c r="CA183" i="36"/>
  <c r="BX183" i="36"/>
  <c r="BR183" i="36"/>
  <c r="BO183" i="36"/>
  <c r="BL183" i="36"/>
  <c r="BI183" i="36"/>
  <c r="BF183" i="36"/>
  <c r="BC183" i="36"/>
  <c r="AW183" i="36"/>
  <c r="AT183" i="36"/>
  <c r="AQ183" i="36"/>
  <c r="AN183" i="36"/>
  <c r="AK183" i="36"/>
  <c r="AH183" i="36"/>
  <c r="DQ182" i="36"/>
  <c r="DN182" i="36"/>
  <c r="DH182" i="36"/>
  <c r="DE182" i="36"/>
  <c r="DB182" i="36"/>
  <c r="CY182" i="36"/>
  <c r="CV182" i="36"/>
  <c r="CS182" i="36"/>
  <c r="CM182" i="36"/>
  <c r="CJ182" i="36"/>
  <c r="CG182" i="36"/>
  <c r="CD182" i="36"/>
  <c r="CA182" i="36"/>
  <c r="BX182" i="36"/>
  <c r="BR182" i="36"/>
  <c r="BO182" i="36"/>
  <c r="BL182" i="36"/>
  <c r="BI182" i="36"/>
  <c r="BF182" i="36"/>
  <c r="BC182" i="36"/>
  <c r="AW182" i="36"/>
  <c r="AT182" i="36"/>
  <c r="AQ182" i="36"/>
  <c r="AN182" i="36"/>
  <c r="AK182" i="36"/>
  <c r="AH182" i="36"/>
  <c r="DQ181" i="36"/>
  <c r="DN181" i="36"/>
  <c r="DH181" i="36"/>
  <c r="DE181" i="36"/>
  <c r="DB181" i="36"/>
  <c r="CY181" i="36"/>
  <c r="CV181" i="36"/>
  <c r="CS181" i="36"/>
  <c r="CM181" i="36"/>
  <c r="CJ181" i="36"/>
  <c r="CG181" i="36"/>
  <c r="CD181" i="36"/>
  <c r="CA181" i="36"/>
  <c r="BX181" i="36"/>
  <c r="BR181" i="36"/>
  <c r="BO181" i="36"/>
  <c r="BL181" i="36"/>
  <c r="BI181" i="36"/>
  <c r="BF181" i="36"/>
  <c r="BC181" i="36"/>
  <c r="AW181" i="36"/>
  <c r="AT181" i="36"/>
  <c r="AQ181" i="36"/>
  <c r="AN181" i="36"/>
  <c r="AK181" i="36"/>
  <c r="AH181" i="36"/>
  <c r="DQ180" i="36"/>
  <c r="DN180" i="36"/>
  <c r="DH180" i="36"/>
  <c r="DE180" i="36"/>
  <c r="DB180" i="36"/>
  <c r="CY180" i="36"/>
  <c r="CV180" i="36"/>
  <c r="CS180" i="36"/>
  <c r="CM180" i="36"/>
  <c r="CJ180" i="36"/>
  <c r="CG180" i="36"/>
  <c r="CD180" i="36"/>
  <c r="CA180" i="36"/>
  <c r="BX180" i="36"/>
  <c r="BR180" i="36"/>
  <c r="BO180" i="36"/>
  <c r="BL180" i="36"/>
  <c r="BI180" i="36"/>
  <c r="BF180" i="36"/>
  <c r="BC180" i="36"/>
  <c r="AW180" i="36"/>
  <c r="AT180" i="36"/>
  <c r="AQ180" i="36"/>
  <c r="AN180" i="36"/>
  <c r="AK180" i="36"/>
  <c r="AH180" i="36"/>
  <c r="DQ179" i="36"/>
  <c r="DN179" i="36"/>
  <c r="DH179" i="36"/>
  <c r="DE179" i="36"/>
  <c r="DB179" i="36"/>
  <c r="CY179" i="36"/>
  <c r="CV179" i="36"/>
  <c r="CS179" i="36"/>
  <c r="CM179" i="36"/>
  <c r="CJ179" i="36"/>
  <c r="CG179" i="36"/>
  <c r="CD179" i="36"/>
  <c r="CA179" i="36"/>
  <c r="BX179" i="36"/>
  <c r="BR179" i="36"/>
  <c r="BO179" i="36"/>
  <c r="BL179" i="36"/>
  <c r="BI179" i="36"/>
  <c r="BF179" i="36"/>
  <c r="BC179" i="36"/>
  <c r="AW179" i="36"/>
  <c r="AT179" i="36"/>
  <c r="AQ179" i="36"/>
  <c r="AN179" i="36"/>
  <c r="AK179" i="36"/>
  <c r="AH179" i="36"/>
  <c r="DQ178" i="36"/>
  <c r="DN178" i="36"/>
  <c r="DH178" i="36"/>
  <c r="DE178" i="36"/>
  <c r="DB178" i="36"/>
  <c r="CY178" i="36"/>
  <c r="CV178" i="36"/>
  <c r="CS178" i="36"/>
  <c r="CM178" i="36"/>
  <c r="CJ178" i="36"/>
  <c r="CG178" i="36"/>
  <c r="CD178" i="36"/>
  <c r="CA178" i="36"/>
  <c r="BX178" i="36"/>
  <c r="BR178" i="36"/>
  <c r="BO178" i="36"/>
  <c r="BL178" i="36"/>
  <c r="BI178" i="36"/>
  <c r="BF178" i="36"/>
  <c r="BC178" i="36"/>
  <c r="AW178" i="36"/>
  <c r="AT178" i="36"/>
  <c r="AQ178" i="36"/>
  <c r="AN178" i="36"/>
  <c r="AK178" i="36"/>
  <c r="AH178" i="36"/>
  <c r="DQ177" i="36"/>
  <c r="DN177" i="36"/>
  <c r="DH177" i="36"/>
  <c r="DE177" i="36"/>
  <c r="DB177" i="36"/>
  <c r="CY177" i="36"/>
  <c r="CV177" i="36"/>
  <c r="CS177" i="36"/>
  <c r="CM177" i="36"/>
  <c r="CJ177" i="36"/>
  <c r="CG177" i="36"/>
  <c r="CD177" i="36"/>
  <c r="CA177" i="36"/>
  <c r="BX177" i="36"/>
  <c r="BR177" i="36"/>
  <c r="BO177" i="36"/>
  <c r="BL177" i="36"/>
  <c r="BI177" i="36"/>
  <c r="BF177" i="36"/>
  <c r="BC177" i="36"/>
  <c r="AW177" i="36"/>
  <c r="AT177" i="36"/>
  <c r="AQ177" i="36"/>
  <c r="AN177" i="36"/>
  <c r="AK177" i="36"/>
  <c r="AH177" i="36"/>
  <c r="DQ176" i="36"/>
  <c r="DN176" i="36"/>
  <c r="DH176" i="36"/>
  <c r="DE176" i="36"/>
  <c r="DB176" i="36"/>
  <c r="CY176" i="36"/>
  <c r="CV176" i="36"/>
  <c r="CS176" i="36"/>
  <c r="CM176" i="36"/>
  <c r="CJ176" i="36"/>
  <c r="CG176" i="36"/>
  <c r="CD176" i="36"/>
  <c r="CA176" i="36"/>
  <c r="BX176" i="36"/>
  <c r="BR176" i="36"/>
  <c r="BO176" i="36"/>
  <c r="BL176" i="36"/>
  <c r="BI176" i="36"/>
  <c r="BF176" i="36"/>
  <c r="BC176" i="36"/>
  <c r="AW176" i="36"/>
  <c r="AT176" i="36"/>
  <c r="AQ176" i="36"/>
  <c r="AN176" i="36"/>
  <c r="AK176" i="36"/>
  <c r="AH176" i="36"/>
  <c r="DQ175" i="36"/>
  <c r="DN175" i="36"/>
  <c r="DH175" i="36"/>
  <c r="DE175" i="36"/>
  <c r="DB175" i="36"/>
  <c r="CY175" i="36"/>
  <c r="CV175" i="36"/>
  <c r="CS175" i="36"/>
  <c r="CM175" i="36"/>
  <c r="CJ175" i="36"/>
  <c r="CG175" i="36"/>
  <c r="CD175" i="36"/>
  <c r="CA175" i="36"/>
  <c r="BX175" i="36"/>
  <c r="BR175" i="36"/>
  <c r="BO175" i="36"/>
  <c r="BL175" i="36"/>
  <c r="BI175" i="36"/>
  <c r="BF175" i="36"/>
  <c r="BC175" i="36"/>
  <c r="AW175" i="36"/>
  <c r="AT175" i="36"/>
  <c r="AQ175" i="36"/>
  <c r="AN175" i="36"/>
  <c r="AK175" i="36"/>
  <c r="AH175" i="36"/>
  <c r="DQ174" i="36"/>
  <c r="DN174" i="36"/>
  <c r="DH174" i="36"/>
  <c r="DE174" i="36"/>
  <c r="DB174" i="36"/>
  <c r="CY174" i="36"/>
  <c r="CV174" i="36"/>
  <c r="CS174" i="36"/>
  <c r="CM174" i="36"/>
  <c r="CJ174" i="36"/>
  <c r="CG174" i="36"/>
  <c r="CD174" i="36"/>
  <c r="CA174" i="36"/>
  <c r="BX174" i="36"/>
  <c r="BR174" i="36"/>
  <c r="BO174" i="36"/>
  <c r="BL174" i="36"/>
  <c r="BI174" i="36"/>
  <c r="BF174" i="36"/>
  <c r="BC174" i="36"/>
  <c r="AW174" i="36"/>
  <c r="AT174" i="36"/>
  <c r="AQ174" i="36"/>
  <c r="AN174" i="36"/>
  <c r="AK174" i="36"/>
  <c r="AH174" i="36"/>
  <c r="DQ173" i="36"/>
  <c r="DN173" i="36"/>
  <c r="DH173" i="36"/>
  <c r="DE173" i="36"/>
  <c r="DB173" i="36"/>
  <c r="CY173" i="36"/>
  <c r="CV173" i="36"/>
  <c r="CS173" i="36"/>
  <c r="CM173" i="36"/>
  <c r="CJ173" i="36"/>
  <c r="CG173" i="36"/>
  <c r="CD173" i="36"/>
  <c r="CA173" i="36"/>
  <c r="BX173" i="36"/>
  <c r="BR173" i="36"/>
  <c r="BO173" i="36"/>
  <c r="BL173" i="36"/>
  <c r="BI173" i="36"/>
  <c r="BF173" i="36"/>
  <c r="BC173" i="36"/>
  <c r="AW173" i="36"/>
  <c r="AT173" i="36"/>
  <c r="AQ173" i="36"/>
  <c r="AN173" i="36"/>
  <c r="AK173" i="36"/>
  <c r="AH173" i="36"/>
  <c r="DQ172" i="36"/>
  <c r="DN172" i="36"/>
  <c r="DH172" i="36"/>
  <c r="DE172" i="36"/>
  <c r="DB172" i="36"/>
  <c r="CY172" i="36"/>
  <c r="CV172" i="36"/>
  <c r="CS172" i="36"/>
  <c r="CM172" i="36"/>
  <c r="CJ172" i="36"/>
  <c r="CG172" i="36"/>
  <c r="CD172" i="36"/>
  <c r="CA172" i="36"/>
  <c r="BX172" i="36"/>
  <c r="BR172" i="36"/>
  <c r="BO172" i="36"/>
  <c r="BL172" i="36"/>
  <c r="BI172" i="36"/>
  <c r="BF172" i="36"/>
  <c r="BC172" i="36"/>
  <c r="AW172" i="36"/>
  <c r="AT172" i="36"/>
  <c r="AQ172" i="36"/>
  <c r="AN172" i="36"/>
  <c r="AK172" i="36"/>
  <c r="AH172" i="36"/>
  <c r="DQ171" i="36"/>
  <c r="DN171" i="36"/>
  <c r="DH171" i="36"/>
  <c r="DE171" i="36"/>
  <c r="DB171" i="36"/>
  <c r="CY171" i="36"/>
  <c r="CV171" i="36"/>
  <c r="CS171" i="36"/>
  <c r="CM171" i="36"/>
  <c r="CJ171" i="36"/>
  <c r="CG171" i="36"/>
  <c r="CD171" i="36"/>
  <c r="CA171" i="36"/>
  <c r="BX171" i="36"/>
  <c r="BR171" i="36"/>
  <c r="BO171" i="36"/>
  <c r="BL171" i="36"/>
  <c r="BI171" i="36"/>
  <c r="BF171" i="36"/>
  <c r="BC171" i="36"/>
  <c r="AW171" i="36"/>
  <c r="AT171" i="36"/>
  <c r="AQ171" i="36"/>
  <c r="AN171" i="36"/>
  <c r="AK171" i="36"/>
  <c r="AH171" i="36"/>
  <c r="DQ170" i="36"/>
  <c r="DN170" i="36"/>
  <c r="DH170" i="36"/>
  <c r="DE170" i="36"/>
  <c r="DB170" i="36"/>
  <c r="CY170" i="36"/>
  <c r="CV170" i="36"/>
  <c r="CS170" i="36"/>
  <c r="CM170" i="36"/>
  <c r="CJ170" i="36"/>
  <c r="CG170" i="36"/>
  <c r="CD170" i="36"/>
  <c r="CA170" i="36"/>
  <c r="BX170" i="36"/>
  <c r="BR170" i="36"/>
  <c r="BO170" i="36"/>
  <c r="BL170" i="36"/>
  <c r="BI170" i="36"/>
  <c r="BF170" i="36"/>
  <c r="BC170" i="36"/>
  <c r="AW170" i="36"/>
  <c r="AT170" i="36"/>
  <c r="AQ170" i="36"/>
  <c r="AN170" i="36"/>
  <c r="AK170" i="36"/>
  <c r="AH170" i="36"/>
  <c r="DQ169" i="36"/>
  <c r="DN169" i="36"/>
  <c r="DH169" i="36"/>
  <c r="DE169" i="36"/>
  <c r="DB169" i="36"/>
  <c r="CY169" i="36"/>
  <c r="CV169" i="36"/>
  <c r="CS169" i="36"/>
  <c r="CM169" i="36"/>
  <c r="CJ169" i="36"/>
  <c r="CG169" i="36"/>
  <c r="CD169" i="36"/>
  <c r="CA169" i="36"/>
  <c r="BX169" i="36"/>
  <c r="BR169" i="36"/>
  <c r="BO169" i="36"/>
  <c r="BL169" i="36"/>
  <c r="BI169" i="36"/>
  <c r="BF169" i="36"/>
  <c r="BC169" i="36"/>
  <c r="AW169" i="36"/>
  <c r="AT169" i="36"/>
  <c r="AQ169" i="36"/>
  <c r="AN169" i="36"/>
  <c r="AK169" i="36"/>
  <c r="AH169" i="36"/>
  <c r="DQ168" i="36"/>
  <c r="DN168" i="36"/>
  <c r="DH168" i="36"/>
  <c r="DE168" i="36"/>
  <c r="DB168" i="36"/>
  <c r="CY168" i="36"/>
  <c r="CV168" i="36"/>
  <c r="CS168" i="36"/>
  <c r="CM168" i="36"/>
  <c r="CJ168" i="36"/>
  <c r="CG168" i="36"/>
  <c r="CD168" i="36"/>
  <c r="CA168" i="36"/>
  <c r="BX168" i="36"/>
  <c r="BR168" i="36"/>
  <c r="BO168" i="36"/>
  <c r="BL168" i="36"/>
  <c r="BI168" i="36"/>
  <c r="BF168" i="36"/>
  <c r="BC168" i="36"/>
  <c r="AW168" i="36"/>
  <c r="AT168" i="36"/>
  <c r="AQ168" i="36"/>
  <c r="AN168" i="36"/>
  <c r="AK168" i="36"/>
  <c r="AH168" i="36"/>
  <c r="DQ167" i="36"/>
  <c r="DN167" i="36"/>
  <c r="DH167" i="36"/>
  <c r="DE167" i="36"/>
  <c r="DB167" i="36"/>
  <c r="CY167" i="36"/>
  <c r="CV167" i="36"/>
  <c r="CS167" i="36"/>
  <c r="CM167" i="36"/>
  <c r="CJ167" i="36"/>
  <c r="CG167" i="36"/>
  <c r="CD167" i="36"/>
  <c r="CA167" i="36"/>
  <c r="BX167" i="36"/>
  <c r="BR167" i="36"/>
  <c r="BO167" i="36"/>
  <c r="BL167" i="36"/>
  <c r="BI167" i="36"/>
  <c r="BF167" i="36"/>
  <c r="BC167" i="36"/>
  <c r="AW167" i="36"/>
  <c r="AT167" i="36"/>
  <c r="AQ167" i="36"/>
  <c r="AN167" i="36"/>
  <c r="AK167" i="36"/>
  <c r="AH167" i="36"/>
  <c r="DQ166" i="36"/>
  <c r="DN166" i="36"/>
  <c r="DH166" i="36"/>
  <c r="DE166" i="36"/>
  <c r="DB166" i="36"/>
  <c r="CY166" i="36"/>
  <c r="CV166" i="36"/>
  <c r="CS166" i="36"/>
  <c r="CM166" i="36"/>
  <c r="CJ166" i="36"/>
  <c r="CG166" i="36"/>
  <c r="CD166" i="36"/>
  <c r="CA166" i="36"/>
  <c r="BX166" i="36"/>
  <c r="BR166" i="36"/>
  <c r="BO166" i="36"/>
  <c r="BL166" i="36"/>
  <c r="BI166" i="36"/>
  <c r="BF166" i="36"/>
  <c r="BC166" i="36"/>
  <c r="AW166" i="36"/>
  <c r="AT166" i="36"/>
  <c r="AQ166" i="36"/>
  <c r="AN166" i="36"/>
  <c r="AK166" i="36"/>
  <c r="AH166" i="36"/>
  <c r="DQ165" i="36"/>
  <c r="DN165" i="36"/>
  <c r="DH165" i="36"/>
  <c r="DE165" i="36"/>
  <c r="DB165" i="36"/>
  <c r="CY165" i="36"/>
  <c r="CV165" i="36"/>
  <c r="CS165" i="36"/>
  <c r="CM165" i="36"/>
  <c r="CJ165" i="36"/>
  <c r="CG165" i="36"/>
  <c r="CD165" i="36"/>
  <c r="CA165" i="36"/>
  <c r="BX165" i="36"/>
  <c r="BR165" i="36"/>
  <c r="BO165" i="36"/>
  <c r="BL165" i="36"/>
  <c r="BI165" i="36"/>
  <c r="BF165" i="36"/>
  <c r="BC165" i="36"/>
  <c r="AW165" i="36"/>
  <c r="AT165" i="36"/>
  <c r="AQ165" i="36"/>
  <c r="AN165" i="36"/>
  <c r="AK165" i="36"/>
  <c r="AH165" i="36"/>
  <c r="DQ164" i="36"/>
  <c r="DN164" i="36"/>
  <c r="DH164" i="36"/>
  <c r="DE164" i="36"/>
  <c r="DB164" i="36"/>
  <c r="CY164" i="36"/>
  <c r="CV164" i="36"/>
  <c r="CS164" i="36"/>
  <c r="CM164" i="36"/>
  <c r="CJ164" i="36"/>
  <c r="CG164" i="36"/>
  <c r="CD164" i="36"/>
  <c r="CA164" i="36"/>
  <c r="BX164" i="36"/>
  <c r="BR164" i="36"/>
  <c r="BO164" i="36"/>
  <c r="BL164" i="36"/>
  <c r="BI164" i="36"/>
  <c r="BF164" i="36"/>
  <c r="BC164" i="36"/>
  <c r="AW164" i="36"/>
  <c r="AT164" i="36"/>
  <c r="AQ164" i="36"/>
  <c r="AN164" i="36"/>
  <c r="AK164" i="36"/>
  <c r="AH164" i="36"/>
  <c r="DQ163" i="36"/>
  <c r="DN163" i="36"/>
  <c r="DH163" i="36"/>
  <c r="DE163" i="36"/>
  <c r="DB163" i="36"/>
  <c r="CY163" i="36"/>
  <c r="CV163" i="36"/>
  <c r="CS163" i="36"/>
  <c r="CM163" i="36"/>
  <c r="CJ163" i="36"/>
  <c r="CG163" i="36"/>
  <c r="CD163" i="36"/>
  <c r="CA163" i="36"/>
  <c r="BX163" i="36"/>
  <c r="BR163" i="36"/>
  <c r="BO163" i="36"/>
  <c r="BL163" i="36"/>
  <c r="BI163" i="36"/>
  <c r="BF163" i="36"/>
  <c r="BC163" i="36"/>
  <c r="AW163" i="36"/>
  <c r="AT163" i="36"/>
  <c r="AQ163" i="36"/>
  <c r="AN163" i="36"/>
  <c r="AK163" i="36"/>
  <c r="AH163" i="36"/>
  <c r="DQ162" i="36"/>
  <c r="DN162" i="36"/>
  <c r="DH162" i="36"/>
  <c r="DE162" i="36"/>
  <c r="DB162" i="36"/>
  <c r="CY162" i="36"/>
  <c r="CV162" i="36"/>
  <c r="CS162" i="36"/>
  <c r="CR162" i="36"/>
  <c r="CM162" i="36"/>
  <c r="CJ162" i="36"/>
  <c r="CG162" i="36"/>
  <c r="CD162" i="36"/>
  <c r="CA162" i="36"/>
  <c r="BX162" i="36"/>
  <c r="BR162" i="36"/>
  <c r="BO162" i="36"/>
  <c r="BL162" i="36"/>
  <c r="BI162" i="36"/>
  <c r="BF162" i="36"/>
  <c r="BC162" i="36"/>
  <c r="AW162" i="36"/>
  <c r="AT162" i="36"/>
  <c r="AQ162" i="36"/>
  <c r="AN162" i="36"/>
  <c r="AK162" i="36"/>
  <c r="AH162" i="36"/>
  <c r="DQ161" i="36"/>
  <c r="DN161" i="36"/>
  <c r="DH161" i="36"/>
  <c r="DE161" i="36"/>
  <c r="DB161" i="36"/>
  <c r="CY161" i="36"/>
  <c r="CV161" i="36"/>
  <c r="CS161" i="36"/>
  <c r="CM161" i="36"/>
  <c r="CJ161" i="36"/>
  <c r="CG161" i="36"/>
  <c r="CD161" i="36"/>
  <c r="CA161" i="36"/>
  <c r="BX161" i="36"/>
  <c r="BR161" i="36"/>
  <c r="BO161" i="36"/>
  <c r="BL161" i="36"/>
  <c r="BI161" i="36"/>
  <c r="BF161" i="36"/>
  <c r="BC161" i="36"/>
  <c r="AW161" i="36"/>
  <c r="AT161" i="36"/>
  <c r="AQ161" i="36"/>
  <c r="AN161" i="36"/>
  <c r="AK161" i="36"/>
  <c r="AH161" i="36"/>
  <c r="DQ160" i="36"/>
  <c r="DN160" i="36"/>
  <c r="DH160" i="36"/>
  <c r="DE160" i="36"/>
  <c r="DB160" i="36"/>
  <c r="CY160" i="36"/>
  <c r="CV160" i="36"/>
  <c r="CS160" i="36"/>
  <c r="CM160" i="36"/>
  <c r="CJ160" i="36"/>
  <c r="CG160" i="36"/>
  <c r="CD160" i="36"/>
  <c r="CA160" i="36"/>
  <c r="BX160" i="36"/>
  <c r="BR160" i="36"/>
  <c r="BO160" i="36"/>
  <c r="BL160" i="36"/>
  <c r="BI160" i="36"/>
  <c r="BF160" i="36"/>
  <c r="BC160" i="36"/>
  <c r="AW160" i="36"/>
  <c r="AT160" i="36"/>
  <c r="AQ160" i="36"/>
  <c r="AN160" i="36"/>
  <c r="AK160" i="36"/>
  <c r="AH160" i="36"/>
  <c r="DQ159" i="36"/>
  <c r="DN159" i="36"/>
  <c r="DH159" i="36"/>
  <c r="DE159" i="36"/>
  <c r="DB159" i="36"/>
  <c r="CY159" i="36"/>
  <c r="CV159" i="36"/>
  <c r="CS159" i="36"/>
  <c r="CM159" i="36"/>
  <c r="CJ159" i="36"/>
  <c r="CG159" i="36"/>
  <c r="CD159" i="36"/>
  <c r="CA159" i="36"/>
  <c r="BX159" i="36"/>
  <c r="BR159" i="36"/>
  <c r="BO159" i="36"/>
  <c r="BL159" i="36"/>
  <c r="BI159" i="36"/>
  <c r="BF159" i="36"/>
  <c r="BC159" i="36"/>
  <c r="AW159" i="36"/>
  <c r="AT159" i="36"/>
  <c r="AQ159" i="36"/>
  <c r="AN159" i="36"/>
  <c r="AK159" i="36"/>
  <c r="AH159" i="36"/>
  <c r="DQ158" i="36"/>
  <c r="DN158" i="36"/>
  <c r="DH158" i="36"/>
  <c r="DE158" i="36"/>
  <c r="DB158" i="36"/>
  <c r="CY158" i="36"/>
  <c r="CV158" i="36"/>
  <c r="CS158" i="36"/>
  <c r="CM158" i="36"/>
  <c r="CJ158" i="36"/>
  <c r="CG158" i="36"/>
  <c r="CD158" i="36"/>
  <c r="CA158" i="36"/>
  <c r="BX158" i="36"/>
  <c r="BR158" i="36"/>
  <c r="BO158" i="36"/>
  <c r="BL158" i="36"/>
  <c r="BI158" i="36"/>
  <c r="BF158" i="36"/>
  <c r="BC158" i="36"/>
  <c r="AW158" i="36"/>
  <c r="AT158" i="36"/>
  <c r="AQ158" i="36"/>
  <c r="AN158" i="36"/>
  <c r="AK158" i="36"/>
  <c r="AH158" i="36"/>
  <c r="DQ157" i="36"/>
  <c r="DN157" i="36"/>
  <c r="DH157" i="36"/>
  <c r="DE157" i="36"/>
  <c r="DB157" i="36"/>
  <c r="CY157" i="36"/>
  <c r="CV157" i="36"/>
  <c r="CS157" i="36"/>
  <c r="CM157" i="36"/>
  <c r="CJ157" i="36"/>
  <c r="CG157" i="36"/>
  <c r="CD157" i="36"/>
  <c r="CA157" i="36"/>
  <c r="BX157" i="36"/>
  <c r="BR157" i="36"/>
  <c r="BO157" i="36"/>
  <c r="BL157" i="36"/>
  <c r="BI157" i="36"/>
  <c r="BF157" i="36"/>
  <c r="BC157" i="36"/>
  <c r="AW157" i="36"/>
  <c r="AT157" i="36"/>
  <c r="AQ157" i="36"/>
  <c r="AN157" i="36"/>
  <c r="AK157" i="36"/>
  <c r="AH157" i="36"/>
  <c r="DQ156" i="36"/>
  <c r="DN156" i="36"/>
  <c r="DH156" i="36"/>
  <c r="DE156" i="36"/>
  <c r="DB156" i="36"/>
  <c r="CY156" i="36"/>
  <c r="CV156" i="36"/>
  <c r="CS156" i="36"/>
  <c r="CM156" i="36"/>
  <c r="CJ156" i="36"/>
  <c r="CG156" i="36"/>
  <c r="CD156" i="36"/>
  <c r="CA156" i="36"/>
  <c r="BX156" i="36"/>
  <c r="BR156" i="36"/>
  <c r="BO156" i="36"/>
  <c r="BL156" i="36"/>
  <c r="BI156" i="36"/>
  <c r="BF156" i="36"/>
  <c r="BC156" i="36"/>
  <c r="AW156" i="36"/>
  <c r="AT156" i="36"/>
  <c r="AQ156" i="36"/>
  <c r="AN156" i="36"/>
  <c r="AK156" i="36"/>
  <c r="AH156" i="36"/>
  <c r="DQ155" i="36"/>
  <c r="DN155" i="36"/>
  <c r="DH155" i="36"/>
  <c r="DE155" i="36"/>
  <c r="DB155" i="36"/>
  <c r="CY155" i="36"/>
  <c r="CV155" i="36"/>
  <c r="CS155" i="36"/>
  <c r="CM155" i="36"/>
  <c r="CJ155" i="36"/>
  <c r="CG155" i="36"/>
  <c r="CD155" i="36"/>
  <c r="CA155" i="36"/>
  <c r="BX155" i="36"/>
  <c r="BR155" i="36"/>
  <c r="BO155" i="36"/>
  <c r="BL155" i="36"/>
  <c r="BI155" i="36"/>
  <c r="BF155" i="36"/>
  <c r="BC155" i="36"/>
  <c r="AW155" i="36"/>
  <c r="AT155" i="36"/>
  <c r="AQ155" i="36"/>
  <c r="AN155" i="36"/>
  <c r="AK155" i="36"/>
  <c r="AH155" i="36"/>
  <c r="DQ154" i="36"/>
  <c r="DN154" i="36"/>
  <c r="DH154" i="36"/>
  <c r="DE154" i="36"/>
  <c r="DB154" i="36"/>
  <c r="CY154" i="36"/>
  <c r="CV154" i="36"/>
  <c r="CS154" i="36"/>
  <c r="CM154" i="36"/>
  <c r="CJ154" i="36"/>
  <c r="CG154" i="36"/>
  <c r="CD154" i="36"/>
  <c r="CA154" i="36"/>
  <c r="BX154" i="36"/>
  <c r="BR154" i="36"/>
  <c r="BO154" i="36"/>
  <c r="BL154" i="36"/>
  <c r="BI154" i="36"/>
  <c r="BF154" i="36"/>
  <c r="BC154" i="36"/>
  <c r="AW154" i="36"/>
  <c r="AT154" i="36"/>
  <c r="AQ154" i="36"/>
  <c r="AN154" i="36"/>
  <c r="AK154" i="36"/>
  <c r="AH154" i="36"/>
  <c r="DQ153" i="36"/>
  <c r="DN153" i="36"/>
  <c r="DH153" i="36"/>
  <c r="DE153" i="36"/>
  <c r="DB153" i="36"/>
  <c r="CY153" i="36"/>
  <c r="CV153" i="36"/>
  <c r="CS153" i="36"/>
  <c r="CM153" i="36"/>
  <c r="CJ153" i="36"/>
  <c r="CG153" i="36"/>
  <c r="CD153" i="36"/>
  <c r="CA153" i="36"/>
  <c r="BX153" i="36"/>
  <c r="BR153" i="36"/>
  <c r="BO153" i="36"/>
  <c r="BL153" i="36"/>
  <c r="BI153" i="36"/>
  <c r="BF153" i="36"/>
  <c r="BC153" i="36"/>
  <c r="AW153" i="36"/>
  <c r="AT153" i="36"/>
  <c r="AQ153" i="36"/>
  <c r="AN153" i="36"/>
  <c r="AK153" i="36"/>
  <c r="AH153" i="36"/>
  <c r="DQ152" i="36"/>
  <c r="DN152" i="36"/>
  <c r="DH152" i="36"/>
  <c r="DE152" i="36"/>
  <c r="DB152" i="36"/>
  <c r="CY152" i="36"/>
  <c r="CV152" i="36"/>
  <c r="CS152" i="36"/>
  <c r="CM152" i="36"/>
  <c r="CJ152" i="36"/>
  <c r="CG152" i="36"/>
  <c r="CD152" i="36"/>
  <c r="CA152" i="36"/>
  <c r="BX152" i="36"/>
  <c r="BR152" i="36"/>
  <c r="BO152" i="36"/>
  <c r="BL152" i="36"/>
  <c r="BI152" i="36"/>
  <c r="BF152" i="36"/>
  <c r="BC152" i="36"/>
  <c r="AW152" i="36"/>
  <c r="AT152" i="36"/>
  <c r="AQ152" i="36"/>
  <c r="AN152" i="36"/>
  <c r="AK152" i="36"/>
  <c r="AH152" i="36"/>
  <c r="DQ151" i="36"/>
  <c r="DN151" i="36"/>
  <c r="DH151" i="36"/>
  <c r="DE151" i="36"/>
  <c r="DB151" i="36"/>
  <c r="CY151" i="36"/>
  <c r="CV151" i="36"/>
  <c r="CS151" i="36"/>
  <c r="CM151" i="36"/>
  <c r="CJ151" i="36"/>
  <c r="CG151" i="36"/>
  <c r="CD151" i="36"/>
  <c r="CA151" i="36"/>
  <c r="BX151" i="36"/>
  <c r="BR151" i="36"/>
  <c r="BO151" i="36"/>
  <c r="BL151" i="36"/>
  <c r="BI151" i="36"/>
  <c r="BF151" i="36"/>
  <c r="BC151" i="36"/>
  <c r="AW151" i="36"/>
  <c r="AT151" i="36"/>
  <c r="AQ151" i="36"/>
  <c r="AN151" i="36"/>
  <c r="AK151" i="36"/>
  <c r="AH151" i="36"/>
  <c r="DQ150" i="36"/>
  <c r="DN150" i="36"/>
  <c r="DH150" i="36"/>
  <c r="DE150" i="36"/>
  <c r="DB150" i="36"/>
  <c r="CY150" i="36"/>
  <c r="CV150" i="36"/>
  <c r="CS150" i="36"/>
  <c r="CM150" i="36"/>
  <c r="CJ150" i="36"/>
  <c r="CG150" i="36"/>
  <c r="CD150" i="36"/>
  <c r="CA150" i="36"/>
  <c r="BX150" i="36"/>
  <c r="BR150" i="36"/>
  <c r="BO150" i="36"/>
  <c r="BL150" i="36"/>
  <c r="BI150" i="36"/>
  <c r="BF150" i="36"/>
  <c r="BC150" i="36"/>
  <c r="AW150" i="36"/>
  <c r="AT150" i="36"/>
  <c r="AQ150" i="36"/>
  <c r="AN150" i="36"/>
  <c r="AK150" i="36"/>
  <c r="AH150" i="36"/>
  <c r="DQ149" i="36"/>
  <c r="DN149" i="36"/>
  <c r="DH149" i="36"/>
  <c r="DE149" i="36"/>
  <c r="DB149" i="36"/>
  <c r="CY149" i="36"/>
  <c r="CV149" i="36"/>
  <c r="CS149" i="36"/>
  <c r="CM149" i="36"/>
  <c r="CJ149" i="36"/>
  <c r="CG149" i="36"/>
  <c r="CD149" i="36"/>
  <c r="CA149" i="36"/>
  <c r="BX149" i="36"/>
  <c r="BR149" i="36"/>
  <c r="BO149" i="36"/>
  <c r="BL149" i="36"/>
  <c r="BI149" i="36"/>
  <c r="BF149" i="36"/>
  <c r="BC149" i="36"/>
  <c r="AW149" i="36"/>
  <c r="AT149" i="36"/>
  <c r="AQ149" i="36"/>
  <c r="AN149" i="36"/>
  <c r="AK149" i="36"/>
  <c r="AH149" i="36"/>
  <c r="DQ148" i="36"/>
  <c r="DN148" i="36"/>
  <c r="DH148" i="36"/>
  <c r="DE148" i="36"/>
  <c r="DB148" i="36"/>
  <c r="CY148" i="36"/>
  <c r="CV148" i="36"/>
  <c r="CS148" i="36"/>
  <c r="CM148" i="36"/>
  <c r="CJ148" i="36"/>
  <c r="CG148" i="36"/>
  <c r="CD148" i="36"/>
  <c r="CA148" i="36"/>
  <c r="BX148" i="36"/>
  <c r="BR148" i="36"/>
  <c r="BO148" i="36"/>
  <c r="BL148" i="36"/>
  <c r="BI148" i="36"/>
  <c r="BF148" i="36"/>
  <c r="BC148" i="36"/>
  <c r="AW148" i="36"/>
  <c r="AT148" i="36"/>
  <c r="AQ148" i="36"/>
  <c r="AN148" i="36"/>
  <c r="AK148" i="36"/>
  <c r="AH148" i="36"/>
  <c r="DQ147" i="36"/>
  <c r="DN147" i="36"/>
  <c r="DH147" i="36"/>
  <c r="DE147" i="36"/>
  <c r="DB147" i="36"/>
  <c r="CY147" i="36"/>
  <c r="CV147" i="36"/>
  <c r="CS147" i="36"/>
  <c r="CM147" i="36"/>
  <c r="CJ147" i="36"/>
  <c r="CG147" i="36"/>
  <c r="CD147" i="36"/>
  <c r="CA147" i="36"/>
  <c r="BX147" i="36"/>
  <c r="BR147" i="36"/>
  <c r="BO147" i="36"/>
  <c r="BL147" i="36"/>
  <c r="BI147" i="36"/>
  <c r="BF147" i="36"/>
  <c r="BC147" i="36"/>
  <c r="AW147" i="36"/>
  <c r="AT147" i="36"/>
  <c r="AQ147" i="36"/>
  <c r="AN147" i="36"/>
  <c r="AK147" i="36"/>
  <c r="AH147" i="36"/>
  <c r="DQ146" i="36"/>
  <c r="DN146" i="36"/>
  <c r="DH146" i="36"/>
  <c r="DE146" i="36"/>
  <c r="DB146" i="36"/>
  <c r="CY146" i="36"/>
  <c r="CV146" i="36"/>
  <c r="CS146" i="36"/>
  <c r="CM146" i="36"/>
  <c r="CJ146" i="36"/>
  <c r="CG146" i="36"/>
  <c r="CD146" i="36"/>
  <c r="CA146" i="36"/>
  <c r="BX146" i="36"/>
  <c r="BR146" i="36"/>
  <c r="BO146" i="36"/>
  <c r="BL146" i="36"/>
  <c r="BI146" i="36"/>
  <c r="BF146" i="36"/>
  <c r="BC146" i="36"/>
  <c r="AW146" i="36"/>
  <c r="AT146" i="36"/>
  <c r="AQ146" i="36"/>
  <c r="AN146" i="36"/>
  <c r="AK146" i="36"/>
  <c r="AH146" i="36"/>
  <c r="DQ145" i="36"/>
  <c r="DN145" i="36"/>
  <c r="DH145" i="36"/>
  <c r="DE145" i="36"/>
  <c r="DB145" i="36"/>
  <c r="CY145" i="36"/>
  <c r="CV145" i="36"/>
  <c r="CS145" i="36"/>
  <c r="CM145" i="36"/>
  <c r="CJ145" i="36"/>
  <c r="CG145" i="36"/>
  <c r="CD145" i="36"/>
  <c r="CA145" i="36"/>
  <c r="BX145" i="36"/>
  <c r="BR145" i="36"/>
  <c r="BO145" i="36"/>
  <c r="BL145" i="36"/>
  <c r="BI145" i="36"/>
  <c r="BF145" i="36"/>
  <c r="BC145" i="36"/>
  <c r="AW145" i="36"/>
  <c r="AT145" i="36"/>
  <c r="AQ145" i="36"/>
  <c r="AN145" i="36"/>
  <c r="AK145" i="36"/>
  <c r="AH145" i="36"/>
  <c r="DQ144" i="36"/>
  <c r="DN144" i="36"/>
  <c r="DH144" i="36"/>
  <c r="DE144" i="36"/>
  <c r="DB144" i="36"/>
  <c r="CY144" i="36"/>
  <c r="CV144" i="36"/>
  <c r="CS144" i="36"/>
  <c r="CM144" i="36"/>
  <c r="CJ144" i="36"/>
  <c r="CG144" i="36"/>
  <c r="CD144" i="36"/>
  <c r="CA144" i="36"/>
  <c r="BX144" i="36"/>
  <c r="BR144" i="36"/>
  <c r="BO144" i="36"/>
  <c r="BL144" i="36"/>
  <c r="BI144" i="36"/>
  <c r="BF144" i="36"/>
  <c r="BC144" i="36"/>
  <c r="AW144" i="36"/>
  <c r="AT144" i="36"/>
  <c r="AQ144" i="36"/>
  <c r="AN144" i="36"/>
  <c r="AK144" i="36"/>
  <c r="AH144" i="36"/>
  <c r="DQ143" i="36"/>
  <c r="DN143" i="36"/>
  <c r="DH143" i="36"/>
  <c r="DE143" i="36"/>
  <c r="DB143" i="36"/>
  <c r="CY143" i="36"/>
  <c r="CV143" i="36"/>
  <c r="CS143" i="36"/>
  <c r="CM143" i="36"/>
  <c r="CJ143" i="36"/>
  <c r="CG143" i="36"/>
  <c r="CD143" i="36"/>
  <c r="CA143" i="36"/>
  <c r="BX143" i="36"/>
  <c r="BR143" i="36"/>
  <c r="BO143" i="36"/>
  <c r="BL143" i="36"/>
  <c r="BI143" i="36"/>
  <c r="BF143" i="36"/>
  <c r="BC143" i="36"/>
  <c r="AW143" i="36"/>
  <c r="AT143" i="36"/>
  <c r="AQ143" i="36"/>
  <c r="AN143" i="36"/>
  <c r="AK143" i="36"/>
  <c r="AH143" i="36"/>
  <c r="DQ142" i="36"/>
  <c r="DN142" i="36"/>
  <c r="DH142" i="36"/>
  <c r="DE142" i="36"/>
  <c r="DB142" i="36"/>
  <c r="CY142" i="36"/>
  <c r="CV142" i="36"/>
  <c r="CS142" i="36"/>
  <c r="CM142" i="36"/>
  <c r="CJ142" i="36"/>
  <c r="CG142" i="36"/>
  <c r="CD142" i="36"/>
  <c r="CA142" i="36"/>
  <c r="BX142" i="36"/>
  <c r="BR142" i="36"/>
  <c r="BO142" i="36"/>
  <c r="BL142" i="36"/>
  <c r="BI142" i="36"/>
  <c r="BF142" i="36"/>
  <c r="BC142" i="36"/>
  <c r="AW142" i="36"/>
  <c r="AT142" i="36"/>
  <c r="AQ142" i="36"/>
  <c r="AN142" i="36"/>
  <c r="AK142" i="36"/>
  <c r="AH142" i="36"/>
  <c r="DQ141" i="36"/>
  <c r="DN141" i="36"/>
  <c r="DH141" i="36"/>
  <c r="DE141" i="36"/>
  <c r="DB141" i="36"/>
  <c r="CY141" i="36"/>
  <c r="CV141" i="36"/>
  <c r="CS141" i="36"/>
  <c r="CM141" i="36"/>
  <c r="CJ141" i="36"/>
  <c r="CG141" i="36"/>
  <c r="CD141" i="36"/>
  <c r="CA141" i="36"/>
  <c r="BX141" i="36"/>
  <c r="BR141" i="36"/>
  <c r="BO141" i="36"/>
  <c r="BL141" i="36"/>
  <c r="BI141" i="36"/>
  <c r="BF141" i="36"/>
  <c r="BC141" i="36"/>
  <c r="AW141" i="36"/>
  <c r="AT141" i="36"/>
  <c r="AQ141" i="36"/>
  <c r="AN141" i="36"/>
  <c r="AK141" i="36"/>
  <c r="AH141" i="36"/>
  <c r="DQ140" i="36"/>
  <c r="DN140" i="36"/>
  <c r="DH140" i="36"/>
  <c r="DE140" i="36"/>
  <c r="DB140" i="36"/>
  <c r="CY140" i="36"/>
  <c r="CV140" i="36"/>
  <c r="CS140" i="36"/>
  <c r="CL140" i="36"/>
  <c r="CM140" i="36" s="1"/>
  <c r="CJ140" i="36"/>
  <c r="CG140" i="36"/>
  <c r="CD140" i="36"/>
  <c r="CA140" i="36"/>
  <c r="BX140" i="36"/>
  <c r="BR140" i="36"/>
  <c r="BO140" i="36"/>
  <c r="BL140" i="36"/>
  <c r="BI140" i="36"/>
  <c r="BF140" i="36"/>
  <c r="BC140" i="36"/>
  <c r="AW140" i="36"/>
  <c r="AT140" i="36"/>
  <c r="AQ140" i="36"/>
  <c r="AN140" i="36"/>
  <c r="AK140" i="36"/>
  <c r="AH140" i="36"/>
  <c r="DQ139" i="36"/>
  <c r="DN139" i="36"/>
  <c r="DH139" i="36"/>
  <c r="DE139" i="36"/>
  <c r="DB139" i="36"/>
  <c r="CY139" i="36"/>
  <c r="CV139" i="36"/>
  <c r="CS139" i="36"/>
  <c r="CM139" i="36"/>
  <c r="CJ139" i="36"/>
  <c r="CG139" i="36"/>
  <c r="CD139" i="36"/>
  <c r="CA139" i="36"/>
  <c r="BX139" i="36"/>
  <c r="BR139" i="36"/>
  <c r="BO139" i="36"/>
  <c r="BL139" i="36"/>
  <c r="BI139" i="36"/>
  <c r="BF139" i="36"/>
  <c r="BC139" i="36"/>
  <c r="AW139" i="36"/>
  <c r="AT139" i="36"/>
  <c r="AQ139" i="36"/>
  <c r="AN139" i="36"/>
  <c r="AK139" i="36"/>
  <c r="AH139" i="36"/>
  <c r="DQ138" i="36"/>
  <c r="DN138" i="36"/>
  <c r="DH138" i="36"/>
  <c r="DE138" i="36"/>
  <c r="DB138" i="36"/>
  <c r="CY138" i="36"/>
  <c r="CV138" i="36"/>
  <c r="CS138" i="36"/>
  <c r="CM138" i="36"/>
  <c r="CJ138" i="36"/>
  <c r="CG138" i="36"/>
  <c r="CD138" i="36"/>
  <c r="CA138" i="36"/>
  <c r="BX138" i="36"/>
  <c r="BR138" i="36"/>
  <c r="BO138" i="36"/>
  <c r="BL138" i="36"/>
  <c r="BI138" i="36"/>
  <c r="BF138" i="36"/>
  <c r="BC138" i="36"/>
  <c r="AW138" i="36"/>
  <c r="AT138" i="36"/>
  <c r="AQ138" i="36"/>
  <c r="AN138" i="36"/>
  <c r="AK138" i="36"/>
  <c r="AH138" i="36"/>
  <c r="DQ137" i="36"/>
  <c r="DN137" i="36"/>
  <c r="DH137" i="36"/>
  <c r="DE137" i="36"/>
  <c r="DB137" i="36"/>
  <c r="CY137" i="36"/>
  <c r="CV137" i="36"/>
  <c r="CS137" i="36"/>
  <c r="CM137" i="36"/>
  <c r="CJ137" i="36"/>
  <c r="CG137" i="36"/>
  <c r="CD137" i="36"/>
  <c r="CA137" i="36"/>
  <c r="BX137" i="36"/>
  <c r="BR137" i="36"/>
  <c r="BO137" i="36"/>
  <c r="BL137" i="36"/>
  <c r="BI137" i="36"/>
  <c r="BF137" i="36"/>
  <c r="BC137" i="36"/>
  <c r="AW137" i="36"/>
  <c r="AT137" i="36"/>
  <c r="AQ137" i="36"/>
  <c r="AN137" i="36"/>
  <c r="AK137" i="36"/>
  <c r="AH137" i="36"/>
  <c r="DQ136" i="36"/>
  <c r="DN136" i="36"/>
  <c r="DH136" i="36"/>
  <c r="DE136" i="36"/>
  <c r="DB136" i="36"/>
  <c r="CY136" i="36"/>
  <c r="CV136" i="36"/>
  <c r="CS136" i="36"/>
  <c r="CM136" i="36"/>
  <c r="CJ136" i="36"/>
  <c r="CG136" i="36"/>
  <c r="CD136" i="36"/>
  <c r="CA136" i="36"/>
  <c r="BX136" i="36"/>
  <c r="BR136" i="36"/>
  <c r="BO136" i="36"/>
  <c r="BL136" i="36"/>
  <c r="BI136" i="36"/>
  <c r="BF136" i="36"/>
  <c r="BC136" i="36"/>
  <c r="AW136" i="36"/>
  <c r="AT136" i="36"/>
  <c r="AQ136" i="36"/>
  <c r="AN136" i="36"/>
  <c r="AK136" i="36"/>
  <c r="AH136" i="36"/>
  <c r="DQ135" i="36"/>
  <c r="DN135" i="36"/>
  <c r="DH135" i="36"/>
  <c r="DE135" i="36"/>
  <c r="DB135" i="36"/>
  <c r="CY135" i="36"/>
  <c r="CV135" i="36"/>
  <c r="CS135" i="36"/>
  <c r="CM135" i="36"/>
  <c r="CJ135" i="36"/>
  <c r="CG135" i="36"/>
  <c r="CD135" i="36"/>
  <c r="CA135" i="36"/>
  <c r="BX135" i="36"/>
  <c r="BR135" i="36"/>
  <c r="BO135" i="36"/>
  <c r="BL135" i="36"/>
  <c r="BI135" i="36"/>
  <c r="BF135" i="36"/>
  <c r="BC135" i="36"/>
  <c r="AW135" i="36"/>
  <c r="AT135" i="36"/>
  <c r="AQ135" i="36"/>
  <c r="AN135" i="36"/>
  <c r="AK135" i="36"/>
  <c r="AH135" i="36"/>
  <c r="DQ134" i="36"/>
  <c r="DN134" i="36"/>
  <c r="DH134" i="36"/>
  <c r="DE134" i="36"/>
  <c r="DB134" i="36"/>
  <c r="CY134" i="36"/>
  <c r="CV134" i="36"/>
  <c r="CS134" i="36"/>
  <c r="CM134" i="36"/>
  <c r="CJ134" i="36"/>
  <c r="CG134" i="36"/>
  <c r="CD134" i="36"/>
  <c r="CA134" i="36"/>
  <c r="BX134" i="36"/>
  <c r="BR134" i="36"/>
  <c r="BO134" i="36"/>
  <c r="BL134" i="36"/>
  <c r="BI134" i="36"/>
  <c r="BF134" i="36"/>
  <c r="BC134" i="36"/>
  <c r="AW134" i="36"/>
  <c r="AT134" i="36"/>
  <c r="AQ134" i="36"/>
  <c r="AN134" i="36"/>
  <c r="AK134" i="36"/>
  <c r="AH134" i="36"/>
  <c r="DQ133" i="36"/>
  <c r="DN133" i="36"/>
  <c r="DH133" i="36"/>
  <c r="DE133" i="36"/>
  <c r="DB133" i="36"/>
  <c r="CY133" i="36"/>
  <c r="CV133" i="36"/>
  <c r="CS133" i="36"/>
  <c r="CM133" i="36"/>
  <c r="CJ133" i="36"/>
  <c r="CG133" i="36"/>
  <c r="CD133" i="36"/>
  <c r="CA133" i="36"/>
  <c r="BX133" i="36"/>
  <c r="BR133" i="36"/>
  <c r="BO133" i="36"/>
  <c r="BL133" i="36"/>
  <c r="BI133" i="36"/>
  <c r="BF133" i="36"/>
  <c r="BC133" i="36"/>
  <c r="AW133" i="36"/>
  <c r="AT133" i="36"/>
  <c r="AQ133" i="36"/>
  <c r="AN133" i="36"/>
  <c r="AK133" i="36"/>
  <c r="AH133" i="36"/>
  <c r="DQ132" i="36"/>
  <c r="DN132" i="36"/>
  <c r="DH132" i="36"/>
  <c r="DE132" i="36"/>
  <c r="DB132" i="36"/>
  <c r="CY132" i="36"/>
  <c r="CV132" i="36"/>
  <c r="CS132" i="36"/>
  <c r="CM132" i="36"/>
  <c r="CJ132" i="36"/>
  <c r="CG132" i="36"/>
  <c r="CD132" i="36"/>
  <c r="CA132" i="36"/>
  <c r="BX132" i="36"/>
  <c r="BR132" i="36"/>
  <c r="BO132" i="36"/>
  <c r="BL132" i="36"/>
  <c r="BI132" i="36"/>
  <c r="BF132" i="36"/>
  <c r="BC132" i="36"/>
  <c r="AW132" i="36"/>
  <c r="AT132" i="36"/>
  <c r="AQ132" i="36"/>
  <c r="AN132" i="36"/>
  <c r="AK132" i="36"/>
  <c r="AH132" i="36"/>
  <c r="DQ131" i="36"/>
  <c r="DN131" i="36"/>
  <c r="DH131" i="36"/>
  <c r="DE131" i="36"/>
  <c r="DB131" i="36"/>
  <c r="CY131" i="36"/>
  <c r="CV131" i="36"/>
  <c r="CS131" i="36"/>
  <c r="CM131" i="36"/>
  <c r="CJ131" i="36"/>
  <c r="CG131" i="36"/>
  <c r="CD131" i="36"/>
  <c r="CA131" i="36"/>
  <c r="BX131" i="36"/>
  <c r="BR131" i="36"/>
  <c r="BO131" i="36"/>
  <c r="BL131" i="36"/>
  <c r="BI131" i="36"/>
  <c r="BF131" i="36"/>
  <c r="BC131" i="36"/>
  <c r="AW131" i="36"/>
  <c r="AT131" i="36"/>
  <c r="AQ131" i="36"/>
  <c r="AN131" i="36"/>
  <c r="AK131" i="36"/>
  <c r="AH131" i="36"/>
  <c r="DQ130" i="36"/>
  <c r="DN130" i="36"/>
  <c r="DH130" i="36"/>
  <c r="DE130" i="36"/>
  <c r="DB130" i="36"/>
  <c r="CY130" i="36"/>
  <c r="CV130" i="36"/>
  <c r="CS130" i="36"/>
  <c r="CM130" i="36"/>
  <c r="CJ130" i="36"/>
  <c r="CG130" i="36"/>
  <c r="CD130" i="36"/>
  <c r="CA130" i="36"/>
  <c r="BX130" i="36"/>
  <c r="BR130" i="36"/>
  <c r="BO130" i="36"/>
  <c r="BL130" i="36"/>
  <c r="BI130" i="36"/>
  <c r="BF130" i="36"/>
  <c r="BC130" i="36"/>
  <c r="AW130" i="36"/>
  <c r="AT130" i="36"/>
  <c r="AQ130" i="36"/>
  <c r="AN130" i="36"/>
  <c r="AK130" i="36"/>
  <c r="AH130" i="36"/>
  <c r="DQ129" i="36"/>
  <c r="DN129" i="36"/>
  <c r="DH129" i="36"/>
  <c r="DE129" i="36"/>
  <c r="DB129" i="36"/>
  <c r="CY129" i="36"/>
  <c r="CV129" i="36"/>
  <c r="CS129" i="36"/>
  <c r="CM129" i="36"/>
  <c r="CJ129" i="36"/>
  <c r="CG129" i="36"/>
  <c r="CD129" i="36"/>
  <c r="CA129" i="36"/>
  <c r="BX129" i="36"/>
  <c r="BR129" i="36"/>
  <c r="BO129" i="36"/>
  <c r="BL129" i="36"/>
  <c r="BI129" i="36"/>
  <c r="BF129" i="36"/>
  <c r="BC129" i="36"/>
  <c r="AW129" i="36"/>
  <c r="AT129" i="36"/>
  <c r="AQ129" i="36"/>
  <c r="AN129" i="36"/>
  <c r="AK129" i="36"/>
  <c r="AH129" i="36"/>
  <c r="DQ128" i="36"/>
  <c r="DN128" i="36"/>
  <c r="DH128" i="36"/>
  <c r="DE128" i="36"/>
  <c r="DB128" i="36"/>
  <c r="CY128" i="36"/>
  <c r="CV128" i="36"/>
  <c r="CS128" i="36"/>
  <c r="CM128" i="36"/>
  <c r="CJ128" i="36"/>
  <c r="CG128" i="36"/>
  <c r="CD128" i="36"/>
  <c r="CA128" i="36"/>
  <c r="BX128" i="36"/>
  <c r="BR128" i="36"/>
  <c r="BO128" i="36"/>
  <c r="BL128" i="36"/>
  <c r="BI128" i="36"/>
  <c r="BF128" i="36"/>
  <c r="BC128" i="36"/>
  <c r="AW128" i="36"/>
  <c r="AT128" i="36"/>
  <c r="AQ128" i="36"/>
  <c r="AN128" i="36"/>
  <c r="AK128" i="36"/>
  <c r="AH128" i="36"/>
  <c r="DQ127" i="36"/>
  <c r="DN127" i="36"/>
  <c r="DH127" i="36"/>
  <c r="DE127" i="36"/>
  <c r="DB127" i="36"/>
  <c r="CY127" i="36"/>
  <c r="CV127" i="36"/>
  <c r="CS127" i="36"/>
  <c r="CM127" i="36"/>
  <c r="CJ127" i="36"/>
  <c r="CG127" i="36"/>
  <c r="CD127" i="36"/>
  <c r="CA127" i="36"/>
  <c r="BX127" i="36"/>
  <c r="BR127" i="36"/>
  <c r="BO127" i="36"/>
  <c r="BL127" i="36"/>
  <c r="BI127" i="36"/>
  <c r="BF127" i="36"/>
  <c r="BC127" i="36"/>
  <c r="AW127" i="36"/>
  <c r="AT127" i="36"/>
  <c r="AQ127" i="36"/>
  <c r="AP127" i="36"/>
  <c r="AP268" i="36" s="1"/>
  <c r="AN127" i="36"/>
  <c r="AK127" i="36"/>
  <c r="AH127" i="36"/>
  <c r="DQ126" i="36"/>
  <c r="DN126" i="36"/>
  <c r="DH126" i="36"/>
  <c r="DE126" i="36"/>
  <c r="DB126" i="36"/>
  <c r="CY126" i="36"/>
  <c r="CV126" i="36"/>
  <c r="CS126" i="36"/>
  <c r="CM126" i="36"/>
  <c r="CJ126" i="36"/>
  <c r="CG126" i="36"/>
  <c r="CD126" i="36"/>
  <c r="CA126" i="36"/>
  <c r="BX126" i="36"/>
  <c r="BR126" i="36"/>
  <c r="BO126" i="36"/>
  <c r="BL126" i="36"/>
  <c r="BI126" i="36"/>
  <c r="BF126" i="36"/>
  <c r="BC126" i="36"/>
  <c r="AW126" i="36"/>
  <c r="AT126" i="36"/>
  <c r="AQ126" i="36"/>
  <c r="AN126" i="36"/>
  <c r="AK126" i="36"/>
  <c r="AH126" i="36"/>
  <c r="DQ125" i="36"/>
  <c r="DN125" i="36"/>
  <c r="DH125" i="36"/>
  <c r="DE125" i="36"/>
  <c r="DB125" i="36"/>
  <c r="CY125" i="36"/>
  <c r="CV125" i="36"/>
  <c r="CS125" i="36"/>
  <c r="CM125" i="36"/>
  <c r="CJ125" i="36"/>
  <c r="CG125" i="36"/>
  <c r="CD125" i="36"/>
  <c r="CA125" i="36"/>
  <c r="BX125" i="36"/>
  <c r="BR125" i="36"/>
  <c r="BO125" i="36"/>
  <c r="BL125" i="36"/>
  <c r="BI125" i="36"/>
  <c r="BF125" i="36"/>
  <c r="BC125" i="36"/>
  <c r="AW125" i="36"/>
  <c r="AT125" i="36"/>
  <c r="AQ125" i="36"/>
  <c r="AN125" i="36"/>
  <c r="AK125" i="36"/>
  <c r="AH125" i="36"/>
  <c r="DQ124" i="36"/>
  <c r="DN124" i="36"/>
  <c r="DH124" i="36"/>
  <c r="DE124" i="36"/>
  <c r="DB124" i="36"/>
  <c r="CY124" i="36"/>
  <c r="CV124" i="36"/>
  <c r="CS124" i="36"/>
  <c r="CM124" i="36"/>
  <c r="CJ124" i="36"/>
  <c r="CG124" i="36"/>
  <c r="CD124" i="36"/>
  <c r="CA124" i="36"/>
  <c r="BX124" i="36"/>
  <c r="BR124" i="36"/>
  <c r="BO124" i="36"/>
  <c r="BL124" i="36"/>
  <c r="BI124" i="36"/>
  <c r="BF124" i="36"/>
  <c r="BC124" i="36"/>
  <c r="AW124" i="36"/>
  <c r="AT124" i="36"/>
  <c r="AQ124" i="36"/>
  <c r="AN124" i="36"/>
  <c r="AK124" i="36"/>
  <c r="AH124" i="36"/>
  <c r="DQ123" i="36"/>
  <c r="DN123" i="36"/>
  <c r="DH123" i="36"/>
  <c r="DE123" i="36"/>
  <c r="DB123" i="36"/>
  <c r="CY123" i="36"/>
  <c r="CV123" i="36"/>
  <c r="CS123" i="36"/>
  <c r="CM123" i="36"/>
  <c r="CJ123" i="36"/>
  <c r="CG123" i="36"/>
  <c r="CD123" i="36"/>
  <c r="CA123" i="36"/>
  <c r="BX123" i="36"/>
  <c r="BR123" i="36"/>
  <c r="BO123" i="36"/>
  <c r="BL123" i="36"/>
  <c r="BI123" i="36"/>
  <c r="BF123" i="36"/>
  <c r="BC123" i="36"/>
  <c r="AW123" i="36"/>
  <c r="AT123" i="36"/>
  <c r="AQ123" i="36"/>
  <c r="AN123" i="36"/>
  <c r="AK123" i="36"/>
  <c r="AH123" i="36"/>
  <c r="DQ122" i="36"/>
  <c r="DN122" i="36"/>
  <c r="DH122" i="36"/>
  <c r="DE122" i="36"/>
  <c r="DB122" i="36"/>
  <c r="CY122" i="36"/>
  <c r="CV122" i="36"/>
  <c r="CS122" i="36"/>
  <c r="CM122" i="36"/>
  <c r="CJ122" i="36"/>
  <c r="CG122" i="36"/>
  <c r="CD122" i="36"/>
  <c r="CA122" i="36"/>
  <c r="BX122" i="36"/>
  <c r="BR122" i="36"/>
  <c r="BO122" i="36"/>
  <c r="BL122" i="36"/>
  <c r="BI122" i="36"/>
  <c r="BF122" i="36"/>
  <c r="BC122" i="36"/>
  <c r="AW122" i="36"/>
  <c r="AT122" i="36"/>
  <c r="AQ122" i="36"/>
  <c r="AN122" i="36"/>
  <c r="AK122" i="36"/>
  <c r="AH122" i="36"/>
  <c r="DQ121" i="36"/>
  <c r="DN121" i="36"/>
  <c r="DH121" i="36"/>
  <c r="DE121" i="36"/>
  <c r="DB121" i="36"/>
  <c r="CY121" i="36"/>
  <c r="CV121" i="36"/>
  <c r="CU121" i="36"/>
  <c r="CS121" i="36"/>
  <c r="CM121" i="36"/>
  <c r="CJ121" i="36"/>
  <c r="CG121" i="36"/>
  <c r="CD121" i="36"/>
  <c r="CA121" i="36"/>
  <c r="BX121" i="36"/>
  <c r="BR121" i="36"/>
  <c r="BO121" i="36"/>
  <c r="BL121" i="36"/>
  <c r="BI121" i="36"/>
  <c r="BF121" i="36"/>
  <c r="BC121" i="36"/>
  <c r="AW121" i="36"/>
  <c r="AT121" i="36"/>
  <c r="AQ121" i="36"/>
  <c r="AN121" i="36"/>
  <c r="AK121" i="36"/>
  <c r="AH121" i="36"/>
  <c r="DQ120" i="36"/>
  <c r="DN120" i="36"/>
  <c r="DH120" i="36"/>
  <c r="DE120" i="36"/>
  <c r="DB120" i="36"/>
  <c r="CY120" i="36"/>
  <c r="CV120" i="36"/>
  <c r="CS120" i="36"/>
  <c r="CM120" i="36"/>
  <c r="CJ120" i="36"/>
  <c r="CG120" i="36"/>
  <c r="CD120" i="36"/>
  <c r="CA120" i="36"/>
  <c r="BX120" i="36"/>
  <c r="BR120" i="36"/>
  <c r="BO120" i="36"/>
  <c r="BL120" i="36"/>
  <c r="BI120" i="36"/>
  <c r="BF120" i="36"/>
  <c r="BC120" i="36"/>
  <c r="AW120" i="36"/>
  <c r="AT120" i="36"/>
  <c r="AQ120" i="36"/>
  <c r="AN120" i="36"/>
  <c r="AK120" i="36"/>
  <c r="AH120" i="36"/>
  <c r="DQ119" i="36"/>
  <c r="DN119" i="36"/>
  <c r="DH119" i="36"/>
  <c r="DE119" i="36"/>
  <c r="DB119" i="36"/>
  <c r="CY119" i="36"/>
  <c r="CV119" i="36"/>
  <c r="CS119" i="36"/>
  <c r="CM119" i="36"/>
  <c r="CJ119" i="36"/>
  <c r="CG119" i="36"/>
  <c r="CD119" i="36"/>
  <c r="CA119" i="36"/>
  <c r="BX119" i="36"/>
  <c r="BR119" i="36"/>
  <c r="BO119" i="36"/>
  <c r="BL119" i="36"/>
  <c r="BI119" i="36"/>
  <c r="BE119" i="36"/>
  <c r="BF119" i="36" s="1"/>
  <c r="BC119" i="36"/>
  <c r="AW119" i="36"/>
  <c r="AT119" i="36"/>
  <c r="AQ119" i="36"/>
  <c r="AN119" i="36"/>
  <c r="AK119" i="36"/>
  <c r="AH119" i="36"/>
  <c r="DQ118" i="36"/>
  <c r="DN118" i="36"/>
  <c r="DH118" i="36"/>
  <c r="DE118" i="36"/>
  <c r="DB118" i="36"/>
  <c r="CY118" i="36"/>
  <c r="CV118" i="36"/>
  <c r="CS118" i="36"/>
  <c r="CM118" i="36"/>
  <c r="CJ118" i="36"/>
  <c r="CG118" i="36"/>
  <c r="CD118" i="36"/>
  <c r="CA118" i="36"/>
  <c r="BX118" i="36"/>
  <c r="BR118" i="36"/>
  <c r="BO118" i="36"/>
  <c r="BL118" i="36"/>
  <c r="BI118" i="36"/>
  <c r="BF118" i="36"/>
  <c r="BC118" i="36"/>
  <c r="AW118" i="36"/>
  <c r="AT118" i="36"/>
  <c r="AQ118" i="36"/>
  <c r="AN118" i="36"/>
  <c r="AK118" i="36"/>
  <c r="AH118" i="36"/>
  <c r="DQ117" i="36"/>
  <c r="DN117" i="36"/>
  <c r="DH117" i="36"/>
  <c r="DE117" i="36"/>
  <c r="DB117" i="36"/>
  <c r="CY117" i="36"/>
  <c r="CV117" i="36"/>
  <c r="CS117" i="36"/>
  <c r="CM117" i="36"/>
  <c r="CJ117" i="36"/>
  <c r="CG117" i="36"/>
  <c r="CD117" i="36"/>
  <c r="CA117" i="36"/>
  <c r="BX117" i="36"/>
  <c r="BR117" i="36"/>
  <c r="BO117" i="36"/>
  <c r="BL117" i="36"/>
  <c r="BI117" i="36"/>
  <c r="BF117" i="36"/>
  <c r="BC117" i="36"/>
  <c r="AW117" i="36"/>
  <c r="AT117" i="36"/>
  <c r="AQ117" i="36"/>
  <c r="AN117" i="36"/>
  <c r="AK117" i="36"/>
  <c r="AH117" i="36"/>
  <c r="DQ116" i="36"/>
  <c r="DN116" i="36"/>
  <c r="DH116" i="36"/>
  <c r="DE116" i="36"/>
  <c r="DB116" i="36"/>
  <c r="CY116" i="36"/>
  <c r="CV116" i="36"/>
  <c r="CS116" i="36"/>
  <c r="CM116" i="36"/>
  <c r="CJ116" i="36"/>
  <c r="CG116" i="36"/>
  <c r="CD116" i="36"/>
  <c r="CA116" i="36"/>
  <c r="BX116" i="36"/>
  <c r="BR116" i="36"/>
  <c r="BO116" i="36"/>
  <c r="BL116" i="36"/>
  <c r="BI116" i="36"/>
  <c r="BF116" i="36"/>
  <c r="BC116" i="36"/>
  <c r="AW116" i="36"/>
  <c r="AT116" i="36"/>
  <c r="AQ116" i="36"/>
  <c r="AN116" i="36"/>
  <c r="AK116" i="36"/>
  <c r="AH116" i="36"/>
  <c r="DQ115" i="36"/>
  <c r="DN115" i="36"/>
  <c r="DH115" i="36"/>
  <c r="DE115" i="36"/>
  <c r="DB115" i="36"/>
  <c r="CY115" i="36"/>
  <c r="CV115" i="36"/>
  <c r="CS115" i="36"/>
  <c r="CM115" i="36"/>
  <c r="CJ115" i="36"/>
  <c r="CG115" i="36"/>
  <c r="CD115" i="36"/>
  <c r="CA115" i="36"/>
  <c r="BX115" i="36"/>
  <c r="BR115" i="36"/>
  <c r="BO115" i="36"/>
  <c r="BL115" i="36"/>
  <c r="BI115" i="36"/>
  <c r="BF115" i="36"/>
  <c r="BC115" i="36"/>
  <c r="AW115" i="36"/>
  <c r="AT115" i="36"/>
  <c r="AQ115" i="36"/>
  <c r="AN115" i="36"/>
  <c r="AK115" i="36"/>
  <c r="AH115" i="36"/>
  <c r="DQ114" i="36"/>
  <c r="DN114" i="36"/>
  <c r="DH114" i="36"/>
  <c r="DE114" i="36"/>
  <c r="DB114" i="36"/>
  <c r="CY114" i="36"/>
  <c r="CV114" i="36"/>
  <c r="CS114" i="36"/>
  <c r="CM114" i="36"/>
  <c r="CJ114" i="36"/>
  <c r="CG114" i="36"/>
  <c r="CD114" i="36"/>
  <c r="CA114" i="36"/>
  <c r="BX114" i="36"/>
  <c r="BR114" i="36"/>
  <c r="BO114" i="36"/>
  <c r="BL114" i="36"/>
  <c r="BI114" i="36"/>
  <c r="BF114" i="36"/>
  <c r="BC114" i="36"/>
  <c r="AW114" i="36"/>
  <c r="AT114" i="36"/>
  <c r="AQ114" i="36"/>
  <c r="AN114" i="36"/>
  <c r="AK114" i="36"/>
  <c r="AH114" i="36"/>
  <c r="DQ113" i="36"/>
  <c r="DN113" i="36"/>
  <c r="DH113" i="36"/>
  <c r="DE113" i="36"/>
  <c r="DB113" i="36"/>
  <c r="CY113" i="36"/>
  <c r="CV113" i="36"/>
  <c r="CS113" i="36"/>
  <c r="CM113" i="36"/>
  <c r="CJ113" i="36"/>
  <c r="CG113" i="36"/>
  <c r="CD113" i="36"/>
  <c r="CA113" i="36"/>
  <c r="BX113" i="36"/>
  <c r="BR113" i="36"/>
  <c r="BO113" i="36"/>
  <c r="BL113" i="36"/>
  <c r="BI113" i="36"/>
  <c r="BF113" i="36"/>
  <c r="BC113" i="36"/>
  <c r="AW113" i="36"/>
  <c r="AT113" i="36"/>
  <c r="AQ113" i="36"/>
  <c r="AN113" i="36"/>
  <c r="AK113" i="36"/>
  <c r="AH113" i="36"/>
  <c r="DQ112" i="36"/>
  <c r="DN112" i="36"/>
  <c r="DH112" i="36"/>
  <c r="DE112" i="36"/>
  <c r="DB112" i="36"/>
  <c r="CY112" i="36"/>
  <c r="CV112" i="36"/>
  <c r="CS112" i="36"/>
  <c r="CM112" i="36"/>
  <c r="CJ112" i="36"/>
  <c r="CG112" i="36"/>
  <c r="CD112" i="36"/>
  <c r="CA112" i="36"/>
  <c r="BX112" i="36"/>
  <c r="BR112" i="36"/>
  <c r="BO112" i="36"/>
  <c r="BL112" i="36"/>
  <c r="BI112" i="36"/>
  <c r="BF112" i="36"/>
  <c r="BC112" i="36"/>
  <c r="AW112" i="36"/>
  <c r="AT112" i="36"/>
  <c r="AQ112" i="36"/>
  <c r="AN112" i="36"/>
  <c r="AK112" i="36"/>
  <c r="AH112" i="36"/>
  <c r="DQ111" i="36"/>
  <c r="DN111" i="36"/>
  <c r="DH111" i="36"/>
  <c r="DE111" i="36"/>
  <c r="DB111" i="36"/>
  <c r="CY111" i="36"/>
  <c r="CV111" i="36"/>
  <c r="CS111" i="36"/>
  <c r="CM111" i="36"/>
  <c r="CJ111" i="36"/>
  <c r="CG111" i="36"/>
  <c r="CD111" i="36"/>
  <c r="CA111" i="36"/>
  <c r="BX111" i="36"/>
  <c r="BR111" i="36"/>
  <c r="BO111" i="36"/>
  <c r="BL111" i="36"/>
  <c r="BI111" i="36"/>
  <c r="BF111" i="36"/>
  <c r="BC111" i="36"/>
  <c r="AW111" i="36"/>
  <c r="AT111" i="36"/>
  <c r="AQ111" i="36"/>
  <c r="AN111" i="36"/>
  <c r="AK111" i="36"/>
  <c r="AH111" i="36"/>
  <c r="DQ110" i="36"/>
  <c r="DN110" i="36"/>
  <c r="DH110" i="36"/>
  <c r="DE110" i="36"/>
  <c r="DB110" i="36"/>
  <c r="CY110" i="36"/>
  <c r="CV110" i="36"/>
  <c r="CS110" i="36"/>
  <c r="CM110" i="36"/>
  <c r="CJ110" i="36"/>
  <c r="CG110" i="36"/>
  <c r="CD110" i="36"/>
  <c r="CA110" i="36"/>
  <c r="BX110" i="36"/>
  <c r="BR110" i="36"/>
  <c r="BO110" i="36"/>
  <c r="BL110" i="36"/>
  <c r="BI110" i="36"/>
  <c r="BF110" i="36"/>
  <c r="BC110" i="36"/>
  <c r="AW110" i="36"/>
  <c r="AT110" i="36"/>
  <c r="AQ110" i="36"/>
  <c r="AN110" i="36"/>
  <c r="AK110" i="36"/>
  <c r="AH110" i="36"/>
  <c r="DQ109" i="36"/>
  <c r="DN109" i="36"/>
  <c r="DH109" i="36"/>
  <c r="DE109" i="36"/>
  <c r="DB109" i="36"/>
  <c r="CY109" i="36"/>
  <c r="CV109" i="36"/>
  <c r="CS109" i="36"/>
  <c r="CM109" i="36"/>
  <c r="CJ109" i="36"/>
  <c r="CG109" i="36"/>
  <c r="CD109" i="36"/>
  <c r="CA109" i="36"/>
  <c r="BX109" i="36"/>
  <c r="BR109" i="36"/>
  <c r="BO109" i="36"/>
  <c r="BL109" i="36"/>
  <c r="BI109" i="36"/>
  <c r="BF109" i="36"/>
  <c r="BC109" i="36"/>
  <c r="AW109" i="36"/>
  <c r="AT109" i="36"/>
  <c r="AQ109" i="36"/>
  <c r="AN109" i="36"/>
  <c r="AK109" i="36"/>
  <c r="AH109" i="36"/>
  <c r="DQ108" i="36"/>
  <c r="DN108" i="36"/>
  <c r="DH108" i="36"/>
  <c r="DE108" i="36"/>
  <c r="DB108" i="36"/>
  <c r="CY108" i="36"/>
  <c r="CV108" i="36"/>
  <c r="CS108" i="36"/>
  <c r="CM108" i="36"/>
  <c r="CJ108" i="36"/>
  <c r="CG108" i="36"/>
  <c r="CD108" i="36"/>
  <c r="CA108" i="36"/>
  <c r="BX108" i="36"/>
  <c r="BR108" i="36"/>
  <c r="BO108" i="36"/>
  <c r="BL108" i="36"/>
  <c r="BI108" i="36"/>
  <c r="BF108" i="36"/>
  <c r="BC108" i="36"/>
  <c r="AW108" i="36"/>
  <c r="AT108" i="36"/>
  <c r="AQ108" i="36"/>
  <c r="AN108" i="36"/>
  <c r="AK108" i="36"/>
  <c r="AH108" i="36"/>
  <c r="DQ107" i="36"/>
  <c r="DN107" i="36"/>
  <c r="DH107" i="36"/>
  <c r="DE107" i="36"/>
  <c r="DB107" i="36"/>
  <c r="CY107" i="36"/>
  <c r="CV107" i="36"/>
  <c r="CS107" i="36"/>
  <c r="CM107" i="36"/>
  <c r="CJ107" i="36"/>
  <c r="CG107" i="36"/>
  <c r="CD107" i="36"/>
  <c r="CA107" i="36"/>
  <c r="BX107" i="36"/>
  <c r="BR107" i="36"/>
  <c r="BO107" i="36"/>
  <c r="BL107" i="36"/>
  <c r="BI107" i="36"/>
  <c r="BF107" i="36"/>
  <c r="BC107" i="36"/>
  <c r="AW107" i="36"/>
  <c r="AT107" i="36"/>
  <c r="AQ107" i="36"/>
  <c r="AN107" i="36"/>
  <c r="AK107" i="36"/>
  <c r="AH107" i="36"/>
  <c r="DQ106" i="36"/>
  <c r="DN106" i="36"/>
  <c r="DH106" i="36"/>
  <c r="DE106" i="36"/>
  <c r="DB106" i="36"/>
  <c r="CY106" i="36"/>
  <c r="CV106" i="36"/>
  <c r="CS106" i="36"/>
  <c r="CM106" i="36"/>
  <c r="CJ106" i="36"/>
  <c r="CG106" i="36"/>
  <c r="CD106" i="36"/>
  <c r="CA106" i="36"/>
  <c r="BX106" i="36"/>
  <c r="BR106" i="36"/>
  <c r="BO106" i="36"/>
  <c r="BL106" i="36"/>
  <c r="BI106" i="36"/>
  <c r="BF106" i="36"/>
  <c r="BC106" i="36"/>
  <c r="AW106" i="36"/>
  <c r="AT106" i="36"/>
  <c r="AQ106" i="36"/>
  <c r="AN106" i="36"/>
  <c r="AK106" i="36"/>
  <c r="AH106" i="36"/>
  <c r="DQ105" i="36"/>
  <c r="DN105" i="36"/>
  <c r="DH105" i="36"/>
  <c r="DE105" i="36"/>
  <c r="DB105" i="36"/>
  <c r="CY105" i="36"/>
  <c r="CV105" i="36"/>
  <c r="CS105" i="36"/>
  <c r="CM105" i="36"/>
  <c r="CJ105" i="36"/>
  <c r="CG105" i="36"/>
  <c r="CD105" i="36"/>
  <c r="CA105" i="36"/>
  <c r="BX105" i="36"/>
  <c r="BR105" i="36"/>
  <c r="BO105" i="36"/>
  <c r="BL105" i="36"/>
  <c r="BI105" i="36"/>
  <c r="BF105" i="36"/>
  <c r="BC105" i="36"/>
  <c r="AW105" i="36"/>
  <c r="AT105" i="36"/>
  <c r="AQ105" i="36"/>
  <c r="AN105" i="36"/>
  <c r="AK105" i="36"/>
  <c r="AH105" i="36"/>
  <c r="DQ104" i="36"/>
  <c r="DN104" i="36"/>
  <c r="DH104" i="36"/>
  <c r="DE104" i="36"/>
  <c r="DB104" i="36"/>
  <c r="CY104" i="36"/>
  <c r="CV104" i="36"/>
  <c r="CS104" i="36"/>
  <c r="CM104" i="36"/>
  <c r="CJ104" i="36"/>
  <c r="CG104" i="36"/>
  <c r="CD104" i="36"/>
  <c r="CA104" i="36"/>
  <c r="BX104" i="36"/>
  <c r="BR104" i="36"/>
  <c r="BO104" i="36"/>
  <c r="BL104" i="36"/>
  <c r="BI104" i="36"/>
  <c r="BF104" i="36"/>
  <c r="BC104" i="36"/>
  <c r="AW104" i="36"/>
  <c r="AT104" i="36"/>
  <c r="AQ104" i="36"/>
  <c r="AN104" i="36"/>
  <c r="AK104" i="36"/>
  <c r="AH104" i="36"/>
  <c r="DQ103" i="36"/>
  <c r="DN103" i="36"/>
  <c r="DH103" i="36"/>
  <c r="DE103" i="36"/>
  <c r="DB103" i="36"/>
  <c r="CY103" i="36"/>
  <c r="CV103" i="36"/>
  <c r="CS103" i="36"/>
  <c r="CM103" i="36"/>
  <c r="CJ103" i="36"/>
  <c r="CG103" i="36"/>
  <c r="CD103" i="36"/>
  <c r="CA103" i="36"/>
  <c r="BX103" i="36"/>
  <c r="BR103" i="36"/>
  <c r="BO103" i="36"/>
  <c r="BL103" i="36"/>
  <c r="BI103" i="36"/>
  <c r="BF103" i="36"/>
  <c r="BC103" i="36"/>
  <c r="AW103" i="36"/>
  <c r="AT103" i="36"/>
  <c r="AQ103" i="36"/>
  <c r="AN103" i="36"/>
  <c r="AK103" i="36"/>
  <c r="AH103" i="36"/>
  <c r="DQ102" i="36"/>
  <c r="DN102" i="36"/>
  <c r="DH102" i="36"/>
  <c r="DE102" i="36"/>
  <c r="DB102" i="36"/>
  <c r="CY102" i="36"/>
  <c r="CV102" i="36"/>
  <c r="CS102" i="36"/>
  <c r="CM102" i="36"/>
  <c r="CJ102" i="36"/>
  <c r="CG102" i="36"/>
  <c r="CD102" i="36"/>
  <c r="CA102" i="36"/>
  <c r="BX102" i="36"/>
  <c r="BR102" i="36"/>
  <c r="BO102" i="36"/>
  <c r="BL102" i="36"/>
  <c r="BI102" i="36"/>
  <c r="BF102" i="36"/>
  <c r="BC102" i="36"/>
  <c r="AW102" i="36"/>
  <c r="AT102" i="36"/>
  <c r="AQ102" i="36"/>
  <c r="AN102" i="36"/>
  <c r="AK102" i="36"/>
  <c r="AH102" i="36"/>
  <c r="DQ101" i="36"/>
  <c r="DN101" i="36"/>
  <c r="DH101" i="36"/>
  <c r="DE101" i="36"/>
  <c r="DB101" i="36"/>
  <c r="CY101" i="36"/>
  <c r="CV101" i="36"/>
  <c r="CS101" i="36"/>
  <c r="CM101" i="36"/>
  <c r="CJ101" i="36"/>
  <c r="CG101" i="36"/>
  <c r="CD101" i="36"/>
  <c r="CA101" i="36"/>
  <c r="BX101" i="36"/>
  <c r="BR101" i="36"/>
  <c r="BO101" i="36"/>
  <c r="BL101" i="36"/>
  <c r="BI101" i="36"/>
  <c r="BF101" i="36"/>
  <c r="BC101" i="36"/>
  <c r="AW101" i="36"/>
  <c r="AT101" i="36"/>
  <c r="AQ101" i="36"/>
  <c r="AN101" i="36"/>
  <c r="AK101" i="36"/>
  <c r="AH101" i="36"/>
  <c r="DQ100" i="36"/>
  <c r="DN100" i="36"/>
  <c r="DH100" i="36"/>
  <c r="DE100" i="36"/>
  <c r="DB100" i="36"/>
  <c r="CY100" i="36"/>
  <c r="CV100" i="36"/>
  <c r="CS100" i="36"/>
  <c r="CM100" i="36"/>
  <c r="CJ100" i="36"/>
  <c r="CG100" i="36"/>
  <c r="CD100" i="36"/>
  <c r="CA100" i="36"/>
  <c r="BX100" i="36"/>
  <c r="BR100" i="36"/>
  <c r="BO100" i="36"/>
  <c r="BL100" i="36"/>
  <c r="BI100" i="36"/>
  <c r="BF100" i="36"/>
  <c r="BC100" i="36"/>
  <c r="AW100" i="36"/>
  <c r="AT100" i="36"/>
  <c r="AQ100" i="36"/>
  <c r="AN100" i="36"/>
  <c r="AK100" i="36"/>
  <c r="AH100" i="36"/>
  <c r="DQ99" i="36"/>
  <c r="DN99" i="36"/>
  <c r="DH99" i="36"/>
  <c r="DE99" i="36"/>
  <c r="DB99" i="36"/>
  <c r="CY99" i="36"/>
  <c r="CV99" i="36"/>
  <c r="CS99" i="36"/>
  <c r="CM99" i="36"/>
  <c r="CJ99" i="36"/>
  <c r="CG99" i="36"/>
  <c r="CD99" i="36"/>
  <c r="CA99" i="36"/>
  <c r="BX99" i="36"/>
  <c r="BR99" i="36"/>
  <c r="BO99" i="36"/>
  <c r="BL99" i="36"/>
  <c r="BI99" i="36"/>
  <c r="BF99" i="36"/>
  <c r="BC99" i="36"/>
  <c r="AW99" i="36"/>
  <c r="AT99" i="36"/>
  <c r="AQ99" i="36"/>
  <c r="AN99" i="36"/>
  <c r="AK99" i="36"/>
  <c r="AH99" i="36"/>
  <c r="DQ98" i="36"/>
  <c r="DN98" i="36"/>
  <c r="DH98" i="36"/>
  <c r="DE98" i="36"/>
  <c r="DB98" i="36"/>
  <c r="CY98" i="36"/>
  <c r="CV98" i="36"/>
  <c r="CS98" i="36"/>
  <c r="CM98" i="36"/>
  <c r="CJ98" i="36"/>
  <c r="CG98" i="36"/>
  <c r="CD98" i="36"/>
  <c r="CA98" i="36"/>
  <c r="BX98" i="36"/>
  <c r="BR98" i="36"/>
  <c r="BO98" i="36"/>
  <c r="BL98" i="36"/>
  <c r="BI98" i="36"/>
  <c r="BF98" i="36"/>
  <c r="BC98" i="36"/>
  <c r="AW98" i="36"/>
  <c r="AT98" i="36"/>
  <c r="AQ98" i="36"/>
  <c r="AN98" i="36"/>
  <c r="AK98" i="36"/>
  <c r="AH98" i="36"/>
  <c r="DQ97" i="36"/>
  <c r="DN97" i="36"/>
  <c r="DH97" i="36"/>
  <c r="DE97" i="36"/>
  <c r="DB97" i="36"/>
  <c r="CY97" i="36"/>
  <c r="CV97" i="36"/>
  <c r="CS97" i="36"/>
  <c r="CM97" i="36"/>
  <c r="CJ97" i="36"/>
  <c r="CG97" i="36"/>
  <c r="CD97" i="36"/>
  <c r="CA97" i="36"/>
  <c r="BX97" i="36"/>
  <c r="BR97" i="36"/>
  <c r="BO97" i="36"/>
  <c r="BL97" i="36"/>
  <c r="BI97" i="36"/>
  <c r="BF97" i="36"/>
  <c r="BC97" i="36"/>
  <c r="AW97" i="36"/>
  <c r="AT97" i="36"/>
  <c r="AQ97" i="36"/>
  <c r="AN97" i="36"/>
  <c r="AK97" i="36"/>
  <c r="AH97" i="36"/>
  <c r="DQ96" i="36"/>
  <c r="DN96" i="36"/>
  <c r="DH96" i="36"/>
  <c r="DE96" i="36"/>
  <c r="DB96" i="36"/>
  <c r="CY96" i="36"/>
  <c r="CV96" i="36"/>
  <c r="CS96" i="36"/>
  <c r="CM96" i="36"/>
  <c r="CJ96" i="36"/>
  <c r="CG96" i="36"/>
  <c r="CD96" i="36"/>
  <c r="CA96" i="36"/>
  <c r="BX96" i="36"/>
  <c r="BR96" i="36"/>
  <c r="BO96" i="36"/>
  <c r="BL96" i="36"/>
  <c r="BI96" i="36"/>
  <c r="BF96" i="36"/>
  <c r="BC96" i="36"/>
  <c r="AW96" i="36"/>
  <c r="AT96" i="36"/>
  <c r="AQ96" i="36"/>
  <c r="AN96" i="36"/>
  <c r="AK96" i="36"/>
  <c r="AH96" i="36"/>
  <c r="DQ95" i="36"/>
  <c r="DN95" i="36"/>
  <c r="DH95" i="36"/>
  <c r="DE95" i="36"/>
  <c r="DB95" i="36"/>
  <c r="CY95" i="36"/>
  <c r="CV95" i="36"/>
  <c r="CS95" i="36"/>
  <c r="CM95" i="36"/>
  <c r="CJ95" i="36"/>
  <c r="CG95" i="36"/>
  <c r="CD95" i="36"/>
  <c r="CA95" i="36"/>
  <c r="BX95" i="36"/>
  <c r="BR95" i="36"/>
  <c r="BO95" i="36"/>
  <c r="BL95" i="36"/>
  <c r="BI95" i="36"/>
  <c r="BF95" i="36"/>
  <c r="BC95" i="36"/>
  <c r="AW95" i="36"/>
  <c r="AT95" i="36"/>
  <c r="AQ95" i="36"/>
  <c r="AN95" i="36"/>
  <c r="AK95" i="36"/>
  <c r="AH95" i="36"/>
  <c r="DQ94" i="36"/>
  <c r="DN94" i="36"/>
  <c r="DH94" i="36"/>
  <c r="DE94" i="36"/>
  <c r="DB94" i="36"/>
  <c r="CY94" i="36"/>
  <c r="CV94" i="36"/>
  <c r="CS94" i="36"/>
  <c r="CM94" i="36"/>
  <c r="CJ94" i="36"/>
  <c r="CG94" i="36"/>
  <c r="CD94" i="36"/>
  <c r="CA94" i="36"/>
  <c r="BX94" i="36"/>
  <c r="BR94" i="36"/>
  <c r="BO94" i="36"/>
  <c r="BL94" i="36"/>
  <c r="BI94" i="36"/>
  <c r="BF94" i="36"/>
  <c r="BC94" i="36"/>
  <c r="AW94" i="36"/>
  <c r="AT94" i="36"/>
  <c r="AQ94" i="36"/>
  <c r="AN94" i="36"/>
  <c r="AK94" i="36"/>
  <c r="AH94" i="36"/>
  <c r="DQ93" i="36"/>
  <c r="DN93" i="36"/>
  <c r="DH93" i="36"/>
  <c r="DE93" i="36"/>
  <c r="DB93" i="36"/>
  <c r="CY93" i="36"/>
  <c r="CV93" i="36"/>
  <c r="CS93" i="36"/>
  <c r="CM93" i="36"/>
  <c r="CJ93" i="36"/>
  <c r="CG93" i="36"/>
  <c r="CD93" i="36"/>
  <c r="CA93" i="36"/>
  <c r="BX93" i="36"/>
  <c r="BR93" i="36"/>
  <c r="BO93" i="36"/>
  <c r="BL93" i="36"/>
  <c r="BI93" i="36"/>
  <c r="BF93" i="36"/>
  <c r="BC93" i="36"/>
  <c r="AW93" i="36"/>
  <c r="AT93" i="36"/>
  <c r="AQ93" i="36"/>
  <c r="AN93" i="36"/>
  <c r="AK93" i="36"/>
  <c r="AH93" i="36"/>
  <c r="DQ92" i="36"/>
  <c r="DN92" i="36"/>
  <c r="DH92" i="36"/>
  <c r="DE92" i="36"/>
  <c r="DB92" i="36"/>
  <c r="CY92" i="36"/>
  <c r="CV92" i="36"/>
  <c r="CS92" i="36"/>
  <c r="CM92" i="36"/>
  <c r="CJ92" i="36"/>
  <c r="CG92" i="36"/>
  <c r="CD92" i="36"/>
  <c r="CA92" i="36"/>
  <c r="BX92" i="36"/>
  <c r="BR92" i="36"/>
  <c r="BO92" i="36"/>
  <c r="BL92" i="36"/>
  <c r="BI92" i="36"/>
  <c r="BF92" i="36"/>
  <c r="BC92" i="36"/>
  <c r="AW92" i="36"/>
  <c r="AT92" i="36"/>
  <c r="AQ92" i="36"/>
  <c r="AN92" i="36"/>
  <c r="AK92" i="36"/>
  <c r="AH92" i="36"/>
  <c r="DQ91" i="36"/>
  <c r="DN91" i="36"/>
  <c r="DH91" i="36"/>
  <c r="DE91" i="36"/>
  <c r="DB91" i="36"/>
  <c r="CY91" i="36"/>
  <c r="CV91" i="36"/>
  <c r="CS91" i="36"/>
  <c r="CM91" i="36"/>
  <c r="CJ91" i="36"/>
  <c r="CG91" i="36"/>
  <c r="CD91" i="36"/>
  <c r="CA91" i="36"/>
  <c r="BX91" i="36"/>
  <c r="BR91" i="36"/>
  <c r="BO91" i="36"/>
  <c r="BL91" i="36"/>
  <c r="BI91" i="36"/>
  <c r="BF91" i="36"/>
  <c r="BC91" i="36"/>
  <c r="AW91" i="36"/>
  <c r="AT91" i="36"/>
  <c r="AQ91" i="36"/>
  <c r="AN91" i="36"/>
  <c r="AK91" i="36"/>
  <c r="AH91" i="36"/>
  <c r="DQ90" i="36"/>
  <c r="DN90" i="36"/>
  <c r="DH90" i="36"/>
  <c r="DE90" i="36"/>
  <c r="DB90" i="36"/>
  <c r="CY90" i="36"/>
  <c r="CV90" i="36"/>
  <c r="CS90" i="36"/>
  <c r="CM90" i="36"/>
  <c r="CJ90" i="36"/>
  <c r="CG90" i="36"/>
  <c r="CD90" i="36"/>
  <c r="CA90" i="36"/>
  <c r="BX90" i="36"/>
  <c r="BR90" i="36"/>
  <c r="BO90" i="36"/>
  <c r="BL90" i="36"/>
  <c r="BI90" i="36"/>
  <c r="BF90" i="36"/>
  <c r="BC90" i="36"/>
  <c r="AW90" i="36"/>
  <c r="AT90" i="36"/>
  <c r="AQ90" i="36"/>
  <c r="AN90" i="36"/>
  <c r="AK90" i="36"/>
  <c r="AH90" i="36"/>
  <c r="DQ89" i="36"/>
  <c r="DN89" i="36"/>
  <c r="DH89" i="36"/>
  <c r="DE89" i="36"/>
  <c r="DB89" i="36"/>
  <c r="CY89" i="36"/>
  <c r="CV89" i="36"/>
  <c r="CS89" i="36"/>
  <c r="CM89" i="36"/>
  <c r="CJ89" i="36"/>
  <c r="CG89" i="36"/>
  <c r="CD89" i="36"/>
  <c r="CA89" i="36"/>
  <c r="BX89" i="36"/>
  <c r="BR89" i="36"/>
  <c r="BO89" i="36"/>
  <c r="BL89" i="36"/>
  <c r="BI89" i="36"/>
  <c r="BF89" i="36"/>
  <c r="BC89" i="36"/>
  <c r="AW89" i="36"/>
  <c r="AT89" i="36"/>
  <c r="AQ89" i="36"/>
  <c r="AN89" i="36"/>
  <c r="AK89" i="36"/>
  <c r="AH89" i="36"/>
  <c r="DQ88" i="36"/>
  <c r="DN88" i="36"/>
  <c r="DH88" i="36"/>
  <c r="DE88" i="36"/>
  <c r="DB88" i="36"/>
  <c r="CY88" i="36"/>
  <c r="CV88" i="36"/>
  <c r="CS88" i="36"/>
  <c r="CM88" i="36"/>
  <c r="CJ88" i="36"/>
  <c r="CG88" i="36"/>
  <c r="CD88" i="36"/>
  <c r="CA88" i="36"/>
  <c r="BX88" i="36"/>
  <c r="BR88" i="36"/>
  <c r="BO88" i="36"/>
  <c r="BL88" i="36"/>
  <c r="BI88" i="36"/>
  <c r="BF88" i="36"/>
  <c r="BC88" i="36"/>
  <c r="AW88" i="36"/>
  <c r="AT88" i="36"/>
  <c r="AQ88" i="36"/>
  <c r="AN88" i="36"/>
  <c r="AK88" i="36"/>
  <c r="AH88" i="36"/>
  <c r="DQ87" i="36"/>
  <c r="DN87" i="36"/>
  <c r="DH87" i="36"/>
  <c r="DE87" i="36"/>
  <c r="DB87" i="36"/>
  <c r="CY87" i="36"/>
  <c r="CV87" i="36"/>
  <c r="CS87" i="36"/>
  <c r="CM87" i="36"/>
  <c r="CJ87" i="36"/>
  <c r="CG87" i="36"/>
  <c r="CD87" i="36"/>
  <c r="CA87" i="36"/>
  <c r="BX87" i="36"/>
  <c r="BR87" i="36"/>
  <c r="BO87" i="36"/>
  <c r="BL87" i="36"/>
  <c r="BI87" i="36"/>
  <c r="BF87" i="36"/>
  <c r="BC87" i="36"/>
  <c r="AW87" i="36"/>
  <c r="AT87" i="36"/>
  <c r="AQ87" i="36"/>
  <c r="AN87" i="36"/>
  <c r="AK87" i="36"/>
  <c r="AH87" i="36"/>
  <c r="DQ86" i="36"/>
  <c r="DN86" i="36"/>
  <c r="DH86" i="36"/>
  <c r="DE86" i="36"/>
  <c r="DB86" i="36"/>
  <c r="CY86" i="36"/>
  <c r="CV86" i="36"/>
  <c r="CS86" i="36"/>
  <c r="CM86" i="36"/>
  <c r="CJ86" i="36"/>
  <c r="CG86" i="36"/>
  <c r="CD86" i="36"/>
  <c r="CA86" i="36"/>
  <c r="BX86" i="36"/>
  <c r="BR86" i="36"/>
  <c r="BO86" i="36"/>
  <c r="BL86" i="36"/>
  <c r="BI86" i="36"/>
  <c r="BF86" i="36"/>
  <c r="BC86" i="36"/>
  <c r="AW86" i="36"/>
  <c r="AT86" i="36"/>
  <c r="AQ86" i="36"/>
  <c r="AN86" i="36"/>
  <c r="AK86" i="36"/>
  <c r="AH86" i="36"/>
  <c r="DQ85" i="36"/>
  <c r="DN85" i="36"/>
  <c r="DH85" i="36"/>
  <c r="DE85" i="36"/>
  <c r="DB85" i="36"/>
  <c r="CY85" i="36"/>
  <c r="CV85" i="36"/>
  <c r="CS85" i="36"/>
  <c r="CM85" i="36"/>
  <c r="CJ85" i="36"/>
  <c r="CG85" i="36"/>
  <c r="CD85" i="36"/>
  <c r="CA85" i="36"/>
  <c r="BX85" i="36"/>
  <c r="BR85" i="36"/>
  <c r="BO85" i="36"/>
  <c r="BL85" i="36"/>
  <c r="BI85" i="36"/>
  <c r="BF85" i="36"/>
  <c r="BC85" i="36"/>
  <c r="AW85" i="36"/>
  <c r="AT85" i="36"/>
  <c r="AQ85" i="36"/>
  <c r="AN85" i="36"/>
  <c r="AK85" i="36"/>
  <c r="AH85" i="36"/>
  <c r="DQ84" i="36"/>
  <c r="DN84" i="36"/>
  <c r="DH84" i="36"/>
  <c r="DE84" i="36"/>
  <c r="DB84" i="36"/>
  <c r="CY84" i="36"/>
  <c r="CV84" i="36"/>
  <c r="CS84" i="36"/>
  <c r="CM84" i="36"/>
  <c r="CJ84" i="36"/>
  <c r="CG84" i="36"/>
  <c r="CD84" i="36"/>
  <c r="CA84" i="36"/>
  <c r="BX84" i="36"/>
  <c r="BR84" i="36"/>
  <c r="BO84" i="36"/>
  <c r="BL84" i="36"/>
  <c r="BI84" i="36"/>
  <c r="BF84" i="36"/>
  <c r="BC84" i="36"/>
  <c r="AW84" i="36"/>
  <c r="AT84" i="36"/>
  <c r="AQ84" i="36"/>
  <c r="AN84" i="36"/>
  <c r="AK84" i="36"/>
  <c r="AH84" i="36"/>
  <c r="DQ83" i="36"/>
  <c r="DN83" i="36"/>
  <c r="DH83" i="36"/>
  <c r="DE83" i="36"/>
  <c r="DB83" i="36"/>
  <c r="CY83" i="36"/>
  <c r="CV83" i="36"/>
  <c r="CS83" i="36"/>
  <c r="CM83" i="36"/>
  <c r="CJ83" i="36"/>
  <c r="CG83" i="36"/>
  <c r="CD83" i="36"/>
  <c r="CA83" i="36"/>
  <c r="BX83" i="36"/>
  <c r="BR83" i="36"/>
  <c r="BO83" i="36"/>
  <c r="BL83" i="36"/>
  <c r="BI83" i="36"/>
  <c r="BF83" i="36"/>
  <c r="BC83" i="36"/>
  <c r="AW83" i="36"/>
  <c r="AT83" i="36"/>
  <c r="AQ83" i="36"/>
  <c r="AN83" i="36"/>
  <c r="AK83" i="36"/>
  <c r="AH83" i="36"/>
  <c r="DQ82" i="36"/>
  <c r="DN82" i="36"/>
  <c r="DH82" i="36"/>
  <c r="DE82" i="36"/>
  <c r="DB82" i="36"/>
  <c r="CY82" i="36"/>
  <c r="CV82" i="36"/>
  <c r="CS82" i="36"/>
  <c r="CM82" i="36"/>
  <c r="CJ82" i="36"/>
  <c r="CG82" i="36"/>
  <c r="CD82" i="36"/>
  <c r="CA82" i="36"/>
  <c r="BX82" i="36"/>
  <c r="BR82" i="36"/>
  <c r="BO82" i="36"/>
  <c r="BL82" i="36"/>
  <c r="BI82" i="36"/>
  <c r="BF82" i="36"/>
  <c r="BC82" i="36"/>
  <c r="AW82" i="36"/>
  <c r="AT82" i="36"/>
  <c r="AQ82" i="36"/>
  <c r="AN82" i="36"/>
  <c r="AK82" i="36"/>
  <c r="AH82" i="36"/>
  <c r="DQ81" i="36"/>
  <c r="DN81" i="36"/>
  <c r="DH81" i="36"/>
  <c r="DE81" i="36"/>
  <c r="DB81" i="36"/>
  <c r="CY81" i="36"/>
  <c r="CV81" i="36"/>
  <c r="CS81" i="36"/>
  <c r="CM81" i="36"/>
  <c r="CJ81" i="36"/>
  <c r="CG81" i="36"/>
  <c r="CD81" i="36"/>
  <c r="CA81" i="36"/>
  <c r="BX81" i="36"/>
  <c r="BR81" i="36"/>
  <c r="BO81" i="36"/>
  <c r="BL81" i="36"/>
  <c r="BI81" i="36"/>
  <c r="BF81" i="36"/>
  <c r="BC81" i="36"/>
  <c r="AW81" i="36"/>
  <c r="AT81" i="36"/>
  <c r="AQ81" i="36"/>
  <c r="AN81" i="36"/>
  <c r="AK81" i="36"/>
  <c r="AH81" i="36"/>
  <c r="DQ80" i="36"/>
  <c r="DN80" i="36"/>
  <c r="DH80" i="36"/>
  <c r="DE80" i="36"/>
  <c r="DB80" i="36"/>
  <c r="CY80" i="36"/>
  <c r="CV80" i="36"/>
  <c r="CS80" i="36"/>
  <c r="CM80" i="36"/>
  <c r="CJ80" i="36"/>
  <c r="CG80" i="36"/>
  <c r="CD80" i="36"/>
  <c r="CA80" i="36"/>
  <c r="BX80" i="36"/>
  <c r="BR80" i="36"/>
  <c r="BO80" i="36"/>
  <c r="BL80" i="36"/>
  <c r="BI80" i="36"/>
  <c r="BF80" i="36"/>
  <c r="BC80" i="36"/>
  <c r="AW80" i="36"/>
  <c r="AT80" i="36"/>
  <c r="AQ80" i="36"/>
  <c r="AN80" i="36"/>
  <c r="AK80" i="36"/>
  <c r="AH80" i="36"/>
  <c r="DQ79" i="36"/>
  <c r="DN79" i="36"/>
  <c r="DH79" i="36"/>
  <c r="DE79" i="36"/>
  <c r="DB79" i="36"/>
  <c r="CY79" i="36"/>
  <c r="CV79" i="36"/>
  <c r="CS79" i="36"/>
  <c r="CM79" i="36"/>
  <c r="CJ79" i="36"/>
  <c r="CG79" i="36"/>
  <c r="CD79" i="36"/>
  <c r="CA79" i="36"/>
  <c r="BX79" i="36"/>
  <c r="BR79" i="36"/>
  <c r="BO79" i="36"/>
  <c r="BL79" i="36"/>
  <c r="BI79" i="36"/>
  <c r="BF79" i="36"/>
  <c r="BC79" i="36"/>
  <c r="AW79" i="36"/>
  <c r="AT79" i="36"/>
  <c r="AQ79" i="36"/>
  <c r="AN79" i="36"/>
  <c r="AK79" i="36"/>
  <c r="AH79" i="36"/>
  <c r="DQ78" i="36"/>
  <c r="DN78" i="36"/>
  <c r="DH78" i="36"/>
  <c r="DE78" i="36"/>
  <c r="DB78" i="36"/>
  <c r="CY78" i="36"/>
  <c r="CV78" i="36"/>
  <c r="CS78" i="36"/>
  <c r="CM78" i="36"/>
  <c r="CJ78" i="36"/>
  <c r="CG78" i="36"/>
  <c r="CD78" i="36"/>
  <c r="CA78" i="36"/>
  <c r="BX78" i="36"/>
  <c r="BR78" i="36"/>
  <c r="BO78" i="36"/>
  <c r="BL78" i="36"/>
  <c r="BI78" i="36"/>
  <c r="BF78" i="36"/>
  <c r="BC78" i="36"/>
  <c r="AW78" i="36"/>
  <c r="AT78" i="36"/>
  <c r="AQ78" i="36"/>
  <c r="AN78" i="36"/>
  <c r="AK78" i="36"/>
  <c r="AH78" i="36"/>
  <c r="DQ77" i="36"/>
  <c r="DN77" i="36"/>
  <c r="DH77" i="36"/>
  <c r="DE77" i="36"/>
  <c r="DB77" i="36"/>
  <c r="CY77" i="36"/>
  <c r="CV77" i="36"/>
  <c r="CS77" i="36"/>
  <c r="CM77" i="36"/>
  <c r="CJ77" i="36"/>
  <c r="CG77" i="36"/>
  <c r="CD77" i="36"/>
  <c r="CA77" i="36"/>
  <c r="BX77" i="36"/>
  <c r="BR77" i="36"/>
  <c r="BO77" i="36"/>
  <c r="BL77" i="36"/>
  <c r="BI77" i="36"/>
  <c r="BF77" i="36"/>
  <c r="BC77" i="36"/>
  <c r="AW77" i="36"/>
  <c r="AT77" i="36"/>
  <c r="AQ77" i="36"/>
  <c r="AN77" i="36"/>
  <c r="AK77" i="36"/>
  <c r="AH77" i="36"/>
  <c r="DQ76" i="36"/>
  <c r="DN76" i="36"/>
  <c r="DH76" i="36"/>
  <c r="DE76" i="36"/>
  <c r="DB76" i="36"/>
  <c r="CY76" i="36"/>
  <c r="CV76" i="36"/>
  <c r="CS76" i="36"/>
  <c r="CM76" i="36"/>
  <c r="CJ76" i="36"/>
  <c r="CG76" i="36"/>
  <c r="CD76" i="36"/>
  <c r="CA76" i="36"/>
  <c r="BX76" i="36"/>
  <c r="BR76" i="36"/>
  <c r="BO76" i="36"/>
  <c r="BL76" i="36"/>
  <c r="BI76" i="36"/>
  <c r="BF76" i="36"/>
  <c r="BC76" i="36"/>
  <c r="AW76" i="36"/>
  <c r="AT76" i="36"/>
  <c r="AQ76" i="36"/>
  <c r="AN76" i="36"/>
  <c r="AK76" i="36"/>
  <c r="AH76" i="36"/>
  <c r="DQ75" i="36"/>
  <c r="DN75" i="36"/>
  <c r="DH75" i="36"/>
  <c r="DE75" i="36"/>
  <c r="DB75" i="36"/>
  <c r="CY75" i="36"/>
  <c r="CV75" i="36"/>
  <c r="CS75" i="36"/>
  <c r="CM75" i="36"/>
  <c r="CJ75" i="36"/>
  <c r="CG75" i="36"/>
  <c r="CA75" i="36"/>
  <c r="BY75" i="36"/>
  <c r="CD75" i="36" s="1"/>
  <c r="BV75" i="36"/>
  <c r="BX75" i="36" s="1"/>
  <c r="BR75" i="36"/>
  <c r="BP75" i="36"/>
  <c r="BO75" i="36"/>
  <c r="BM75" i="36"/>
  <c r="BL75" i="36"/>
  <c r="BI75" i="36"/>
  <c r="BF75" i="36"/>
  <c r="BC75" i="36"/>
  <c r="AW75" i="36"/>
  <c r="AT75" i="36"/>
  <c r="AQ75" i="36"/>
  <c r="AN75" i="36"/>
  <c r="AK75" i="36"/>
  <c r="AH75" i="36"/>
  <c r="DQ74" i="36"/>
  <c r="DN74" i="36"/>
  <c r="DH74" i="36"/>
  <c r="DE74" i="36"/>
  <c r="DB74" i="36"/>
  <c r="CY74" i="36"/>
  <c r="CV74" i="36"/>
  <c r="CS74" i="36"/>
  <c r="CM74" i="36"/>
  <c r="CJ74" i="36"/>
  <c r="CG74" i="36"/>
  <c r="CD74" i="36"/>
  <c r="CA74" i="36"/>
  <c r="BX74" i="36"/>
  <c r="BR74" i="36"/>
  <c r="BO74" i="36"/>
  <c r="BL74" i="36"/>
  <c r="BI74" i="36"/>
  <c r="BF74" i="36"/>
  <c r="BC74" i="36"/>
  <c r="AW74" i="36"/>
  <c r="AT74" i="36"/>
  <c r="AQ74" i="36"/>
  <c r="AN74" i="36"/>
  <c r="AK74" i="36"/>
  <c r="AH74" i="36"/>
  <c r="DQ73" i="36"/>
  <c r="DN73" i="36"/>
  <c r="DH73" i="36"/>
  <c r="DE73" i="36"/>
  <c r="DB73" i="36"/>
  <c r="CY73" i="36"/>
  <c r="CV73" i="36"/>
  <c r="CS73" i="36"/>
  <c r="CM73" i="36"/>
  <c r="CJ73" i="36"/>
  <c r="CG73" i="36"/>
  <c r="CD73" i="36"/>
  <c r="CA73" i="36"/>
  <c r="BX73" i="36"/>
  <c r="BR73" i="36"/>
  <c r="BO73" i="36"/>
  <c r="BL73" i="36"/>
  <c r="BI73" i="36"/>
  <c r="BF73" i="36"/>
  <c r="BC73" i="36"/>
  <c r="AW73" i="36"/>
  <c r="AT73" i="36"/>
  <c r="AQ73" i="36"/>
  <c r="AN73" i="36"/>
  <c r="AK73" i="36"/>
  <c r="AH73" i="36"/>
  <c r="DQ72" i="36"/>
  <c r="DN72" i="36"/>
  <c r="DH72" i="36"/>
  <c r="DE72" i="36"/>
  <c r="DB72" i="36"/>
  <c r="CY72" i="36"/>
  <c r="CV72" i="36"/>
  <c r="CS72" i="36"/>
  <c r="CM72" i="36"/>
  <c r="CJ72" i="36"/>
  <c r="CG72" i="36"/>
  <c r="CD72" i="36"/>
  <c r="CA72" i="36"/>
  <c r="BX72" i="36"/>
  <c r="BR72" i="36"/>
  <c r="BO72" i="36"/>
  <c r="BL72" i="36"/>
  <c r="BI72" i="36"/>
  <c r="BF72" i="36"/>
  <c r="BC72" i="36"/>
  <c r="AW72" i="36"/>
  <c r="AT72" i="36"/>
  <c r="AQ72" i="36"/>
  <c r="AN72" i="36"/>
  <c r="AK72" i="36"/>
  <c r="AH72" i="36"/>
  <c r="DQ71" i="36"/>
  <c r="DN71" i="36"/>
  <c r="DH71" i="36"/>
  <c r="DE71" i="36"/>
  <c r="DB71" i="36"/>
  <c r="CY71" i="36"/>
  <c r="CV71" i="36"/>
  <c r="CS71" i="36"/>
  <c r="CM71" i="36"/>
  <c r="CJ71" i="36"/>
  <c r="CG71" i="36"/>
  <c r="CD71" i="36"/>
  <c r="CA71" i="36"/>
  <c r="BX71" i="36"/>
  <c r="BR71" i="36"/>
  <c r="BO71" i="36"/>
  <c r="BL71" i="36"/>
  <c r="BI71" i="36"/>
  <c r="BF71" i="36"/>
  <c r="BC71" i="36"/>
  <c r="AW71" i="36"/>
  <c r="AT71" i="36"/>
  <c r="AQ71" i="36"/>
  <c r="AN71" i="36"/>
  <c r="AK71" i="36"/>
  <c r="AH71" i="36"/>
  <c r="DQ70" i="36"/>
  <c r="DN70" i="36"/>
  <c r="DH70" i="36"/>
  <c r="DE70" i="36"/>
  <c r="DB70" i="36"/>
  <c r="CY70" i="36"/>
  <c r="CV70" i="36"/>
  <c r="CS70" i="36"/>
  <c r="CM70" i="36"/>
  <c r="CJ70" i="36"/>
  <c r="CG70" i="36"/>
  <c r="CD70" i="36"/>
  <c r="CA70" i="36"/>
  <c r="BX70" i="36"/>
  <c r="BR70" i="36"/>
  <c r="BO70" i="36"/>
  <c r="BL70" i="36"/>
  <c r="BI70" i="36"/>
  <c r="BF70" i="36"/>
  <c r="BC70" i="36"/>
  <c r="AW70" i="36"/>
  <c r="AT70" i="36"/>
  <c r="AQ70" i="36"/>
  <c r="AN70" i="36"/>
  <c r="AK70" i="36"/>
  <c r="AH70" i="36"/>
  <c r="DQ69" i="36"/>
  <c r="DN69" i="36"/>
  <c r="DH69" i="36"/>
  <c r="DE69" i="36"/>
  <c r="DB69" i="36"/>
  <c r="CY69" i="36"/>
  <c r="CV69" i="36"/>
  <c r="CS69" i="36"/>
  <c r="CM69" i="36"/>
  <c r="CJ69" i="36"/>
  <c r="CG69" i="36"/>
  <c r="CD69" i="36"/>
  <c r="CA69" i="36"/>
  <c r="BX69" i="36"/>
  <c r="BR69" i="36"/>
  <c r="BO69" i="36"/>
  <c r="BL69" i="36"/>
  <c r="BI69" i="36"/>
  <c r="BF69" i="36"/>
  <c r="BC69" i="36"/>
  <c r="AW69" i="36"/>
  <c r="AT69" i="36"/>
  <c r="AQ69" i="36"/>
  <c r="AN69" i="36"/>
  <c r="AK69" i="36"/>
  <c r="AH69" i="36"/>
  <c r="DQ68" i="36"/>
  <c r="DN68" i="36"/>
  <c r="DH68" i="36"/>
  <c r="DE68" i="36"/>
  <c r="DB68" i="36"/>
  <c r="CY68" i="36"/>
  <c r="CV68" i="36"/>
  <c r="CS68" i="36"/>
  <c r="CM68" i="36"/>
  <c r="CJ68" i="36"/>
  <c r="CG68" i="36"/>
  <c r="CD68" i="36"/>
  <c r="CA68" i="36"/>
  <c r="BX68" i="36"/>
  <c r="BR68" i="36"/>
  <c r="BO68" i="36"/>
  <c r="BL68" i="36"/>
  <c r="BI68" i="36"/>
  <c r="BF68" i="36"/>
  <c r="BC68" i="36"/>
  <c r="AW68" i="36"/>
  <c r="AT68" i="36"/>
  <c r="AQ68" i="36"/>
  <c r="AN68" i="36"/>
  <c r="AK68" i="36"/>
  <c r="AH68" i="36"/>
  <c r="DQ67" i="36"/>
  <c r="DN67" i="36"/>
  <c r="DH67" i="36"/>
  <c r="DE67" i="36"/>
  <c r="DB67" i="36"/>
  <c r="CY67" i="36"/>
  <c r="CV67" i="36"/>
  <c r="CS67" i="36"/>
  <c r="CM67" i="36"/>
  <c r="CJ67" i="36"/>
  <c r="CG67" i="36"/>
  <c r="CD67" i="36"/>
  <c r="CA67" i="36"/>
  <c r="BX67" i="36"/>
  <c r="BR67" i="36"/>
  <c r="BO67" i="36"/>
  <c r="BL67" i="36"/>
  <c r="BI67" i="36"/>
  <c r="BF67" i="36"/>
  <c r="BC67" i="36"/>
  <c r="AW67" i="36"/>
  <c r="AT67" i="36"/>
  <c r="AQ67" i="36"/>
  <c r="AN67" i="36"/>
  <c r="AK67" i="36"/>
  <c r="AH67" i="36"/>
  <c r="DQ66" i="36"/>
  <c r="DN66" i="36"/>
  <c r="DH66" i="36"/>
  <c r="DE66" i="36"/>
  <c r="DB66" i="36"/>
  <c r="CY66" i="36"/>
  <c r="CV66" i="36"/>
  <c r="CS66" i="36"/>
  <c r="CM66" i="36"/>
  <c r="CJ66" i="36"/>
  <c r="CG66" i="36"/>
  <c r="CD66" i="36"/>
  <c r="CA66" i="36"/>
  <c r="BX66" i="36"/>
  <c r="BR66" i="36"/>
  <c r="BO66" i="36"/>
  <c r="BL66" i="36"/>
  <c r="BI66" i="36"/>
  <c r="BF66" i="36"/>
  <c r="BC66" i="36"/>
  <c r="AW66" i="36"/>
  <c r="AT66" i="36"/>
  <c r="AQ66" i="36"/>
  <c r="AN66" i="36"/>
  <c r="AK66" i="36"/>
  <c r="AH66" i="36"/>
  <c r="DQ65" i="36"/>
  <c r="DN65" i="36"/>
  <c r="DH65" i="36"/>
  <c r="DE65" i="36"/>
  <c r="DB65" i="36"/>
  <c r="CY65" i="36"/>
  <c r="CV65" i="36"/>
  <c r="CS65" i="36"/>
  <c r="CM65" i="36"/>
  <c r="CJ65" i="36"/>
  <c r="CG65" i="36"/>
  <c r="CD65" i="36"/>
  <c r="CA65" i="36"/>
  <c r="BX65" i="36"/>
  <c r="BR65" i="36"/>
  <c r="BO65" i="36"/>
  <c r="BL65" i="36"/>
  <c r="BI65" i="36"/>
  <c r="BF65" i="36"/>
  <c r="BC65" i="36"/>
  <c r="AW65" i="36"/>
  <c r="AT65" i="36"/>
  <c r="AQ65" i="36"/>
  <c r="AN65" i="36"/>
  <c r="AK65" i="36"/>
  <c r="AH65" i="36"/>
  <c r="DQ64" i="36"/>
  <c r="DN64" i="36"/>
  <c r="DH64" i="36"/>
  <c r="DE64" i="36"/>
  <c r="DB64" i="36"/>
  <c r="CY64" i="36"/>
  <c r="CV64" i="36"/>
  <c r="CS64" i="36"/>
  <c r="CM64" i="36"/>
  <c r="CJ64" i="36"/>
  <c r="CG64" i="36"/>
  <c r="CD64" i="36"/>
  <c r="CA64" i="36"/>
  <c r="BX64" i="36"/>
  <c r="BR64" i="36"/>
  <c r="BO64" i="36"/>
  <c r="BL64" i="36"/>
  <c r="BI64" i="36"/>
  <c r="BF64" i="36"/>
  <c r="BC64" i="36"/>
  <c r="AW64" i="36"/>
  <c r="AT64" i="36"/>
  <c r="AQ64" i="36"/>
  <c r="AN64" i="36"/>
  <c r="AK64" i="36"/>
  <c r="AH64" i="36"/>
  <c r="DQ63" i="36"/>
  <c r="DN63" i="36"/>
  <c r="DH63" i="36"/>
  <c r="DE63" i="36"/>
  <c r="DB63" i="36"/>
  <c r="CY63" i="36"/>
  <c r="CV63" i="36"/>
  <c r="CS63" i="36"/>
  <c r="CM63" i="36"/>
  <c r="CJ63" i="36"/>
  <c r="CG63" i="36"/>
  <c r="CD63" i="36"/>
  <c r="CA63" i="36"/>
  <c r="BX63" i="36"/>
  <c r="BR63" i="36"/>
  <c r="BO63" i="36"/>
  <c r="BL63" i="36"/>
  <c r="BI63" i="36"/>
  <c r="BF63" i="36"/>
  <c r="BC63" i="36"/>
  <c r="AW63" i="36"/>
  <c r="AT63" i="36"/>
  <c r="AQ63" i="36"/>
  <c r="AN63" i="36"/>
  <c r="AK63" i="36"/>
  <c r="AH63" i="36"/>
  <c r="DQ62" i="36"/>
  <c r="DN62" i="36"/>
  <c r="DH62" i="36"/>
  <c r="DE62" i="36"/>
  <c r="DB62" i="36"/>
  <c r="CY62" i="36"/>
  <c r="CV62" i="36"/>
  <c r="CS62" i="36"/>
  <c r="CM62" i="36"/>
  <c r="CJ62" i="36"/>
  <c r="CG62" i="36"/>
  <c r="CD62" i="36"/>
  <c r="CA62" i="36"/>
  <c r="BX62" i="36"/>
  <c r="BR62" i="36"/>
  <c r="BO62" i="36"/>
  <c r="BL62" i="36"/>
  <c r="BI62" i="36"/>
  <c r="BF62" i="36"/>
  <c r="BC62" i="36"/>
  <c r="AW62" i="36"/>
  <c r="AT62" i="36"/>
  <c r="AQ62" i="36"/>
  <c r="AN62" i="36"/>
  <c r="AK62" i="36"/>
  <c r="AH62" i="36"/>
  <c r="DQ61" i="36"/>
  <c r="DN61" i="36"/>
  <c r="DH61" i="36"/>
  <c r="DE61" i="36"/>
  <c r="DB61" i="36"/>
  <c r="CY61" i="36"/>
  <c r="CV61" i="36"/>
  <c r="CS61" i="36"/>
  <c r="CM61" i="36"/>
  <c r="CJ61" i="36"/>
  <c r="CG61" i="36"/>
  <c r="CD61" i="36"/>
  <c r="CA61" i="36"/>
  <c r="BX61" i="36"/>
  <c r="BR61" i="36"/>
  <c r="BO61" i="36"/>
  <c r="BL61" i="36"/>
  <c r="BI61" i="36"/>
  <c r="BF61" i="36"/>
  <c r="BC61" i="36"/>
  <c r="AW61" i="36"/>
  <c r="AT61" i="36"/>
  <c r="AQ61" i="36"/>
  <c r="AN61" i="36"/>
  <c r="AK61" i="36"/>
  <c r="AH61" i="36"/>
  <c r="DQ60" i="36"/>
  <c r="DN60" i="36"/>
  <c r="DH60" i="36"/>
  <c r="DE60" i="36"/>
  <c r="DB60" i="36"/>
  <c r="CY60" i="36"/>
  <c r="CV60" i="36"/>
  <c r="CS60" i="36"/>
  <c r="CM60" i="36"/>
  <c r="CJ60" i="36"/>
  <c r="CG60" i="36"/>
  <c r="CD60" i="36"/>
  <c r="CA60" i="36"/>
  <c r="BX60" i="36"/>
  <c r="BR60" i="36"/>
  <c r="BO60" i="36"/>
  <c r="BL60" i="36"/>
  <c r="BI60" i="36"/>
  <c r="BF60" i="36"/>
  <c r="BC60" i="36"/>
  <c r="AW60" i="36"/>
  <c r="AT60" i="36"/>
  <c r="AQ60" i="36"/>
  <c r="AN60" i="36"/>
  <c r="AK60" i="36"/>
  <c r="AH60" i="36"/>
  <c r="DQ59" i="36"/>
  <c r="DN59" i="36"/>
  <c r="DH59" i="36"/>
  <c r="DE59" i="36"/>
  <c r="DB59" i="36"/>
  <c r="CY59" i="36"/>
  <c r="CV59" i="36"/>
  <c r="CS59" i="36"/>
  <c r="CM59" i="36"/>
  <c r="CJ59" i="36"/>
  <c r="CG59" i="36"/>
  <c r="CD59" i="36"/>
  <c r="CA59" i="36"/>
  <c r="BX59" i="36"/>
  <c r="BR59" i="36"/>
  <c r="BO59" i="36"/>
  <c r="BL59" i="36"/>
  <c r="BI59" i="36"/>
  <c r="BF59" i="36"/>
  <c r="BC59" i="36"/>
  <c r="AW59" i="36"/>
  <c r="AT59" i="36"/>
  <c r="AQ59" i="36"/>
  <c r="AN59" i="36"/>
  <c r="AK59" i="36"/>
  <c r="AH59" i="36"/>
  <c r="DQ58" i="36"/>
  <c r="DN58" i="36"/>
  <c r="DH58" i="36"/>
  <c r="DE58" i="36"/>
  <c r="DB58" i="36"/>
  <c r="CY58" i="36"/>
  <c r="CV58" i="36"/>
  <c r="CS58" i="36"/>
  <c r="CM58" i="36"/>
  <c r="CJ58" i="36"/>
  <c r="CG58" i="36"/>
  <c r="CD58" i="36"/>
  <c r="CA58" i="36"/>
  <c r="BX58" i="36"/>
  <c r="BR58" i="36"/>
  <c r="BO58" i="36"/>
  <c r="BL58" i="36"/>
  <c r="BI58" i="36"/>
  <c r="BF58" i="36"/>
  <c r="BC58" i="36"/>
  <c r="AW58" i="36"/>
  <c r="AT58" i="36"/>
  <c r="AQ58" i="36"/>
  <c r="AN58" i="36"/>
  <c r="AK58" i="36"/>
  <c r="AH58" i="36"/>
  <c r="DQ57" i="36"/>
  <c r="DN57" i="36"/>
  <c r="DH57" i="36"/>
  <c r="DE57" i="36"/>
  <c r="DB57" i="36"/>
  <c r="CY57" i="36"/>
  <c r="CV57" i="36"/>
  <c r="CS57" i="36"/>
  <c r="CM57" i="36"/>
  <c r="CJ57" i="36"/>
  <c r="CG57" i="36"/>
  <c r="CD57" i="36"/>
  <c r="CA57" i="36"/>
  <c r="BX57" i="36"/>
  <c r="BR57" i="36"/>
  <c r="BO57" i="36"/>
  <c r="BL57" i="36"/>
  <c r="BI57" i="36"/>
  <c r="BF57" i="36"/>
  <c r="BC57" i="36"/>
  <c r="AW57" i="36"/>
  <c r="AT57" i="36"/>
  <c r="AQ57" i="36"/>
  <c r="AN57" i="36"/>
  <c r="AK57" i="36"/>
  <c r="AH57" i="36"/>
  <c r="DQ56" i="36"/>
  <c r="DN56" i="36"/>
  <c r="DH56" i="36"/>
  <c r="DE56" i="36"/>
  <c r="DB56" i="36"/>
  <c r="CY56" i="36"/>
  <c r="CV56" i="36"/>
  <c r="CS56" i="36"/>
  <c r="CM56" i="36"/>
  <c r="CJ56" i="36"/>
  <c r="CG56" i="36"/>
  <c r="CD56" i="36"/>
  <c r="CA56" i="36"/>
  <c r="BX56" i="36"/>
  <c r="BR56" i="36"/>
  <c r="BO56" i="36"/>
  <c r="BL56" i="36"/>
  <c r="BI56" i="36"/>
  <c r="BF56" i="36"/>
  <c r="BC56" i="36"/>
  <c r="AW56" i="36"/>
  <c r="AT56" i="36"/>
  <c r="AQ56" i="36"/>
  <c r="AN56" i="36"/>
  <c r="AK56" i="36"/>
  <c r="AH56" i="36"/>
  <c r="DQ55" i="36"/>
  <c r="DN55" i="36"/>
  <c r="DH55" i="36"/>
  <c r="DE55" i="36"/>
  <c r="DB55" i="36"/>
  <c r="CY55" i="36"/>
  <c r="CV55" i="36"/>
  <c r="CS55" i="36"/>
  <c r="CM55" i="36"/>
  <c r="CJ55" i="36"/>
  <c r="CG55" i="36"/>
  <c r="CD55" i="36"/>
  <c r="CA55" i="36"/>
  <c r="BX55" i="36"/>
  <c r="BR55" i="36"/>
  <c r="BO55" i="36"/>
  <c r="BL55" i="36"/>
  <c r="BI55" i="36"/>
  <c r="BF55" i="36"/>
  <c r="BC55" i="36"/>
  <c r="AW55" i="36"/>
  <c r="AT55" i="36"/>
  <c r="AQ55" i="36"/>
  <c r="AN55" i="36"/>
  <c r="AK55" i="36"/>
  <c r="AH55" i="36"/>
  <c r="DQ54" i="36"/>
  <c r="DN54" i="36"/>
  <c r="DH54" i="36"/>
  <c r="DE54" i="36"/>
  <c r="DB54" i="36"/>
  <c r="CY54" i="36"/>
  <c r="CV54" i="36"/>
  <c r="CS54" i="36"/>
  <c r="CM54" i="36"/>
  <c r="CJ54" i="36"/>
  <c r="CG54" i="36"/>
  <c r="CD54" i="36"/>
  <c r="CA54" i="36"/>
  <c r="BX54" i="36"/>
  <c r="BR54" i="36"/>
  <c r="BO54" i="36"/>
  <c r="BL54" i="36"/>
  <c r="BI54" i="36"/>
  <c r="BF54" i="36"/>
  <c r="BC54" i="36"/>
  <c r="AW54" i="36"/>
  <c r="AT54" i="36"/>
  <c r="AQ54" i="36"/>
  <c r="AN54" i="36"/>
  <c r="AK54" i="36"/>
  <c r="AH54" i="36"/>
  <c r="DQ53" i="36"/>
  <c r="DN53" i="36"/>
  <c r="DH53" i="36"/>
  <c r="DE53" i="36"/>
  <c r="DB53" i="36"/>
  <c r="CY53" i="36"/>
  <c r="CV53" i="36"/>
  <c r="CS53" i="36"/>
  <c r="CM53" i="36"/>
  <c r="CJ53" i="36"/>
  <c r="CG53" i="36"/>
  <c r="CD53" i="36"/>
  <c r="CA53" i="36"/>
  <c r="BX53" i="36"/>
  <c r="BR53" i="36"/>
  <c r="BO53" i="36"/>
  <c r="BL53" i="36"/>
  <c r="BI53" i="36"/>
  <c r="BF53" i="36"/>
  <c r="BC53" i="36"/>
  <c r="AW53" i="36"/>
  <c r="AT53" i="36"/>
  <c r="AQ53" i="36"/>
  <c r="AN53" i="36"/>
  <c r="AK53" i="36"/>
  <c r="AH53" i="36"/>
  <c r="DQ52" i="36"/>
  <c r="DN52" i="36"/>
  <c r="DH52" i="36"/>
  <c r="DE52" i="36"/>
  <c r="DB52" i="36"/>
  <c r="CY52" i="36"/>
  <c r="CV52" i="36"/>
  <c r="CS52" i="36"/>
  <c r="CM52" i="36"/>
  <c r="CJ52" i="36"/>
  <c r="CG52" i="36"/>
  <c r="CD52" i="36"/>
  <c r="CA52" i="36"/>
  <c r="BX52" i="36"/>
  <c r="BR52" i="36"/>
  <c r="BO52" i="36"/>
  <c r="BL52" i="36"/>
  <c r="BI52" i="36"/>
  <c r="BF52" i="36"/>
  <c r="BC52" i="36"/>
  <c r="AW52" i="36"/>
  <c r="AT52" i="36"/>
  <c r="AQ52" i="36"/>
  <c r="AN52" i="36"/>
  <c r="AK52" i="36"/>
  <c r="AH52" i="36"/>
  <c r="DQ51" i="36"/>
  <c r="DN51" i="36"/>
  <c r="DH51" i="36"/>
  <c r="DE51" i="36"/>
  <c r="DB51" i="36"/>
  <c r="CY51" i="36"/>
  <c r="CV51" i="36"/>
  <c r="CS51" i="36"/>
  <c r="CM51" i="36"/>
  <c r="CJ51" i="36"/>
  <c r="CG51" i="36"/>
  <c r="CD51" i="36"/>
  <c r="CA51" i="36"/>
  <c r="BX51" i="36"/>
  <c r="BR51" i="36"/>
  <c r="BO51" i="36"/>
  <c r="BL51" i="36"/>
  <c r="BI51" i="36"/>
  <c r="BF51" i="36"/>
  <c r="BC51" i="36"/>
  <c r="AW51" i="36"/>
  <c r="AT51" i="36"/>
  <c r="AQ51" i="36"/>
  <c r="AN51" i="36"/>
  <c r="AK51" i="36"/>
  <c r="AH51" i="36"/>
  <c r="DQ50" i="36"/>
  <c r="DN50" i="36"/>
  <c r="DH50" i="36"/>
  <c r="DE50" i="36"/>
  <c r="DB50" i="36"/>
  <c r="CY50" i="36"/>
  <c r="CV50" i="36"/>
  <c r="CS50" i="36"/>
  <c r="CM50" i="36"/>
  <c r="CJ50" i="36"/>
  <c r="CG50" i="36"/>
  <c r="CD50" i="36"/>
  <c r="CA50" i="36"/>
  <c r="BX50" i="36"/>
  <c r="BR50" i="36"/>
  <c r="BO50" i="36"/>
  <c r="BL50" i="36"/>
  <c r="BI50" i="36"/>
  <c r="BF50" i="36"/>
  <c r="BC50" i="36"/>
  <c r="AW50" i="36"/>
  <c r="AT50" i="36"/>
  <c r="AQ50" i="36"/>
  <c r="AN50" i="36"/>
  <c r="AK50" i="36"/>
  <c r="AH50" i="36"/>
  <c r="DQ49" i="36"/>
  <c r="DN49" i="36"/>
  <c r="DH49" i="36"/>
  <c r="DE49" i="36"/>
  <c r="DB49" i="36"/>
  <c r="CY49" i="36"/>
  <c r="CV49" i="36"/>
  <c r="CS49" i="36"/>
  <c r="CM49" i="36"/>
  <c r="CJ49" i="36"/>
  <c r="CG49" i="36"/>
  <c r="CD49" i="36"/>
  <c r="CA49" i="36"/>
  <c r="BX49" i="36"/>
  <c r="BR49" i="36"/>
  <c r="BO49" i="36"/>
  <c r="BL49" i="36"/>
  <c r="BI49" i="36"/>
  <c r="BF49" i="36"/>
  <c r="BC49" i="36"/>
  <c r="AW49" i="36"/>
  <c r="AT49" i="36"/>
  <c r="AQ49" i="36"/>
  <c r="AN49" i="36"/>
  <c r="AK49" i="36"/>
  <c r="AH49" i="36"/>
  <c r="DQ48" i="36"/>
  <c r="DN48" i="36"/>
  <c r="DH48" i="36"/>
  <c r="DE48" i="36"/>
  <c r="DB48" i="36"/>
  <c r="CY48" i="36"/>
  <c r="CV48" i="36"/>
  <c r="CS48" i="36"/>
  <c r="CM48" i="36"/>
  <c r="CJ48" i="36"/>
  <c r="CG48" i="36"/>
  <c r="CD48" i="36"/>
  <c r="CA48" i="36"/>
  <c r="BX48" i="36"/>
  <c r="BR48" i="36"/>
  <c r="BO48" i="36"/>
  <c r="BL48" i="36"/>
  <c r="BI48" i="36"/>
  <c r="BF48" i="36"/>
  <c r="BC48" i="36"/>
  <c r="AW48" i="36"/>
  <c r="AT48" i="36"/>
  <c r="AQ48" i="36"/>
  <c r="AN48" i="36"/>
  <c r="AK48" i="36"/>
  <c r="AH48" i="36"/>
  <c r="DQ47" i="36"/>
  <c r="DN47" i="36"/>
  <c r="DH47" i="36"/>
  <c r="DE47" i="36"/>
  <c r="DB47" i="36"/>
  <c r="CY47" i="36"/>
  <c r="CV47" i="36"/>
  <c r="CS47" i="36"/>
  <c r="CM47" i="36"/>
  <c r="CJ47" i="36"/>
  <c r="CG47" i="36"/>
  <c r="CD47" i="36"/>
  <c r="CA47" i="36"/>
  <c r="BX47" i="36"/>
  <c r="BR47" i="36"/>
  <c r="BO47" i="36"/>
  <c r="BL47" i="36"/>
  <c r="BI47" i="36"/>
  <c r="BF47" i="36"/>
  <c r="BC47" i="36"/>
  <c r="AW47" i="36"/>
  <c r="AT47" i="36"/>
  <c r="AQ47" i="36"/>
  <c r="AN47" i="36"/>
  <c r="AK47" i="36"/>
  <c r="AH47" i="36"/>
  <c r="DQ46" i="36"/>
  <c r="DN46" i="36"/>
  <c r="DH46" i="36"/>
  <c r="DE46" i="36"/>
  <c r="DB46" i="36"/>
  <c r="CY46" i="36"/>
  <c r="CV46" i="36"/>
  <c r="CS46" i="36"/>
  <c r="CM46" i="36"/>
  <c r="CJ46" i="36"/>
  <c r="CG46" i="36"/>
  <c r="CD46" i="36"/>
  <c r="CA46" i="36"/>
  <c r="BX46" i="36"/>
  <c r="BR46" i="36"/>
  <c r="BO46" i="36"/>
  <c r="BL46" i="36"/>
  <c r="BI46" i="36"/>
  <c r="BF46" i="36"/>
  <c r="BC46" i="36"/>
  <c r="AW46" i="36"/>
  <c r="AT46" i="36"/>
  <c r="AQ46" i="36"/>
  <c r="AN46" i="36"/>
  <c r="AK46" i="36"/>
  <c r="AH46" i="36"/>
  <c r="DQ45" i="36"/>
  <c r="DN45" i="36"/>
  <c r="DH45" i="36"/>
  <c r="DE45" i="36"/>
  <c r="DB45" i="36"/>
  <c r="CY45" i="36"/>
  <c r="CV45" i="36"/>
  <c r="CS45" i="36"/>
  <c r="CM45" i="36"/>
  <c r="CJ45" i="36"/>
  <c r="CG45" i="36"/>
  <c r="CD45" i="36"/>
  <c r="CA45" i="36"/>
  <c r="BX45" i="36"/>
  <c r="BR45" i="36"/>
  <c r="BO45" i="36"/>
  <c r="BL45" i="36"/>
  <c r="BI45" i="36"/>
  <c r="BF45" i="36"/>
  <c r="BC45" i="36"/>
  <c r="AW45" i="36"/>
  <c r="AT45" i="36"/>
  <c r="AQ45" i="36"/>
  <c r="AN45" i="36"/>
  <c r="AK45" i="36"/>
  <c r="AH45" i="36"/>
  <c r="DQ44" i="36"/>
  <c r="DN44" i="36"/>
  <c r="DH44" i="36"/>
  <c r="DE44" i="36"/>
  <c r="DB44" i="36"/>
  <c r="CY44" i="36"/>
  <c r="CV44" i="36"/>
  <c r="CS44" i="36"/>
  <c r="CM44" i="36"/>
  <c r="CJ44" i="36"/>
  <c r="CG44" i="36"/>
  <c r="CD44" i="36"/>
  <c r="CA44" i="36"/>
  <c r="BX44" i="36"/>
  <c r="BR44" i="36"/>
  <c r="BO44" i="36"/>
  <c r="BL44" i="36"/>
  <c r="BI44" i="36"/>
  <c r="BF44" i="36"/>
  <c r="BC44" i="36"/>
  <c r="AW44" i="36"/>
  <c r="AT44" i="36"/>
  <c r="AQ44" i="36"/>
  <c r="AN44" i="36"/>
  <c r="AK44" i="36"/>
  <c r="AH44" i="36"/>
  <c r="DQ43" i="36"/>
  <c r="DN43" i="36"/>
  <c r="DH43" i="36"/>
  <c r="DE43" i="36"/>
  <c r="DB43" i="36"/>
  <c r="CY43" i="36"/>
  <c r="CV43" i="36"/>
  <c r="CS43" i="36"/>
  <c r="CM43" i="36"/>
  <c r="CJ43" i="36"/>
  <c r="CG43" i="36"/>
  <c r="CD43" i="36"/>
  <c r="CA43" i="36"/>
  <c r="BX43" i="36"/>
  <c r="BR43" i="36"/>
  <c r="BO43" i="36"/>
  <c r="BL43" i="36"/>
  <c r="BI43" i="36"/>
  <c r="BF43" i="36"/>
  <c r="BC43" i="36"/>
  <c r="AW43" i="36"/>
  <c r="AT43" i="36"/>
  <c r="AQ43" i="36"/>
  <c r="AN43" i="36"/>
  <c r="AK43" i="36"/>
  <c r="AH43" i="36"/>
  <c r="DQ42" i="36"/>
  <c r="DN42" i="36"/>
  <c r="DH42" i="36"/>
  <c r="DE42" i="36"/>
  <c r="DB42" i="36"/>
  <c r="CY42" i="36"/>
  <c r="CV42" i="36"/>
  <c r="CS42" i="36"/>
  <c r="CM42" i="36"/>
  <c r="CJ42" i="36"/>
  <c r="CG42" i="36"/>
  <c r="CD42" i="36"/>
  <c r="CA42" i="36"/>
  <c r="BX42" i="36"/>
  <c r="BR42" i="36"/>
  <c r="BO42" i="36"/>
  <c r="BL42" i="36"/>
  <c r="BI42" i="36"/>
  <c r="BF42" i="36"/>
  <c r="BC42" i="36"/>
  <c r="AW42" i="36"/>
  <c r="AT42" i="36"/>
  <c r="AQ42" i="36"/>
  <c r="AN42" i="36"/>
  <c r="AK42" i="36"/>
  <c r="AH42" i="36"/>
  <c r="DQ41" i="36"/>
  <c r="DN41" i="36"/>
  <c r="DH41" i="36"/>
  <c r="DE41" i="36"/>
  <c r="DB41" i="36"/>
  <c r="CY41" i="36"/>
  <c r="CV41" i="36"/>
  <c r="CS41" i="36"/>
  <c r="CM41" i="36"/>
  <c r="CJ41" i="36"/>
  <c r="CG41" i="36"/>
  <c r="CD41" i="36"/>
  <c r="CA41" i="36"/>
  <c r="BX41" i="36"/>
  <c r="BR41" i="36"/>
  <c r="BO41" i="36"/>
  <c r="BL41" i="36"/>
  <c r="BI41" i="36"/>
  <c r="BF41" i="36"/>
  <c r="BC41" i="36"/>
  <c r="AW41" i="36"/>
  <c r="AT41" i="36"/>
  <c r="AQ41" i="36"/>
  <c r="AN41" i="36"/>
  <c r="AK41" i="36"/>
  <c r="AH41" i="36"/>
  <c r="DQ40" i="36"/>
  <c r="DN40" i="36"/>
  <c r="DH40" i="36"/>
  <c r="DE40" i="36"/>
  <c r="DB40" i="36"/>
  <c r="CY40" i="36"/>
  <c r="CV40" i="36"/>
  <c r="CS40" i="36"/>
  <c r="CM40" i="36"/>
  <c r="CJ40" i="36"/>
  <c r="CG40" i="36"/>
  <c r="CD40" i="36"/>
  <c r="CA40" i="36"/>
  <c r="BX40" i="36"/>
  <c r="BR40" i="36"/>
  <c r="BO40" i="36"/>
  <c r="BL40" i="36"/>
  <c r="BI40" i="36"/>
  <c r="BF40" i="36"/>
  <c r="BC40" i="36"/>
  <c r="AW40" i="36"/>
  <c r="AT40" i="36"/>
  <c r="AQ40" i="36"/>
  <c r="AN40" i="36"/>
  <c r="AK40" i="36"/>
  <c r="AH40" i="36"/>
  <c r="DQ39" i="36"/>
  <c r="DN39" i="36"/>
  <c r="DH39" i="36"/>
  <c r="DE39" i="36"/>
  <c r="DB39" i="36"/>
  <c r="CY39" i="36"/>
  <c r="CV39" i="36"/>
  <c r="CS39" i="36"/>
  <c r="CM39" i="36"/>
  <c r="CJ39" i="36"/>
  <c r="CG39" i="36"/>
  <c r="CD39" i="36"/>
  <c r="CA39" i="36"/>
  <c r="BX39" i="36"/>
  <c r="BR39" i="36"/>
  <c r="BO39" i="36"/>
  <c r="BL39" i="36"/>
  <c r="BI39" i="36"/>
  <c r="BF39" i="36"/>
  <c r="BC39" i="36"/>
  <c r="AW39" i="36"/>
  <c r="AT39" i="36"/>
  <c r="AQ39" i="36"/>
  <c r="AN39" i="36"/>
  <c r="AK39" i="36"/>
  <c r="AH39" i="36"/>
  <c r="DQ38" i="36"/>
  <c r="DN38" i="36"/>
  <c r="DH38" i="36"/>
  <c r="DE38" i="36"/>
  <c r="DB38" i="36"/>
  <c r="CY38" i="36"/>
  <c r="CV38" i="36"/>
  <c r="CS38" i="36"/>
  <c r="CM38" i="36"/>
  <c r="CJ38" i="36"/>
  <c r="CG38" i="36"/>
  <c r="CD38" i="36"/>
  <c r="CA38" i="36"/>
  <c r="BX38" i="36"/>
  <c r="BR38" i="36"/>
  <c r="BO38" i="36"/>
  <c r="BL38" i="36"/>
  <c r="BI38" i="36"/>
  <c r="BF38" i="36"/>
  <c r="BC38" i="36"/>
  <c r="AW38" i="36"/>
  <c r="AT38" i="36"/>
  <c r="AQ38" i="36"/>
  <c r="AN38" i="36"/>
  <c r="AK38" i="36"/>
  <c r="AH38" i="36"/>
  <c r="DQ37" i="36"/>
  <c r="DN37" i="36"/>
  <c r="DH37" i="36"/>
  <c r="DE37" i="36"/>
  <c r="DB37" i="36"/>
  <c r="CY37" i="36"/>
  <c r="CV37" i="36"/>
  <c r="CS37" i="36"/>
  <c r="CM37" i="36"/>
  <c r="CJ37" i="36"/>
  <c r="CG37" i="36"/>
  <c r="CD37" i="36"/>
  <c r="CA37" i="36"/>
  <c r="BX37" i="36"/>
  <c r="BR37" i="36"/>
  <c r="BO37" i="36"/>
  <c r="BL37" i="36"/>
  <c r="BI37" i="36"/>
  <c r="BF37" i="36"/>
  <c r="BC37" i="36"/>
  <c r="AW37" i="36"/>
  <c r="AT37" i="36"/>
  <c r="AQ37" i="36"/>
  <c r="AN37" i="36"/>
  <c r="AK37" i="36"/>
  <c r="AH37" i="36"/>
  <c r="DQ36" i="36"/>
  <c r="DN36" i="36"/>
  <c r="DH36" i="36"/>
  <c r="DE36" i="36"/>
  <c r="DB36" i="36"/>
  <c r="CY36" i="36"/>
  <c r="CV36" i="36"/>
  <c r="CS36" i="36"/>
  <c r="CM36" i="36"/>
  <c r="CJ36" i="36"/>
  <c r="CG36" i="36"/>
  <c r="CD36" i="36"/>
  <c r="CA36" i="36"/>
  <c r="BX36" i="36"/>
  <c r="BR36" i="36"/>
  <c r="BO36" i="36"/>
  <c r="BL36" i="36"/>
  <c r="BI36" i="36"/>
  <c r="BF36" i="36"/>
  <c r="BC36" i="36"/>
  <c r="AW36" i="36"/>
  <c r="AT36" i="36"/>
  <c r="AQ36" i="36"/>
  <c r="AN36" i="36"/>
  <c r="AK36" i="36"/>
  <c r="AH36" i="36"/>
  <c r="DQ35" i="36"/>
  <c r="DN35" i="36"/>
  <c r="DH35" i="36"/>
  <c r="DE35" i="36"/>
  <c r="DB35" i="36"/>
  <c r="CY35" i="36"/>
  <c r="CV35" i="36"/>
  <c r="CS35" i="36"/>
  <c r="CM35" i="36"/>
  <c r="CJ35" i="36"/>
  <c r="CG35" i="36"/>
  <c r="CD35" i="36"/>
  <c r="CA35" i="36"/>
  <c r="BX35" i="36"/>
  <c r="BR35" i="36"/>
  <c r="BO35" i="36"/>
  <c r="BL35" i="36"/>
  <c r="BI35" i="36"/>
  <c r="BF35" i="36"/>
  <c r="BC35" i="36"/>
  <c r="AW35" i="36"/>
  <c r="AT35" i="36"/>
  <c r="AQ35" i="36"/>
  <c r="AN35" i="36"/>
  <c r="AK35" i="36"/>
  <c r="AH35" i="36"/>
  <c r="DQ34" i="36"/>
  <c r="DN34" i="36"/>
  <c r="DH34" i="36"/>
  <c r="DE34" i="36"/>
  <c r="DB34" i="36"/>
  <c r="CY34" i="36"/>
  <c r="CV34" i="36"/>
  <c r="CS34" i="36"/>
  <c r="CM34" i="36"/>
  <c r="CJ34" i="36"/>
  <c r="CG34" i="36"/>
  <c r="CD34" i="36"/>
  <c r="CA34" i="36"/>
  <c r="BX34" i="36"/>
  <c r="BR34" i="36"/>
  <c r="BO34" i="36"/>
  <c r="BL34" i="36"/>
  <c r="BI34" i="36"/>
  <c r="BF34" i="36"/>
  <c r="BC34" i="36"/>
  <c r="AW34" i="36"/>
  <c r="AT34" i="36"/>
  <c r="AQ34" i="36"/>
  <c r="AN34" i="36"/>
  <c r="AK34" i="36"/>
  <c r="AH34" i="36"/>
  <c r="DQ33" i="36"/>
  <c r="DN33" i="36"/>
  <c r="DH33" i="36"/>
  <c r="DE33" i="36"/>
  <c r="DB33" i="36"/>
  <c r="CY33" i="36"/>
  <c r="CV33" i="36"/>
  <c r="CS33" i="36"/>
  <c r="CM33" i="36"/>
  <c r="CJ33" i="36"/>
  <c r="CG33" i="36"/>
  <c r="CD33" i="36"/>
  <c r="CA33" i="36"/>
  <c r="BX33" i="36"/>
  <c r="BR33" i="36"/>
  <c r="BO33" i="36"/>
  <c r="BL33" i="36"/>
  <c r="BI33" i="36"/>
  <c r="BF33" i="36"/>
  <c r="BC33" i="36"/>
  <c r="AW33" i="36"/>
  <c r="AT33" i="36"/>
  <c r="AQ33" i="36"/>
  <c r="AN33" i="36"/>
  <c r="AK33" i="36"/>
  <c r="AH33" i="36"/>
  <c r="DQ32" i="36"/>
  <c r="DN32" i="36"/>
  <c r="DH32" i="36"/>
  <c r="DE32" i="36"/>
  <c r="DB32" i="36"/>
  <c r="CY32" i="36"/>
  <c r="CV32" i="36"/>
  <c r="CS32" i="36"/>
  <c r="CM32" i="36"/>
  <c r="CJ32" i="36"/>
  <c r="CG32" i="36"/>
  <c r="CD32" i="36"/>
  <c r="CA32" i="36"/>
  <c r="BX32" i="36"/>
  <c r="BR32" i="36"/>
  <c r="BO32" i="36"/>
  <c r="BL32" i="36"/>
  <c r="BI32" i="36"/>
  <c r="BF32" i="36"/>
  <c r="BC32" i="36"/>
  <c r="AW32" i="36"/>
  <c r="AT32" i="36"/>
  <c r="AQ32" i="36"/>
  <c r="AN32" i="36"/>
  <c r="AK32" i="36"/>
  <c r="AH32" i="36"/>
  <c r="DQ31" i="36"/>
  <c r="DN31" i="36"/>
  <c r="DH31" i="36"/>
  <c r="DE31" i="36"/>
  <c r="DB31" i="36"/>
  <c r="CY31" i="36"/>
  <c r="CV31" i="36"/>
  <c r="CS31" i="36"/>
  <c r="CM31" i="36"/>
  <c r="CJ31" i="36"/>
  <c r="CG31" i="36"/>
  <c r="CD31" i="36"/>
  <c r="CA31" i="36"/>
  <c r="BX31" i="36"/>
  <c r="BR31" i="36"/>
  <c r="BO31" i="36"/>
  <c r="BL31" i="36"/>
  <c r="BI31" i="36"/>
  <c r="BF31" i="36"/>
  <c r="BC31" i="36"/>
  <c r="AW31" i="36"/>
  <c r="AT31" i="36"/>
  <c r="AQ31" i="36"/>
  <c r="AN31" i="36"/>
  <c r="AK31" i="36"/>
  <c r="AH31" i="36"/>
  <c r="DQ30" i="36"/>
  <c r="DN30" i="36"/>
  <c r="DH30" i="36"/>
  <c r="DE30" i="36"/>
  <c r="DB30" i="36"/>
  <c r="CY30" i="36"/>
  <c r="CV30" i="36"/>
  <c r="CS30" i="36"/>
  <c r="CM30" i="36"/>
  <c r="CJ30" i="36"/>
  <c r="CG30" i="36"/>
  <c r="CD30" i="36"/>
  <c r="CA30" i="36"/>
  <c r="BX30" i="36"/>
  <c r="BR30" i="36"/>
  <c r="BO30" i="36"/>
  <c r="BL30" i="36"/>
  <c r="BI30" i="36"/>
  <c r="BF30" i="36"/>
  <c r="BC30" i="36"/>
  <c r="AW30" i="36"/>
  <c r="AT30" i="36"/>
  <c r="AQ30" i="36"/>
  <c r="AN30" i="36"/>
  <c r="AK30" i="36"/>
  <c r="AH30" i="36"/>
  <c r="DQ29" i="36"/>
  <c r="DN29" i="36"/>
  <c r="DH29" i="36"/>
  <c r="DE29" i="36"/>
  <c r="DB29" i="36"/>
  <c r="CY29" i="36"/>
  <c r="CV29" i="36"/>
  <c r="CS29" i="36"/>
  <c r="CM29" i="36"/>
  <c r="CJ29" i="36"/>
  <c r="CG29" i="36"/>
  <c r="CD29" i="36"/>
  <c r="CA29" i="36"/>
  <c r="BX29" i="36"/>
  <c r="BR29" i="36"/>
  <c r="BO29" i="36"/>
  <c r="BL29" i="36"/>
  <c r="BL268" i="36" s="1"/>
  <c r="BI29" i="36"/>
  <c r="BF29" i="36"/>
  <c r="BC29" i="36"/>
  <c r="AW29" i="36"/>
  <c r="AT29" i="36"/>
  <c r="AQ29" i="36"/>
  <c r="AN29" i="36"/>
  <c r="AK29" i="36"/>
  <c r="AH29" i="36"/>
  <c r="DQ28" i="36"/>
  <c r="DN28" i="36"/>
  <c r="DH28" i="36"/>
  <c r="DE28" i="36"/>
  <c r="DB28" i="36"/>
  <c r="CY28" i="36"/>
  <c r="CV28" i="36"/>
  <c r="CS28" i="36"/>
  <c r="CM28" i="36"/>
  <c r="CJ28" i="36"/>
  <c r="CG28" i="36"/>
  <c r="CD28" i="36"/>
  <c r="CA28" i="36"/>
  <c r="BX28" i="36"/>
  <c r="BR28" i="36"/>
  <c r="BO28" i="36"/>
  <c r="BL28" i="36"/>
  <c r="BI28" i="36"/>
  <c r="BF28" i="36"/>
  <c r="BC28" i="36"/>
  <c r="AW28" i="36"/>
  <c r="AT28" i="36"/>
  <c r="AQ28" i="36"/>
  <c r="AN28" i="36"/>
  <c r="AK28" i="36"/>
  <c r="AH28" i="36"/>
  <c r="DQ27" i="36"/>
  <c r="DN27" i="36"/>
  <c r="DH27" i="36"/>
  <c r="DE27" i="36"/>
  <c r="DB27" i="36"/>
  <c r="CY27" i="36"/>
  <c r="CV27" i="36"/>
  <c r="CS27" i="36"/>
  <c r="CM27" i="36"/>
  <c r="CJ27" i="36"/>
  <c r="CG27" i="36"/>
  <c r="CD27" i="36"/>
  <c r="CA27" i="36"/>
  <c r="BX27" i="36"/>
  <c r="BR27" i="36"/>
  <c r="BO27" i="36"/>
  <c r="BL27" i="36"/>
  <c r="BI27" i="36"/>
  <c r="BF27" i="36"/>
  <c r="BC27" i="36"/>
  <c r="AW27" i="36"/>
  <c r="AT27" i="36"/>
  <c r="AQ27" i="36"/>
  <c r="AN27" i="36"/>
  <c r="AK27" i="36"/>
  <c r="AH27" i="36"/>
  <c r="DQ26" i="36"/>
  <c r="DN26" i="36"/>
  <c r="DH26" i="36"/>
  <c r="DE26" i="36"/>
  <c r="DB26" i="36"/>
  <c r="CY26" i="36"/>
  <c r="CV26" i="36"/>
  <c r="CS26" i="36"/>
  <c r="CM26" i="36"/>
  <c r="CJ26" i="36"/>
  <c r="CG26" i="36"/>
  <c r="CD26" i="36"/>
  <c r="CA26" i="36"/>
  <c r="BX26" i="36"/>
  <c r="BR26" i="36"/>
  <c r="BO26" i="36"/>
  <c r="BL26" i="36"/>
  <c r="BI26" i="36"/>
  <c r="BF26" i="36"/>
  <c r="BC26" i="36"/>
  <c r="AW26" i="36"/>
  <c r="AT26" i="36"/>
  <c r="AQ26" i="36"/>
  <c r="AN26" i="36"/>
  <c r="AK26" i="36"/>
  <c r="AH26" i="36"/>
  <c r="DQ25" i="36"/>
  <c r="DN25" i="36"/>
  <c r="DH25" i="36"/>
  <c r="DE25" i="36"/>
  <c r="DB25" i="36"/>
  <c r="CY25" i="36"/>
  <c r="CV25" i="36"/>
  <c r="CS25" i="36"/>
  <c r="CM25" i="36"/>
  <c r="CJ25" i="36"/>
  <c r="CG25" i="36"/>
  <c r="CD25" i="36"/>
  <c r="CA25" i="36"/>
  <c r="BX25" i="36"/>
  <c r="BR25" i="36"/>
  <c r="BO25" i="36"/>
  <c r="BL25" i="36"/>
  <c r="BI25" i="36"/>
  <c r="BF25" i="36"/>
  <c r="BC25" i="36"/>
  <c r="AW25" i="36"/>
  <c r="AT25" i="36"/>
  <c r="AQ25" i="36"/>
  <c r="AN25" i="36"/>
  <c r="AK25" i="36"/>
  <c r="AH25" i="36"/>
  <c r="DQ24" i="36"/>
  <c r="DN24" i="36"/>
  <c r="DH24" i="36"/>
  <c r="DE24" i="36"/>
  <c r="DB24" i="36"/>
  <c r="CY24" i="36"/>
  <c r="CV24" i="36"/>
  <c r="CS24" i="36"/>
  <c r="CM24" i="36"/>
  <c r="CJ24" i="36"/>
  <c r="CG24" i="36"/>
  <c r="CD24" i="36"/>
  <c r="CA24" i="36"/>
  <c r="BX24" i="36"/>
  <c r="BR24" i="36"/>
  <c r="BO24" i="36"/>
  <c r="BL24" i="36"/>
  <c r="BI24" i="36"/>
  <c r="BF24" i="36"/>
  <c r="BC24" i="36"/>
  <c r="AW24" i="36"/>
  <c r="AT24" i="36"/>
  <c r="AQ24" i="36"/>
  <c r="AN24" i="36"/>
  <c r="AK24" i="36"/>
  <c r="AH24" i="36"/>
  <c r="DQ23" i="36"/>
  <c r="DN23" i="36"/>
  <c r="DH23" i="36"/>
  <c r="DE23" i="36"/>
  <c r="DB23" i="36"/>
  <c r="CY23" i="36"/>
  <c r="CV23" i="36"/>
  <c r="CS23" i="36"/>
  <c r="CM23" i="36"/>
  <c r="CJ23" i="36"/>
  <c r="CG23" i="36"/>
  <c r="CD23" i="36"/>
  <c r="CA23" i="36"/>
  <c r="BX23" i="36"/>
  <c r="BR23" i="36"/>
  <c r="BO23" i="36"/>
  <c r="BL23" i="36"/>
  <c r="BI23" i="36"/>
  <c r="BF23" i="36"/>
  <c r="BC23" i="36"/>
  <c r="AW23" i="36"/>
  <c r="AT23" i="36"/>
  <c r="AQ23" i="36"/>
  <c r="AN23" i="36"/>
  <c r="AK23" i="36"/>
  <c r="AH23" i="36"/>
  <c r="DQ22" i="36"/>
  <c r="DN22" i="36"/>
  <c r="DH22" i="36"/>
  <c r="DE22" i="36"/>
  <c r="DB22" i="36"/>
  <c r="CY22" i="36"/>
  <c r="CV22" i="36"/>
  <c r="CS22" i="36"/>
  <c r="CR22" i="36"/>
  <c r="CR268" i="36" s="1"/>
  <c r="CM22" i="36"/>
  <c r="CJ22" i="36"/>
  <c r="CG22" i="36"/>
  <c r="CD22" i="36"/>
  <c r="CA22" i="36"/>
  <c r="BX22" i="36"/>
  <c r="BR22" i="36"/>
  <c r="BO22" i="36"/>
  <c r="BL22" i="36"/>
  <c r="BI22" i="36"/>
  <c r="BF22" i="36"/>
  <c r="BC22" i="36"/>
  <c r="AW22" i="36"/>
  <c r="AT22" i="36"/>
  <c r="AQ22" i="36"/>
  <c r="AN22" i="36"/>
  <c r="AK22" i="36"/>
  <c r="AH22" i="36"/>
  <c r="DQ21" i="36"/>
  <c r="DN21" i="36"/>
  <c r="DH21" i="36"/>
  <c r="DE21" i="36"/>
  <c r="DB21" i="36"/>
  <c r="CY21" i="36"/>
  <c r="CV21" i="36"/>
  <c r="CS21" i="36"/>
  <c r="CM21" i="36"/>
  <c r="CJ21" i="36"/>
  <c r="CG21" i="36"/>
  <c r="CD21" i="36"/>
  <c r="CA21" i="36"/>
  <c r="BX21" i="36"/>
  <c r="BR21" i="36"/>
  <c r="BO21" i="36"/>
  <c r="BL21" i="36"/>
  <c r="BI21" i="36"/>
  <c r="BF21" i="36"/>
  <c r="BC21" i="36"/>
  <c r="AW21" i="36"/>
  <c r="AT21" i="36"/>
  <c r="AQ21" i="36"/>
  <c r="AN21" i="36"/>
  <c r="AK21" i="36"/>
  <c r="AH21" i="36"/>
  <c r="DQ20" i="36"/>
  <c r="DN20" i="36"/>
  <c r="DH20" i="36"/>
  <c r="DE20" i="36"/>
  <c r="DB20" i="36"/>
  <c r="CY20" i="36"/>
  <c r="CV20" i="36"/>
  <c r="CS20" i="36"/>
  <c r="CM20" i="36"/>
  <c r="CJ20" i="36"/>
  <c r="CG20" i="36"/>
  <c r="CD20" i="36"/>
  <c r="CA20" i="36"/>
  <c r="BX20" i="36"/>
  <c r="BR20" i="36"/>
  <c r="BO20" i="36"/>
  <c r="BL20" i="36"/>
  <c r="BI20" i="36"/>
  <c r="BF20" i="36"/>
  <c r="BC20" i="36"/>
  <c r="AW20" i="36"/>
  <c r="AT20" i="36"/>
  <c r="AQ20" i="36"/>
  <c r="AN20" i="36"/>
  <c r="AK20" i="36"/>
  <c r="AH20" i="36"/>
  <c r="DQ19" i="36"/>
  <c r="DN19" i="36"/>
  <c r="DH19" i="36"/>
  <c r="DE19" i="36"/>
  <c r="DB19" i="36"/>
  <c r="CY19" i="36"/>
  <c r="CV19" i="36"/>
  <c r="CS19" i="36"/>
  <c r="CM19" i="36"/>
  <c r="CJ19" i="36"/>
  <c r="CG19" i="36"/>
  <c r="CD19" i="36"/>
  <c r="CA19" i="36"/>
  <c r="BX19" i="36"/>
  <c r="BR19" i="36"/>
  <c r="BO19" i="36"/>
  <c r="BL19" i="36"/>
  <c r="BI19" i="36"/>
  <c r="BF19" i="36"/>
  <c r="BC19" i="36"/>
  <c r="AW19" i="36"/>
  <c r="AT19" i="36"/>
  <c r="AQ19" i="36"/>
  <c r="AN19" i="36"/>
  <c r="AK19" i="36"/>
  <c r="AH19" i="36"/>
  <c r="DQ18" i="36"/>
  <c r="DN18" i="36"/>
  <c r="DH18" i="36"/>
  <c r="DE18" i="36"/>
  <c r="DB18" i="36"/>
  <c r="CY18" i="36"/>
  <c r="CV18" i="36"/>
  <c r="CS18" i="36"/>
  <c r="CM18" i="36"/>
  <c r="CJ18" i="36"/>
  <c r="CG18" i="36"/>
  <c r="CD18" i="36"/>
  <c r="CA18" i="36"/>
  <c r="BX18" i="36"/>
  <c r="BR18" i="36"/>
  <c r="BO18" i="36"/>
  <c r="BL18" i="36"/>
  <c r="BI18" i="36"/>
  <c r="BF18" i="36"/>
  <c r="BC18" i="36"/>
  <c r="AW18" i="36"/>
  <c r="AT18" i="36"/>
  <c r="AQ18" i="36"/>
  <c r="AN18" i="36"/>
  <c r="AK18" i="36"/>
  <c r="AH18" i="36"/>
  <c r="DQ17" i="36"/>
  <c r="DN17" i="36"/>
  <c r="DH17" i="36"/>
  <c r="DE17" i="36"/>
  <c r="DB17" i="36"/>
  <c r="CY17" i="36"/>
  <c r="CV17" i="36"/>
  <c r="CS17" i="36"/>
  <c r="CM17" i="36"/>
  <c r="CJ17" i="36"/>
  <c r="CG17" i="36"/>
  <c r="CD17" i="36"/>
  <c r="CA17" i="36"/>
  <c r="BX17" i="36"/>
  <c r="BR17" i="36"/>
  <c r="BO17" i="36"/>
  <c r="BL17" i="36"/>
  <c r="BI17" i="36"/>
  <c r="BF17" i="36"/>
  <c r="BC17" i="36"/>
  <c r="AW17" i="36"/>
  <c r="AT17" i="36"/>
  <c r="AQ17" i="36"/>
  <c r="AN17" i="36"/>
  <c r="AK17" i="36"/>
  <c r="AH17" i="36"/>
  <c r="DQ16" i="36"/>
  <c r="DN16" i="36"/>
  <c r="DH16" i="36"/>
  <c r="DE16" i="36"/>
  <c r="DB16" i="36"/>
  <c r="CY16" i="36"/>
  <c r="CV16" i="36"/>
  <c r="CS16" i="36"/>
  <c r="CM16" i="36"/>
  <c r="CJ16" i="36"/>
  <c r="CG16" i="36"/>
  <c r="CD16" i="36"/>
  <c r="CA16" i="36"/>
  <c r="BX16" i="36"/>
  <c r="BR16" i="36"/>
  <c r="BO16" i="36"/>
  <c r="BL16" i="36"/>
  <c r="BI16" i="36"/>
  <c r="BF16" i="36"/>
  <c r="BC16" i="36"/>
  <c r="AW16" i="36"/>
  <c r="AT16" i="36"/>
  <c r="AQ16" i="36"/>
  <c r="AN16" i="36"/>
  <c r="AK16" i="36"/>
  <c r="AH16" i="36"/>
  <c r="DQ15" i="36"/>
  <c r="DN15" i="36"/>
  <c r="DH15" i="36"/>
  <c r="DE15" i="36"/>
  <c r="DB15" i="36"/>
  <c r="CY15" i="36"/>
  <c r="CV15" i="36"/>
  <c r="CS15" i="36"/>
  <c r="CM15" i="36"/>
  <c r="CJ15" i="36"/>
  <c r="CG15" i="36"/>
  <c r="CD15" i="36"/>
  <c r="CA15" i="36"/>
  <c r="BX15" i="36"/>
  <c r="BR15" i="36"/>
  <c r="BO15" i="36"/>
  <c r="BL15" i="36"/>
  <c r="BI15" i="36"/>
  <c r="BF15" i="36"/>
  <c r="BC15" i="36"/>
  <c r="AW15" i="36"/>
  <c r="AT15" i="36"/>
  <c r="AQ15" i="36"/>
  <c r="AN15" i="36"/>
  <c r="AK15" i="36"/>
  <c r="AH15" i="36"/>
  <c r="DQ14" i="36"/>
  <c r="DN14" i="36"/>
  <c r="DH14" i="36"/>
  <c r="DE14" i="36"/>
  <c r="DB14" i="36"/>
  <c r="CY14" i="36"/>
  <c r="CV14" i="36"/>
  <c r="CS14" i="36"/>
  <c r="CM14" i="36"/>
  <c r="CJ14" i="36"/>
  <c r="CG14" i="36"/>
  <c r="CD14" i="36"/>
  <c r="CA14" i="36"/>
  <c r="BX14" i="36"/>
  <c r="BR14" i="36"/>
  <c r="BO14" i="36"/>
  <c r="BL14" i="36"/>
  <c r="BI14" i="36"/>
  <c r="BF14" i="36"/>
  <c r="BC14" i="36"/>
  <c r="AW14" i="36"/>
  <c r="AT14" i="36"/>
  <c r="AQ14" i="36"/>
  <c r="AN14" i="36"/>
  <c r="AK14" i="36"/>
  <c r="AH14" i="36"/>
  <c r="DQ13" i="36"/>
  <c r="DN13" i="36"/>
  <c r="DH13" i="36"/>
  <c r="DE13" i="36"/>
  <c r="DB13" i="36"/>
  <c r="CY13" i="36"/>
  <c r="CV13" i="36"/>
  <c r="CS13" i="36"/>
  <c r="CM13" i="36"/>
  <c r="CJ13" i="36"/>
  <c r="CG13" i="36"/>
  <c r="CD13" i="36"/>
  <c r="CA13" i="36"/>
  <c r="BX13" i="36"/>
  <c r="BR13" i="36"/>
  <c r="BO13" i="36"/>
  <c r="BL13" i="36"/>
  <c r="BI13" i="36"/>
  <c r="BF13" i="36"/>
  <c r="BC13" i="36"/>
  <c r="AW13" i="36"/>
  <c r="AT13" i="36"/>
  <c r="AQ13" i="36"/>
  <c r="AN13" i="36"/>
  <c r="AK13" i="36"/>
  <c r="AH13" i="36"/>
  <c r="DQ12" i="36"/>
  <c r="DN12" i="36"/>
  <c r="DH12" i="36"/>
  <c r="DE12" i="36"/>
  <c r="DB12" i="36"/>
  <c r="CY12" i="36"/>
  <c r="CV12" i="36"/>
  <c r="CS12" i="36"/>
  <c r="CM12" i="36"/>
  <c r="CJ12" i="36"/>
  <c r="CG12" i="36"/>
  <c r="CD12" i="36"/>
  <c r="CA12" i="36"/>
  <c r="BX12" i="36"/>
  <c r="BR12" i="36"/>
  <c r="BO12" i="36"/>
  <c r="BL12" i="36"/>
  <c r="BI12" i="36"/>
  <c r="BF12" i="36"/>
  <c r="BC12" i="36"/>
  <c r="AW12" i="36"/>
  <c r="AT12" i="36"/>
  <c r="AQ12" i="36"/>
  <c r="AN12" i="36"/>
  <c r="AK12" i="36"/>
  <c r="AH12" i="36"/>
  <c r="DQ11" i="36"/>
  <c r="DN11" i="36"/>
  <c r="DH11" i="36"/>
  <c r="DE11" i="36"/>
  <c r="DB11" i="36"/>
  <c r="CY11" i="36"/>
  <c r="CV11" i="36"/>
  <c r="CS11" i="36"/>
  <c r="CM11" i="36"/>
  <c r="CJ11" i="36"/>
  <c r="CG11" i="36"/>
  <c r="CD11" i="36"/>
  <c r="CA11" i="36"/>
  <c r="BX11" i="36"/>
  <c r="BR11" i="36"/>
  <c r="BO11" i="36"/>
  <c r="BL11" i="36"/>
  <c r="BI11" i="36"/>
  <c r="BF11" i="36"/>
  <c r="BC11" i="36"/>
  <c r="AW11" i="36"/>
  <c r="AT11" i="36"/>
  <c r="AQ11" i="36"/>
  <c r="AN11" i="36"/>
  <c r="AK11" i="36"/>
  <c r="AH11" i="36"/>
  <c r="DQ10" i="36"/>
  <c r="DN10" i="36"/>
  <c r="DN2" i="36" s="1"/>
  <c r="DH10" i="36"/>
  <c r="DE10" i="36"/>
  <c r="DB10" i="36"/>
  <c r="CY10" i="36"/>
  <c r="CV10" i="36"/>
  <c r="CS10" i="36"/>
  <c r="CM10" i="36"/>
  <c r="CJ10" i="36"/>
  <c r="CG10" i="36"/>
  <c r="CD10" i="36"/>
  <c r="CA10" i="36"/>
  <c r="BX10" i="36"/>
  <c r="BR10" i="36"/>
  <c r="BO10" i="36"/>
  <c r="BL10" i="36"/>
  <c r="BI10" i="36"/>
  <c r="BF10" i="36"/>
  <c r="BC10" i="36"/>
  <c r="AW10" i="36"/>
  <c r="AT10" i="36"/>
  <c r="AQ10" i="36"/>
  <c r="AN10" i="36"/>
  <c r="AK10" i="36"/>
  <c r="AH10" i="36"/>
  <c r="DQ9" i="36"/>
  <c r="DN9" i="36"/>
  <c r="DH9" i="36"/>
  <c r="DE9" i="36"/>
  <c r="DB9" i="36"/>
  <c r="CY9" i="36"/>
  <c r="CV9" i="36"/>
  <c r="CS9" i="36"/>
  <c r="CM9" i="36"/>
  <c r="CJ9" i="36"/>
  <c r="CG9" i="36"/>
  <c r="CD9" i="36"/>
  <c r="CA9" i="36"/>
  <c r="BX9" i="36"/>
  <c r="BR9" i="36"/>
  <c r="BO9" i="36"/>
  <c r="BL9" i="36"/>
  <c r="BI9" i="36"/>
  <c r="BF9" i="36"/>
  <c r="BC9" i="36"/>
  <c r="AW9" i="36"/>
  <c r="AT9" i="36"/>
  <c r="AQ9" i="36"/>
  <c r="AN9" i="36"/>
  <c r="AK9" i="36"/>
  <c r="AH9" i="36"/>
  <c r="DQ8" i="36"/>
  <c r="DN8" i="36"/>
  <c r="DH8" i="36"/>
  <c r="DE8" i="36"/>
  <c r="DB8" i="36"/>
  <c r="DB268" i="36" s="1"/>
  <c r="CY8" i="36"/>
  <c r="CV8" i="36"/>
  <c r="CS8" i="36"/>
  <c r="CM8" i="36"/>
  <c r="CJ8" i="36"/>
  <c r="CG8" i="36"/>
  <c r="CD8" i="36"/>
  <c r="CA8" i="36"/>
  <c r="BX8" i="36"/>
  <c r="BR8" i="36"/>
  <c r="BO8" i="36"/>
  <c r="BL8" i="36"/>
  <c r="BI8" i="36"/>
  <c r="BF8" i="36"/>
  <c r="BC8" i="36"/>
  <c r="AW8" i="36"/>
  <c r="AT8" i="36"/>
  <c r="AQ8" i="36"/>
  <c r="AN8" i="36"/>
  <c r="AK8" i="36"/>
  <c r="AH8" i="36"/>
  <c r="DQ7" i="36"/>
  <c r="DN7" i="36"/>
  <c r="DH7" i="36"/>
  <c r="DE7" i="36"/>
  <c r="DB7" i="36"/>
  <c r="CY7" i="36"/>
  <c r="CV7" i="36"/>
  <c r="CS7" i="36"/>
  <c r="CM7" i="36"/>
  <c r="CJ7" i="36"/>
  <c r="CG7" i="36"/>
  <c r="CD7" i="36"/>
  <c r="CA7" i="36"/>
  <c r="BX7" i="36"/>
  <c r="BR7" i="36"/>
  <c r="BO7" i="36"/>
  <c r="BL7" i="36"/>
  <c r="BI7" i="36"/>
  <c r="BF7" i="36"/>
  <c r="BC7" i="36"/>
  <c r="BC268" i="36" s="1"/>
  <c r="AW7" i="36"/>
  <c r="AT7" i="36"/>
  <c r="AQ7" i="36"/>
  <c r="AN7" i="36"/>
  <c r="AK7" i="36"/>
  <c r="AH7" i="36"/>
  <c r="DQ6" i="36"/>
  <c r="DQ2" i="36" s="1"/>
  <c r="DN6" i="36"/>
  <c r="DH6" i="36"/>
  <c r="DE6" i="36"/>
  <c r="DB6" i="36"/>
  <c r="CY6" i="36"/>
  <c r="CV6" i="36"/>
  <c r="CS6" i="36"/>
  <c r="CM6" i="36"/>
  <c r="CJ6" i="36"/>
  <c r="CJ268" i="36" s="1"/>
  <c r="CG6" i="36"/>
  <c r="CD6" i="36"/>
  <c r="CA6" i="36"/>
  <c r="BX6" i="36"/>
  <c r="BR6" i="36"/>
  <c r="BO6" i="36"/>
  <c r="BL6" i="36"/>
  <c r="BI6" i="36"/>
  <c r="BF6" i="36"/>
  <c r="BC6" i="36"/>
  <c r="AW6" i="36"/>
  <c r="AT6" i="36"/>
  <c r="AQ6" i="36"/>
  <c r="AN6" i="36"/>
  <c r="AK6" i="36"/>
  <c r="AH6" i="36"/>
  <c r="DQ5" i="36"/>
  <c r="DN5" i="36"/>
  <c r="DH5" i="36"/>
  <c r="DE5" i="36"/>
  <c r="DB5" i="36"/>
  <c r="CY5" i="36"/>
  <c r="CV5" i="36"/>
  <c r="CS5" i="36"/>
  <c r="CM5" i="36"/>
  <c r="CJ5" i="36"/>
  <c r="CG5" i="36"/>
  <c r="CD5" i="36"/>
  <c r="CA5" i="36"/>
  <c r="BX5" i="36"/>
  <c r="BR5" i="36"/>
  <c r="BO5" i="36"/>
  <c r="BO268" i="36" s="1"/>
  <c r="BL5" i="36"/>
  <c r="BI5" i="36"/>
  <c r="BF5" i="36"/>
  <c r="BC5" i="36"/>
  <c r="AW5" i="36"/>
  <c r="AT5" i="36"/>
  <c r="AT268" i="36" s="1"/>
  <c r="AQ5" i="36"/>
  <c r="AQ268" i="36" s="1"/>
  <c r="AN5" i="36"/>
  <c r="AK5" i="36"/>
  <c r="AH5" i="36"/>
  <c r="DK2" i="36"/>
  <c r="L408" i="31"/>
  <c r="I408" i="31"/>
  <c r="L400" i="31"/>
  <c r="K400" i="31"/>
  <c r="G400" i="31"/>
  <c r="H399" i="31"/>
  <c r="L398" i="31"/>
  <c r="K398" i="31"/>
  <c r="G398" i="31"/>
  <c r="T396" i="31"/>
  <c r="H396" i="31"/>
  <c r="H395" i="31"/>
  <c r="N394" i="31"/>
  <c r="M394" i="31"/>
  <c r="L394" i="31"/>
  <c r="K394" i="31"/>
  <c r="G394" i="31"/>
  <c r="T392" i="31"/>
  <c r="N392" i="31"/>
  <c r="M392" i="31"/>
  <c r="L392" i="31"/>
  <c r="K392" i="31"/>
  <c r="H392" i="31"/>
  <c r="H391" i="31"/>
  <c r="N390" i="31"/>
  <c r="M390" i="31"/>
  <c r="L390" i="31"/>
  <c r="K390" i="31"/>
  <c r="N388" i="31"/>
  <c r="M388" i="31"/>
  <c r="G388" i="31"/>
  <c r="H387" i="31"/>
  <c r="H386" i="31"/>
  <c r="U384" i="31"/>
  <c r="T384" i="31"/>
  <c r="N384" i="31"/>
  <c r="M384" i="31"/>
  <c r="L384" i="31"/>
  <c r="K384" i="31"/>
  <c r="G384" i="31"/>
  <c r="T382" i="31"/>
  <c r="L382" i="31"/>
  <c r="K382" i="31"/>
  <c r="G382" i="31"/>
  <c r="H381" i="31"/>
  <c r="H380" i="31"/>
  <c r="U379" i="31"/>
  <c r="T379" i="31"/>
  <c r="N379" i="31"/>
  <c r="M379" i="31"/>
  <c r="L379" i="31"/>
  <c r="K379" i="31"/>
  <c r="G379" i="31"/>
  <c r="H378" i="31"/>
  <c r="U377" i="31"/>
  <c r="T377" i="31"/>
  <c r="O377" i="31"/>
  <c r="N377" i="31"/>
  <c r="M377" i="31"/>
  <c r="M408" i="31" s="1"/>
  <c r="L377" i="31"/>
  <c r="K377" i="31"/>
  <c r="G377" i="31"/>
  <c r="H376" i="31"/>
  <c r="N375" i="31"/>
  <c r="M375" i="31"/>
  <c r="L375" i="31"/>
  <c r="K375" i="31"/>
  <c r="G375" i="31"/>
  <c r="U374" i="31"/>
  <c r="T374" i="31"/>
  <c r="T408" i="31" s="1"/>
  <c r="N374" i="31"/>
  <c r="M374" i="31"/>
  <c r="L374" i="31"/>
  <c r="K374" i="31"/>
  <c r="H374" i="31"/>
  <c r="G374" i="31"/>
  <c r="U373" i="31"/>
  <c r="T373" i="31"/>
  <c r="U372" i="31"/>
  <c r="T372" i="31"/>
  <c r="N372" i="31"/>
  <c r="N408" i="31" s="1"/>
  <c r="M372" i="31"/>
  <c r="L372" i="31"/>
  <c r="K372" i="31"/>
  <c r="J372" i="31"/>
  <c r="J408" i="31" s="1"/>
  <c r="H372" i="31"/>
  <c r="G372" i="31"/>
  <c r="G408" i="31" s="1"/>
  <c r="Q371" i="31"/>
  <c r="Q370" i="31"/>
  <c r="Q369" i="31"/>
  <c r="Q368" i="31"/>
  <c r="Q367" i="31"/>
  <c r="Q366" i="31"/>
  <c r="Q365" i="31"/>
  <c r="Q364" i="31"/>
  <c r="P364" i="31"/>
  <c r="O364" i="31"/>
  <c r="Q363" i="31"/>
  <c r="P363" i="31"/>
  <c r="O363" i="31"/>
  <c r="Q360" i="31"/>
  <c r="P360" i="31"/>
  <c r="O360" i="31"/>
  <c r="Q359" i="31"/>
  <c r="Q357" i="31"/>
  <c r="P357" i="31"/>
  <c r="O357" i="31"/>
  <c r="Q356" i="31"/>
  <c r="P356" i="31"/>
  <c r="O356" i="31"/>
  <c r="Q354" i="31"/>
  <c r="P354" i="31"/>
  <c r="O354" i="31"/>
  <c r="Q353" i="31"/>
  <c r="P353" i="31"/>
  <c r="O353" i="31"/>
  <c r="Q352" i="31"/>
  <c r="P352" i="31"/>
  <c r="O352" i="31"/>
  <c r="S351" i="31"/>
  <c r="Q351" i="31"/>
  <c r="P351" i="31"/>
  <c r="O351" i="31"/>
  <c r="Q349" i="31"/>
  <c r="Q348" i="31"/>
  <c r="Q347" i="31"/>
  <c r="Q346" i="31"/>
  <c r="Q345" i="31"/>
  <c r="Q344" i="31"/>
  <c r="Q343" i="31"/>
  <c r="P343" i="31"/>
  <c r="Q341" i="31"/>
  <c r="P341" i="31"/>
  <c r="Q338" i="31"/>
  <c r="P338" i="31"/>
  <c r="O338" i="31"/>
  <c r="Q337" i="31"/>
  <c r="Q335" i="31"/>
  <c r="P335" i="31"/>
  <c r="O335" i="31"/>
  <c r="Q334" i="31"/>
  <c r="P334" i="31"/>
  <c r="O334" i="31"/>
  <c r="Q333" i="31"/>
  <c r="P333" i="31"/>
  <c r="O333" i="31"/>
  <c r="Q331" i="31"/>
  <c r="P331" i="31"/>
  <c r="O331" i="31"/>
  <c r="Q330" i="31"/>
  <c r="P330" i="31"/>
  <c r="O330" i="31"/>
  <c r="Q329" i="31"/>
  <c r="P329" i="31"/>
  <c r="O329" i="31"/>
  <c r="Q328" i="31"/>
  <c r="Q327" i="31"/>
  <c r="Q326" i="31"/>
  <c r="Q325" i="31"/>
  <c r="Q324" i="31"/>
  <c r="Q323" i="31"/>
  <c r="Q322" i="31"/>
  <c r="Q321" i="31"/>
  <c r="P321" i="31"/>
  <c r="O321" i="31"/>
  <c r="Q320" i="31"/>
  <c r="P320" i="31"/>
  <c r="O320" i="31"/>
  <c r="Q317" i="31"/>
  <c r="P317" i="31"/>
  <c r="O317" i="31"/>
  <c r="Q316" i="31"/>
  <c r="Q312" i="31"/>
  <c r="P312" i="31"/>
  <c r="O312" i="31"/>
  <c r="Q311" i="31"/>
  <c r="P311" i="31"/>
  <c r="O311" i="31"/>
  <c r="Q310" i="31"/>
  <c r="P310" i="31"/>
  <c r="O310" i="31"/>
  <c r="Q309" i="31"/>
  <c r="P309" i="31"/>
  <c r="O309" i="31"/>
  <c r="Q308" i="31"/>
  <c r="P308" i="31"/>
  <c r="O308" i="31"/>
  <c r="S307" i="31"/>
  <c r="R307" i="31"/>
  <c r="Q307" i="31"/>
  <c r="P307" i="31"/>
  <c r="O307" i="31"/>
  <c r="Q306" i="31"/>
  <c r="Q305" i="31"/>
  <c r="Q304" i="31"/>
  <c r="Q303" i="31"/>
  <c r="Q302" i="31"/>
  <c r="Q301" i="31"/>
  <c r="Q300" i="31"/>
  <c r="Q299" i="31"/>
  <c r="P299" i="31"/>
  <c r="O299" i="31"/>
  <c r="Q298" i="31"/>
  <c r="P298" i="31"/>
  <c r="O298" i="31"/>
  <c r="Q295" i="31"/>
  <c r="P295" i="31"/>
  <c r="O295" i="31"/>
  <c r="Q294" i="31"/>
  <c r="Q292" i="31"/>
  <c r="P292" i="31"/>
  <c r="O292" i="31"/>
  <c r="Q291" i="31"/>
  <c r="P291" i="31"/>
  <c r="O291" i="31"/>
  <c r="Q289" i="31"/>
  <c r="P289" i="31"/>
  <c r="O289" i="31"/>
  <c r="Q288" i="31"/>
  <c r="P288" i="31"/>
  <c r="O288" i="31"/>
  <c r="Q287" i="31"/>
  <c r="P287" i="31"/>
  <c r="O287" i="31"/>
  <c r="S285" i="31"/>
  <c r="R285" i="31"/>
  <c r="Q285" i="31"/>
  <c r="P285" i="31"/>
  <c r="O285" i="31"/>
  <c r="Q283" i="31"/>
  <c r="Q282" i="31"/>
  <c r="Q281" i="31"/>
  <c r="Q280" i="31"/>
  <c r="Q279" i="31"/>
  <c r="Q278" i="31"/>
  <c r="Q277" i="31"/>
  <c r="P277" i="31"/>
  <c r="O277" i="31"/>
  <c r="Q276" i="31"/>
  <c r="P276" i="31"/>
  <c r="O276" i="31"/>
  <c r="Q273" i="31"/>
  <c r="P273" i="31"/>
  <c r="O273" i="31"/>
  <c r="Q272" i="31"/>
  <c r="Q270" i="31"/>
  <c r="P270" i="31"/>
  <c r="O270" i="31"/>
  <c r="Q268" i="31"/>
  <c r="P268" i="31"/>
  <c r="O268" i="31"/>
  <c r="O382" i="31" s="1"/>
  <c r="Q266" i="31"/>
  <c r="P266" i="31"/>
  <c r="O266" i="31"/>
  <c r="Q265" i="31"/>
  <c r="P265" i="31"/>
  <c r="O265" i="31"/>
  <c r="Q264" i="31"/>
  <c r="P264" i="31"/>
  <c r="Q263" i="31"/>
  <c r="P263" i="31"/>
  <c r="O263" i="31"/>
  <c r="Q262" i="31"/>
  <c r="P262" i="31"/>
  <c r="O262" i="31"/>
  <c r="S261" i="31"/>
  <c r="R261" i="31"/>
  <c r="Q261" i="31"/>
  <c r="P261" i="31"/>
  <c r="O261" i="31"/>
  <c r="Q260" i="31"/>
  <c r="Q259" i="31"/>
  <c r="Q258" i="31"/>
  <c r="Q257" i="31"/>
  <c r="Q256" i="31"/>
  <c r="Q255" i="31"/>
  <c r="Q254" i="31"/>
  <c r="Q253" i="31"/>
  <c r="P253" i="31"/>
  <c r="Q252" i="31"/>
  <c r="P252" i="31"/>
  <c r="O252" i="31"/>
  <c r="Q249" i="31"/>
  <c r="P249" i="31"/>
  <c r="O249" i="31"/>
  <c r="Q248" i="31"/>
  <c r="Q246" i="31"/>
  <c r="P246" i="31"/>
  <c r="O246" i="31"/>
  <c r="Q244" i="31"/>
  <c r="P244" i="31"/>
  <c r="O244" i="31"/>
  <c r="Q243" i="31"/>
  <c r="P243" i="31"/>
  <c r="O243" i="31"/>
  <c r="Q241" i="31"/>
  <c r="P241" i="31"/>
  <c r="O241" i="31"/>
  <c r="Q239" i="31"/>
  <c r="P239" i="31"/>
  <c r="O239" i="31"/>
  <c r="V238" i="31"/>
  <c r="V263" i="31" s="1"/>
  <c r="Q238" i="31"/>
  <c r="P238" i="31"/>
  <c r="O238" i="31"/>
  <c r="Q237" i="31"/>
  <c r="P237" i="31"/>
  <c r="O237" i="31"/>
  <c r="S236" i="31"/>
  <c r="Q236" i="31"/>
  <c r="P236" i="31"/>
  <c r="O236" i="31"/>
  <c r="Q235" i="31"/>
  <c r="Q234" i="31"/>
  <c r="Q233" i="31"/>
  <c r="Q232" i="31"/>
  <c r="Q231" i="31"/>
  <c r="Q230" i="31"/>
  <c r="Q229" i="31"/>
  <c r="Q228" i="31"/>
  <c r="P228" i="31"/>
  <c r="Q227" i="31"/>
  <c r="P227" i="31"/>
  <c r="Q224" i="31"/>
  <c r="P224" i="31"/>
  <c r="Q223" i="31"/>
  <c r="Q221" i="31"/>
  <c r="P221" i="31"/>
  <c r="O221" i="31"/>
  <c r="Q220" i="31"/>
  <c r="P220" i="31"/>
  <c r="Q219" i="31"/>
  <c r="P219" i="31"/>
  <c r="O219" i="31"/>
  <c r="Q218" i="31"/>
  <c r="P218" i="31"/>
  <c r="O218" i="31"/>
  <c r="Q217" i="31"/>
  <c r="P217" i="31"/>
  <c r="O217" i="31"/>
  <c r="Q216" i="31"/>
  <c r="P216" i="31"/>
  <c r="O216" i="31"/>
  <c r="V216" i="31" s="1"/>
  <c r="Q215" i="31"/>
  <c r="P215" i="31"/>
  <c r="O215" i="31"/>
  <c r="S214" i="31"/>
  <c r="R214" i="31"/>
  <c r="Q214" i="31"/>
  <c r="P214" i="31"/>
  <c r="O214" i="31"/>
  <c r="Q213" i="31"/>
  <c r="Q212" i="31"/>
  <c r="Q211" i="31"/>
  <c r="Q210" i="31"/>
  <c r="Q209" i="31"/>
  <c r="Q208" i="31"/>
  <c r="Q207" i="31"/>
  <c r="Q206" i="31"/>
  <c r="P206" i="31"/>
  <c r="Q205" i="31"/>
  <c r="P205" i="31"/>
  <c r="O205" i="31"/>
  <c r="Q202" i="31"/>
  <c r="P202" i="31"/>
  <c r="O202" i="31"/>
  <c r="Q201" i="31"/>
  <c r="Q199" i="31"/>
  <c r="P199" i="31"/>
  <c r="O199" i="31"/>
  <c r="Q197" i="31"/>
  <c r="P197" i="31"/>
  <c r="P382" i="31" s="1"/>
  <c r="Q196" i="31"/>
  <c r="P196" i="31"/>
  <c r="O196" i="31"/>
  <c r="Q194" i="31"/>
  <c r="P194" i="31"/>
  <c r="O194" i="31"/>
  <c r="Q193" i="31"/>
  <c r="P193" i="31"/>
  <c r="Q192" i="31"/>
  <c r="P192" i="31"/>
  <c r="O192" i="31"/>
  <c r="V192" i="31" s="1"/>
  <c r="Q191" i="31"/>
  <c r="P191" i="31"/>
  <c r="R190" i="31"/>
  <c r="Q190" i="31"/>
  <c r="P190" i="31"/>
  <c r="O190" i="31"/>
  <c r="Q189" i="31"/>
  <c r="Q188" i="31"/>
  <c r="Q187" i="31"/>
  <c r="Q186" i="31"/>
  <c r="Q185" i="31"/>
  <c r="Q184" i="31"/>
  <c r="Q183" i="31"/>
  <c r="Q182" i="31"/>
  <c r="P182" i="31"/>
  <c r="O182" i="31"/>
  <c r="Q180" i="31"/>
  <c r="P180" i="31"/>
  <c r="O180" i="31"/>
  <c r="Q177" i="31"/>
  <c r="P177" i="31"/>
  <c r="O177" i="31"/>
  <c r="Q176" i="31"/>
  <c r="Q173" i="31"/>
  <c r="P173" i="31"/>
  <c r="O173" i="31"/>
  <c r="N173" i="31"/>
  <c r="M173" i="31"/>
  <c r="Q172" i="31"/>
  <c r="P172" i="31"/>
  <c r="O172" i="31"/>
  <c r="Q170" i="31"/>
  <c r="P170" i="31"/>
  <c r="O170" i="31"/>
  <c r="Q169" i="31"/>
  <c r="P169" i="31"/>
  <c r="O169" i="31"/>
  <c r="Q168" i="31"/>
  <c r="P168" i="31"/>
  <c r="O168" i="31"/>
  <c r="Q167" i="31"/>
  <c r="P167" i="31"/>
  <c r="O167" i="31"/>
  <c r="S166" i="31"/>
  <c r="R166" i="31"/>
  <c r="Q166" i="31"/>
  <c r="P166" i="31"/>
  <c r="O166" i="31"/>
  <c r="Q165" i="31"/>
  <c r="Q164" i="31"/>
  <c r="Q163" i="31"/>
  <c r="Q162" i="31"/>
  <c r="Q161" i="31"/>
  <c r="Q160" i="31"/>
  <c r="Q159" i="31"/>
  <c r="Q158" i="31"/>
  <c r="P158" i="31"/>
  <c r="O158" i="31"/>
  <c r="Q157" i="31"/>
  <c r="P157" i="31"/>
  <c r="O157" i="31"/>
  <c r="Q154" i="31"/>
  <c r="Q153" i="31"/>
  <c r="Q151" i="31"/>
  <c r="P151" i="31"/>
  <c r="O151" i="31"/>
  <c r="Q149" i="31"/>
  <c r="P149" i="31"/>
  <c r="O149" i="31"/>
  <c r="Q148" i="31"/>
  <c r="P148" i="31"/>
  <c r="O148" i="31"/>
  <c r="Q147" i="31"/>
  <c r="P147" i="31"/>
  <c r="Q146" i="31"/>
  <c r="P146" i="31"/>
  <c r="O146" i="31"/>
  <c r="Q145" i="31"/>
  <c r="P145" i="31"/>
  <c r="O145" i="31"/>
  <c r="Q144" i="31"/>
  <c r="P144" i="31"/>
  <c r="O144" i="31"/>
  <c r="Q143" i="31"/>
  <c r="Q142" i="31"/>
  <c r="Q141" i="31"/>
  <c r="Q140" i="31"/>
  <c r="Q139" i="31"/>
  <c r="Q138" i="31"/>
  <c r="Q137" i="31"/>
  <c r="P137" i="31"/>
  <c r="O137" i="31"/>
  <c r="Q136" i="31"/>
  <c r="P136" i="31"/>
  <c r="O136" i="31"/>
  <c r="Q135" i="31"/>
  <c r="P135" i="31"/>
  <c r="O135" i="31"/>
  <c r="Q134" i="31"/>
  <c r="P134" i="31"/>
  <c r="O134" i="31"/>
  <c r="Q132" i="31"/>
  <c r="P132" i="31"/>
  <c r="O132" i="31"/>
  <c r="Q131" i="31"/>
  <c r="P131" i="31"/>
  <c r="O131" i="31"/>
  <c r="Q129" i="31"/>
  <c r="P129" i="31"/>
  <c r="O129" i="31"/>
  <c r="Q128" i="31"/>
  <c r="P128" i="31"/>
  <c r="O128" i="31"/>
  <c r="Q126" i="31"/>
  <c r="P126" i="31"/>
  <c r="O126" i="31"/>
  <c r="Q124" i="31"/>
  <c r="P124" i="31"/>
  <c r="O124" i="31"/>
  <c r="V123" i="31"/>
  <c r="V146" i="31" s="1"/>
  <c r="V168" i="31" s="1"/>
  <c r="Q123" i="31"/>
  <c r="P123" i="31"/>
  <c r="O123" i="31"/>
  <c r="Q122" i="31"/>
  <c r="P122" i="31"/>
  <c r="O122" i="31"/>
  <c r="Q121" i="31"/>
  <c r="P121" i="31"/>
  <c r="Q120" i="31"/>
  <c r="Q119" i="31"/>
  <c r="Q118" i="31"/>
  <c r="Q117" i="31"/>
  <c r="Q116" i="31"/>
  <c r="Q115" i="31"/>
  <c r="Q114" i="31"/>
  <c r="P114" i="31"/>
  <c r="O114" i="31"/>
  <c r="Q113" i="31"/>
  <c r="P113" i="31"/>
  <c r="Q112" i="31"/>
  <c r="P112" i="31"/>
  <c r="O112" i="31"/>
  <c r="Q110" i="31"/>
  <c r="P110" i="31"/>
  <c r="O110" i="31"/>
  <c r="Q108" i="31"/>
  <c r="P108" i="31"/>
  <c r="O108" i="31"/>
  <c r="Q107" i="31"/>
  <c r="P107" i="31"/>
  <c r="O107" i="31"/>
  <c r="Q106" i="31"/>
  <c r="Q104" i="31"/>
  <c r="P104" i="31"/>
  <c r="O104" i="31"/>
  <c r="Q103" i="31"/>
  <c r="P103" i="31"/>
  <c r="O103" i="31"/>
  <c r="Q101" i="31"/>
  <c r="P101" i="31"/>
  <c r="O101" i="31"/>
  <c r="Q100" i="31"/>
  <c r="P100" i="31"/>
  <c r="O100" i="31"/>
  <c r="V99" i="31"/>
  <c r="Q99" i="31"/>
  <c r="P99" i="31"/>
  <c r="O99" i="31"/>
  <c r="Q98" i="31"/>
  <c r="P98" i="31"/>
  <c r="O98" i="31"/>
  <c r="S97" i="31"/>
  <c r="Q97" i="31"/>
  <c r="P97" i="31"/>
  <c r="O97" i="31"/>
  <c r="Q96" i="31"/>
  <c r="Q95" i="31"/>
  <c r="Q94" i="31"/>
  <c r="Q93" i="31"/>
  <c r="Q92" i="31"/>
  <c r="Q91" i="31"/>
  <c r="Q90" i="31"/>
  <c r="P90" i="31"/>
  <c r="O90" i="31"/>
  <c r="Q89" i="31"/>
  <c r="P89" i="31"/>
  <c r="Q88" i="31"/>
  <c r="P88" i="31"/>
  <c r="Q87" i="31"/>
  <c r="P87" i="31"/>
  <c r="O87" i="31"/>
  <c r="Q85" i="31"/>
  <c r="P85" i="31"/>
  <c r="O85" i="31"/>
  <c r="Q83" i="31"/>
  <c r="P83" i="31"/>
  <c r="O83" i="31"/>
  <c r="Q82" i="31"/>
  <c r="Q81" i="31"/>
  <c r="P81" i="31"/>
  <c r="O81" i="31"/>
  <c r="Q79" i="31"/>
  <c r="P79" i="31"/>
  <c r="O79" i="31"/>
  <c r="Q78" i="31"/>
  <c r="P78" i="31"/>
  <c r="O78" i="31"/>
  <c r="Q77" i="31"/>
  <c r="P77" i="31"/>
  <c r="O77" i="31"/>
  <c r="Q76" i="31"/>
  <c r="P76" i="31"/>
  <c r="O76" i="31"/>
  <c r="Q75" i="31"/>
  <c r="P75" i="31"/>
  <c r="O75" i="31"/>
  <c r="R74" i="31"/>
  <c r="Q74" i="31"/>
  <c r="P74" i="31"/>
  <c r="O74" i="31"/>
  <c r="Q73" i="31"/>
  <c r="Q72" i="31"/>
  <c r="Q71" i="31"/>
  <c r="Q70" i="31"/>
  <c r="Q69" i="31"/>
  <c r="Q68" i="31"/>
  <c r="Q67" i="31"/>
  <c r="P67" i="31"/>
  <c r="O67" i="31"/>
  <c r="Q66" i="31"/>
  <c r="P66" i="31"/>
  <c r="O66" i="31"/>
  <c r="Q64" i="31"/>
  <c r="P64" i="31"/>
  <c r="O64" i="31"/>
  <c r="Q63" i="31"/>
  <c r="P63" i="31"/>
  <c r="O63" i="31"/>
  <c r="Q61" i="31"/>
  <c r="P61" i="31"/>
  <c r="O61" i="31"/>
  <c r="Q60" i="31"/>
  <c r="P60" i="31"/>
  <c r="O60" i="31"/>
  <c r="Q59" i="31"/>
  <c r="Q58" i="31"/>
  <c r="P58" i="31"/>
  <c r="O58" i="31"/>
  <c r="Q57" i="31"/>
  <c r="P57" i="31"/>
  <c r="O57" i="31"/>
  <c r="Q55" i="31"/>
  <c r="P55" i="31"/>
  <c r="O55" i="31"/>
  <c r="Q53" i="31"/>
  <c r="P53" i="31"/>
  <c r="P375" i="31" s="1"/>
  <c r="Q52" i="31"/>
  <c r="P52" i="31"/>
  <c r="O52" i="31"/>
  <c r="Q51" i="31"/>
  <c r="P51" i="31"/>
  <c r="Q50" i="31"/>
  <c r="P50" i="31"/>
  <c r="O50" i="31"/>
  <c r="Q49" i="31"/>
  <c r="Q48" i="31"/>
  <c r="Q47" i="31"/>
  <c r="Q46" i="31"/>
  <c r="Q45" i="31"/>
  <c r="Q44" i="31"/>
  <c r="Q42" i="31"/>
  <c r="P42" i="31"/>
  <c r="O42" i="31"/>
  <c r="Q41" i="31"/>
  <c r="P41" i="31"/>
  <c r="O41" i="31"/>
  <c r="O396" i="31" s="1"/>
  <c r="Q40" i="31"/>
  <c r="P40" i="31"/>
  <c r="O40" i="31"/>
  <c r="Q39" i="31"/>
  <c r="P39" i="31"/>
  <c r="O39" i="31"/>
  <c r="O398" i="31" s="1"/>
  <c r="Q37" i="31"/>
  <c r="P37" i="31"/>
  <c r="O37" i="31"/>
  <c r="Q36" i="31"/>
  <c r="P36" i="31"/>
  <c r="O36" i="31"/>
  <c r="Q35" i="31"/>
  <c r="H34" i="31"/>
  <c r="H385" i="31" s="1"/>
  <c r="Q33" i="31"/>
  <c r="P33" i="31"/>
  <c r="O33" i="31"/>
  <c r="Q32" i="31"/>
  <c r="P32" i="31"/>
  <c r="O32" i="31"/>
  <c r="Q31" i="31"/>
  <c r="P31" i="31"/>
  <c r="O31" i="31"/>
  <c r="Q30" i="31"/>
  <c r="P30" i="31"/>
  <c r="O30" i="31"/>
  <c r="Q29" i="31"/>
  <c r="P29" i="31"/>
  <c r="O29" i="31"/>
  <c r="H29" i="31"/>
  <c r="Q28" i="31"/>
  <c r="P28" i="31"/>
  <c r="O28" i="31"/>
  <c r="Q27" i="31"/>
  <c r="P27" i="31"/>
  <c r="O27" i="31"/>
  <c r="V27" i="31" s="1"/>
  <c r="V50" i="31" s="1"/>
  <c r="Q26" i="31"/>
  <c r="Q25" i="31"/>
  <c r="Q24" i="31"/>
  <c r="Q23" i="31"/>
  <c r="Q22" i="31"/>
  <c r="Q21" i="31"/>
  <c r="Q20" i="31"/>
  <c r="P20" i="31"/>
  <c r="P400" i="31" s="1"/>
  <c r="O20" i="31"/>
  <c r="Q19" i="31"/>
  <c r="P19" i="31"/>
  <c r="Q18" i="31"/>
  <c r="P18" i="31"/>
  <c r="O18" i="31"/>
  <c r="Q17" i="31"/>
  <c r="P17" i="31"/>
  <c r="P398" i="31" s="1"/>
  <c r="Q15" i="31"/>
  <c r="P15" i="31"/>
  <c r="O15" i="31"/>
  <c r="Q13" i="31"/>
  <c r="P13" i="31"/>
  <c r="O13" i="31"/>
  <c r="O390" i="31" s="1"/>
  <c r="Q12" i="31"/>
  <c r="Q11" i="31"/>
  <c r="P11" i="31"/>
  <c r="O11" i="31"/>
  <c r="Q9" i="31"/>
  <c r="P9" i="31"/>
  <c r="P379" i="31" s="1"/>
  <c r="O9" i="31"/>
  <c r="Q8" i="31"/>
  <c r="P8" i="31"/>
  <c r="P377" i="31" s="1"/>
  <c r="O8" i="31"/>
  <c r="Q7" i="31"/>
  <c r="P7" i="31"/>
  <c r="O7" i="31"/>
  <c r="Q6" i="31"/>
  <c r="P6" i="31"/>
  <c r="P374" i="31" s="1"/>
  <c r="O6" i="31"/>
  <c r="O374" i="31" s="1"/>
  <c r="Q5" i="31"/>
  <c r="P5" i="31"/>
  <c r="P373" i="31" s="1"/>
  <c r="O5" i="31"/>
  <c r="V4" i="31"/>
  <c r="S4" i="31"/>
  <c r="R4" i="31"/>
  <c r="Q4" i="31"/>
  <c r="P4" i="31"/>
  <c r="P372" i="31" s="1"/>
  <c r="O4" i="31"/>
  <c r="CX293" i="30"/>
  <c r="CW293" i="30"/>
  <c r="R351" i="31" s="1"/>
  <c r="CV293" i="30"/>
  <c r="CU293" i="30"/>
  <c r="S329" i="31" s="1"/>
  <c r="CT293" i="30"/>
  <c r="R329" i="31" s="1"/>
  <c r="CS293" i="30"/>
  <c r="CR293" i="30"/>
  <c r="CQ293" i="30"/>
  <c r="CP293" i="30"/>
  <c r="CO293" i="30"/>
  <c r="CN293" i="30"/>
  <c r="CM293" i="30"/>
  <c r="CL293" i="30"/>
  <c r="CK293" i="30"/>
  <c r="CJ293" i="30"/>
  <c r="CI293" i="30"/>
  <c r="CH293" i="30"/>
  <c r="R236" i="31" s="1"/>
  <c r="CG293" i="30"/>
  <c r="CF293" i="30"/>
  <c r="CE293" i="30"/>
  <c r="CD293" i="30"/>
  <c r="CC293" i="30"/>
  <c r="CB293" i="30"/>
  <c r="CA293" i="30"/>
  <c r="BZ293" i="30"/>
  <c r="BY293" i="30"/>
  <c r="BX293" i="30"/>
  <c r="BW293" i="30"/>
  <c r="BV293" i="30"/>
  <c r="BU293" i="30"/>
  <c r="BT293" i="30"/>
  <c r="BS293" i="30"/>
  <c r="BR293" i="30"/>
  <c r="BQ293" i="30"/>
  <c r="BP293" i="30"/>
  <c r="BO293" i="30"/>
  <c r="BN293" i="30"/>
  <c r="BM293" i="30"/>
  <c r="BL293" i="30"/>
  <c r="BK293" i="30"/>
  <c r="BJ293" i="30"/>
  <c r="BI293" i="30"/>
  <c r="BH293" i="30"/>
  <c r="BG293" i="30"/>
  <c r="BF293" i="30"/>
  <c r="BE293" i="30"/>
  <c r="BD293" i="30"/>
  <c r="BC293" i="30"/>
  <c r="BB293" i="30"/>
  <c r="BA293" i="30"/>
  <c r="AZ293" i="30"/>
  <c r="AY293" i="30"/>
  <c r="S190" i="31" s="1"/>
  <c r="AX293" i="30"/>
  <c r="AW293" i="30"/>
  <c r="AV293" i="30"/>
  <c r="AU293" i="30"/>
  <c r="AT293" i="30"/>
  <c r="AQ293" i="30"/>
  <c r="AP293" i="30"/>
  <c r="AO293" i="30"/>
  <c r="AN293" i="30"/>
  <c r="AK293" i="30"/>
  <c r="AJ293" i="30"/>
  <c r="AI293" i="30"/>
  <c r="R97" i="31" s="1"/>
  <c r="AH293" i="30"/>
  <c r="AG293" i="30"/>
  <c r="S74" i="31" s="1"/>
  <c r="AF293" i="30"/>
  <c r="AE293" i="30"/>
  <c r="AD293" i="30"/>
  <c r="S50" i="31" s="1"/>
  <c r="AB293" i="30"/>
  <c r="AA293" i="30"/>
  <c r="S27" i="31" s="1"/>
  <c r="S372" i="31" s="1"/>
  <c r="S408" i="31" s="1"/>
  <c r="Z293" i="30"/>
  <c r="R27" i="31" s="1"/>
  <c r="Y293" i="30"/>
  <c r="X293" i="30"/>
  <c r="W293" i="30"/>
  <c r="V293" i="30"/>
  <c r="AY280" i="30"/>
  <c r="AS280" i="30"/>
  <c r="AS293" i="30" s="1"/>
  <c r="S144" i="31" s="1"/>
  <c r="AR280" i="30"/>
  <c r="AD276" i="30"/>
  <c r="AC276" i="30"/>
  <c r="O53" i="31" s="1"/>
  <c r="AS273" i="30"/>
  <c r="AR273" i="30"/>
  <c r="AM273" i="30"/>
  <c r="AL273" i="30"/>
  <c r="AX272" i="30"/>
  <c r="AM272" i="30"/>
  <c r="AM293" i="30" s="1"/>
  <c r="S121" i="31" s="1"/>
  <c r="AL272" i="30"/>
  <c r="Z272" i="30"/>
  <c r="CW267" i="30"/>
  <c r="CT267" i="30"/>
  <c r="CQ267" i="30"/>
  <c r="CN267" i="30"/>
  <c r="CK267" i="30"/>
  <c r="CH267" i="30"/>
  <c r="CF267" i="30"/>
  <c r="CE267" i="30"/>
  <c r="CD267" i="30"/>
  <c r="CC267" i="30"/>
  <c r="CB267" i="30"/>
  <c r="CA267" i="30"/>
  <c r="BZ267" i="30"/>
  <c r="BY267" i="30"/>
  <c r="BX267" i="30"/>
  <c r="BW267" i="30"/>
  <c r="BV267" i="30"/>
  <c r="BU267" i="30"/>
  <c r="BT267" i="30"/>
  <c r="BS267" i="30"/>
  <c r="BR267" i="30"/>
  <c r="BQ267" i="30"/>
  <c r="BP267" i="30"/>
  <c r="BO267" i="30"/>
  <c r="BN267" i="30"/>
  <c r="BM267" i="30"/>
  <c r="BL267" i="30"/>
  <c r="BK267" i="30"/>
  <c r="BJ267" i="30"/>
  <c r="BI267" i="30"/>
  <c r="BH267" i="30"/>
  <c r="BG267" i="30"/>
  <c r="BF267" i="30"/>
  <c r="BE267" i="30"/>
  <c r="BD267" i="30"/>
  <c r="BC267" i="30"/>
  <c r="BA267" i="30"/>
  <c r="AY267" i="30"/>
  <c r="AX267" i="30"/>
  <c r="AU267" i="30"/>
  <c r="AR267" i="30"/>
  <c r="AP267" i="30"/>
  <c r="AO267" i="30"/>
  <c r="AN267" i="30"/>
  <c r="AL267" i="30"/>
  <c r="AF267" i="30"/>
  <c r="AC267" i="30"/>
  <c r="AA267" i="30"/>
  <c r="Z267" i="30"/>
  <c r="D267" i="30"/>
  <c r="C267" i="30"/>
  <c r="CX266" i="30"/>
  <c r="CU266" i="30"/>
  <c r="CR266" i="30"/>
  <c r="CO266" i="30"/>
  <c r="CL266" i="30"/>
  <c r="CI266" i="30"/>
  <c r="BB266" i="30"/>
  <c r="AY266" i="30"/>
  <c r="AV266" i="30"/>
  <c r="AS266" i="30"/>
  <c r="AM266" i="30"/>
  <c r="AJ266" i="30"/>
  <c r="AG266" i="30"/>
  <c r="AD266" i="30"/>
  <c r="AA266" i="30"/>
  <c r="X266" i="30"/>
  <c r="CX265" i="30"/>
  <c r="CU265" i="30"/>
  <c r="CR265" i="30"/>
  <c r="CO265" i="30"/>
  <c r="CL265" i="30"/>
  <c r="CI265" i="30"/>
  <c r="BB265" i="30"/>
  <c r="AY265" i="30"/>
  <c r="AV265" i="30"/>
  <c r="AS265" i="30"/>
  <c r="AM265" i="30"/>
  <c r="AJ265" i="30"/>
  <c r="AG265" i="30"/>
  <c r="AD265" i="30"/>
  <c r="AA265" i="30"/>
  <c r="X265" i="30"/>
  <c r="CX264" i="30"/>
  <c r="CU264" i="30"/>
  <c r="CR264" i="30"/>
  <c r="CO264" i="30"/>
  <c r="CL264" i="30"/>
  <c r="CI264" i="30"/>
  <c r="BB264" i="30"/>
  <c r="AY264" i="30"/>
  <c r="AV264" i="30"/>
  <c r="AS264" i="30"/>
  <c r="AM264" i="30"/>
  <c r="AJ264" i="30"/>
  <c r="AG264" i="30"/>
  <c r="AD264" i="30"/>
  <c r="AA264" i="30"/>
  <c r="X264" i="30"/>
  <c r="CX263" i="30"/>
  <c r="CU263" i="30"/>
  <c r="CR263" i="30"/>
  <c r="CO263" i="30"/>
  <c r="CL263" i="30"/>
  <c r="CI263" i="30"/>
  <c r="BB263" i="30"/>
  <c r="AY263" i="30"/>
  <c r="AV263" i="30"/>
  <c r="AS263" i="30"/>
  <c r="AM263" i="30"/>
  <c r="AJ263" i="30"/>
  <c r="AG263" i="30"/>
  <c r="AD263" i="30"/>
  <c r="AA263" i="30"/>
  <c r="X263" i="30"/>
  <c r="CX262" i="30"/>
  <c r="CU262" i="30"/>
  <c r="CR262" i="30"/>
  <c r="CO262" i="30"/>
  <c r="CL262" i="30"/>
  <c r="CI262" i="30"/>
  <c r="BB262" i="30"/>
  <c r="AY262" i="30"/>
  <c r="AV262" i="30"/>
  <c r="AS262" i="30"/>
  <c r="AM262" i="30"/>
  <c r="AJ262" i="30"/>
  <c r="AG262" i="30"/>
  <c r="AD262" i="30"/>
  <c r="AA262" i="30"/>
  <c r="X262" i="30"/>
  <c r="CX261" i="30"/>
  <c r="CU261" i="30"/>
  <c r="CR261" i="30"/>
  <c r="CO261" i="30"/>
  <c r="CL261" i="30"/>
  <c r="CI261" i="30"/>
  <c r="BB261" i="30"/>
  <c r="AY261" i="30"/>
  <c r="AV261" i="30"/>
  <c r="AS261" i="30"/>
  <c r="AM261" i="30"/>
  <c r="AJ261" i="30"/>
  <c r="AG261" i="30"/>
  <c r="AD261" i="30"/>
  <c r="AA261" i="30"/>
  <c r="X261" i="30"/>
  <c r="CX260" i="30"/>
  <c r="CU260" i="30"/>
  <c r="CR260" i="30"/>
  <c r="CO260" i="30"/>
  <c r="CL260" i="30"/>
  <c r="CI260" i="30"/>
  <c r="BB260" i="30"/>
  <c r="AY260" i="30"/>
  <c r="AV260" i="30"/>
  <c r="AS260" i="30"/>
  <c r="AM260" i="30"/>
  <c r="AJ260" i="30"/>
  <c r="AG260" i="30"/>
  <c r="AD260" i="30"/>
  <c r="AA260" i="30"/>
  <c r="X260" i="30"/>
  <c r="CX259" i="30"/>
  <c r="CU259" i="30"/>
  <c r="CR259" i="30"/>
  <c r="CO259" i="30"/>
  <c r="CL259" i="30"/>
  <c r="CI259" i="30"/>
  <c r="BB259" i="30"/>
  <c r="AY259" i="30"/>
  <c r="AV259" i="30"/>
  <c r="AS259" i="30"/>
  <c r="AM259" i="30"/>
  <c r="AJ259" i="30"/>
  <c r="AG259" i="30"/>
  <c r="AD259" i="30"/>
  <c r="AA259" i="30"/>
  <c r="X259" i="30"/>
  <c r="CX258" i="30"/>
  <c r="CU258" i="30"/>
  <c r="CR258" i="30"/>
  <c r="CO258" i="30"/>
  <c r="CL258" i="30"/>
  <c r="CI258" i="30"/>
  <c r="BB258" i="30"/>
  <c r="AY258" i="30"/>
  <c r="AV258" i="30"/>
  <c r="AS258" i="30"/>
  <c r="AM258" i="30"/>
  <c r="AJ258" i="30"/>
  <c r="AG258" i="30"/>
  <c r="AD258" i="30"/>
  <c r="AA258" i="30"/>
  <c r="X258" i="30"/>
  <c r="CX257" i="30"/>
  <c r="CU257" i="30"/>
  <c r="CR257" i="30"/>
  <c r="CO257" i="30"/>
  <c r="CL257" i="30"/>
  <c r="CI257" i="30"/>
  <c r="BB257" i="30"/>
  <c r="AY257" i="30"/>
  <c r="AV257" i="30"/>
  <c r="AS257" i="30"/>
  <c r="AM257" i="30"/>
  <c r="AJ257" i="30"/>
  <c r="AG257" i="30"/>
  <c r="AD257" i="30"/>
  <c r="AA257" i="30"/>
  <c r="X257" i="30"/>
  <c r="CX256" i="30"/>
  <c r="CU256" i="30"/>
  <c r="CR256" i="30"/>
  <c r="CO256" i="30"/>
  <c r="CL256" i="30"/>
  <c r="CI256" i="30"/>
  <c r="BB256" i="30"/>
  <c r="AY256" i="30"/>
  <c r="AV256" i="30"/>
  <c r="AS256" i="30"/>
  <c r="AM256" i="30"/>
  <c r="AJ256" i="30"/>
  <c r="AG256" i="30"/>
  <c r="AD256" i="30"/>
  <c r="AA256" i="30"/>
  <c r="X256" i="30"/>
  <c r="CX255" i="30"/>
  <c r="CU255" i="30"/>
  <c r="CR255" i="30"/>
  <c r="CO255" i="30"/>
  <c r="CL255" i="30"/>
  <c r="CI255" i="30"/>
  <c r="BB255" i="30"/>
  <c r="AY255" i="30"/>
  <c r="AV255" i="30"/>
  <c r="AS255" i="30"/>
  <c r="AM255" i="30"/>
  <c r="AJ255" i="30"/>
  <c r="AG255" i="30"/>
  <c r="AD255" i="30"/>
  <c r="AA255" i="30"/>
  <c r="X255" i="30"/>
  <c r="CX254" i="30"/>
  <c r="CU254" i="30"/>
  <c r="CR254" i="30"/>
  <c r="CO254" i="30"/>
  <c r="CL254" i="30"/>
  <c r="CI254" i="30"/>
  <c r="BB254" i="30"/>
  <c r="AY254" i="30"/>
  <c r="AV254" i="30"/>
  <c r="AS254" i="30"/>
  <c r="AM254" i="30"/>
  <c r="AJ254" i="30"/>
  <c r="AG254" i="30"/>
  <c r="AD254" i="30"/>
  <c r="AA254" i="30"/>
  <c r="X254" i="30"/>
  <c r="CX253" i="30"/>
  <c r="CU253" i="30"/>
  <c r="CR253" i="30"/>
  <c r="CO253" i="30"/>
  <c r="CL253" i="30"/>
  <c r="CI253" i="30"/>
  <c r="BB253" i="30"/>
  <c r="AY253" i="30"/>
  <c r="AV253" i="30"/>
  <c r="AS253" i="30"/>
  <c r="AM253" i="30"/>
  <c r="AJ253" i="30"/>
  <c r="AG253" i="30"/>
  <c r="AD253" i="30"/>
  <c r="AA253" i="30"/>
  <c r="X253" i="30"/>
  <c r="CX252" i="30"/>
  <c r="CU252" i="30"/>
  <c r="CR252" i="30"/>
  <c r="CO252" i="30"/>
  <c r="CL252" i="30"/>
  <c r="CI252" i="30"/>
  <c r="BB252" i="30"/>
  <c r="AY252" i="30"/>
  <c r="AV252" i="30"/>
  <c r="AS252" i="30"/>
  <c r="AM252" i="30"/>
  <c r="AJ252" i="30"/>
  <c r="AG252" i="30"/>
  <c r="AD252" i="30"/>
  <c r="AA252" i="30"/>
  <c r="X252" i="30"/>
  <c r="CX251" i="30"/>
  <c r="CU251" i="30"/>
  <c r="CR251" i="30"/>
  <c r="CO251" i="30"/>
  <c r="CL251" i="30"/>
  <c r="CI251" i="30"/>
  <c r="BB251" i="30"/>
  <c r="AY251" i="30"/>
  <c r="AV251" i="30"/>
  <c r="AS251" i="30"/>
  <c r="AM251" i="30"/>
  <c r="AJ251" i="30"/>
  <c r="AG251" i="30"/>
  <c r="AD251" i="30"/>
  <c r="AA251" i="30"/>
  <c r="X251" i="30"/>
  <c r="CX250" i="30"/>
  <c r="CU250" i="30"/>
  <c r="CR250" i="30"/>
  <c r="CO250" i="30"/>
  <c r="CL250" i="30"/>
  <c r="CI250" i="30"/>
  <c r="BB250" i="30"/>
  <c r="AY250" i="30"/>
  <c r="AV250" i="30"/>
  <c r="AS250" i="30"/>
  <c r="AM250" i="30"/>
  <c r="AJ250" i="30"/>
  <c r="AG250" i="30"/>
  <c r="AD250" i="30"/>
  <c r="AA250" i="30"/>
  <c r="X250" i="30"/>
  <c r="CX249" i="30"/>
  <c r="CU249" i="30"/>
  <c r="CR249" i="30"/>
  <c r="CO249" i="30"/>
  <c r="CL249" i="30"/>
  <c r="CI249" i="30"/>
  <c r="BB249" i="30"/>
  <c r="AY249" i="30"/>
  <c r="AV249" i="30"/>
  <c r="AS249" i="30"/>
  <c r="AM249" i="30"/>
  <c r="AJ249" i="30"/>
  <c r="AG249" i="30"/>
  <c r="AD249" i="30"/>
  <c r="AA249" i="30"/>
  <c r="X249" i="30"/>
  <c r="CX248" i="30"/>
  <c r="CU248" i="30"/>
  <c r="CR248" i="30"/>
  <c r="CO248" i="30"/>
  <c r="CL248" i="30"/>
  <c r="CI248" i="30"/>
  <c r="BB248" i="30"/>
  <c r="AY248" i="30"/>
  <c r="AV248" i="30"/>
  <c r="AS248" i="30"/>
  <c r="AM248" i="30"/>
  <c r="AJ248" i="30"/>
  <c r="AG248" i="30"/>
  <c r="AD248" i="30"/>
  <c r="AA248" i="30"/>
  <c r="X248" i="30"/>
  <c r="CX247" i="30"/>
  <c r="CU247" i="30"/>
  <c r="CR247" i="30"/>
  <c r="CO247" i="30"/>
  <c r="CL247" i="30"/>
  <c r="CI247" i="30"/>
  <c r="BB247" i="30"/>
  <c r="AY247" i="30"/>
  <c r="AV247" i="30"/>
  <c r="AS247" i="30"/>
  <c r="AM247" i="30"/>
  <c r="AJ247" i="30"/>
  <c r="AG247" i="30"/>
  <c r="AD247" i="30"/>
  <c r="AA247" i="30"/>
  <c r="X247" i="30"/>
  <c r="CX246" i="30"/>
  <c r="CU246" i="30"/>
  <c r="CR246" i="30"/>
  <c r="CO246" i="30"/>
  <c r="CL246" i="30"/>
  <c r="CI246" i="30"/>
  <c r="BB246" i="30"/>
  <c r="AY246" i="30"/>
  <c r="AV246" i="30"/>
  <c r="AS246" i="30"/>
  <c r="AM246" i="30"/>
  <c r="AJ246" i="30"/>
  <c r="AG246" i="30"/>
  <c r="AD246" i="30"/>
  <c r="AA246" i="30"/>
  <c r="X246" i="30"/>
  <c r="CX245" i="30"/>
  <c r="CU245" i="30"/>
  <c r="CR245" i="30"/>
  <c r="CO245" i="30"/>
  <c r="CL245" i="30"/>
  <c r="CI245" i="30"/>
  <c r="BB245" i="30"/>
  <c r="AY245" i="30"/>
  <c r="AV245" i="30"/>
  <c r="AS245" i="30"/>
  <c r="AM245" i="30"/>
  <c r="AJ245" i="30"/>
  <c r="AG245" i="30"/>
  <c r="AD245" i="30"/>
  <c r="AA245" i="30"/>
  <c r="X245" i="30"/>
  <c r="CX244" i="30"/>
  <c r="CU244" i="30"/>
  <c r="CR244" i="30"/>
  <c r="CO244" i="30"/>
  <c r="CL244" i="30"/>
  <c r="CI244" i="30"/>
  <c r="BB244" i="30"/>
  <c r="AY244" i="30"/>
  <c r="AV244" i="30"/>
  <c r="AS244" i="30"/>
  <c r="AM244" i="30"/>
  <c r="AJ244" i="30"/>
  <c r="AG244" i="30"/>
  <c r="AD244" i="30"/>
  <c r="AA244" i="30"/>
  <c r="X244" i="30"/>
  <c r="CX243" i="30"/>
  <c r="CU243" i="30"/>
  <c r="CR243" i="30"/>
  <c r="CO243" i="30"/>
  <c r="CL243" i="30"/>
  <c r="CI243" i="30"/>
  <c r="BB243" i="30"/>
  <c r="AY243" i="30"/>
  <c r="AV243" i="30"/>
  <c r="AS243" i="30"/>
  <c r="AM243" i="30"/>
  <c r="AJ243" i="30"/>
  <c r="AG243" i="30"/>
  <c r="AD243" i="30"/>
  <c r="AA243" i="30"/>
  <c r="X243" i="30"/>
  <c r="CX242" i="30"/>
  <c r="CU242" i="30"/>
  <c r="CR242" i="30"/>
  <c r="CO242" i="30"/>
  <c r="CL242" i="30"/>
  <c r="CI242" i="30"/>
  <c r="BB242" i="30"/>
  <c r="AY242" i="30"/>
  <c r="AV242" i="30"/>
  <c r="AS242" i="30"/>
  <c r="AM242" i="30"/>
  <c r="AJ242" i="30"/>
  <c r="AG242" i="30"/>
  <c r="AD242" i="30"/>
  <c r="AA242" i="30"/>
  <c r="X242" i="30"/>
  <c r="CX241" i="30"/>
  <c r="CU241" i="30"/>
  <c r="CR241" i="30"/>
  <c r="CO241" i="30"/>
  <c r="CL241" i="30"/>
  <c r="CI241" i="30"/>
  <c r="BB241" i="30"/>
  <c r="AY241" i="30"/>
  <c r="AV241" i="30"/>
  <c r="AS241" i="30"/>
  <c r="AM241" i="30"/>
  <c r="AJ241" i="30"/>
  <c r="AG241" i="30"/>
  <c r="AD241" i="30"/>
  <c r="AA241" i="30"/>
  <c r="X241" i="30"/>
  <c r="CX240" i="30"/>
  <c r="CU240" i="30"/>
  <c r="CR240" i="30"/>
  <c r="CO240" i="30"/>
  <c r="CL240" i="30"/>
  <c r="CI240" i="30"/>
  <c r="BB240" i="30"/>
  <c r="AY240" i="30"/>
  <c r="AV240" i="30"/>
  <c r="AS240" i="30"/>
  <c r="AM240" i="30"/>
  <c r="AJ240" i="30"/>
  <c r="AG240" i="30"/>
  <c r="AD240" i="30"/>
  <c r="AA240" i="30"/>
  <c r="X240" i="30"/>
  <c r="CX239" i="30"/>
  <c r="CU239" i="30"/>
  <c r="CR239" i="30"/>
  <c r="CO239" i="30"/>
  <c r="CL239" i="30"/>
  <c r="CI239" i="30"/>
  <c r="BB239" i="30"/>
  <c r="AY239" i="30"/>
  <c r="AV239" i="30"/>
  <c r="AS239" i="30"/>
  <c r="AM239" i="30"/>
  <c r="AJ239" i="30"/>
  <c r="AG239" i="30"/>
  <c r="AD239" i="30"/>
  <c r="AA239" i="30"/>
  <c r="X239" i="30"/>
  <c r="CX238" i="30"/>
  <c r="CU238" i="30"/>
  <c r="CR238" i="30"/>
  <c r="CO238" i="30"/>
  <c r="CL238" i="30"/>
  <c r="CI238" i="30"/>
  <c r="BB238" i="30"/>
  <c r="AY238" i="30"/>
  <c r="AV238" i="30"/>
  <c r="AS238" i="30"/>
  <c r="AM238" i="30"/>
  <c r="AJ238" i="30"/>
  <c r="AG238" i="30"/>
  <c r="AD238" i="30"/>
  <c r="AA238" i="30"/>
  <c r="X238" i="30"/>
  <c r="CX237" i="30"/>
  <c r="CU237" i="30"/>
  <c r="CR237" i="30"/>
  <c r="CO237" i="30"/>
  <c r="CL237" i="30"/>
  <c r="CI237" i="30"/>
  <c r="BB237" i="30"/>
  <c r="AY237" i="30"/>
  <c r="AV237" i="30"/>
  <c r="AS237" i="30"/>
  <c r="AM237" i="30"/>
  <c r="AJ237" i="30"/>
  <c r="AG237" i="30"/>
  <c r="AD237" i="30"/>
  <c r="AA237" i="30"/>
  <c r="X237" i="30"/>
  <c r="CX236" i="30"/>
  <c r="CU236" i="30"/>
  <c r="CR236" i="30"/>
  <c r="CO236" i="30"/>
  <c r="CL236" i="30"/>
  <c r="CI236" i="30"/>
  <c r="BB236" i="30"/>
  <c r="AY236" i="30"/>
  <c r="AV236" i="30"/>
  <c r="AS236" i="30"/>
  <c r="AM236" i="30"/>
  <c r="AJ236" i="30"/>
  <c r="AG236" i="30"/>
  <c r="AD236" i="30"/>
  <c r="AA236" i="30"/>
  <c r="X236" i="30"/>
  <c r="CX235" i="30"/>
  <c r="CU235" i="30"/>
  <c r="CR235" i="30"/>
  <c r="CO235" i="30"/>
  <c r="CL235" i="30"/>
  <c r="CI235" i="30"/>
  <c r="BB235" i="30"/>
  <c r="AY235" i="30"/>
  <c r="AV235" i="30"/>
  <c r="AS235" i="30"/>
  <c r="AM235" i="30"/>
  <c r="AJ235" i="30"/>
  <c r="AG235" i="30"/>
  <c r="AD235" i="30"/>
  <c r="AA235" i="30"/>
  <c r="X235" i="30"/>
  <c r="CX234" i="30"/>
  <c r="CU234" i="30"/>
  <c r="CR234" i="30"/>
  <c r="CO234" i="30"/>
  <c r="CL234" i="30"/>
  <c r="CI234" i="30"/>
  <c r="BB234" i="30"/>
  <c r="AY234" i="30"/>
  <c r="AV234" i="30"/>
  <c r="AS234" i="30"/>
  <c r="AM234" i="30"/>
  <c r="AJ234" i="30"/>
  <c r="AG234" i="30"/>
  <c r="AD234" i="30"/>
  <c r="AA234" i="30"/>
  <c r="X234" i="30"/>
  <c r="CX233" i="30"/>
  <c r="CU233" i="30"/>
  <c r="CR233" i="30"/>
  <c r="CO233" i="30"/>
  <c r="CL233" i="30"/>
  <c r="CI233" i="30"/>
  <c r="BB233" i="30"/>
  <c r="AY233" i="30"/>
  <c r="AV233" i="30"/>
  <c r="AS233" i="30"/>
  <c r="AM233" i="30"/>
  <c r="AJ233" i="30"/>
  <c r="AG233" i="30"/>
  <c r="AD233" i="30"/>
  <c r="AA233" i="30"/>
  <c r="X233" i="30"/>
  <c r="CX232" i="30"/>
  <c r="CU232" i="30"/>
  <c r="CR232" i="30"/>
  <c r="CO232" i="30"/>
  <c r="CL232" i="30"/>
  <c r="CI232" i="30"/>
  <c r="BB232" i="30"/>
  <c r="AY232" i="30"/>
  <c r="AV232" i="30"/>
  <c r="AS232" i="30"/>
  <c r="AM232" i="30"/>
  <c r="AJ232" i="30"/>
  <c r="AG232" i="30"/>
  <c r="AD232" i="30"/>
  <c r="AA232" i="30"/>
  <c r="X232" i="30"/>
  <c r="CX231" i="30"/>
  <c r="CU231" i="30"/>
  <c r="CR231" i="30"/>
  <c r="CO231" i="30"/>
  <c r="CL231" i="30"/>
  <c r="CI231" i="30"/>
  <c r="BB231" i="30"/>
  <c r="AY231" i="30"/>
  <c r="AV231" i="30"/>
  <c r="AS231" i="30"/>
  <c r="AM231" i="30"/>
  <c r="AJ231" i="30"/>
  <c r="AG231" i="30"/>
  <c r="AD231" i="30"/>
  <c r="AA231" i="30"/>
  <c r="X231" i="30"/>
  <c r="CX230" i="30"/>
  <c r="CU230" i="30"/>
  <c r="CR230" i="30"/>
  <c r="CO230" i="30"/>
  <c r="CL230" i="30"/>
  <c r="CI230" i="30"/>
  <c r="BB230" i="30"/>
  <c r="AY230" i="30"/>
  <c r="AV230" i="30"/>
  <c r="AS230" i="30"/>
  <c r="AM230" i="30"/>
  <c r="AJ230" i="30"/>
  <c r="AG230" i="30"/>
  <c r="AD230" i="30"/>
  <c r="AA230" i="30"/>
  <c r="X230" i="30"/>
  <c r="CX229" i="30"/>
  <c r="CU229" i="30"/>
  <c r="CR229" i="30"/>
  <c r="CO229" i="30"/>
  <c r="CL229" i="30"/>
  <c r="CI229" i="30"/>
  <c r="BB229" i="30"/>
  <c r="AY229" i="30"/>
  <c r="AV229" i="30"/>
  <c r="AS229" i="30"/>
  <c r="AM229" i="30"/>
  <c r="AJ229" i="30"/>
  <c r="AG229" i="30"/>
  <c r="AD229" i="30"/>
  <c r="AA229" i="30"/>
  <c r="X229" i="30"/>
  <c r="CX228" i="30"/>
  <c r="CU228" i="30"/>
  <c r="CR228" i="30"/>
  <c r="CO228" i="30"/>
  <c r="CL228" i="30"/>
  <c r="CI228" i="30"/>
  <c r="BB228" i="30"/>
  <c r="AY228" i="30"/>
  <c r="AV228" i="30"/>
  <c r="AS228" i="30"/>
  <c r="AM228" i="30"/>
  <c r="AJ228" i="30"/>
  <c r="AG228" i="30"/>
  <c r="AD228" i="30"/>
  <c r="AA228" i="30"/>
  <c r="X228" i="30"/>
  <c r="CX227" i="30"/>
  <c r="CU227" i="30"/>
  <c r="CR227" i="30"/>
  <c r="CO227" i="30"/>
  <c r="CL227" i="30"/>
  <c r="CI227" i="30"/>
  <c r="BB227" i="30"/>
  <c r="AY227" i="30"/>
  <c r="AV227" i="30"/>
  <c r="AS227" i="30"/>
  <c r="AM227" i="30"/>
  <c r="AJ227" i="30"/>
  <c r="AG227" i="30"/>
  <c r="AD227" i="30"/>
  <c r="AA227" i="30"/>
  <c r="X227" i="30"/>
  <c r="CX226" i="30"/>
  <c r="CU226" i="30"/>
  <c r="CR226" i="30"/>
  <c r="CO226" i="30"/>
  <c r="CL226" i="30"/>
  <c r="CI226" i="30"/>
  <c r="BB226" i="30"/>
  <c r="AY226" i="30"/>
  <c r="AV226" i="30"/>
  <c r="AS226" i="30"/>
  <c r="AM226" i="30"/>
  <c r="AJ226" i="30"/>
  <c r="AG226" i="30"/>
  <c r="AD226" i="30"/>
  <c r="AA226" i="30"/>
  <c r="X226" i="30"/>
  <c r="CX225" i="30"/>
  <c r="CU225" i="30"/>
  <c r="CR225" i="30"/>
  <c r="CO225" i="30"/>
  <c r="CL225" i="30"/>
  <c r="CI225" i="30"/>
  <c r="BB225" i="30"/>
  <c r="AY225" i="30"/>
  <c r="AV225" i="30"/>
  <c r="AS225" i="30"/>
  <c r="AM225" i="30"/>
  <c r="AJ225" i="30"/>
  <c r="AG225" i="30"/>
  <c r="AD225" i="30"/>
  <c r="AA225" i="30"/>
  <c r="X225" i="30"/>
  <c r="CX224" i="30"/>
  <c r="CU224" i="30"/>
  <c r="CR224" i="30"/>
  <c r="CO224" i="30"/>
  <c r="CL224" i="30"/>
  <c r="CI224" i="30"/>
  <c r="BB224" i="30"/>
  <c r="AY224" i="30"/>
  <c r="AV224" i="30"/>
  <c r="AS224" i="30"/>
  <c r="AM224" i="30"/>
  <c r="AJ224" i="30"/>
  <c r="AG224" i="30"/>
  <c r="AD224" i="30"/>
  <c r="AA224" i="30"/>
  <c r="X224" i="30"/>
  <c r="CX223" i="30"/>
  <c r="CU223" i="30"/>
  <c r="CR223" i="30"/>
  <c r="CO223" i="30"/>
  <c r="CL223" i="30"/>
  <c r="CI223" i="30"/>
  <c r="BB223" i="30"/>
  <c r="AY223" i="30"/>
  <c r="AV223" i="30"/>
  <c r="AS223" i="30"/>
  <c r="AM223" i="30"/>
  <c r="AJ223" i="30"/>
  <c r="AG223" i="30"/>
  <c r="AD223" i="30"/>
  <c r="AA223" i="30"/>
  <c r="X223" i="30"/>
  <c r="CX222" i="30"/>
  <c r="CU222" i="30"/>
  <c r="CR222" i="30"/>
  <c r="CO222" i="30"/>
  <c r="CL222" i="30"/>
  <c r="CI222" i="30"/>
  <c r="BB222" i="30"/>
  <c r="AY222" i="30"/>
  <c r="AV222" i="30"/>
  <c r="AS222" i="30"/>
  <c r="AM222" i="30"/>
  <c r="AJ222" i="30"/>
  <c r="AG222" i="30"/>
  <c r="AD222" i="30"/>
  <c r="AA222" i="30"/>
  <c r="X222" i="30"/>
  <c r="CX221" i="30"/>
  <c r="CU221" i="30"/>
  <c r="CR221" i="30"/>
  <c r="CO221" i="30"/>
  <c r="CL221" i="30"/>
  <c r="CI221" i="30"/>
  <c r="BB221" i="30"/>
  <c r="AY221" i="30"/>
  <c r="AV221" i="30"/>
  <c r="AS221" i="30"/>
  <c r="AM221" i="30"/>
  <c r="AJ221" i="30"/>
  <c r="AG221" i="30"/>
  <c r="AD221" i="30"/>
  <c r="AA221" i="30"/>
  <c r="X221" i="30"/>
  <c r="CX220" i="30"/>
  <c r="CU220" i="30"/>
  <c r="CR220" i="30"/>
  <c r="CO220" i="30"/>
  <c r="CL220" i="30"/>
  <c r="CI220" i="30"/>
  <c r="BB220" i="30"/>
  <c r="AY220" i="30"/>
  <c r="AV220" i="30"/>
  <c r="AS220" i="30"/>
  <c r="AM220" i="30"/>
  <c r="AJ220" i="30"/>
  <c r="AG220" i="30"/>
  <c r="AD220" i="30"/>
  <c r="AA220" i="30"/>
  <c r="X220" i="30"/>
  <c r="CX219" i="30"/>
  <c r="CU219" i="30"/>
  <c r="CR219" i="30"/>
  <c r="CO219" i="30"/>
  <c r="CL219" i="30"/>
  <c r="CI219" i="30"/>
  <c r="BB219" i="30"/>
  <c r="AY219" i="30"/>
  <c r="AV219" i="30"/>
  <c r="AS219" i="30"/>
  <c r="AM219" i="30"/>
  <c r="AJ219" i="30"/>
  <c r="AG219" i="30"/>
  <c r="AD219" i="30"/>
  <c r="AA219" i="30"/>
  <c r="X219" i="30"/>
  <c r="CX218" i="30"/>
  <c r="CU218" i="30"/>
  <c r="CR218" i="30"/>
  <c r="CO218" i="30"/>
  <c r="CL218" i="30"/>
  <c r="CI218" i="30"/>
  <c r="BB218" i="30"/>
  <c r="AY218" i="30"/>
  <c r="AV218" i="30"/>
  <c r="AS218" i="30"/>
  <c r="AM218" i="30"/>
  <c r="AJ218" i="30"/>
  <c r="AG218" i="30"/>
  <c r="AD218" i="30"/>
  <c r="AA218" i="30"/>
  <c r="X218" i="30"/>
  <c r="CX217" i="30"/>
  <c r="CU217" i="30"/>
  <c r="CR217" i="30"/>
  <c r="CO217" i="30"/>
  <c r="CL217" i="30"/>
  <c r="CI217" i="30"/>
  <c r="BB217" i="30"/>
  <c r="AY217" i="30"/>
  <c r="AV217" i="30"/>
  <c r="AS217" i="30"/>
  <c r="AM217" i="30"/>
  <c r="AJ217" i="30"/>
  <c r="AG217" i="30"/>
  <c r="AD217" i="30"/>
  <c r="AA217" i="30"/>
  <c r="X217" i="30"/>
  <c r="CX216" i="30"/>
  <c r="CU216" i="30"/>
  <c r="CR216" i="30"/>
  <c r="CO216" i="30"/>
  <c r="CL216" i="30"/>
  <c r="CI216" i="30"/>
  <c r="BB216" i="30"/>
  <c r="AY216" i="30"/>
  <c r="AV216" i="30"/>
  <c r="AS216" i="30"/>
  <c r="AM216" i="30"/>
  <c r="AJ216" i="30"/>
  <c r="AG216" i="30"/>
  <c r="AD216" i="30"/>
  <c r="AA216" i="30"/>
  <c r="X216" i="30"/>
  <c r="CX215" i="30"/>
  <c r="CU215" i="30"/>
  <c r="CR215" i="30"/>
  <c r="CO215" i="30"/>
  <c r="CL215" i="30"/>
  <c r="CI215" i="30"/>
  <c r="BB215" i="30"/>
  <c r="AY215" i="30"/>
  <c r="AV215" i="30"/>
  <c r="AS215" i="30"/>
  <c r="AM215" i="30"/>
  <c r="AJ215" i="30"/>
  <c r="AG215" i="30"/>
  <c r="AD215" i="30"/>
  <c r="AA215" i="30"/>
  <c r="X215" i="30"/>
  <c r="CX214" i="30"/>
  <c r="CU214" i="30"/>
  <c r="CR214" i="30"/>
  <c r="CO214" i="30"/>
  <c r="CL214" i="30"/>
  <c r="CI214" i="30"/>
  <c r="BB214" i="30"/>
  <c r="AY214" i="30"/>
  <c r="AV214" i="30"/>
  <c r="AS214" i="30"/>
  <c r="AM214" i="30"/>
  <c r="AJ214" i="30"/>
  <c r="AG214" i="30"/>
  <c r="AD214" i="30"/>
  <c r="AA214" i="30"/>
  <c r="X214" i="30"/>
  <c r="CX213" i="30"/>
  <c r="CU213" i="30"/>
  <c r="CR213" i="30"/>
  <c r="CO213" i="30"/>
  <c r="CL213" i="30"/>
  <c r="CI213" i="30"/>
  <c r="BB213" i="30"/>
  <c r="AY213" i="30"/>
  <c r="AV213" i="30"/>
  <c r="AS213" i="30"/>
  <c r="AM213" i="30"/>
  <c r="AJ213" i="30"/>
  <c r="AG213" i="30"/>
  <c r="AD213" i="30"/>
  <c r="AA213" i="30"/>
  <c r="X213" i="30"/>
  <c r="CX212" i="30"/>
  <c r="CU212" i="30"/>
  <c r="CR212" i="30"/>
  <c r="CO212" i="30"/>
  <c r="CL212" i="30"/>
  <c r="CI212" i="30"/>
  <c r="BB212" i="30"/>
  <c r="AY212" i="30"/>
  <c r="AV212" i="30"/>
  <c r="AS212" i="30"/>
  <c r="AM212" i="30"/>
  <c r="AJ212" i="30"/>
  <c r="AG212" i="30"/>
  <c r="AD212" i="30"/>
  <c r="AA212" i="30"/>
  <c r="X212" i="30"/>
  <c r="CX211" i="30"/>
  <c r="CU211" i="30"/>
  <c r="CR211" i="30"/>
  <c r="CO211" i="30"/>
  <c r="CL211" i="30"/>
  <c r="CI211" i="30"/>
  <c r="BB211" i="30"/>
  <c r="AY211" i="30"/>
  <c r="AV211" i="30"/>
  <c r="AS211" i="30"/>
  <c r="AM211" i="30"/>
  <c r="AJ211" i="30"/>
  <c r="AG211" i="30"/>
  <c r="AD211" i="30"/>
  <c r="AA211" i="30"/>
  <c r="X211" i="30"/>
  <c r="CX210" i="30"/>
  <c r="CU210" i="30"/>
  <c r="CR210" i="30"/>
  <c r="CO210" i="30"/>
  <c r="CL210" i="30"/>
  <c r="CI210" i="30"/>
  <c r="BB210" i="30"/>
  <c r="AY210" i="30"/>
  <c r="AV210" i="30"/>
  <c r="AS210" i="30"/>
  <c r="AM210" i="30"/>
  <c r="AJ210" i="30"/>
  <c r="AG210" i="30"/>
  <c r="AD210" i="30"/>
  <c r="AA210" i="30"/>
  <c r="X210" i="30"/>
  <c r="CX209" i="30"/>
  <c r="CU209" i="30"/>
  <c r="CR209" i="30"/>
  <c r="CO209" i="30"/>
  <c r="CL209" i="30"/>
  <c r="CI209" i="30"/>
  <c r="BB209" i="30"/>
  <c r="AY209" i="30"/>
  <c r="AV209" i="30"/>
  <c r="AS209" i="30"/>
  <c r="AM209" i="30"/>
  <c r="AJ209" i="30"/>
  <c r="AG209" i="30"/>
  <c r="AD209" i="30"/>
  <c r="AA209" i="30"/>
  <c r="X209" i="30"/>
  <c r="CX208" i="30"/>
  <c r="CU208" i="30"/>
  <c r="CR208" i="30"/>
  <c r="CO208" i="30"/>
  <c r="CL208" i="30"/>
  <c r="CI208" i="30"/>
  <c r="BB208" i="30"/>
  <c r="AY208" i="30"/>
  <c r="AV208" i="30"/>
  <c r="AS208" i="30"/>
  <c r="AM208" i="30"/>
  <c r="AJ208" i="30"/>
  <c r="AG208" i="30"/>
  <c r="AD208" i="30"/>
  <c r="AA208" i="30"/>
  <c r="X208" i="30"/>
  <c r="CX207" i="30"/>
  <c r="CU207" i="30"/>
  <c r="CR207" i="30"/>
  <c r="CO207" i="30"/>
  <c r="CL207" i="30"/>
  <c r="CI207" i="30"/>
  <c r="BB207" i="30"/>
  <c r="AY207" i="30"/>
  <c r="AV207" i="30"/>
  <c r="AS207" i="30"/>
  <c r="AM207" i="30"/>
  <c r="AJ207" i="30"/>
  <c r="AG207" i="30"/>
  <c r="AD207" i="30"/>
  <c r="AA207" i="30"/>
  <c r="X207" i="30"/>
  <c r="CX206" i="30"/>
  <c r="CU206" i="30"/>
  <c r="CR206" i="30"/>
  <c r="CO206" i="30"/>
  <c r="CL206" i="30"/>
  <c r="CI206" i="30"/>
  <c r="BB206" i="30"/>
  <c r="AY206" i="30"/>
  <c r="AV206" i="30"/>
  <c r="AS206" i="30"/>
  <c r="AM206" i="30"/>
  <c r="AJ206" i="30"/>
  <c r="AG206" i="30"/>
  <c r="AD206" i="30"/>
  <c r="AA206" i="30"/>
  <c r="X206" i="30"/>
  <c r="CX205" i="30"/>
  <c r="CU205" i="30"/>
  <c r="CR205" i="30"/>
  <c r="CO205" i="30"/>
  <c r="CL205" i="30"/>
  <c r="CI205" i="30"/>
  <c r="BB205" i="30"/>
  <c r="AY205" i="30"/>
  <c r="AV205" i="30"/>
  <c r="AS205" i="30"/>
  <c r="AM205" i="30"/>
  <c r="AJ205" i="30"/>
  <c r="AG205" i="30"/>
  <c r="AD205" i="30"/>
  <c r="AA205" i="30"/>
  <c r="X205" i="30"/>
  <c r="CX204" i="30"/>
  <c r="CU204" i="30"/>
  <c r="CR204" i="30"/>
  <c r="CO204" i="30"/>
  <c r="CL204" i="30"/>
  <c r="CI204" i="30"/>
  <c r="BB204" i="30"/>
  <c r="AY204" i="30"/>
  <c r="AV204" i="30"/>
  <c r="AS204" i="30"/>
  <c r="AM204" i="30"/>
  <c r="AJ204" i="30"/>
  <c r="AG204" i="30"/>
  <c r="AD204" i="30"/>
  <c r="AA204" i="30"/>
  <c r="X204" i="30"/>
  <c r="CX203" i="30"/>
  <c r="CU203" i="30"/>
  <c r="CR203" i="30"/>
  <c r="CO203" i="30"/>
  <c r="CL203" i="30"/>
  <c r="CI203" i="30"/>
  <c r="BB203" i="30"/>
  <c r="AY203" i="30"/>
  <c r="AV203" i="30"/>
  <c r="AS203" i="30"/>
  <c r="AM203" i="30"/>
  <c r="AJ203" i="30"/>
  <c r="AG203" i="30"/>
  <c r="AD203" i="30"/>
  <c r="AA203" i="30"/>
  <c r="X203" i="30"/>
  <c r="CX202" i="30"/>
  <c r="CU202" i="30"/>
  <c r="CR202" i="30"/>
  <c r="CO202" i="30"/>
  <c r="CL202" i="30"/>
  <c r="CI202" i="30"/>
  <c r="BB202" i="30"/>
  <c r="AY202" i="30"/>
  <c r="AV202" i="30"/>
  <c r="AS202" i="30"/>
  <c r="AM202" i="30"/>
  <c r="AJ202" i="30"/>
  <c r="AG202" i="30"/>
  <c r="AD202" i="30"/>
  <c r="AA202" i="30"/>
  <c r="X202" i="30"/>
  <c r="CX201" i="30"/>
  <c r="CU201" i="30"/>
  <c r="CR201" i="30"/>
  <c r="CO201" i="30"/>
  <c r="CL201" i="30"/>
  <c r="CI201" i="30"/>
  <c r="BB201" i="30"/>
  <c r="AY201" i="30"/>
  <c r="AV201" i="30"/>
  <c r="AS201" i="30"/>
  <c r="AM201" i="30"/>
  <c r="AJ201" i="30"/>
  <c r="AG201" i="30"/>
  <c r="AD201" i="30"/>
  <c r="AA201" i="30"/>
  <c r="X201" i="30"/>
  <c r="CX200" i="30"/>
  <c r="CU200" i="30"/>
  <c r="CR200" i="30"/>
  <c r="CO200" i="30"/>
  <c r="CL200" i="30"/>
  <c r="CI200" i="30"/>
  <c r="BB200" i="30"/>
  <c r="AY200" i="30"/>
  <c r="AV200" i="30"/>
  <c r="AS200" i="30"/>
  <c r="AM200" i="30"/>
  <c r="AJ200" i="30"/>
  <c r="AG200" i="30"/>
  <c r="AD200" i="30"/>
  <c r="AA200" i="30"/>
  <c r="X200" i="30"/>
  <c r="CX199" i="30"/>
  <c r="CU199" i="30"/>
  <c r="CR199" i="30"/>
  <c r="CO199" i="30"/>
  <c r="CL199" i="30"/>
  <c r="CI199" i="30"/>
  <c r="BB199" i="30"/>
  <c r="AY199" i="30"/>
  <c r="AV199" i="30"/>
  <c r="AS199" i="30"/>
  <c r="AM199" i="30"/>
  <c r="AJ199" i="30"/>
  <c r="AG199" i="30"/>
  <c r="AD199" i="30"/>
  <c r="AA199" i="30"/>
  <c r="X199" i="30"/>
  <c r="CX198" i="30"/>
  <c r="CU198" i="30"/>
  <c r="CR198" i="30"/>
  <c r="CO198" i="30"/>
  <c r="CL198" i="30"/>
  <c r="CI198" i="30"/>
  <c r="BB198" i="30"/>
  <c r="AY198" i="30"/>
  <c r="AV198" i="30"/>
  <c r="AS198" i="30"/>
  <c r="AM198" i="30"/>
  <c r="AJ198" i="30"/>
  <c r="AG198" i="30"/>
  <c r="AD198" i="30"/>
  <c r="AA198" i="30"/>
  <c r="X198" i="30"/>
  <c r="CX197" i="30"/>
  <c r="CU197" i="30"/>
  <c r="CR197" i="30"/>
  <c r="CO197" i="30"/>
  <c r="CL197" i="30"/>
  <c r="CI197" i="30"/>
  <c r="BB197" i="30"/>
  <c r="AY197" i="30"/>
  <c r="AV197" i="30"/>
  <c r="AS197" i="30"/>
  <c r="AM197" i="30"/>
  <c r="AJ197" i="30"/>
  <c r="AG197" i="30"/>
  <c r="AD197" i="30"/>
  <c r="AA197" i="30"/>
  <c r="X197" i="30"/>
  <c r="CX196" i="30"/>
  <c r="CU196" i="30"/>
  <c r="CR196" i="30"/>
  <c r="CO196" i="30"/>
  <c r="CL196" i="30"/>
  <c r="CI196" i="30"/>
  <c r="BB196" i="30"/>
  <c r="AY196" i="30"/>
  <c r="AV196" i="30"/>
  <c r="AS196" i="30"/>
  <c r="AM196" i="30"/>
  <c r="AJ196" i="30"/>
  <c r="AG196" i="30"/>
  <c r="AD196" i="30"/>
  <c r="AA196" i="30"/>
  <c r="X196" i="30"/>
  <c r="CX195" i="30"/>
  <c r="CU195" i="30"/>
  <c r="CR195" i="30"/>
  <c r="CO195" i="30"/>
  <c r="CL195" i="30"/>
  <c r="CI195" i="30"/>
  <c r="BB195" i="30"/>
  <c r="AY195" i="30"/>
  <c r="AV195" i="30"/>
  <c r="AS195" i="30"/>
  <c r="AM195" i="30"/>
  <c r="AJ195" i="30"/>
  <c r="AG195" i="30"/>
  <c r="AD195" i="30"/>
  <c r="AA195" i="30"/>
  <c r="X195" i="30"/>
  <c r="CX194" i="30"/>
  <c r="CU194" i="30"/>
  <c r="CR194" i="30"/>
  <c r="CO194" i="30"/>
  <c r="CL194" i="30"/>
  <c r="CI194" i="30"/>
  <c r="BB194" i="30"/>
  <c r="AY194" i="30"/>
  <c r="AV194" i="30"/>
  <c r="AS194" i="30"/>
  <c r="AM194" i="30"/>
  <c r="AJ194" i="30"/>
  <c r="AG194" i="30"/>
  <c r="AD194" i="30"/>
  <c r="AA194" i="30"/>
  <c r="X194" i="30"/>
  <c r="CX193" i="30"/>
  <c r="CU193" i="30"/>
  <c r="CR193" i="30"/>
  <c r="CO193" i="30"/>
  <c r="CL193" i="30"/>
  <c r="CI193" i="30"/>
  <c r="BB193" i="30"/>
  <c r="AY193" i="30"/>
  <c r="AV193" i="30"/>
  <c r="AS193" i="30"/>
  <c r="AM193" i="30"/>
  <c r="AJ193" i="30"/>
  <c r="AG193" i="30"/>
  <c r="AD193" i="30"/>
  <c r="AA193" i="30"/>
  <c r="X193" i="30"/>
  <c r="CX192" i="30"/>
  <c r="CU192" i="30"/>
  <c r="CR192" i="30"/>
  <c r="CO192" i="30"/>
  <c r="CL192" i="30"/>
  <c r="CI192" i="30"/>
  <c r="BB192" i="30"/>
  <c r="AY192" i="30"/>
  <c r="AV192" i="30"/>
  <c r="AS192" i="30"/>
  <c r="AM192" i="30"/>
  <c r="AJ192" i="30"/>
  <c r="AG192" i="30"/>
  <c r="AD192" i="30"/>
  <c r="AA192" i="30"/>
  <c r="X192" i="30"/>
  <c r="CX191" i="30"/>
  <c r="CU191" i="30"/>
  <c r="CR191" i="30"/>
  <c r="CO191" i="30"/>
  <c r="CL191" i="30"/>
  <c r="CI191" i="30"/>
  <c r="BB191" i="30"/>
  <c r="AY191" i="30"/>
  <c r="AV191" i="30"/>
  <c r="AS191" i="30"/>
  <c r="AM191" i="30"/>
  <c r="AJ191" i="30"/>
  <c r="AG191" i="30"/>
  <c r="AD191" i="30"/>
  <c r="AA191" i="30"/>
  <c r="X191" i="30"/>
  <c r="CX190" i="30"/>
  <c r="CU190" i="30"/>
  <c r="CR190" i="30"/>
  <c r="CO190" i="30"/>
  <c r="CL190" i="30"/>
  <c r="CI190" i="30"/>
  <c r="BB190" i="30"/>
  <c r="AY190" i="30"/>
  <c r="AV190" i="30"/>
  <c r="AS190" i="30"/>
  <c r="AM190" i="30"/>
  <c r="AJ190" i="30"/>
  <c r="AG190" i="30"/>
  <c r="AD190" i="30"/>
  <c r="AA190" i="30"/>
  <c r="X190" i="30"/>
  <c r="CX189" i="30"/>
  <c r="CU189" i="30"/>
  <c r="CR189" i="30"/>
  <c r="CO189" i="30"/>
  <c r="CL189" i="30"/>
  <c r="CI189" i="30"/>
  <c r="BB189" i="30"/>
  <c r="AY189" i="30"/>
  <c r="AV189" i="30"/>
  <c r="AS189" i="30"/>
  <c r="AM189" i="30"/>
  <c r="AJ189" i="30"/>
  <c r="AG189" i="30"/>
  <c r="AD189" i="30"/>
  <c r="AA189" i="30"/>
  <c r="X189" i="30"/>
  <c r="CX188" i="30"/>
  <c r="CU188" i="30"/>
  <c r="CR188" i="30"/>
  <c r="CO188" i="30"/>
  <c r="CL188" i="30"/>
  <c r="CI188" i="30"/>
  <c r="BB188" i="30"/>
  <c r="AY188" i="30"/>
  <c r="AV188" i="30"/>
  <c r="AS188" i="30"/>
  <c r="AM188" i="30"/>
  <c r="AJ188" i="30"/>
  <c r="AG188" i="30"/>
  <c r="AD188" i="30"/>
  <c r="AA188" i="30"/>
  <c r="X188" i="30"/>
  <c r="CX187" i="30"/>
  <c r="CU187" i="30"/>
  <c r="CR187" i="30"/>
  <c r="CO187" i="30"/>
  <c r="CL187" i="30"/>
  <c r="CI187" i="30"/>
  <c r="BB187" i="30"/>
  <c r="AY187" i="30"/>
  <c r="AV187" i="30"/>
  <c r="AS187" i="30"/>
  <c r="AM187" i="30"/>
  <c r="AJ187" i="30"/>
  <c r="AG187" i="30"/>
  <c r="AD187" i="30"/>
  <c r="AA187" i="30"/>
  <c r="X187" i="30"/>
  <c r="CX186" i="30"/>
  <c r="CU186" i="30"/>
  <c r="CR186" i="30"/>
  <c r="CO186" i="30"/>
  <c r="CL186" i="30"/>
  <c r="CI186" i="30"/>
  <c r="BB186" i="30"/>
  <c r="AY186" i="30"/>
  <c r="AV186" i="30"/>
  <c r="AS186" i="30"/>
  <c r="AM186" i="30"/>
  <c r="AJ186" i="30"/>
  <c r="AG186" i="30"/>
  <c r="AD186" i="30"/>
  <c r="AA186" i="30"/>
  <c r="X186" i="30"/>
  <c r="CX185" i="30"/>
  <c r="CU185" i="30"/>
  <c r="CR185" i="30"/>
  <c r="CO185" i="30"/>
  <c r="CL185" i="30"/>
  <c r="CI185" i="30"/>
  <c r="BB185" i="30"/>
  <c r="AY185" i="30"/>
  <c r="AV185" i="30"/>
  <c r="AS185" i="30"/>
  <c r="AM185" i="30"/>
  <c r="AJ185" i="30"/>
  <c r="AG185" i="30"/>
  <c r="AD185" i="30"/>
  <c r="AA185" i="30"/>
  <c r="X185" i="30"/>
  <c r="CX184" i="30"/>
  <c r="CU184" i="30"/>
  <c r="CR184" i="30"/>
  <c r="CO184" i="30"/>
  <c r="CL184" i="30"/>
  <c r="CI184" i="30"/>
  <c r="BB184" i="30"/>
  <c r="AY184" i="30"/>
  <c r="AV184" i="30"/>
  <c r="AS184" i="30"/>
  <c r="AM184" i="30"/>
  <c r="AJ184" i="30"/>
  <c r="AG184" i="30"/>
  <c r="AD184" i="30"/>
  <c r="AA184" i="30"/>
  <c r="X184" i="30"/>
  <c r="CX183" i="30"/>
  <c r="CU183" i="30"/>
  <c r="CR183" i="30"/>
  <c r="CO183" i="30"/>
  <c r="CL183" i="30"/>
  <c r="CI183" i="30"/>
  <c r="BB183" i="30"/>
  <c r="AY183" i="30"/>
  <c r="AV183" i="30"/>
  <c r="AS183" i="30"/>
  <c r="AM183" i="30"/>
  <c r="AJ183" i="30"/>
  <c r="AG183" i="30"/>
  <c r="AD183" i="30"/>
  <c r="AA183" i="30"/>
  <c r="X183" i="30"/>
  <c r="CX182" i="30"/>
  <c r="CU182" i="30"/>
  <c r="CR182" i="30"/>
  <c r="CO182" i="30"/>
  <c r="CL182" i="30"/>
  <c r="CI182" i="30"/>
  <c r="BB182" i="30"/>
  <c r="AY182" i="30"/>
  <c r="AV182" i="30"/>
  <c r="AS182" i="30"/>
  <c r="AM182" i="30"/>
  <c r="AJ182" i="30"/>
  <c r="AG182" i="30"/>
  <c r="AD182" i="30"/>
  <c r="AA182" i="30"/>
  <c r="X182" i="30"/>
  <c r="CX181" i="30"/>
  <c r="CU181" i="30"/>
  <c r="CR181" i="30"/>
  <c r="CO181" i="30"/>
  <c r="CL181" i="30"/>
  <c r="CI181" i="30"/>
  <c r="BB181" i="30"/>
  <c r="AY181" i="30"/>
  <c r="AV181" i="30"/>
  <c r="AS181" i="30"/>
  <c r="AM181" i="30"/>
  <c r="AJ181" i="30"/>
  <c r="AG181" i="30"/>
  <c r="AD181" i="30"/>
  <c r="AA181" i="30"/>
  <c r="X181" i="30"/>
  <c r="CX180" i="30"/>
  <c r="CU180" i="30"/>
  <c r="CR180" i="30"/>
  <c r="CO180" i="30"/>
  <c r="CL180" i="30"/>
  <c r="CI180" i="30"/>
  <c r="BB180" i="30"/>
  <c r="AY180" i="30"/>
  <c r="AV180" i="30"/>
  <c r="AS180" i="30"/>
  <c r="AM180" i="30"/>
  <c r="AJ180" i="30"/>
  <c r="AG180" i="30"/>
  <c r="AD180" i="30"/>
  <c r="AA180" i="30"/>
  <c r="X180" i="30"/>
  <c r="CX179" i="30"/>
  <c r="CU179" i="30"/>
  <c r="CR179" i="30"/>
  <c r="CO179" i="30"/>
  <c r="CL179" i="30"/>
  <c r="CI179" i="30"/>
  <c r="BB179" i="30"/>
  <c r="AY179" i="30"/>
  <c r="AV179" i="30"/>
  <c r="AS179" i="30"/>
  <c r="AM179" i="30"/>
  <c r="AJ179" i="30"/>
  <c r="AG179" i="30"/>
  <c r="AD179" i="30"/>
  <c r="AA179" i="30"/>
  <c r="X179" i="30"/>
  <c r="CX178" i="30"/>
  <c r="CU178" i="30"/>
  <c r="CR178" i="30"/>
  <c r="CO178" i="30"/>
  <c r="CL178" i="30"/>
  <c r="CI178" i="30"/>
  <c r="BB178" i="30"/>
  <c r="AY178" i="30"/>
  <c r="AV178" i="30"/>
  <c r="AS178" i="30"/>
  <c r="AM178" i="30"/>
  <c r="AJ178" i="30"/>
  <c r="AG178" i="30"/>
  <c r="AD178" i="30"/>
  <c r="AA178" i="30"/>
  <c r="X178" i="30"/>
  <c r="CX177" i="30"/>
  <c r="CU177" i="30"/>
  <c r="CR177" i="30"/>
  <c r="CO177" i="30"/>
  <c r="CL177" i="30"/>
  <c r="CI177" i="30"/>
  <c r="BB177" i="30"/>
  <c r="AY177" i="30"/>
  <c r="AV177" i="30"/>
  <c r="AS177" i="30"/>
  <c r="AM177" i="30"/>
  <c r="AJ177" i="30"/>
  <c r="AG177" i="30"/>
  <c r="AD177" i="30"/>
  <c r="AA177" i="30"/>
  <c r="X177" i="30"/>
  <c r="CX176" i="30"/>
  <c r="CU176" i="30"/>
  <c r="CR176" i="30"/>
  <c r="CO176" i="30"/>
  <c r="CL176" i="30"/>
  <c r="CI176" i="30"/>
  <c r="BB176" i="30"/>
  <c r="AY176" i="30"/>
  <c r="AV176" i="30"/>
  <c r="AS176" i="30"/>
  <c r="AM176" i="30"/>
  <c r="AJ176" i="30"/>
  <c r="AG176" i="30"/>
  <c r="AD176" i="30"/>
  <c r="AA176" i="30"/>
  <c r="X176" i="30"/>
  <c r="CX175" i="30"/>
  <c r="CU175" i="30"/>
  <c r="CR175" i="30"/>
  <c r="CO175" i="30"/>
  <c r="CL175" i="30"/>
  <c r="CI175" i="30"/>
  <c r="BB175" i="30"/>
  <c r="AY175" i="30"/>
  <c r="AV175" i="30"/>
  <c r="AS175" i="30"/>
  <c r="AM175" i="30"/>
  <c r="AJ175" i="30"/>
  <c r="AG175" i="30"/>
  <c r="AD175" i="30"/>
  <c r="AA175" i="30"/>
  <c r="X175" i="30"/>
  <c r="CX174" i="30"/>
  <c r="CU174" i="30"/>
  <c r="CR174" i="30"/>
  <c r="CO174" i="30"/>
  <c r="CL174" i="30"/>
  <c r="CI174" i="30"/>
  <c r="BB174" i="30"/>
  <c r="AY174" i="30"/>
  <c r="AV174" i="30"/>
  <c r="AS174" i="30"/>
  <c r="AM174" i="30"/>
  <c r="AJ174" i="30"/>
  <c r="AG174" i="30"/>
  <c r="AD174" i="30"/>
  <c r="AA174" i="30"/>
  <c r="X174" i="30"/>
  <c r="CX173" i="30"/>
  <c r="CU173" i="30"/>
  <c r="CR173" i="30"/>
  <c r="CO173" i="30"/>
  <c r="CL173" i="30"/>
  <c r="CI173" i="30"/>
  <c r="BB173" i="30"/>
  <c r="AY173" i="30"/>
  <c r="AV173" i="30"/>
  <c r="AS173" i="30"/>
  <c r="AM173" i="30"/>
  <c r="AJ173" i="30"/>
  <c r="AG173" i="30"/>
  <c r="AD173" i="30"/>
  <c r="AA173" i="30"/>
  <c r="X173" i="30"/>
  <c r="CX172" i="30"/>
  <c r="CU172" i="30"/>
  <c r="CR172" i="30"/>
  <c r="CO172" i="30"/>
  <c r="CL172" i="30"/>
  <c r="CI172" i="30"/>
  <c r="BB172" i="30"/>
  <c r="AY172" i="30"/>
  <c r="AV172" i="30"/>
  <c r="AS172" i="30"/>
  <c r="AM172" i="30"/>
  <c r="AJ172" i="30"/>
  <c r="AG172" i="30"/>
  <c r="AD172" i="30"/>
  <c r="AA172" i="30"/>
  <c r="X172" i="30"/>
  <c r="CX171" i="30"/>
  <c r="CU171" i="30"/>
  <c r="CR171" i="30"/>
  <c r="CO171" i="30"/>
  <c r="CL171" i="30"/>
  <c r="CI171" i="30"/>
  <c r="BB171" i="30"/>
  <c r="AY171" i="30"/>
  <c r="AV171" i="30"/>
  <c r="AS171" i="30"/>
  <c r="AM171" i="30"/>
  <c r="AJ171" i="30"/>
  <c r="AG171" i="30"/>
  <c r="AD171" i="30"/>
  <c r="AA171" i="30"/>
  <c r="X171" i="30"/>
  <c r="CX170" i="30"/>
  <c r="CU170" i="30"/>
  <c r="CR170" i="30"/>
  <c r="CO170" i="30"/>
  <c r="CL170" i="30"/>
  <c r="CI170" i="30"/>
  <c r="BB170" i="30"/>
  <c r="AY170" i="30"/>
  <c r="AV170" i="30"/>
  <c r="AS170" i="30"/>
  <c r="AM170" i="30"/>
  <c r="AJ170" i="30"/>
  <c r="AG170" i="30"/>
  <c r="AD170" i="30"/>
  <c r="AA170" i="30"/>
  <c r="X170" i="30"/>
  <c r="CX169" i="30"/>
  <c r="CU169" i="30"/>
  <c r="CR169" i="30"/>
  <c r="CO169" i="30"/>
  <c r="CL169" i="30"/>
  <c r="CI169" i="30"/>
  <c r="BB169" i="30"/>
  <c r="AY169" i="30"/>
  <c r="AV169" i="30"/>
  <c r="AS169" i="30"/>
  <c r="AM169" i="30"/>
  <c r="AJ169" i="30"/>
  <c r="AG169" i="30"/>
  <c r="AD169" i="30"/>
  <c r="AA169" i="30"/>
  <c r="X169" i="30"/>
  <c r="CX168" i="30"/>
  <c r="CU168" i="30"/>
  <c r="CR168" i="30"/>
  <c r="CO168" i="30"/>
  <c r="CL168" i="30"/>
  <c r="CI168" i="30"/>
  <c r="BB168" i="30"/>
  <c r="AY168" i="30"/>
  <c r="AV168" i="30"/>
  <c r="AS168" i="30"/>
  <c r="AM168" i="30"/>
  <c r="AJ168" i="30"/>
  <c r="AG168" i="30"/>
  <c r="AD168" i="30"/>
  <c r="AA168" i="30"/>
  <c r="X168" i="30"/>
  <c r="CX167" i="30"/>
  <c r="CU167" i="30"/>
  <c r="CR167" i="30"/>
  <c r="CO167" i="30"/>
  <c r="CL167" i="30"/>
  <c r="CI167" i="30"/>
  <c r="BB167" i="30"/>
  <c r="AY167" i="30"/>
  <c r="AV167" i="30"/>
  <c r="AS167" i="30"/>
  <c r="AM167" i="30"/>
  <c r="AJ167" i="30"/>
  <c r="AG167" i="30"/>
  <c r="AD167" i="30"/>
  <c r="AA167" i="30"/>
  <c r="X167" i="30"/>
  <c r="CX166" i="30"/>
  <c r="CU166" i="30"/>
  <c r="CR166" i="30"/>
  <c r="CO166" i="30"/>
  <c r="CL166" i="30"/>
  <c r="CI166" i="30"/>
  <c r="BB166" i="30"/>
  <c r="AY166" i="30"/>
  <c r="AV166" i="30"/>
  <c r="AS166" i="30"/>
  <c r="AM166" i="30"/>
  <c r="AJ166" i="30"/>
  <c r="AG166" i="30"/>
  <c r="AD166" i="30"/>
  <c r="AA166" i="30"/>
  <c r="X166" i="30"/>
  <c r="CX165" i="30"/>
  <c r="CU165" i="30"/>
  <c r="CR165" i="30"/>
  <c r="CO165" i="30"/>
  <c r="CL165" i="30"/>
  <c r="CI165" i="30"/>
  <c r="BB165" i="30"/>
  <c r="AY165" i="30"/>
  <c r="AV165" i="30"/>
  <c r="AS165" i="30"/>
  <c r="AM165" i="30"/>
  <c r="AJ165" i="30"/>
  <c r="AG165" i="30"/>
  <c r="AD165" i="30"/>
  <c r="AA165" i="30"/>
  <c r="X165" i="30"/>
  <c r="CX164" i="30"/>
  <c r="CU164" i="30"/>
  <c r="CR164" i="30"/>
  <c r="CO164" i="30"/>
  <c r="CL164" i="30"/>
  <c r="CI164" i="30"/>
  <c r="BB164" i="30"/>
  <c r="AY164" i="30"/>
  <c r="AV164" i="30"/>
  <c r="AS164" i="30"/>
  <c r="AM164" i="30"/>
  <c r="AJ164" i="30"/>
  <c r="AG164" i="30"/>
  <c r="AD164" i="30"/>
  <c r="AA164" i="30"/>
  <c r="X164" i="30"/>
  <c r="CX163" i="30"/>
  <c r="CU163" i="30"/>
  <c r="CR163" i="30"/>
  <c r="CO163" i="30"/>
  <c r="CL163" i="30"/>
  <c r="CI163" i="30"/>
  <c r="BB163" i="30"/>
  <c r="AY163" i="30"/>
  <c r="AV163" i="30"/>
  <c r="AS163" i="30"/>
  <c r="AM163" i="30"/>
  <c r="AJ163" i="30"/>
  <c r="AG163" i="30"/>
  <c r="AD163" i="30"/>
  <c r="AA163" i="30"/>
  <c r="X163" i="30"/>
  <c r="CX162" i="30"/>
  <c r="CU162" i="30"/>
  <c r="CR162" i="30"/>
  <c r="CO162" i="30"/>
  <c r="CL162" i="30"/>
  <c r="CI162" i="30"/>
  <c r="BB162" i="30"/>
  <c r="AY162" i="30"/>
  <c r="AV162" i="30"/>
  <c r="AS162" i="30"/>
  <c r="AM162" i="30"/>
  <c r="AJ162" i="30"/>
  <c r="AG162" i="30"/>
  <c r="AD162" i="30"/>
  <c r="AA162" i="30"/>
  <c r="X162" i="30"/>
  <c r="CX161" i="30"/>
  <c r="CU161" i="30"/>
  <c r="CR161" i="30"/>
  <c r="CO161" i="30"/>
  <c r="CL161" i="30"/>
  <c r="CI161" i="30"/>
  <c r="BB161" i="30"/>
  <c r="AY161" i="30"/>
  <c r="AV161" i="30"/>
  <c r="AS161" i="30"/>
  <c r="AM161" i="30"/>
  <c r="AJ161" i="30"/>
  <c r="AG161" i="30"/>
  <c r="AD161" i="30"/>
  <c r="AA161" i="30"/>
  <c r="X161" i="30"/>
  <c r="CX160" i="30"/>
  <c r="CU160" i="30"/>
  <c r="CR160" i="30"/>
  <c r="CO160" i="30"/>
  <c r="CL160" i="30"/>
  <c r="CI160" i="30"/>
  <c r="BB160" i="30"/>
  <c r="AY160" i="30"/>
  <c r="AV160" i="30"/>
  <c r="AS160" i="30"/>
  <c r="AM160" i="30"/>
  <c r="AJ160" i="30"/>
  <c r="AG160" i="30"/>
  <c r="AD160" i="30"/>
  <c r="AA160" i="30"/>
  <c r="X160" i="30"/>
  <c r="CX159" i="30"/>
  <c r="CU159" i="30"/>
  <c r="CR159" i="30"/>
  <c r="CO159" i="30"/>
  <c r="CL159" i="30"/>
  <c r="CI159" i="30"/>
  <c r="BB159" i="30"/>
  <c r="AY159" i="30"/>
  <c r="AV159" i="30"/>
  <c r="AS159" i="30"/>
  <c r="AM159" i="30"/>
  <c r="AJ159" i="30"/>
  <c r="AG159" i="30"/>
  <c r="AD159" i="30"/>
  <c r="AA159" i="30"/>
  <c r="X159" i="30"/>
  <c r="CX158" i="30"/>
  <c r="CU158" i="30"/>
  <c r="CR158" i="30"/>
  <c r="CO158" i="30"/>
  <c r="CL158" i="30"/>
  <c r="CI158" i="30"/>
  <c r="BB158" i="30"/>
  <c r="AY158" i="30"/>
  <c r="AV158" i="30"/>
  <c r="AS158" i="30"/>
  <c r="AM158" i="30"/>
  <c r="AJ158" i="30"/>
  <c r="AG158" i="30"/>
  <c r="AD158" i="30"/>
  <c r="AA158" i="30"/>
  <c r="X158" i="30"/>
  <c r="CX157" i="30"/>
  <c r="CU157" i="30"/>
  <c r="CR157" i="30"/>
  <c r="CO157" i="30"/>
  <c r="CL157" i="30"/>
  <c r="CI157" i="30"/>
  <c r="BB157" i="30"/>
  <c r="AY157" i="30"/>
  <c r="AV157" i="30"/>
  <c r="AS157" i="30"/>
  <c r="AM157" i="30"/>
  <c r="AJ157" i="30"/>
  <c r="AG157" i="30"/>
  <c r="AD157" i="30"/>
  <c r="AA157" i="30"/>
  <c r="X157" i="30"/>
  <c r="CX156" i="30"/>
  <c r="CU156" i="30"/>
  <c r="CR156" i="30"/>
  <c r="CO156" i="30"/>
  <c r="CL156" i="30"/>
  <c r="CI156" i="30"/>
  <c r="BB156" i="30"/>
  <c r="AY156" i="30"/>
  <c r="AV156" i="30"/>
  <c r="AS156" i="30"/>
  <c r="AM156" i="30"/>
  <c r="AJ156" i="30"/>
  <c r="AG156" i="30"/>
  <c r="AD156" i="30"/>
  <c r="AA156" i="30"/>
  <c r="X156" i="30"/>
  <c r="CX155" i="30"/>
  <c r="CU155" i="30"/>
  <c r="CR155" i="30"/>
  <c r="CO155" i="30"/>
  <c r="CL155" i="30"/>
  <c r="CI155" i="30"/>
  <c r="BB155" i="30"/>
  <c r="AY155" i="30"/>
  <c r="AV155" i="30"/>
  <c r="AS155" i="30"/>
  <c r="AM155" i="30"/>
  <c r="AJ155" i="30"/>
  <c r="AG155" i="30"/>
  <c r="AD155" i="30"/>
  <c r="AA155" i="30"/>
  <c r="X155" i="30"/>
  <c r="CX154" i="30"/>
  <c r="CU154" i="30"/>
  <c r="CR154" i="30"/>
  <c r="CO154" i="30"/>
  <c r="CL154" i="30"/>
  <c r="CI154" i="30"/>
  <c r="BB154" i="30"/>
  <c r="AY154" i="30"/>
  <c r="AV154" i="30"/>
  <c r="AS154" i="30"/>
  <c r="AM154" i="30"/>
  <c r="AJ154" i="30"/>
  <c r="AG154" i="30"/>
  <c r="AD154" i="30"/>
  <c r="AA154" i="30"/>
  <c r="X154" i="30"/>
  <c r="CX153" i="30"/>
  <c r="CU153" i="30"/>
  <c r="CR153" i="30"/>
  <c r="CO153" i="30"/>
  <c r="CL153" i="30"/>
  <c r="CI153" i="30"/>
  <c r="BB153" i="30"/>
  <c r="AY153" i="30"/>
  <c r="AV153" i="30"/>
  <c r="AS153" i="30"/>
  <c r="AM153" i="30"/>
  <c r="AJ153" i="30"/>
  <c r="AG153" i="30"/>
  <c r="AD153" i="30"/>
  <c r="AA153" i="30"/>
  <c r="X153" i="30"/>
  <c r="CX152" i="30"/>
  <c r="CU152" i="30"/>
  <c r="CR152" i="30"/>
  <c r="CO152" i="30"/>
  <c r="CL152" i="30"/>
  <c r="CI152" i="30"/>
  <c r="BB152" i="30"/>
  <c r="AY152" i="30"/>
  <c r="AV152" i="30"/>
  <c r="AS152" i="30"/>
  <c r="AM152" i="30"/>
  <c r="AI152" i="30"/>
  <c r="AJ152" i="30" s="1"/>
  <c r="AG152" i="30"/>
  <c r="AD152" i="30"/>
  <c r="AA152" i="30"/>
  <c r="X152" i="30"/>
  <c r="CX151" i="30"/>
  <c r="CU151" i="30"/>
  <c r="CR151" i="30"/>
  <c r="CO151" i="30"/>
  <c r="CL151" i="30"/>
  <c r="CI151" i="30"/>
  <c r="BB151" i="30"/>
  <c r="AY151" i="30"/>
  <c r="AV151" i="30"/>
  <c r="AS151" i="30"/>
  <c r="AM151" i="30"/>
  <c r="AJ151" i="30"/>
  <c r="AG151" i="30"/>
  <c r="AD151" i="30"/>
  <c r="AA151" i="30"/>
  <c r="X151" i="30"/>
  <c r="CX150" i="30"/>
  <c r="CU150" i="30"/>
  <c r="CR150" i="30"/>
  <c r="CO150" i="30"/>
  <c r="CL150" i="30"/>
  <c r="CI150" i="30"/>
  <c r="BB150" i="30"/>
  <c r="AY150" i="30"/>
  <c r="AV150" i="30"/>
  <c r="AS150" i="30"/>
  <c r="AM150" i="30"/>
  <c r="AJ150" i="30"/>
  <c r="AG150" i="30"/>
  <c r="AD150" i="30"/>
  <c r="AA150" i="30"/>
  <c r="X150" i="30"/>
  <c r="CX149" i="30"/>
  <c r="CU149" i="30"/>
  <c r="CR149" i="30"/>
  <c r="CO149" i="30"/>
  <c r="CL149" i="30"/>
  <c r="CI149" i="30"/>
  <c r="BB149" i="30"/>
  <c r="AY149" i="30"/>
  <c r="AV149" i="30"/>
  <c r="AS149" i="30"/>
  <c r="AM149" i="30"/>
  <c r="AJ149" i="30"/>
  <c r="AG149" i="30"/>
  <c r="AD149" i="30"/>
  <c r="AA149" i="30"/>
  <c r="X149" i="30"/>
  <c r="CX148" i="30"/>
  <c r="CU148" i="30"/>
  <c r="CR148" i="30"/>
  <c r="CO148" i="30"/>
  <c r="CL148" i="30"/>
  <c r="CI148" i="30"/>
  <c r="BB148" i="30"/>
  <c r="AY148" i="30"/>
  <c r="AV148" i="30"/>
  <c r="AS148" i="30"/>
  <c r="AM148" i="30"/>
  <c r="AJ148" i="30"/>
  <c r="AG148" i="30"/>
  <c r="AD148" i="30"/>
  <c r="AA148" i="30"/>
  <c r="X148" i="30"/>
  <c r="CX147" i="30"/>
  <c r="CU147" i="30"/>
  <c r="CR147" i="30"/>
  <c r="CO147" i="30"/>
  <c r="CL147" i="30"/>
  <c r="CI147" i="30"/>
  <c r="BB147" i="30"/>
  <c r="AY147" i="30"/>
  <c r="AV147" i="30"/>
  <c r="AS147" i="30"/>
  <c r="AM147" i="30"/>
  <c r="AJ147" i="30"/>
  <c r="AG147" i="30"/>
  <c r="AD147" i="30"/>
  <c r="AA147" i="30"/>
  <c r="X147" i="30"/>
  <c r="CX146" i="30"/>
  <c r="CU146" i="30"/>
  <c r="CR146" i="30"/>
  <c r="CO146" i="30"/>
  <c r="CL146" i="30"/>
  <c r="CI146" i="30"/>
  <c r="BB146" i="30"/>
  <c r="AY146" i="30"/>
  <c r="AV146" i="30"/>
  <c r="AS146" i="30"/>
  <c r="AM146" i="30"/>
  <c r="AJ146" i="30"/>
  <c r="AG146" i="30"/>
  <c r="AD146" i="30"/>
  <c r="AA146" i="30"/>
  <c r="X146" i="30"/>
  <c r="CX145" i="30"/>
  <c r="CU145" i="30"/>
  <c r="CR145" i="30"/>
  <c r="CO145" i="30"/>
  <c r="CL145" i="30"/>
  <c r="CI145" i="30"/>
  <c r="BB145" i="30"/>
  <c r="AY145" i="30"/>
  <c r="AV145" i="30"/>
  <c r="AS145" i="30"/>
  <c r="AM145" i="30"/>
  <c r="AJ145" i="30"/>
  <c r="AG145" i="30"/>
  <c r="AD145" i="30"/>
  <c r="AA145" i="30"/>
  <c r="X145" i="30"/>
  <c r="CX144" i="30"/>
  <c r="CU144" i="30"/>
  <c r="CR144" i="30"/>
  <c r="CO144" i="30"/>
  <c r="CL144" i="30"/>
  <c r="CI144" i="30"/>
  <c r="BB144" i="30"/>
  <c r="AY144" i="30"/>
  <c r="AV144" i="30"/>
  <c r="AS144" i="30"/>
  <c r="AM144" i="30"/>
  <c r="AJ144" i="30"/>
  <c r="AG144" i="30"/>
  <c r="AD144" i="30"/>
  <c r="AA144" i="30"/>
  <c r="X144" i="30"/>
  <c r="CX143" i="30"/>
  <c r="CU143" i="30"/>
  <c r="CR143" i="30"/>
  <c r="CO143" i="30"/>
  <c r="CL143" i="30"/>
  <c r="CI143" i="30"/>
  <c r="BB143" i="30"/>
  <c r="AY143" i="30"/>
  <c r="AV143" i="30"/>
  <c r="AS143" i="30"/>
  <c r="AM143" i="30"/>
  <c r="AJ143" i="30"/>
  <c r="AG143" i="30"/>
  <c r="AD143" i="30"/>
  <c r="AA143" i="30"/>
  <c r="X143" i="30"/>
  <c r="CX142" i="30"/>
  <c r="CU142" i="30"/>
  <c r="CR142" i="30"/>
  <c r="CO142" i="30"/>
  <c r="CL142" i="30"/>
  <c r="CI142" i="30"/>
  <c r="BB142" i="30"/>
  <c r="AY142" i="30"/>
  <c r="AV142" i="30"/>
  <c r="AS142" i="30"/>
  <c r="AM142" i="30"/>
  <c r="AJ142" i="30"/>
  <c r="AG142" i="30"/>
  <c r="AD142" i="30"/>
  <c r="AA142" i="30"/>
  <c r="X142" i="30"/>
  <c r="CX141" i="30"/>
  <c r="CU141" i="30"/>
  <c r="CR141" i="30"/>
  <c r="CO141" i="30"/>
  <c r="CL141" i="30"/>
  <c r="CI141" i="30"/>
  <c r="BB141" i="30"/>
  <c r="AY141" i="30"/>
  <c r="AV141" i="30"/>
  <c r="AS141" i="30"/>
  <c r="AM141" i="30"/>
  <c r="AJ141" i="30"/>
  <c r="AG141" i="30"/>
  <c r="AD141" i="30"/>
  <c r="AA141" i="30"/>
  <c r="X141" i="30"/>
  <c r="CX140" i="30"/>
  <c r="CU140" i="30"/>
  <c r="CR140" i="30"/>
  <c r="CO140" i="30"/>
  <c r="CL140" i="30"/>
  <c r="CI140" i="30"/>
  <c r="BB140" i="30"/>
  <c r="AY140" i="30"/>
  <c r="AV140" i="30"/>
  <c r="AS140" i="30"/>
  <c r="AM140" i="30"/>
  <c r="AJ140" i="30"/>
  <c r="AG140" i="30"/>
  <c r="AD140" i="30"/>
  <c r="AA140" i="30"/>
  <c r="X140" i="30"/>
  <c r="CX139" i="30"/>
  <c r="CU139" i="30"/>
  <c r="CR139" i="30"/>
  <c r="CO139" i="30"/>
  <c r="CL139" i="30"/>
  <c r="CI139" i="30"/>
  <c r="BB139" i="30"/>
  <c r="AY139" i="30"/>
  <c r="AV139" i="30"/>
  <c r="AS139" i="30"/>
  <c r="AM139" i="30"/>
  <c r="AJ139" i="30"/>
  <c r="AG139" i="30"/>
  <c r="AD139" i="30"/>
  <c r="AA139" i="30"/>
  <c r="X139" i="30"/>
  <c r="CX138" i="30"/>
  <c r="CU138" i="30"/>
  <c r="CR138" i="30"/>
  <c r="CO138" i="30"/>
  <c r="CL138" i="30"/>
  <c r="CI138" i="30"/>
  <c r="BB138" i="30"/>
  <c r="AY138" i="30"/>
  <c r="AV138" i="30"/>
  <c r="AS138" i="30"/>
  <c r="AM138" i="30"/>
  <c r="AJ138" i="30"/>
  <c r="AG138" i="30"/>
  <c r="AD138" i="30"/>
  <c r="AA138" i="30"/>
  <c r="X138" i="30"/>
  <c r="CX137" i="30"/>
  <c r="CU137" i="30"/>
  <c r="CR137" i="30"/>
  <c r="CO137" i="30"/>
  <c r="CL137" i="30"/>
  <c r="CI137" i="30"/>
  <c r="BB137" i="30"/>
  <c r="AY137" i="30"/>
  <c r="AV137" i="30"/>
  <c r="AS137" i="30"/>
  <c r="AM137" i="30"/>
  <c r="AJ137" i="30"/>
  <c r="AG137" i="30"/>
  <c r="AD137" i="30"/>
  <c r="AA137" i="30"/>
  <c r="X137" i="30"/>
  <c r="CX136" i="30"/>
  <c r="CU136" i="30"/>
  <c r="CR136" i="30"/>
  <c r="CO136" i="30"/>
  <c r="CL136" i="30"/>
  <c r="CI136" i="30"/>
  <c r="BB136" i="30"/>
  <c r="AY136" i="30"/>
  <c r="AV136" i="30"/>
  <c r="AS136" i="30"/>
  <c r="AM136" i="30"/>
  <c r="AJ136" i="30"/>
  <c r="AG136" i="30"/>
  <c r="AD136" i="30"/>
  <c r="AA136" i="30"/>
  <c r="X136" i="30"/>
  <c r="CX135" i="30"/>
  <c r="CU135" i="30"/>
  <c r="CR135" i="30"/>
  <c r="CO135" i="30"/>
  <c r="CL135" i="30"/>
  <c r="CI135" i="30"/>
  <c r="BB135" i="30"/>
  <c r="AY135" i="30"/>
  <c r="AV135" i="30"/>
  <c r="AS135" i="30"/>
  <c r="AM135" i="30"/>
  <c r="AJ135" i="30"/>
  <c r="AG135" i="30"/>
  <c r="AD135" i="30"/>
  <c r="AA135" i="30"/>
  <c r="X135" i="30"/>
  <c r="CX134" i="30"/>
  <c r="CU134" i="30"/>
  <c r="CR134" i="30"/>
  <c r="CO134" i="30"/>
  <c r="CL134" i="30"/>
  <c r="CI134" i="30"/>
  <c r="BB134" i="30"/>
  <c r="AY134" i="30"/>
  <c r="AV134" i="30"/>
  <c r="AS134" i="30"/>
  <c r="AM134" i="30"/>
  <c r="AJ134" i="30"/>
  <c r="AG134" i="30"/>
  <c r="AD134" i="30"/>
  <c r="AA134" i="30"/>
  <c r="X134" i="30"/>
  <c r="CX133" i="30"/>
  <c r="CU133" i="30"/>
  <c r="CR133" i="30"/>
  <c r="CO133" i="30"/>
  <c r="CL133" i="30"/>
  <c r="CI133" i="30"/>
  <c r="BB133" i="30"/>
  <c r="AY133" i="30"/>
  <c r="AV133" i="30"/>
  <c r="AS133" i="30"/>
  <c r="AM133" i="30"/>
  <c r="AJ133" i="30"/>
  <c r="AG133" i="30"/>
  <c r="AD133" i="30"/>
  <c r="AA133" i="30"/>
  <c r="X133" i="30"/>
  <c r="CX132" i="30"/>
  <c r="CU132" i="30"/>
  <c r="CR132" i="30"/>
  <c r="CO132" i="30"/>
  <c r="CL132" i="30"/>
  <c r="CI132" i="30"/>
  <c r="BB132" i="30"/>
  <c r="AY132" i="30"/>
  <c r="AV132" i="30"/>
  <c r="AS132" i="30"/>
  <c r="AM132" i="30"/>
  <c r="AJ132" i="30"/>
  <c r="AG132" i="30"/>
  <c r="AD132" i="30"/>
  <c r="AA132" i="30"/>
  <c r="X132" i="30"/>
  <c r="CX131" i="30"/>
  <c r="CU131" i="30"/>
  <c r="CR131" i="30"/>
  <c r="CO131" i="30"/>
  <c r="CL131" i="30"/>
  <c r="CI131" i="30"/>
  <c r="BB131" i="30"/>
  <c r="AY131" i="30"/>
  <c r="AV131" i="30"/>
  <c r="AS131" i="30"/>
  <c r="AM131" i="30"/>
  <c r="AJ131" i="30"/>
  <c r="AG131" i="30"/>
  <c r="AD131" i="30"/>
  <c r="AA131" i="30"/>
  <c r="X131" i="30"/>
  <c r="CX130" i="30"/>
  <c r="CU130" i="30"/>
  <c r="CR130" i="30"/>
  <c r="CO130" i="30"/>
  <c r="CL130" i="30"/>
  <c r="CI130" i="30"/>
  <c r="BB130" i="30"/>
  <c r="AY130" i="30"/>
  <c r="AV130" i="30"/>
  <c r="AS130" i="30"/>
  <c r="AM130" i="30"/>
  <c r="AJ130" i="30"/>
  <c r="AG130" i="30"/>
  <c r="AD130" i="30"/>
  <c r="AA130" i="30"/>
  <c r="X130" i="30"/>
  <c r="CX129" i="30"/>
  <c r="CU129" i="30"/>
  <c r="CR129" i="30"/>
  <c r="CO129" i="30"/>
  <c r="CL129" i="30"/>
  <c r="CI129" i="30"/>
  <c r="BB129" i="30"/>
  <c r="AY129" i="30"/>
  <c r="AV129" i="30"/>
  <c r="AS129" i="30"/>
  <c r="AM129" i="30"/>
  <c r="AJ129" i="30"/>
  <c r="AG129" i="30"/>
  <c r="AD129" i="30"/>
  <c r="AA129" i="30"/>
  <c r="X129" i="30"/>
  <c r="CX128" i="30"/>
  <c r="CU128" i="30"/>
  <c r="CR128" i="30"/>
  <c r="CO128" i="30"/>
  <c r="CL128" i="30"/>
  <c r="CI128" i="30"/>
  <c r="BB128" i="30"/>
  <c r="AY128" i="30"/>
  <c r="AV128" i="30"/>
  <c r="AS128" i="30"/>
  <c r="AM128" i="30"/>
  <c r="AJ128" i="30"/>
  <c r="AG128" i="30"/>
  <c r="AD128" i="30"/>
  <c r="AA128" i="30"/>
  <c r="X128" i="30"/>
  <c r="CX127" i="30"/>
  <c r="CU127" i="30"/>
  <c r="CR127" i="30"/>
  <c r="CO127" i="30"/>
  <c r="CL127" i="30"/>
  <c r="CI127" i="30"/>
  <c r="BB127" i="30"/>
  <c r="AY127" i="30"/>
  <c r="AV127" i="30"/>
  <c r="AS127" i="30"/>
  <c r="AM127" i="30"/>
  <c r="AJ127" i="30"/>
  <c r="AG127" i="30"/>
  <c r="AD127" i="30"/>
  <c r="AA127" i="30"/>
  <c r="X127" i="30"/>
  <c r="CX126" i="30"/>
  <c r="CU126" i="30"/>
  <c r="CR126" i="30"/>
  <c r="CO126" i="30"/>
  <c r="CL126" i="30"/>
  <c r="CI126" i="30"/>
  <c r="BB126" i="30"/>
  <c r="AY126" i="30"/>
  <c r="AV126" i="30"/>
  <c r="AS126" i="30"/>
  <c r="AM126" i="30"/>
  <c r="AJ126" i="30"/>
  <c r="AG126" i="30"/>
  <c r="AD126" i="30"/>
  <c r="AA126" i="30"/>
  <c r="X126" i="30"/>
  <c r="CX125" i="30"/>
  <c r="CU125" i="30"/>
  <c r="CR125" i="30"/>
  <c r="CO125" i="30"/>
  <c r="CL125" i="30"/>
  <c r="CI125" i="30"/>
  <c r="BB125" i="30"/>
  <c r="AY125" i="30"/>
  <c r="AV125" i="30"/>
  <c r="AS125" i="30"/>
  <c r="AM125" i="30"/>
  <c r="AJ125" i="30"/>
  <c r="AG125" i="30"/>
  <c r="AD125" i="30"/>
  <c r="AA125" i="30"/>
  <c r="X125" i="30"/>
  <c r="CX124" i="30"/>
  <c r="CU124" i="30"/>
  <c r="CR124" i="30"/>
  <c r="CO124" i="30"/>
  <c r="CL124" i="30"/>
  <c r="CI124" i="30"/>
  <c r="BB124" i="30"/>
  <c r="AY124" i="30"/>
  <c r="AV124" i="30"/>
  <c r="AS124" i="30"/>
  <c r="AM124" i="30"/>
  <c r="AJ124" i="30"/>
  <c r="AG124" i="30"/>
  <c r="AD124" i="30"/>
  <c r="AA124" i="30"/>
  <c r="X124" i="30"/>
  <c r="CX123" i="30"/>
  <c r="CU123" i="30"/>
  <c r="CR123" i="30"/>
  <c r="CO123" i="30"/>
  <c r="CL123" i="30"/>
  <c r="CI123" i="30"/>
  <c r="BB123" i="30"/>
  <c r="AY123" i="30"/>
  <c r="AV123" i="30"/>
  <c r="AS123" i="30"/>
  <c r="AM123" i="30"/>
  <c r="AJ123" i="30"/>
  <c r="AG123" i="30"/>
  <c r="AD123" i="30"/>
  <c r="AA123" i="30"/>
  <c r="X123" i="30"/>
  <c r="CX122" i="30"/>
  <c r="CU122" i="30"/>
  <c r="CR122" i="30"/>
  <c r="CO122" i="30"/>
  <c r="CL122" i="30"/>
  <c r="CI122" i="30"/>
  <c r="BB122" i="30"/>
  <c r="AY122" i="30"/>
  <c r="AV122" i="30"/>
  <c r="AS122" i="30"/>
  <c r="AM122" i="30"/>
  <c r="AJ122" i="30"/>
  <c r="AG122" i="30"/>
  <c r="AD122" i="30"/>
  <c r="AA122" i="30"/>
  <c r="X122" i="30"/>
  <c r="CX121" i="30"/>
  <c r="CU121" i="30"/>
  <c r="CR121" i="30"/>
  <c r="CO121" i="30"/>
  <c r="CL121" i="30"/>
  <c r="CI121" i="30"/>
  <c r="BB121" i="30"/>
  <c r="AY121" i="30"/>
  <c r="AV121" i="30"/>
  <c r="AS121" i="30"/>
  <c r="AM121" i="30"/>
  <c r="AJ121" i="30"/>
  <c r="AG121" i="30"/>
  <c r="AD121" i="30"/>
  <c r="AA121" i="30"/>
  <c r="X121" i="30"/>
  <c r="CX120" i="30"/>
  <c r="CU120" i="30"/>
  <c r="CR120" i="30"/>
  <c r="CO120" i="30"/>
  <c r="CL120" i="30"/>
  <c r="CI120" i="30"/>
  <c r="BB120" i="30"/>
  <c r="AY120" i="30"/>
  <c r="AV120" i="30"/>
  <c r="AS120" i="30"/>
  <c r="AM120" i="30"/>
  <c r="AJ120" i="30"/>
  <c r="AG120" i="30"/>
  <c r="AD120" i="30"/>
  <c r="AA120" i="30"/>
  <c r="X120" i="30"/>
  <c r="CX119" i="30"/>
  <c r="CU119" i="30"/>
  <c r="CR119" i="30"/>
  <c r="CO119" i="30"/>
  <c r="CL119" i="30"/>
  <c r="CI119" i="30"/>
  <c r="BB119" i="30"/>
  <c r="AY119" i="30"/>
  <c r="AV119" i="30"/>
  <c r="AS119" i="30"/>
  <c r="AM119" i="30"/>
  <c r="AJ119" i="30"/>
  <c r="AG119" i="30"/>
  <c r="AD119" i="30"/>
  <c r="AA119" i="30"/>
  <c r="X119" i="30"/>
  <c r="CX118" i="30"/>
  <c r="CU118" i="30"/>
  <c r="CR118" i="30"/>
  <c r="CO118" i="30"/>
  <c r="CL118" i="30"/>
  <c r="CI118" i="30"/>
  <c r="BB118" i="30"/>
  <c r="AY118" i="30"/>
  <c r="AV118" i="30"/>
  <c r="AS118" i="30"/>
  <c r="AM118" i="30"/>
  <c r="AJ118" i="30"/>
  <c r="AG118" i="30"/>
  <c r="AD118" i="30"/>
  <c r="AA118" i="30"/>
  <c r="X118" i="30"/>
  <c r="CX117" i="30"/>
  <c r="CU117" i="30"/>
  <c r="CR117" i="30"/>
  <c r="CO117" i="30"/>
  <c r="CL117" i="30"/>
  <c r="CI117" i="30"/>
  <c r="BB117" i="30"/>
  <c r="AY117" i="30"/>
  <c r="AV117" i="30"/>
  <c r="AS117" i="30"/>
  <c r="AM117" i="30"/>
  <c r="AJ117" i="30"/>
  <c r="AG117" i="30"/>
  <c r="AD117" i="30"/>
  <c r="AA117" i="30"/>
  <c r="X117" i="30"/>
  <c r="CX116" i="30"/>
  <c r="CU116" i="30"/>
  <c r="CR116" i="30"/>
  <c r="CO116" i="30"/>
  <c r="CL116" i="30"/>
  <c r="CI116" i="30"/>
  <c r="BB116" i="30"/>
  <c r="AY116" i="30"/>
  <c r="AV116" i="30"/>
  <c r="AS116" i="30"/>
  <c r="AM116" i="30"/>
  <c r="AJ116" i="30"/>
  <c r="AG116" i="30"/>
  <c r="AD116" i="30"/>
  <c r="AA116" i="30"/>
  <c r="X116" i="30"/>
  <c r="CX115" i="30"/>
  <c r="CU115" i="30"/>
  <c r="CR115" i="30"/>
  <c r="CO115" i="30"/>
  <c r="CL115" i="30"/>
  <c r="CI115" i="30"/>
  <c r="BB115" i="30"/>
  <c r="AY115" i="30"/>
  <c r="AV115" i="30"/>
  <c r="AS115" i="30"/>
  <c r="AM115" i="30"/>
  <c r="AJ115" i="30"/>
  <c r="AG115" i="30"/>
  <c r="AD115" i="30"/>
  <c r="AA115" i="30"/>
  <c r="X115" i="30"/>
  <c r="CX114" i="30"/>
  <c r="CU114" i="30"/>
  <c r="CR114" i="30"/>
  <c r="CO114" i="30"/>
  <c r="CL114" i="30"/>
  <c r="CI114" i="30"/>
  <c r="BB114" i="30"/>
  <c r="AY114" i="30"/>
  <c r="AV114" i="30"/>
  <c r="AS114" i="30"/>
  <c r="AM114" i="30"/>
  <c r="AJ114" i="30"/>
  <c r="AG114" i="30"/>
  <c r="AD114" i="30"/>
  <c r="AA114" i="30"/>
  <c r="X114" i="30"/>
  <c r="CX113" i="30"/>
  <c r="CU113" i="30"/>
  <c r="CR113" i="30"/>
  <c r="CO113" i="30"/>
  <c r="CL113" i="30"/>
  <c r="CI113" i="30"/>
  <c r="BB113" i="30"/>
  <c r="AY113" i="30"/>
  <c r="AV113" i="30"/>
  <c r="AS113" i="30"/>
  <c r="AM113" i="30"/>
  <c r="AJ113" i="30"/>
  <c r="AG113" i="30"/>
  <c r="AD113" i="30"/>
  <c r="AA113" i="30"/>
  <c r="X113" i="30"/>
  <c r="CX112" i="30"/>
  <c r="CU112" i="30"/>
  <c r="CR112" i="30"/>
  <c r="CO112" i="30"/>
  <c r="CL112" i="30"/>
  <c r="CI112" i="30"/>
  <c r="BB112" i="30"/>
  <c r="AY112" i="30"/>
  <c r="AV112" i="30"/>
  <c r="AS112" i="30"/>
  <c r="AM112" i="30"/>
  <c r="AJ112" i="30"/>
  <c r="AG112" i="30"/>
  <c r="AD112" i="30"/>
  <c r="AA112" i="30"/>
  <c r="X112" i="30"/>
  <c r="CX111" i="30"/>
  <c r="CU111" i="30"/>
  <c r="CR111" i="30"/>
  <c r="CO111" i="30"/>
  <c r="CL111" i="30"/>
  <c r="CI111" i="30"/>
  <c r="BB111" i="30"/>
  <c r="AY111" i="30"/>
  <c r="AV111" i="30"/>
  <c r="AS111" i="30"/>
  <c r="AM111" i="30"/>
  <c r="AJ111" i="30"/>
  <c r="AG111" i="30"/>
  <c r="AD111" i="30"/>
  <c r="AA111" i="30"/>
  <c r="X111" i="30"/>
  <c r="CX110" i="30"/>
  <c r="CU110" i="30"/>
  <c r="CR110" i="30"/>
  <c r="CO110" i="30"/>
  <c r="CL110" i="30"/>
  <c r="CI110" i="30"/>
  <c r="BB110" i="30"/>
  <c r="AY110" i="30"/>
  <c r="AV110" i="30"/>
  <c r="AS110" i="30"/>
  <c r="AM110" i="30"/>
  <c r="AJ110" i="30"/>
  <c r="AG110" i="30"/>
  <c r="AD110" i="30"/>
  <c r="AA110" i="30"/>
  <c r="X110" i="30"/>
  <c r="CX109" i="30"/>
  <c r="CU109" i="30"/>
  <c r="CR109" i="30"/>
  <c r="CO109" i="30"/>
  <c r="CL109" i="30"/>
  <c r="CI109" i="30"/>
  <c r="BB109" i="30"/>
  <c r="AY109" i="30"/>
  <c r="AV109" i="30"/>
  <c r="AS109" i="30"/>
  <c r="AM109" i="30"/>
  <c r="AJ109" i="30"/>
  <c r="AG109" i="30"/>
  <c r="AD109" i="30"/>
  <c r="AA109" i="30"/>
  <c r="X109" i="30"/>
  <c r="CX108" i="30"/>
  <c r="CU108" i="30"/>
  <c r="CR108" i="30"/>
  <c r="CO108" i="30"/>
  <c r="CL108" i="30"/>
  <c r="CI108" i="30"/>
  <c r="BB108" i="30"/>
  <c r="AY108" i="30"/>
  <c r="AV108" i="30"/>
  <c r="AS108" i="30"/>
  <c r="AM108" i="30"/>
  <c r="AJ108" i="30"/>
  <c r="AG108" i="30"/>
  <c r="AD108" i="30"/>
  <c r="AA108" i="30"/>
  <c r="X108" i="30"/>
  <c r="CX107" i="30"/>
  <c r="CU107" i="30"/>
  <c r="CR107" i="30"/>
  <c r="CO107" i="30"/>
  <c r="CL107" i="30"/>
  <c r="CI107" i="30"/>
  <c r="BB107" i="30"/>
  <c r="AY107" i="30"/>
  <c r="AV107" i="30"/>
  <c r="AS107" i="30"/>
  <c r="AM107" i="30"/>
  <c r="AJ107" i="30"/>
  <c r="AG107" i="30"/>
  <c r="AD107" i="30"/>
  <c r="AA107" i="30"/>
  <c r="X107" i="30"/>
  <c r="CX106" i="30"/>
  <c r="CU106" i="30"/>
  <c r="CR106" i="30"/>
  <c r="CO106" i="30"/>
  <c r="CL106" i="30"/>
  <c r="CI106" i="30"/>
  <c r="BB106" i="30"/>
  <c r="AY106" i="30"/>
  <c r="AV106" i="30"/>
  <c r="AS106" i="30"/>
  <c r="AM106" i="30"/>
  <c r="AJ106" i="30"/>
  <c r="AG106" i="30"/>
  <c r="AD106" i="30"/>
  <c r="AA106" i="30"/>
  <c r="X106" i="30"/>
  <c r="CX105" i="30"/>
  <c r="CU105" i="30"/>
  <c r="CR105" i="30"/>
  <c r="CO105" i="30"/>
  <c r="CL105" i="30"/>
  <c r="CI105" i="30"/>
  <c r="BB105" i="30"/>
  <c r="AY105" i="30"/>
  <c r="AV105" i="30"/>
  <c r="AS105" i="30"/>
  <c r="AM105" i="30"/>
  <c r="AJ105" i="30"/>
  <c r="AG105" i="30"/>
  <c r="AD105" i="30"/>
  <c r="AA105" i="30"/>
  <c r="X105" i="30"/>
  <c r="CX104" i="30"/>
  <c r="CU104" i="30"/>
  <c r="CR104" i="30"/>
  <c r="CO104" i="30"/>
  <c r="CL104" i="30"/>
  <c r="CI104" i="30"/>
  <c r="BB104" i="30"/>
  <c r="AY104" i="30"/>
  <c r="AV104" i="30"/>
  <c r="AS104" i="30"/>
  <c r="AM104" i="30"/>
  <c r="AJ104" i="30"/>
  <c r="AG104" i="30"/>
  <c r="AD104" i="30"/>
  <c r="AA104" i="30"/>
  <c r="X104" i="30"/>
  <c r="CX103" i="30"/>
  <c r="CU103" i="30"/>
  <c r="CR103" i="30"/>
  <c r="CO103" i="30"/>
  <c r="CL103" i="30"/>
  <c r="CI103" i="30"/>
  <c r="BB103" i="30"/>
  <c r="AY103" i="30"/>
  <c r="AV103" i="30"/>
  <c r="AS103" i="30"/>
  <c r="AM103" i="30"/>
  <c r="AJ103" i="30"/>
  <c r="AG103" i="30"/>
  <c r="AD103" i="30"/>
  <c r="AA103" i="30"/>
  <c r="X103" i="30"/>
  <c r="CX102" i="30"/>
  <c r="CU102" i="30"/>
  <c r="CR102" i="30"/>
  <c r="CO102" i="30"/>
  <c r="CL102" i="30"/>
  <c r="CI102" i="30"/>
  <c r="BB102" i="30"/>
  <c r="AY102" i="30"/>
  <c r="AV102" i="30"/>
  <c r="AS102" i="30"/>
  <c r="AM102" i="30"/>
  <c r="AJ102" i="30"/>
  <c r="AG102" i="30"/>
  <c r="AD102" i="30"/>
  <c r="AA102" i="30"/>
  <c r="X102" i="30"/>
  <c r="CX101" i="30"/>
  <c r="CU101" i="30"/>
  <c r="CR101" i="30"/>
  <c r="CO101" i="30"/>
  <c r="CL101" i="30"/>
  <c r="CI101" i="30"/>
  <c r="BB101" i="30"/>
  <c r="AY101" i="30"/>
  <c r="AV101" i="30"/>
  <c r="AS101" i="30"/>
  <c r="AM101" i="30"/>
  <c r="AJ101" i="30"/>
  <c r="AG101" i="30"/>
  <c r="AD101" i="30"/>
  <c r="AA101" i="30"/>
  <c r="X101" i="30"/>
  <c r="CX100" i="30"/>
  <c r="CU100" i="30"/>
  <c r="CR100" i="30"/>
  <c r="CO100" i="30"/>
  <c r="CL100" i="30"/>
  <c r="CI100" i="30"/>
  <c r="BB100" i="30"/>
  <c r="AY100" i="30"/>
  <c r="AV100" i="30"/>
  <c r="AS100" i="30"/>
  <c r="AM100" i="30"/>
  <c r="AJ100" i="30"/>
  <c r="AG100" i="30"/>
  <c r="AD100" i="30"/>
  <c r="AA100" i="30"/>
  <c r="X100" i="30"/>
  <c r="CX99" i="30"/>
  <c r="CU99" i="30"/>
  <c r="CR99" i="30"/>
  <c r="CO99" i="30"/>
  <c r="CL99" i="30"/>
  <c r="CI99" i="30"/>
  <c r="BB99" i="30"/>
  <c r="AY99" i="30"/>
  <c r="AV99" i="30"/>
  <c r="AS99" i="30"/>
  <c r="AM99" i="30"/>
  <c r="AJ99" i="30"/>
  <c r="AG99" i="30"/>
  <c r="AD99" i="30"/>
  <c r="AA99" i="30"/>
  <c r="X99" i="30"/>
  <c r="CX98" i="30"/>
  <c r="CU98" i="30"/>
  <c r="CR98" i="30"/>
  <c r="CO98" i="30"/>
  <c r="CL98" i="30"/>
  <c r="CI98" i="30"/>
  <c r="BB98" i="30"/>
  <c r="AY98" i="30"/>
  <c r="AV98" i="30"/>
  <c r="AS98" i="30"/>
  <c r="AM98" i="30"/>
  <c r="AJ98" i="30"/>
  <c r="AG98" i="30"/>
  <c r="AD98" i="30"/>
  <c r="AA98" i="30"/>
  <c r="X98" i="30"/>
  <c r="CX97" i="30"/>
  <c r="CU97" i="30"/>
  <c r="CR97" i="30"/>
  <c r="CO97" i="30"/>
  <c r="CL97" i="30"/>
  <c r="CI97" i="30"/>
  <c r="BB97" i="30"/>
  <c r="AY97" i="30"/>
  <c r="AV97" i="30"/>
  <c r="AS97" i="30"/>
  <c r="AM97" i="30"/>
  <c r="AJ97" i="30"/>
  <c r="AG97" i="30"/>
  <c r="AD97" i="30"/>
  <c r="AA97" i="30"/>
  <c r="X97" i="30"/>
  <c r="CX96" i="30"/>
  <c r="CU96" i="30"/>
  <c r="CR96" i="30"/>
  <c r="CO96" i="30"/>
  <c r="CL96" i="30"/>
  <c r="CI96" i="30"/>
  <c r="BB96" i="30"/>
  <c r="AY96" i="30"/>
  <c r="AV96" i="30"/>
  <c r="AS96" i="30"/>
  <c r="AS2" i="30" s="1"/>
  <c r="AM96" i="30"/>
  <c r="AJ96" i="30"/>
  <c r="AG96" i="30"/>
  <c r="AD96" i="30"/>
  <c r="AA96" i="30"/>
  <c r="X96" i="30"/>
  <c r="CX95" i="30"/>
  <c r="CV95" i="30"/>
  <c r="CU95" i="30"/>
  <c r="CS95" i="30"/>
  <c r="CP95" i="30"/>
  <c r="CR95" i="30" s="1"/>
  <c r="CO95" i="30"/>
  <c r="CL95" i="30"/>
  <c r="CI95" i="30"/>
  <c r="BB95" i="30"/>
  <c r="AY95" i="30"/>
  <c r="AV95" i="30"/>
  <c r="AS95" i="30"/>
  <c r="AM95" i="30"/>
  <c r="AJ95" i="30"/>
  <c r="AG95" i="30"/>
  <c r="AD95" i="30"/>
  <c r="AA95" i="30"/>
  <c r="X95" i="30"/>
  <c r="CX94" i="30"/>
  <c r="CU94" i="30"/>
  <c r="CR94" i="30"/>
  <c r="CO94" i="30"/>
  <c r="CL94" i="30"/>
  <c r="CI94" i="30"/>
  <c r="BB94" i="30"/>
  <c r="AY94" i="30"/>
  <c r="AV94" i="30"/>
  <c r="AS94" i="30"/>
  <c r="AM94" i="30"/>
  <c r="AJ94" i="30"/>
  <c r="AG94" i="30"/>
  <c r="AD94" i="30"/>
  <c r="AA94" i="30"/>
  <c r="X94" i="30"/>
  <c r="CX93" i="30"/>
  <c r="CU93" i="30"/>
  <c r="CR93" i="30"/>
  <c r="CO93" i="30"/>
  <c r="CL93" i="30"/>
  <c r="CI93" i="30"/>
  <c r="BB93" i="30"/>
  <c r="AY93" i="30"/>
  <c r="AV93" i="30"/>
  <c r="AS93" i="30"/>
  <c r="AM93" i="30"/>
  <c r="AJ93" i="30"/>
  <c r="AG93" i="30"/>
  <c r="AD93" i="30"/>
  <c r="AA93" i="30"/>
  <c r="X93" i="30"/>
  <c r="CX92" i="30"/>
  <c r="CU92" i="30"/>
  <c r="CR92" i="30"/>
  <c r="CO92" i="30"/>
  <c r="CL92" i="30"/>
  <c r="CI92" i="30"/>
  <c r="BB92" i="30"/>
  <c r="AY92" i="30"/>
  <c r="AV92" i="30"/>
  <c r="AS92" i="30"/>
  <c r="AM92" i="30"/>
  <c r="AJ92" i="30"/>
  <c r="AG92" i="30"/>
  <c r="AD92" i="30"/>
  <c r="AA92" i="30"/>
  <c r="X92" i="30"/>
  <c r="CX91" i="30"/>
  <c r="CU91" i="30"/>
  <c r="CR91" i="30"/>
  <c r="CO91" i="30"/>
  <c r="CL91" i="30"/>
  <c r="CI91" i="30"/>
  <c r="BB91" i="30"/>
  <c r="AY91" i="30"/>
  <c r="AV91" i="30"/>
  <c r="AS91" i="30"/>
  <c r="AM91" i="30"/>
  <c r="AJ91" i="30"/>
  <c r="AG91" i="30"/>
  <c r="AD91" i="30"/>
  <c r="AA91" i="30"/>
  <c r="X91" i="30"/>
  <c r="CX90" i="30"/>
  <c r="CU90" i="30"/>
  <c r="CR90" i="30"/>
  <c r="CO90" i="30"/>
  <c r="CL90" i="30"/>
  <c r="CI90" i="30"/>
  <c r="BB90" i="30"/>
  <c r="AY90" i="30"/>
  <c r="AV90" i="30"/>
  <c r="AS90" i="30"/>
  <c r="AM90" i="30"/>
  <c r="AJ90" i="30"/>
  <c r="AG90" i="30"/>
  <c r="AD90" i="30"/>
  <c r="AA90" i="30"/>
  <c r="X90" i="30"/>
  <c r="W90" i="30"/>
  <c r="W267" i="30" s="1"/>
  <c r="CX89" i="30"/>
  <c r="CU89" i="30"/>
  <c r="CR89" i="30"/>
  <c r="CO89" i="30"/>
  <c r="CL89" i="30"/>
  <c r="CI89" i="30"/>
  <c r="BB89" i="30"/>
  <c r="AY89" i="30"/>
  <c r="AV89" i="30"/>
  <c r="AS89" i="30"/>
  <c r="AM89" i="30"/>
  <c r="AJ89" i="30"/>
  <c r="AG89" i="30"/>
  <c r="AD89" i="30"/>
  <c r="AA89" i="30"/>
  <c r="X89" i="30"/>
  <c r="CX88" i="30"/>
  <c r="CU88" i="30"/>
  <c r="CR88" i="30"/>
  <c r="CO88" i="30"/>
  <c r="CL88" i="30"/>
  <c r="CI88" i="30"/>
  <c r="BB88" i="30"/>
  <c r="AY88" i="30"/>
  <c r="AV88" i="30"/>
  <c r="AS88" i="30"/>
  <c r="AM88" i="30"/>
  <c r="AJ88" i="30"/>
  <c r="AG88" i="30"/>
  <c r="AD88" i="30"/>
  <c r="AA88" i="30"/>
  <c r="X88" i="30"/>
  <c r="CX87" i="30"/>
  <c r="CU87" i="30"/>
  <c r="CR87" i="30"/>
  <c r="CO87" i="30"/>
  <c r="CL87" i="30"/>
  <c r="CI87" i="30"/>
  <c r="BB87" i="30"/>
  <c r="AY87" i="30"/>
  <c r="AV87" i="30"/>
  <c r="AS87" i="30"/>
  <c r="AM87" i="30"/>
  <c r="AJ87" i="30"/>
  <c r="AG87" i="30"/>
  <c r="AD87" i="30"/>
  <c r="AA87" i="30"/>
  <c r="X87" i="30"/>
  <c r="CX86" i="30"/>
  <c r="CU86" i="30"/>
  <c r="CR86" i="30"/>
  <c r="CO86" i="30"/>
  <c r="CL86" i="30"/>
  <c r="CI86" i="30"/>
  <c r="BB86" i="30"/>
  <c r="AY86" i="30"/>
  <c r="AV86" i="30"/>
  <c r="AS86" i="30"/>
  <c r="AM86" i="30"/>
  <c r="AJ86" i="30"/>
  <c r="AG86" i="30"/>
  <c r="AD86" i="30"/>
  <c r="AA86" i="30"/>
  <c r="X86" i="30"/>
  <c r="CX85" i="30"/>
  <c r="CU85" i="30"/>
  <c r="CR85" i="30"/>
  <c r="CO85" i="30"/>
  <c r="CL85" i="30"/>
  <c r="CI85" i="30"/>
  <c r="BB85" i="30"/>
  <c r="AY85" i="30"/>
  <c r="AV85" i="30"/>
  <c r="AS85" i="30"/>
  <c r="AM85" i="30"/>
  <c r="AJ85" i="30"/>
  <c r="AG85" i="30"/>
  <c r="AD85" i="30"/>
  <c r="AA85" i="30"/>
  <c r="X85" i="30"/>
  <c r="CX84" i="30"/>
  <c r="CU84" i="30"/>
  <c r="CR84" i="30"/>
  <c r="CO84" i="30"/>
  <c r="CL84" i="30"/>
  <c r="CI84" i="30"/>
  <c r="BB84" i="30"/>
  <c r="AY84" i="30"/>
  <c r="AV84" i="30"/>
  <c r="AS84" i="30"/>
  <c r="AM84" i="30"/>
  <c r="AJ84" i="30"/>
  <c r="AG84" i="30"/>
  <c r="AD84" i="30"/>
  <c r="AA84" i="30"/>
  <c r="X84" i="30"/>
  <c r="CX83" i="30"/>
  <c r="CU83" i="30"/>
  <c r="CR83" i="30"/>
  <c r="CO83" i="30"/>
  <c r="CL83" i="30"/>
  <c r="CI83" i="30"/>
  <c r="BB83" i="30"/>
  <c r="AY83" i="30"/>
  <c r="AV83" i="30"/>
  <c r="AS83" i="30"/>
  <c r="AM83" i="30"/>
  <c r="AJ83" i="30"/>
  <c r="AG83" i="30"/>
  <c r="AD83" i="30"/>
  <c r="AA83" i="30"/>
  <c r="X83" i="30"/>
  <c r="CX82" i="30"/>
  <c r="CU82" i="30"/>
  <c r="CR82" i="30"/>
  <c r="CO82" i="30"/>
  <c r="CL82" i="30"/>
  <c r="CI82" i="30"/>
  <c r="BB82" i="30"/>
  <c r="AY82" i="30"/>
  <c r="AV82" i="30"/>
  <c r="AS82" i="30"/>
  <c r="AM82" i="30"/>
  <c r="AJ82" i="30"/>
  <c r="AG82" i="30"/>
  <c r="AD82" i="30"/>
  <c r="AA82" i="30"/>
  <c r="X82" i="30"/>
  <c r="CX81" i="30"/>
  <c r="CU81" i="30"/>
  <c r="CR81" i="30"/>
  <c r="CO81" i="30"/>
  <c r="CL81" i="30"/>
  <c r="CI81" i="30"/>
  <c r="BB81" i="30"/>
  <c r="AY81" i="30"/>
  <c r="AV81" i="30"/>
  <c r="AS81" i="30"/>
  <c r="AM81" i="30"/>
  <c r="AJ81" i="30"/>
  <c r="AG81" i="30"/>
  <c r="AD81" i="30"/>
  <c r="AA81" i="30"/>
  <c r="X81" i="30"/>
  <c r="CX80" i="30"/>
  <c r="CU80" i="30"/>
  <c r="CR80" i="30"/>
  <c r="CO80" i="30"/>
  <c r="CL80" i="30"/>
  <c r="CI80" i="30"/>
  <c r="BB80" i="30"/>
  <c r="AY80" i="30"/>
  <c r="AV80" i="30"/>
  <c r="AS80" i="30"/>
  <c r="AM80" i="30"/>
  <c r="AJ80" i="30"/>
  <c r="AG80" i="30"/>
  <c r="AD80" i="30"/>
  <c r="AA80" i="30"/>
  <c r="X80" i="30"/>
  <c r="CX79" i="30"/>
  <c r="CU79" i="30"/>
  <c r="CR79" i="30"/>
  <c r="CO79" i="30"/>
  <c r="CL79" i="30"/>
  <c r="CI79" i="30"/>
  <c r="BB79" i="30"/>
  <c r="AY79" i="30"/>
  <c r="AV79" i="30"/>
  <c r="AS79" i="30"/>
  <c r="AM79" i="30"/>
  <c r="AJ79" i="30"/>
  <c r="AG79" i="30"/>
  <c r="AD79" i="30"/>
  <c r="AA79" i="30"/>
  <c r="X79" i="30"/>
  <c r="CX78" i="30"/>
  <c r="CU78" i="30"/>
  <c r="CR78" i="30"/>
  <c r="CO78" i="30"/>
  <c r="CL78" i="30"/>
  <c r="CI78" i="30"/>
  <c r="BB78" i="30"/>
  <c r="AY78" i="30"/>
  <c r="AV78" i="30"/>
  <c r="AS78" i="30"/>
  <c r="AM78" i="30"/>
  <c r="AJ78" i="30"/>
  <c r="AG78" i="30"/>
  <c r="AD78" i="30"/>
  <c r="AA78" i="30"/>
  <c r="X78" i="30"/>
  <c r="CX77" i="30"/>
  <c r="CU77" i="30"/>
  <c r="CR77" i="30"/>
  <c r="CO77" i="30"/>
  <c r="CL77" i="30"/>
  <c r="CI77" i="30"/>
  <c r="BB77" i="30"/>
  <c r="AY77" i="30"/>
  <c r="AV77" i="30"/>
  <c r="AS77" i="30"/>
  <c r="AM77" i="30"/>
  <c r="AJ77" i="30"/>
  <c r="AG77" i="30"/>
  <c r="AD77" i="30"/>
  <c r="AA77" i="30"/>
  <c r="X77" i="30"/>
  <c r="CX76" i="30"/>
  <c r="CU76" i="30"/>
  <c r="CR76" i="30"/>
  <c r="CO76" i="30"/>
  <c r="CL76" i="30"/>
  <c r="CI76" i="30"/>
  <c r="BB76" i="30"/>
  <c r="AY76" i="30"/>
  <c r="AV76" i="30"/>
  <c r="AS76" i="30"/>
  <c r="AM76" i="30"/>
  <c r="AJ76" i="30"/>
  <c r="AG76" i="30"/>
  <c r="AD76" i="30"/>
  <c r="AA76" i="30"/>
  <c r="X76" i="30"/>
  <c r="CX75" i="30"/>
  <c r="CU75" i="30"/>
  <c r="CR75" i="30"/>
  <c r="CO75" i="30"/>
  <c r="CL75" i="30"/>
  <c r="CI75" i="30"/>
  <c r="BB75" i="30"/>
  <c r="AY75" i="30"/>
  <c r="AV75" i="30"/>
  <c r="AS75" i="30"/>
  <c r="AM75" i="30"/>
  <c r="AJ75" i="30"/>
  <c r="AG75" i="30"/>
  <c r="AD75" i="30"/>
  <c r="AA75" i="30"/>
  <c r="X75" i="30"/>
  <c r="CX74" i="30"/>
  <c r="CU74" i="30"/>
  <c r="CR74" i="30"/>
  <c r="CO74" i="30"/>
  <c r="CL74" i="30"/>
  <c r="CI74" i="30"/>
  <c r="BB74" i="30"/>
  <c r="AY74" i="30"/>
  <c r="AV74" i="30"/>
  <c r="AS74" i="30"/>
  <c r="AM74" i="30"/>
  <c r="AJ74" i="30"/>
  <c r="AG74" i="30"/>
  <c r="AD74" i="30"/>
  <c r="AA74" i="30"/>
  <c r="X74" i="30"/>
  <c r="CX73" i="30"/>
  <c r="CU73" i="30"/>
  <c r="CR73" i="30"/>
  <c r="CO73" i="30"/>
  <c r="CL73" i="30"/>
  <c r="CI73" i="30"/>
  <c r="BB73" i="30"/>
  <c r="AY73" i="30"/>
  <c r="AV73" i="30"/>
  <c r="AS73" i="30"/>
  <c r="AM73" i="30"/>
  <c r="AJ73" i="30"/>
  <c r="AG73" i="30"/>
  <c r="AD73" i="30"/>
  <c r="AA73" i="30"/>
  <c r="X73" i="30"/>
  <c r="CX72" i="30"/>
  <c r="CU72" i="30"/>
  <c r="CR72" i="30"/>
  <c r="CO72" i="30"/>
  <c r="CL72" i="30"/>
  <c r="CI72" i="30"/>
  <c r="BB72" i="30"/>
  <c r="AY72" i="30"/>
  <c r="AV72" i="30"/>
  <c r="AS72" i="30"/>
  <c r="AM72" i="30"/>
  <c r="AJ72" i="30"/>
  <c r="AG72" i="30"/>
  <c r="AD72" i="30"/>
  <c r="AA72" i="30"/>
  <c r="X72" i="30"/>
  <c r="CX71" i="30"/>
  <c r="CU71" i="30"/>
  <c r="CR71" i="30"/>
  <c r="CO71" i="30"/>
  <c r="CL71" i="30"/>
  <c r="CI71" i="30"/>
  <c r="BB71" i="30"/>
  <c r="AY71" i="30"/>
  <c r="AV71" i="30"/>
  <c r="AS71" i="30"/>
  <c r="AM71" i="30"/>
  <c r="AJ71" i="30"/>
  <c r="AG71" i="30"/>
  <c r="AD71" i="30"/>
  <c r="AA71" i="30"/>
  <c r="X71" i="30"/>
  <c r="CX70" i="30"/>
  <c r="CU70" i="30"/>
  <c r="CR70" i="30"/>
  <c r="CO70" i="30"/>
  <c r="CL70" i="30"/>
  <c r="CI70" i="30"/>
  <c r="BB70" i="30"/>
  <c r="AY70" i="30"/>
  <c r="AV70" i="30"/>
  <c r="AS70" i="30"/>
  <c r="AM70" i="30"/>
  <c r="AJ70" i="30"/>
  <c r="AG70" i="30"/>
  <c r="AD70" i="30"/>
  <c r="AA70" i="30"/>
  <c r="X70" i="30"/>
  <c r="CX69" i="30"/>
  <c r="CU69" i="30"/>
  <c r="CR69" i="30"/>
  <c r="CO69" i="30"/>
  <c r="CL69" i="30"/>
  <c r="CI69" i="30"/>
  <c r="BB69" i="30"/>
  <c r="AY69" i="30"/>
  <c r="AV69" i="30"/>
  <c r="AS69" i="30"/>
  <c r="AM69" i="30"/>
  <c r="AJ69" i="30"/>
  <c r="AG69" i="30"/>
  <c r="AD69" i="30"/>
  <c r="AA69" i="30"/>
  <c r="X69" i="30"/>
  <c r="CX68" i="30"/>
  <c r="CU68" i="30"/>
  <c r="CR68" i="30"/>
  <c r="CO68" i="30"/>
  <c r="CL68" i="30"/>
  <c r="CI68" i="30"/>
  <c r="BB68" i="30"/>
  <c r="AY68" i="30"/>
  <c r="AV68" i="30"/>
  <c r="AS68" i="30"/>
  <c r="AM68" i="30"/>
  <c r="AJ68" i="30"/>
  <c r="AG68" i="30"/>
  <c r="AD68" i="30"/>
  <c r="AA68" i="30"/>
  <c r="X68" i="30"/>
  <c r="CX67" i="30"/>
  <c r="CU67" i="30"/>
  <c r="CR67" i="30"/>
  <c r="CO67" i="30"/>
  <c r="CL67" i="30"/>
  <c r="CI67" i="30"/>
  <c r="BB67" i="30"/>
  <c r="AY67" i="30"/>
  <c r="AV67" i="30"/>
  <c r="AS67" i="30"/>
  <c r="AM67" i="30"/>
  <c r="AJ67" i="30"/>
  <c r="AG67" i="30"/>
  <c r="AD67" i="30"/>
  <c r="AA67" i="30"/>
  <c r="X67" i="30"/>
  <c r="CX66" i="30"/>
  <c r="CU66" i="30"/>
  <c r="CR66" i="30"/>
  <c r="CO66" i="30"/>
  <c r="CL66" i="30"/>
  <c r="CI66" i="30"/>
  <c r="BB66" i="30"/>
  <c r="AY66" i="30"/>
  <c r="AV66" i="30"/>
  <c r="AS66" i="30"/>
  <c r="AM66" i="30"/>
  <c r="AJ66" i="30"/>
  <c r="AG66" i="30"/>
  <c r="AD66" i="30"/>
  <c r="AA66" i="30"/>
  <c r="X66" i="30"/>
  <c r="CX65" i="30"/>
  <c r="CU65" i="30"/>
  <c r="CR65" i="30"/>
  <c r="CO65" i="30"/>
  <c r="CL65" i="30"/>
  <c r="CI65" i="30"/>
  <c r="BB65" i="30"/>
  <c r="AY65" i="30"/>
  <c r="AV65" i="30"/>
  <c r="AS65" i="30"/>
  <c r="AM65" i="30"/>
  <c r="AJ65" i="30"/>
  <c r="AG65" i="30"/>
  <c r="AD65" i="30"/>
  <c r="AA65" i="30"/>
  <c r="X65" i="30"/>
  <c r="CX64" i="30"/>
  <c r="CU64" i="30"/>
  <c r="CR64" i="30"/>
  <c r="CO64" i="30"/>
  <c r="CL64" i="30"/>
  <c r="CI64" i="30"/>
  <c r="BB64" i="30"/>
  <c r="AY64" i="30"/>
  <c r="AV64" i="30"/>
  <c r="AS64" i="30"/>
  <c r="AM64" i="30"/>
  <c r="AJ64" i="30"/>
  <c r="AG64" i="30"/>
  <c r="AD64" i="30"/>
  <c r="AA64" i="30"/>
  <c r="X64" i="30"/>
  <c r="CX63" i="30"/>
  <c r="CU63" i="30"/>
  <c r="CR63" i="30"/>
  <c r="CO63" i="30"/>
  <c r="CL63" i="30"/>
  <c r="CI63" i="30"/>
  <c r="BB63" i="30"/>
  <c r="AY63" i="30"/>
  <c r="AV63" i="30"/>
  <c r="AS63" i="30"/>
  <c r="AM63" i="30"/>
  <c r="AJ63" i="30"/>
  <c r="AG63" i="30"/>
  <c r="AD63" i="30"/>
  <c r="AA63" i="30"/>
  <c r="X63" i="30"/>
  <c r="CX62" i="30"/>
  <c r="CU62" i="30"/>
  <c r="CR62" i="30"/>
  <c r="CO62" i="30"/>
  <c r="CL62" i="30"/>
  <c r="CI62" i="30"/>
  <c r="BB62" i="30"/>
  <c r="AY62" i="30"/>
  <c r="AV62" i="30"/>
  <c r="AS62" i="30"/>
  <c r="AM62" i="30"/>
  <c r="AJ62" i="30"/>
  <c r="AG62" i="30"/>
  <c r="AD62" i="30"/>
  <c r="AA62" i="30"/>
  <c r="X62" i="30"/>
  <c r="CX61" i="30"/>
  <c r="CU61" i="30"/>
  <c r="CR61" i="30"/>
  <c r="CO61" i="30"/>
  <c r="CL61" i="30"/>
  <c r="CI61" i="30"/>
  <c r="BB61" i="30"/>
  <c r="AY61" i="30"/>
  <c r="AV61" i="30"/>
  <c r="AS61" i="30"/>
  <c r="AM61" i="30"/>
  <c r="AJ61" i="30"/>
  <c r="AG61" i="30"/>
  <c r="AD61" i="30"/>
  <c r="AA61" i="30"/>
  <c r="X61" i="30"/>
  <c r="CX60" i="30"/>
  <c r="CU60" i="30"/>
  <c r="CR60" i="30"/>
  <c r="CO60" i="30"/>
  <c r="CL60" i="30"/>
  <c r="CI60" i="30"/>
  <c r="BB60" i="30"/>
  <c r="AY60" i="30"/>
  <c r="AV60" i="30"/>
  <c r="AS60" i="30"/>
  <c r="AM60" i="30"/>
  <c r="AJ60" i="30"/>
  <c r="AG60" i="30"/>
  <c r="AD60" i="30"/>
  <c r="AA60" i="30"/>
  <c r="X60" i="30"/>
  <c r="CX59" i="30"/>
  <c r="CU59" i="30"/>
  <c r="CR59" i="30"/>
  <c r="CO59" i="30"/>
  <c r="CL59" i="30"/>
  <c r="CI59" i="30"/>
  <c r="BB59" i="30"/>
  <c r="AY59" i="30"/>
  <c r="AV59" i="30"/>
  <c r="AS59" i="30"/>
  <c r="AM59" i="30"/>
  <c r="AJ59" i="30"/>
  <c r="AG59" i="30"/>
  <c r="AD59" i="30"/>
  <c r="AA59" i="30"/>
  <c r="X59" i="30"/>
  <c r="CX58" i="30"/>
  <c r="CU58" i="30"/>
  <c r="CR58" i="30"/>
  <c r="CO58" i="30"/>
  <c r="CL58" i="30"/>
  <c r="CI58" i="30"/>
  <c r="BB58" i="30"/>
  <c r="AY58" i="30"/>
  <c r="AV58" i="30"/>
  <c r="AS58" i="30"/>
  <c r="AM58" i="30"/>
  <c r="AJ58" i="30"/>
  <c r="AG58" i="30"/>
  <c r="AD58" i="30"/>
  <c r="AA58" i="30"/>
  <c r="X58" i="30"/>
  <c r="CX57" i="30"/>
  <c r="CU57" i="30"/>
  <c r="CU2" i="30" s="1"/>
  <c r="CR57" i="30"/>
  <c r="CO57" i="30"/>
  <c r="CL57" i="30"/>
  <c r="CI57" i="30"/>
  <c r="BB57" i="30"/>
  <c r="AY57" i="30"/>
  <c r="AY2" i="30" s="1"/>
  <c r="AV57" i="30"/>
  <c r="AU57" i="30"/>
  <c r="AS57" i="30"/>
  <c r="AM57" i="30"/>
  <c r="AJ57" i="30"/>
  <c r="AG57" i="30"/>
  <c r="AD57" i="30"/>
  <c r="AA57" i="30"/>
  <c r="X57" i="30"/>
  <c r="CX56" i="30"/>
  <c r="CU56" i="30"/>
  <c r="CR56" i="30"/>
  <c r="CO56" i="30"/>
  <c r="CL56" i="30"/>
  <c r="CI56" i="30"/>
  <c r="BB56" i="30"/>
  <c r="AY56" i="30"/>
  <c r="AV56" i="30"/>
  <c r="AS56" i="30"/>
  <c r="AM56" i="30"/>
  <c r="AJ56" i="30"/>
  <c r="AG56" i="30"/>
  <c r="AD56" i="30"/>
  <c r="AA56" i="30"/>
  <c r="X56" i="30"/>
  <c r="CX55" i="30"/>
  <c r="CU55" i="30"/>
  <c r="CR55" i="30"/>
  <c r="CO55" i="30"/>
  <c r="CL55" i="30"/>
  <c r="CI55" i="30"/>
  <c r="BB55" i="30"/>
  <c r="AY55" i="30"/>
  <c r="AV55" i="30"/>
  <c r="AS55" i="30"/>
  <c r="AM55" i="30"/>
  <c r="AJ55" i="30"/>
  <c r="AG55" i="30"/>
  <c r="AD55" i="30"/>
  <c r="AA55" i="30"/>
  <c r="X55" i="30"/>
  <c r="CX54" i="30"/>
  <c r="CU54" i="30"/>
  <c r="CR54" i="30"/>
  <c r="CO54" i="30"/>
  <c r="CL54" i="30"/>
  <c r="CL2" i="30" s="1"/>
  <c r="CI54" i="30"/>
  <c r="BB54" i="30"/>
  <c r="BB267" i="30" s="1"/>
  <c r="AY54" i="30"/>
  <c r="AX54" i="30"/>
  <c r="AV54" i="30"/>
  <c r="AS54" i="30"/>
  <c r="AM54" i="30"/>
  <c r="AJ54" i="30"/>
  <c r="AG54" i="30"/>
  <c r="AD54" i="30"/>
  <c r="AA54" i="30"/>
  <c r="X54" i="30"/>
  <c r="CX53" i="30"/>
  <c r="CU53" i="30"/>
  <c r="CR53" i="30"/>
  <c r="CO53" i="30"/>
  <c r="CL53" i="30"/>
  <c r="CI53" i="30"/>
  <c r="BB53" i="30"/>
  <c r="AY53" i="30"/>
  <c r="AV53" i="30"/>
  <c r="AS53" i="30"/>
  <c r="AM53" i="30"/>
  <c r="AJ53" i="30"/>
  <c r="AG53" i="30"/>
  <c r="AD53" i="30"/>
  <c r="AA53" i="30"/>
  <c r="X53" i="30"/>
  <c r="CX52" i="30"/>
  <c r="CU52" i="30"/>
  <c r="CR52" i="30"/>
  <c r="CO52" i="30"/>
  <c r="CL52" i="30"/>
  <c r="CI52" i="30"/>
  <c r="BB52" i="30"/>
  <c r="AY52" i="30"/>
  <c r="AV52" i="30"/>
  <c r="AS52" i="30"/>
  <c r="AM52" i="30"/>
  <c r="AJ52" i="30"/>
  <c r="AG52" i="30"/>
  <c r="AD52" i="30"/>
  <c r="AA52" i="30"/>
  <c r="X52" i="30"/>
  <c r="CX51" i="30"/>
  <c r="CU51" i="30"/>
  <c r="CR51" i="30"/>
  <c r="CO51" i="30"/>
  <c r="CL51" i="30"/>
  <c r="CI51" i="30"/>
  <c r="BB51" i="30"/>
  <c r="AY51" i="30"/>
  <c r="AV51" i="30"/>
  <c r="AS51" i="30"/>
  <c r="AM51" i="30"/>
  <c r="AJ51" i="30"/>
  <c r="AG51" i="30"/>
  <c r="AD51" i="30"/>
  <c r="AA51" i="30"/>
  <c r="X51" i="30"/>
  <c r="CX50" i="30"/>
  <c r="CU50" i="30"/>
  <c r="CR50" i="30"/>
  <c r="CO50" i="30"/>
  <c r="CL50" i="30"/>
  <c r="CI50" i="30"/>
  <c r="BB50" i="30"/>
  <c r="AY50" i="30"/>
  <c r="AV50" i="30"/>
  <c r="AS50" i="30"/>
  <c r="AM50" i="30"/>
  <c r="AJ50" i="30"/>
  <c r="AG50" i="30"/>
  <c r="AD50" i="30"/>
  <c r="AA50" i="30"/>
  <c r="X50" i="30"/>
  <c r="CX49" i="30"/>
  <c r="CU49" i="30"/>
  <c r="CR49" i="30"/>
  <c r="CO49" i="30"/>
  <c r="CL49" i="30"/>
  <c r="CI49" i="30"/>
  <c r="BB49" i="30"/>
  <c r="AY49" i="30"/>
  <c r="AV49" i="30"/>
  <c r="AS49" i="30"/>
  <c r="AM49" i="30"/>
  <c r="AJ49" i="30"/>
  <c r="AG49" i="30"/>
  <c r="AD49" i="30"/>
  <c r="AA49" i="30"/>
  <c r="X49" i="30"/>
  <c r="CX48" i="30"/>
  <c r="CU48" i="30"/>
  <c r="CR48" i="30"/>
  <c r="CO48" i="30"/>
  <c r="CL48" i="30"/>
  <c r="CI48" i="30"/>
  <c r="BB48" i="30"/>
  <c r="AY48" i="30"/>
  <c r="AV48" i="30"/>
  <c r="AS48" i="30"/>
  <c r="AM48" i="30"/>
  <c r="AJ48" i="30"/>
  <c r="AG48" i="30"/>
  <c r="AD48" i="30"/>
  <c r="AA48" i="30"/>
  <c r="X48" i="30"/>
  <c r="CX47" i="30"/>
  <c r="CU47" i="30"/>
  <c r="CR47" i="30"/>
  <c r="CO47" i="30"/>
  <c r="CL47" i="30"/>
  <c r="CI47" i="30"/>
  <c r="BB47" i="30"/>
  <c r="AY47" i="30"/>
  <c r="AV47" i="30"/>
  <c r="AS47" i="30"/>
  <c r="AM47" i="30"/>
  <c r="AJ47" i="30"/>
  <c r="AG47" i="30"/>
  <c r="AD47" i="30"/>
  <c r="AA47" i="30"/>
  <c r="X47" i="30"/>
  <c r="CX46" i="30"/>
  <c r="CU46" i="30"/>
  <c r="CR46" i="30"/>
  <c r="CO46" i="30"/>
  <c r="CL46" i="30"/>
  <c r="CI46" i="30"/>
  <c r="BB46" i="30"/>
  <c r="AY46" i="30"/>
  <c r="AV46" i="30"/>
  <c r="AS46" i="30"/>
  <c r="AM46" i="30"/>
  <c r="AJ46" i="30"/>
  <c r="AG46" i="30"/>
  <c r="AD46" i="30"/>
  <c r="AA46" i="30"/>
  <c r="X46" i="30"/>
  <c r="CX45" i="30"/>
  <c r="CU45" i="30"/>
  <c r="CR45" i="30"/>
  <c r="CO45" i="30"/>
  <c r="CL45" i="30"/>
  <c r="CI45" i="30"/>
  <c r="BB45" i="30"/>
  <c r="AY45" i="30"/>
  <c r="AV45" i="30"/>
  <c r="AS45" i="30"/>
  <c r="AM45" i="30"/>
  <c r="AJ45" i="30"/>
  <c r="AG45" i="30"/>
  <c r="AD45" i="30"/>
  <c r="AA45" i="30"/>
  <c r="X45" i="30"/>
  <c r="CX44" i="30"/>
  <c r="CU44" i="30"/>
  <c r="CR44" i="30"/>
  <c r="CO44" i="30"/>
  <c r="CL44" i="30"/>
  <c r="CI44" i="30"/>
  <c r="BB44" i="30"/>
  <c r="AY44" i="30"/>
  <c r="AV44" i="30"/>
  <c r="AS44" i="30"/>
  <c r="AM44" i="30"/>
  <c r="AJ44" i="30"/>
  <c r="AG44" i="30"/>
  <c r="AD44" i="30"/>
  <c r="AA44" i="30"/>
  <c r="X44" i="30"/>
  <c r="CX43" i="30"/>
  <c r="CU43" i="30"/>
  <c r="CR43" i="30"/>
  <c r="CO43" i="30"/>
  <c r="CL43" i="30"/>
  <c r="CI43" i="30"/>
  <c r="BB43" i="30"/>
  <c r="AY43" i="30"/>
  <c r="AV43" i="30"/>
  <c r="AS43" i="30"/>
  <c r="AM43" i="30"/>
  <c r="AJ43" i="30"/>
  <c r="AG43" i="30"/>
  <c r="AD43" i="30"/>
  <c r="AA43" i="30"/>
  <c r="X43" i="30"/>
  <c r="CX42" i="30"/>
  <c r="CU42" i="30"/>
  <c r="CR42" i="30"/>
  <c r="CO42" i="30"/>
  <c r="CL42" i="30"/>
  <c r="CI42" i="30"/>
  <c r="BB42" i="30"/>
  <c r="AY42" i="30"/>
  <c r="AV42" i="30"/>
  <c r="AS42" i="30"/>
  <c r="AM42" i="30"/>
  <c r="AJ42" i="30"/>
  <c r="AG42" i="30"/>
  <c r="AD42" i="30"/>
  <c r="AA42" i="30"/>
  <c r="X42" i="30"/>
  <c r="CX41" i="30"/>
  <c r="CU41" i="30"/>
  <c r="CR41" i="30"/>
  <c r="CO41" i="30"/>
  <c r="CL41" i="30"/>
  <c r="CI41" i="30"/>
  <c r="BB41" i="30"/>
  <c r="AY41" i="30"/>
  <c r="AV41" i="30"/>
  <c r="AS41" i="30"/>
  <c r="AM41" i="30"/>
  <c r="AJ41" i="30"/>
  <c r="AG41" i="30"/>
  <c r="AD41" i="30"/>
  <c r="AA41" i="30"/>
  <c r="X41" i="30"/>
  <c r="CX40" i="30"/>
  <c r="CU40" i="30"/>
  <c r="CR40" i="30"/>
  <c r="CO40" i="30"/>
  <c r="CL40" i="30"/>
  <c r="CI40" i="30"/>
  <c r="BB40" i="30"/>
  <c r="AY40" i="30"/>
  <c r="AV40" i="30"/>
  <c r="AS40" i="30"/>
  <c r="AM40" i="30"/>
  <c r="AJ40" i="30"/>
  <c r="AG40" i="30"/>
  <c r="AD40" i="30"/>
  <c r="AA40" i="30"/>
  <c r="X40" i="30"/>
  <c r="CX39" i="30"/>
  <c r="CU39" i="30"/>
  <c r="CR39" i="30"/>
  <c r="CO39" i="30"/>
  <c r="CL39" i="30"/>
  <c r="CI39" i="30"/>
  <c r="BB39" i="30"/>
  <c r="AY39" i="30"/>
  <c r="AV39" i="30"/>
  <c r="AS39" i="30"/>
  <c r="AM39" i="30"/>
  <c r="AJ39" i="30"/>
  <c r="AG39" i="30"/>
  <c r="AD39" i="30"/>
  <c r="AA39" i="30"/>
  <c r="X39" i="30"/>
  <c r="CX38" i="30"/>
  <c r="CU38" i="30"/>
  <c r="CR38" i="30"/>
  <c r="CO38" i="30"/>
  <c r="CL38" i="30"/>
  <c r="CI38" i="30"/>
  <c r="BB38" i="30"/>
  <c r="AY38" i="30"/>
  <c r="AV38" i="30"/>
  <c r="AS38" i="30"/>
  <c r="AM38" i="30"/>
  <c r="AJ38" i="30"/>
  <c r="AG38" i="30"/>
  <c r="AD38" i="30"/>
  <c r="AA38" i="30"/>
  <c r="X38" i="30"/>
  <c r="CX37" i="30"/>
  <c r="CU37" i="30"/>
  <c r="CR37" i="30"/>
  <c r="CO37" i="30"/>
  <c r="CL37" i="30"/>
  <c r="CI37" i="30"/>
  <c r="BB37" i="30"/>
  <c r="AY37" i="30"/>
  <c r="AV37" i="30"/>
  <c r="AS37" i="30"/>
  <c r="AM37" i="30"/>
  <c r="AJ37" i="30"/>
  <c r="AG37" i="30"/>
  <c r="AD37" i="30"/>
  <c r="AA37" i="30"/>
  <c r="X37" i="30"/>
  <c r="CX36" i="30"/>
  <c r="CU36" i="30"/>
  <c r="CR36" i="30"/>
  <c r="CO36" i="30"/>
  <c r="CL36" i="30"/>
  <c r="CI36" i="30"/>
  <c r="BB36" i="30"/>
  <c r="AY36" i="30"/>
  <c r="AV36" i="30"/>
  <c r="AS36" i="30"/>
  <c r="AM36" i="30"/>
  <c r="AJ36" i="30"/>
  <c r="AG36" i="30"/>
  <c r="AD36" i="30"/>
  <c r="AA36" i="30"/>
  <c r="X36" i="30"/>
  <c r="CX35" i="30"/>
  <c r="CU35" i="30"/>
  <c r="CR35" i="30"/>
  <c r="CO35" i="30"/>
  <c r="CL35" i="30"/>
  <c r="CI35" i="30"/>
  <c r="BB35" i="30"/>
  <c r="AY35" i="30"/>
  <c r="AV35" i="30"/>
  <c r="AS35" i="30"/>
  <c r="AM35" i="30"/>
  <c r="AJ35" i="30"/>
  <c r="AG35" i="30"/>
  <c r="AD35" i="30"/>
  <c r="AA35" i="30"/>
  <c r="X35" i="30"/>
  <c r="CX34" i="30"/>
  <c r="CU34" i="30"/>
  <c r="CR34" i="30"/>
  <c r="CO34" i="30"/>
  <c r="CL34" i="30"/>
  <c r="CI34" i="30"/>
  <c r="BB34" i="30"/>
  <c r="AY34" i="30"/>
  <c r="AV34" i="30"/>
  <c r="AS34" i="30"/>
  <c r="AM34" i="30"/>
  <c r="AJ34" i="30"/>
  <c r="AG34" i="30"/>
  <c r="AD34" i="30"/>
  <c r="AA34" i="30"/>
  <c r="X34" i="30"/>
  <c r="CX33" i="30"/>
  <c r="CU33" i="30"/>
  <c r="CR33" i="30"/>
  <c r="CO33" i="30"/>
  <c r="CL33" i="30"/>
  <c r="CI33" i="30"/>
  <c r="BB33" i="30"/>
  <c r="AY33" i="30"/>
  <c r="AV33" i="30"/>
  <c r="AS33" i="30"/>
  <c r="AM33" i="30"/>
  <c r="AJ33" i="30"/>
  <c r="AG33" i="30"/>
  <c r="AD33" i="30"/>
  <c r="AA33" i="30"/>
  <c r="X33" i="30"/>
  <c r="CX32" i="30"/>
  <c r="CU32" i="30"/>
  <c r="CR32" i="30"/>
  <c r="CO32" i="30"/>
  <c r="CL32" i="30"/>
  <c r="CI32" i="30"/>
  <c r="BB32" i="30"/>
  <c r="AY32" i="30"/>
  <c r="AV32" i="30"/>
  <c r="AS32" i="30"/>
  <c r="AM32" i="30"/>
  <c r="AJ32" i="30"/>
  <c r="AG32" i="30"/>
  <c r="AD32" i="30"/>
  <c r="AA32" i="30"/>
  <c r="X32" i="30"/>
  <c r="CX31" i="30"/>
  <c r="CU31" i="30"/>
  <c r="CR31" i="30"/>
  <c r="CO31" i="30"/>
  <c r="CL31" i="30"/>
  <c r="CI31" i="30"/>
  <c r="BB31" i="30"/>
  <c r="AY31" i="30"/>
  <c r="AV31" i="30"/>
  <c r="AS31" i="30"/>
  <c r="AM31" i="30"/>
  <c r="AJ31" i="30"/>
  <c r="AG31" i="30"/>
  <c r="AD31" i="30"/>
  <c r="AA31" i="30"/>
  <c r="X31" i="30"/>
  <c r="CX30" i="30"/>
  <c r="CU30" i="30"/>
  <c r="CR30" i="30"/>
  <c r="CO30" i="30"/>
  <c r="CL30" i="30"/>
  <c r="CI30" i="30"/>
  <c r="BB30" i="30"/>
  <c r="AY30" i="30"/>
  <c r="AV30" i="30"/>
  <c r="AS30" i="30"/>
  <c r="AM30" i="30"/>
  <c r="AJ30" i="30"/>
  <c r="AG30" i="30"/>
  <c r="AD30" i="30"/>
  <c r="AA30" i="30"/>
  <c r="X30" i="30"/>
  <c r="CX29" i="30"/>
  <c r="CU29" i="30"/>
  <c r="CR29" i="30"/>
  <c r="CO29" i="30"/>
  <c r="CL29" i="30"/>
  <c r="CI29" i="30"/>
  <c r="BB29" i="30"/>
  <c r="AY29" i="30"/>
  <c r="AV29" i="30"/>
  <c r="AS29" i="30"/>
  <c r="AM29" i="30"/>
  <c r="AJ29" i="30"/>
  <c r="AG29" i="30"/>
  <c r="AD29" i="30"/>
  <c r="AA29" i="30"/>
  <c r="X29" i="30"/>
  <c r="CX28" i="30"/>
  <c r="CU28" i="30"/>
  <c r="CR28" i="30"/>
  <c r="CO28" i="30"/>
  <c r="CL28" i="30"/>
  <c r="CI28" i="30"/>
  <c r="BB28" i="30"/>
  <c r="AY28" i="30"/>
  <c r="AV28" i="30"/>
  <c r="AS28" i="30"/>
  <c r="AM28" i="30"/>
  <c r="AJ28" i="30"/>
  <c r="AG28" i="30"/>
  <c r="AD28" i="30"/>
  <c r="AA28" i="30"/>
  <c r="X28" i="30"/>
  <c r="CX27" i="30"/>
  <c r="CU27" i="30"/>
  <c r="CR27" i="30"/>
  <c r="CO27" i="30"/>
  <c r="CL27" i="30"/>
  <c r="CI27" i="30"/>
  <c r="BB27" i="30"/>
  <c r="AY27" i="30"/>
  <c r="AV27" i="30"/>
  <c r="AS27" i="30"/>
  <c r="AM27" i="30"/>
  <c r="AJ27" i="30"/>
  <c r="AG27" i="30"/>
  <c r="AD27" i="30"/>
  <c r="AA27" i="30"/>
  <c r="X27" i="30"/>
  <c r="CX26" i="30"/>
  <c r="CU26" i="30"/>
  <c r="CR26" i="30"/>
  <c r="CO26" i="30"/>
  <c r="CL26" i="30"/>
  <c r="CI26" i="30"/>
  <c r="BB26" i="30"/>
  <c r="AY26" i="30"/>
  <c r="AV26" i="30"/>
  <c r="AS26" i="30"/>
  <c r="AM26" i="30"/>
  <c r="AJ26" i="30"/>
  <c r="AG26" i="30"/>
  <c r="AD26" i="30"/>
  <c r="AA26" i="30"/>
  <c r="X26" i="30"/>
  <c r="CX25" i="30"/>
  <c r="CU25" i="30"/>
  <c r="CR25" i="30"/>
  <c r="CO25" i="30"/>
  <c r="CL25" i="30"/>
  <c r="CI25" i="30"/>
  <c r="BB25" i="30"/>
  <c r="AY25" i="30"/>
  <c r="AV25" i="30"/>
  <c r="AS25" i="30"/>
  <c r="AM25" i="30"/>
  <c r="AJ25" i="30"/>
  <c r="AG25" i="30"/>
  <c r="AD25" i="30"/>
  <c r="AA25" i="30"/>
  <c r="X25" i="30"/>
  <c r="CX24" i="30"/>
  <c r="CU24" i="30"/>
  <c r="CR24" i="30"/>
  <c r="CO24" i="30"/>
  <c r="CL24" i="30"/>
  <c r="CI24" i="30"/>
  <c r="BB24" i="30"/>
  <c r="AY24" i="30"/>
  <c r="AV24" i="30"/>
  <c r="AS24" i="30"/>
  <c r="AM24" i="30"/>
  <c r="AJ24" i="30"/>
  <c r="AG24" i="30"/>
  <c r="AD24" i="30"/>
  <c r="AA24" i="30"/>
  <c r="X24" i="30"/>
  <c r="CX23" i="30"/>
  <c r="CU23" i="30"/>
  <c r="CR23" i="30"/>
  <c r="CO23" i="30"/>
  <c r="CL23" i="30"/>
  <c r="CI23" i="30"/>
  <c r="BB23" i="30"/>
  <c r="AY23" i="30"/>
  <c r="AV23" i="30"/>
  <c r="AS23" i="30"/>
  <c r="AM23" i="30"/>
  <c r="AJ23" i="30"/>
  <c r="AG23" i="30"/>
  <c r="AD23" i="30"/>
  <c r="AA23" i="30"/>
  <c r="X23" i="30"/>
  <c r="CX22" i="30"/>
  <c r="CU22" i="30"/>
  <c r="CR22" i="30"/>
  <c r="CO22" i="30"/>
  <c r="CL22" i="30"/>
  <c r="CI22" i="30"/>
  <c r="BB22" i="30"/>
  <c r="AY22" i="30"/>
  <c r="AV22" i="30"/>
  <c r="AS22" i="30"/>
  <c r="AM22" i="30"/>
  <c r="AJ22" i="30"/>
  <c r="AG22" i="30"/>
  <c r="AD22" i="30"/>
  <c r="AA22" i="30"/>
  <c r="X22" i="30"/>
  <c r="CX21" i="30"/>
  <c r="CU21" i="30"/>
  <c r="CR21" i="30"/>
  <c r="CO21" i="30"/>
  <c r="CL21" i="30"/>
  <c r="CI21" i="30"/>
  <c r="BB21" i="30"/>
  <c r="AY21" i="30"/>
  <c r="AV21" i="30"/>
  <c r="AS21" i="30"/>
  <c r="AM21" i="30"/>
  <c r="AJ21" i="30"/>
  <c r="AG21" i="30"/>
  <c r="AD21" i="30"/>
  <c r="AA21" i="30"/>
  <c r="X21" i="30"/>
  <c r="CX20" i="30"/>
  <c r="CU20" i="30"/>
  <c r="CR20" i="30"/>
  <c r="CO20" i="30"/>
  <c r="CL20" i="30"/>
  <c r="CI20" i="30"/>
  <c r="BB20" i="30"/>
  <c r="AY20" i="30"/>
  <c r="AV20" i="30"/>
  <c r="AS20" i="30"/>
  <c r="AM20" i="30"/>
  <c r="AJ20" i="30"/>
  <c r="AG20" i="30"/>
  <c r="AD20" i="30"/>
  <c r="AA20" i="30"/>
  <c r="X20" i="30"/>
  <c r="CX19" i="30"/>
  <c r="CU19" i="30"/>
  <c r="CR19" i="30"/>
  <c r="CO19" i="30"/>
  <c r="CL19" i="30"/>
  <c r="CI19" i="30"/>
  <c r="BB19" i="30"/>
  <c r="AY19" i="30"/>
  <c r="AV19" i="30"/>
  <c r="AS19" i="30"/>
  <c r="AM19" i="30"/>
  <c r="AJ19" i="30"/>
  <c r="AG19" i="30"/>
  <c r="AD19" i="30"/>
  <c r="AA19" i="30"/>
  <c r="X19" i="30"/>
  <c r="CX18" i="30"/>
  <c r="CU18" i="30"/>
  <c r="CR18" i="30"/>
  <c r="CO18" i="30"/>
  <c r="CL18" i="30"/>
  <c r="CI18" i="30"/>
  <c r="BB18" i="30"/>
  <c r="AY18" i="30"/>
  <c r="AV18" i="30"/>
  <c r="AS18" i="30"/>
  <c r="AM18" i="30"/>
  <c r="AJ18" i="30"/>
  <c r="AG18" i="30"/>
  <c r="AD18" i="30"/>
  <c r="AA18" i="30"/>
  <c r="X18" i="30"/>
  <c r="CX17" i="30"/>
  <c r="CU17" i="30"/>
  <c r="CR17" i="30"/>
  <c r="CO17" i="30"/>
  <c r="CL17" i="30"/>
  <c r="CI17" i="30"/>
  <c r="BB17" i="30"/>
  <c r="AY17" i="30"/>
  <c r="AV17" i="30"/>
  <c r="AS17" i="30"/>
  <c r="AM17" i="30"/>
  <c r="AJ17" i="30"/>
  <c r="AG17" i="30"/>
  <c r="AD17" i="30"/>
  <c r="AA17" i="30"/>
  <c r="X17" i="30"/>
  <c r="CX16" i="30"/>
  <c r="CU16" i="30"/>
  <c r="CR16" i="30"/>
  <c r="CO16" i="30"/>
  <c r="CL16" i="30"/>
  <c r="CI16" i="30"/>
  <c r="BB16" i="30"/>
  <c r="AY16" i="30"/>
  <c r="AV16" i="30"/>
  <c r="AS16" i="30"/>
  <c r="AM16" i="30"/>
  <c r="AJ16" i="30"/>
  <c r="AG16" i="30"/>
  <c r="AD16" i="30"/>
  <c r="AA16" i="30"/>
  <c r="X16" i="30"/>
  <c r="CX15" i="30"/>
  <c r="CU15" i="30"/>
  <c r="CR15" i="30"/>
  <c r="CO15" i="30"/>
  <c r="CL15" i="30"/>
  <c r="CI15" i="30"/>
  <c r="BB15" i="30"/>
  <c r="AY15" i="30"/>
  <c r="AV15" i="30"/>
  <c r="AS15" i="30"/>
  <c r="AM15" i="30"/>
  <c r="AJ15" i="30"/>
  <c r="AG15" i="30"/>
  <c r="AD15" i="30"/>
  <c r="AA15" i="30"/>
  <c r="X15" i="30"/>
  <c r="CX14" i="30"/>
  <c r="CU14" i="30"/>
  <c r="CR14" i="30"/>
  <c r="CO14" i="30"/>
  <c r="CL14" i="30"/>
  <c r="CI14" i="30"/>
  <c r="BB14" i="30"/>
  <c r="AY14" i="30"/>
  <c r="AV14" i="30"/>
  <c r="AS14" i="30"/>
  <c r="AM14" i="30"/>
  <c r="AJ14" i="30"/>
  <c r="AG14" i="30"/>
  <c r="AD14" i="30"/>
  <c r="AA14" i="30"/>
  <c r="AA269" i="30" s="1"/>
  <c r="X14" i="30"/>
  <c r="CX13" i="30"/>
  <c r="CU13" i="30"/>
  <c r="CR13" i="30"/>
  <c r="CO13" i="30"/>
  <c r="CL13" i="30"/>
  <c r="CI13" i="30"/>
  <c r="CI2" i="30" s="1"/>
  <c r="BB13" i="30"/>
  <c r="AY13" i="30"/>
  <c r="AV13" i="30"/>
  <c r="AS13" i="30"/>
  <c r="AM13" i="30"/>
  <c r="AJ13" i="30"/>
  <c r="AG13" i="30"/>
  <c r="AG267" i="30" s="1"/>
  <c r="AC13" i="30"/>
  <c r="AD13" i="30" s="1"/>
  <c r="AA13" i="30"/>
  <c r="X13" i="30"/>
  <c r="CX12" i="30"/>
  <c r="CU12" i="30"/>
  <c r="CR12" i="30"/>
  <c r="CO12" i="30"/>
  <c r="CL12" i="30"/>
  <c r="CI12" i="30"/>
  <c r="BB12" i="30"/>
  <c r="AY12" i="30"/>
  <c r="AV12" i="30"/>
  <c r="AS12" i="30"/>
  <c r="AM12" i="30"/>
  <c r="AJ12" i="30"/>
  <c r="AG12" i="30"/>
  <c r="AD12" i="30"/>
  <c r="AA12" i="30"/>
  <c r="X12" i="30"/>
  <c r="CX11" i="30"/>
  <c r="CU11" i="30"/>
  <c r="CR11" i="30"/>
  <c r="CO11" i="30"/>
  <c r="CL11" i="30"/>
  <c r="CI11" i="30"/>
  <c r="BB11" i="30"/>
  <c r="AY11" i="30"/>
  <c r="AV11" i="30"/>
  <c r="AS11" i="30"/>
  <c r="AM11" i="30"/>
  <c r="AJ11" i="30"/>
  <c r="AG11" i="30"/>
  <c r="AD11" i="30"/>
  <c r="AA11" i="30"/>
  <c r="X11" i="30"/>
  <c r="CX10" i="30"/>
  <c r="CU10" i="30"/>
  <c r="CR10" i="30"/>
  <c r="CO10" i="30"/>
  <c r="CL10" i="30"/>
  <c r="CI10" i="30"/>
  <c r="BB10" i="30"/>
  <c r="AY10" i="30"/>
  <c r="AV10" i="30"/>
  <c r="AS10" i="30"/>
  <c r="AM10" i="30"/>
  <c r="AJ10" i="30"/>
  <c r="AG10" i="30"/>
  <c r="AD10" i="30"/>
  <c r="AA10" i="30"/>
  <c r="X10" i="30"/>
  <c r="CX9" i="30"/>
  <c r="CU9" i="30"/>
  <c r="CR9" i="30"/>
  <c r="CO9" i="30"/>
  <c r="CL9" i="30"/>
  <c r="CI9" i="30"/>
  <c r="BB9" i="30"/>
  <c r="AY9" i="30"/>
  <c r="AV9" i="30"/>
  <c r="AS9" i="30"/>
  <c r="AM9" i="30"/>
  <c r="AJ9" i="30"/>
  <c r="AG9" i="30"/>
  <c r="AD9" i="30"/>
  <c r="AA9" i="30"/>
  <c r="X9" i="30"/>
  <c r="CX8" i="30"/>
  <c r="CU8" i="30"/>
  <c r="CR8" i="30"/>
  <c r="CO8" i="30"/>
  <c r="CL8" i="30"/>
  <c r="CI8" i="30"/>
  <c r="BB8" i="30"/>
  <c r="AY8" i="30"/>
  <c r="AV8" i="30"/>
  <c r="AS8" i="30"/>
  <c r="AM8" i="30"/>
  <c r="AJ8" i="30"/>
  <c r="AG8" i="30"/>
  <c r="AD8" i="30"/>
  <c r="AA8" i="30"/>
  <c r="X8" i="30"/>
  <c r="CX7" i="30"/>
  <c r="CU7" i="30"/>
  <c r="CR7" i="30"/>
  <c r="CO7" i="30"/>
  <c r="CL7" i="30"/>
  <c r="CI7" i="30"/>
  <c r="BB7" i="30"/>
  <c r="AY7" i="30"/>
  <c r="AV7" i="30"/>
  <c r="AS7" i="30"/>
  <c r="AM7" i="30"/>
  <c r="AJ7" i="30"/>
  <c r="AG7" i="30"/>
  <c r="AD7" i="30"/>
  <c r="AA7" i="30"/>
  <c r="X7" i="30"/>
  <c r="CX6" i="30"/>
  <c r="CU6" i="30"/>
  <c r="CR6" i="30"/>
  <c r="CO6" i="30"/>
  <c r="CL6" i="30"/>
  <c r="CI6" i="30"/>
  <c r="BB6" i="30"/>
  <c r="AY6" i="30"/>
  <c r="AV6" i="30"/>
  <c r="AS6" i="30"/>
  <c r="AM6" i="30"/>
  <c r="AJ6" i="30"/>
  <c r="AG6" i="30"/>
  <c r="AD6" i="30"/>
  <c r="AA6" i="30"/>
  <c r="X6" i="30"/>
  <c r="CX5" i="30"/>
  <c r="CU5" i="30"/>
  <c r="CR5" i="30"/>
  <c r="CR267" i="30" s="1"/>
  <c r="CO5" i="30"/>
  <c r="CL5" i="30"/>
  <c r="CL267" i="30" s="1"/>
  <c r="CI5" i="30"/>
  <c r="BB5" i="30"/>
  <c r="AY5" i="30"/>
  <c r="AV5" i="30"/>
  <c r="AV267" i="30" s="1"/>
  <c r="AS5" i="30"/>
  <c r="AM5" i="30"/>
  <c r="AJ5" i="30"/>
  <c r="AG5" i="30"/>
  <c r="AD5" i="30"/>
  <c r="AD267" i="30" s="1"/>
  <c r="AA5" i="30"/>
  <c r="X5" i="30"/>
  <c r="X267" i="30" s="1"/>
  <c r="AV2" i="30"/>
  <c r="P606" i="29"/>
  <c r="O606" i="29"/>
  <c r="H605" i="29"/>
  <c r="T604" i="29"/>
  <c r="G604" i="29"/>
  <c r="P602" i="29"/>
  <c r="O602" i="29"/>
  <c r="P601" i="29"/>
  <c r="O601" i="29"/>
  <c r="T600" i="29"/>
  <c r="L600" i="29"/>
  <c r="K600" i="29"/>
  <c r="G600" i="29"/>
  <c r="U599" i="29"/>
  <c r="T599" i="29"/>
  <c r="O599" i="29"/>
  <c r="L599" i="29"/>
  <c r="K599" i="29"/>
  <c r="G599" i="29"/>
  <c r="H598" i="29"/>
  <c r="L597" i="29"/>
  <c r="K597" i="29"/>
  <c r="G597" i="29"/>
  <c r="L595" i="29"/>
  <c r="K595" i="29"/>
  <c r="H595" i="29"/>
  <c r="G595" i="29"/>
  <c r="H594" i="29"/>
  <c r="T593" i="29"/>
  <c r="N593" i="29"/>
  <c r="M593" i="29"/>
  <c r="L593" i="29"/>
  <c r="K593" i="29"/>
  <c r="G593" i="29"/>
  <c r="P592" i="29"/>
  <c r="O592" i="29"/>
  <c r="U591" i="29"/>
  <c r="T591" i="29"/>
  <c r="N591" i="29"/>
  <c r="M591" i="29"/>
  <c r="L591" i="29"/>
  <c r="K591" i="29"/>
  <c r="H591" i="29"/>
  <c r="G591" i="29"/>
  <c r="H590" i="29"/>
  <c r="T589" i="29"/>
  <c r="N589" i="29"/>
  <c r="M589" i="29"/>
  <c r="L589" i="29"/>
  <c r="K589" i="29"/>
  <c r="G589" i="29"/>
  <c r="H588" i="29"/>
  <c r="U587" i="29"/>
  <c r="T587" i="29"/>
  <c r="N587" i="29"/>
  <c r="M587" i="29"/>
  <c r="M607" i="29" s="1"/>
  <c r="L587" i="29"/>
  <c r="K587" i="29"/>
  <c r="H587" i="29"/>
  <c r="G587" i="29"/>
  <c r="H586" i="29"/>
  <c r="H585" i="29"/>
  <c r="H584" i="29"/>
  <c r="U583" i="29"/>
  <c r="T583" i="29"/>
  <c r="N583" i="29"/>
  <c r="M583" i="29"/>
  <c r="L583" i="29"/>
  <c r="K583" i="29"/>
  <c r="G583" i="29"/>
  <c r="U582" i="29"/>
  <c r="T582" i="29"/>
  <c r="L582" i="29"/>
  <c r="K582" i="29"/>
  <c r="U581" i="29"/>
  <c r="T581" i="29"/>
  <c r="T580" i="29"/>
  <c r="H578" i="29"/>
  <c r="H577" i="29"/>
  <c r="U576" i="29"/>
  <c r="T576" i="29"/>
  <c r="O576" i="29"/>
  <c r="N576" i="29"/>
  <c r="M576" i="29"/>
  <c r="L576" i="29"/>
  <c r="K576" i="29"/>
  <c r="G576" i="29"/>
  <c r="U575" i="29"/>
  <c r="T575" i="29"/>
  <c r="N575" i="29"/>
  <c r="M575" i="29"/>
  <c r="L575" i="29"/>
  <c r="K575" i="29"/>
  <c r="G575" i="29"/>
  <c r="H574" i="29"/>
  <c r="T573" i="29"/>
  <c r="N573" i="29"/>
  <c r="M573" i="29"/>
  <c r="L573" i="29"/>
  <c r="K573" i="29"/>
  <c r="G573" i="29"/>
  <c r="U572" i="29"/>
  <c r="T572" i="29"/>
  <c r="N572" i="29"/>
  <c r="M572" i="29"/>
  <c r="L572" i="29"/>
  <c r="K572" i="29"/>
  <c r="H572" i="29"/>
  <c r="G572" i="29"/>
  <c r="U571" i="29"/>
  <c r="T571" i="29"/>
  <c r="L571" i="29"/>
  <c r="K571" i="29"/>
  <c r="U570" i="29"/>
  <c r="T570" i="29"/>
  <c r="U569" i="29"/>
  <c r="T569" i="29"/>
  <c r="N569" i="29"/>
  <c r="M569" i="29"/>
  <c r="L569" i="29"/>
  <c r="J569" i="29"/>
  <c r="J607" i="29" s="1"/>
  <c r="I569" i="29"/>
  <c r="I607" i="29" s="1"/>
  <c r="H569" i="29"/>
  <c r="G569" i="29"/>
  <c r="Q568" i="29"/>
  <c r="Q567" i="29"/>
  <c r="Q566" i="29"/>
  <c r="Q565" i="29"/>
  <c r="Q564" i="29"/>
  <c r="Q563" i="29"/>
  <c r="Q562" i="29"/>
  <c r="P562" i="29"/>
  <c r="O562" i="29"/>
  <c r="Q561" i="29"/>
  <c r="P561" i="29"/>
  <c r="O561" i="29"/>
  <c r="V561" i="29" s="1"/>
  <c r="V595" i="29" s="1"/>
  <c r="V19" i="31" s="1"/>
  <c r="V41" i="31" s="1"/>
  <c r="V66" i="31" s="1"/>
  <c r="V89" i="31" s="1"/>
  <c r="V113" i="31" s="1"/>
  <c r="Q559" i="29"/>
  <c r="P559" i="29"/>
  <c r="Q557" i="29"/>
  <c r="P557" i="29"/>
  <c r="O557" i="29"/>
  <c r="Q555" i="29"/>
  <c r="P555" i="29"/>
  <c r="O555" i="29"/>
  <c r="Q554" i="29"/>
  <c r="P554" i="29"/>
  <c r="O554" i="29"/>
  <c r="Q553" i="29"/>
  <c r="Q551" i="29"/>
  <c r="P551" i="29"/>
  <c r="O551" i="29"/>
  <c r="Q550" i="29"/>
  <c r="P550" i="29"/>
  <c r="O550" i="29"/>
  <c r="Q548" i="29"/>
  <c r="P548" i="29"/>
  <c r="O548" i="29"/>
  <c r="Q547" i="29"/>
  <c r="P547" i="29"/>
  <c r="O547" i="29"/>
  <c r="Q546" i="29"/>
  <c r="P546" i="29"/>
  <c r="O546" i="29"/>
  <c r="Q545" i="29"/>
  <c r="P545" i="29"/>
  <c r="O545" i="29"/>
  <c r="S544" i="29"/>
  <c r="Q544" i="29"/>
  <c r="P544" i="29"/>
  <c r="O544" i="29"/>
  <c r="Q543" i="29"/>
  <c r="Q542" i="29"/>
  <c r="Q541" i="29"/>
  <c r="Q540" i="29"/>
  <c r="Q539" i="29"/>
  <c r="Q538" i="29"/>
  <c r="Q537" i="29"/>
  <c r="P537" i="29"/>
  <c r="O537" i="29"/>
  <c r="Q536" i="29"/>
  <c r="P536" i="29"/>
  <c r="O536" i="29"/>
  <c r="Q535" i="29"/>
  <c r="P535" i="29"/>
  <c r="O535" i="29"/>
  <c r="Q533" i="29"/>
  <c r="P533" i="29"/>
  <c r="O533" i="29"/>
  <c r="V533" i="29" s="1"/>
  <c r="Q531" i="29"/>
  <c r="P531" i="29"/>
  <c r="O531" i="29"/>
  <c r="Q530" i="29"/>
  <c r="P530" i="29"/>
  <c r="O530" i="29"/>
  <c r="Q529" i="29"/>
  <c r="P529" i="29"/>
  <c r="O529" i="29"/>
  <c r="Q527" i="29"/>
  <c r="P527" i="29"/>
  <c r="O527" i="29"/>
  <c r="Q525" i="29"/>
  <c r="P525" i="29"/>
  <c r="O525" i="29"/>
  <c r="Q523" i="29"/>
  <c r="P523" i="29"/>
  <c r="O523" i="29"/>
  <c r="Q521" i="29"/>
  <c r="P521" i="29"/>
  <c r="O521" i="29"/>
  <c r="Q520" i="29"/>
  <c r="P520" i="29"/>
  <c r="O520" i="29"/>
  <c r="Q519" i="29"/>
  <c r="P519" i="29"/>
  <c r="O519" i="29"/>
  <c r="Q518" i="29"/>
  <c r="P518" i="29"/>
  <c r="O518" i="29"/>
  <c r="Q517" i="29"/>
  <c r="Q516" i="29"/>
  <c r="Q515" i="29"/>
  <c r="Q514" i="29"/>
  <c r="Q513" i="29"/>
  <c r="Q512" i="29"/>
  <c r="V511" i="29"/>
  <c r="V537" i="29" s="1"/>
  <c r="V562" i="29" s="1"/>
  <c r="V599" i="29" s="1"/>
  <c r="Q511" i="29"/>
  <c r="P511" i="29"/>
  <c r="Q510" i="29"/>
  <c r="P510" i="29"/>
  <c r="O510" i="29"/>
  <c r="Q509" i="29"/>
  <c r="P509" i="29"/>
  <c r="O509" i="29"/>
  <c r="V507" i="29"/>
  <c r="Q507" i="29"/>
  <c r="P507" i="29"/>
  <c r="O507" i="29"/>
  <c r="Q505" i="29"/>
  <c r="P505" i="29"/>
  <c r="O505" i="29"/>
  <c r="Q503" i="29"/>
  <c r="P503" i="29"/>
  <c r="O503" i="29"/>
  <c r="Q502" i="29"/>
  <c r="P502" i="29"/>
  <c r="O502" i="29"/>
  <c r="Q501" i="29"/>
  <c r="P501" i="29"/>
  <c r="O501" i="29"/>
  <c r="V501" i="29" s="1"/>
  <c r="Q498" i="29"/>
  <c r="P498" i="29"/>
  <c r="O498" i="29"/>
  <c r="Q496" i="29"/>
  <c r="P496" i="29"/>
  <c r="O496" i="29"/>
  <c r="Q495" i="29"/>
  <c r="P495" i="29"/>
  <c r="O495" i="29"/>
  <c r="Q494" i="29"/>
  <c r="P494" i="29"/>
  <c r="O494" i="29"/>
  <c r="Q493" i="29"/>
  <c r="P493" i="29"/>
  <c r="O493" i="29"/>
  <c r="Q492" i="29"/>
  <c r="P492" i="29"/>
  <c r="O492" i="29"/>
  <c r="Q491" i="29"/>
  <c r="Q490" i="29"/>
  <c r="Q489" i="29"/>
  <c r="Q488" i="29"/>
  <c r="Q487" i="29"/>
  <c r="Q486" i="29"/>
  <c r="V485" i="29"/>
  <c r="Q485" i="29"/>
  <c r="P485" i="29"/>
  <c r="P599" i="29" s="1"/>
  <c r="Q484" i="29"/>
  <c r="P484" i="29"/>
  <c r="Q483" i="29"/>
  <c r="P483" i="29"/>
  <c r="O483" i="29"/>
  <c r="V482" i="29"/>
  <c r="Q482" i="29"/>
  <c r="P482" i="29"/>
  <c r="Q480" i="29"/>
  <c r="P480" i="29"/>
  <c r="O480" i="29"/>
  <c r="Q479" i="29"/>
  <c r="P479" i="29"/>
  <c r="O479" i="29"/>
  <c r="Q478" i="29"/>
  <c r="Q477" i="29"/>
  <c r="P477" i="29"/>
  <c r="O477" i="29"/>
  <c r="V477" i="29" s="1"/>
  <c r="P476" i="29"/>
  <c r="O476" i="29"/>
  <c r="Q475" i="29"/>
  <c r="P475" i="29"/>
  <c r="O475" i="29"/>
  <c r="Q474" i="29"/>
  <c r="P474" i="29"/>
  <c r="O474" i="29"/>
  <c r="Q473" i="29"/>
  <c r="P473" i="29"/>
  <c r="O473" i="29"/>
  <c r="Q472" i="29"/>
  <c r="P472" i="29"/>
  <c r="O472" i="29"/>
  <c r="Q471" i="29"/>
  <c r="P471" i="29"/>
  <c r="O471" i="29"/>
  <c r="S470" i="29"/>
  <c r="R470" i="29"/>
  <c r="Q470" i="29"/>
  <c r="P470" i="29"/>
  <c r="O470" i="29"/>
  <c r="Q469" i="29"/>
  <c r="Q468" i="29"/>
  <c r="Q467" i="29"/>
  <c r="Q466" i="29"/>
  <c r="Q465" i="29"/>
  <c r="Q464" i="29"/>
  <c r="Q462" i="29"/>
  <c r="Q461" i="29"/>
  <c r="P461" i="29"/>
  <c r="Q460" i="29"/>
  <c r="P460" i="29"/>
  <c r="O460" i="29"/>
  <c r="Q459" i="29"/>
  <c r="P459" i="29"/>
  <c r="Q457" i="29"/>
  <c r="P457" i="29"/>
  <c r="O457" i="29"/>
  <c r="Q456" i="29"/>
  <c r="P456" i="29"/>
  <c r="O456" i="29"/>
  <c r="Q455" i="29"/>
  <c r="V454" i="29"/>
  <c r="Q454" i="29"/>
  <c r="P454" i="29"/>
  <c r="O454" i="29"/>
  <c r="Q453" i="29"/>
  <c r="P453" i="29"/>
  <c r="O453" i="29"/>
  <c r="Q452" i="29"/>
  <c r="P452" i="29"/>
  <c r="O452" i="29"/>
  <c r="Q451" i="29"/>
  <c r="P451" i="29"/>
  <c r="O451" i="29"/>
  <c r="Q449" i="29"/>
  <c r="P449" i="29"/>
  <c r="O449" i="29"/>
  <c r="Q448" i="29"/>
  <c r="P448" i="29"/>
  <c r="O448" i="29"/>
  <c r="Q447" i="29"/>
  <c r="P447" i="29"/>
  <c r="O447" i="29"/>
  <c r="Q446" i="29"/>
  <c r="P446" i="29"/>
  <c r="O446" i="29"/>
  <c r="Q445" i="29"/>
  <c r="Q443" i="29"/>
  <c r="P443" i="29"/>
  <c r="O443" i="29"/>
  <c r="Q442" i="29"/>
  <c r="Q441" i="29"/>
  <c r="Q440" i="29"/>
  <c r="Q439" i="29"/>
  <c r="Q438" i="29"/>
  <c r="P438" i="29"/>
  <c r="O438" i="29"/>
  <c r="Q436" i="29"/>
  <c r="P436" i="29"/>
  <c r="O436" i="29"/>
  <c r="Q434" i="29"/>
  <c r="Q432" i="29"/>
  <c r="P432" i="29"/>
  <c r="O432" i="29"/>
  <c r="V432" i="29" s="1"/>
  <c r="Q430" i="29"/>
  <c r="P430" i="29"/>
  <c r="O430" i="29"/>
  <c r="Q429" i="29"/>
  <c r="Q427" i="29"/>
  <c r="P427" i="29"/>
  <c r="O427" i="29"/>
  <c r="Q426" i="29"/>
  <c r="P426" i="29"/>
  <c r="Q424" i="29"/>
  <c r="P424" i="29"/>
  <c r="O424" i="29"/>
  <c r="Q423" i="29"/>
  <c r="P423" i="29"/>
  <c r="O423" i="29"/>
  <c r="Q422" i="29"/>
  <c r="P422" i="29"/>
  <c r="O422" i="29"/>
  <c r="Q421" i="29"/>
  <c r="P421" i="29"/>
  <c r="O421" i="29"/>
  <c r="Q420" i="29"/>
  <c r="P420" i="29"/>
  <c r="O420" i="29"/>
  <c r="S419" i="29"/>
  <c r="Q419" i="29"/>
  <c r="P419" i="29"/>
  <c r="O419" i="29"/>
  <c r="Q418" i="29"/>
  <c r="Q417" i="29"/>
  <c r="P417" i="29"/>
  <c r="P604" i="29" s="1"/>
  <c r="Q416" i="29"/>
  <c r="Q415" i="29"/>
  <c r="Q414" i="29"/>
  <c r="Q413" i="29"/>
  <c r="Q412" i="29"/>
  <c r="P412" i="29"/>
  <c r="O412" i="29"/>
  <c r="V412" i="29" s="1"/>
  <c r="V438" i="29" s="1"/>
  <c r="V461" i="29" s="1"/>
  <c r="V484" i="29" s="1"/>
  <c r="V510" i="29" s="1"/>
  <c r="V536" i="29" s="1"/>
  <c r="Q411" i="29"/>
  <c r="P411" i="29"/>
  <c r="O411" i="29"/>
  <c r="Q407" i="29"/>
  <c r="P407" i="29"/>
  <c r="Q406" i="29"/>
  <c r="P406" i="29"/>
  <c r="O406" i="29"/>
  <c r="Q405" i="29"/>
  <c r="Q404" i="29"/>
  <c r="P404" i="29"/>
  <c r="O404" i="29"/>
  <c r="Q403" i="29"/>
  <c r="P403" i="29"/>
  <c r="Q402" i="29"/>
  <c r="P402" i="29"/>
  <c r="O402" i="29"/>
  <c r="Q400" i="29"/>
  <c r="P400" i="29"/>
  <c r="O400" i="29"/>
  <c r="Q399" i="29"/>
  <c r="P399" i="29"/>
  <c r="O399" i="29"/>
  <c r="Q398" i="29"/>
  <c r="P398" i="29"/>
  <c r="O398" i="29"/>
  <c r="Q397" i="29"/>
  <c r="P397" i="29"/>
  <c r="O397" i="29"/>
  <c r="S396" i="29"/>
  <c r="Q396" i="29"/>
  <c r="P396" i="29"/>
  <c r="O396" i="29"/>
  <c r="Q395" i="29"/>
  <c r="Q394" i="29"/>
  <c r="Q393" i="29"/>
  <c r="Q392" i="29"/>
  <c r="Q391" i="29"/>
  <c r="Q390" i="29"/>
  <c r="V389" i="29"/>
  <c r="Q389" i="29"/>
  <c r="P389" i="29"/>
  <c r="P595" i="29" s="1"/>
  <c r="O389" i="29"/>
  <c r="O595" i="29" s="1"/>
  <c r="Q388" i="29"/>
  <c r="P388" i="29"/>
  <c r="O388" i="29"/>
  <c r="Q386" i="29"/>
  <c r="P386" i="29"/>
  <c r="O386" i="29"/>
  <c r="V386" i="29" s="1"/>
  <c r="V407" i="29" s="1"/>
  <c r="Q385" i="29"/>
  <c r="P385" i="29"/>
  <c r="O385" i="29"/>
  <c r="Q384" i="29"/>
  <c r="Q382" i="29"/>
  <c r="P382" i="29"/>
  <c r="O382" i="29"/>
  <c r="Q381" i="29"/>
  <c r="P381" i="29"/>
  <c r="O381" i="29"/>
  <c r="Q379" i="29"/>
  <c r="P379" i="29"/>
  <c r="O379" i="29"/>
  <c r="Q378" i="29"/>
  <c r="P378" i="29"/>
  <c r="O378" i="29"/>
  <c r="Q376" i="29"/>
  <c r="P376" i="29"/>
  <c r="O376" i="29"/>
  <c r="Q375" i="29"/>
  <c r="P375" i="29"/>
  <c r="O375" i="29"/>
  <c r="Q374" i="29"/>
  <c r="P374" i="29"/>
  <c r="O374" i="29"/>
  <c r="Q373" i="29"/>
  <c r="P373" i="29"/>
  <c r="O373" i="29"/>
  <c r="Q372" i="29"/>
  <c r="Q371" i="29"/>
  <c r="Q370" i="29"/>
  <c r="Q369" i="29"/>
  <c r="Q368" i="29"/>
  <c r="Q367" i="29"/>
  <c r="Q365" i="29"/>
  <c r="P365" i="29"/>
  <c r="O365" i="29"/>
  <c r="V363" i="29"/>
  <c r="Q363" i="29"/>
  <c r="P363" i="29"/>
  <c r="Q362" i="29"/>
  <c r="P362" i="29"/>
  <c r="Q361" i="29"/>
  <c r="Q359" i="29"/>
  <c r="P359" i="29"/>
  <c r="O359" i="29"/>
  <c r="Q358" i="29"/>
  <c r="P358" i="29"/>
  <c r="O358" i="29"/>
  <c r="Q357" i="29"/>
  <c r="P357" i="29"/>
  <c r="O357" i="29"/>
  <c r="Q356" i="29"/>
  <c r="P356" i="29"/>
  <c r="O356" i="29"/>
  <c r="Q355" i="29"/>
  <c r="P355" i="29"/>
  <c r="O355" i="29"/>
  <c r="Q354" i="29"/>
  <c r="P354" i="29"/>
  <c r="O354" i="29"/>
  <c r="Q353" i="29"/>
  <c r="Q352" i="29"/>
  <c r="Q351" i="29"/>
  <c r="Q350" i="29"/>
  <c r="Q349" i="29"/>
  <c r="Q348" i="29"/>
  <c r="Q347" i="29"/>
  <c r="Q346" i="29"/>
  <c r="Q345" i="29"/>
  <c r="P345" i="29"/>
  <c r="Q343" i="29"/>
  <c r="P343" i="29"/>
  <c r="Q342" i="29"/>
  <c r="Q341" i="29"/>
  <c r="Q340" i="29"/>
  <c r="P340" i="29"/>
  <c r="O340" i="29"/>
  <c r="Q339" i="29"/>
  <c r="P339" i="29"/>
  <c r="O339" i="29"/>
  <c r="Q338" i="29"/>
  <c r="P338" i="29"/>
  <c r="O338" i="29"/>
  <c r="Q336" i="29"/>
  <c r="P336" i="29"/>
  <c r="O336" i="29"/>
  <c r="Q335" i="29"/>
  <c r="P335" i="29"/>
  <c r="O335" i="29"/>
  <c r="Q334" i="29"/>
  <c r="P334" i="29"/>
  <c r="O334" i="29"/>
  <c r="V334" i="29" s="1"/>
  <c r="Q333" i="29"/>
  <c r="O333" i="29"/>
  <c r="Q332" i="29"/>
  <c r="P332" i="29"/>
  <c r="Q331" i="29"/>
  <c r="Q330" i="29"/>
  <c r="Q329" i="29"/>
  <c r="Q328" i="29"/>
  <c r="Q327" i="29"/>
  <c r="Q326" i="29"/>
  <c r="Q324" i="29"/>
  <c r="P324" i="29"/>
  <c r="O324" i="29"/>
  <c r="Q322" i="29"/>
  <c r="P322" i="29"/>
  <c r="O322" i="29"/>
  <c r="Q320" i="29"/>
  <c r="Q319" i="29"/>
  <c r="P319" i="29"/>
  <c r="Q318" i="29"/>
  <c r="P318" i="29"/>
  <c r="Q316" i="29"/>
  <c r="P316" i="29"/>
  <c r="O316" i="29"/>
  <c r="Q315" i="29"/>
  <c r="P315" i="29"/>
  <c r="O315" i="29"/>
  <c r="Q314" i="29"/>
  <c r="P314" i="29"/>
  <c r="O314" i="29"/>
  <c r="V313" i="29"/>
  <c r="Q313" i="29"/>
  <c r="P313" i="29"/>
  <c r="Q312" i="29"/>
  <c r="P312" i="29"/>
  <c r="O312" i="29"/>
  <c r="V312" i="29" s="1"/>
  <c r="Q311" i="29"/>
  <c r="P311" i="29"/>
  <c r="O311" i="29"/>
  <c r="Q310" i="29"/>
  <c r="Q309" i="29"/>
  <c r="Q308" i="29"/>
  <c r="Q307" i="29"/>
  <c r="Q306" i="29"/>
  <c r="Q305" i="29"/>
  <c r="Q304" i="29"/>
  <c r="P304" i="29"/>
  <c r="O304" i="29"/>
  <c r="Q302" i="29"/>
  <c r="P302" i="29"/>
  <c r="O302" i="29"/>
  <c r="Q300" i="29"/>
  <c r="Q299" i="29"/>
  <c r="P299" i="29"/>
  <c r="O299" i="29"/>
  <c r="Q298" i="29"/>
  <c r="P298" i="29"/>
  <c r="O298" i="29"/>
  <c r="Q297" i="29"/>
  <c r="P297" i="29"/>
  <c r="O297" i="29"/>
  <c r="Q296" i="29"/>
  <c r="P296" i="29"/>
  <c r="O296" i="29"/>
  <c r="Q295" i="29"/>
  <c r="P295" i="29"/>
  <c r="O295" i="29"/>
  <c r="Q294" i="29"/>
  <c r="P294" i="29"/>
  <c r="P572" i="29" s="1"/>
  <c r="Q293" i="29"/>
  <c r="P293" i="29"/>
  <c r="O293" i="29"/>
  <c r="Q292" i="29"/>
  <c r="P292" i="29"/>
  <c r="O292" i="29"/>
  <c r="Q291" i="29"/>
  <c r="Q290" i="29"/>
  <c r="Q289" i="29"/>
  <c r="Q288" i="29"/>
  <c r="Q287" i="29"/>
  <c r="Q286" i="29"/>
  <c r="Q285" i="29"/>
  <c r="P285" i="29"/>
  <c r="Q283" i="29"/>
  <c r="P283" i="29"/>
  <c r="O283" i="29"/>
  <c r="Q281" i="29"/>
  <c r="P281" i="29"/>
  <c r="Q280" i="29"/>
  <c r="P280" i="29"/>
  <c r="O280" i="29"/>
  <c r="Q279" i="29"/>
  <c r="Q278" i="29"/>
  <c r="P278" i="29"/>
  <c r="O278" i="29"/>
  <c r="Q277" i="29"/>
  <c r="P277" i="29"/>
  <c r="O277" i="29"/>
  <c r="Q276" i="29"/>
  <c r="P276" i="29"/>
  <c r="O276" i="29"/>
  <c r="V275" i="29"/>
  <c r="Q274" i="29"/>
  <c r="Q273" i="29"/>
  <c r="P273" i="29"/>
  <c r="O273" i="29"/>
  <c r="Q272" i="29"/>
  <c r="Q271" i="29"/>
  <c r="Q270" i="29"/>
  <c r="Q269" i="29"/>
  <c r="Q268" i="29"/>
  <c r="V267" i="29"/>
  <c r="V286" i="29" s="1"/>
  <c r="Q267" i="29"/>
  <c r="P267" i="29"/>
  <c r="O267" i="29"/>
  <c r="O600" i="29" s="1"/>
  <c r="Q266" i="29"/>
  <c r="P266" i="29"/>
  <c r="Q264" i="29"/>
  <c r="P264" i="29"/>
  <c r="O264" i="29"/>
  <c r="Q262" i="29"/>
  <c r="P262" i="29"/>
  <c r="V260" i="29"/>
  <c r="Q260" i="29"/>
  <c r="P260" i="29"/>
  <c r="Q259" i="29"/>
  <c r="P259" i="29"/>
  <c r="O259" i="29"/>
  <c r="Q257" i="29"/>
  <c r="P257" i="29"/>
  <c r="O257" i="29"/>
  <c r="Q255" i="29"/>
  <c r="P255" i="29"/>
  <c r="O255" i="29"/>
  <c r="Q254" i="29"/>
  <c r="P254" i="29"/>
  <c r="O254" i="29"/>
  <c r="V253" i="29"/>
  <c r="Q252" i="29"/>
  <c r="P252" i="29"/>
  <c r="S251" i="29"/>
  <c r="Q251" i="29"/>
  <c r="P251" i="29"/>
  <c r="O251" i="29"/>
  <c r="Q245" i="29"/>
  <c r="P245" i="29"/>
  <c r="P600" i="29" s="1"/>
  <c r="Q244" i="29"/>
  <c r="P244" i="29"/>
  <c r="O244" i="29"/>
  <c r="Q242" i="29"/>
  <c r="P242" i="29"/>
  <c r="Q240" i="29"/>
  <c r="P240" i="29"/>
  <c r="O240" i="29"/>
  <c r="V238" i="29"/>
  <c r="Q238" i="29"/>
  <c r="P238" i="29"/>
  <c r="Q237" i="29"/>
  <c r="P237" i="29"/>
  <c r="O237" i="29"/>
  <c r="Q235" i="29"/>
  <c r="P235" i="29"/>
  <c r="O235" i="29"/>
  <c r="Q234" i="29"/>
  <c r="P234" i="29"/>
  <c r="O234" i="29"/>
  <c r="Q233" i="29"/>
  <c r="P233" i="29"/>
  <c r="O233" i="29"/>
  <c r="Q231" i="29"/>
  <c r="P231" i="29"/>
  <c r="O231" i="29"/>
  <c r="Q230" i="29"/>
  <c r="P230" i="29"/>
  <c r="O230" i="29"/>
  <c r="Q229" i="29"/>
  <c r="Q228" i="29"/>
  <c r="Q227" i="29"/>
  <c r="Q226" i="29"/>
  <c r="Q225" i="29"/>
  <c r="Q224" i="29"/>
  <c r="P224" i="29"/>
  <c r="O224" i="29"/>
  <c r="Q222" i="29"/>
  <c r="Q221" i="29"/>
  <c r="P221" i="29"/>
  <c r="O221" i="29"/>
  <c r="Q220" i="29"/>
  <c r="P220" i="29"/>
  <c r="Q219" i="29"/>
  <c r="P219" i="29"/>
  <c r="P583" i="29" s="1"/>
  <c r="Q218" i="29"/>
  <c r="P218" i="29"/>
  <c r="O218" i="29"/>
  <c r="Q217" i="29"/>
  <c r="P217" i="29"/>
  <c r="O217" i="29"/>
  <c r="Q216" i="29"/>
  <c r="P216" i="29"/>
  <c r="O216" i="29"/>
  <c r="Q215" i="29"/>
  <c r="P215" i="29"/>
  <c r="O215" i="29"/>
  <c r="Q213" i="29"/>
  <c r="P213" i="29"/>
  <c r="O213" i="29"/>
  <c r="Q212" i="29"/>
  <c r="P212" i="29"/>
  <c r="O212" i="29"/>
  <c r="Q211" i="29"/>
  <c r="Q210" i="29"/>
  <c r="Q209" i="29"/>
  <c r="Q208" i="29"/>
  <c r="Q207" i="29"/>
  <c r="Q206" i="29"/>
  <c r="P206" i="29"/>
  <c r="O206" i="29"/>
  <c r="Q204" i="29"/>
  <c r="P204" i="29"/>
  <c r="O204" i="29"/>
  <c r="V204" i="29" s="1"/>
  <c r="Q202" i="29"/>
  <c r="P202" i="29"/>
  <c r="O202" i="29"/>
  <c r="Q201" i="29"/>
  <c r="P201" i="29"/>
  <c r="O201" i="29"/>
  <c r="V201" i="29" s="1"/>
  <c r="V220" i="29" s="1"/>
  <c r="V240" i="29" s="1"/>
  <c r="V262" i="29" s="1"/>
  <c r="V281" i="29" s="1"/>
  <c r="V300" i="29" s="1"/>
  <c r="V320" i="29" s="1"/>
  <c r="V341" i="29" s="1"/>
  <c r="V361" i="29" s="1"/>
  <c r="V384" i="29" s="1"/>
  <c r="V405" i="29" s="1"/>
  <c r="V429" i="29" s="1"/>
  <c r="V455" i="29" s="1"/>
  <c r="V478" i="29" s="1"/>
  <c r="Q198" i="29"/>
  <c r="P198" i="29"/>
  <c r="O198" i="29"/>
  <c r="Q196" i="29"/>
  <c r="P196" i="29"/>
  <c r="O196" i="29"/>
  <c r="Q195" i="29"/>
  <c r="P195" i="29"/>
  <c r="O195" i="29"/>
  <c r="Q193" i="29"/>
  <c r="P193" i="29"/>
  <c r="O193" i="29"/>
  <c r="V192" i="29"/>
  <c r="Q191" i="29"/>
  <c r="P191" i="29"/>
  <c r="O191" i="29"/>
  <c r="S190" i="29"/>
  <c r="Q190" i="29"/>
  <c r="P190" i="29"/>
  <c r="O190" i="29"/>
  <c r="Q189" i="29"/>
  <c r="Q188" i="29"/>
  <c r="Q187" i="29"/>
  <c r="Q186" i="29"/>
  <c r="Q185" i="29"/>
  <c r="Q184" i="29"/>
  <c r="P184" i="29"/>
  <c r="Q182" i="29"/>
  <c r="P182" i="29"/>
  <c r="Q181" i="29"/>
  <c r="P181" i="29"/>
  <c r="O181" i="29"/>
  <c r="V179" i="29"/>
  <c r="Q179" i="29"/>
  <c r="P179" i="29"/>
  <c r="Q177" i="29"/>
  <c r="P177" i="29"/>
  <c r="O177" i="29"/>
  <c r="Q175" i="29"/>
  <c r="P175" i="29"/>
  <c r="O175" i="29"/>
  <c r="Q174" i="29"/>
  <c r="P174" i="29"/>
  <c r="O174" i="29"/>
  <c r="Q173" i="29"/>
  <c r="P173" i="29"/>
  <c r="O173" i="29"/>
  <c r="V172" i="29"/>
  <c r="Q171" i="29"/>
  <c r="P171" i="29"/>
  <c r="O171" i="29"/>
  <c r="Q170" i="29"/>
  <c r="Q169" i="29"/>
  <c r="Q168" i="29"/>
  <c r="Q167" i="29"/>
  <c r="Q166" i="29"/>
  <c r="Q165" i="29"/>
  <c r="Q164" i="29"/>
  <c r="P164" i="29"/>
  <c r="O164" i="29"/>
  <c r="Q162" i="29"/>
  <c r="P162" i="29"/>
  <c r="O162" i="29"/>
  <c r="V162" i="29" s="1"/>
  <c r="V182" i="29" s="1"/>
  <c r="Q160" i="29"/>
  <c r="P160" i="29"/>
  <c r="O160" i="29"/>
  <c r="Q157" i="29"/>
  <c r="P157" i="29"/>
  <c r="O157" i="29"/>
  <c r="Q154" i="29"/>
  <c r="P154" i="29"/>
  <c r="O154" i="29"/>
  <c r="Q153" i="29"/>
  <c r="P153" i="29"/>
  <c r="O153" i="29"/>
  <c r="Q152" i="29"/>
  <c r="P152" i="29"/>
  <c r="O152" i="29"/>
  <c r="Q150" i="29"/>
  <c r="P150" i="29"/>
  <c r="O150" i="29"/>
  <c r="V150" i="29" s="1"/>
  <c r="V171" i="29" s="1"/>
  <c r="V191" i="29" s="1"/>
  <c r="V213" i="29" s="1"/>
  <c r="V231" i="29" s="1"/>
  <c r="Q149" i="29"/>
  <c r="P149" i="29"/>
  <c r="O149" i="29"/>
  <c r="Q148" i="29"/>
  <c r="Q147" i="29"/>
  <c r="Q146" i="29"/>
  <c r="Q145" i="29"/>
  <c r="Q144" i="29"/>
  <c r="Q143" i="29"/>
  <c r="P143" i="29"/>
  <c r="O143" i="29"/>
  <c r="V141" i="29"/>
  <c r="Q141" i="29"/>
  <c r="P141" i="29"/>
  <c r="Q140" i="29"/>
  <c r="P140" i="29"/>
  <c r="O140" i="29"/>
  <c r="Q137" i="29"/>
  <c r="P137" i="29"/>
  <c r="O137" i="29"/>
  <c r="Q136" i="29"/>
  <c r="P136" i="29"/>
  <c r="O136" i="29"/>
  <c r="Q135" i="29"/>
  <c r="P135" i="29"/>
  <c r="O135" i="29"/>
  <c r="Q133" i="29"/>
  <c r="P133" i="29"/>
  <c r="O133" i="29"/>
  <c r="Q132" i="29"/>
  <c r="P132" i="29"/>
  <c r="O132" i="29"/>
  <c r="Q130" i="29"/>
  <c r="Q129" i="29"/>
  <c r="Q128" i="29"/>
  <c r="Q127" i="29"/>
  <c r="Q126" i="29"/>
  <c r="Q125" i="29"/>
  <c r="Q124" i="29"/>
  <c r="Q123" i="29"/>
  <c r="P123" i="29"/>
  <c r="V121" i="29"/>
  <c r="Q121" i="29"/>
  <c r="P121" i="29"/>
  <c r="O121" i="29"/>
  <c r="Q120" i="29"/>
  <c r="P120" i="29"/>
  <c r="O120" i="29"/>
  <c r="P119" i="29"/>
  <c r="O119" i="29"/>
  <c r="Q117" i="29"/>
  <c r="P117" i="29"/>
  <c r="Q116" i="29"/>
  <c r="O116" i="29"/>
  <c r="Q115" i="29"/>
  <c r="P115" i="29"/>
  <c r="O115" i="29"/>
  <c r="Q114" i="29"/>
  <c r="P114" i="29"/>
  <c r="O114" i="29"/>
  <c r="Q113" i="29"/>
  <c r="P113" i="29"/>
  <c r="O113" i="29"/>
  <c r="Q111" i="29"/>
  <c r="O111" i="29"/>
  <c r="Q110" i="29"/>
  <c r="P110" i="29"/>
  <c r="L110" i="29"/>
  <c r="K110" i="29"/>
  <c r="K569" i="29" s="1"/>
  <c r="Q109" i="29"/>
  <c r="Q108" i="29"/>
  <c r="Q107" i="29"/>
  <c r="Q106" i="29"/>
  <c r="Q105" i="29"/>
  <c r="Q104" i="29"/>
  <c r="P104" i="29"/>
  <c r="O104" i="29"/>
  <c r="V104" i="29" s="1"/>
  <c r="V123" i="29" s="1"/>
  <c r="V102" i="29"/>
  <c r="Q102" i="29"/>
  <c r="P102" i="29"/>
  <c r="O102" i="29"/>
  <c r="Q101" i="29"/>
  <c r="P101" i="29"/>
  <c r="O101" i="29"/>
  <c r="V100" i="29"/>
  <c r="Q100" i="29"/>
  <c r="P100" i="29"/>
  <c r="O100" i="29"/>
  <c r="Q97" i="29"/>
  <c r="P97" i="29"/>
  <c r="O97" i="29"/>
  <c r="V97" i="29" s="1"/>
  <c r="Q96" i="29"/>
  <c r="P96" i="29"/>
  <c r="O96" i="29"/>
  <c r="Q95" i="29"/>
  <c r="P95" i="29"/>
  <c r="O95" i="29"/>
  <c r="Q93" i="29"/>
  <c r="P93" i="29"/>
  <c r="O93" i="29"/>
  <c r="Q92" i="29"/>
  <c r="P92" i="29"/>
  <c r="O92" i="29"/>
  <c r="V91" i="29"/>
  <c r="Q91" i="29"/>
  <c r="P91" i="29"/>
  <c r="O91" i="29"/>
  <c r="S89" i="29"/>
  <c r="Q89" i="29"/>
  <c r="P89" i="29"/>
  <c r="O89" i="29"/>
  <c r="Q88" i="29"/>
  <c r="Q87" i="29"/>
  <c r="Q86" i="29"/>
  <c r="Q85" i="29"/>
  <c r="Q84" i="29"/>
  <c r="V83" i="29"/>
  <c r="Q83" i="29"/>
  <c r="P83" i="29"/>
  <c r="Q81" i="29"/>
  <c r="P81" i="29"/>
  <c r="Q79" i="29"/>
  <c r="P79" i="29"/>
  <c r="O79" i="29"/>
  <c r="Q78" i="29"/>
  <c r="P78" i="29"/>
  <c r="O78" i="29"/>
  <c r="Q77" i="29"/>
  <c r="P77" i="29"/>
  <c r="O77" i="29"/>
  <c r="Q76" i="29"/>
  <c r="Q73" i="29"/>
  <c r="P73" i="29"/>
  <c r="O73" i="29"/>
  <c r="Q72" i="29"/>
  <c r="P72" i="29"/>
  <c r="O72" i="29"/>
  <c r="Q70" i="29"/>
  <c r="P70" i="29"/>
  <c r="O70" i="29"/>
  <c r="Q69" i="29"/>
  <c r="P69" i="29"/>
  <c r="O69" i="29"/>
  <c r="Q67" i="29"/>
  <c r="P67" i="29"/>
  <c r="O67" i="29"/>
  <c r="Q66" i="29"/>
  <c r="Q65" i="29"/>
  <c r="Q64" i="29"/>
  <c r="Q63" i="29"/>
  <c r="Q62" i="29"/>
  <c r="V60" i="29"/>
  <c r="Q60" i="29"/>
  <c r="P60" i="29"/>
  <c r="O60" i="29"/>
  <c r="Q58" i="29"/>
  <c r="P58" i="29"/>
  <c r="Q57" i="29"/>
  <c r="P57" i="29"/>
  <c r="O57" i="29"/>
  <c r="V57" i="29" s="1"/>
  <c r="Q56" i="29"/>
  <c r="P56" i="29"/>
  <c r="Q55" i="29"/>
  <c r="P55" i="29"/>
  <c r="O55" i="29"/>
  <c r="V55" i="29" s="1"/>
  <c r="Q54" i="29"/>
  <c r="P54" i="29"/>
  <c r="Q52" i="29"/>
  <c r="P52" i="29"/>
  <c r="Q51" i="29"/>
  <c r="P51" i="29"/>
  <c r="O51" i="29"/>
  <c r="Q50" i="29"/>
  <c r="Q49" i="29"/>
  <c r="P49" i="29"/>
  <c r="O49" i="29"/>
  <c r="Q47" i="29"/>
  <c r="P47" i="29"/>
  <c r="O47" i="29"/>
  <c r="Q46" i="29"/>
  <c r="Q45" i="29"/>
  <c r="Q44" i="29"/>
  <c r="Q43" i="29"/>
  <c r="Q42" i="29"/>
  <c r="Q41" i="29"/>
  <c r="Q39" i="29"/>
  <c r="P39" i="29"/>
  <c r="P589" i="29" s="1"/>
  <c r="Q38" i="29"/>
  <c r="P38" i="29"/>
  <c r="Q36" i="29"/>
  <c r="P36" i="29"/>
  <c r="O36" i="29"/>
  <c r="Q35" i="29"/>
  <c r="P35" i="29"/>
  <c r="P582" i="29" s="1"/>
  <c r="O35" i="29"/>
  <c r="V35" i="29" s="1"/>
  <c r="Q34" i="29"/>
  <c r="P34" i="29"/>
  <c r="O34" i="29"/>
  <c r="Q33" i="29"/>
  <c r="P33" i="29"/>
  <c r="P576" i="29" s="1"/>
  <c r="Q32" i="29"/>
  <c r="P32" i="29"/>
  <c r="O32" i="29"/>
  <c r="Q31" i="29"/>
  <c r="P31" i="29"/>
  <c r="O31" i="29"/>
  <c r="Q30" i="29"/>
  <c r="P30" i="29"/>
  <c r="Q29" i="29"/>
  <c r="P29" i="29"/>
  <c r="O29" i="29"/>
  <c r="Q28" i="29"/>
  <c r="P28" i="29"/>
  <c r="O28" i="29"/>
  <c r="Q27" i="29"/>
  <c r="Q26" i="29"/>
  <c r="Q25" i="29"/>
  <c r="Q24" i="29"/>
  <c r="Q23" i="29"/>
  <c r="Q21" i="29"/>
  <c r="P21" i="29"/>
  <c r="V20" i="29"/>
  <c r="V37" i="29" s="1"/>
  <c r="V59" i="29" s="1"/>
  <c r="V82" i="29" s="1"/>
  <c r="V103" i="29" s="1"/>
  <c r="V122" i="29" s="1"/>
  <c r="V142" i="29" s="1"/>
  <c r="V163" i="29" s="1"/>
  <c r="V183" i="29" s="1"/>
  <c r="V205" i="29" s="1"/>
  <c r="V223" i="29" s="1"/>
  <c r="V243" i="29" s="1"/>
  <c r="V265" i="29" s="1"/>
  <c r="V284" i="29" s="1"/>
  <c r="V303" i="29" s="1"/>
  <c r="V323" i="29" s="1"/>
  <c r="V344" i="29" s="1"/>
  <c r="V364" i="29" s="1"/>
  <c r="V387" i="29" s="1"/>
  <c r="V408" i="29" s="1"/>
  <c r="V433" i="29" s="1"/>
  <c r="V458" i="29" s="1"/>
  <c r="V481" i="29" s="1"/>
  <c r="V506" i="29" s="1"/>
  <c r="V532" i="29" s="1"/>
  <c r="V556" i="29" s="1"/>
  <c r="V596" i="29" s="1"/>
  <c r="V16" i="31" s="1"/>
  <c r="V38" i="31" s="1"/>
  <c r="V62" i="31" s="1"/>
  <c r="V86" i="31" s="1"/>
  <c r="V109" i="31" s="1"/>
  <c r="V133" i="31" s="1"/>
  <c r="V155" i="31" s="1"/>
  <c r="V178" i="31" s="1"/>
  <c r="V203" i="31" s="1"/>
  <c r="V225" i="31" s="1"/>
  <c r="V250" i="31" s="1"/>
  <c r="V274" i="31" s="1"/>
  <c r="V296" i="31" s="1"/>
  <c r="V318" i="31" s="1"/>
  <c r="V339" i="31" s="1"/>
  <c r="V361" i="31" s="1"/>
  <c r="V397" i="31" s="1"/>
  <c r="Q19" i="29"/>
  <c r="P19" i="29"/>
  <c r="P587" i="29" s="1"/>
  <c r="V16" i="29"/>
  <c r="Q16" i="29"/>
  <c r="P16" i="29"/>
  <c r="O16" i="29"/>
  <c r="Q15" i="29"/>
  <c r="P15" i="29"/>
  <c r="O15" i="29"/>
  <c r="V15" i="29" s="1"/>
  <c r="V34" i="29" s="1"/>
  <c r="V12" i="29"/>
  <c r="V33" i="29" s="1"/>
  <c r="V52" i="29" s="1"/>
  <c r="Q12" i="29"/>
  <c r="P12" i="29"/>
  <c r="Q10" i="29"/>
  <c r="P10" i="29"/>
  <c r="P575" i="29" s="1"/>
  <c r="O10" i="29"/>
  <c r="V10" i="29" s="1"/>
  <c r="V32" i="29" s="1"/>
  <c r="Q8" i="29"/>
  <c r="P8" i="29"/>
  <c r="Q6" i="29"/>
  <c r="P6" i="29"/>
  <c r="O6" i="29"/>
  <c r="V6" i="29" s="1"/>
  <c r="Q5" i="29"/>
  <c r="P5" i="29"/>
  <c r="P570" i="29" s="1"/>
  <c r="Q4" i="29"/>
  <c r="P4" i="29"/>
  <c r="O4" i="29"/>
  <c r="DQ296" i="28"/>
  <c r="DP296" i="28"/>
  <c r="R544" i="29" s="1"/>
  <c r="DO296" i="28"/>
  <c r="DN296" i="28"/>
  <c r="S518" i="29" s="1"/>
  <c r="DM296" i="28"/>
  <c r="R518" i="29" s="1"/>
  <c r="DL296" i="28"/>
  <c r="DK296" i="28"/>
  <c r="S492" i="29" s="1"/>
  <c r="DJ296" i="28"/>
  <c r="R492" i="29" s="1"/>
  <c r="DI296" i="28"/>
  <c r="DH296" i="28"/>
  <c r="DG296" i="28"/>
  <c r="DF296" i="28"/>
  <c r="DE296" i="28"/>
  <c r="S446" i="29" s="1"/>
  <c r="DD296" i="28"/>
  <c r="R446" i="29" s="1"/>
  <c r="DC296" i="28"/>
  <c r="DB296" i="28"/>
  <c r="CZ296" i="28"/>
  <c r="CY296" i="28"/>
  <c r="CX296" i="28"/>
  <c r="CW296" i="28"/>
  <c r="CV296" i="28"/>
  <c r="CU296" i="28"/>
  <c r="R396" i="29" s="1"/>
  <c r="CT296" i="28"/>
  <c r="CS296" i="28"/>
  <c r="S373" i="29" s="1"/>
  <c r="CQ296" i="28"/>
  <c r="CN296" i="28"/>
  <c r="CM296" i="28"/>
  <c r="S332" i="29" s="1"/>
  <c r="CL296" i="28"/>
  <c r="R332" i="29" s="1"/>
  <c r="CK296" i="28"/>
  <c r="CJ296" i="28"/>
  <c r="S311" i="29" s="1"/>
  <c r="CH296" i="28"/>
  <c r="CG296" i="28"/>
  <c r="S292" i="29" s="1"/>
  <c r="CF296" i="28"/>
  <c r="R292" i="29" s="1"/>
  <c r="CE296" i="28"/>
  <c r="CA296" i="28"/>
  <c r="S273" i="29" s="1"/>
  <c r="BY296" i="28"/>
  <c r="BX296" i="28"/>
  <c r="BV296" i="28"/>
  <c r="BU296" i="28"/>
  <c r="S230" i="29" s="1"/>
  <c r="BT296" i="28"/>
  <c r="R230" i="29" s="1"/>
  <c r="BS296" i="28"/>
  <c r="BP296" i="28"/>
  <c r="BO296" i="28"/>
  <c r="BN296" i="28"/>
  <c r="R190" i="29" s="1"/>
  <c r="BM296" i="28"/>
  <c r="BL296" i="28"/>
  <c r="S170" i="29" s="1"/>
  <c r="BK296" i="28"/>
  <c r="R170" i="29" s="1"/>
  <c r="BJ296" i="28"/>
  <c r="BI296" i="28"/>
  <c r="BH296" i="28"/>
  <c r="BG296" i="28"/>
  <c r="BF296" i="28"/>
  <c r="S149" i="29" s="1"/>
  <c r="BE296" i="28"/>
  <c r="R149" i="29" s="1"/>
  <c r="BD296" i="28"/>
  <c r="BA296" i="28"/>
  <c r="AX296" i="28"/>
  <c r="AW296" i="28"/>
  <c r="AV296" i="28"/>
  <c r="R89" i="29" s="1"/>
  <c r="AU296" i="28"/>
  <c r="AR296" i="28"/>
  <c r="AO296" i="28"/>
  <c r="AN296" i="28"/>
  <c r="AM296" i="28"/>
  <c r="AL296" i="28"/>
  <c r="AK296" i="28"/>
  <c r="S28" i="29" s="1"/>
  <c r="AI296" i="28"/>
  <c r="AF296" i="28"/>
  <c r="BR283" i="28"/>
  <c r="BR296" i="28" s="1"/>
  <c r="S212" i="29" s="1"/>
  <c r="BQ283" i="28"/>
  <c r="BQ296" i="28" s="1"/>
  <c r="R212" i="29" s="1"/>
  <c r="DP280" i="28"/>
  <c r="AY280" i="28"/>
  <c r="AV280" i="28"/>
  <c r="AS280" i="28"/>
  <c r="AQ280" i="28"/>
  <c r="AQ296" i="28" s="1"/>
  <c r="S47" i="29" s="1"/>
  <c r="AP280" i="28"/>
  <c r="O50" i="29" s="1"/>
  <c r="AG280" i="28"/>
  <c r="O8" i="29" s="1"/>
  <c r="DA278" i="28"/>
  <c r="O426" i="29" s="1"/>
  <c r="V426" i="29" s="1"/>
  <c r="CU278" i="28"/>
  <c r="O403" i="29" s="1"/>
  <c r="CP278" i="28"/>
  <c r="CO278" i="28"/>
  <c r="CM278" i="28"/>
  <c r="CL278" i="28"/>
  <c r="CI278" i="28"/>
  <c r="O318" i="29" s="1"/>
  <c r="CA278" i="28"/>
  <c r="P279" i="29" s="1"/>
  <c r="BZ278" i="28"/>
  <c r="O279" i="29" s="1"/>
  <c r="BC278" i="28"/>
  <c r="BB278" i="28"/>
  <c r="AZ278" i="28"/>
  <c r="AY278" i="28"/>
  <c r="O117" i="29" s="1"/>
  <c r="V117" i="29" s="1"/>
  <c r="AZ277" i="28"/>
  <c r="P116" i="29" s="1"/>
  <c r="AT277" i="28"/>
  <c r="P76" i="29" s="1"/>
  <c r="AS277" i="28"/>
  <c r="O76" i="29" s="1"/>
  <c r="AP277" i="28"/>
  <c r="O54" i="29" s="1"/>
  <c r="AJ277" i="28"/>
  <c r="AG277" i="28"/>
  <c r="CS274" i="28"/>
  <c r="CR274" i="28"/>
  <c r="CR296" i="28" s="1"/>
  <c r="R373" i="29" s="1"/>
  <c r="CP274" i="28"/>
  <c r="P353" i="29" s="1"/>
  <c r="CO274" i="28"/>
  <c r="O353" i="29" s="1"/>
  <c r="CM274" i="28"/>
  <c r="P333" i="29" s="1"/>
  <c r="CL274" i="28"/>
  <c r="CI274" i="28"/>
  <c r="CA274" i="28"/>
  <c r="P274" i="29" s="1"/>
  <c r="BZ274" i="28"/>
  <c r="O274" i="29" s="1"/>
  <c r="BW274" i="28"/>
  <c r="O252" i="29" s="1"/>
  <c r="V252" i="29" s="1"/>
  <c r="BC274" i="28"/>
  <c r="P130" i="29" s="1"/>
  <c r="BB274" i="28"/>
  <c r="O130" i="29" s="1"/>
  <c r="V130" i="29" s="1"/>
  <c r="AZ274" i="28"/>
  <c r="AZ296" i="28" s="1"/>
  <c r="S110" i="29" s="1"/>
  <c r="AY274" i="28"/>
  <c r="AJ274" i="28"/>
  <c r="O30" i="29" s="1"/>
  <c r="AK273" i="28"/>
  <c r="AJ273" i="28"/>
  <c r="AH273" i="28"/>
  <c r="AH296" i="28" s="1"/>
  <c r="S4" i="29" s="1"/>
  <c r="AG273" i="28"/>
  <c r="AG296" i="28" s="1"/>
  <c r="R4" i="29" s="1"/>
  <c r="CP272" i="28"/>
  <c r="CP296" i="28" s="1"/>
  <c r="S352" i="29" s="1"/>
  <c r="CO272" i="28"/>
  <c r="O352" i="29" s="1"/>
  <c r="CL272" i="28"/>
  <c r="O332" i="29" s="1"/>
  <c r="CI272" i="28"/>
  <c r="CI296" i="28" s="1"/>
  <c r="R311" i="29" s="1"/>
  <c r="BN272" i="28"/>
  <c r="BL272" i="28"/>
  <c r="P170" i="29" s="1"/>
  <c r="BK272" i="28"/>
  <c r="O170" i="29" s="1"/>
  <c r="BC272" i="28"/>
  <c r="P129" i="29" s="1"/>
  <c r="BB272" i="28"/>
  <c r="BB296" i="28" s="1"/>
  <c r="R129" i="29" s="1"/>
  <c r="AY272" i="28"/>
  <c r="O110" i="29" s="1"/>
  <c r="AK272" i="28"/>
  <c r="AJ272" i="28"/>
  <c r="AJ296" i="28" s="1"/>
  <c r="R28" i="29" s="1"/>
  <c r="DP267" i="28"/>
  <c r="DO267" i="28"/>
  <c r="DM267" i="28"/>
  <c r="DJ267" i="28"/>
  <c r="DD267" i="28"/>
  <c r="DA267" i="28"/>
  <c r="CY267" i="28"/>
  <c r="CX267" i="28"/>
  <c r="CW267" i="28"/>
  <c r="CO267" i="28"/>
  <c r="CI267" i="28"/>
  <c r="CF267" i="28"/>
  <c r="BZ267" i="28"/>
  <c r="BW267" i="28"/>
  <c r="BT267" i="28"/>
  <c r="BQ267" i="28"/>
  <c r="BN267" i="28"/>
  <c r="BI267" i="28"/>
  <c r="BH267" i="28"/>
  <c r="BG267" i="28"/>
  <c r="BE267" i="28"/>
  <c r="AY267" i="28"/>
  <c r="AV267" i="28"/>
  <c r="AS267" i="28"/>
  <c r="AP267" i="28"/>
  <c r="AJ267" i="28"/>
  <c r="AG267" i="28"/>
  <c r="D267" i="28"/>
  <c r="C267" i="28"/>
  <c r="AT266" i="28"/>
  <c r="AQ266" i="28"/>
  <c r="AK266" i="28"/>
  <c r="AH266" i="28"/>
  <c r="AT265" i="28"/>
  <c r="AQ265" i="28"/>
  <c r="AK265" i="28"/>
  <c r="AH265" i="28"/>
  <c r="AT264" i="28"/>
  <c r="AQ264" i="28"/>
  <c r="AK264" i="28"/>
  <c r="AH264" i="28"/>
  <c r="AT263" i="28"/>
  <c r="AQ263" i="28"/>
  <c r="AK263" i="28"/>
  <c r="AH263" i="28"/>
  <c r="AT262" i="28"/>
  <c r="AQ262" i="28"/>
  <c r="AK262" i="28"/>
  <c r="AH262" i="28"/>
  <c r="AT261" i="28"/>
  <c r="AQ261" i="28"/>
  <c r="AK261" i="28"/>
  <c r="AH261" i="28"/>
  <c r="AT260" i="28"/>
  <c r="AQ260" i="28"/>
  <c r="AK260" i="28"/>
  <c r="AH260" i="28"/>
  <c r="AT259" i="28"/>
  <c r="AQ259" i="28"/>
  <c r="AK259" i="28"/>
  <c r="AH259" i="28"/>
  <c r="AT258" i="28"/>
  <c r="AQ258" i="28"/>
  <c r="AK258" i="28"/>
  <c r="AH258" i="28"/>
  <c r="AT257" i="28"/>
  <c r="AQ257" i="28"/>
  <c r="AK257" i="28"/>
  <c r="AH257" i="28"/>
  <c r="DQ256" i="28"/>
  <c r="DN256" i="28"/>
  <c r="DK256" i="28"/>
  <c r="DH256" i="28"/>
  <c r="BO256" i="28"/>
  <c r="BL256" i="28"/>
  <c r="BF256" i="28"/>
  <c r="BC256" i="28"/>
  <c r="AZ256" i="28"/>
  <c r="AW256" i="28"/>
  <c r="AT256" i="28"/>
  <c r="AQ256" i="28"/>
  <c r="AK256" i="28"/>
  <c r="AH256" i="28"/>
  <c r="DQ255" i="28"/>
  <c r="DN255" i="28"/>
  <c r="DK255" i="28"/>
  <c r="DH255" i="28"/>
  <c r="DE255" i="28"/>
  <c r="DB255" i="28"/>
  <c r="BX255" i="28"/>
  <c r="BU255" i="28"/>
  <c r="BR255" i="28"/>
  <c r="BO255" i="28"/>
  <c r="BL255" i="28"/>
  <c r="BF255" i="28"/>
  <c r="BC255" i="28"/>
  <c r="AZ255" i="28"/>
  <c r="AW255" i="28"/>
  <c r="AT255" i="28"/>
  <c r="AQ255" i="28"/>
  <c r="AK255" i="28"/>
  <c r="AH255" i="28"/>
  <c r="DQ254" i="28"/>
  <c r="DN254" i="28"/>
  <c r="DK254" i="28"/>
  <c r="DH254" i="28"/>
  <c r="DE254" i="28"/>
  <c r="DB254" i="28"/>
  <c r="BX254" i="28"/>
  <c r="BU254" i="28"/>
  <c r="BR254" i="28"/>
  <c r="BO254" i="28"/>
  <c r="BL254" i="28"/>
  <c r="BF254" i="28"/>
  <c r="BC254" i="28"/>
  <c r="AZ254" i="28"/>
  <c r="AW254" i="28"/>
  <c r="AT254" i="28"/>
  <c r="AQ254" i="28"/>
  <c r="AK254" i="28"/>
  <c r="AH254" i="28"/>
  <c r="DQ253" i="28"/>
  <c r="DN253" i="28"/>
  <c r="DK253" i="28"/>
  <c r="DH253" i="28"/>
  <c r="DE253" i="28"/>
  <c r="DB253" i="28"/>
  <c r="CV253" i="28"/>
  <c r="BX253" i="28"/>
  <c r="BU253" i="28"/>
  <c r="BR253" i="28"/>
  <c r="BO253" i="28"/>
  <c r="BL253" i="28"/>
  <c r="BF253" i="28"/>
  <c r="BC253" i="28"/>
  <c r="AZ253" i="28"/>
  <c r="AW253" i="28"/>
  <c r="AT253" i="28"/>
  <c r="AQ253" i="28"/>
  <c r="AK253" i="28"/>
  <c r="AH253" i="28"/>
  <c r="DQ252" i="28"/>
  <c r="DN252" i="28"/>
  <c r="DK252" i="28"/>
  <c r="DH252" i="28"/>
  <c r="DE252" i="28"/>
  <c r="CT252" i="28"/>
  <c r="DB252" i="28" s="1"/>
  <c r="CS252" i="28"/>
  <c r="CQ252" i="28"/>
  <c r="CN252" i="28"/>
  <c r="CK252" i="28"/>
  <c r="CP252" i="28" s="1"/>
  <c r="CJ252" i="28"/>
  <c r="BX252" i="28"/>
  <c r="BU252" i="28"/>
  <c r="BR252" i="28"/>
  <c r="BO252" i="28"/>
  <c r="BL252" i="28"/>
  <c r="BF252" i="28"/>
  <c r="BC252" i="28"/>
  <c r="AZ252" i="28"/>
  <c r="AW252" i="28"/>
  <c r="AT252" i="28"/>
  <c r="AQ252" i="28"/>
  <c r="AK252" i="28"/>
  <c r="AH252" i="28"/>
  <c r="DQ251" i="28"/>
  <c r="DN251" i="28"/>
  <c r="DK251" i="28"/>
  <c r="DH251" i="28"/>
  <c r="DE251" i="28"/>
  <c r="DB251" i="28"/>
  <c r="CV251" i="28"/>
  <c r="CS251" i="28"/>
  <c r="CP251" i="28"/>
  <c r="CM251" i="28"/>
  <c r="CJ251" i="28"/>
  <c r="CG251" i="28"/>
  <c r="CA251" i="28"/>
  <c r="BX251" i="28"/>
  <c r="BU251" i="28"/>
  <c r="BR251" i="28"/>
  <c r="BO251" i="28"/>
  <c r="BL251" i="28"/>
  <c r="BF251" i="28"/>
  <c r="BC251" i="28"/>
  <c r="AZ251" i="28"/>
  <c r="AW251" i="28"/>
  <c r="AT251" i="28"/>
  <c r="AQ251" i="28"/>
  <c r="AK251" i="28"/>
  <c r="AH251" i="28"/>
  <c r="DQ250" i="28"/>
  <c r="DN250" i="28"/>
  <c r="DK250" i="28"/>
  <c r="DH250" i="28"/>
  <c r="DE250" i="28"/>
  <c r="DB250" i="28"/>
  <c r="CV250" i="28"/>
  <c r="CS250" i="28"/>
  <c r="CP250" i="28"/>
  <c r="CM250" i="28"/>
  <c r="CJ250" i="28"/>
  <c r="CG250" i="28"/>
  <c r="CA250" i="28"/>
  <c r="BX250" i="28"/>
  <c r="BU250" i="28"/>
  <c r="BR250" i="28"/>
  <c r="BO250" i="28"/>
  <c r="BL250" i="28"/>
  <c r="BF250" i="28"/>
  <c r="BC250" i="28"/>
  <c r="AZ250" i="28"/>
  <c r="AW250" i="28"/>
  <c r="AT250" i="28"/>
  <c r="AQ250" i="28"/>
  <c r="AK250" i="28"/>
  <c r="AH250" i="28"/>
  <c r="DQ249" i="28"/>
  <c r="DN249" i="28"/>
  <c r="DK249" i="28"/>
  <c r="DH249" i="28"/>
  <c r="DE249" i="28"/>
  <c r="DB249" i="28"/>
  <c r="CV249" i="28"/>
  <c r="CS249" i="28"/>
  <c r="CP249" i="28"/>
  <c r="CM249" i="28"/>
  <c r="CJ249" i="28"/>
  <c r="CG249" i="28"/>
  <c r="CA249" i="28"/>
  <c r="BX249" i="28"/>
  <c r="BU249" i="28"/>
  <c r="BR249" i="28"/>
  <c r="BO249" i="28"/>
  <c r="BL249" i="28"/>
  <c r="BF249" i="28"/>
  <c r="BC249" i="28"/>
  <c r="AZ249" i="28"/>
  <c r="AW249" i="28"/>
  <c r="AT249" i="28"/>
  <c r="AQ249" i="28"/>
  <c r="AK249" i="28"/>
  <c r="AH249" i="28"/>
  <c r="DQ248" i="28"/>
  <c r="DN248" i="28"/>
  <c r="DK248" i="28"/>
  <c r="DH248" i="28"/>
  <c r="DE248" i="28"/>
  <c r="DB248" i="28"/>
  <c r="CV248" i="28"/>
  <c r="CS248" i="28"/>
  <c r="CP248" i="28"/>
  <c r="CM248" i="28"/>
  <c r="CJ248" i="28"/>
  <c r="CG248" i="28"/>
  <c r="CA248" i="28"/>
  <c r="BX248" i="28"/>
  <c r="BU248" i="28"/>
  <c r="BR248" i="28"/>
  <c r="BO248" i="28"/>
  <c r="BL248" i="28"/>
  <c r="BF248" i="28"/>
  <c r="BC248" i="28"/>
  <c r="AZ248" i="28"/>
  <c r="AW248" i="28"/>
  <c r="AT248" i="28"/>
  <c r="AQ248" i="28"/>
  <c r="AK248" i="28"/>
  <c r="AH248" i="28"/>
  <c r="DQ247" i="28"/>
  <c r="DN247" i="28"/>
  <c r="DK247" i="28"/>
  <c r="DH247" i="28"/>
  <c r="DE247" i="28"/>
  <c r="DB247" i="28"/>
  <c r="CV247" i="28"/>
  <c r="CS247" i="28"/>
  <c r="CP247" i="28"/>
  <c r="CM247" i="28"/>
  <c r="CJ247" i="28"/>
  <c r="CG247" i="28"/>
  <c r="CA247" i="28"/>
  <c r="BX247" i="28"/>
  <c r="BU247" i="28"/>
  <c r="BR247" i="28"/>
  <c r="BO247" i="28"/>
  <c r="BL247" i="28"/>
  <c r="BF247" i="28"/>
  <c r="BC247" i="28"/>
  <c r="AZ247" i="28"/>
  <c r="AW247" i="28"/>
  <c r="AT247" i="28"/>
  <c r="AQ247" i="28"/>
  <c r="AK247" i="28"/>
  <c r="AH247" i="28"/>
  <c r="DQ246" i="28"/>
  <c r="DN246" i="28"/>
  <c r="DK246" i="28"/>
  <c r="DH246" i="28"/>
  <c r="DE246" i="28"/>
  <c r="DB246" i="28"/>
  <c r="CV246" i="28"/>
  <c r="CS246" i="28"/>
  <c r="CP246" i="28"/>
  <c r="CM246" i="28"/>
  <c r="CJ246" i="28"/>
  <c r="CG246" i="28"/>
  <c r="CA246" i="28"/>
  <c r="BX246" i="28"/>
  <c r="BU246" i="28"/>
  <c r="BR246" i="28"/>
  <c r="BO246" i="28"/>
  <c r="BL246" i="28"/>
  <c r="BF246" i="28"/>
  <c r="BC246" i="28"/>
  <c r="AZ246" i="28"/>
  <c r="AW246" i="28"/>
  <c r="AT246" i="28"/>
  <c r="AQ246" i="28"/>
  <c r="AK246" i="28"/>
  <c r="AH246" i="28"/>
  <c r="DQ245" i="28"/>
  <c r="DN245" i="28"/>
  <c r="DK245" i="28"/>
  <c r="DH245" i="28"/>
  <c r="DE245" i="28"/>
  <c r="DB245" i="28"/>
  <c r="CV245" i="28"/>
  <c r="CS245" i="28"/>
  <c r="CP245" i="28"/>
  <c r="CM245" i="28"/>
  <c r="CJ245" i="28"/>
  <c r="CG245" i="28"/>
  <c r="CA245" i="28"/>
  <c r="BX245" i="28"/>
  <c r="BU245" i="28"/>
  <c r="BR245" i="28"/>
  <c r="BO245" i="28"/>
  <c r="BL245" i="28"/>
  <c r="BF245" i="28"/>
  <c r="BC245" i="28"/>
  <c r="AZ245" i="28"/>
  <c r="AW245" i="28"/>
  <c r="AT245" i="28"/>
  <c r="AQ245" i="28"/>
  <c r="AK245" i="28"/>
  <c r="AH245" i="28"/>
  <c r="DQ244" i="28"/>
  <c r="DN244" i="28"/>
  <c r="DK244" i="28"/>
  <c r="DH244" i="28"/>
  <c r="DE244" i="28"/>
  <c r="DB244" i="28"/>
  <c r="CV244" i="28"/>
  <c r="CS244" i="28"/>
  <c r="CP244" i="28"/>
  <c r="CM244" i="28"/>
  <c r="CJ244" i="28"/>
  <c r="CG244" i="28"/>
  <c r="CA244" i="28"/>
  <c r="BX244" i="28"/>
  <c r="BU244" i="28"/>
  <c r="BR244" i="28"/>
  <c r="BO244" i="28"/>
  <c r="BL244" i="28"/>
  <c r="BF244" i="28"/>
  <c r="BC244" i="28"/>
  <c r="AZ244" i="28"/>
  <c r="AW244" i="28"/>
  <c r="AT244" i="28"/>
  <c r="AQ244" i="28"/>
  <c r="AK244" i="28"/>
  <c r="AH244" i="28"/>
  <c r="DQ243" i="28"/>
  <c r="DN243" i="28"/>
  <c r="DK243" i="28"/>
  <c r="DH243" i="28"/>
  <c r="DE243" i="28"/>
  <c r="DB243" i="28"/>
  <c r="CV243" i="28"/>
  <c r="CS243" i="28"/>
  <c r="CP243" i="28"/>
  <c r="CM243" i="28"/>
  <c r="CJ243" i="28"/>
  <c r="CG243" i="28"/>
  <c r="CA243" i="28"/>
  <c r="BX243" i="28"/>
  <c r="BU243" i="28"/>
  <c r="BR243" i="28"/>
  <c r="BO243" i="28"/>
  <c r="BL243" i="28"/>
  <c r="BF243" i="28"/>
  <c r="BC243" i="28"/>
  <c r="AZ243" i="28"/>
  <c r="AW243" i="28"/>
  <c r="AT243" i="28"/>
  <c r="AQ243" i="28"/>
  <c r="AK243" i="28"/>
  <c r="AH243" i="28"/>
  <c r="DQ242" i="28"/>
  <c r="DN242" i="28"/>
  <c r="DK242" i="28"/>
  <c r="DH242" i="28"/>
  <c r="DE242" i="28"/>
  <c r="DB242" i="28"/>
  <c r="CV242" i="28"/>
  <c r="CS242" i="28"/>
  <c r="CP242" i="28"/>
  <c r="CM242" i="28"/>
  <c r="CJ242" i="28"/>
  <c r="CG242" i="28"/>
  <c r="CA242" i="28"/>
  <c r="BX242" i="28"/>
  <c r="BU242" i="28"/>
  <c r="BR242" i="28"/>
  <c r="BO242" i="28"/>
  <c r="BL242" i="28"/>
  <c r="BF242" i="28"/>
  <c r="BC242" i="28"/>
  <c r="AZ242" i="28"/>
  <c r="AW242" i="28"/>
  <c r="AT242" i="28"/>
  <c r="AQ242" i="28"/>
  <c r="AK242" i="28"/>
  <c r="AH242" i="28"/>
  <c r="DQ241" i="28"/>
  <c r="DN241" i="28"/>
  <c r="DK241" i="28"/>
  <c r="DH241" i="28"/>
  <c r="DE241" i="28"/>
  <c r="DB241" i="28"/>
  <c r="CV241" i="28"/>
  <c r="CS241" i="28"/>
  <c r="CP241" i="28"/>
  <c r="CM241" i="28"/>
  <c r="CJ241" i="28"/>
  <c r="CG241" i="28"/>
  <c r="CA241" i="28"/>
  <c r="BX241" i="28"/>
  <c r="BU241" i="28"/>
  <c r="BR241" i="28"/>
  <c r="BO241" i="28"/>
  <c r="BL241" i="28"/>
  <c r="BF241" i="28"/>
  <c r="BC241" i="28"/>
  <c r="AZ241" i="28"/>
  <c r="AW241" i="28"/>
  <c r="AT241" i="28"/>
  <c r="AQ241" i="28"/>
  <c r="AK241" i="28"/>
  <c r="AH241" i="28"/>
  <c r="DQ240" i="28"/>
  <c r="DN240" i="28"/>
  <c r="DK240" i="28"/>
  <c r="DH240" i="28"/>
  <c r="DE240" i="28"/>
  <c r="DB240" i="28"/>
  <c r="CV240" i="28"/>
  <c r="CS240" i="28"/>
  <c r="CP240" i="28"/>
  <c r="CM240" i="28"/>
  <c r="CJ240" i="28"/>
  <c r="CG240" i="28"/>
  <c r="CA240" i="28"/>
  <c r="BX240" i="28"/>
  <c r="BU240" i="28"/>
  <c r="BR240" i="28"/>
  <c r="BO240" i="28"/>
  <c r="BL240" i="28"/>
  <c r="BF240" i="28"/>
  <c r="BC240" i="28"/>
  <c r="AZ240" i="28"/>
  <c r="AW240" i="28"/>
  <c r="AT240" i="28"/>
  <c r="AQ240" i="28"/>
  <c r="AK240" i="28"/>
  <c r="AH240" i="28"/>
  <c r="DQ239" i="28"/>
  <c r="DN239" i="28"/>
  <c r="DK239" i="28"/>
  <c r="DH239" i="28"/>
  <c r="DE239" i="28"/>
  <c r="DB239" i="28"/>
  <c r="CV239" i="28"/>
  <c r="CS239" i="28"/>
  <c r="CP239" i="28"/>
  <c r="CM239" i="28"/>
  <c r="CJ239" i="28"/>
  <c r="CG239" i="28"/>
  <c r="CA239" i="28"/>
  <c r="BX239" i="28"/>
  <c r="BU239" i="28"/>
  <c r="BR239" i="28"/>
  <c r="BO239" i="28"/>
  <c r="BL239" i="28"/>
  <c r="BF239" i="28"/>
  <c r="BC239" i="28"/>
  <c r="AZ239" i="28"/>
  <c r="AW239" i="28"/>
  <c r="AT239" i="28"/>
  <c r="AQ239" i="28"/>
  <c r="AK239" i="28"/>
  <c r="AH239" i="28"/>
  <c r="DQ238" i="28"/>
  <c r="DN238" i="28"/>
  <c r="DK238" i="28"/>
  <c r="DH238" i="28"/>
  <c r="DE238" i="28"/>
  <c r="DB238" i="28"/>
  <c r="CV238" i="28"/>
  <c r="CS238" i="28"/>
  <c r="CP238" i="28"/>
  <c r="CM238" i="28"/>
  <c r="CJ238" i="28"/>
  <c r="CG238" i="28"/>
  <c r="CA238" i="28"/>
  <c r="BX238" i="28"/>
  <c r="BU238" i="28"/>
  <c r="BR238" i="28"/>
  <c r="BO238" i="28"/>
  <c r="BL238" i="28"/>
  <c r="BF238" i="28"/>
  <c r="BC238" i="28"/>
  <c r="AZ238" i="28"/>
  <c r="AW238" i="28"/>
  <c r="AT238" i="28"/>
  <c r="AQ238" i="28"/>
  <c r="AK238" i="28"/>
  <c r="AH238" i="28"/>
  <c r="DQ237" i="28"/>
  <c r="DN237" i="28"/>
  <c r="DK237" i="28"/>
  <c r="DH237" i="28"/>
  <c r="DE237" i="28"/>
  <c r="DB237" i="28"/>
  <c r="CV237" i="28"/>
  <c r="CS237" i="28"/>
  <c r="CP237" i="28"/>
  <c r="CM237" i="28"/>
  <c r="CJ237" i="28"/>
  <c r="CG237" i="28"/>
  <c r="CA237" i="28"/>
  <c r="BX237" i="28"/>
  <c r="BU237" i="28"/>
  <c r="BR237" i="28"/>
  <c r="BO237" i="28"/>
  <c r="BL237" i="28"/>
  <c r="BF237" i="28"/>
  <c r="BC237" i="28"/>
  <c r="AZ237" i="28"/>
  <c r="AW237" i="28"/>
  <c r="AT237" i="28"/>
  <c r="AQ237" i="28"/>
  <c r="AK237" i="28"/>
  <c r="AH237" i="28"/>
  <c r="DQ236" i="28"/>
  <c r="DN236" i="28"/>
  <c r="DK236" i="28"/>
  <c r="DH236" i="28"/>
  <c r="DE236" i="28"/>
  <c r="DB236" i="28"/>
  <c r="CV236" i="28"/>
  <c r="CS236" i="28"/>
  <c r="CP236" i="28"/>
  <c r="CM236" i="28"/>
  <c r="CJ236" i="28"/>
  <c r="CG236" i="28"/>
  <c r="CA236" i="28"/>
  <c r="BX236" i="28"/>
  <c r="BU236" i="28"/>
  <c r="BR236" i="28"/>
  <c r="BO236" i="28"/>
  <c r="BL236" i="28"/>
  <c r="BF236" i="28"/>
  <c r="BC236" i="28"/>
  <c r="AZ236" i="28"/>
  <c r="AW236" i="28"/>
  <c r="AT236" i="28"/>
  <c r="AQ236" i="28"/>
  <c r="AK236" i="28"/>
  <c r="AH236" i="28"/>
  <c r="DQ235" i="28"/>
  <c r="DN235" i="28"/>
  <c r="DK235" i="28"/>
  <c r="DH235" i="28"/>
  <c r="DE235" i="28"/>
  <c r="DB235" i="28"/>
  <c r="CV235" i="28"/>
  <c r="CS235" i="28"/>
  <c r="CP235" i="28"/>
  <c r="CM235" i="28"/>
  <c r="CJ235" i="28"/>
  <c r="CG235" i="28"/>
  <c r="CA235" i="28"/>
  <c r="BX235" i="28"/>
  <c r="BU235" i="28"/>
  <c r="BR235" i="28"/>
  <c r="BO235" i="28"/>
  <c r="BL235" i="28"/>
  <c r="BF235" i="28"/>
  <c r="BC235" i="28"/>
  <c r="AZ235" i="28"/>
  <c r="AW235" i="28"/>
  <c r="AT235" i="28"/>
  <c r="AQ235" i="28"/>
  <c r="AK235" i="28"/>
  <c r="AH235" i="28"/>
  <c r="DQ234" i="28"/>
  <c r="DN234" i="28"/>
  <c r="DK234" i="28"/>
  <c r="DH234" i="28"/>
  <c r="DE234" i="28"/>
  <c r="DB234" i="28"/>
  <c r="CV234" i="28"/>
  <c r="CS234" i="28"/>
  <c r="CP234" i="28"/>
  <c r="CM234" i="28"/>
  <c r="CJ234" i="28"/>
  <c r="CG234" i="28"/>
  <c r="CA234" i="28"/>
  <c r="BX234" i="28"/>
  <c r="BU234" i="28"/>
  <c r="BR234" i="28"/>
  <c r="BO234" i="28"/>
  <c r="BL234" i="28"/>
  <c r="BF234" i="28"/>
  <c r="BC234" i="28"/>
  <c r="AZ234" i="28"/>
  <c r="AW234" i="28"/>
  <c r="AT234" i="28"/>
  <c r="AQ234" i="28"/>
  <c r="AK234" i="28"/>
  <c r="AH234" i="28"/>
  <c r="DQ233" i="28"/>
  <c r="DN233" i="28"/>
  <c r="DK233" i="28"/>
  <c r="DH233" i="28"/>
  <c r="DE233" i="28"/>
  <c r="DB233" i="28"/>
  <c r="CV233" i="28"/>
  <c r="CS233" i="28"/>
  <c r="CP233" i="28"/>
  <c r="CM233" i="28"/>
  <c r="CJ233" i="28"/>
  <c r="CG233" i="28"/>
  <c r="CA233" i="28"/>
  <c r="BX233" i="28"/>
  <c r="BU233" i="28"/>
  <c r="BR233" i="28"/>
  <c r="BO233" i="28"/>
  <c r="BL233" i="28"/>
  <c r="BF233" i="28"/>
  <c r="BC233" i="28"/>
  <c r="AZ233" i="28"/>
  <c r="AW233" i="28"/>
  <c r="AT233" i="28"/>
  <c r="AQ233" i="28"/>
  <c r="AK233" i="28"/>
  <c r="AH233" i="28"/>
  <c r="DQ232" i="28"/>
  <c r="DN232" i="28"/>
  <c r="DK232" i="28"/>
  <c r="DH232" i="28"/>
  <c r="DE232" i="28"/>
  <c r="DB232" i="28"/>
  <c r="CV232" i="28"/>
  <c r="CS232" i="28"/>
  <c r="CP232" i="28"/>
  <c r="CM232" i="28"/>
  <c r="CJ232" i="28"/>
  <c r="CG232" i="28"/>
  <c r="CA232" i="28"/>
  <c r="BX232" i="28"/>
  <c r="BU232" i="28"/>
  <c r="BR232" i="28"/>
  <c r="BO232" i="28"/>
  <c r="BL232" i="28"/>
  <c r="BF232" i="28"/>
  <c r="BC232" i="28"/>
  <c r="AZ232" i="28"/>
  <c r="AW232" i="28"/>
  <c r="AT232" i="28"/>
  <c r="AQ232" i="28"/>
  <c r="AK232" i="28"/>
  <c r="AH232" i="28"/>
  <c r="DQ231" i="28"/>
  <c r="DN231" i="28"/>
  <c r="DK231" i="28"/>
  <c r="DH231" i="28"/>
  <c r="DE231" i="28"/>
  <c r="DB231" i="28"/>
  <c r="CV231" i="28"/>
  <c r="CS231" i="28"/>
  <c r="CP231" i="28"/>
  <c r="CM231" i="28"/>
  <c r="CJ231" i="28"/>
  <c r="CG231" i="28"/>
  <c r="CA231" i="28"/>
  <c r="BX231" i="28"/>
  <c r="BU231" i="28"/>
  <c r="BR231" i="28"/>
  <c r="BO231" i="28"/>
  <c r="BL231" i="28"/>
  <c r="BF231" i="28"/>
  <c r="BC231" i="28"/>
  <c r="AZ231" i="28"/>
  <c r="AW231" i="28"/>
  <c r="AT231" i="28"/>
  <c r="AQ231" i="28"/>
  <c r="AK231" i="28"/>
  <c r="AH231" i="28"/>
  <c r="DQ230" i="28"/>
  <c r="DN230" i="28"/>
  <c r="DK230" i="28"/>
  <c r="DH230" i="28"/>
  <c r="DE230" i="28"/>
  <c r="DB230" i="28"/>
  <c r="CV230" i="28"/>
  <c r="CS230" i="28"/>
  <c r="CP230" i="28"/>
  <c r="CM230" i="28"/>
  <c r="CJ230" i="28"/>
  <c r="CG230" i="28"/>
  <c r="CA230" i="28"/>
  <c r="BX230" i="28"/>
  <c r="BU230" i="28"/>
  <c r="BR230" i="28"/>
  <c r="BO230" i="28"/>
  <c r="BL230" i="28"/>
  <c r="BF230" i="28"/>
  <c r="BC230" i="28"/>
  <c r="AZ230" i="28"/>
  <c r="AW230" i="28"/>
  <c r="AT230" i="28"/>
  <c r="AQ230" i="28"/>
  <c r="AK230" i="28"/>
  <c r="AH230" i="28"/>
  <c r="DQ229" i="28"/>
  <c r="DN229" i="28"/>
  <c r="DK229" i="28"/>
  <c r="DH229" i="28"/>
  <c r="DE229" i="28"/>
  <c r="DB229" i="28"/>
  <c r="CV229" i="28"/>
  <c r="CS229" i="28"/>
  <c r="CP229" i="28"/>
  <c r="CM229" i="28"/>
  <c r="CJ229" i="28"/>
  <c r="CG229" i="28"/>
  <c r="CA229" i="28"/>
  <c r="BX229" i="28"/>
  <c r="BU229" i="28"/>
  <c r="BR229" i="28"/>
  <c r="BO229" i="28"/>
  <c r="BL229" i="28"/>
  <c r="BF229" i="28"/>
  <c r="BC229" i="28"/>
  <c r="AZ229" i="28"/>
  <c r="AW229" i="28"/>
  <c r="AT229" i="28"/>
  <c r="AQ229" i="28"/>
  <c r="AK229" i="28"/>
  <c r="AH229" i="28"/>
  <c r="DQ228" i="28"/>
  <c r="DN228" i="28"/>
  <c r="DK228" i="28"/>
  <c r="DH228" i="28"/>
  <c r="DE228" i="28"/>
  <c r="DB228" i="28"/>
  <c r="CV228" i="28"/>
  <c r="CS228" i="28"/>
  <c r="CP228" i="28"/>
  <c r="CM228" i="28"/>
  <c r="CJ228" i="28"/>
  <c r="CG228" i="28"/>
  <c r="CA228" i="28"/>
  <c r="BX228" i="28"/>
  <c r="BU228" i="28"/>
  <c r="BR228" i="28"/>
  <c r="BO228" i="28"/>
  <c r="BL228" i="28"/>
  <c r="BF228" i="28"/>
  <c r="BC228" i="28"/>
  <c r="AZ228" i="28"/>
  <c r="AW228" i="28"/>
  <c r="AT228" i="28"/>
  <c r="AQ228" i="28"/>
  <c r="AK228" i="28"/>
  <c r="AH228" i="28"/>
  <c r="DQ227" i="28"/>
  <c r="DN227" i="28"/>
  <c r="DK227" i="28"/>
  <c r="DH227" i="28"/>
  <c r="DE227" i="28"/>
  <c r="DB227" i="28"/>
  <c r="CV227" i="28"/>
  <c r="CS227" i="28"/>
  <c r="CP227" i="28"/>
  <c r="CM227" i="28"/>
  <c r="CJ227" i="28"/>
  <c r="CG227" i="28"/>
  <c r="CA227" i="28"/>
  <c r="BX227" i="28"/>
  <c r="BU227" i="28"/>
  <c r="BR227" i="28"/>
  <c r="BO227" i="28"/>
  <c r="BL227" i="28"/>
  <c r="BF227" i="28"/>
  <c r="BC227" i="28"/>
  <c r="AZ227" i="28"/>
  <c r="AW227" i="28"/>
  <c r="AT227" i="28"/>
  <c r="AQ227" i="28"/>
  <c r="AK227" i="28"/>
  <c r="AH227" i="28"/>
  <c r="DQ226" i="28"/>
  <c r="DN226" i="28"/>
  <c r="DK226" i="28"/>
  <c r="DH226" i="28"/>
  <c r="DE226" i="28"/>
  <c r="DB226" i="28"/>
  <c r="CV226" i="28"/>
  <c r="CS226" i="28"/>
  <c r="CP226" i="28"/>
  <c r="CM226" i="28"/>
  <c r="CJ226" i="28"/>
  <c r="CG226" i="28"/>
  <c r="CA226" i="28"/>
  <c r="BX226" i="28"/>
  <c r="BU226" i="28"/>
  <c r="BR226" i="28"/>
  <c r="BO226" i="28"/>
  <c r="BL226" i="28"/>
  <c r="BF226" i="28"/>
  <c r="BC226" i="28"/>
  <c r="AZ226" i="28"/>
  <c r="AW226" i="28"/>
  <c r="AT226" i="28"/>
  <c r="AQ226" i="28"/>
  <c r="AK226" i="28"/>
  <c r="AH226" i="28"/>
  <c r="DQ225" i="28"/>
  <c r="DN225" i="28"/>
  <c r="DK225" i="28"/>
  <c r="DH225" i="28"/>
  <c r="DE225" i="28"/>
  <c r="DB225" i="28"/>
  <c r="CV225" i="28"/>
  <c r="CS225" i="28"/>
  <c r="CP225" i="28"/>
  <c r="CM225" i="28"/>
  <c r="CJ225" i="28"/>
  <c r="CG225" i="28"/>
  <c r="CA225" i="28"/>
  <c r="BX225" i="28"/>
  <c r="BU225" i="28"/>
  <c r="BR225" i="28"/>
  <c r="BO225" i="28"/>
  <c r="BL225" i="28"/>
  <c r="BF225" i="28"/>
  <c r="BC225" i="28"/>
  <c r="AZ225" i="28"/>
  <c r="AW225" i="28"/>
  <c r="AT225" i="28"/>
  <c r="AQ225" i="28"/>
  <c r="AK225" i="28"/>
  <c r="AH225" i="28"/>
  <c r="DQ224" i="28"/>
  <c r="DN224" i="28"/>
  <c r="DK224" i="28"/>
  <c r="DH224" i="28"/>
  <c r="DE224" i="28"/>
  <c r="DB224" i="28"/>
  <c r="CV224" i="28"/>
  <c r="CS224" i="28"/>
  <c r="CP224" i="28"/>
  <c r="CM224" i="28"/>
  <c r="CJ224" i="28"/>
  <c r="CG224" i="28"/>
  <c r="CA224" i="28"/>
  <c r="BX224" i="28"/>
  <c r="BU224" i="28"/>
  <c r="BR224" i="28"/>
  <c r="BO224" i="28"/>
  <c r="BL224" i="28"/>
  <c r="BF224" i="28"/>
  <c r="BC224" i="28"/>
  <c r="AZ224" i="28"/>
  <c r="AW224" i="28"/>
  <c r="AT224" i="28"/>
  <c r="AQ224" i="28"/>
  <c r="AK224" i="28"/>
  <c r="AH224" i="28"/>
  <c r="DQ223" i="28"/>
  <c r="DN223" i="28"/>
  <c r="DK223" i="28"/>
  <c r="DH223" i="28"/>
  <c r="DE223" i="28"/>
  <c r="DB223" i="28"/>
  <c r="CV223" i="28"/>
  <c r="CS223" i="28"/>
  <c r="CP223" i="28"/>
  <c r="CM223" i="28"/>
  <c r="CJ223" i="28"/>
  <c r="CG223" i="28"/>
  <c r="CA223" i="28"/>
  <c r="BX223" i="28"/>
  <c r="BU223" i="28"/>
  <c r="BR223" i="28"/>
  <c r="BO223" i="28"/>
  <c r="BL223" i="28"/>
  <c r="BF223" i="28"/>
  <c r="BC223" i="28"/>
  <c r="AZ223" i="28"/>
  <c r="AW223" i="28"/>
  <c r="AT223" i="28"/>
  <c r="AQ223" i="28"/>
  <c r="AK223" i="28"/>
  <c r="AH223" i="28"/>
  <c r="DQ222" i="28"/>
  <c r="DN222" i="28"/>
  <c r="DK222" i="28"/>
  <c r="DH222" i="28"/>
  <c r="DE222" i="28"/>
  <c r="DB222" i="28"/>
  <c r="CV222" i="28"/>
  <c r="CS222" i="28"/>
  <c r="CP222" i="28"/>
  <c r="CM222" i="28"/>
  <c r="CJ222" i="28"/>
  <c r="CG222" i="28"/>
  <c r="CA222" i="28"/>
  <c r="BX222" i="28"/>
  <c r="BU222" i="28"/>
  <c r="BR222" i="28"/>
  <c r="BO222" i="28"/>
  <c r="BL222" i="28"/>
  <c r="BF222" i="28"/>
  <c r="BC222" i="28"/>
  <c r="AZ222" i="28"/>
  <c r="AW222" i="28"/>
  <c r="AT222" i="28"/>
  <c r="AQ222" i="28"/>
  <c r="AK222" i="28"/>
  <c r="AH222" i="28"/>
  <c r="DQ221" i="28"/>
  <c r="DN221" i="28"/>
  <c r="DK221" i="28"/>
  <c r="DH221" i="28"/>
  <c r="DE221" i="28"/>
  <c r="DB221" i="28"/>
  <c r="CV221" i="28"/>
  <c r="CS221" i="28"/>
  <c r="CP221" i="28"/>
  <c r="CM221" i="28"/>
  <c r="CJ221" i="28"/>
  <c r="CG221" i="28"/>
  <c r="CA221" i="28"/>
  <c r="BX221" i="28"/>
  <c r="BU221" i="28"/>
  <c r="BR221" i="28"/>
  <c r="BO221" i="28"/>
  <c r="BL221" i="28"/>
  <c r="BF221" i="28"/>
  <c r="BC221" i="28"/>
  <c r="AZ221" i="28"/>
  <c r="AW221" i="28"/>
  <c r="AT221" i="28"/>
  <c r="AQ221" i="28"/>
  <c r="AK221" i="28"/>
  <c r="AH221" i="28"/>
  <c r="DQ220" i="28"/>
  <c r="DN220" i="28"/>
  <c r="DK220" i="28"/>
  <c r="DH220" i="28"/>
  <c r="DE220" i="28"/>
  <c r="DB220" i="28"/>
  <c r="CV220" i="28"/>
  <c r="CS220" i="28"/>
  <c r="CP220" i="28"/>
  <c r="CM220" i="28"/>
  <c r="CJ220" i="28"/>
  <c r="CG220" i="28"/>
  <c r="CA220" i="28"/>
  <c r="BX220" i="28"/>
  <c r="BU220" i="28"/>
  <c r="BR220" i="28"/>
  <c r="BO220" i="28"/>
  <c r="BL220" i="28"/>
  <c r="BF220" i="28"/>
  <c r="BC220" i="28"/>
  <c r="AZ220" i="28"/>
  <c r="AW220" i="28"/>
  <c r="AT220" i="28"/>
  <c r="AQ220" i="28"/>
  <c r="AK220" i="28"/>
  <c r="AH220" i="28"/>
  <c r="DQ219" i="28"/>
  <c r="DN219" i="28"/>
  <c r="DK219" i="28"/>
  <c r="DH219" i="28"/>
  <c r="DE219" i="28"/>
  <c r="DB219" i="28"/>
  <c r="CV219" i="28"/>
  <c r="CS219" i="28"/>
  <c r="CP219" i="28"/>
  <c r="CM219" i="28"/>
  <c r="CJ219" i="28"/>
  <c r="CG219" i="28"/>
  <c r="CA219" i="28"/>
  <c r="BX219" i="28"/>
  <c r="BU219" i="28"/>
  <c r="BR219" i="28"/>
  <c r="BO219" i="28"/>
  <c r="BL219" i="28"/>
  <c r="BF219" i="28"/>
  <c r="BC219" i="28"/>
  <c r="AZ219" i="28"/>
  <c r="AW219" i="28"/>
  <c r="AT219" i="28"/>
  <c r="AQ219" i="28"/>
  <c r="AK219" i="28"/>
  <c r="AH219" i="28"/>
  <c r="DQ218" i="28"/>
  <c r="DN218" i="28"/>
  <c r="DK218" i="28"/>
  <c r="DH218" i="28"/>
  <c r="DE218" i="28"/>
  <c r="DB218" i="28"/>
  <c r="CV218" i="28"/>
  <c r="CS218" i="28"/>
  <c r="CP218" i="28"/>
  <c r="CM218" i="28"/>
  <c r="CJ218" i="28"/>
  <c r="CG218" i="28"/>
  <c r="CA218" i="28"/>
  <c r="BX218" i="28"/>
  <c r="BU218" i="28"/>
  <c r="BR218" i="28"/>
  <c r="BO218" i="28"/>
  <c r="BL218" i="28"/>
  <c r="BF218" i="28"/>
  <c r="BC218" i="28"/>
  <c r="AZ218" i="28"/>
  <c r="AW218" i="28"/>
  <c r="AT218" i="28"/>
  <c r="AQ218" i="28"/>
  <c r="AK218" i="28"/>
  <c r="AH218" i="28"/>
  <c r="DQ217" i="28"/>
  <c r="DN217" i="28"/>
  <c r="DK217" i="28"/>
  <c r="DH217" i="28"/>
  <c r="DE217" i="28"/>
  <c r="DB217" i="28"/>
  <c r="CV217" i="28"/>
  <c r="CS217" i="28"/>
  <c r="CP217" i="28"/>
  <c r="CM217" i="28"/>
  <c r="CJ217" i="28"/>
  <c r="CG217" i="28"/>
  <c r="CA217" i="28"/>
  <c r="BX217" i="28"/>
  <c r="BU217" i="28"/>
  <c r="BR217" i="28"/>
  <c r="BO217" i="28"/>
  <c r="BL217" i="28"/>
  <c r="BF217" i="28"/>
  <c r="BC217" i="28"/>
  <c r="AZ217" i="28"/>
  <c r="AW217" i="28"/>
  <c r="AT217" i="28"/>
  <c r="AQ217" i="28"/>
  <c r="AK217" i="28"/>
  <c r="AH217" i="28"/>
  <c r="DQ216" i="28"/>
  <c r="DN216" i="28"/>
  <c r="DK216" i="28"/>
  <c r="DH216" i="28"/>
  <c r="DE216" i="28"/>
  <c r="DB216" i="28"/>
  <c r="CV216" i="28"/>
  <c r="CS216" i="28"/>
  <c r="CP216" i="28"/>
  <c r="CM216" i="28"/>
  <c r="CJ216" i="28"/>
  <c r="CG216" i="28"/>
  <c r="CA216" i="28"/>
  <c r="BX216" i="28"/>
  <c r="BU216" i="28"/>
  <c r="BR216" i="28"/>
  <c r="BO216" i="28"/>
  <c r="BL216" i="28"/>
  <c r="BF216" i="28"/>
  <c r="BC216" i="28"/>
  <c r="AZ216" i="28"/>
  <c r="AW216" i="28"/>
  <c r="AT216" i="28"/>
  <c r="AQ216" i="28"/>
  <c r="AK216" i="28"/>
  <c r="AH216" i="28"/>
  <c r="DQ215" i="28"/>
  <c r="DN215" i="28"/>
  <c r="DK215" i="28"/>
  <c r="DH215" i="28"/>
  <c r="DE215" i="28"/>
  <c r="DB215" i="28"/>
  <c r="CV215" i="28"/>
  <c r="CS215" i="28"/>
  <c r="CP215" i="28"/>
  <c r="CM215" i="28"/>
  <c r="CJ215" i="28"/>
  <c r="CG215" i="28"/>
  <c r="CA215" i="28"/>
  <c r="BX215" i="28"/>
  <c r="BU215" i="28"/>
  <c r="BR215" i="28"/>
  <c r="BO215" i="28"/>
  <c r="BL215" i="28"/>
  <c r="BF215" i="28"/>
  <c r="BC215" i="28"/>
  <c r="AZ215" i="28"/>
  <c r="AW215" i="28"/>
  <c r="AT215" i="28"/>
  <c r="AQ215" i="28"/>
  <c r="AK215" i="28"/>
  <c r="AH215" i="28"/>
  <c r="DQ214" i="28"/>
  <c r="DN214" i="28"/>
  <c r="DK214" i="28"/>
  <c r="DH214" i="28"/>
  <c r="DE214" i="28"/>
  <c r="DB214" i="28"/>
  <c r="CV214" i="28"/>
  <c r="CS214" i="28"/>
  <c r="CP214" i="28"/>
  <c r="CM214" i="28"/>
  <c r="CJ214" i="28"/>
  <c r="CG214" i="28"/>
  <c r="CA214" i="28"/>
  <c r="BX214" i="28"/>
  <c r="BU214" i="28"/>
  <c r="BR214" i="28"/>
  <c r="BO214" i="28"/>
  <c r="BL214" i="28"/>
  <c r="BF214" i="28"/>
  <c r="BC214" i="28"/>
  <c r="AZ214" i="28"/>
  <c r="AW214" i="28"/>
  <c r="AT214" i="28"/>
  <c r="AQ214" i="28"/>
  <c r="AK214" i="28"/>
  <c r="AH214" i="28"/>
  <c r="DQ213" i="28"/>
  <c r="DN213" i="28"/>
  <c r="DK213" i="28"/>
  <c r="DH213" i="28"/>
  <c r="DE213" i="28"/>
  <c r="DB213" i="28"/>
  <c r="CV213" i="28"/>
  <c r="CS213" i="28"/>
  <c r="CP213" i="28"/>
  <c r="CM213" i="28"/>
  <c r="CJ213" i="28"/>
  <c r="CG213" i="28"/>
  <c r="CA213" i="28"/>
  <c r="BX213" i="28"/>
  <c r="BU213" i="28"/>
  <c r="BR213" i="28"/>
  <c r="BO213" i="28"/>
  <c r="BL213" i="28"/>
  <c r="BF213" i="28"/>
  <c r="BC213" i="28"/>
  <c r="AZ213" i="28"/>
  <c r="AW213" i="28"/>
  <c r="AT213" i="28"/>
  <c r="AQ213" i="28"/>
  <c r="AK213" i="28"/>
  <c r="AH213" i="28"/>
  <c r="DQ212" i="28"/>
  <c r="DN212" i="28"/>
  <c r="DK212" i="28"/>
  <c r="DH212" i="28"/>
  <c r="DE212" i="28"/>
  <c r="DB212" i="28"/>
  <c r="CV212" i="28"/>
  <c r="CS212" i="28"/>
  <c r="CP212" i="28"/>
  <c r="CM212" i="28"/>
  <c r="CJ212" i="28"/>
  <c r="CG212" i="28"/>
  <c r="CA212" i="28"/>
  <c r="BX212" i="28"/>
  <c r="BU212" i="28"/>
  <c r="BR212" i="28"/>
  <c r="BO212" i="28"/>
  <c r="BL212" i="28"/>
  <c r="BF212" i="28"/>
  <c r="BC212" i="28"/>
  <c r="AZ212" i="28"/>
  <c r="AW212" i="28"/>
  <c r="AT212" i="28"/>
  <c r="AQ212" i="28"/>
  <c r="AK212" i="28"/>
  <c r="AH212" i="28"/>
  <c r="DQ211" i="28"/>
  <c r="DN211" i="28"/>
  <c r="DK211" i="28"/>
  <c r="DH211" i="28"/>
  <c r="DE211" i="28"/>
  <c r="DB211" i="28"/>
  <c r="CV211" i="28"/>
  <c r="CS211" i="28"/>
  <c r="CP211" i="28"/>
  <c r="CM211" i="28"/>
  <c r="CJ211" i="28"/>
  <c r="CG211" i="28"/>
  <c r="CA211" i="28"/>
  <c r="BX211" i="28"/>
  <c r="BU211" i="28"/>
  <c r="BR211" i="28"/>
  <c r="BO211" i="28"/>
  <c r="BL211" i="28"/>
  <c r="BF211" i="28"/>
  <c r="BC211" i="28"/>
  <c r="AZ211" i="28"/>
  <c r="AW211" i="28"/>
  <c r="AT211" i="28"/>
  <c r="AQ211" i="28"/>
  <c r="AK211" i="28"/>
  <c r="AH211" i="28"/>
  <c r="DQ210" i="28"/>
  <c r="DN210" i="28"/>
  <c r="DK210" i="28"/>
  <c r="DH210" i="28"/>
  <c r="DE210" i="28"/>
  <c r="DB210" i="28"/>
  <c r="CV210" i="28"/>
  <c r="CS210" i="28"/>
  <c r="CP210" i="28"/>
  <c r="CM210" i="28"/>
  <c r="CJ210" i="28"/>
  <c r="CG210" i="28"/>
  <c r="CA210" i="28"/>
  <c r="BX210" i="28"/>
  <c r="BU210" i="28"/>
  <c r="BR210" i="28"/>
  <c r="BO210" i="28"/>
  <c r="BL210" i="28"/>
  <c r="BF210" i="28"/>
  <c r="BC210" i="28"/>
  <c r="AZ210" i="28"/>
  <c r="AW210" i="28"/>
  <c r="AT210" i="28"/>
  <c r="AQ210" i="28"/>
  <c r="AK210" i="28"/>
  <c r="AH210" i="28"/>
  <c r="DQ209" i="28"/>
  <c r="DN209" i="28"/>
  <c r="DK209" i="28"/>
  <c r="DH209" i="28"/>
  <c r="DE209" i="28"/>
  <c r="DB209" i="28"/>
  <c r="CV209" i="28"/>
  <c r="CS209" i="28"/>
  <c r="CP209" i="28"/>
  <c r="CM209" i="28"/>
  <c r="CJ209" i="28"/>
  <c r="CG209" i="28"/>
  <c r="CA209" i="28"/>
  <c r="BX209" i="28"/>
  <c r="BU209" i="28"/>
  <c r="BR209" i="28"/>
  <c r="BO209" i="28"/>
  <c r="BL209" i="28"/>
  <c r="BF209" i="28"/>
  <c r="BC209" i="28"/>
  <c r="AZ209" i="28"/>
  <c r="AW209" i="28"/>
  <c r="AT209" i="28"/>
  <c r="AQ209" i="28"/>
  <c r="AK209" i="28"/>
  <c r="AH209" i="28"/>
  <c r="DQ208" i="28"/>
  <c r="DN208" i="28"/>
  <c r="DK208" i="28"/>
  <c r="DH208" i="28"/>
  <c r="DE208" i="28"/>
  <c r="DB208" i="28"/>
  <c r="CV208" i="28"/>
  <c r="CS208" i="28"/>
  <c r="CP208" i="28"/>
  <c r="CM208" i="28"/>
  <c r="CJ208" i="28"/>
  <c r="CG208" i="28"/>
  <c r="CA208" i="28"/>
  <c r="BX208" i="28"/>
  <c r="BU208" i="28"/>
  <c r="BR208" i="28"/>
  <c r="BO208" i="28"/>
  <c r="BL208" i="28"/>
  <c r="BF208" i="28"/>
  <c r="BC208" i="28"/>
  <c r="AZ208" i="28"/>
  <c r="AW208" i="28"/>
  <c r="AT208" i="28"/>
  <c r="AQ208" i="28"/>
  <c r="AK208" i="28"/>
  <c r="AH208" i="28"/>
  <c r="DQ207" i="28"/>
  <c r="DN207" i="28"/>
  <c r="DK207" i="28"/>
  <c r="DH207" i="28"/>
  <c r="DE207" i="28"/>
  <c r="DB207" i="28"/>
  <c r="CV207" i="28"/>
  <c r="CS207" i="28"/>
  <c r="CP207" i="28"/>
  <c r="CM207" i="28"/>
  <c r="CJ207" i="28"/>
  <c r="CG207" i="28"/>
  <c r="CA207" i="28"/>
  <c r="BX207" i="28"/>
  <c r="BU207" i="28"/>
  <c r="BR207" i="28"/>
  <c r="BO207" i="28"/>
  <c r="BL207" i="28"/>
  <c r="BF207" i="28"/>
  <c r="BC207" i="28"/>
  <c r="AZ207" i="28"/>
  <c r="AW207" i="28"/>
  <c r="AT207" i="28"/>
  <c r="AQ207" i="28"/>
  <c r="AK207" i="28"/>
  <c r="AH207" i="28"/>
  <c r="DQ206" i="28"/>
  <c r="DN206" i="28"/>
  <c r="DK206" i="28"/>
  <c r="DH206" i="28"/>
  <c r="DE206" i="28"/>
  <c r="DB206" i="28"/>
  <c r="CV206" i="28"/>
  <c r="CS206" i="28"/>
  <c r="CP206" i="28"/>
  <c r="CM206" i="28"/>
  <c r="CJ206" i="28"/>
  <c r="CG206" i="28"/>
  <c r="CA206" i="28"/>
  <c r="BX206" i="28"/>
  <c r="BU206" i="28"/>
  <c r="BR206" i="28"/>
  <c r="BO206" i="28"/>
  <c r="BL206" i="28"/>
  <c r="BF206" i="28"/>
  <c r="BC206" i="28"/>
  <c r="AZ206" i="28"/>
  <c r="AW206" i="28"/>
  <c r="AT206" i="28"/>
  <c r="AQ206" i="28"/>
  <c r="AK206" i="28"/>
  <c r="AH206" i="28"/>
  <c r="DQ205" i="28"/>
  <c r="DN205" i="28"/>
  <c r="DK205" i="28"/>
  <c r="DH205" i="28"/>
  <c r="DE205" i="28"/>
  <c r="DB205" i="28"/>
  <c r="CV205" i="28"/>
  <c r="CS205" i="28"/>
  <c r="CP205" i="28"/>
  <c r="CM205" i="28"/>
  <c r="CJ205" i="28"/>
  <c r="CG205" i="28"/>
  <c r="CA205" i="28"/>
  <c r="BX205" i="28"/>
  <c r="BU205" i="28"/>
  <c r="BR205" i="28"/>
  <c r="BO205" i="28"/>
  <c r="BL205" i="28"/>
  <c r="BF205" i="28"/>
  <c r="BC205" i="28"/>
  <c r="AZ205" i="28"/>
  <c r="AW205" i="28"/>
  <c r="AT205" i="28"/>
  <c r="AQ205" i="28"/>
  <c r="AK205" i="28"/>
  <c r="AH205" i="28"/>
  <c r="DQ204" i="28"/>
  <c r="DN204" i="28"/>
  <c r="DK204" i="28"/>
  <c r="DH204" i="28"/>
  <c r="DE204" i="28"/>
  <c r="DB204" i="28"/>
  <c r="CV204" i="28"/>
  <c r="CS204" i="28"/>
  <c r="CP204" i="28"/>
  <c r="CM204" i="28"/>
  <c r="CJ204" i="28"/>
  <c r="CG204" i="28"/>
  <c r="CA204" i="28"/>
  <c r="BX204" i="28"/>
  <c r="BU204" i="28"/>
  <c r="BR204" i="28"/>
  <c r="BO204" i="28"/>
  <c r="BL204" i="28"/>
  <c r="BF204" i="28"/>
  <c r="BC204" i="28"/>
  <c r="AZ204" i="28"/>
  <c r="AW204" i="28"/>
  <c r="AT204" i="28"/>
  <c r="AQ204" i="28"/>
  <c r="AK204" i="28"/>
  <c r="AH204" i="28"/>
  <c r="DQ203" i="28"/>
  <c r="DN203" i="28"/>
  <c r="DK203" i="28"/>
  <c r="DH203" i="28"/>
  <c r="DE203" i="28"/>
  <c r="DB203" i="28"/>
  <c r="CV203" i="28"/>
  <c r="CS203" i="28"/>
  <c r="CP203" i="28"/>
  <c r="CM203" i="28"/>
  <c r="CJ203" i="28"/>
  <c r="CG203" i="28"/>
  <c r="CA203" i="28"/>
  <c r="BX203" i="28"/>
  <c r="BU203" i="28"/>
  <c r="BR203" i="28"/>
  <c r="BO203" i="28"/>
  <c r="BL203" i="28"/>
  <c r="BF203" i="28"/>
  <c r="BC203" i="28"/>
  <c r="AZ203" i="28"/>
  <c r="AW203" i="28"/>
  <c r="AT203" i="28"/>
  <c r="AQ203" i="28"/>
  <c r="AK203" i="28"/>
  <c r="AH203" i="28"/>
  <c r="DQ202" i="28"/>
  <c r="DN202" i="28"/>
  <c r="DK202" i="28"/>
  <c r="DH202" i="28"/>
  <c r="DE202" i="28"/>
  <c r="DB202" i="28"/>
  <c r="CV202" i="28"/>
  <c r="CS202" i="28"/>
  <c r="CP202" i="28"/>
  <c r="CM202" i="28"/>
  <c r="CJ202" i="28"/>
  <c r="CG202" i="28"/>
  <c r="CA202" i="28"/>
  <c r="BX202" i="28"/>
  <c r="BU202" i="28"/>
  <c r="BR202" i="28"/>
  <c r="BO202" i="28"/>
  <c r="BL202" i="28"/>
  <c r="BF202" i="28"/>
  <c r="BC202" i="28"/>
  <c r="AZ202" i="28"/>
  <c r="AW202" i="28"/>
  <c r="AT202" i="28"/>
  <c r="AQ202" i="28"/>
  <c r="AK202" i="28"/>
  <c r="AH202" i="28"/>
  <c r="DQ201" i="28"/>
  <c r="DN201" i="28"/>
  <c r="DK201" i="28"/>
  <c r="DH201" i="28"/>
  <c r="DE201" i="28"/>
  <c r="DB201" i="28"/>
  <c r="CV201" i="28"/>
  <c r="CS201" i="28"/>
  <c r="CP201" i="28"/>
  <c r="CM201" i="28"/>
  <c r="CJ201" i="28"/>
  <c r="CG201" i="28"/>
  <c r="CA201" i="28"/>
  <c r="BX201" i="28"/>
  <c r="BU201" i="28"/>
  <c r="BR201" i="28"/>
  <c r="BO201" i="28"/>
  <c r="BL201" i="28"/>
  <c r="BF201" i="28"/>
  <c r="BC201" i="28"/>
  <c r="AZ201" i="28"/>
  <c r="AW201" i="28"/>
  <c r="AT201" i="28"/>
  <c r="AQ201" i="28"/>
  <c r="AK201" i="28"/>
  <c r="AH201" i="28"/>
  <c r="DQ200" i="28"/>
  <c r="DN200" i="28"/>
  <c r="DK200" i="28"/>
  <c r="DH200" i="28"/>
  <c r="DE200" i="28"/>
  <c r="DB200" i="28"/>
  <c r="CV200" i="28"/>
  <c r="CS200" i="28"/>
  <c r="CP200" i="28"/>
  <c r="CM200" i="28"/>
  <c r="CJ200" i="28"/>
  <c r="CG200" i="28"/>
  <c r="CA200" i="28"/>
  <c r="BX200" i="28"/>
  <c r="BU200" i="28"/>
  <c r="BR200" i="28"/>
  <c r="BO200" i="28"/>
  <c r="BL200" i="28"/>
  <c r="BF200" i="28"/>
  <c r="BC200" i="28"/>
  <c r="AZ200" i="28"/>
  <c r="AW200" i="28"/>
  <c r="AT200" i="28"/>
  <c r="AQ200" i="28"/>
  <c r="AK200" i="28"/>
  <c r="AH200" i="28"/>
  <c r="DQ199" i="28"/>
  <c r="DN199" i="28"/>
  <c r="DK199" i="28"/>
  <c r="DH199" i="28"/>
  <c r="DE199" i="28"/>
  <c r="DB199" i="28"/>
  <c r="CV199" i="28"/>
  <c r="CS199" i="28"/>
  <c r="CP199" i="28"/>
  <c r="CM199" i="28"/>
  <c r="CJ199" i="28"/>
  <c r="CG199" i="28"/>
  <c r="CA199" i="28"/>
  <c r="BX199" i="28"/>
  <c r="BU199" i="28"/>
  <c r="BR199" i="28"/>
  <c r="BO199" i="28"/>
  <c r="BL199" i="28"/>
  <c r="BF199" i="28"/>
  <c r="BC199" i="28"/>
  <c r="AZ199" i="28"/>
  <c r="AW199" i="28"/>
  <c r="AT199" i="28"/>
  <c r="AQ199" i="28"/>
  <c r="AK199" i="28"/>
  <c r="AH199" i="28"/>
  <c r="DQ198" i="28"/>
  <c r="DN198" i="28"/>
  <c r="DK198" i="28"/>
  <c r="DH198" i="28"/>
  <c r="DE198" i="28"/>
  <c r="DB198" i="28"/>
  <c r="CV198" i="28"/>
  <c r="CS198" i="28"/>
  <c r="CP198" i="28"/>
  <c r="CM198" i="28"/>
  <c r="CJ198" i="28"/>
  <c r="CG198" i="28"/>
  <c r="CA198" i="28"/>
  <c r="BX198" i="28"/>
  <c r="BU198" i="28"/>
  <c r="BR198" i="28"/>
  <c r="BO198" i="28"/>
  <c r="BL198" i="28"/>
  <c r="BF198" i="28"/>
  <c r="BC198" i="28"/>
  <c r="AZ198" i="28"/>
  <c r="AW198" i="28"/>
  <c r="AT198" i="28"/>
  <c r="AQ198" i="28"/>
  <c r="AK198" i="28"/>
  <c r="AH198" i="28"/>
  <c r="DQ197" i="28"/>
  <c r="DN197" i="28"/>
  <c r="DK197" i="28"/>
  <c r="DH197" i="28"/>
  <c r="DE197" i="28"/>
  <c r="DB197" i="28"/>
  <c r="CV197" i="28"/>
  <c r="CS197" i="28"/>
  <c r="CP197" i="28"/>
  <c r="CL197" i="28"/>
  <c r="CM197" i="28" s="1"/>
  <c r="CJ197" i="28"/>
  <c r="CG197" i="28"/>
  <c r="CA197" i="28"/>
  <c r="BX197" i="28"/>
  <c r="BU197" i="28"/>
  <c r="BR197" i="28"/>
  <c r="BO197" i="28"/>
  <c r="BL197" i="28"/>
  <c r="BF197" i="28"/>
  <c r="BC197" i="28"/>
  <c r="AZ197" i="28"/>
  <c r="AW197" i="28"/>
  <c r="AT197" i="28"/>
  <c r="AQ197" i="28"/>
  <c r="AK197" i="28"/>
  <c r="AH197" i="28"/>
  <c r="DQ196" i="28"/>
  <c r="DN196" i="28"/>
  <c r="DK196" i="28"/>
  <c r="DH196" i="28"/>
  <c r="DE196" i="28"/>
  <c r="DB196" i="28"/>
  <c r="CV196" i="28"/>
  <c r="CS196" i="28"/>
  <c r="CP196" i="28"/>
  <c r="CM196" i="28"/>
  <c r="CJ196" i="28"/>
  <c r="CG196" i="28"/>
  <c r="CA196" i="28"/>
  <c r="BX196" i="28"/>
  <c r="BU196" i="28"/>
  <c r="BR196" i="28"/>
  <c r="BO196" i="28"/>
  <c r="BL196" i="28"/>
  <c r="BF196" i="28"/>
  <c r="BC196" i="28"/>
  <c r="AZ196" i="28"/>
  <c r="AW196" i="28"/>
  <c r="AT196" i="28"/>
  <c r="AQ196" i="28"/>
  <c r="AK196" i="28"/>
  <c r="AH196" i="28"/>
  <c r="DQ195" i="28"/>
  <c r="DN195" i="28"/>
  <c r="DK195" i="28"/>
  <c r="DH195" i="28"/>
  <c r="DE195" i="28"/>
  <c r="DB195" i="28"/>
  <c r="CV195" i="28"/>
  <c r="CS195" i="28"/>
  <c r="CP195" i="28"/>
  <c r="CM195" i="28"/>
  <c r="CJ195" i="28"/>
  <c r="CG195" i="28"/>
  <c r="CA195" i="28"/>
  <c r="BX195" i="28"/>
  <c r="BU195" i="28"/>
  <c r="BR195" i="28"/>
  <c r="BO195" i="28"/>
  <c r="BL195" i="28"/>
  <c r="BF195" i="28"/>
  <c r="BC195" i="28"/>
  <c r="AZ195" i="28"/>
  <c r="AW195" i="28"/>
  <c r="AT195" i="28"/>
  <c r="AQ195" i="28"/>
  <c r="AK195" i="28"/>
  <c r="AH195" i="28"/>
  <c r="DQ194" i="28"/>
  <c r="DN194" i="28"/>
  <c r="DK194" i="28"/>
  <c r="DH194" i="28"/>
  <c r="DE194" i="28"/>
  <c r="DB194" i="28"/>
  <c r="CV194" i="28"/>
  <c r="CS194" i="28"/>
  <c r="CP194" i="28"/>
  <c r="CM194" i="28"/>
  <c r="CJ194" i="28"/>
  <c r="CG194" i="28"/>
  <c r="CA194" i="28"/>
  <c r="BX194" i="28"/>
  <c r="BU194" i="28"/>
  <c r="BR194" i="28"/>
  <c r="BO194" i="28"/>
  <c r="BL194" i="28"/>
  <c r="BF194" i="28"/>
  <c r="BC194" i="28"/>
  <c r="AZ194" i="28"/>
  <c r="AW194" i="28"/>
  <c r="AT194" i="28"/>
  <c r="AQ194" i="28"/>
  <c r="AK194" i="28"/>
  <c r="AH194" i="28"/>
  <c r="DQ193" i="28"/>
  <c r="DN193" i="28"/>
  <c r="DK193" i="28"/>
  <c r="DH193" i="28"/>
  <c r="DE193" i="28"/>
  <c r="DB193" i="28"/>
  <c r="CV193" i="28"/>
  <c r="CS193" i="28"/>
  <c r="CP193" i="28"/>
  <c r="CM193" i="28"/>
  <c r="CJ193" i="28"/>
  <c r="CG193" i="28"/>
  <c r="CA193" i="28"/>
  <c r="BX193" i="28"/>
  <c r="BU193" i="28"/>
  <c r="BR193" i="28"/>
  <c r="BO193" i="28"/>
  <c r="BL193" i="28"/>
  <c r="BF193" i="28"/>
  <c r="BC193" i="28"/>
  <c r="AZ193" i="28"/>
  <c r="AW193" i="28"/>
  <c r="AT193" i="28"/>
  <c r="AQ193" i="28"/>
  <c r="AK193" i="28"/>
  <c r="AH193" i="28"/>
  <c r="DQ192" i="28"/>
  <c r="DN192" i="28"/>
  <c r="DK192" i="28"/>
  <c r="DH192" i="28"/>
  <c r="DE192" i="28"/>
  <c r="DB192" i="28"/>
  <c r="CV192" i="28"/>
  <c r="CS192" i="28"/>
  <c r="CP192" i="28"/>
  <c r="CM192" i="28"/>
  <c r="CJ192" i="28"/>
  <c r="CG192" i="28"/>
  <c r="CA192" i="28"/>
  <c r="BX192" i="28"/>
  <c r="BU192" i="28"/>
  <c r="BR192" i="28"/>
  <c r="BO192" i="28"/>
  <c r="BL192" i="28"/>
  <c r="BF192" i="28"/>
  <c r="BC192" i="28"/>
  <c r="AZ192" i="28"/>
  <c r="AW192" i="28"/>
  <c r="AT192" i="28"/>
  <c r="AQ192" i="28"/>
  <c r="AK192" i="28"/>
  <c r="AH192" i="28"/>
  <c r="DQ191" i="28"/>
  <c r="DN191" i="28"/>
  <c r="DK191" i="28"/>
  <c r="DH191" i="28"/>
  <c r="DE191" i="28"/>
  <c r="DB191" i="28"/>
  <c r="CV191" i="28"/>
  <c r="CS191" i="28"/>
  <c r="CP191" i="28"/>
  <c r="CM191" i="28"/>
  <c r="CJ191" i="28"/>
  <c r="CG191" i="28"/>
  <c r="CA191" i="28"/>
  <c r="BX191" i="28"/>
  <c r="BU191" i="28"/>
  <c r="BR191" i="28"/>
  <c r="BO191" i="28"/>
  <c r="BL191" i="28"/>
  <c r="BF191" i="28"/>
  <c r="BC191" i="28"/>
  <c r="AZ191" i="28"/>
  <c r="AW191" i="28"/>
  <c r="AT191" i="28"/>
  <c r="AQ191" i="28"/>
  <c r="AK191" i="28"/>
  <c r="AH191" i="28"/>
  <c r="DQ190" i="28"/>
  <c r="DN190" i="28"/>
  <c r="DK190" i="28"/>
  <c r="DH190" i="28"/>
  <c r="DE190" i="28"/>
  <c r="DB190" i="28"/>
  <c r="CV190" i="28"/>
  <c r="CS190" i="28"/>
  <c r="CP190" i="28"/>
  <c r="CM190" i="28"/>
  <c r="CJ190" i="28"/>
  <c r="CG190" i="28"/>
  <c r="CA190" i="28"/>
  <c r="BX190" i="28"/>
  <c r="BU190" i="28"/>
  <c r="BR190" i="28"/>
  <c r="BO190" i="28"/>
  <c r="BL190" i="28"/>
  <c r="BF190" i="28"/>
  <c r="BC190" i="28"/>
  <c r="AZ190" i="28"/>
  <c r="AW190" i="28"/>
  <c r="AT190" i="28"/>
  <c r="AQ190" i="28"/>
  <c r="AK190" i="28"/>
  <c r="AH190" i="28"/>
  <c r="DQ189" i="28"/>
  <c r="DN189" i="28"/>
  <c r="DK189" i="28"/>
  <c r="DH189" i="28"/>
  <c r="DE189" i="28"/>
  <c r="DB189" i="28"/>
  <c r="CV189" i="28"/>
  <c r="CS189" i="28"/>
  <c r="CP189" i="28"/>
  <c r="CM189" i="28"/>
  <c r="CJ189" i="28"/>
  <c r="CG189" i="28"/>
  <c r="CA189" i="28"/>
  <c r="BX189" i="28"/>
  <c r="BU189" i="28"/>
  <c r="BR189" i="28"/>
  <c r="BO189" i="28"/>
  <c r="BL189" i="28"/>
  <c r="BF189" i="28"/>
  <c r="BC189" i="28"/>
  <c r="AZ189" i="28"/>
  <c r="AW189" i="28"/>
  <c r="AT189" i="28"/>
  <c r="AQ189" i="28"/>
  <c r="AK189" i="28"/>
  <c r="AH189" i="28"/>
  <c r="DQ188" i="28"/>
  <c r="DN188" i="28"/>
  <c r="DK188" i="28"/>
  <c r="DH188" i="28"/>
  <c r="DE188" i="28"/>
  <c r="DB188" i="28"/>
  <c r="CV188" i="28"/>
  <c r="CS188" i="28"/>
  <c r="CP188" i="28"/>
  <c r="CM188" i="28"/>
  <c r="CJ188" i="28"/>
  <c r="CG188" i="28"/>
  <c r="CA188" i="28"/>
  <c r="BX188" i="28"/>
  <c r="BU188" i="28"/>
  <c r="BR188" i="28"/>
  <c r="BO188" i="28"/>
  <c r="BL188" i="28"/>
  <c r="BF188" i="28"/>
  <c r="BC188" i="28"/>
  <c r="AZ188" i="28"/>
  <c r="AW188" i="28"/>
  <c r="AT188" i="28"/>
  <c r="AQ188" i="28"/>
  <c r="AK188" i="28"/>
  <c r="AH188" i="28"/>
  <c r="DQ187" i="28"/>
  <c r="DN187" i="28"/>
  <c r="DK187" i="28"/>
  <c r="DH187" i="28"/>
  <c r="DE187" i="28"/>
  <c r="DB187" i="28"/>
  <c r="CV187" i="28"/>
  <c r="CS187" i="28"/>
  <c r="CP187" i="28"/>
  <c r="CM187" i="28"/>
  <c r="CJ187" i="28"/>
  <c r="CG187" i="28"/>
  <c r="CA187" i="28"/>
  <c r="BX187" i="28"/>
  <c r="BU187" i="28"/>
  <c r="BR187" i="28"/>
  <c r="BO187" i="28"/>
  <c r="BL187" i="28"/>
  <c r="BF187" i="28"/>
  <c r="BC187" i="28"/>
  <c r="AZ187" i="28"/>
  <c r="AW187" i="28"/>
  <c r="AT187" i="28"/>
  <c r="AQ187" i="28"/>
  <c r="AK187" i="28"/>
  <c r="AH187" i="28"/>
  <c r="DQ186" i="28"/>
  <c r="DN186" i="28"/>
  <c r="DK186" i="28"/>
  <c r="DH186" i="28"/>
  <c r="DE186" i="28"/>
  <c r="DB186" i="28"/>
  <c r="CV186" i="28"/>
  <c r="CS186" i="28"/>
  <c r="CP186" i="28"/>
  <c r="CM186" i="28"/>
  <c r="CJ186" i="28"/>
  <c r="CG186" i="28"/>
  <c r="CA186" i="28"/>
  <c r="BX186" i="28"/>
  <c r="BU186" i="28"/>
  <c r="BR186" i="28"/>
  <c r="BO186" i="28"/>
  <c r="BL186" i="28"/>
  <c r="BF186" i="28"/>
  <c r="BC186" i="28"/>
  <c r="AZ186" i="28"/>
  <c r="AW186" i="28"/>
  <c r="AT186" i="28"/>
  <c r="AQ186" i="28"/>
  <c r="AK186" i="28"/>
  <c r="AH186" i="28"/>
  <c r="DQ185" i="28"/>
  <c r="DN185" i="28"/>
  <c r="DK185" i="28"/>
  <c r="DH185" i="28"/>
  <c r="DE185" i="28"/>
  <c r="DB185" i="28"/>
  <c r="CV185" i="28"/>
  <c r="CS185" i="28"/>
  <c r="CP185" i="28"/>
  <c r="CM185" i="28"/>
  <c r="CJ185" i="28"/>
  <c r="CG185" i="28"/>
  <c r="CA185" i="28"/>
  <c r="BX185" i="28"/>
  <c r="BU185" i="28"/>
  <c r="BR185" i="28"/>
  <c r="BO185" i="28"/>
  <c r="BL185" i="28"/>
  <c r="BF185" i="28"/>
  <c r="BC185" i="28"/>
  <c r="AZ185" i="28"/>
  <c r="AW185" i="28"/>
  <c r="AT185" i="28"/>
  <c r="AQ185" i="28"/>
  <c r="AK185" i="28"/>
  <c r="AH185" i="28"/>
  <c r="DQ184" i="28"/>
  <c r="DN184" i="28"/>
  <c r="DK184" i="28"/>
  <c r="DH184" i="28"/>
  <c r="DE184" i="28"/>
  <c r="DB184" i="28"/>
  <c r="CV184" i="28"/>
  <c r="CS184" i="28"/>
  <c r="CP184" i="28"/>
  <c r="CM184" i="28"/>
  <c r="CJ184" i="28"/>
  <c r="CG184" i="28"/>
  <c r="CA184" i="28"/>
  <c r="BX184" i="28"/>
  <c r="BU184" i="28"/>
  <c r="BR184" i="28"/>
  <c r="BO184" i="28"/>
  <c r="BL184" i="28"/>
  <c r="BF184" i="28"/>
  <c r="BC184" i="28"/>
  <c r="AZ184" i="28"/>
  <c r="AW184" i="28"/>
  <c r="AT184" i="28"/>
  <c r="AQ184" i="28"/>
  <c r="AK184" i="28"/>
  <c r="AH184" i="28"/>
  <c r="DQ183" i="28"/>
  <c r="DN183" i="28"/>
  <c r="DK183" i="28"/>
  <c r="DH183" i="28"/>
  <c r="DE183" i="28"/>
  <c r="DB183" i="28"/>
  <c r="CV183" i="28"/>
  <c r="CS183" i="28"/>
  <c r="CP183" i="28"/>
  <c r="CM183" i="28"/>
  <c r="CJ183" i="28"/>
  <c r="CG183" i="28"/>
  <c r="CA183" i="28"/>
  <c r="BX183" i="28"/>
  <c r="BU183" i="28"/>
  <c r="BR183" i="28"/>
  <c r="BO183" i="28"/>
  <c r="BL183" i="28"/>
  <c r="BF183" i="28"/>
  <c r="BC183" i="28"/>
  <c r="AZ183" i="28"/>
  <c r="AR183" i="28"/>
  <c r="AW183" i="28" s="1"/>
  <c r="AQ183" i="28"/>
  <c r="AK183" i="28"/>
  <c r="AH183" i="28"/>
  <c r="DQ182" i="28"/>
  <c r="DN182" i="28"/>
  <c r="DK182" i="28"/>
  <c r="DH182" i="28"/>
  <c r="DE182" i="28"/>
  <c r="DB182" i="28"/>
  <c r="CV182" i="28"/>
  <c r="CS182" i="28"/>
  <c r="CP182" i="28"/>
  <c r="CM182" i="28"/>
  <c r="CJ182" i="28"/>
  <c r="CG182" i="28"/>
  <c r="CA182" i="28"/>
  <c r="BX182" i="28"/>
  <c r="BU182" i="28"/>
  <c r="BR182" i="28"/>
  <c r="BO182" i="28"/>
  <c r="BL182" i="28"/>
  <c r="BF182" i="28"/>
  <c r="BC182" i="28"/>
  <c r="AZ182" i="28"/>
  <c r="AW182" i="28"/>
  <c r="AT182" i="28"/>
  <c r="AQ182" i="28"/>
  <c r="AK182" i="28"/>
  <c r="AH182" i="28"/>
  <c r="DQ181" i="28"/>
  <c r="DN181" i="28"/>
  <c r="DK181" i="28"/>
  <c r="DH181" i="28"/>
  <c r="DE181" i="28"/>
  <c r="DB181" i="28"/>
  <c r="CV181" i="28"/>
  <c r="CS181" i="28"/>
  <c r="CP181" i="28"/>
  <c r="CM181" i="28"/>
  <c r="CJ181" i="28"/>
  <c r="CG181" i="28"/>
  <c r="CA181" i="28"/>
  <c r="BX181" i="28"/>
  <c r="BU181" i="28"/>
  <c r="BR181" i="28"/>
  <c r="BO181" i="28"/>
  <c r="BL181" i="28"/>
  <c r="BF181" i="28"/>
  <c r="BC181" i="28"/>
  <c r="AZ181" i="28"/>
  <c r="AW181" i="28"/>
  <c r="AT181" i="28"/>
  <c r="AQ181" i="28"/>
  <c r="AK181" i="28"/>
  <c r="AH181" i="28"/>
  <c r="DQ180" i="28"/>
  <c r="DN180" i="28"/>
  <c r="DK180" i="28"/>
  <c r="DH180" i="28"/>
  <c r="DE180" i="28"/>
  <c r="DB180" i="28"/>
  <c r="CV180" i="28"/>
  <c r="CS180" i="28"/>
  <c r="CP180" i="28"/>
  <c r="CM180" i="28"/>
  <c r="CJ180" i="28"/>
  <c r="CG180" i="28"/>
  <c r="CA180" i="28"/>
  <c r="BX180" i="28"/>
  <c r="BU180" i="28"/>
  <c r="BR180" i="28"/>
  <c r="BO180" i="28"/>
  <c r="BL180" i="28"/>
  <c r="BF180" i="28"/>
  <c r="BC180" i="28"/>
  <c r="AZ180" i="28"/>
  <c r="AW180" i="28"/>
  <c r="AT180" i="28"/>
  <c r="AQ180" i="28"/>
  <c r="AK180" i="28"/>
  <c r="AH180" i="28"/>
  <c r="DQ179" i="28"/>
  <c r="DN179" i="28"/>
  <c r="DK179" i="28"/>
  <c r="DH179" i="28"/>
  <c r="DE179" i="28"/>
  <c r="DB179" i="28"/>
  <c r="CV179" i="28"/>
  <c r="CS179" i="28"/>
  <c r="CP179" i="28"/>
  <c r="CM179" i="28"/>
  <c r="CJ179" i="28"/>
  <c r="CG179" i="28"/>
  <c r="CA179" i="28"/>
  <c r="BX179" i="28"/>
  <c r="BU179" i="28"/>
  <c r="BR179" i="28"/>
  <c r="BO179" i="28"/>
  <c r="BL179" i="28"/>
  <c r="BF179" i="28"/>
  <c r="BC179" i="28"/>
  <c r="AZ179" i="28"/>
  <c r="AW179" i="28"/>
  <c r="AT179" i="28"/>
  <c r="AQ179" i="28"/>
  <c r="AK179" i="28"/>
  <c r="AH179" i="28"/>
  <c r="DQ178" i="28"/>
  <c r="DN178" i="28"/>
  <c r="DK178" i="28"/>
  <c r="DH178" i="28"/>
  <c r="DE178" i="28"/>
  <c r="DB178" i="28"/>
  <c r="CV178" i="28"/>
  <c r="CS178" i="28"/>
  <c r="CP178" i="28"/>
  <c r="CM178" i="28"/>
  <c r="CJ178" i="28"/>
  <c r="CG178" i="28"/>
  <c r="CA178" i="28"/>
  <c r="BX178" i="28"/>
  <c r="BU178" i="28"/>
  <c r="BR178" i="28"/>
  <c r="BO178" i="28"/>
  <c r="BL178" i="28"/>
  <c r="BF178" i="28"/>
  <c r="BC178" i="28"/>
  <c r="AZ178" i="28"/>
  <c r="AW178" i="28"/>
  <c r="AT178" i="28"/>
  <c r="AQ178" i="28"/>
  <c r="AK178" i="28"/>
  <c r="AH178" i="28"/>
  <c r="DQ177" i="28"/>
  <c r="DN177" i="28"/>
  <c r="DK177" i="28"/>
  <c r="DH177" i="28"/>
  <c r="DE177" i="28"/>
  <c r="DB177" i="28"/>
  <c r="CV177" i="28"/>
  <c r="CS177" i="28"/>
  <c r="CP177" i="28"/>
  <c r="CM177" i="28"/>
  <c r="CJ177" i="28"/>
  <c r="CG177" i="28"/>
  <c r="CA177" i="28"/>
  <c r="BX177" i="28"/>
  <c r="BU177" i="28"/>
  <c r="BR177" i="28"/>
  <c r="BO177" i="28"/>
  <c r="BL177" i="28"/>
  <c r="BF177" i="28"/>
  <c r="BC177" i="28"/>
  <c r="AZ177" i="28"/>
  <c r="AW177" i="28"/>
  <c r="AT177" i="28"/>
  <c r="AQ177" i="28"/>
  <c r="AK177" i="28"/>
  <c r="AH177" i="28"/>
  <c r="DQ176" i="28"/>
  <c r="DN176" i="28"/>
  <c r="DK176" i="28"/>
  <c r="DH176" i="28"/>
  <c r="DE176" i="28"/>
  <c r="DB176" i="28"/>
  <c r="CV176" i="28"/>
  <c r="CS176" i="28"/>
  <c r="CP176" i="28"/>
  <c r="CM176" i="28"/>
  <c r="CJ176" i="28"/>
  <c r="CG176" i="28"/>
  <c r="CA176" i="28"/>
  <c r="BX176" i="28"/>
  <c r="BU176" i="28"/>
  <c r="BR176" i="28"/>
  <c r="BO176" i="28"/>
  <c r="BL176" i="28"/>
  <c r="BF176" i="28"/>
  <c r="BC176" i="28"/>
  <c r="AZ176" i="28"/>
  <c r="AW176" i="28"/>
  <c r="AT176" i="28"/>
  <c r="AQ176" i="28"/>
  <c r="AK176" i="28"/>
  <c r="AH176" i="28"/>
  <c r="DQ175" i="28"/>
  <c r="DN175" i="28"/>
  <c r="DK175" i="28"/>
  <c r="DH175" i="28"/>
  <c r="DE175" i="28"/>
  <c r="DB175" i="28"/>
  <c r="CV175" i="28"/>
  <c r="CS175" i="28"/>
  <c r="CP175" i="28"/>
  <c r="CM175" i="28"/>
  <c r="CJ175" i="28"/>
  <c r="CG175" i="28"/>
  <c r="CA175" i="28"/>
  <c r="BX175" i="28"/>
  <c r="BU175" i="28"/>
  <c r="BR175" i="28"/>
  <c r="BO175" i="28"/>
  <c r="BL175" i="28"/>
  <c r="BF175" i="28"/>
  <c r="BC175" i="28"/>
  <c r="AZ175" i="28"/>
  <c r="AW175" i="28"/>
  <c r="AT175" i="28"/>
  <c r="AQ175" i="28"/>
  <c r="AK175" i="28"/>
  <c r="AH175" i="28"/>
  <c r="DQ174" i="28"/>
  <c r="DN174" i="28"/>
  <c r="DK174" i="28"/>
  <c r="DH174" i="28"/>
  <c r="DE174" i="28"/>
  <c r="DB174" i="28"/>
  <c r="CV174" i="28"/>
  <c r="CS174" i="28"/>
  <c r="CP174" i="28"/>
  <c r="CM174" i="28"/>
  <c r="CJ174" i="28"/>
  <c r="CG174" i="28"/>
  <c r="CA174" i="28"/>
  <c r="BX174" i="28"/>
  <c r="BU174" i="28"/>
  <c r="BR174" i="28"/>
  <c r="BO174" i="28"/>
  <c r="BL174" i="28"/>
  <c r="BF174" i="28"/>
  <c r="BC174" i="28"/>
  <c r="AZ174" i="28"/>
  <c r="AR174" i="28"/>
  <c r="AW174" i="28" s="1"/>
  <c r="AQ174" i="28"/>
  <c r="AK174" i="28"/>
  <c r="AH174" i="28"/>
  <c r="DQ173" i="28"/>
  <c r="DN173" i="28"/>
  <c r="DK173" i="28"/>
  <c r="DH173" i="28"/>
  <c r="DE173" i="28"/>
  <c r="DB173" i="28"/>
  <c r="CV173" i="28"/>
  <c r="CS173" i="28"/>
  <c r="CP173" i="28"/>
  <c r="CM173" i="28"/>
  <c r="CJ173" i="28"/>
  <c r="CG173" i="28"/>
  <c r="CA173" i="28"/>
  <c r="BX173" i="28"/>
  <c r="BU173" i="28"/>
  <c r="BR173" i="28"/>
  <c r="BO173" i="28"/>
  <c r="BL173" i="28"/>
  <c r="BF173" i="28"/>
  <c r="BC173" i="28"/>
  <c r="AZ173" i="28"/>
  <c r="AW173" i="28"/>
  <c r="AT173" i="28"/>
  <c r="AQ173" i="28"/>
  <c r="AK173" i="28"/>
  <c r="AH173" i="28"/>
  <c r="DQ172" i="28"/>
  <c r="DN172" i="28"/>
  <c r="DK172" i="28"/>
  <c r="DH172" i="28"/>
  <c r="DE172" i="28"/>
  <c r="DB172" i="28"/>
  <c r="CV172" i="28"/>
  <c r="CS172" i="28"/>
  <c r="CP172" i="28"/>
  <c r="CM172" i="28"/>
  <c r="CJ172" i="28"/>
  <c r="CG172" i="28"/>
  <c r="CA172" i="28"/>
  <c r="BX172" i="28"/>
  <c r="BU172" i="28"/>
  <c r="BR172" i="28"/>
  <c r="BO172" i="28"/>
  <c r="BL172" i="28"/>
  <c r="BF172" i="28"/>
  <c r="BC172" i="28"/>
  <c r="AZ172" i="28"/>
  <c r="AR172" i="28"/>
  <c r="AW172" i="28" s="1"/>
  <c r="AQ172" i="28"/>
  <c r="AK172" i="28"/>
  <c r="AH172" i="28"/>
  <c r="DQ171" i="28"/>
  <c r="DN171" i="28"/>
  <c r="DK171" i="28"/>
  <c r="DH171" i="28"/>
  <c r="DE171" i="28"/>
  <c r="DB171" i="28"/>
  <c r="CV171" i="28"/>
  <c r="CS171" i="28"/>
  <c r="CP171" i="28"/>
  <c r="CM171" i="28"/>
  <c r="CJ171" i="28"/>
  <c r="CG171" i="28"/>
  <c r="CA171" i="28"/>
  <c r="BX171" i="28"/>
  <c r="BU171" i="28"/>
  <c r="BR171" i="28"/>
  <c r="BO171" i="28"/>
  <c r="BL171" i="28"/>
  <c r="BF171" i="28"/>
  <c r="BC171" i="28"/>
  <c r="AZ171" i="28"/>
  <c r="AW171" i="28"/>
  <c r="AT171" i="28"/>
  <c r="AQ171" i="28"/>
  <c r="AK171" i="28"/>
  <c r="AH171" i="28"/>
  <c r="DQ170" i="28"/>
  <c r="DN170" i="28"/>
  <c r="DK170" i="28"/>
  <c r="DH170" i="28"/>
  <c r="DE170" i="28"/>
  <c r="DB170" i="28"/>
  <c r="CV170" i="28"/>
  <c r="CS170" i="28"/>
  <c r="CP170" i="28"/>
  <c r="CM170" i="28"/>
  <c r="CJ170" i="28"/>
  <c r="CG170" i="28"/>
  <c r="CA170" i="28"/>
  <c r="BX170" i="28"/>
  <c r="BU170" i="28"/>
  <c r="BR170" i="28"/>
  <c r="BO170" i="28"/>
  <c r="BL170" i="28"/>
  <c r="BF170" i="28"/>
  <c r="BC170" i="28"/>
  <c r="AZ170" i="28"/>
  <c r="AW170" i="28"/>
  <c r="AT170" i="28"/>
  <c r="AQ170" i="28"/>
  <c r="AK170" i="28"/>
  <c r="AH170" i="28"/>
  <c r="DQ169" i="28"/>
  <c r="DN169" i="28"/>
  <c r="DK169" i="28"/>
  <c r="DH169" i="28"/>
  <c r="DE169" i="28"/>
  <c r="DB169" i="28"/>
  <c r="CV169" i="28"/>
  <c r="CS169" i="28"/>
  <c r="CP169" i="28"/>
  <c r="CM169" i="28"/>
  <c r="CJ169" i="28"/>
  <c r="CG169" i="28"/>
  <c r="CA169" i="28"/>
  <c r="BX169" i="28"/>
  <c r="BU169" i="28"/>
  <c r="BR169" i="28"/>
  <c r="BO169" i="28"/>
  <c r="BL169" i="28"/>
  <c r="BF169" i="28"/>
  <c r="BC169" i="28"/>
  <c r="AZ169" i="28"/>
  <c r="AW169" i="28"/>
  <c r="AT169" i="28"/>
  <c r="AR169" i="28"/>
  <c r="AQ169" i="28"/>
  <c r="AK169" i="28"/>
  <c r="AH169" i="28"/>
  <c r="DQ168" i="28"/>
  <c r="DN168" i="28"/>
  <c r="DK168" i="28"/>
  <c r="DH168" i="28"/>
  <c r="DE168" i="28"/>
  <c r="DB168" i="28"/>
  <c r="CV168" i="28"/>
  <c r="CS168" i="28"/>
  <c r="CP168" i="28"/>
  <c r="CM168" i="28"/>
  <c r="CJ168" i="28"/>
  <c r="CG168" i="28"/>
  <c r="CA168" i="28"/>
  <c r="BX168" i="28"/>
  <c r="BU168" i="28"/>
  <c r="BR168" i="28"/>
  <c r="BO168" i="28"/>
  <c r="BL168" i="28"/>
  <c r="BF168" i="28"/>
  <c r="BC168" i="28"/>
  <c r="AZ168" i="28"/>
  <c r="AW168" i="28"/>
  <c r="AT168" i="28"/>
  <c r="AQ168" i="28"/>
  <c r="AK168" i="28"/>
  <c r="AH168" i="28"/>
  <c r="DQ167" i="28"/>
  <c r="DN167" i="28"/>
  <c r="DK167" i="28"/>
  <c r="DH167" i="28"/>
  <c r="DE167" i="28"/>
  <c r="DB167" i="28"/>
  <c r="CV167" i="28"/>
  <c r="CS167" i="28"/>
  <c r="CP167" i="28"/>
  <c r="CM167" i="28"/>
  <c r="CJ167" i="28"/>
  <c r="CG167" i="28"/>
  <c r="CA167" i="28"/>
  <c r="BX167" i="28"/>
  <c r="BU167" i="28"/>
  <c r="BR167" i="28"/>
  <c r="BO167" i="28"/>
  <c r="BL167" i="28"/>
  <c r="BF167" i="28"/>
  <c r="BC167" i="28"/>
  <c r="AZ167" i="28"/>
  <c r="AW167" i="28"/>
  <c r="AT167" i="28"/>
  <c r="AQ167" i="28"/>
  <c r="AK167" i="28"/>
  <c r="AH167" i="28"/>
  <c r="DQ166" i="28"/>
  <c r="DN166" i="28"/>
  <c r="DK166" i="28"/>
  <c r="DH166" i="28"/>
  <c r="DE166" i="28"/>
  <c r="DB166" i="28"/>
  <c r="CV166" i="28"/>
  <c r="CS166" i="28"/>
  <c r="CP166" i="28"/>
  <c r="CM166" i="28"/>
  <c r="CJ166" i="28"/>
  <c r="CG166" i="28"/>
  <c r="CA166" i="28"/>
  <c r="BX166" i="28"/>
  <c r="BU166" i="28"/>
  <c r="BR166" i="28"/>
  <c r="BO166" i="28"/>
  <c r="BL166" i="28"/>
  <c r="BF166" i="28"/>
  <c r="BC166" i="28"/>
  <c r="AZ166" i="28"/>
  <c r="AW166" i="28"/>
  <c r="AT166" i="28"/>
  <c r="AQ166" i="28"/>
  <c r="AK166" i="28"/>
  <c r="AH166" i="28"/>
  <c r="DQ165" i="28"/>
  <c r="DN165" i="28"/>
  <c r="DK165" i="28"/>
  <c r="DH165" i="28"/>
  <c r="DE165" i="28"/>
  <c r="DB165" i="28"/>
  <c r="CV165" i="28"/>
  <c r="CS165" i="28"/>
  <c r="CP165" i="28"/>
  <c r="CM165" i="28"/>
  <c r="CJ165" i="28"/>
  <c r="CG165" i="28"/>
  <c r="CA165" i="28"/>
  <c r="BX165" i="28"/>
  <c r="BU165" i="28"/>
  <c r="BR165" i="28"/>
  <c r="BO165" i="28"/>
  <c r="BL165" i="28"/>
  <c r="BF165" i="28"/>
  <c r="BC165" i="28"/>
  <c r="AZ165" i="28"/>
  <c r="AW165" i="28"/>
  <c r="AT165" i="28"/>
  <c r="AQ165" i="28"/>
  <c r="AK165" i="28"/>
  <c r="AH165" i="28"/>
  <c r="DQ164" i="28"/>
  <c r="DN164" i="28"/>
  <c r="DK164" i="28"/>
  <c r="DH164" i="28"/>
  <c r="DE164" i="28"/>
  <c r="DB164" i="28"/>
  <c r="CV164" i="28"/>
  <c r="CS164" i="28"/>
  <c r="CP164" i="28"/>
  <c r="CM164" i="28"/>
  <c r="CJ164" i="28"/>
  <c r="CG164" i="28"/>
  <c r="CA164" i="28"/>
  <c r="BX164" i="28"/>
  <c r="BU164" i="28"/>
  <c r="BR164" i="28"/>
  <c r="BO164" i="28"/>
  <c r="BL164" i="28"/>
  <c r="BF164" i="28"/>
  <c r="BC164" i="28"/>
  <c r="AZ164" i="28"/>
  <c r="AW164" i="28"/>
  <c r="AT164" i="28"/>
  <c r="AQ164" i="28"/>
  <c r="AK164" i="28"/>
  <c r="AH164" i="28"/>
  <c r="DQ163" i="28"/>
  <c r="DN163" i="28"/>
  <c r="DK163" i="28"/>
  <c r="DH163" i="28"/>
  <c r="DE163" i="28"/>
  <c r="DB163" i="28"/>
  <c r="CV163" i="28"/>
  <c r="CS163" i="28"/>
  <c r="CP163" i="28"/>
  <c r="CM163" i="28"/>
  <c r="CJ163" i="28"/>
  <c r="CG163" i="28"/>
  <c r="CA163" i="28"/>
  <c r="BX163" i="28"/>
  <c r="BU163" i="28"/>
  <c r="BR163" i="28"/>
  <c r="BO163" i="28"/>
  <c r="BL163" i="28"/>
  <c r="BF163" i="28"/>
  <c r="BC163" i="28"/>
  <c r="AZ163" i="28"/>
  <c r="AW163" i="28"/>
  <c r="AT163" i="28"/>
  <c r="AQ163" i="28"/>
  <c r="AK163" i="28"/>
  <c r="AH163" i="28"/>
  <c r="DQ162" i="28"/>
  <c r="DN162" i="28"/>
  <c r="DK162" i="28"/>
  <c r="DH162" i="28"/>
  <c r="DE162" i="28"/>
  <c r="DB162" i="28"/>
  <c r="CV162" i="28"/>
  <c r="CS162" i="28"/>
  <c r="CP162" i="28"/>
  <c r="CM162" i="28"/>
  <c r="CJ162" i="28"/>
  <c r="CG162" i="28"/>
  <c r="CA162" i="28"/>
  <c r="BX162" i="28"/>
  <c r="BU162" i="28"/>
  <c r="BR162" i="28"/>
  <c r="BO162" i="28"/>
  <c r="BL162" i="28"/>
  <c r="BF162" i="28"/>
  <c r="BC162" i="28"/>
  <c r="AZ162" i="28"/>
  <c r="AW162" i="28"/>
  <c r="AT162" i="28"/>
  <c r="AQ162" i="28"/>
  <c r="AK162" i="28"/>
  <c r="AH162" i="28"/>
  <c r="DQ161" i="28"/>
  <c r="DN161" i="28"/>
  <c r="DK161" i="28"/>
  <c r="DH161" i="28"/>
  <c r="DE161" i="28"/>
  <c r="DB161" i="28"/>
  <c r="CV161" i="28"/>
  <c r="CS161" i="28"/>
  <c r="CP161" i="28"/>
  <c r="CM161" i="28"/>
  <c r="CJ161" i="28"/>
  <c r="CG161" i="28"/>
  <c r="CA161" i="28"/>
  <c r="BX161" i="28"/>
  <c r="BU161" i="28"/>
  <c r="BR161" i="28"/>
  <c r="BO161" i="28"/>
  <c r="BL161" i="28"/>
  <c r="BF161" i="28"/>
  <c r="BC161" i="28"/>
  <c r="AZ161" i="28"/>
  <c r="AW161" i="28"/>
  <c r="AT161" i="28"/>
  <c r="AQ161" i="28"/>
  <c r="AK161" i="28"/>
  <c r="AH161" i="28"/>
  <c r="DQ160" i="28"/>
  <c r="DN160" i="28"/>
  <c r="DK160" i="28"/>
  <c r="DH160" i="28"/>
  <c r="DE160" i="28"/>
  <c r="DB160" i="28"/>
  <c r="CV160" i="28"/>
  <c r="CS160" i="28"/>
  <c r="CP160" i="28"/>
  <c r="CM160" i="28"/>
  <c r="CJ160" i="28"/>
  <c r="CG160" i="28"/>
  <c r="CA160" i="28"/>
  <c r="BX160" i="28"/>
  <c r="BU160" i="28"/>
  <c r="BR160" i="28"/>
  <c r="BO160" i="28"/>
  <c r="BL160" i="28"/>
  <c r="BF160" i="28"/>
  <c r="BC160" i="28"/>
  <c r="AZ160" i="28"/>
  <c r="AW160" i="28"/>
  <c r="AT160" i="28"/>
  <c r="AQ160" i="28"/>
  <c r="AK160" i="28"/>
  <c r="AH160" i="28"/>
  <c r="DQ159" i="28"/>
  <c r="DN159" i="28"/>
  <c r="DK159" i="28"/>
  <c r="DH159" i="28"/>
  <c r="DE159" i="28"/>
  <c r="DB159" i="28"/>
  <c r="CV159" i="28"/>
  <c r="CS159" i="28"/>
  <c r="CP159" i="28"/>
  <c r="CM159" i="28"/>
  <c r="CJ159" i="28"/>
  <c r="CG159" i="28"/>
  <c r="CA159" i="28"/>
  <c r="BX159" i="28"/>
  <c r="BU159" i="28"/>
  <c r="BR159" i="28"/>
  <c r="BO159" i="28"/>
  <c r="BL159" i="28"/>
  <c r="BF159" i="28"/>
  <c r="BC159" i="28"/>
  <c r="AZ159" i="28"/>
  <c r="AW159" i="28"/>
  <c r="AT159" i="28"/>
  <c r="AQ159" i="28"/>
  <c r="AK159" i="28"/>
  <c r="AH159" i="28"/>
  <c r="DQ158" i="28"/>
  <c r="DN158" i="28"/>
  <c r="DK158" i="28"/>
  <c r="DH158" i="28"/>
  <c r="DE158" i="28"/>
  <c r="DB158" i="28"/>
  <c r="CV158" i="28"/>
  <c r="CS158" i="28"/>
  <c r="CP158" i="28"/>
  <c r="CM158" i="28"/>
  <c r="CJ158" i="28"/>
  <c r="CG158" i="28"/>
  <c r="CA158" i="28"/>
  <c r="BX158" i="28"/>
  <c r="BU158" i="28"/>
  <c r="BR158" i="28"/>
  <c r="BO158" i="28"/>
  <c r="BL158" i="28"/>
  <c r="BF158" i="28"/>
  <c r="BC158" i="28"/>
  <c r="AZ158" i="28"/>
  <c r="AW158" i="28"/>
  <c r="AT158" i="28"/>
  <c r="AQ158" i="28"/>
  <c r="AK158" i="28"/>
  <c r="AH158" i="28"/>
  <c r="DQ157" i="28"/>
  <c r="DN157" i="28"/>
  <c r="DK157" i="28"/>
  <c r="DH157" i="28"/>
  <c r="DE157" i="28"/>
  <c r="DB157" i="28"/>
  <c r="CV157" i="28"/>
  <c r="CS157" i="28"/>
  <c r="CP157" i="28"/>
  <c r="CM157" i="28"/>
  <c r="CJ157" i="28"/>
  <c r="CG157" i="28"/>
  <c r="CA157" i="28"/>
  <c r="BX157" i="28"/>
  <c r="BU157" i="28"/>
  <c r="BR157" i="28"/>
  <c r="BO157" i="28"/>
  <c r="BL157" i="28"/>
  <c r="BF157" i="28"/>
  <c r="BC157" i="28"/>
  <c r="AZ157" i="28"/>
  <c r="AW157" i="28"/>
  <c r="AT157" i="28"/>
  <c r="AQ157" i="28"/>
  <c r="AK157" i="28"/>
  <c r="AH157" i="28"/>
  <c r="DQ156" i="28"/>
  <c r="DN156" i="28"/>
  <c r="DK156" i="28"/>
  <c r="DH156" i="28"/>
  <c r="DE156" i="28"/>
  <c r="DB156" i="28"/>
  <c r="CV156" i="28"/>
  <c r="CS156" i="28"/>
  <c r="CP156" i="28"/>
  <c r="CM156" i="28"/>
  <c r="CJ156" i="28"/>
  <c r="CG156" i="28"/>
  <c r="CA156" i="28"/>
  <c r="BX156" i="28"/>
  <c r="BU156" i="28"/>
  <c r="BR156" i="28"/>
  <c r="BO156" i="28"/>
  <c r="BL156" i="28"/>
  <c r="BF156" i="28"/>
  <c r="BC156" i="28"/>
  <c r="AZ156" i="28"/>
  <c r="AW156" i="28"/>
  <c r="AT156" i="28"/>
  <c r="AQ156" i="28"/>
  <c r="AK156" i="28"/>
  <c r="AH156" i="28"/>
  <c r="DQ155" i="28"/>
  <c r="DN155" i="28"/>
  <c r="DK155" i="28"/>
  <c r="DH155" i="28"/>
  <c r="DE155" i="28"/>
  <c r="DB155" i="28"/>
  <c r="CV155" i="28"/>
  <c r="CS155" i="28"/>
  <c r="CP155" i="28"/>
  <c r="CM155" i="28"/>
  <c r="CJ155" i="28"/>
  <c r="CG155" i="28"/>
  <c r="CA155" i="28"/>
  <c r="BX155" i="28"/>
  <c r="BU155" i="28"/>
  <c r="BR155" i="28"/>
  <c r="BO155" i="28"/>
  <c r="BL155" i="28"/>
  <c r="BF155" i="28"/>
  <c r="BC155" i="28"/>
  <c r="AZ155" i="28"/>
  <c r="AW155" i="28"/>
  <c r="AT155" i="28"/>
  <c r="AQ155" i="28"/>
  <c r="AK155" i="28"/>
  <c r="AH155" i="28"/>
  <c r="DQ154" i="28"/>
  <c r="DN154" i="28"/>
  <c r="DK154" i="28"/>
  <c r="DH154" i="28"/>
  <c r="DE154" i="28"/>
  <c r="DB154" i="28"/>
  <c r="CU154" i="28"/>
  <c r="CV154" i="28" s="1"/>
  <c r="CS154" i="28"/>
  <c r="CP154" i="28"/>
  <c r="CM154" i="28"/>
  <c r="CJ154" i="28"/>
  <c r="CG154" i="28"/>
  <c r="CA154" i="28"/>
  <c r="BX154" i="28"/>
  <c r="BU154" i="28"/>
  <c r="BR154" i="28"/>
  <c r="BO154" i="28"/>
  <c r="BL154" i="28"/>
  <c r="BF154" i="28"/>
  <c r="BC154" i="28"/>
  <c r="AZ154" i="28"/>
  <c r="AW154" i="28"/>
  <c r="AT154" i="28"/>
  <c r="AQ154" i="28"/>
  <c r="AK154" i="28"/>
  <c r="AH154" i="28"/>
  <c r="DQ153" i="28"/>
  <c r="DN153" i="28"/>
  <c r="DK153" i="28"/>
  <c r="DH153" i="28"/>
  <c r="DE153" i="28"/>
  <c r="DB153" i="28"/>
  <c r="CV153" i="28"/>
  <c r="CS153" i="28"/>
  <c r="CP153" i="28"/>
  <c r="CM153" i="28"/>
  <c r="CJ153" i="28"/>
  <c r="CG153" i="28"/>
  <c r="CA153" i="28"/>
  <c r="BX153" i="28"/>
  <c r="BU153" i="28"/>
  <c r="BR153" i="28"/>
  <c r="BO153" i="28"/>
  <c r="BL153" i="28"/>
  <c r="BF153" i="28"/>
  <c r="BC153" i="28"/>
  <c r="AZ153" i="28"/>
  <c r="AW153" i="28"/>
  <c r="AT153" i="28"/>
  <c r="AQ153" i="28"/>
  <c r="AK153" i="28"/>
  <c r="AH153" i="28"/>
  <c r="DQ152" i="28"/>
  <c r="DN152" i="28"/>
  <c r="DK152" i="28"/>
  <c r="DH152" i="28"/>
  <c r="DE152" i="28"/>
  <c r="DB152" i="28"/>
  <c r="CV152" i="28"/>
  <c r="CS152" i="28"/>
  <c r="CP152" i="28"/>
  <c r="CM152" i="28"/>
  <c r="CJ152" i="28"/>
  <c r="CG152" i="28"/>
  <c r="CA152" i="28"/>
  <c r="BX152" i="28"/>
  <c r="BU152" i="28"/>
  <c r="BR152" i="28"/>
  <c r="BO152" i="28"/>
  <c r="BL152" i="28"/>
  <c r="BF152" i="28"/>
  <c r="BC152" i="28"/>
  <c r="AZ152" i="28"/>
  <c r="AW152" i="28"/>
  <c r="AT152" i="28"/>
  <c r="AQ152" i="28"/>
  <c r="AK152" i="28"/>
  <c r="AH152" i="28"/>
  <c r="DQ151" i="28"/>
  <c r="DN151" i="28"/>
  <c r="DK151" i="28"/>
  <c r="DH151" i="28"/>
  <c r="DE151" i="28"/>
  <c r="DB151" i="28"/>
  <c r="CV151" i="28"/>
  <c r="CS151" i="28"/>
  <c r="CP151" i="28"/>
  <c r="CM151" i="28"/>
  <c r="CJ151" i="28"/>
  <c r="CG151" i="28"/>
  <c r="CA151" i="28"/>
  <c r="BX151" i="28"/>
  <c r="BU151" i="28"/>
  <c r="BR151" i="28"/>
  <c r="BO151" i="28"/>
  <c r="BL151" i="28"/>
  <c r="BF151" i="28"/>
  <c r="BC151" i="28"/>
  <c r="AZ151" i="28"/>
  <c r="AW151" i="28"/>
  <c r="AT151" i="28"/>
  <c r="AQ151" i="28"/>
  <c r="AK151" i="28"/>
  <c r="AH151" i="28"/>
  <c r="DQ150" i="28"/>
  <c r="DN150" i="28"/>
  <c r="DK150" i="28"/>
  <c r="DH150" i="28"/>
  <c r="DE150" i="28"/>
  <c r="DB150" i="28"/>
  <c r="CV150" i="28"/>
  <c r="CS150" i="28"/>
  <c r="CP150" i="28"/>
  <c r="CM150" i="28"/>
  <c r="CJ150" i="28"/>
  <c r="CG150" i="28"/>
  <c r="CA150" i="28"/>
  <c r="BX150" i="28"/>
  <c r="BU150" i="28"/>
  <c r="BR150" i="28"/>
  <c r="BO150" i="28"/>
  <c r="BL150" i="28"/>
  <c r="BF150" i="28"/>
  <c r="BC150" i="28"/>
  <c r="AZ150" i="28"/>
  <c r="AW150" i="28"/>
  <c r="AT150" i="28"/>
  <c r="AQ150" i="28"/>
  <c r="AK150" i="28"/>
  <c r="AH150" i="28"/>
  <c r="DQ149" i="28"/>
  <c r="DN149" i="28"/>
  <c r="DK149" i="28"/>
  <c r="DH149" i="28"/>
  <c r="DE149" i="28"/>
  <c r="DB149" i="28"/>
  <c r="CV149" i="28"/>
  <c r="CS149" i="28"/>
  <c r="CP149" i="28"/>
  <c r="CM149" i="28"/>
  <c r="CJ149" i="28"/>
  <c r="CG149" i="28"/>
  <c r="CA149" i="28"/>
  <c r="BX149" i="28"/>
  <c r="BU149" i="28"/>
  <c r="BR149" i="28"/>
  <c r="BO149" i="28"/>
  <c r="BL149" i="28"/>
  <c r="BF149" i="28"/>
  <c r="BC149" i="28"/>
  <c r="AZ149" i="28"/>
  <c r="AW149" i="28"/>
  <c r="AT149" i="28"/>
  <c r="AQ149" i="28"/>
  <c r="AK149" i="28"/>
  <c r="AH149" i="28"/>
  <c r="DQ148" i="28"/>
  <c r="DN148" i="28"/>
  <c r="DK148" i="28"/>
  <c r="DH148" i="28"/>
  <c r="DE148" i="28"/>
  <c r="DB148" i="28"/>
  <c r="CV148" i="28"/>
  <c r="CS148" i="28"/>
  <c r="CP148" i="28"/>
  <c r="CM148" i="28"/>
  <c r="CJ148" i="28"/>
  <c r="CG148" i="28"/>
  <c r="CA148" i="28"/>
  <c r="BX148" i="28"/>
  <c r="BU148" i="28"/>
  <c r="BR148" i="28"/>
  <c r="BO148" i="28"/>
  <c r="BL148" i="28"/>
  <c r="BF148" i="28"/>
  <c r="BC148" i="28"/>
  <c r="AZ148" i="28"/>
  <c r="AW148" i="28"/>
  <c r="AT148" i="28"/>
  <c r="AQ148" i="28"/>
  <c r="AK148" i="28"/>
  <c r="AH148" i="28"/>
  <c r="DQ147" i="28"/>
  <c r="DN147" i="28"/>
  <c r="DK147" i="28"/>
  <c r="DH147" i="28"/>
  <c r="DE147" i="28"/>
  <c r="DB147" i="28"/>
  <c r="CV147" i="28"/>
  <c r="CS147" i="28"/>
  <c r="CP147" i="28"/>
  <c r="CM147" i="28"/>
  <c r="CJ147" i="28"/>
  <c r="CG147" i="28"/>
  <c r="CA147" i="28"/>
  <c r="BX147" i="28"/>
  <c r="BU147" i="28"/>
  <c r="BR147" i="28"/>
  <c r="BO147" i="28"/>
  <c r="BL147" i="28"/>
  <c r="BF147" i="28"/>
  <c r="BC147" i="28"/>
  <c r="AZ147" i="28"/>
  <c r="AW147" i="28"/>
  <c r="AT147" i="28"/>
  <c r="AQ147" i="28"/>
  <c r="AK147" i="28"/>
  <c r="AH147" i="28"/>
  <c r="DQ146" i="28"/>
  <c r="DN146" i="28"/>
  <c r="DK146" i="28"/>
  <c r="DH146" i="28"/>
  <c r="DE146" i="28"/>
  <c r="DB146" i="28"/>
  <c r="CV146" i="28"/>
  <c r="CS146" i="28"/>
  <c r="CP146" i="28"/>
  <c r="CM146" i="28"/>
  <c r="CJ146" i="28"/>
  <c r="CG146" i="28"/>
  <c r="CA146" i="28"/>
  <c r="BX146" i="28"/>
  <c r="BU146" i="28"/>
  <c r="BR146" i="28"/>
  <c r="BO146" i="28"/>
  <c r="BL146" i="28"/>
  <c r="BF146" i="28"/>
  <c r="BC146" i="28"/>
  <c r="AZ146" i="28"/>
  <c r="AW146" i="28"/>
  <c r="AT146" i="28"/>
  <c r="AQ146" i="28"/>
  <c r="AK146" i="28"/>
  <c r="AH146" i="28"/>
  <c r="DQ145" i="28"/>
  <c r="DN145" i="28"/>
  <c r="DK145" i="28"/>
  <c r="DH145" i="28"/>
  <c r="DE145" i="28"/>
  <c r="DB145" i="28"/>
  <c r="CV145" i="28"/>
  <c r="CS145" i="28"/>
  <c r="CP145" i="28"/>
  <c r="CM145" i="28"/>
  <c r="CJ145" i="28"/>
  <c r="CG145" i="28"/>
  <c r="CA145" i="28"/>
  <c r="BX145" i="28"/>
  <c r="BU145" i="28"/>
  <c r="BR145" i="28"/>
  <c r="BO145" i="28"/>
  <c r="BL145" i="28"/>
  <c r="BF145" i="28"/>
  <c r="BC145" i="28"/>
  <c r="AZ145" i="28"/>
  <c r="AW145" i="28"/>
  <c r="AT145" i="28"/>
  <c r="AQ145" i="28"/>
  <c r="AK145" i="28"/>
  <c r="AH145" i="28"/>
  <c r="DQ144" i="28"/>
  <c r="DN144" i="28"/>
  <c r="DK144" i="28"/>
  <c r="DH144" i="28"/>
  <c r="DE144" i="28"/>
  <c r="DB144" i="28"/>
  <c r="CV144" i="28"/>
  <c r="CS144" i="28"/>
  <c r="CP144" i="28"/>
  <c r="CM144" i="28"/>
  <c r="CJ144" i="28"/>
  <c r="CG144" i="28"/>
  <c r="CA144" i="28"/>
  <c r="BX144" i="28"/>
  <c r="BU144" i="28"/>
  <c r="BR144" i="28"/>
  <c r="BO144" i="28"/>
  <c r="BL144" i="28"/>
  <c r="BF144" i="28"/>
  <c r="BC144" i="28"/>
  <c r="AZ144" i="28"/>
  <c r="AW144" i="28"/>
  <c r="AT144" i="28"/>
  <c r="AQ144" i="28"/>
  <c r="AK144" i="28"/>
  <c r="AH144" i="28"/>
  <c r="DQ143" i="28"/>
  <c r="DN143" i="28"/>
  <c r="DK143" i="28"/>
  <c r="DH143" i="28"/>
  <c r="DE143" i="28"/>
  <c r="DB143" i="28"/>
  <c r="CV143" i="28"/>
  <c r="CS143" i="28"/>
  <c r="CP143" i="28"/>
  <c r="CM143" i="28"/>
  <c r="CJ143" i="28"/>
  <c r="CG143" i="28"/>
  <c r="CA143" i="28"/>
  <c r="BX143" i="28"/>
  <c r="BU143" i="28"/>
  <c r="BR143" i="28"/>
  <c r="BO143" i="28"/>
  <c r="BL143" i="28"/>
  <c r="BF143" i="28"/>
  <c r="BC143" i="28"/>
  <c r="AZ143" i="28"/>
  <c r="AW143" i="28"/>
  <c r="AT143" i="28"/>
  <c r="AQ143" i="28"/>
  <c r="AK143" i="28"/>
  <c r="AH143" i="28"/>
  <c r="DQ142" i="28"/>
  <c r="DN142" i="28"/>
  <c r="DK142" i="28"/>
  <c r="DH142" i="28"/>
  <c r="DE142" i="28"/>
  <c r="DB142" i="28"/>
  <c r="CV142" i="28"/>
  <c r="CS142" i="28"/>
  <c r="CP142" i="28"/>
  <c r="CM142" i="28"/>
  <c r="CJ142" i="28"/>
  <c r="CG142" i="28"/>
  <c r="CA142" i="28"/>
  <c r="BX142" i="28"/>
  <c r="BU142" i="28"/>
  <c r="BR142" i="28"/>
  <c r="BO142" i="28"/>
  <c r="BL142" i="28"/>
  <c r="BF142" i="28"/>
  <c r="BC142" i="28"/>
  <c r="AZ142" i="28"/>
  <c r="AW142" i="28"/>
  <c r="AT142" i="28"/>
  <c r="AQ142" i="28"/>
  <c r="AK142" i="28"/>
  <c r="AH142" i="28"/>
  <c r="DQ141" i="28"/>
  <c r="DN141" i="28"/>
  <c r="DK141" i="28"/>
  <c r="DH141" i="28"/>
  <c r="DE141" i="28"/>
  <c r="DB141" i="28"/>
  <c r="CV141" i="28"/>
  <c r="CS141" i="28"/>
  <c r="CP141" i="28"/>
  <c r="CM141" i="28"/>
  <c r="CJ141" i="28"/>
  <c r="CG141" i="28"/>
  <c r="CA141" i="28"/>
  <c r="BX141" i="28"/>
  <c r="BU141" i="28"/>
  <c r="BR141" i="28"/>
  <c r="BO141" i="28"/>
  <c r="BL141" i="28"/>
  <c r="BF141" i="28"/>
  <c r="BC141" i="28"/>
  <c r="AZ141" i="28"/>
  <c r="AW141" i="28"/>
  <c r="AT141" i="28"/>
  <c r="AQ141" i="28"/>
  <c r="AK141" i="28"/>
  <c r="AH141" i="28"/>
  <c r="DQ140" i="28"/>
  <c r="DN140" i="28"/>
  <c r="DK140" i="28"/>
  <c r="DH140" i="28"/>
  <c r="DE140" i="28"/>
  <c r="DB140" i="28"/>
  <c r="CV140" i="28"/>
  <c r="CS140" i="28"/>
  <c r="CP140" i="28"/>
  <c r="CM140" i="28"/>
  <c r="CJ140" i="28"/>
  <c r="CG140" i="28"/>
  <c r="CA140" i="28"/>
  <c r="BX140" i="28"/>
  <c r="BU140" i="28"/>
  <c r="BR140" i="28"/>
  <c r="BO140" i="28"/>
  <c r="BL140" i="28"/>
  <c r="BF140" i="28"/>
  <c r="BC140" i="28"/>
  <c r="AZ140" i="28"/>
  <c r="AW140" i="28"/>
  <c r="AT140" i="28"/>
  <c r="AQ140" i="28"/>
  <c r="AK140" i="28"/>
  <c r="AH140" i="28"/>
  <c r="DQ139" i="28"/>
  <c r="DN139" i="28"/>
  <c r="DK139" i="28"/>
  <c r="DH139" i="28"/>
  <c r="DE139" i="28"/>
  <c r="DB139" i="28"/>
  <c r="CV139" i="28"/>
  <c r="CS139" i="28"/>
  <c r="CP139" i="28"/>
  <c r="CM139" i="28"/>
  <c r="CJ139" i="28"/>
  <c r="CG139" i="28"/>
  <c r="CA139" i="28"/>
  <c r="BX139" i="28"/>
  <c r="BU139" i="28"/>
  <c r="BR139" i="28"/>
  <c r="BO139" i="28"/>
  <c r="BL139" i="28"/>
  <c r="BF139" i="28"/>
  <c r="BC139" i="28"/>
  <c r="AZ139" i="28"/>
  <c r="AW139" i="28"/>
  <c r="AT139" i="28"/>
  <c r="AQ139" i="28"/>
  <c r="AK139" i="28"/>
  <c r="AH139" i="28"/>
  <c r="DQ138" i="28"/>
  <c r="DN138" i="28"/>
  <c r="DK138" i="28"/>
  <c r="DH138" i="28"/>
  <c r="DE138" i="28"/>
  <c r="DB138" i="28"/>
  <c r="CV138" i="28"/>
  <c r="CS138" i="28"/>
  <c r="CP138" i="28"/>
  <c r="CM138" i="28"/>
  <c r="CJ138" i="28"/>
  <c r="CG138" i="28"/>
  <c r="CA138" i="28"/>
  <c r="BX138" i="28"/>
  <c r="BU138" i="28"/>
  <c r="BR138" i="28"/>
  <c r="BO138" i="28"/>
  <c r="BL138" i="28"/>
  <c r="BF138" i="28"/>
  <c r="BC138" i="28"/>
  <c r="AZ138" i="28"/>
  <c r="AW138" i="28"/>
  <c r="AT138" i="28"/>
  <c r="AQ138" i="28"/>
  <c r="AK138" i="28"/>
  <c r="AH138" i="28"/>
  <c r="DQ137" i="28"/>
  <c r="DN137" i="28"/>
  <c r="DK137" i="28"/>
  <c r="DH137" i="28"/>
  <c r="DE137" i="28"/>
  <c r="DB137" i="28"/>
  <c r="CV137" i="28"/>
  <c r="CS137" i="28"/>
  <c r="CP137" i="28"/>
  <c r="CM137" i="28"/>
  <c r="CJ137" i="28"/>
  <c r="CG137" i="28"/>
  <c r="CA137" i="28"/>
  <c r="BX137" i="28"/>
  <c r="BU137" i="28"/>
  <c r="BR137" i="28"/>
  <c r="BO137" i="28"/>
  <c r="BL137" i="28"/>
  <c r="BF137" i="28"/>
  <c r="BC137" i="28"/>
  <c r="AZ137" i="28"/>
  <c r="AW137" i="28"/>
  <c r="AT137" i="28"/>
  <c r="AQ137" i="28"/>
  <c r="AK137" i="28"/>
  <c r="AH137" i="28"/>
  <c r="DQ136" i="28"/>
  <c r="DN136" i="28"/>
  <c r="DK136" i="28"/>
  <c r="DH136" i="28"/>
  <c r="DE136" i="28"/>
  <c r="DB136" i="28"/>
  <c r="CV136" i="28"/>
  <c r="CS136" i="28"/>
  <c r="CP136" i="28"/>
  <c r="CM136" i="28"/>
  <c r="CJ136" i="28"/>
  <c r="CG136" i="28"/>
  <c r="CA136" i="28"/>
  <c r="BX136" i="28"/>
  <c r="BU136" i="28"/>
  <c r="BR136" i="28"/>
  <c r="BO136" i="28"/>
  <c r="BL136" i="28"/>
  <c r="BF136" i="28"/>
  <c r="BC136" i="28"/>
  <c r="AZ136" i="28"/>
  <c r="AW136" i="28"/>
  <c r="AT136" i="28"/>
  <c r="AQ136" i="28"/>
  <c r="AK136" i="28"/>
  <c r="AH136" i="28"/>
  <c r="DQ135" i="28"/>
  <c r="DN135" i="28"/>
  <c r="DK135" i="28"/>
  <c r="DH135" i="28"/>
  <c r="DE135" i="28"/>
  <c r="DB135" i="28"/>
  <c r="CV135" i="28"/>
  <c r="CS135" i="28"/>
  <c r="CP135" i="28"/>
  <c r="CM135" i="28"/>
  <c r="CJ135" i="28"/>
  <c r="CG135" i="28"/>
  <c r="CA135" i="28"/>
  <c r="BX135" i="28"/>
  <c r="BU135" i="28"/>
  <c r="BR135" i="28"/>
  <c r="BO135" i="28"/>
  <c r="BL135" i="28"/>
  <c r="BF135" i="28"/>
  <c r="BC135" i="28"/>
  <c r="AZ135" i="28"/>
  <c r="AW135" i="28"/>
  <c r="AT135" i="28"/>
  <c r="AQ135" i="28"/>
  <c r="AK135" i="28"/>
  <c r="AH135" i="28"/>
  <c r="DQ134" i="28"/>
  <c r="DN134" i="28"/>
  <c r="DK134" i="28"/>
  <c r="DH134" i="28"/>
  <c r="DE134" i="28"/>
  <c r="DB134" i="28"/>
  <c r="CV134" i="28"/>
  <c r="CS134" i="28"/>
  <c r="CP134" i="28"/>
  <c r="CM134" i="28"/>
  <c r="CJ134" i="28"/>
  <c r="CG134" i="28"/>
  <c r="CA134" i="28"/>
  <c r="BX134" i="28"/>
  <c r="BU134" i="28"/>
  <c r="BR134" i="28"/>
  <c r="BO134" i="28"/>
  <c r="BL134" i="28"/>
  <c r="BF134" i="28"/>
  <c r="BC134" i="28"/>
  <c r="AZ134" i="28"/>
  <c r="AW134" i="28"/>
  <c r="AT134" i="28"/>
  <c r="AQ134" i="28"/>
  <c r="AK134" i="28"/>
  <c r="AH134" i="28"/>
  <c r="DQ133" i="28"/>
  <c r="DN133" i="28"/>
  <c r="DK133" i="28"/>
  <c r="DH133" i="28"/>
  <c r="DE133" i="28"/>
  <c r="DB133" i="28"/>
  <c r="CV133" i="28"/>
  <c r="CS133" i="28"/>
  <c r="CP133" i="28"/>
  <c r="CM133" i="28"/>
  <c r="CJ133" i="28"/>
  <c r="CG133" i="28"/>
  <c r="CA133" i="28"/>
  <c r="BX133" i="28"/>
  <c r="BU133" i="28"/>
  <c r="BR133" i="28"/>
  <c r="BO133" i="28"/>
  <c r="BL133" i="28"/>
  <c r="BF133" i="28"/>
  <c r="BC133" i="28"/>
  <c r="AZ133" i="28"/>
  <c r="AW133" i="28"/>
  <c r="AT133" i="28"/>
  <c r="AQ133" i="28"/>
  <c r="AK133" i="28"/>
  <c r="AH133" i="28"/>
  <c r="DQ132" i="28"/>
  <c r="DN132" i="28"/>
  <c r="DK132" i="28"/>
  <c r="DH132" i="28"/>
  <c r="DE132" i="28"/>
  <c r="DB132" i="28"/>
  <c r="CV132" i="28"/>
  <c r="CS132" i="28"/>
  <c r="CP132" i="28"/>
  <c r="CM132" i="28"/>
  <c r="CJ132" i="28"/>
  <c r="CG132" i="28"/>
  <c r="CA132" i="28"/>
  <c r="BX132" i="28"/>
  <c r="BU132" i="28"/>
  <c r="BR132" i="28"/>
  <c r="BO132" i="28"/>
  <c r="BL132" i="28"/>
  <c r="BF132" i="28"/>
  <c r="BC132" i="28"/>
  <c r="AZ132" i="28"/>
  <c r="AW132" i="28"/>
  <c r="AT132" i="28"/>
  <c r="AQ132" i="28"/>
  <c r="AK132" i="28"/>
  <c r="AH132" i="28"/>
  <c r="DQ131" i="28"/>
  <c r="DN131" i="28"/>
  <c r="DK131" i="28"/>
  <c r="DH131" i="28"/>
  <c r="DE131" i="28"/>
  <c r="DB131" i="28"/>
  <c r="CV131" i="28"/>
  <c r="CS131" i="28"/>
  <c r="CP131" i="28"/>
  <c r="CM131" i="28"/>
  <c r="CJ131" i="28"/>
  <c r="CG131" i="28"/>
  <c r="CA131" i="28"/>
  <c r="BX131" i="28"/>
  <c r="BU131" i="28"/>
  <c r="BR131" i="28"/>
  <c r="BO131" i="28"/>
  <c r="BL131" i="28"/>
  <c r="BF131" i="28"/>
  <c r="BC131" i="28"/>
  <c r="AZ131" i="28"/>
  <c r="AW131" i="28"/>
  <c r="AT131" i="28"/>
  <c r="AQ131" i="28"/>
  <c r="AK131" i="28"/>
  <c r="AG131" i="28"/>
  <c r="AH131" i="28" s="1"/>
  <c r="DQ130" i="28"/>
  <c r="DN130" i="28"/>
  <c r="DK130" i="28"/>
  <c r="DH130" i="28"/>
  <c r="DE130" i="28"/>
  <c r="DB130" i="28"/>
  <c r="CV130" i="28"/>
  <c r="CS130" i="28"/>
  <c r="CP130" i="28"/>
  <c r="CM130" i="28"/>
  <c r="CJ130" i="28"/>
  <c r="CG130" i="28"/>
  <c r="CA130" i="28"/>
  <c r="BX130" i="28"/>
  <c r="BU130" i="28"/>
  <c r="BR130" i="28"/>
  <c r="BO130" i="28"/>
  <c r="BL130" i="28"/>
  <c r="BF130" i="28"/>
  <c r="BC130" i="28"/>
  <c r="AZ130" i="28"/>
  <c r="AW130" i="28"/>
  <c r="AR130" i="28"/>
  <c r="AT130" i="28" s="1"/>
  <c r="AQ130" i="28"/>
  <c r="AK130" i="28"/>
  <c r="AH130" i="28"/>
  <c r="DQ129" i="28"/>
  <c r="DN129" i="28"/>
  <c r="DK129" i="28"/>
  <c r="DH129" i="28"/>
  <c r="DE129" i="28"/>
  <c r="DB129" i="28"/>
  <c r="CV129" i="28"/>
  <c r="CS129" i="28"/>
  <c r="CP129" i="28"/>
  <c r="CM129" i="28"/>
  <c r="CJ129" i="28"/>
  <c r="CG129" i="28"/>
  <c r="CA129" i="28"/>
  <c r="BX129" i="28"/>
  <c r="BU129" i="28"/>
  <c r="BR129" i="28"/>
  <c r="BO129" i="28"/>
  <c r="BL129" i="28"/>
  <c r="BD129" i="28"/>
  <c r="BA129" i="28"/>
  <c r="BF129" i="28" s="1"/>
  <c r="AX129" i="28"/>
  <c r="AZ129" i="28" s="1"/>
  <c r="AW129" i="28"/>
  <c r="AT129" i="28"/>
  <c r="AQ129" i="28"/>
  <c r="AK129" i="28"/>
  <c r="AH129" i="28"/>
  <c r="DQ128" i="28"/>
  <c r="DN128" i="28"/>
  <c r="DK128" i="28"/>
  <c r="DH128" i="28"/>
  <c r="DE128" i="28"/>
  <c r="DB128" i="28"/>
  <c r="CV128" i="28"/>
  <c r="CS128" i="28"/>
  <c r="CP128" i="28"/>
  <c r="CM128" i="28"/>
  <c r="CJ128" i="28"/>
  <c r="CG128" i="28"/>
  <c r="CA128" i="28"/>
  <c r="BX128" i="28"/>
  <c r="BU128" i="28"/>
  <c r="BR128" i="28"/>
  <c r="BO128" i="28"/>
  <c r="BL128" i="28"/>
  <c r="BF128" i="28"/>
  <c r="BC128" i="28"/>
  <c r="AZ128" i="28"/>
  <c r="AW128" i="28"/>
  <c r="AT128" i="28"/>
  <c r="AQ128" i="28"/>
  <c r="AK128" i="28"/>
  <c r="AH128" i="28"/>
  <c r="DQ127" i="28"/>
  <c r="DN127" i="28"/>
  <c r="DK127" i="28"/>
  <c r="DH127" i="28"/>
  <c r="DE127" i="28"/>
  <c r="DB127" i="28"/>
  <c r="CV127" i="28"/>
  <c r="CS127" i="28"/>
  <c r="CP127" i="28"/>
  <c r="CM127" i="28"/>
  <c r="CJ127" i="28"/>
  <c r="CG127" i="28"/>
  <c r="CA127" i="28"/>
  <c r="BX127" i="28"/>
  <c r="BU127" i="28"/>
  <c r="BR127" i="28"/>
  <c r="BO127" i="28"/>
  <c r="BL127" i="28"/>
  <c r="BF127" i="28"/>
  <c r="BC127" i="28"/>
  <c r="AZ127" i="28"/>
  <c r="AW127" i="28"/>
  <c r="AT127" i="28"/>
  <c r="AQ127" i="28"/>
  <c r="AK127" i="28"/>
  <c r="AH127" i="28"/>
  <c r="DQ126" i="28"/>
  <c r="DN126" i="28"/>
  <c r="DK126" i="28"/>
  <c r="DH126" i="28"/>
  <c r="DE126" i="28"/>
  <c r="DB126" i="28"/>
  <c r="CV126" i="28"/>
  <c r="CS126" i="28"/>
  <c r="CP126" i="28"/>
  <c r="CM126" i="28"/>
  <c r="CJ126" i="28"/>
  <c r="CG126" i="28"/>
  <c r="CA126" i="28"/>
  <c r="BX126" i="28"/>
  <c r="BU126" i="28"/>
  <c r="BR126" i="28"/>
  <c r="BO126" i="28"/>
  <c r="BL126" i="28"/>
  <c r="BF126" i="28"/>
  <c r="BC126" i="28"/>
  <c r="AZ126" i="28"/>
  <c r="AW126" i="28"/>
  <c r="AT126" i="28"/>
  <c r="AQ126" i="28"/>
  <c r="AK126" i="28"/>
  <c r="AH126" i="28"/>
  <c r="DQ125" i="28"/>
  <c r="DN125" i="28"/>
  <c r="DK125" i="28"/>
  <c r="DH125" i="28"/>
  <c r="DE125" i="28"/>
  <c r="DB125" i="28"/>
  <c r="CV125" i="28"/>
  <c r="CS125" i="28"/>
  <c r="CP125" i="28"/>
  <c r="CM125" i="28"/>
  <c r="CJ125" i="28"/>
  <c r="CG125" i="28"/>
  <c r="CA125" i="28"/>
  <c r="BX125" i="28"/>
  <c r="BU125" i="28"/>
  <c r="BR125" i="28"/>
  <c r="BO125" i="28"/>
  <c r="BL125" i="28"/>
  <c r="BF125" i="28"/>
  <c r="BC125" i="28"/>
  <c r="AZ125" i="28"/>
  <c r="AW125" i="28"/>
  <c r="AT125" i="28"/>
  <c r="AQ125" i="28"/>
  <c r="AK125" i="28"/>
  <c r="AH125" i="28"/>
  <c r="DQ124" i="28"/>
  <c r="DN124" i="28"/>
  <c r="DK124" i="28"/>
  <c r="DH124" i="28"/>
  <c r="DE124" i="28"/>
  <c r="DB124" i="28"/>
  <c r="CV124" i="28"/>
  <c r="CS124" i="28"/>
  <c r="CP124" i="28"/>
  <c r="CM124" i="28"/>
  <c r="CJ124" i="28"/>
  <c r="CG124" i="28"/>
  <c r="CA124" i="28"/>
  <c r="BX124" i="28"/>
  <c r="BU124" i="28"/>
  <c r="BR124" i="28"/>
  <c r="BO124" i="28"/>
  <c r="BL124" i="28"/>
  <c r="BF124" i="28"/>
  <c r="BC124" i="28"/>
  <c r="AZ124" i="28"/>
  <c r="AW124" i="28"/>
  <c r="AT124" i="28"/>
  <c r="AQ124" i="28"/>
  <c r="AK124" i="28"/>
  <c r="AH124" i="28"/>
  <c r="DQ123" i="28"/>
  <c r="DN123" i="28"/>
  <c r="DK123" i="28"/>
  <c r="DH123" i="28"/>
  <c r="DE123" i="28"/>
  <c r="DB123" i="28"/>
  <c r="CV123" i="28"/>
  <c r="CS123" i="28"/>
  <c r="CP123" i="28"/>
  <c r="CM123" i="28"/>
  <c r="CJ123" i="28"/>
  <c r="CG123" i="28"/>
  <c r="CA123" i="28"/>
  <c r="BX123" i="28"/>
  <c r="BU123" i="28"/>
  <c r="BR123" i="28"/>
  <c r="BO123" i="28"/>
  <c r="BL123" i="28"/>
  <c r="BF123" i="28"/>
  <c r="BC123" i="28"/>
  <c r="AZ123" i="28"/>
  <c r="AW123" i="28"/>
  <c r="AT123" i="28"/>
  <c r="AQ123" i="28"/>
  <c r="AK123" i="28"/>
  <c r="AH123" i="28"/>
  <c r="DQ122" i="28"/>
  <c r="DN122" i="28"/>
  <c r="DK122" i="28"/>
  <c r="DH122" i="28"/>
  <c r="DE122" i="28"/>
  <c r="DB122" i="28"/>
  <c r="CV122" i="28"/>
  <c r="CS122" i="28"/>
  <c r="CP122" i="28"/>
  <c r="CM122" i="28"/>
  <c r="CJ122" i="28"/>
  <c r="CG122" i="28"/>
  <c r="CA122" i="28"/>
  <c r="BX122" i="28"/>
  <c r="BU122" i="28"/>
  <c r="BR122" i="28"/>
  <c r="BO122" i="28"/>
  <c r="BL122" i="28"/>
  <c r="BF122" i="28"/>
  <c r="BC122" i="28"/>
  <c r="AZ122" i="28"/>
  <c r="AW122" i="28"/>
  <c r="AT122" i="28"/>
  <c r="AQ122" i="28"/>
  <c r="AK122" i="28"/>
  <c r="AH122" i="28"/>
  <c r="DQ121" i="28"/>
  <c r="DN121" i="28"/>
  <c r="DK121" i="28"/>
  <c r="DH121" i="28"/>
  <c r="DE121" i="28"/>
  <c r="DB121" i="28"/>
  <c r="CV121" i="28"/>
  <c r="CS121" i="28"/>
  <c r="CP121" i="28"/>
  <c r="CM121" i="28"/>
  <c r="CJ121" i="28"/>
  <c r="CG121" i="28"/>
  <c r="CA121" i="28"/>
  <c r="BX121" i="28"/>
  <c r="BU121" i="28"/>
  <c r="BR121" i="28"/>
  <c r="BO121" i="28"/>
  <c r="BL121" i="28"/>
  <c r="BF121" i="28"/>
  <c r="BC121" i="28"/>
  <c r="AZ121" i="28"/>
  <c r="AW121" i="28"/>
  <c r="AT121" i="28"/>
  <c r="AQ121" i="28"/>
  <c r="AK121" i="28"/>
  <c r="AH121" i="28"/>
  <c r="DQ120" i="28"/>
  <c r="DN120" i="28"/>
  <c r="DK120" i="28"/>
  <c r="DH120" i="28"/>
  <c r="DE120" i="28"/>
  <c r="DB120" i="28"/>
  <c r="CV120" i="28"/>
  <c r="CS120" i="28"/>
  <c r="CP120" i="28"/>
  <c r="CM120" i="28"/>
  <c r="CJ120" i="28"/>
  <c r="CG120" i="28"/>
  <c r="CA120" i="28"/>
  <c r="BX120" i="28"/>
  <c r="BU120" i="28"/>
  <c r="BR120" i="28"/>
  <c r="BO120" i="28"/>
  <c r="BL120" i="28"/>
  <c r="BF120" i="28"/>
  <c r="BC120" i="28"/>
  <c r="AZ120" i="28"/>
  <c r="AW120" i="28"/>
  <c r="AT120" i="28"/>
  <c r="AQ120" i="28"/>
  <c r="AK120" i="28"/>
  <c r="AH120" i="28"/>
  <c r="DQ119" i="28"/>
  <c r="DN119" i="28"/>
  <c r="DK119" i="28"/>
  <c r="DH119" i="28"/>
  <c r="DE119" i="28"/>
  <c r="DB119" i="28"/>
  <c r="CV119" i="28"/>
  <c r="CS119" i="28"/>
  <c r="CP119" i="28"/>
  <c r="CM119" i="28"/>
  <c r="CJ119" i="28"/>
  <c r="CG119" i="28"/>
  <c r="CA119" i="28"/>
  <c r="BX119" i="28"/>
  <c r="BU119" i="28"/>
  <c r="BR119" i="28"/>
  <c r="BO119" i="28"/>
  <c r="BL119" i="28"/>
  <c r="BF119" i="28"/>
  <c r="BC119" i="28"/>
  <c r="AZ119" i="28"/>
  <c r="AW119" i="28"/>
  <c r="AT119" i="28"/>
  <c r="AQ119" i="28"/>
  <c r="AK119" i="28"/>
  <c r="AH119" i="28"/>
  <c r="DQ118" i="28"/>
  <c r="DN118" i="28"/>
  <c r="DK118" i="28"/>
  <c r="DH118" i="28"/>
  <c r="DE118" i="28"/>
  <c r="DB118" i="28"/>
  <c r="CV118" i="28"/>
  <c r="CS118" i="28"/>
  <c r="CP118" i="28"/>
  <c r="CM118" i="28"/>
  <c r="CJ118" i="28"/>
  <c r="CG118" i="28"/>
  <c r="CA118" i="28"/>
  <c r="BX118" i="28"/>
  <c r="BU118" i="28"/>
  <c r="BR118" i="28"/>
  <c r="BO118" i="28"/>
  <c r="BL118" i="28"/>
  <c r="BF118" i="28"/>
  <c r="BC118" i="28"/>
  <c r="AZ118" i="28"/>
  <c r="AW118" i="28"/>
  <c r="AT118" i="28"/>
  <c r="AQ118" i="28"/>
  <c r="AK118" i="28"/>
  <c r="AH118" i="28"/>
  <c r="DQ117" i="28"/>
  <c r="DN117" i="28"/>
  <c r="DK117" i="28"/>
  <c r="DH117" i="28"/>
  <c r="DE117" i="28"/>
  <c r="DB117" i="28"/>
  <c r="CV117" i="28"/>
  <c r="CS117" i="28"/>
  <c r="CP117" i="28"/>
  <c r="CM117" i="28"/>
  <c r="CJ117" i="28"/>
  <c r="CG117" i="28"/>
  <c r="CA117" i="28"/>
  <c r="BX117" i="28"/>
  <c r="BU117" i="28"/>
  <c r="BR117" i="28"/>
  <c r="BO117" i="28"/>
  <c r="BL117" i="28"/>
  <c r="BF117" i="28"/>
  <c r="BC117" i="28"/>
  <c r="AZ117" i="28"/>
  <c r="AW117" i="28"/>
  <c r="AT117" i="28"/>
  <c r="AQ117" i="28"/>
  <c r="AK117" i="28"/>
  <c r="AH117" i="28"/>
  <c r="DQ116" i="28"/>
  <c r="DN116" i="28"/>
  <c r="DK116" i="28"/>
  <c r="DH116" i="28"/>
  <c r="DE116" i="28"/>
  <c r="DB116" i="28"/>
  <c r="CV116" i="28"/>
  <c r="CS116" i="28"/>
  <c r="CP116" i="28"/>
  <c r="CM116" i="28"/>
  <c r="CJ116" i="28"/>
  <c r="CG116" i="28"/>
  <c r="CA116" i="28"/>
  <c r="BX116" i="28"/>
  <c r="BU116" i="28"/>
  <c r="BR116" i="28"/>
  <c r="BO116" i="28"/>
  <c r="BL116" i="28"/>
  <c r="BF116" i="28"/>
  <c r="BC116" i="28"/>
  <c r="AZ116" i="28"/>
  <c r="AW116" i="28"/>
  <c r="AT116" i="28"/>
  <c r="AQ116" i="28"/>
  <c r="AK116" i="28"/>
  <c r="AH116" i="28"/>
  <c r="DQ115" i="28"/>
  <c r="DN115" i="28"/>
  <c r="DK115" i="28"/>
  <c r="DC115" i="28"/>
  <c r="DH115" i="28" s="1"/>
  <c r="DB115" i="28"/>
  <c r="CV115" i="28"/>
  <c r="CS115" i="28"/>
  <c r="CP115" i="28"/>
  <c r="CM115" i="28"/>
  <c r="CJ115" i="28"/>
  <c r="CG115" i="28"/>
  <c r="CA115" i="28"/>
  <c r="BX115" i="28"/>
  <c r="BU115" i="28"/>
  <c r="BR115" i="28"/>
  <c r="BO115" i="28"/>
  <c r="BL115" i="28"/>
  <c r="BF115" i="28"/>
  <c r="BC115" i="28"/>
  <c r="AZ115" i="28"/>
  <c r="AW115" i="28"/>
  <c r="AT115" i="28"/>
  <c r="AQ115" i="28"/>
  <c r="AK115" i="28"/>
  <c r="AH115" i="28"/>
  <c r="DQ114" i="28"/>
  <c r="DN114" i="28"/>
  <c r="DK114" i="28"/>
  <c r="DH114" i="28"/>
  <c r="DE114" i="28"/>
  <c r="DB114" i="28"/>
  <c r="CV114" i="28"/>
  <c r="CS114" i="28"/>
  <c r="CP114" i="28"/>
  <c r="CM114" i="28"/>
  <c r="CJ114" i="28"/>
  <c r="CG114" i="28"/>
  <c r="CA114" i="28"/>
  <c r="BX114" i="28"/>
  <c r="BU114" i="28"/>
  <c r="BR114" i="28"/>
  <c r="BO114" i="28"/>
  <c r="BL114" i="28"/>
  <c r="BF114" i="28"/>
  <c r="BC114" i="28"/>
  <c r="AZ114" i="28"/>
  <c r="AW114" i="28"/>
  <c r="AT114" i="28"/>
  <c r="AQ114" i="28"/>
  <c r="AK114" i="28"/>
  <c r="AH114" i="28"/>
  <c r="DQ113" i="28"/>
  <c r="DN113" i="28"/>
  <c r="DK113" i="28"/>
  <c r="DH113" i="28"/>
  <c r="DE113" i="28"/>
  <c r="DB113" i="28"/>
  <c r="CV113" i="28"/>
  <c r="CS113" i="28"/>
  <c r="CP113" i="28"/>
  <c r="CM113" i="28"/>
  <c r="CJ113" i="28"/>
  <c r="CG113" i="28"/>
  <c r="CA113" i="28"/>
  <c r="BX113" i="28"/>
  <c r="BU113" i="28"/>
  <c r="BR113" i="28"/>
  <c r="BO113" i="28"/>
  <c r="BL113" i="28"/>
  <c r="BF113" i="28"/>
  <c r="BC113" i="28"/>
  <c r="AZ113" i="28"/>
  <c r="AW113" i="28"/>
  <c r="AT113" i="28"/>
  <c r="AQ113" i="28"/>
  <c r="AK113" i="28"/>
  <c r="AH113" i="28"/>
  <c r="DQ112" i="28"/>
  <c r="DN112" i="28"/>
  <c r="DK112" i="28"/>
  <c r="DH112" i="28"/>
  <c r="DE112" i="28"/>
  <c r="DB112" i="28"/>
  <c r="CV112" i="28"/>
  <c r="CS112" i="28"/>
  <c r="CP112" i="28"/>
  <c r="CM112" i="28"/>
  <c r="CJ112" i="28"/>
  <c r="CG112" i="28"/>
  <c r="CA112" i="28"/>
  <c r="BX112" i="28"/>
  <c r="BU112" i="28"/>
  <c r="BR112" i="28"/>
  <c r="BO112" i="28"/>
  <c r="BL112" i="28"/>
  <c r="BF112" i="28"/>
  <c r="BC112" i="28"/>
  <c r="AZ112" i="28"/>
  <c r="AW112" i="28"/>
  <c r="AT112" i="28"/>
  <c r="AQ112" i="28"/>
  <c r="AK112" i="28"/>
  <c r="AH112" i="28"/>
  <c r="DQ111" i="28"/>
  <c r="DN111" i="28"/>
  <c r="DK111" i="28"/>
  <c r="DH111" i="28"/>
  <c r="DE111" i="28"/>
  <c r="DB111" i="28"/>
  <c r="CV111" i="28"/>
  <c r="CS111" i="28"/>
  <c r="CP111" i="28"/>
  <c r="CM111" i="28"/>
  <c r="CJ111" i="28"/>
  <c r="CG111" i="28"/>
  <c r="CA111" i="28"/>
  <c r="BX111" i="28"/>
  <c r="BU111" i="28"/>
  <c r="BR111" i="28"/>
  <c r="BO111" i="28"/>
  <c r="BL111" i="28"/>
  <c r="BF111" i="28"/>
  <c r="BC111" i="28"/>
  <c r="AZ111" i="28"/>
  <c r="AW111" i="28"/>
  <c r="AT111" i="28"/>
  <c r="AQ111" i="28"/>
  <c r="AK111" i="28"/>
  <c r="AH111" i="28"/>
  <c r="DQ110" i="28"/>
  <c r="DN110" i="28"/>
  <c r="DK110" i="28"/>
  <c r="DH110" i="28"/>
  <c r="DE110" i="28"/>
  <c r="DB110" i="28"/>
  <c r="CV110" i="28"/>
  <c r="CS110" i="28"/>
  <c r="CP110" i="28"/>
  <c r="CM110" i="28"/>
  <c r="CJ110" i="28"/>
  <c r="CG110" i="28"/>
  <c r="CA110" i="28"/>
  <c r="BX110" i="28"/>
  <c r="BU110" i="28"/>
  <c r="BR110" i="28"/>
  <c r="BO110" i="28"/>
  <c r="BL110" i="28"/>
  <c r="BF110" i="28"/>
  <c r="BC110" i="28"/>
  <c r="AZ110" i="28"/>
  <c r="AW110" i="28"/>
  <c r="AT110" i="28"/>
  <c r="AQ110" i="28"/>
  <c r="AK110" i="28"/>
  <c r="AH110" i="28"/>
  <c r="DQ109" i="28"/>
  <c r="DN109" i="28"/>
  <c r="DK109" i="28"/>
  <c r="DH109" i="28"/>
  <c r="DE109" i="28"/>
  <c r="DB109" i="28"/>
  <c r="CV109" i="28"/>
  <c r="CS109" i="28"/>
  <c r="CP109" i="28"/>
  <c r="CM109" i="28"/>
  <c r="CJ109" i="28"/>
  <c r="CG109" i="28"/>
  <c r="CA109" i="28"/>
  <c r="BX109" i="28"/>
  <c r="BU109" i="28"/>
  <c r="BR109" i="28"/>
  <c r="BO109" i="28"/>
  <c r="BL109" i="28"/>
  <c r="BK109" i="28"/>
  <c r="BK267" i="28" s="1"/>
  <c r="BF109" i="28"/>
  <c r="BC109" i="28"/>
  <c r="AZ109" i="28"/>
  <c r="AW109" i="28"/>
  <c r="AT109" i="28"/>
  <c r="AQ109" i="28"/>
  <c r="AK109" i="28"/>
  <c r="AH109" i="28"/>
  <c r="DQ108" i="28"/>
  <c r="DN108" i="28"/>
  <c r="DK108" i="28"/>
  <c r="DH108" i="28"/>
  <c r="DE108" i="28"/>
  <c r="DB108" i="28"/>
  <c r="CV108" i="28"/>
  <c r="CS108" i="28"/>
  <c r="CP108" i="28"/>
  <c r="CM108" i="28"/>
  <c r="CJ108" i="28"/>
  <c r="CG108" i="28"/>
  <c r="CA108" i="28"/>
  <c r="BX108" i="28"/>
  <c r="BU108" i="28"/>
  <c r="BR108" i="28"/>
  <c r="BO108" i="28"/>
  <c r="BL108" i="28"/>
  <c r="BF108" i="28"/>
  <c r="BC108" i="28"/>
  <c r="AZ108" i="28"/>
  <c r="AW108" i="28"/>
  <c r="AT108" i="28"/>
  <c r="AQ108" i="28"/>
  <c r="AK108" i="28"/>
  <c r="AH108" i="28"/>
  <c r="DQ107" i="28"/>
  <c r="DN107" i="28"/>
  <c r="DK107" i="28"/>
  <c r="DH107" i="28"/>
  <c r="DE107" i="28"/>
  <c r="DB107" i="28"/>
  <c r="CV107" i="28"/>
  <c r="CS107" i="28"/>
  <c r="CP107" i="28"/>
  <c r="CM107" i="28"/>
  <c r="CJ107" i="28"/>
  <c r="CG107" i="28"/>
  <c r="CA107" i="28"/>
  <c r="BX107" i="28"/>
  <c r="BU107" i="28"/>
  <c r="BR107" i="28"/>
  <c r="BO107" i="28"/>
  <c r="BL107" i="28"/>
  <c r="BF107" i="28"/>
  <c r="BC107" i="28"/>
  <c r="AZ107" i="28"/>
  <c r="AW107" i="28"/>
  <c r="AT107" i="28"/>
  <c r="AQ107" i="28"/>
  <c r="AK107" i="28"/>
  <c r="AH107" i="28"/>
  <c r="DQ106" i="28"/>
  <c r="DN106" i="28"/>
  <c r="DK106" i="28"/>
  <c r="DH106" i="28"/>
  <c r="DE106" i="28"/>
  <c r="DB106" i="28"/>
  <c r="CV106" i="28"/>
  <c r="CS106" i="28"/>
  <c r="CP106" i="28"/>
  <c r="CM106" i="28"/>
  <c r="CJ106" i="28"/>
  <c r="CG106" i="28"/>
  <c r="CA106" i="28"/>
  <c r="BX106" i="28"/>
  <c r="BU106" i="28"/>
  <c r="BR106" i="28"/>
  <c r="BO106" i="28"/>
  <c r="BL106" i="28"/>
  <c r="BF106" i="28"/>
  <c r="BC106" i="28"/>
  <c r="AZ106" i="28"/>
  <c r="AW106" i="28"/>
  <c r="AT106" i="28"/>
  <c r="AQ106" i="28"/>
  <c r="AK106" i="28"/>
  <c r="AH106" i="28"/>
  <c r="DQ105" i="28"/>
  <c r="DN105" i="28"/>
  <c r="DK105" i="28"/>
  <c r="DH105" i="28"/>
  <c r="DE105" i="28"/>
  <c r="DB105" i="28"/>
  <c r="CV105" i="28"/>
  <c r="CS105" i="28"/>
  <c r="CP105" i="28"/>
  <c r="CM105" i="28"/>
  <c r="CJ105" i="28"/>
  <c r="CG105" i="28"/>
  <c r="CA105" i="28"/>
  <c r="BX105" i="28"/>
  <c r="BU105" i="28"/>
  <c r="BR105" i="28"/>
  <c r="BO105" i="28"/>
  <c r="BL105" i="28"/>
  <c r="BF105" i="28"/>
  <c r="BC105" i="28"/>
  <c r="AZ105" i="28"/>
  <c r="AW105" i="28"/>
  <c r="AT105" i="28"/>
  <c r="AQ105" i="28"/>
  <c r="AK105" i="28"/>
  <c r="AH105" i="28"/>
  <c r="DQ104" i="28"/>
  <c r="DN104" i="28"/>
  <c r="DK104" i="28"/>
  <c r="DH104" i="28"/>
  <c r="DE104" i="28"/>
  <c r="DB104" i="28"/>
  <c r="CV104" i="28"/>
  <c r="CS104" i="28"/>
  <c r="CP104" i="28"/>
  <c r="CM104" i="28"/>
  <c r="CJ104" i="28"/>
  <c r="CG104" i="28"/>
  <c r="CA104" i="28"/>
  <c r="BX104" i="28"/>
  <c r="BU104" i="28"/>
  <c r="BR104" i="28"/>
  <c r="BO104" i="28"/>
  <c r="BL104" i="28"/>
  <c r="BF104" i="28"/>
  <c r="BC104" i="28"/>
  <c r="AZ104" i="28"/>
  <c r="AW104" i="28"/>
  <c r="AT104" i="28"/>
  <c r="AQ104" i="28"/>
  <c r="AK104" i="28"/>
  <c r="AH104" i="28"/>
  <c r="DQ103" i="28"/>
  <c r="DN103" i="28"/>
  <c r="DK103" i="28"/>
  <c r="DH103" i="28"/>
  <c r="DE103" i="28"/>
  <c r="DB103" i="28"/>
  <c r="CV103" i="28"/>
  <c r="CS103" i="28"/>
  <c r="CP103" i="28"/>
  <c r="CM103" i="28"/>
  <c r="CJ103" i="28"/>
  <c r="CG103" i="28"/>
  <c r="CA103" i="28"/>
  <c r="BX103" i="28"/>
  <c r="BU103" i="28"/>
  <c r="BR103" i="28"/>
  <c r="BO103" i="28"/>
  <c r="BL103" i="28"/>
  <c r="BF103" i="28"/>
  <c r="BC103" i="28"/>
  <c r="AZ103" i="28"/>
  <c r="AW103" i="28"/>
  <c r="AT103" i="28"/>
  <c r="AQ103" i="28"/>
  <c r="AK103" i="28"/>
  <c r="AH103" i="28"/>
  <c r="DQ102" i="28"/>
  <c r="DN102" i="28"/>
  <c r="DK102" i="28"/>
  <c r="DH102" i="28"/>
  <c r="DE102" i="28"/>
  <c r="DB102" i="28"/>
  <c r="CV102" i="28"/>
  <c r="CS102" i="28"/>
  <c r="CP102" i="28"/>
  <c r="CM102" i="28"/>
  <c r="CJ102" i="28"/>
  <c r="CG102" i="28"/>
  <c r="CA102" i="28"/>
  <c r="BX102" i="28"/>
  <c r="BU102" i="28"/>
  <c r="BR102" i="28"/>
  <c r="BO102" i="28"/>
  <c r="BL102" i="28"/>
  <c r="BF102" i="28"/>
  <c r="BC102" i="28"/>
  <c r="AZ102" i="28"/>
  <c r="AW102" i="28"/>
  <c r="AT102" i="28"/>
  <c r="AQ102" i="28"/>
  <c r="AK102" i="28"/>
  <c r="AH102" i="28"/>
  <c r="DQ101" i="28"/>
  <c r="DN101" i="28"/>
  <c r="DK101" i="28"/>
  <c r="DH101" i="28"/>
  <c r="DE101" i="28"/>
  <c r="DB101" i="28"/>
  <c r="CV101" i="28"/>
  <c r="CS101" i="28"/>
  <c r="CP101" i="28"/>
  <c r="CM101" i="28"/>
  <c r="CJ101" i="28"/>
  <c r="CG101" i="28"/>
  <c r="CA101" i="28"/>
  <c r="BX101" i="28"/>
  <c r="BU101" i="28"/>
  <c r="BR101" i="28"/>
  <c r="BO101" i="28"/>
  <c r="BL101" i="28"/>
  <c r="BF101" i="28"/>
  <c r="BC101" i="28"/>
  <c r="AZ101" i="28"/>
  <c r="AW101" i="28"/>
  <c r="AT101" i="28"/>
  <c r="AQ101" i="28"/>
  <c r="AK101" i="28"/>
  <c r="AH101" i="28"/>
  <c r="DQ100" i="28"/>
  <c r="DN100" i="28"/>
  <c r="DK100" i="28"/>
  <c r="DH100" i="28"/>
  <c r="DE100" i="28"/>
  <c r="DB100" i="28"/>
  <c r="CV100" i="28"/>
  <c r="CS100" i="28"/>
  <c r="CP100" i="28"/>
  <c r="CM100" i="28"/>
  <c r="CJ100" i="28"/>
  <c r="CG100" i="28"/>
  <c r="CA100" i="28"/>
  <c r="BX100" i="28"/>
  <c r="BU100" i="28"/>
  <c r="BR100" i="28"/>
  <c r="BO100" i="28"/>
  <c r="BL100" i="28"/>
  <c r="BF100" i="28"/>
  <c r="BC100" i="28"/>
  <c r="AZ100" i="28"/>
  <c r="AW100" i="28"/>
  <c r="AT100" i="28"/>
  <c r="AQ100" i="28"/>
  <c r="AK100" i="28"/>
  <c r="AH100" i="28"/>
  <c r="DQ99" i="28"/>
  <c r="DN99" i="28"/>
  <c r="DK99" i="28"/>
  <c r="DH99" i="28"/>
  <c r="DE99" i="28"/>
  <c r="DB99" i="28"/>
  <c r="CV99" i="28"/>
  <c r="CS99" i="28"/>
  <c r="CP99" i="28"/>
  <c r="CM99" i="28"/>
  <c r="CJ99" i="28"/>
  <c r="CG99" i="28"/>
  <c r="CA99" i="28"/>
  <c r="BX99" i="28"/>
  <c r="BU99" i="28"/>
  <c r="BR99" i="28"/>
  <c r="BO99" i="28"/>
  <c r="BL99" i="28"/>
  <c r="BF99" i="28"/>
  <c r="BC99" i="28"/>
  <c r="AZ99" i="28"/>
  <c r="AW99" i="28"/>
  <c r="AT99" i="28"/>
  <c r="AQ99" i="28"/>
  <c r="AK99" i="28"/>
  <c r="AH99" i="28"/>
  <c r="DQ98" i="28"/>
  <c r="DN98" i="28"/>
  <c r="DK98" i="28"/>
  <c r="DH98" i="28"/>
  <c r="DE98" i="28"/>
  <c r="DB98" i="28"/>
  <c r="CV98" i="28"/>
  <c r="CS98" i="28"/>
  <c r="CP98" i="28"/>
  <c r="CM98" i="28"/>
  <c r="CJ98" i="28"/>
  <c r="CG98" i="28"/>
  <c r="CA98" i="28"/>
  <c r="BX98" i="28"/>
  <c r="BU98" i="28"/>
  <c r="BR98" i="28"/>
  <c r="BO98" i="28"/>
  <c r="BL98" i="28"/>
  <c r="BF98" i="28"/>
  <c r="BC98" i="28"/>
  <c r="AZ98" i="28"/>
  <c r="AW98" i="28"/>
  <c r="AT98" i="28"/>
  <c r="AQ98" i="28"/>
  <c r="AK98" i="28"/>
  <c r="AH98" i="28"/>
  <c r="DQ97" i="28"/>
  <c r="DN97" i="28"/>
  <c r="DK97" i="28"/>
  <c r="DH97" i="28"/>
  <c r="DE97" i="28"/>
  <c r="DB97" i="28"/>
  <c r="CV97" i="28"/>
  <c r="CS97" i="28"/>
  <c r="CP97" i="28"/>
  <c r="CM97" i="28"/>
  <c r="CJ97" i="28"/>
  <c r="CG97" i="28"/>
  <c r="CA97" i="28"/>
  <c r="BX97" i="28"/>
  <c r="BU97" i="28"/>
  <c r="BR97" i="28"/>
  <c r="BO97" i="28"/>
  <c r="BL97" i="28"/>
  <c r="BF97" i="28"/>
  <c r="BC97" i="28"/>
  <c r="AZ97" i="28"/>
  <c r="AW97" i="28"/>
  <c r="AT97" i="28"/>
  <c r="AQ97" i="28"/>
  <c r="AK97" i="28"/>
  <c r="AH97" i="28"/>
  <c r="DQ96" i="28"/>
  <c r="DN96" i="28"/>
  <c r="DK96" i="28"/>
  <c r="DH96" i="28"/>
  <c r="DE96" i="28"/>
  <c r="DB96" i="28"/>
  <c r="CV96" i="28"/>
  <c r="CS96" i="28"/>
  <c r="CP96" i="28"/>
  <c r="CM96" i="28"/>
  <c r="CJ96" i="28"/>
  <c r="CG96" i="28"/>
  <c r="CA96" i="28"/>
  <c r="BX96" i="28"/>
  <c r="BU96" i="28"/>
  <c r="BR96" i="28"/>
  <c r="BO96" i="28"/>
  <c r="BL96" i="28"/>
  <c r="BF96" i="28"/>
  <c r="BC96" i="28"/>
  <c r="AZ96" i="28"/>
  <c r="AW96" i="28"/>
  <c r="AT96" i="28"/>
  <c r="AQ96" i="28"/>
  <c r="AK96" i="28"/>
  <c r="AH96" i="28"/>
  <c r="DQ95" i="28"/>
  <c r="DN95" i="28"/>
  <c r="DK95" i="28"/>
  <c r="DH95" i="28"/>
  <c r="DE95" i="28"/>
  <c r="DB95" i="28"/>
  <c r="CV95" i="28"/>
  <c r="CS95" i="28"/>
  <c r="CP95" i="28"/>
  <c r="CM95" i="28"/>
  <c r="CJ95" i="28"/>
  <c r="CG95" i="28"/>
  <c r="CA95" i="28"/>
  <c r="BX95" i="28"/>
  <c r="BU95" i="28"/>
  <c r="BR95" i="28"/>
  <c r="BO95" i="28"/>
  <c r="BL95" i="28"/>
  <c r="BF95" i="28"/>
  <c r="BC95" i="28"/>
  <c r="AZ95" i="28"/>
  <c r="AW95" i="28"/>
  <c r="AT95" i="28"/>
  <c r="AQ95" i="28"/>
  <c r="AK95" i="28"/>
  <c r="AH95" i="28"/>
  <c r="DQ94" i="28"/>
  <c r="DN94" i="28"/>
  <c r="DK94" i="28"/>
  <c r="DH94" i="28"/>
  <c r="DE94" i="28"/>
  <c r="DB94" i="28"/>
  <c r="CV94" i="28"/>
  <c r="CS94" i="28"/>
  <c r="CP94" i="28"/>
  <c r="CM94" i="28"/>
  <c r="CJ94" i="28"/>
  <c r="CG94" i="28"/>
  <c r="CA94" i="28"/>
  <c r="BX94" i="28"/>
  <c r="BU94" i="28"/>
  <c r="BR94" i="28"/>
  <c r="BO94" i="28"/>
  <c r="BL94" i="28"/>
  <c r="BF94" i="28"/>
  <c r="BC94" i="28"/>
  <c r="AZ94" i="28"/>
  <c r="AW94" i="28"/>
  <c r="AT94" i="28"/>
  <c r="AQ94" i="28"/>
  <c r="AK94" i="28"/>
  <c r="AH94" i="28"/>
  <c r="DQ93" i="28"/>
  <c r="DN93" i="28"/>
  <c r="DK93" i="28"/>
  <c r="DH93" i="28"/>
  <c r="DE93" i="28"/>
  <c r="DB93" i="28"/>
  <c r="CV93" i="28"/>
  <c r="CS93" i="28"/>
  <c r="CP93" i="28"/>
  <c r="CM93" i="28"/>
  <c r="CJ93" i="28"/>
  <c r="CG93" i="28"/>
  <c r="CA93" i="28"/>
  <c r="BX93" i="28"/>
  <c r="BU93" i="28"/>
  <c r="BR93" i="28"/>
  <c r="BO93" i="28"/>
  <c r="BL93" i="28"/>
  <c r="BF93" i="28"/>
  <c r="BC93" i="28"/>
  <c r="AZ93" i="28"/>
  <c r="AW93" i="28"/>
  <c r="AT93" i="28"/>
  <c r="AQ93" i="28"/>
  <c r="AK93" i="28"/>
  <c r="AH93" i="28"/>
  <c r="DQ92" i="28"/>
  <c r="DN92" i="28"/>
  <c r="DK92" i="28"/>
  <c r="DH92" i="28"/>
  <c r="DE92" i="28"/>
  <c r="DB92" i="28"/>
  <c r="CV92" i="28"/>
  <c r="CS92" i="28"/>
  <c r="CP92" i="28"/>
  <c r="CM92" i="28"/>
  <c r="CJ92" i="28"/>
  <c r="CG92" i="28"/>
  <c r="CA92" i="28"/>
  <c r="BX92" i="28"/>
  <c r="BU92" i="28"/>
  <c r="BR92" i="28"/>
  <c r="BO92" i="28"/>
  <c r="BL92" i="28"/>
  <c r="BF92" i="28"/>
  <c r="BC92" i="28"/>
  <c r="AZ92" i="28"/>
  <c r="AW92" i="28"/>
  <c r="AT92" i="28"/>
  <c r="AQ92" i="28"/>
  <c r="AK92" i="28"/>
  <c r="AH92" i="28"/>
  <c r="DQ91" i="28"/>
  <c r="DN91" i="28"/>
  <c r="DK91" i="28"/>
  <c r="DH91" i="28"/>
  <c r="DE91" i="28"/>
  <c r="DB91" i="28"/>
  <c r="CV91" i="28"/>
  <c r="CS91" i="28"/>
  <c r="CP91" i="28"/>
  <c r="CM91" i="28"/>
  <c r="CJ91" i="28"/>
  <c r="CG91" i="28"/>
  <c r="CA91" i="28"/>
  <c r="BX91" i="28"/>
  <c r="BU91" i="28"/>
  <c r="BR91" i="28"/>
  <c r="BO91" i="28"/>
  <c r="BL91" i="28"/>
  <c r="BF91" i="28"/>
  <c r="BC91" i="28"/>
  <c r="AZ91" i="28"/>
  <c r="AW91" i="28"/>
  <c r="AT91" i="28"/>
  <c r="AQ91" i="28"/>
  <c r="AK91" i="28"/>
  <c r="AH91" i="28"/>
  <c r="DQ90" i="28"/>
  <c r="DN90" i="28"/>
  <c r="DK90" i="28"/>
  <c r="DH90" i="28"/>
  <c r="DE90" i="28"/>
  <c r="DB90" i="28"/>
  <c r="CV90" i="28"/>
  <c r="CS90" i="28"/>
  <c r="CP90" i="28"/>
  <c r="CM90" i="28"/>
  <c r="CJ90" i="28"/>
  <c r="CG90" i="28"/>
  <c r="CA90" i="28"/>
  <c r="BX90" i="28"/>
  <c r="BU90" i="28"/>
  <c r="BR90" i="28"/>
  <c r="BO90" i="28"/>
  <c r="BL90" i="28"/>
  <c r="BF90" i="28"/>
  <c r="BC90" i="28"/>
  <c r="AZ90" i="28"/>
  <c r="AW90" i="28"/>
  <c r="AT90" i="28"/>
  <c r="AQ90" i="28"/>
  <c r="AK90" i="28"/>
  <c r="AH90" i="28"/>
  <c r="DQ89" i="28"/>
  <c r="DN89" i="28"/>
  <c r="DK89" i="28"/>
  <c r="DH89" i="28"/>
  <c r="DE89" i="28"/>
  <c r="DB89" i="28"/>
  <c r="CV89" i="28"/>
  <c r="CS89" i="28"/>
  <c r="CP89" i="28"/>
  <c r="CM89" i="28"/>
  <c r="CJ89" i="28"/>
  <c r="CG89" i="28"/>
  <c r="CA89" i="28"/>
  <c r="BX89" i="28"/>
  <c r="BU89" i="28"/>
  <c r="BR89" i="28"/>
  <c r="BO89" i="28"/>
  <c r="BL89" i="28"/>
  <c r="BF89" i="28"/>
  <c r="BC89" i="28"/>
  <c r="AZ89" i="28"/>
  <c r="AW89" i="28"/>
  <c r="AT89" i="28"/>
  <c r="AQ89" i="28"/>
  <c r="AK89" i="28"/>
  <c r="AH89" i="28"/>
  <c r="DQ88" i="28"/>
  <c r="DN88" i="28"/>
  <c r="DK88" i="28"/>
  <c r="DH88" i="28"/>
  <c r="DE88" i="28"/>
  <c r="DB88" i="28"/>
  <c r="CV88" i="28"/>
  <c r="CS88" i="28"/>
  <c r="CP88" i="28"/>
  <c r="CM88" i="28"/>
  <c r="CJ88" i="28"/>
  <c r="CG88" i="28"/>
  <c r="CA88" i="28"/>
  <c r="BX88" i="28"/>
  <c r="BU88" i="28"/>
  <c r="BR88" i="28"/>
  <c r="BO88" i="28"/>
  <c r="BL88" i="28"/>
  <c r="BF88" i="28"/>
  <c r="BC88" i="28"/>
  <c r="AZ88" i="28"/>
  <c r="AW88" i="28"/>
  <c r="AT88" i="28"/>
  <c r="AQ88" i="28"/>
  <c r="AK88" i="28"/>
  <c r="AH88" i="28"/>
  <c r="DQ87" i="28"/>
  <c r="DN87" i="28"/>
  <c r="DK87" i="28"/>
  <c r="DH87" i="28"/>
  <c r="DE87" i="28"/>
  <c r="DB87" i="28"/>
  <c r="CV87" i="28"/>
  <c r="CS87" i="28"/>
  <c r="CP87" i="28"/>
  <c r="CM87" i="28"/>
  <c r="CJ87" i="28"/>
  <c r="CG87" i="28"/>
  <c r="CA87" i="28"/>
  <c r="BX87" i="28"/>
  <c r="BU87" i="28"/>
  <c r="BR87" i="28"/>
  <c r="BO87" i="28"/>
  <c r="BL87" i="28"/>
  <c r="BF87" i="28"/>
  <c r="BC87" i="28"/>
  <c r="AZ87" i="28"/>
  <c r="AW87" i="28"/>
  <c r="AT87" i="28"/>
  <c r="AQ87" i="28"/>
  <c r="AK87" i="28"/>
  <c r="AH87" i="28"/>
  <c r="DQ86" i="28"/>
  <c r="DN86" i="28"/>
  <c r="DK86" i="28"/>
  <c r="DH86" i="28"/>
  <c r="DE86" i="28"/>
  <c r="DB86" i="28"/>
  <c r="CV86" i="28"/>
  <c r="CS86" i="28"/>
  <c r="CP86" i="28"/>
  <c r="CM86" i="28"/>
  <c r="CJ86" i="28"/>
  <c r="CG86" i="28"/>
  <c r="CA86" i="28"/>
  <c r="BX86" i="28"/>
  <c r="BU86" i="28"/>
  <c r="BR86" i="28"/>
  <c r="BO86" i="28"/>
  <c r="BL86" i="28"/>
  <c r="BF86" i="28"/>
  <c r="BC86" i="28"/>
  <c r="AZ86" i="28"/>
  <c r="AW86" i="28"/>
  <c r="AT86" i="28"/>
  <c r="AQ86" i="28"/>
  <c r="AK86" i="28"/>
  <c r="AH86" i="28"/>
  <c r="DQ85" i="28"/>
  <c r="DN85" i="28"/>
  <c r="DK85" i="28"/>
  <c r="DH85" i="28"/>
  <c r="DE85" i="28"/>
  <c r="DB85" i="28"/>
  <c r="CV85" i="28"/>
  <c r="CS85" i="28"/>
  <c r="CP85" i="28"/>
  <c r="CM85" i="28"/>
  <c r="CJ85" i="28"/>
  <c r="CG85" i="28"/>
  <c r="CA85" i="28"/>
  <c r="BX85" i="28"/>
  <c r="BU85" i="28"/>
  <c r="BR85" i="28"/>
  <c r="BO85" i="28"/>
  <c r="BL85" i="28"/>
  <c r="BF85" i="28"/>
  <c r="BC85" i="28"/>
  <c r="AZ85" i="28"/>
  <c r="AW85" i="28"/>
  <c r="AT85" i="28"/>
  <c r="AQ85" i="28"/>
  <c r="AK85" i="28"/>
  <c r="AH85" i="28"/>
  <c r="DQ84" i="28"/>
  <c r="DN84" i="28"/>
  <c r="DK84" i="28"/>
  <c r="DH84" i="28"/>
  <c r="DE84" i="28"/>
  <c r="DB84" i="28"/>
  <c r="CV84" i="28"/>
  <c r="CS84" i="28"/>
  <c r="CP84" i="28"/>
  <c r="CM84" i="28"/>
  <c r="CJ84" i="28"/>
  <c r="CG84" i="28"/>
  <c r="CA84" i="28"/>
  <c r="BX84" i="28"/>
  <c r="BU84" i="28"/>
  <c r="BR84" i="28"/>
  <c r="BO84" i="28"/>
  <c r="BL84" i="28"/>
  <c r="BF84" i="28"/>
  <c r="BC84" i="28"/>
  <c r="AZ84" i="28"/>
  <c r="AW84" i="28"/>
  <c r="AT84" i="28"/>
  <c r="AQ84" i="28"/>
  <c r="AK84" i="28"/>
  <c r="AH84" i="28"/>
  <c r="DQ83" i="28"/>
  <c r="DN83" i="28"/>
  <c r="DK83" i="28"/>
  <c r="DH83" i="28"/>
  <c r="DE83" i="28"/>
  <c r="DB83" i="28"/>
  <c r="CV83" i="28"/>
  <c r="CS83" i="28"/>
  <c r="CP83" i="28"/>
  <c r="CM83" i="28"/>
  <c r="CJ83" i="28"/>
  <c r="CG83" i="28"/>
  <c r="CA83" i="28"/>
  <c r="BX83" i="28"/>
  <c r="BU83" i="28"/>
  <c r="BR83" i="28"/>
  <c r="BO83" i="28"/>
  <c r="BL83" i="28"/>
  <c r="BF83" i="28"/>
  <c r="BC83" i="28"/>
  <c r="AZ83" i="28"/>
  <c r="AW83" i="28"/>
  <c r="AT83" i="28"/>
  <c r="AQ83" i="28"/>
  <c r="AK83" i="28"/>
  <c r="AH83" i="28"/>
  <c r="DQ82" i="28"/>
  <c r="DN82" i="28"/>
  <c r="DK82" i="28"/>
  <c r="DH82" i="28"/>
  <c r="DE82" i="28"/>
  <c r="DB82" i="28"/>
  <c r="CV82" i="28"/>
  <c r="CS82" i="28"/>
  <c r="CP82" i="28"/>
  <c r="CM82" i="28"/>
  <c r="CJ82" i="28"/>
  <c r="CG82" i="28"/>
  <c r="CA82" i="28"/>
  <c r="BX82" i="28"/>
  <c r="BU82" i="28"/>
  <c r="BR82" i="28"/>
  <c r="BO82" i="28"/>
  <c r="BL82" i="28"/>
  <c r="BF82" i="28"/>
  <c r="BC82" i="28"/>
  <c r="AZ82" i="28"/>
  <c r="AW82" i="28"/>
  <c r="AT82" i="28"/>
  <c r="AQ82" i="28"/>
  <c r="AK82" i="28"/>
  <c r="AH82" i="28"/>
  <c r="DQ81" i="28"/>
  <c r="DN81" i="28"/>
  <c r="DK81" i="28"/>
  <c r="DH81" i="28"/>
  <c r="DE81" i="28"/>
  <c r="DB81" i="28"/>
  <c r="CV81" i="28"/>
  <c r="CS81" i="28"/>
  <c r="CP81" i="28"/>
  <c r="CM81" i="28"/>
  <c r="CJ81" i="28"/>
  <c r="CG81" i="28"/>
  <c r="CA81" i="28"/>
  <c r="BX81" i="28"/>
  <c r="BU81" i="28"/>
  <c r="BR81" i="28"/>
  <c r="BO81" i="28"/>
  <c r="BL81" i="28"/>
  <c r="BF81" i="28"/>
  <c r="BC81" i="28"/>
  <c r="AZ81" i="28"/>
  <c r="AW81" i="28"/>
  <c r="AT81" i="28"/>
  <c r="AQ81" i="28"/>
  <c r="AK81" i="28"/>
  <c r="AH81" i="28"/>
  <c r="DQ80" i="28"/>
  <c r="DN80" i="28"/>
  <c r="DK80" i="28"/>
  <c r="DH80" i="28"/>
  <c r="DE80" i="28"/>
  <c r="DB80" i="28"/>
  <c r="CV80" i="28"/>
  <c r="CS80" i="28"/>
  <c r="CP80" i="28"/>
  <c r="CM80" i="28"/>
  <c r="CJ80" i="28"/>
  <c r="CG80" i="28"/>
  <c r="CA80" i="28"/>
  <c r="BX80" i="28"/>
  <c r="BU80" i="28"/>
  <c r="BR80" i="28"/>
  <c r="BO80" i="28"/>
  <c r="BL80" i="28"/>
  <c r="BF80" i="28"/>
  <c r="BC80" i="28"/>
  <c r="AZ80" i="28"/>
  <c r="AW80" i="28"/>
  <c r="AT80" i="28"/>
  <c r="AQ80" i="28"/>
  <c r="AK80" i="28"/>
  <c r="AH80" i="28"/>
  <c r="DQ79" i="28"/>
  <c r="DN79" i="28"/>
  <c r="DK79" i="28"/>
  <c r="DH79" i="28"/>
  <c r="DE79" i="28"/>
  <c r="DB79" i="28"/>
  <c r="CV79" i="28"/>
  <c r="CS79" i="28"/>
  <c r="CP79" i="28"/>
  <c r="CM79" i="28"/>
  <c r="CJ79" i="28"/>
  <c r="CG79" i="28"/>
  <c r="CA79" i="28"/>
  <c r="BX79" i="28"/>
  <c r="BU79" i="28"/>
  <c r="BR79" i="28"/>
  <c r="BO79" i="28"/>
  <c r="BL79" i="28"/>
  <c r="BF79" i="28"/>
  <c r="BC79" i="28"/>
  <c r="AZ79" i="28"/>
  <c r="AW79" i="28"/>
  <c r="AT79" i="28"/>
  <c r="AQ79" i="28"/>
  <c r="AK79" i="28"/>
  <c r="AH79" i="28"/>
  <c r="DQ78" i="28"/>
  <c r="DN78" i="28"/>
  <c r="DK78" i="28"/>
  <c r="DH78" i="28"/>
  <c r="DE78" i="28"/>
  <c r="DB78" i="28"/>
  <c r="CV78" i="28"/>
  <c r="CS78" i="28"/>
  <c r="CP78" i="28"/>
  <c r="CM78" i="28"/>
  <c r="CJ78" i="28"/>
  <c r="CG78" i="28"/>
  <c r="CA78" i="28"/>
  <c r="BX78" i="28"/>
  <c r="BU78" i="28"/>
  <c r="BR78" i="28"/>
  <c r="BO78" i="28"/>
  <c r="BL78" i="28"/>
  <c r="BF78" i="28"/>
  <c r="BC78" i="28"/>
  <c r="AZ78" i="28"/>
  <c r="AW78" i="28"/>
  <c r="AT78" i="28"/>
  <c r="AQ78" i="28"/>
  <c r="AK78" i="28"/>
  <c r="AH78" i="28"/>
  <c r="DQ77" i="28"/>
  <c r="DN77" i="28"/>
  <c r="DK77" i="28"/>
  <c r="DH77" i="28"/>
  <c r="DE77" i="28"/>
  <c r="DB77" i="28"/>
  <c r="CV77" i="28"/>
  <c r="CS77" i="28"/>
  <c r="CP77" i="28"/>
  <c r="CM77" i="28"/>
  <c r="CJ77" i="28"/>
  <c r="CG77" i="28"/>
  <c r="CA77" i="28"/>
  <c r="BX77" i="28"/>
  <c r="BU77" i="28"/>
  <c r="BR77" i="28"/>
  <c r="BO77" i="28"/>
  <c r="BL77" i="28"/>
  <c r="BF77" i="28"/>
  <c r="BC77" i="28"/>
  <c r="AZ77" i="28"/>
  <c r="AW77" i="28"/>
  <c r="AT77" i="28"/>
  <c r="AQ77" i="28"/>
  <c r="AK77" i="28"/>
  <c r="AH77" i="28"/>
  <c r="DQ76" i="28"/>
  <c r="DN76" i="28"/>
  <c r="DK76" i="28"/>
  <c r="DH76" i="28"/>
  <c r="DE76" i="28"/>
  <c r="DB76" i="28"/>
  <c r="CV76" i="28"/>
  <c r="CS76" i="28"/>
  <c r="CP76" i="28"/>
  <c r="CM76" i="28"/>
  <c r="CJ76" i="28"/>
  <c r="CG76" i="28"/>
  <c r="CA76" i="28"/>
  <c r="BX76" i="28"/>
  <c r="BU76" i="28"/>
  <c r="BR76" i="28"/>
  <c r="BO76" i="28"/>
  <c r="BL76" i="28"/>
  <c r="BF76" i="28"/>
  <c r="BC76" i="28"/>
  <c r="AZ76" i="28"/>
  <c r="AW76" i="28"/>
  <c r="AT76" i="28"/>
  <c r="AQ76" i="28"/>
  <c r="AK76" i="28"/>
  <c r="AH76" i="28"/>
  <c r="DQ75" i="28"/>
  <c r="DN75" i="28"/>
  <c r="DK75" i="28"/>
  <c r="DH75" i="28"/>
  <c r="DE75" i="28"/>
  <c r="DB75" i="28"/>
  <c r="CV75" i="28"/>
  <c r="CS75" i="28"/>
  <c r="CP75" i="28"/>
  <c r="CM75" i="28"/>
  <c r="CJ75" i="28"/>
  <c r="CG75" i="28"/>
  <c r="CA75" i="28"/>
  <c r="BX75" i="28"/>
  <c r="BU75" i="28"/>
  <c r="BR75" i="28"/>
  <c r="BO75" i="28"/>
  <c r="BL75" i="28"/>
  <c r="BF75" i="28"/>
  <c r="BC75" i="28"/>
  <c r="AZ75" i="28"/>
  <c r="AW75" i="28"/>
  <c r="AT75" i="28"/>
  <c r="AR75" i="28"/>
  <c r="AQ75" i="28"/>
  <c r="AK75" i="28"/>
  <c r="AH75" i="28"/>
  <c r="DQ74" i="28"/>
  <c r="DN74" i="28"/>
  <c r="DK74" i="28"/>
  <c r="DH74" i="28"/>
  <c r="DE74" i="28"/>
  <c r="DB74" i="28"/>
  <c r="CV74" i="28"/>
  <c r="CS74" i="28"/>
  <c r="CP74" i="28"/>
  <c r="CM74" i="28"/>
  <c r="CJ74" i="28"/>
  <c r="CG74" i="28"/>
  <c r="CA74" i="28"/>
  <c r="BX74" i="28"/>
  <c r="BU74" i="28"/>
  <c r="BR74" i="28"/>
  <c r="BO74" i="28"/>
  <c r="BL74" i="28"/>
  <c r="BF74" i="28"/>
  <c r="BC74" i="28"/>
  <c r="AZ74" i="28"/>
  <c r="AW74" i="28"/>
  <c r="AT74" i="28"/>
  <c r="AQ74" i="28"/>
  <c r="AK74" i="28"/>
  <c r="AH74" i="28"/>
  <c r="DQ73" i="28"/>
  <c r="DN73" i="28"/>
  <c r="DK73" i="28"/>
  <c r="DH73" i="28"/>
  <c r="DE73" i="28"/>
  <c r="DB73" i="28"/>
  <c r="CV73" i="28"/>
  <c r="CS73" i="28"/>
  <c r="CP73" i="28"/>
  <c r="CM73" i="28"/>
  <c r="CJ73" i="28"/>
  <c r="CG73" i="28"/>
  <c r="CA73" i="28"/>
  <c r="BX73" i="28"/>
  <c r="BU73" i="28"/>
  <c r="BR73" i="28"/>
  <c r="BO73" i="28"/>
  <c r="BL73" i="28"/>
  <c r="BF73" i="28"/>
  <c r="BC73" i="28"/>
  <c r="AZ73" i="28"/>
  <c r="AR73" i="28"/>
  <c r="AW73" i="28" s="1"/>
  <c r="AQ73" i="28"/>
  <c r="AK73" i="28"/>
  <c r="AH73" i="28"/>
  <c r="DQ72" i="28"/>
  <c r="DN72" i="28"/>
  <c r="DK72" i="28"/>
  <c r="DH72" i="28"/>
  <c r="DE72" i="28"/>
  <c r="DB72" i="28"/>
  <c r="CV72" i="28"/>
  <c r="CS72" i="28"/>
  <c r="CP72" i="28"/>
  <c r="CM72" i="28"/>
  <c r="CJ72" i="28"/>
  <c r="CG72" i="28"/>
  <c r="CA72" i="28"/>
  <c r="BX72" i="28"/>
  <c r="BU72" i="28"/>
  <c r="BR72" i="28"/>
  <c r="BO72" i="28"/>
  <c r="BL72" i="28"/>
  <c r="BF72" i="28"/>
  <c r="BC72" i="28"/>
  <c r="AZ72" i="28"/>
  <c r="AW72" i="28"/>
  <c r="AT72" i="28"/>
  <c r="AQ72" i="28"/>
  <c r="AK72" i="28"/>
  <c r="AH72" i="28"/>
  <c r="DQ71" i="28"/>
  <c r="DN71" i="28"/>
  <c r="DK71" i="28"/>
  <c r="DH71" i="28"/>
  <c r="DE71" i="28"/>
  <c r="DB71" i="28"/>
  <c r="CV71" i="28"/>
  <c r="CS71" i="28"/>
  <c r="CP71" i="28"/>
  <c r="CM71" i="28"/>
  <c r="CJ71" i="28"/>
  <c r="CG71" i="28"/>
  <c r="CA71" i="28"/>
  <c r="BX71" i="28"/>
  <c r="BU71" i="28"/>
  <c r="BR71" i="28"/>
  <c r="BO71" i="28"/>
  <c r="BL71" i="28"/>
  <c r="BF71" i="28"/>
  <c r="BC71" i="28"/>
  <c r="AZ71" i="28"/>
  <c r="AW71" i="28"/>
  <c r="AT71" i="28"/>
  <c r="AQ71" i="28"/>
  <c r="AK71" i="28"/>
  <c r="AH71" i="28"/>
  <c r="DQ70" i="28"/>
  <c r="DN70" i="28"/>
  <c r="DK70" i="28"/>
  <c r="DH70" i="28"/>
  <c r="DE70" i="28"/>
  <c r="DB70" i="28"/>
  <c r="CV70" i="28"/>
  <c r="CS70" i="28"/>
  <c r="CP70" i="28"/>
  <c r="CM70" i="28"/>
  <c r="CJ70" i="28"/>
  <c r="CG70" i="28"/>
  <c r="CA70" i="28"/>
  <c r="BX70" i="28"/>
  <c r="BU70" i="28"/>
  <c r="BR70" i="28"/>
  <c r="BO70" i="28"/>
  <c r="BL70" i="28"/>
  <c r="BF70" i="28"/>
  <c r="BC70" i="28"/>
  <c r="AZ70" i="28"/>
  <c r="AW70" i="28"/>
  <c r="AT70" i="28"/>
  <c r="AQ70" i="28"/>
  <c r="AK70" i="28"/>
  <c r="AH70" i="28"/>
  <c r="DQ69" i="28"/>
  <c r="DN69" i="28"/>
  <c r="DK69" i="28"/>
  <c r="DH69" i="28"/>
  <c r="DE69" i="28"/>
  <c r="DB69" i="28"/>
  <c r="CV69" i="28"/>
  <c r="CS69" i="28"/>
  <c r="CP69" i="28"/>
  <c r="CM69" i="28"/>
  <c r="CJ69" i="28"/>
  <c r="CG69" i="28"/>
  <c r="CA69" i="28"/>
  <c r="BX69" i="28"/>
  <c r="BU69" i="28"/>
  <c r="BR69" i="28"/>
  <c r="BO69" i="28"/>
  <c r="BL69" i="28"/>
  <c r="BF69" i="28"/>
  <c r="BC69" i="28"/>
  <c r="AZ69" i="28"/>
  <c r="AW69" i="28"/>
  <c r="AT69" i="28"/>
  <c r="AQ69" i="28"/>
  <c r="AK69" i="28"/>
  <c r="AH69" i="28"/>
  <c r="DQ68" i="28"/>
  <c r="DN68" i="28"/>
  <c r="DK68" i="28"/>
  <c r="DH68" i="28"/>
  <c r="DE68" i="28"/>
  <c r="DB68" i="28"/>
  <c r="CV68" i="28"/>
  <c r="CS68" i="28"/>
  <c r="CP68" i="28"/>
  <c r="CM68" i="28"/>
  <c r="CL68" i="28"/>
  <c r="CL267" i="28" s="1"/>
  <c r="CJ68" i="28"/>
  <c r="CG68" i="28"/>
  <c r="CA68" i="28"/>
  <c r="BX68" i="28"/>
  <c r="BU68" i="28"/>
  <c r="BR68" i="28"/>
  <c r="BO68" i="28"/>
  <c r="BL68" i="28"/>
  <c r="BF68" i="28"/>
  <c r="BC68" i="28"/>
  <c r="AZ68" i="28"/>
  <c r="AW68" i="28"/>
  <c r="AT68" i="28"/>
  <c r="AQ68" i="28"/>
  <c r="AK68" i="28"/>
  <c r="AH68" i="28"/>
  <c r="DQ67" i="28"/>
  <c r="DN67" i="28"/>
  <c r="DK67" i="28"/>
  <c r="DH67" i="28"/>
  <c r="DE67" i="28"/>
  <c r="DB67" i="28"/>
  <c r="CV67" i="28"/>
  <c r="CS67" i="28"/>
  <c r="CP67" i="28"/>
  <c r="CM67" i="28"/>
  <c r="CJ67" i="28"/>
  <c r="CG67" i="28"/>
  <c r="CA67" i="28"/>
  <c r="BX67" i="28"/>
  <c r="BU67" i="28"/>
  <c r="BR67" i="28"/>
  <c r="BO67" i="28"/>
  <c r="BL67" i="28"/>
  <c r="BF67" i="28"/>
  <c r="BC67" i="28"/>
  <c r="AZ67" i="28"/>
  <c r="AW67" i="28"/>
  <c r="AT67" i="28"/>
  <c r="AQ67" i="28"/>
  <c r="AK67" i="28"/>
  <c r="AH67" i="28"/>
  <c r="DQ66" i="28"/>
  <c r="DN66" i="28"/>
  <c r="DK66" i="28"/>
  <c r="DH66" i="28"/>
  <c r="DE66" i="28"/>
  <c r="DB66" i="28"/>
  <c r="CV66" i="28"/>
  <c r="CS66" i="28"/>
  <c r="CP66" i="28"/>
  <c r="CM66" i="28"/>
  <c r="CJ66" i="28"/>
  <c r="CG66" i="28"/>
  <c r="CA66" i="28"/>
  <c r="BX66" i="28"/>
  <c r="BU66" i="28"/>
  <c r="BR66" i="28"/>
  <c r="BN66" i="28"/>
  <c r="BO66" i="28" s="1"/>
  <c r="BL66" i="28"/>
  <c r="BF66" i="28"/>
  <c r="BC66" i="28"/>
  <c r="AZ66" i="28"/>
  <c r="AW66" i="28"/>
  <c r="AT66" i="28"/>
  <c r="AQ66" i="28"/>
  <c r="AK66" i="28"/>
  <c r="AH66" i="28"/>
  <c r="DQ65" i="28"/>
  <c r="DN65" i="28"/>
  <c r="DK65" i="28"/>
  <c r="DH65" i="28"/>
  <c r="DE65" i="28"/>
  <c r="DB65" i="28"/>
  <c r="CV65" i="28"/>
  <c r="CS65" i="28"/>
  <c r="CP65" i="28"/>
  <c r="CM65" i="28"/>
  <c r="CJ65" i="28"/>
  <c r="CG65" i="28"/>
  <c r="CA65" i="28"/>
  <c r="BX65" i="28"/>
  <c r="BU65" i="28"/>
  <c r="BR65" i="28"/>
  <c r="BO65" i="28"/>
  <c r="BL65" i="28"/>
  <c r="BF65" i="28"/>
  <c r="BC65" i="28"/>
  <c r="AZ65" i="28"/>
  <c r="AW65" i="28"/>
  <c r="AT65" i="28"/>
  <c r="AQ65" i="28"/>
  <c r="AK65" i="28"/>
  <c r="AH65" i="28"/>
  <c r="DQ64" i="28"/>
  <c r="DN64" i="28"/>
  <c r="DK64" i="28"/>
  <c r="DH64" i="28"/>
  <c r="DE64" i="28"/>
  <c r="DB64" i="28"/>
  <c r="CV64" i="28"/>
  <c r="CS64" i="28"/>
  <c r="CK64" i="28"/>
  <c r="CP64" i="28" s="1"/>
  <c r="CH64" i="28"/>
  <c r="CJ64" i="28" s="1"/>
  <c r="CG64" i="28"/>
  <c r="CE64" i="28"/>
  <c r="BY64" i="28"/>
  <c r="BV64" i="28"/>
  <c r="CA64" i="28" s="1"/>
  <c r="BU64" i="28"/>
  <c r="BR64" i="28"/>
  <c r="BO64" i="28"/>
  <c r="BL64" i="28"/>
  <c r="BF64" i="28"/>
  <c r="BC64" i="28"/>
  <c r="AZ64" i="28"/>
  <c r="AW64" i="28"/>
  <c r="AT64" i="28"/>
  <c r="AQ64" i="28"/>
  <c r="AK64" i="28"/>
  <c r="AH64" i="28"/>
  <c r="DQ63" i="28"/>
  <c r="DN63" i="28"/>
  <c r="DK63" i="28"/>
  <c r="DH63" i="28"/>
  <c r="DE63" i="28"/>
  <c r="DB63" i="28"/>
  <c r="CV63" i="28"/>
  <c r="CS63" i="28"/>
  <c r="CP63" i="28"/>
  <c r="CM63" i="28"/>
  <c r="CJ63" i="28"/>
  <c r="CG63" i="28"/>
  <c r="CA63" i="28"/>
  <c r="BX63" i="28"/>
  <c r="BU63" i="28"/>
  <c r="BR63" i="28"/>
  <c r="BO63" i="28"/>
  <c r="BL63" i="28"/>
  <c r="BF63" i="28"/>
  <c r="BC63" i="28"/>
  <c r="AZ63" i="28"/>
  <c r="AW63" i="28"/>
  <c r="AT63" i="28"/>
  <c r="AQ63" i="28"/>
  <c r="AK63" i="28"/>
  <c r="AH63" i="28"/>
  <c r="DQ62" i="28"/>
  <c r="DN62" i="28"/>
  <c r="DK62" i="28"/>
  <c r="DH62" i="28"/>
  <c r="DE62" i="28"/>
  <c r="DB62" i="28"/>
  <c r="CV62" i="28"/>
  <c r="CS62" i="28"/>
  <c r="CP62" i="28"/>
  <c r="CM62" i="28"/>
  <c r="CJ62" i="28"/>
  <c r="CG62" i="28"/>
  <c r="CA62" i="28"/>
  <c r="BX62" i="28"/>
  <c r="BU62" i="28"/>
  <c r="BR62" i="28"/>
  <c r="BO62" i="28"/>
  <c r="BL62" i="28"/>
  <c r="BF62" i="28"/>
  <c r="BC62" i="28"/>
  <c r="AZ62" i="28"/>
  <c r="AW62" i="28"/>
  <c r="AT62" i="28"/>
  <c r="AQ62" i="28"/>
  <c r="AK62" i="28"/>
  <c r="AH62" i="28"/>
  <c r="DQ61" i="28"/>
  <c r="DN61" i="28"/>
  <c r="DK61" i="28"/>
  <c r="DH61" i="28"/>
  <c r="DE61" i="28"/>
  <c r="DB61" i="28"/>
  <c r="CV61" i="28"/>
  <c r="CS61" i="28"/>
  <c r="CP61" i="28"/>
  <c r="CM61" i="28"/>
  <c r="CJ61" i="28"/>
  <c r="CG61" i="28"/>
  <c r="CA61" i="28"/>
  <c r="BX61" i="28"/>
  <c r="BU61" i="28"/>
  <c r="BR61" i="28"/>
  <c r="BO61" i="28"/>
  <c r="BL61" i="28"/>
  <c r="BF61" i="28"/>
  <c r="BC61" i="28"/>
  <c r="AZ61" i="28"/>
  <c r="AW61" i="28"/>
  <c r="AT61" i="28"/>
  <c r="AQ61" i="28"/>
  <c r="AK61" i="28"/>
  <c r="AH61" i="28"/>
  <c r="DQ60" i="28"/>
  <c r="DN60" i="28"/>
  <c r="DK60" i="28"/>
  <c r="DH60" i="28"/>
  <c r="DE60" i="28"/>
  <c r="DB60" i="28"/>
  <c r="CV60" i="28"/>
  <c r="CS60" i="28"/>
  <c r="CP60" i="28"/>
  <c r="CM60" i="28"/>
  <c r="CJ60" i="28"/>
  <c r="CG60" i="28"/>
  <c r="CA60" i="28"/>
  <c r="BX60" i="28"/>
  <c r="BU60" i="28"/>
  <c r="BR60" i="28"/>
  <c r="BO60" i="28"/>
  <c r="BL60" i="28"/>
  <c r="BF60" i="28"/>
  <c r="BC60" i="28"/>
  <c r="AZ60" i="28"/>
  <c r="AW60" i="28"/>
  <c r="AT60" i="28"/>
  <c r="AQ60" i="28"/>
  <c r="AK60" i="28"/>
  <c r="AH60" i="28"/>
  <c r="DQ59" i="28"/>
  <c r="DN59" i="28"/>
  <c r="DK59" i="28"/>
  <c r="DH59" i="28"/>
  <c r="DE59" i="28"/>
  <c r="DB59" i="28"/>
  <c r="CV59" i="28"/>
  <c r="CS59" i="28"/>
  <c r="CP59" i="28"/>
  <c r="CM59" i="28"/>
  <c r="CJ59" i="28"/>
  <c r="CG59" i="28"/>
  <c r="CA59" i="28"/>
  <c r="BX59" i="28"/>
  <c r="BU59" i="28"/>
  <c r="BR59" i="28"/>
  <c r="BO59" i="28"/>
  <c r="BL59" i="28"/>
  <c r="BF59" i="28"/>
  <c r="BC59" i="28"/>
  <c r="AZ59" i="28"/>
  <c r="AW59" i="28"/>
  <c r="AT59" i="28"/>
  <c r="AQ59" i="28"/>
  <c r="AK59" i="28"/>
  <c r="AH59" i="28"/>
  <c r="DQ58" i="28"/>
  <c r="DN58" i="28"/>
  <c r="DK58" i="28"/>
  <c r="DH58" i="28"/>
  <c r="DE58" i="28"/>
  <c r="DA58" i="28"/>
  <c r="DB58" i="28" s="1"/>
  <c r="CV58" i="28"/>
  <c r="CS58" i="28"/>
  <c r="CP58" i="28"/>
  <c r="CM58" i="28"/>
  <c r="CJ58" i="28"/>
  <c r="CG58" i="28"/>
  <c r="CA58" i="28"/>
  <c r="BX58" i="28"/>
  <c r="BU58" i="28"/>
  <c r="BR58" i="28"/>
  <c r="BO58" i="28"/>
  <c r="BL58" i="28"/>
  <c r="BF58" i="28"/>
  <c r="BC58" i="28"/>
  <c r="AZ58" i="28"/>
  <c r="AW58" i="28"/>
  <c r="AT58" i="28"/>
  <c r="AQ58" i="28"/>
  <c r="AK58" i="28"/>
  <c r="AH58" i="28"/>
  <c r="DQ57" i="28"/>
  <c r="DN57" i="28"/>
  <c r="DK57" i="28"/>
  <c r="DH57" i="28"/>
  <c r="DE57" i="28"/>
  <c r="DB57" i="28"/>
  <c r="CV57" i="28"/>
  <c r="CS57" i="28"/>
  <c r="CP57" i="28"/>
  <c r="CM57" i="28"/>
  <c r="CJ57" i="28"/>
  <c r="CG57" i="28"/>
  <c r="CA57" i="28"/>
  <c r="BX57" i="28"/>
  <c r="BU57" i="28"/>
  <c r="BR57" i="28"/>
  <c r="BO57" i="28"/>
  <c r="BL57" i="28"/>
  <c r="BF57" i="28"/>
  <c r="BC57" i="28"/>
  <c r="AZ57" i="28"/>
  <c r="AW57" i="28"/>
  <c r="AT57" i="28"/>
  <c r="AQ57" i="28"/>
  <c r="AK57" i="28"/>
  <c r="AH57" i="28"/>
  <c r="DQ56" i="28"/>
  <c r="DN56" i="28"/>
  <c r="DK56" i="28"/>
  <c r="DH56" i="28"/>
  <c r="DE56" i="28"/>
  <c r="DB56" i="28"/>
  <c r="CV56" i="28"/>
  <c r="CS56" i="28"/>
  <c r="CP56" i="28"/>
  <c r="CM56" i="28"/>
  <c r="CJ56" i="28"/>
  <c r="CG56" i="28"/>
  <c r="CA56" i="28"/>
  <c r="BX56" i="28"/>
  <c r="BU56" i="28"/>
  <c r="BR56" i="28"/>
  <c r="BO56" i="28"/>
  <c r="BL56" i="28"/>
  <c r="BF56" i="28"/>
  <c r="BC56" i="28"/>
  <c r="AZ56" i="28"/>
  <c r="AW56" i="28"/>
  <c r="AT56" i="28"/>
  <c r="AQ56" i="28"/>
  <c r="AK56" i="28"/>
  <c r="AH56" i="28"/>
  <c r="DQ55" i="28"/>
  <c r="DN55" i="28"/>
  <c r="DK55" i="28"/>
  <c r="DH55" i="28"/>
  <c r="DE55" i="28"/>
  <c r="DB55" i="28"/>
  <c r="CV55" i="28"/>
  <c r="CS55" i="28"/>
  <c r="CP55" i="28"/>
  <c r="CM55" i="28"/>
  <c r="CJ55" i="28"/>
  <c r="CG55" i="28"/>
  <c r="CA55" i="28"/>
  <c r="BX55" i="28"/>
  <c r="BU55" i="28"/>
  <c r="BR55" i="28"/>
  <c r="BO55" i="28"/>
  <c r="BL55" i="28"/>
  <c r="BF55" i="28"/>
  <c r="BC55" i="28"/>
  <c r="AZ55" i="28"/>
  <c r="AW55" i="28"/>
  <c r="AT55" i="28"/>
  <c r="AQ55" i="28"/>
  <c r="AK55" i="28"/>
  <c r="AH55" i="28"/>
  <c r="DQ54" i="28"/>
  <c r="DN54" i="28"/>
  <c r="DK54" i="28"/>
  <c r="DH54" i="28"/>
  <c r="DE54" i="28"/>
  <c r="DB54" i="28"/>
  <c r="CV54" i="28"/>
  <c r="CS54" i="28"/>
  <c r="CP54" i="28"/>
  <c r="CM54" i="28"/>
  <c r="CJ54" i="28"/>
  <c r="CG54" i="28"/>
  <c r="CA54" i="28"/>
  <c r="BX54" i="28"/>
  <c r="BU54" i="28"/>
  <c r="BR54" i="28"/>
  <c r="BO54" i="28"/>
  <c r="BL54" i="28"/>
  <c r="BF54" i="28"/>
  <c r="BC54" i="28"/>
  <c r="BB54" i="28"/>
  <c r="BB267" i="28" s="1"/>
  <c r="AZ54" i="28"/>
  <c r="AW54" i="28"/>
  <c r="AT54" i="28"/>
  <c r="AQ54" i="28"/>
  <c r="AK54" i="28"/>
  <c r="AH54" i="28"/>
  <c r="DQ53" i="28"/>
  <c r="DN53" i="28"/>
  <c r="DK53" i="28"/>
  <c r="DH53" i="28"/>
  <c r="DE53" i="28"/>
  <c r="DB53" i="28"/>
  <c r="CV53" i="28"/>
  <c r="CR53" i="28"/>
  <c r="CS53" i="28" s="1"/>
  <c r="CP53" i="28"/>
  <c r="CM53" i="28"/>
  <c r="CJ53" i="28"/>
  <c r="CG53" i="28"/>
  <c r="CA53" i="28"/>
  <c r="BX53" i="28"/>
  <c r="BU53" i="28"/>
  <c r="BR53" i="28"/>
  <c r="BO53" i="28"/>
  <c r="BL53" i="28"/>
  <c r="BF53" i="28"/>
  <c r="BC53" i="28"/>
  <c r="AZ53" i="28"/>
  <c r="AW53" i="28"/>
  <c r="AT53" i="28"/>
  <c r="AQ53" i="28"/>
  <c r="AK53" i="28"/>
  <c r="AH53" i="28"/>
  <c r="DQ52" i="28"/>
  <c r="DN52" i="28"/>
  <c r="DK52" i="28"/>
  <c r="DH52" i="28"/>
  <c r="DE52" i="28"/>
  <c r="DB52" i="28"/>
  <c r="CV52" i="28"/>
  <c r="CS52" i="28"/>
  <c r="CP52" i="28"/>
  <c r="CM52" i="28"/>
  <c r="CJ52" i="28"/>
  <c r="CG52" i="28"/>
  <c r="CA52" i="28"/>
  <c r="BX52" i="28"/>
  <c r="BU52" i="28"/>
  <c r="BR52" i="28"/>
  <c r="BO52" i="28"/>
  <c r="BL52" i="28"/>
  <c r="BF52" i="28"/>
  <c r="BC52" i="28"/>
  <c r="AZ52" i="28"/>
  <c r="AW52" i="28"/>
  <c r="AT52" i="28"/>
  <c r="AQ52" i="28"/>
  <c r="AK52" i="28"/>
  <c r="AH52" i="28"/>
  <c r="DQ51" i="28"/>
  <c r="DN51" i="28"/>
  <c r="DK51" i="28"/>
  <c r="DH51" i="28"/>
  <c r="DE51" i="28"/>
  <c r="DB51" i="28"/>
  <c r="CV51" i="28"/>
  <c r="CS51" i="28"/>
  <c r="CP51" i="28"/>
  <c r="CM51" i="28"/>
  <c r="CJ51" i="28"/>
  <c r="CG51" i="28"/>
  <c r="CA51" i="28"/>
  <c r="BX51" i="28"/>
  <c r="BU51" i="28"/>
  <c r="BR51" i="28"/>
  <c r="BO51" i="28"/>
  <c r="BL51" i="28"/>
  <c r="BF51" i="28"/>
  <c r="BC51" i="28"/>
  <c r="AZ51" i="28"/>
  <c r="AW51" i="28"/>
  <c r="AT51" i="28"/>
  <c r="AQ51" i="28"/>
  <c r="AK51" i="28"/>
  <c r="AH51" i="28"/>
  <c r="DQ50" i="28"/>
  <c r="DN50" i="28"/>
  <c r="DK50" i="28"/>
  <c r="DH50" i="28"/>
  <c r="DE50" i="28"/>
  <c r="DB50" i="28"/>
  <c r="CV50" i="28"/>
  <c r="CS50" i="28"/>
  <c r="CP50" i="28"/>
  <c r="CM50" i="28"/>
  <c r="CJ50" i="28"/>
  <c r="CG50" i="28"/>
  <c r="CA50" i="28"/>
  <c r="BX50" i="28"/>
  <c r="BU50" i="28"/>
  <c r="BR50" i="28"/>
  <c r="BO50" i="28"/>
  <c r="BL50" i="28"/>
  <c r="BF50" i="28"/>
  <c r="BC50" i="28"/>
  <c r="AZ50" i="28"/>
  <c r="AW50" i="28"/>
  <c r="AT50" i="28"/>
  <c r="AQ50" i="28"/>
  <c r="AK50" i="28"/>
  <c r="AH50" i="28"/>
  <c r="DQ49" i="28"/>
  <c r="DN49" i="28"/>
  <c r="DK49" i="28"/>
  <c r="DH49" i="28"/>
  <c r="DE49" i="28"/>
  <c r="DB49" i="28"/>
  <c r="CV49" i="28"/>
  <c r="CS49" i="28"/>
  <c r="CP49" i="28"/>
  <c r="CM49" i="28"/>
  <c r="CJ49" i="28"/>
  <c r="CG49" i="28"/>
  <c r="CA49" i="28"/>
  <c r="BX49" i="28"/>
  <c r="BU49" i="28"/>
  <c r="BR49" i="28"/>
  <c r="BO49" i="28"/>
  <c r="BL49" i="28"/>
  <c r="BF49" i="28"/>
  <c r="BC49" i="28"/>
  <c r="AZ49" i="28"/>
  <c r="AW49" i="28"/>
  <c r="AT49" i="28"/>
  <c r="AQ49" i="28"/>
  <c r="AK49" i="28"/>
  <c r="AH49" i="28"/>
  <c r="DQ48" i="28"/>
  <c r="DN48" i="28"/>
  <c r="DK48" i="28"/>
  <c r="DH48" i="28"/>
  <c r="DE48" i="28"/>
  <c r="DB48" i="28"/>
  <c r="CV48" i="28"/>
  <c r="CS48" i="28"/>
  <c r="CP48" i="28"/>
  <c r="CM48" i="28"/>
  <c r="CJ48" i="28"/>
  <c r="CG48" i="28"/>
  <c r="CA48" i="28"/>
  <c r="CA267" i="28" s="1"/>
  <c r="BX48" i="28"/>
  <c r="BU48" i="28"/>
  <c r="BR48" i="28"/>
  <c r="BO48" i="28"/>
  <c r="BL48" i="28"/>
  <c r="BF48" i="28"/>
  <c r="BC48" i="28"/>
  <c r="AZ48" i="28"/>
  <c r="AW48" i="28"/>
  <c r="AT48" i="28"/>
  <c r="AQ48" i="28"/>
  <c r="AK48" i="28"/>
  <c r="AH48" i="28"/>
  <c r="DQ47" i="28"/>
  <c r="DN47" i="28"/>
  <c r="DK47" i="28"/>
  <c r="DH47" i="28"/>
  <c r="DE47" i="28"/>
  <c r="DB47" i="28"/>
  <c r="CV47" i="28"/>
  <c r="CS47" i="28"/>
  <c r="CP47" i="28"/>
  <c r="CM47" i="28"/>
  <c r="CJ47" i="28"/>
  <c r="CG47" i="28"/>
  <c r="CA47" i="28"/>
  <c r="BX47" i="28"/>
  <c r="BU47" i="28"/>
  <c r="BR47" i="28"/>
  <c r="BO47" i="28"/>
  <c r="BL47" i="28"/>
  <c r="BF47" i="28"/>
  <c r="BC47" i="28"/>
  <c r="AZ47" i="28"/>
  <c r="AW47" i="28"/>
  <c r="AT47" i="28"/>
  <c r="AQ47" i="28"/>
  <c r="AK47" i="28"/>
  <c r="AH47" i="28"/>
  <c r="DQ46" i="28"/>
  <c r="DN46" i="28"/>
  <c r="DK46" i="28"/>
  <c r="DH46" i="28"/>
  <c r="DE46" i="28"/>
  <c r="DB46" i="28"/>
  <c r="CV46" i="28"/>
  <c r="CS46" i="28"/>
  <c r="CP46" i="28"/>
  <c r="CM46" i="28"/>
  <c r="CJ46" i="28"/>
  <c r="CG46" i="28"/>
  <c r="CA46" i="28"/>
  <c r="BX46" i="28"/>
  <c r="BU46" i="28"/>
  <c r="BR46" i="28"/>
  <c r="BO46" i="28"/>
  <c r="BL46" i="28"/>
  <c r="BF46" i="28"/>
  <c r="BC46" i="28"/>
  <c r="AZ46" i="28"/>
  <c r="AW46" i="28"/>
  <c r="AT46" i="28"/>
  <c r="AQ46" i="28"/>
  <c r="AK46" i="28"/>
  <c r="AH46" i="28"/>
  <c r="DQ45" i="28"/>
  <c r="DN45" i="28"/>
  <c r="DK45" i="28"/>
  <c r="DH45" i="28"/>
  <c r="DE45" i="28"/>
  <c r="DB45" i="28"/>
  <c r="CV45" i="28"/>
  <c r="CS45" i="28"/>
  <c r="CP45" i="28"/>
  <c r="CM45" i="28"/>
  <c r="CJ45" i="28"/>
  <c r="CG45" i="28"/>
  <c r="CA45" i="28"/>
  <c r="BX45" i="28"/>
  <c r="BU45" i="28"/>
  <c r="BR45" i="28"/>
  <c r="BO45" i="28"/>
  <c r="BL45" i="28"/>
  <c r="BF45" i="28"/>
  <c r="BC45" i="28"/>
  <c r="AZ45" i="28"/>
  <c r="AW45" i="28"/>
  <c r="AT45" i="28"/>
  <c r="AQ45" i="28"/>
  <c r="AK45" i="28"/>
  <c r="AH45" i="28"/>
  <c r="DQ44" i="28"/>
  <c r="DN44" i="28"/>
  <c r="DK44" i="28"/>
  <c r="DH44" i="28"/>
  <c r="DE44" i="28"/>
  <c r="DB44" i="28"/>
  <c r="CU44" i="28"/>
  <c r="CV44" i="28" s="1"/>
  <c r="CS44" i="28"/>
  <c r="CP44" i="28"/>
  <c r="CM44" i="28"/>
  <c r="CJ44" i="28"/>
  <c r="CG44" i="28"/>
  <c r="CA44" i="28"/>
  <c r="BX44" i="28"/>
  <c r="BU44" i="28"/>
  <c r="BR44" i="28"/>
  <c r="BO44" i="28"/>
  <c r="BL44" i="28"/>
  <c r="BF44" i="28"/>
  <c r="BC44" i="28"/>
  <c r="AZ44" i="28"/>
  <c r="AW44" i="28"/>
  <c r="AT44" i="28"/>
  <c r="AQ44" i="28"/>
  <c r="AK44" i="28"/>
  <c r="AH44" i="28"/>
  <c r="DQ43" i="28"/>
  <c r="DN43" i="28"/>
  <c r="DK43" i="28"/>
  <c r="DH43" i="28"/>
  <c r="DE43" i="28"/>
  <c r="DB43" i="28"/>
  <c r="CV43" i="28"/>
  <c r="CS43" i="28"/>
  <c r="CP43" i="28"/>
  <c r="CM43" i="28"/>
  <c r="CJ43" i="28"/>
  <c r="CG43" i="28"/>
  <c r="CA43" i="28"/>
  <c r="BX43" i="28"/>
  <c r="BU43" i="28"/>
  <c r="BR43" i="28"/>
  <c r="BO43" i="28"/>
  <c r="BL43" i="28"/>
  <c r="BF43" i="28"/>
  <c r="BC43" i="28"/>
  <c r="AZ43" i="28"/>
  <c r="AW43" i="28"/>
  <c r="AT43" i="28"/>
  <c r="AQ43" i="28"/>
  <c r="AK43" i="28"/>
  <c r="AH43" i="28"/>
  <c r="DQ42" i="28"/>
  <c r="DN42" i="28"/>
  <c r="DK42" i="28"/>
  <c r="DH42" i="28"/>
  <c r="DE42" i="28"/>
  <c r="DB42" i="28"/>
  <c r="CV42" i="28"/>
  <c r="CS42" i="28"/>
  <c r="CP42" i="28"/>
  <c r="CM42" i="28"/>
  <c r="CJ42" i="28"/>
  <c r="CG42" i="28"/>
  <c r="CA42" i="28"/>
  <c r="BX42" i="28"/>
  <c r="BU42" i="28"/>
  <c r="BR42" i="28"/>
  <c r="BO42" i="28"/>
  <c r="BL42" i="28"/>
  <c r="BF42" i="28"/>
  <c r="BC42" i="28"/>
  <c r="AZ42" i="28"/>
  <c r="AW42" i="28"/>
  <c r="AT42" i="28"/>
  <c r="AQ42" i="28"/>
  <c r="AK42" i="28"/>
  <c r="AH42" i="28"/>
  <c r="DQ41" i="28"/>
  <c r="DN41" i="28"/>
  <c r="DK41" i="28"/>
  <c r="DH41" i="28"/>
  <c r="DE41" i="28"/>
  <c r="DB41" i="28"/>
  <c r="CV41" i="28"/>
  <c r="CS41" i="28"/>
  <c r="CP41" i="28"/>
  <c r="CM41" i="28"/>
  <c r="CJ41" i="28"/>
  <c r="CG41" i="28"/>
  <c r="CA41" i="28"/>
  <c r="BX41" i="28"/>
  <c r="BU41" i="28"/>
  <c r="BR41" i="28"/>
  <c r="BO41" i="28"/>
  <c r="BL41" i="28"/>
  <c r="BF41" i="28"/>
  <c r="BC41" i="28"/>
  <c r="AZ41" i="28"/>
  <c r="AW41" i="28"/>
  <c r="AT41" i="28"/>
  <c r="AQ41" i="28"/>
  <c r="AK41" i="28"/>
  <c r="AH41" i="28"/>
  <c r="DQ40" i="28"/>
  <c r="DN40" i="28"/>
  <c r="DK40" i="28"/>
  <c r="DH40" i="28"/>
  <c r="DE40" i="28"/>
  <c r="DB40" i="28"/>
  <c r="CV40" i="28"/>
  <c r="CS40" i="28"/>
  <c r="CP40" i="28"/>
  <c r="CM40" i="28"/>
  <c r="CJ40" i="28"/>
  <c r="CG40" i="28"/>
  <c r="CA40" i="28"/>
  <c r="BX40" i="28"/>
  <c r="BU40" i="28"/>
  <c r="BR40" i="28"/>
  <c r="BO40" i="28"/>
  <c r="BL40" i="28"/>
  <c r="BF40" i="28"/>
  <c r="BC40" i="28"/>
  <c r="AZ40" i="28"/>
  <c r="AW40" i="28"/>
  <c r="AT40" i="28"/>
  <c r="AQ40" i="28"/>
  <c r="AK40" i="28"/>
  <c r="AH40" i="28"/>
  <c r="DQ39" i="28"/>
  <c r="DN39" i="28"/>
  <c r="DK39" i="28"/>
  <c r="DH39" i="28"/>
  <c r="DE39" i="28"/>
  <c r="DB39" i="28"/>
  <c r="CV39" i="28"/>
  <c r="CS39" i="28"/>
  <c r="CP39" i="28"/>
  <c r="CM39" i="28"/>
  <c r="CJ39" i="28"/>
  <c r="CG39" i="28"/>
  <c r="CA39" i="28"/>
  <c r="BX39" i="28"/>
  <c r="BU39" i="28"/>
  <c r="BR39" i="28"/>
  <c r="BO39" i="28"/>
  <c r="BL39" i="28"/>
  <c r="BF39" i="28"/>
  <c r="BC39" i="28"/>
  <c r="AZ39" i="28"/>
  <c r="AW39" i="28"/>
  <c r="AT39" i="28"/>
  <c r="AQ39" i="28"/>
  <c r="AK39" i="28"/>
  <c r="AH39" i="28"/>
  <c r="DQ38" i="28"/>
  <c r="DN38" i="28"/>
  <c r="DK38" i="28"/>
  <c r="DH38" i="28"/>
  <c r="DE38" i="28"/>
  <c r="DB38" i="28"/>
  <c r="CV38" i="28"/>
  <c r="CS38" i="28"/>
  <c r="CP38" i="28"/>
  <c r="CM38" i="28"/>
  <c r="CJ38" i="28"/>
  <c r="CG38" i="28"/>
  <c r="CA38" i="28"/>
  <c r="BX38" i="28"/>
  <c r="BU38" i="28"/>
  <c r="BR38" i="28"/>
  <c r="BO38" i="28"/>
  <c r="BL38" i="28"/>
  <c r="BF38" i="28"/>
  <c r="BC38" i="28"/>
  <c r="AZ38" i="28"/>
  <c r="AR38" i="28"/>
  <c r="AW38" i="28" s="1"/>
  <c r="AQ38" i="28"/>
  <c r="AK38" i="28"/>
  <c r="AH38" i="28"/>
  <c r="DQ37" i="28"/>
  <c r="DN37" i="28"/>
  <c r="DK37" i="28"/>
  <c r="DH37" i="28"/>
  <c r="DE37" i="28"/>
  <c r="DB37" i="28"/>
  <c r="DA37" i="28"/>
  <c r="CV37" i="28"/>
  <c r="CS37" i="28"/>
  <c r="CP37" i="28"/>
  <c r="CM37" i="28"/>
  <c r="CJ37" i="28"/>
  <c r="CG37" i="28"/>
  <c r="CA37" i="28"/>
  <c r="BX37" i="28"/>
  <c r="BU37" i="28"/>
  <c r="BR37" i="28"/>
  <c r="BO37" i="28"/>
  <c r="BL37" i="28"/>
  <c r="BF37" i="28"/>
  <c r="BC37" i="28"/>
  <c r="AZ37" i="28"/>
  <c r="AW37" i="28"/>
  <c r="AT37" i="28"/>
  <c r="AR37" i="28"/>
  <c r="AQ37" i="28"/>
  <c r="AK37" i="28"/>
  <c r="AH37" i="28"/>
  <c r="DQ36" i="28"/>
  <c r="DN36" i="28"/>
  <c r="DK36" i="28"/>
  <c r="DH36" i="28"/>
  <c r="DE36" i="28"/>
  <c r="DB36" i="28"/>
  <c r="CV36" i="28"/>
  <c r="CS36" i="28"/>
  <c r="CP36" i="28"/>
  <c r="CM36" i="28"/>
  <c r="CJ36" i="28"/>
  <c r="CG36" i="28"/>
  <c r="CA36" i="28"/>
  <c r="BX36" i="28"/>
  <c r="BU36" i="28"/>
  <c r="BR36" i="28"/>
  <c r="BO36" i="28"/>
  <c r="BL36" i="28"/>
  <c r="BF36" i="28"/>
  <c r="BC36" i="28"/>
  <c r="AZ36" i="28"/>
  <c r="AW36" i="28"/>
  <c r="AT36" i="28"/>
  <c r="AQ36" i="28"/>
  <c r="AK36" i="28"/>
  <c r="AH36" i="28"/>
  <c r="DQ35" i="28"/>
  <c r="DN35" i="28"/>
  <c r="DK35" i="28"/>
  <c r="DH35" i="28"/>
  <c r="DE35" i="28"/>
  <c r="DB35" i="28"/>
  <c r="CV35" i="28"/>
  <c r="CS35" i="28"/>
  <c r="CK35" i="28"/>
  <c r="CP35" i="28" s="1"/>
  <c r="CH35" i="28"/>
  <c r="CM35" i="28" s="1"/>
  <c r="CE35" i="28"/>
  <c r="CG35" i="28" s="1"/>
  <c r="CA35" i="28"/>
  <c r="BX35" i="28"/>
  <c r="BU35" i="28"/>
  <c r="BR35" i="28"/>
  <c r="BO35" i="28"/>
  <c r="BL35" i="28"/>
  <c r="BF35" i="28"/>
  <c r="BC35" i="28"/>
  <c r="AZ35" i="28"/>
  <c r="AW35" i="28"/>
  <c r="AT35" i="28"/>
  <c r="AQ35" i="28"/>
  <c r="AK35" i="28"/>
  <c r="AH35" i="28"/>
  <c r="DQ34" i="28"/>
  <c r="DN34" i="28"/>
  <c r="DK34" i="28"/>
  <c r="DH34" i="28"/>
  <c r="DE34" i="28"/>
  <c r="DB34" i="28"/>
  <c r="CV34" i="28"/>
  <c r="CS34" i="28"/>
  <c r="CP34" i="28"/>
  <c r="CM34" i="28"/>
  <c r="CJ34" i="28"/>
  <c r="CG34" i="28"/>
  <c r="CA34" i="28"/>
  <c r="BX34" i="28"/>
  <c r="BU34" i="28"/>
  <c r="BR34" i="28"/>
  <c r="BO34" i="28"/>
  <c r="BL34" i="28"/>
  <c r="BF34" i="28"/>
  <c r="BC34" i="28"/>
  <c r="AZ34" i="28"/>
  <c r="AW34" i="28"/>
  <c r="AT34" i="28"/>
  <c r="AQ34" i="28"/>
  <c r="AK34" i="28"/>
  <c r="AH34" i="28"/>
  <c r="DQ33" i="28"/>
  <c r="DN33" i="28"/>
  <c r="DK33" i="28"/>
  <c r="DH33" i="28"/>
  <c r="DE33" i="28"/>
  <c r="DB33" i="28"/>
  <c r="CV33" i="28"/>
  <c r="CS33" i="28"/>
  <c r="CP33" i="28"/>
  <c r="CM33" i="28"/>
  <c r="CJ33" i="28"/>
  <c r="CG33" i="28"/>
  <c r="CA33" i="28"/>
  <c r="BX33" i="28"/>
  <c r="BU33" i="28"/>
  <c r="BR33" i="28"/>
  <c r="BO33" i="28"/>
  <c r="BL33" i="28"/>
  <c r="BF33" i="28"/>
  <c r="BC33" i="28"/>
  <c r="AZ33" i="28"/>
  <c r="AW33" i="28"/>
  <c r="AT33" i="28"/>
  <c r="AQ33" i="28"/>
  <c r="AK33" i="28"/>
  <c r="AH33" i="28"/>
  <c r="DQ32" i="28"/>
  <c r="DN32" i="28"/>
  <c r="DK32" i="28"/>
  <c r="DH32" i="28"/>
  <c r="DE32" i="28"/>
  <c r="DB32" i="28"/>
  <c r="CV32" i="28"/>
  <c r="CS32" i="28"/>
  <c r="CP32" i="28"/>
  <c r="CM32" i="28"/>
  <c r="CJ32" i="28"/>
  <c r="CG32" i="28"/>
  <c r="CA32" i="28"/>
  <c r="BX32" i="28"/>
  <c r="BU32" i="28"/>
  <c r="BR32" i="28"/>
  <c r="BO32" i="28"/>
  <c r="BL32" i="28"/>
  <c r="BF32" i="28"/>
  <c r="BC32" i="28"/>
  <c r="AZ32" i="28"/>
  <c r="AW32" i="28"/>
  <c r="AT32" i="28"/>
  <c r="AQ32" i="28"/>
  <c r="AK32" i="28"/>
  <c r="AH32" i="28"/>
  <c r="DQ31" i="28"/>
  <c r="DN31" i="28"/>
  <c r="DK31" i="28"/>
  <c r="DH31" i="28"/>
  <c r="DE31" i="28"/>
  <c r="DB31" i="28"/>
  <c r="CV31" i="28"/>
  <c r="CS31" i="28"/>
  <c r="CP31" i="28"/>
  <c r="CM31" i="28"/>
  <c r="CJ31" i="28"/>
  <c r="CG31" i="28"/>
  <c r="CA31" i="28"/>
  <c r="BX31" i="28"/>
  <c r="BU31" i="28"/>
  <c r="BR31" i="28"/>
  <c r="BO31" i="28"/>
  <c r="BL31" i="28"/>
  <c r="BF31" i="28"/>
  <c r="BC31" i="28"/>
  <c r="AZ31" i="28"/>
  <c r="AW31" i="28"/>
  <c r="AT31" i="28"/>
  <c r="AQ31" i="28"/>
  <c r="AK31" i="28"/>
  <c r="AH31" i="28"/>
  <c r="DQ30" i="28"/>
  <c r="DN30" i="28"/>
  <c r="DK30" i="28"/>
  <c r="DH30" i="28"/>
  <c r="DE30" i="28"/>
  <c r="DB30" i="28"/>
  <c r="CV30" i="28"/>
  <c r="CS30" i="28"/>
  <c r="CP30" i="28"/>
  <c r="CM30" i="28"/>
  <c r="CJ30" i="28"/>
  <c r="CG30" i="28"/>
  <c r="CA30" i="28"/>
  <c r="BX30" i="28"/>
  <c r="BU30" i="28"/>
  <c r="BR30" i="28"/>
  <c r="BO30" i="28"/>
  <c r="BL30" i="28"/>
  <c r="BF30" i="28"/>
  <c r="BC30" i="28"/>
  <c r="AZ30" i="28"/>
  <c r="AW30" i="28"/>
  <c r="AT30" i="28"/>
  <c r="AQ30" i="28"/>
  <c r="AK30" i="28"/>
  <c r="AH30" i="28"/>
  <c r="DQ29" i="28"/>
  <c r="DN29" i="28"/>
  <c r="DK29" i="28"/>
  <c r="DH29" i="28"/>
  <c r="DE29" i="28"/>
  <c r="DB29" i="28"/>
  <c r="CV29" i="28"/>
  <c r="CS29" i="28"/>
  <c r="CP29" i="28"/>
  <c r="CM29" i="28"/>
  <c r="CJ29" i="28"/>
  <c r="CG29" i="28"/>
  <c r="CA29" i="28"/>
  <c r="BX29" i="28"/>
  <c r="BU29" i="28"/>
  <c r="BR29" i="28"/>
  <c r="BO29" i="28"/>
  <c r="BL29" i="28"/>
  <c r="BF29" i="28"/>
  <c r="BC29" i="28"/>
  <c r="AZ29" i="28"/>
  <c r="AW29" i="28"/>
  <c r="AT29" i="28"/>
  <c r="AQ29" i="28"/>
  <c r="AK29" i="28"/>
  <c r="AH29" i="28"/>
  <c r="DQ28" i="28"/>
  <c r="DN28" i="28"/>
  <c r="DK28" i="28"/>
  <c r="DH28" i="28"/>
  <c r="DE28" i="28"/>
  <c r="DB28" i="28"/>
  <c r="CV28" i="28"/>
  <c r="CS28" i="28"/>
  <c r="CP28" i="28"/>
  <c r="CM28" i="28"/>
  <c r="CJ28" i="28"/>
  <c r="CG28" i="28"/>
  <c r="CA28" i="28"/>
  <c r="BX28" i="28"/>
  <c r="BU28" i="28"/>
  <c r="BR28" i="28"/>
  <c r="BO28" i="28"/>
  <c r="BL28" i="28"/>
  <c r="BF28" i="28"/>
  <c r="BC28" i="28"/>
  <c r="AZ28" i="28"/>
  <c r="AW28" i="28"/>
  <c r="AT28" i="28"/>
  <c r="AQ28" i="28"/>
  <c r="AK28" i="28"/>
  <c r="AH28" i="28"/>
  <c r="DQ27" i="28"/>
  <c r="DN27" i="28"/>
  <c r="DK27" i="28"/>
  <c r="DH27" i="28"/>
  <c r="DE27" i="28"/>
  <c r="DB27" i="28"/>
  <c r="CV27" i="28"/>
  <c r="CS27" i="28"/>
  <c r="CP27" i="28"/>
  <c r="CM27" i="28"/>
  <c r="CJ27" i="28"/>
  <c r="CG27" i="28"/>
  <c r="CA27" i="28"/>
  <c r="BX27" i="28"/>
  <c r="BU27" i="28"/>
  <c r="BR27" i="28"/>
  <c r="BO27" i="28"/>
  <c r="BL27" i="28"/>
  <c r="BF27" i="28"/>
  <c r="BC27" i="28"/>
  <c r="AZ27" i="28"/>
  <c r="AW27" i="28"/>
  <c r="AT27" i="28"/>
  <c r="AQ27" i="28"/>
  <c r="AK27" i="28"/>
  <c r="AH27" i="28"/>
  <c r="DQ26" i="28"/>
  <c r="DN26" i="28"/>
  <c r="DK26" i="28"/>
  <c r="DH26" i="28"/>
  <c r="DE26" i="28"/>
  <c r="DB26" i="28"/>
  <c r="CV26" i="28"/>
  <c r="CS26" i="28"/>
  <c r="CP26" i="28"/>
  <c r="CM26" i="28"/>
  <c r="CJ26" i="28"/>
  <c r="CG26" i="28"/>
  <c r="CA26" i="28"/>
  <c r="BX26" i="28"/>
  <c r="BU26" i="28"/>
  <c r="BR26" i="28"/>
  <c r="BO26" i="28"/>
  <c r="BL26" i="28"/>
  <c r="BF26" i="28"/>
  <c r="BC26" i="28"/>
  <c r="AZ26" i="28"/>
  <c r="AW26" i="28"/>
  <c r="AT26" i="28"/>
  <c r="AQ26" i="28"/>
  <c r="AK26" i="28"/>
  <c r="AH26" i="28"/>
  <c r="DQ25" i="28"/>
  <c r="DN25" i="28"/>
  <c r="DK25" i="28"/>
  <c r="DH25" i="28"/>
  <c r="DE25" i="28"/>
  <c r="DB25" i="28"/>
  <c r="CV25" i="28"/>
  <c r="CS25" i="28"/>
  <c r="CP25" i="28"/>
  <c r="CM25" i="28"/>
  <c r="CJ25" i="28"/>
  <c r="CG25" i="28"/>
  <c r="CA25" i="28"/>
  <c r="BX25" i="28"/>
  <c r="BU25" i="28"/>
  <c r="BR25" i="28"/>
  <c r="BO25" i="28"/>
  <c r="BL25" i="28"/>
  <c r="BF25" i="28"/>
  <c r="BC25" i="28"/>
  <c r="AZ25" i="28"/>
  <c r="AW25" i="28"/>
  <c r="AT25" i="28"/>
  <c r="AQ25" i="28"/>
  <c r="AK25" i="28"/>
  <c r="AH25" i="28"/>
  <c r="DQ24" i="28"/>
  <c r="DN24" i="28"/>
  <c r="DK24" i="28"/>
  <c r="DH24" i="28"/>
  <c r="DE24" i="28"/>
  <c r="DB24" i="28"/>
  <c r="CV24" i="28"/>
  <c r="CS24" i="28"/>
  <c r="CP24" i="28"/>
  <c r="CM24" i="28"/>
  <c r="CJ24" i="28"/>
  <c r="CG24" i="28"/>
  <c r="CA24" i="28"/>
  <c r="BX24" i="28"/>
  <c r="BU24" i="28"/>
  <c r="BR24" i="28"/>
  <c r="BO24" i="28"/>
  <c r="BL24" i="28"/>
  <c r="BF24" i="28"/>
  <c r="BC24" i="28"/>
  <c r="AZ24" i="28"/>
  <c r="AW24" i="28"/>
  <c r="AT24" i="28"/>
  <c r="AQ24" i="28"/>
  <c r="AK24" i="28"/>
  <c r="AH24" i="28"/>
  <c r="DQ23" i="28"/>
  <c r="DN23" i="28"/>
  <c r="DK23" i="28"/>
  <c r="DH23" i="28"/>
  <c r="DE23" i="28"/>
  <c r="DB23" i="28"/>
  <c r="CV23" i="28"/>
  <c r="CS23" i="28"/>
  <c r="CP23" i="28"/>
  <c r="CM23" i="28"/>
  <c r="CJ23" i="28"/>
  <c r="CG23" i="28"/>
  <c r="CA23" i="28"/>
  <c r="BX23" i="28"/>
  <c r="BU23" i="28"/>
  <c r="BR23" i="28"/>
  <c r="BO23" i="28"/>
  <c r="BL23" i="28"/>
  <c r="BF23" i="28"/>
  <c r="BC23" i="28"/>
  <c r="AZ23" i="28"/>
  <c r="AW23" i="28"/>
  <c r="AT23" i="28"/>
  <c r="AQ23" i="28"/>
  <c r="AK23" i="28"/>
  <c r="AH23" i="28"/>
  <c r="DQ22" i="28"/>
  <c r="DN22" i="28"/>
  <c r="DK22" i="28"/>
  <c r="DH22" i="28"/>
  <c r="DE22" i="28"/>
  <c r="DB22" i="28"/>
  <c r="CV22" i="28"/>
  <c r="CS22" i="28"/>
  <c r="CP22" i="28"/>
  <c r="CM22" i="28"/>
  <c r="CJ22" i="28"/>
  <c r="CG22" i="28"/>
  <c r="CA22" i="28"/>
  <c r="BX22" i="28"/>
  <c r="BU22" i="28"/>
  <c r="BR22" i="28"/>
  <c r="BO22" i="28"/>
  <c r="BL22" i="28"/>
  <c r="BF22" i="28"/>
  <c r="BC22" i="28"/>
  <c r="AZ22" i="28"/>
  <c r="AW22" i="28"/>
  <c r="AT22" i="28"/>
  <c r="AQ22" i="28"/>
  <c r="AK22" i="28"/>
  <c r="AH22" i="28"/>
  <c r="DQ21" i="28"/>
  <c r="DN21" i="28"/>
  <c r="DK21" i="28"/>
  <c r="DH21" i="28"/>
  <c r="DE21" i="28"/>
  <c r="DB21" i="28"/>
  <c r="CV21" i="28"/>
  <c r="CS21" i="28"/>
  <c r="CP21" i="28"/>
  <c r="CM21" i="28"/>
  <c r="CJ21" i="28"/>
  <c r="CG21" i="28"/>
  <c r="CA21" i="28"/>
  <c r="BX21" i="28"/>
  <c r="BU21" i="28"/>
  <c r="BR21" i="28"/>
  <c r="BO21" i="28"/>
  <c r="BL21" i="28"/>
  <c r="BF21" i="28"/>
  <c r="BC21" i="28"/>
  <c r="AZ21" i="28"/>
  <c r="AW21" i="28"/>
  <c r="AT21" i="28"/>
  <c r="AQ21" i="28"/>
  <c r="AK21" i="28"/>
  <c r="AH21" i="28"/>
  <c r="DQ20" i="28"/>
  <c r="DN20" i="28"/>
  <c r="DK20" i="28"/>
  <c r="DH20" i="28"/>
  <c r="DE20" i="28"/>
  <c r="DB20" i="28"/>
  <c r="CV20" i="28"/>
  <c r="CS20" i="28"/>
  <c r="CP20" i="28"/>
  <c r="CM20" i="28"/>
  <c r="CJ20" i="28"/>
  <c r="CG20" i="28"/>
  <c r="CA20" i="28"/>
  <c r="BX20" i="28"/>
  <c r="BU20" i="28"/>
  <c r="BR20" i="28"/>
  <c r="BO20" i="28"/>
  <c r="BL20" i="28"/>
  <c r="BF20" i="28"/>
  <c r="BC20" i="28"/>
  <c r="AZ20" i="28"/>
  <c r="AW20" i="28"/>
  <c r="AT20" i="28"/>
  <c r="AQ20" i="28"/>
  <c r="AK20" i="28"/>
  <c r="AH20" i="28"/>
  <c r="DQ19" i="28"/>
  <c r="DN19" i="28"/>
  <c r="DK19" i="28"/>
  <c r="DH19" i="28"/>
  <c r="DE19" i="28"/>
  <c r="DB19" i="28"/>
  <c r="CV19" i="28"/>
  <c r="CS19" i="28"/>
  <c r="CP19" i="28"/>
  <c r="CM19" i="28"/>
  <c r="CJ19" i="28"/>
  <c r="CG19" i="28"/>
  <c r="CA19" i="28"/>
  <c r="BX19" i="28"/>
  <c r="BU19" i="28"/>
  <c r="BR19" i="28"/>
  <c r="BO19" i="28"/>
  <c r="BL19" i="28"/>
  <c r="BF19" i="28"/>
  <c r="BC19" i="28"/>
  <c r="AZ19" i="28"/>
  <c r="AW19" i="28"/>
  <c r="AT19" i="28"/>
  <c r="AQ19" i="28"/>
  <c r="AK19" i="28"/>
  <c r="AH19" i="28"/>
  <c r="DQ18" i="28"/>
  <c r="DN18" i="28"/>
  <c r="DK18" i="28"/>
  <c r="DH18" i="28"/>
  <c r="DE18" i="28"/>
  <c r="DB18" i="28"/>
  <c r="CV18" i="28"/>
  <c r="CS18" i="28"/>
  <c r="CP18" i="28"/>
  <c r="CM18" i="28"/>
  <c r="CJ18" i="28"/>
  <c r="CG18" i="28"/>
  <c r="CA18" i="28"/>
  <c r="BX18" i="28"/>
  <c r="BU18" i="28"/>
  <c r="BR18" i="28"/>
  <c r="BO18" i="28"/>
  <c r="BL18" i="28"/>
  <c r="BF18" i="28"/>
  <c r="BC18" i="28"/>
  <c r="AZ18" i="28"/>
  <c r="AW18" i="28"/>
  <c r="AT18" i="28"/>
  <c r="AQ18" i="28"/>
  <c r="AK18" i="28"/>
  <c r="AH18" i="28"/>
  <c r="DQ17" i="28"/>
  <c r="DN17" i="28"/>
  <c r="DK17" i="28"/>
  <c r="DH17" i="28"/>
  <c r="DE17" i="28"/>
  <c r="DB17" i="28"/>
  <c r="CV17" i="28"/>
  <c r="CS17" i="28"/>
  <c r="CP17" i="28"/>
  <c r="CM17" i="28"/>
  <c r="CJ17" i="28"/>
  <c r="CG17" i="28"/>
  <c r="CA17" i="28"/>
  <c r="BX17" i="28"/>
  <c r="BU17" i="28"/>
  <c r="BR17" i="28"/>
  <c r="BO17" i="28"/>
  <c r="BL17" i="28"/>
  <c r="BF17" i="28"/>
  <c r="BC17" i="28"/>
  <c r="AZ17" i="28"/>
  <c r="AW17" i="28"/>
  <c r="AT17" i="28"/>
  <c r="AQ17" i="28"/>
  <c r="AK17" i="28"/>
  <c r="AH17" i="28"/>
  <c r="DQ16" i="28"/>
  <c r="DN16" i="28"/>
  <c r="DK16" i="28"/>
  <c r="DH16" i="28"/>
  <c r="DE16" i="28"/>
  <c r="DB16" i="28"/>
  <c r="CV16" i="28"/>
  <c r="CS16" i="28"/>
  <c r="CP16" i="28"/>
  <c r="CM16" i="28"/>
  <c r="CJ16" i="28"/>
  <c r="CG16" i="28"/>
  <c r="CA16" i="28"/>
  <c r="BX16" i="28"/>
  <c r="BU16" i="28"/>
  <c r="BR16" i="28"/>
  <c r="BO16" i="28"/>
  <c r="BL16" i="28"/>
  <c r="BF16" i="28"/>
  <c r="BC16" i="28"/>
  <c r="AZ16" i="28"/>
  <c r="AW16" i="28"/>
  <c r="AT16" i="28"/>
  <c r="AQ16" i="28"/>
  <c r="AK16" i="28"/>
  <c r="AH16" i="28"/>
  <c r="DQ15" i="28"/>
  <c r="DN15" i="28"/>
  <c r="DK15" i="28"/>
  <c r="DH15" i="28"/>
  <c r="DE15" i="28"/>
  <c r="DB15" i="28"/>
  <c r="CV15" i="28"/>
  <c r="CS15" i="28"/>
  <c r="CP15" i="28"/>
  <c r="CM15" i="28"/>
  <c r="CJ15" i="28"/>
  <c r="CG15" i="28"/>
  <c r="CA15" i="28"/>
  <c r="BX15" i="28"/>
  <c r="BU15" i="28"/>
  <c r="BR15" i="28"/>
  <c r="BO15" i="28"/>
  <c r="BL15" i="28"/>
  <c r="BF15" i="28"/>
  <c r="BC15" i="28"/>
  <c r="AZ15" i="28"/>
  <c r="AW15" i="28"/>
  <c r="AT15" i="28"/>
  <c r="AQ15" i="28"/>
  <c r="AK15" i="28"/>
  <c r="AH15" i="28"/>
  <c r="DQ14" i="28"/>
  <c r="DN14" i="28"/>
  <c r="DK14" i="28"/>
  <c r="DH14" i="28"/>
  <c r="DE14" i="28"/>
  <c r="DB14" i="28"/>
  <c r="CV14" i="28"/>
  <c r="CS14" i="28"/>
  <c r="CP14" i="28"/>
  <c r="CM14" i="28"/>
  <c r="CJ14" i="28"/>
  <c r="CG14" i="28"/>
  <c r="CA14" i="28"/>
  <c r="BX14" i="28"/>
  <c r="BU14" i="28"/>
  <c r="BR14" i="28"/>
  <c r="BO14" i="28"/>
  <c r="BL14" i="28"/>
  <c r="BF14" i="28"/>
  <c r="BC14" i="28"/>
  <c r="AZ14" i="28"/>
  <c r="AW14" i="28"/>
  <c r="AT14" i="28"/>
  <c r="AQ14" i="28"/>
  <c r="AK14" i="28"/>
  <c r="AH14" i="28"/>
  <c r="DQ13" i="28"/>
  <c r="DN13" i="28"/>
  <c r="DK13" i="28"/>
  <c r="DG13" i="28"/>
  <c r="DG267" i="28" s="1"/>
  <c r="DE13" i="28"/>
  <c r="DB13" i="28"/>
  <c r="CV13" i="28"/>
  <c r="CU13" i="28"/>
  <c r="CU267" i="28" s="1"/>
  <c r="CS13" i="28"/>
  <c r="CP13" i="28"/>
  <c r="CM13" i="28"/>
  <c r="CJ13" i="28"/>
  <c r="CG13" i="28"/>
  <c r="CA13" i="28"/>
  <c r="BX13" i="28"/>
  <c r="BU13" i="28"/>
  <c r="BR13" i="28"/>
  <c r="BO13" i="28"/>
  <c r="BL13" i="28"/>
  <c r="BF13" i="28"/>
  <c r="BC13" i="28"/>
  <c r="AZ13" i="28"/>
  <c r="AW13" i="28"/>
  <c r="AT13" i="28"/>
  <c r="AQ13" i="28"/>
  <c r="AK13" i="28"/>
  <c r="AH13" i="28"/>
  <c r="DQ12" i="28"/>
  <c r="DN12" i="28"/>
  <c r="DK12" i="28"/>
  <c r="DH12" i="28"/>
  <c r="DE12" i="28"/>
  <c r="DB12" i="28"/>
  <c r="CV12" i="28"/>
  <c r="CS12" i="28"/>
  <c r="CP12" i="28"/>
  <c r="CM12" i="28"/>
  <c r="CJ12" i="28"/>
  <c r="CG12" i="28"/>
  <c r="CA12" i="28"/>
  <c r="BX12" i="28"/>
  <c r="BU12" i="28"/>
  <c r="BR12" i="28"/>
  <c r="BO12" i="28"/>
  <c r="BL12" i="28"/>
  <c r="BF12" i="28"/>
  <c r="BC12" i="28"/>
  <c r="AZ12" i="28"/>
  <c r="AW12" i="28"/>
  <c r="AT12" i="28"/>
  <c r="AQ12" i="28"/>
  <c r="AK12" i="28"/>
  <c r="AH12" i="28"/>
  <c r="DQ11" i="28"/>
  <c r="DN11" i="28"/>
  <c r="DK11" i="28"/>
  <c r="DH11" i="28"/>
  <c r="DE11" i="28"/>
  <c r="DB11" i="28"/>
  <c r="CV11" i="28"/>
  <c r="CS11" i="28"/>
  <c r="CP11" i="28"/>
  <c r="CM11" i="28"/>
  <c r="CJ11" i="28"/>
  <c r="CG11" i="28"/>
  <c r="CA11" i="28"/>
  <c r="BX11" i="28"/>
  <c r="BU11" i="28"/>
  <c r="BR11" i="28"/>
  <c r="BO11" i="28"/>
  <c r="BL11" i="28"/>
  <c r="BF11" i="28"/>
  <c r="BC11" i="28"/>
  <c r="AZ11" i="28"/>
  <c r="AW11" i="28"/>
  <c r="AT11" i="28"/>
  <c r="AQ11" i="28"/>
  <c r="AK11" i="28"/>
  <c r="AH11" i="28"/>
  <c r="DQ10" i="28"/>
  <c r="DN10" i="28"/>
  <c r="DK10" i="28"/>
  <c r="DH10" i="28"/>
  <c r="DE10" i="28"/>
  <c r="DB10" i="28"/>
  <c r="CV10" i="28"/>
  <c r="CS10" i="28"/>
  <c r="CP10" i="28"/>
  <c r="CM10" i="28"/>
  <c r="CJ10" i="28"/>
  <c r="CG10" i="28"/>
  <c r="CA10" i="28"/>
  <c r="BX10" i="28"/>
  <c r="BU10" i="28"/>
  <c r="BR10" i="28"/>
  <c r="BO10" i="28"/>
  <c r="BL10" i="28"/>
  <c r="BF10" i="28"/>
  <c r="BC10" i="28"/>
  <c r="AZ10" i="28"/>
  <c r="AW10" i="28"/>
  <c r="AT10" i="28"/>
  <c r="AQ10" i="28"/>
  <c r="AK10" i="28"/>
  <c r="AH10" i="28"/>
  <c r="DQ9" i="28"/>
  <c r="DN9" i="28"/>
  <c r="DK9" i="28"/>
  <c r="DH9" i="28"/>
  <c r="DE9" i="28"/>
  <c r="DB9" i="28"/>
  <c r="CV9" i="28"/>
  <c r="CS9" i="28"/>
  <c r="CP9" i="28"/>
  <c r="CM9" i="28"/>
  <c r="CJ9" i="28"/>
  <c r="CG9" i="28"/>
  <c r="CA9" i="28"/>
  <c r="BX9" i="28"/>
  <c r="BU9" i="28"/>
  <c r="BR9" i="28"/>
  <c r="BO9" i="28"/>
  <c r="BL9" i="28"/>
  <c r="BF9" i="28"/>
  <c r="BC9" i="28"/>
  <c r="AZ9" i="28"/>
  <c r="AW9" i="28"/>
  <c r="AT9" i="28"/>
  <c r="AQ9" i="28"/>
  <c r="AK9" i="28"/>
  <c r="AH9" i="28"/>
  <c r="DQ8" i="28"/>
  <c r="DN8" i="28"/>
  <c r="DK8" i="28"/>
  <c r="DH8" i="28"/>
  <c r="DE8" i="28"/>
  <c r="DB8" i="28"/>
  <c r="CV8" i="28"/>
  <c r="CS8" i="28"/>
  <c r="CP8" i="28"/>
  <c r="CM8" i="28"/>
  <c r="CJ8" i="28"/>
  <c r="CG8" i="28"/>
  <c r="CA8" i="28"/>
  <c r="BX8" i="28"/>
  <c r="BU8" i="28"/>
  <c r="BR8" i="28"/>
  <c r="BO8" i="28"/>
  <c r="BL8" i="28"/>
  <c r="BF8" i="28"/>
  <c r="BC8" i="28"/>
  <c r="AZ8" i="28"/>
  <c r="AW8" i="28"/>
  <c r="AT8" i="28"/>
  <c r="AQ8" i="28"/>
  <c r="AK8" i="28"/>
  <c r="AH8" i="28"/>
  <c r="DQ7" i="28"/>
  <c r="DN7" i="28"/>
  <c r="DN267" i="28" s="1"/>
  <c r="DK7" i="28"/>
  <c r="DK267" i="28" s="1"/>
  <c r="DH7" i="28"/>
  <c r="DE7" i="28"/>
  <c r="DB7" i="28"/>
  <c r="CV7" i="28"/>
  <c r="CS7" i="28"/>
  <c r="CP7" i="28"/>
  <c r="CM7" i="28"/>
  <c r="CJ7" i="28"/>
  <c r="CG7" i="28"/>
  <c r="CA7" i="28"/>
  <c r="BX7" i="28"/>
  <c r="BU7" i="28"/>
  <c r="BR7" i="28"/>
  <c r="BO7" i="28"/>
  <c r="BL7" i="28"/>
  <c r="BL267" i="28" s="1"/>
  <c r="BF7" i="28"/>
  <c r="BC7" i="28"/>
  <c r="AZ7" i="28"/>
  <c r="AW7" i="28"/>
  <c r="AT7" i="28"/>
  <c r="AQ7" i="28"/>
  <c r="AQ267" i="28" s="1"/>
  <c r="AK7" i="28"/>
  <c r="AH7" i="28"/>
  <c r="DQ6" i="28"/>
  <c r="DN6" i="28"/>
  <c r="DK6" i="28"/>
  <c r="DH6" i="28"/>
  <c r="DE6" i="28"/>
  <c r="DB6" i="28"/>
  <c r="CV6" i="28"/>
  <c r="CS6" i="28"/>
  <c r="CS267" i="28" s="1"/>
  <c r="CP6" i="28"/>
  <c r="CP267" i="28" s="1"/>
  <c r="CM6" i="28"/>
  <c r="CJ6" i="28"/>
  <c r="CG6" i="28"/>
  <c r="CA6" i="28"/>
  <c r="BX6" i="28"/>
  <c r="BU6" i="28"/>
  <c r="BR6" i="28"/>
  <c r="BO6" i="28"/>
  <c r="BL6" i="28"/>
  <c r="BF6" i="28"/>
  <c r="BC6" i="28"/>
  <c r="AZ6" i="28"/>
  <c r="AW6" i="28"/>
  <c r="AT6" i="28"/>
  <c r="AQ6" i="28"/>
  <c r="AK6" i="28"/>
  <c r="AH6" i="28"/>
  <c r="AH267" i="28" s="1"/>
  <c r="DQ5" i="28"/>
  <c r="DQ267" i="28" s="1"/>
  <c r="DN5" i="28"/>
  <c r="DK5" i="28"/>
  <c r="DH5" i="28"/>
  <c r="DE5" i="28"/>
  <c r="DB5" i="28"/>
  <c r="CV5" i="28"/>
  <c r="CS5" i="28"/>
  <c r="CP5" i="28"/>
  <c r="CM5" i="28"/>
  <c r="CJ5" i="28"/>
  <c r="CG5" i="28"/>
  <c r="CA5" i="28"/>
  <c r="BX5" i="28"/>
  <c r="BU5" i="28"/>
  <c r="BU267" i="28" s="1"/>
  <c r="BR5" i="28"/>
  <c r="BR267" i="28" s="1"/>
  <c r="BO5" i="28"/>
  <c r="BL5" i="28"/>
  <c r="BF5" i="28"/>
  <c r="BC5" i="28"/>
  <c r="AZ5" i="28"/>
  <c r="AW5" i="28"/>
  <c r="AT5" i="28"/>
  <c r="AQ5" i="28"/>
  <c r="AK5" i="28"/>
  <c r="AK267" i="28" s="1"/>
  <c r="AH5" i="28"/>
  <c r="O571" i="29" l="1"/>
  <c r="V30" i="29"/>
  <c r="V527" i="29"/>
  <c r="V551" i="29" s="1"/>
  <c r="V583" i="29" s="1"/>
  <c r="V11" i="31" s="1"/>
  <c r="V33" i="31" s="1"/>
  <c r="V58" i="31" s="1"/>
  <c r="V81" i="31" s="1"/>
  <c r="V104" i="31" s="1"/>
  <c r="V129" i="31" s="1"/>
  <c r="V151" i="31" s="1"/>
  <c r="V173" i="31" s="1"/>
  <c r="V199" i="31" s="1"/>
  <c r="V221" i="31" s="1"/>
  <c r="V246" i="31" s="1"/>
  <c r="V270" i="31" s="1"/>
  <c r="V292" i="31" s="1"/>
  <c r="V312" i="31" s="1"/>
  <c r="V335" i="31" s="1"/>
  <c r="V357" i="31" s="1"/>
  <c r="V384" i="31" s="1"/>
  <c r="P569" i="29"/>
  <c r="V73" i="29"/>
  <c r="V54" i="29"/>
  <c r="O582" i="29"/>
  <c r="V101" i="29"/>
  <c r="V120" i="29" s="1"/>
  <c r="V140" i="29" s="1"/>
  <c r="V160" i="29" s="1"/>
  <c r="V181" i="29" s="1"/>
  <c r="V202" i="29" s="1"/>
  <c r="V221" i="29" s="1"/>
  <c r="V241" i="29" s="1"/>
  <c r="V263" i="29" s="1"/>
  <c r="V282" i="29" s="1"/>
  <c r="V301" i="29" s="1"/>
  <c r="V321" i="29" s="1"/>
  <c r="V342" i="29" s="1"/>
  <c r="V362" i="29" s="1"/>
  <c r="V385" i="29" s="1"/>
  <c r="V406" i="29" s="1"/>
  <c r="V430" i="29" s="1"/>
  <c r="V456" i="29" s="1"/>
  <c r="V479" i="29" s="1"/>
  <c r="V503" i="29" s="1"/>
  <c r="V530" i="29" s="1"/>
  <c r="V554" i="29" s="1"/>
  <c r="V589" i="29" s="1"/>
  <c r="V13" i="31" s="1"/>
  <c r="V36" i="31" s="1"/>
  <c r="V60" i="31" s="1"/>
  <c r="V83" i="31" s="1"/>
  <c r="V107" i="31" s="1"/>
  <c r="V131" i="31" s="1"/>
  <c r="V153" i="31" s="1"/>
  <c r="V176" i="31" s="1"/>
  <c r="V201" i="31" s="1"/>
  <c r="V223" i="31" s="1"/>
  <c r="V248" i="31" s="1"/>
  <c r="V272" i="31" s="1"/>
  <c r="V294" i="31" s="1"/>
  <c r="V316" i="31" s="1"/>
  <c r="V337" i="31" s="1"/>
  <c r="V359" i="31" s="1"/>
  <c r="V390" i="31" s="1"/>
  <c r="V137" i="29"/>
  <c r="V157" i="29" s="1"/>
  <c r="V177" i="29" s="1"/>
  <c r="V198" i="29" s="1"/>
  <c r="V218" i="29" s="1"/>
  <c r="V237" i="29" s="1"/>
  <c r="V259" i="29" s="1"/>
  <c r="V279" i="29" s="1"/>
  <c r="V298" i="29" s="1"/>
  <c r="V318" i="29" s="1"/>
  <c r="V339" i="29" s="1"/>
  <c r="V358" i="29" s="1"/>
  <c r="V381" i="29" s="1"/>
  <c r="V76" i="29"/>
  <c r="V96" i="29" s="1"/>
  <c r="V116" i="29" s="1"/>
  <c r="V136" i="29" s="1"/>
  <c r="V156" i="29" s="1"/>
  <c r="O573" i="29"/>
  <c r="V8" i="29"/>
  <c r="V502" i="29"/>
  <c r="V529" i="29" s="1"/>
  <c r="V553" i="29" s="1"/>
  <c r="V587" i="29" s="1"/>
  <c r="V12" i="31" s="1"/>
  <c r="V35" i="31" s="1"/>
  <c r="V59" i="31" s="1"/>
  <c r="V82" i="31" s="1"/>
  <c r="V106" i="31" s="1"/>
  <c r="V130" i="31" s="1"/>
  <c r="V152" i="31" s="1"/>
  <c r="V175" i="31" s="1"/>
  <c r="V200" i="31" s="1"/>
  <c r="V222" i="31" s="1"/>
  <c r="V247" i="31" s="1"/>
  <c r="V271" i="31" s="1"/>
  <c r="V293" i="31" s="1"/>
  <c r="V315" i="31" s="1"/>
  <c r="V336" i="31" s="1"/>
  <c r="V358" i="31" s="1"/>
  <c r="V388" i="31" s="1"/>
  <c r="O569" i="29"/>
  <c r="V50" i="29"/>
  <c r="V70" i="29" s="1"/>
  <c r="V92" i="29" s="1"/>
  <c r="V113" i="29" s="1"/>
  <c r="V132" i="29" s="1"/>
  <c r="V152" i="29" s="1"/>
  <c r="V173" i="29" s="1"/>
  <c r="V193" i="29" s="1"/>
  <c r="V215" i="29" s="1"/>
  <c r="V233" i="29" s="1"/>
  <c r="V254" i="29" s="1"/>
  <c r="V276" i="29" s="1"/>
  <c r="V295" i="29" s="1"/>
  <c r="V314" i="29" s="1"/>
  <c r="V335" i="29" s="1"/>
  <c r="V355" i="29" s="1"/>
  <c r="V376" i="29" s="1"/>
  <c r="V399" i="29" s="1"/>
  <c r="V422" i="29" s="1"/>
  <c r="V449" i="29" s="1"/>
  <c r="V473" i="29" s="1"/>
  <c r="V495" i="29" s="1"/>
  <c r="V521" i="29" s="1"/>
  <c r="V547" i="29" s="1"/>
  <c r="V573" i="29" s="1"/>
  <c r="V7" i="31" s="1"/>
  <c r="V30" i="31" s="1"/>
  <c r="V53" i="31" s="1"/>
  <c r="V77" i="31" s="1"/>
  <c r="V100" i="31" s="1"/>
  <c r="V124" i="31" s="1"/>
  <c r="V147" i="31" s="1"/>
  <c r="V169" i="31" s="1"/>
  <c r="V193" i="31" s="1"/>
  <c r="V217" i="31" s="1"/>
  <c r="V239" i="31" s="1"/>
  <c r="V264" i="31" s="1"/>
  <c r="V288" i="31" s="1"/>
  <c r="V309" i="31" s="1"/>
  <c r="V331" i="31" s="1"/>
  <c r="V353" i="31" s="1"/>
  <c r="V375" i="31" s="1"/>
  <c r="P571" i="29"/>
  <c r="V95" i="29"/>
  <c r="V115" i="29" s="1"/>
  <c r="V135" i="29" s="1"/>
  <c r="V154" i="29" s="1"/>
  <c r="V175" i="29" s="1"/>
  <c r="V196" i="29" s="1"/>
  <c r="V217" i="29" s="1"/>
  <c r="V235" i="29" s="1"/>
  <c r="V257" i="29" s="1"/>
  <c r="V278" i="29" s="1"/>
  <c r="V297" i="29" s="1"/>
  <c r="V316" i="29" s="1"/>
  <c r="V338" i="29" s="1"/>
  <c r="V357" i="29" s="1"/>
  <c r="V379" i="29" s="1"/>
  <c r="V402" i="29" s="1"/>
  <c r="V424" i="29" s="1"/>
  <c r="V452" i="29" s="1"/>
  <c r="V475" i="29" s="1"/>
  <c r="V498" i="29" s="1"/>
  <c r="V525" i="29" s="1"/>
  <c r="V550" i="29" s="1"/>
  <c r="V576" i="29" s="1"/>
  <c r="V9" i="31" s="1"/>
  <c r="V32" i="31" s="1"/>
  <c r="V57" i="31" s="1"/>
  <c r="V79" i="31" s="1"/>
  <c r="V103" i="31" s="1"/>
  <c r="V128" i="31" s="1"/>
  <c r="V149" i="31" s="1"/>
  <c r="V172" i="31" s="1"/>
  <c r="V196" i="31" s="1"/>
  <c r="V219" i="31" s="1"/>
  <c r="V243" i="31" s="1"/>
  <c r="V266" i="31" s="1"/>
  <c r="V291" i="31" s="1"/>
  <c r="V311" i="31" s="1"/>
  <c r="V334" i="31" s="1"/>
  <c r="V356" i="31" s="1"/>
  <c r="V379" i="31" s="1"/>
  <c r="V448" i="29"/>
  <c r="V472" i="29" s="1"/>
  <c r="V494" i="29" s="1"/>
  <c r="V520" i="29" s="1"/>
  <c r="V546" i="29" s="1"/>
  <c r="V572" i="29" s="1"/>
  <c r="V6" i="31" s="1"/>
  <c r="V29" i="31" s="1"/>
  <c r="V52" i="31" s="1"/>
  <c r="V274" i="29"/>
  <c r="V333" i="29"/>
  <c r="V31" i="29"/>
  <c r="V340" i="29"/>
  <c r="V359" i="29" s="1"/>
  <c r="V382" i="29" s="1"/>
  <c r="V404" i="29" s="1"/>
  <c r="V304" i="29"/>
  <c r="V324" i="29" s="1"/>
  <c r="V345" i="29" s="1"/>
  <c r="V365" i="29" s="1"/>
  <c r="V388" i="29" s="1"/>
  <c r="V411" i="29" s="1"/>
  <c r="V436" i="29" s="1"/>
  <c r="V460" i="29" s="1"/>
  <c r="V483" i="29" s="1"/>
  <c r="V509" i="29" s="1"/>
  <c r="V535" i="29" s="1"/>
  <c r="V559" i="29" s="1"/>
  <c r="V593" i="29" s="1"/>
  <c r="V18" i="31" s="1"/>
  <c r="V40" i="31" s="1"/>
  <c r="V64" i="31" s="1"/>
  <c r="V88" i="31" s="1"/>
  <c r="V112" i="31" s="1"/>
  <c r="V135" i="31" s="1"/>
  <c r="V157" i="31" s="1"/>
  <c r="V180" i="31" s="1"/>
  <c r="V205" i="31" s="1"/>
  <c r="V227" i="31" s="1"/>
  <c r="V252" i="31" s="1"/>
  <c r="V276" i="31" s="1"/>
  <c r="V298" i="31" s="1"/>
  <c r="V320" i="31" s="1"/>
  <c r="V341" i="31" s="1"/>
  <c r="V363" i="31" s="1"/>
  <c r="V394" i="31" s="1"/>
  <c r="V354" i="29"/>
  <c r="V375" i="29" s="1"/>
  <c r="V398" i="29" s="1"/>
  <c r="V421" i="29" s="1"/>
  <c r="S569" i="29"/>
  <c r="S607" i="29" s="1"/>
  <c r="CV267" i="28"/>
  <c r="DB267" i="28"/>
  <c r="AZ267" i="28"/>
  <c r="BF267" i="28"/>
  <c r="V51" i="29"/>
  <c r="V72" i="29" s="1"/>
  <c r="V93" i="29" s="1"/>
  <c r="V79" i="29"/>
  <c r="V114" i="29"/>
  <c r="V133" i="29" s="1"/>
  <c r="V153" i="29" s="1"/>
  <c r="V174" i="29" s="1"/>
  <c r="V195" i="29" s="1"/>
  <c r="V216" i="29" s="1"/>
  <c r="V234" i="29" s="1"/>
  <c r="V255" i="29" s="1"/>
  <c r="V277" i="29" s="1"/>
  <c r="V296" i="29" s="1"/>
  <c r="V315" i="29" s="1"/>
  <c r="V336" i="29" s="1"/>
  <c r="V356" i="29" s="1"/>
  <c r="V378" i="29" s="1"/>
  <c r="V400" i="29" s="1"/>
  <c r="V423" i="29" s="1"/>
  <c r="V451" i="29" s="1"/>
  <c r="V474" i="29" s="1"/>
  <c r="V496" i="29" s="1"/>
  <c r="V523" i="29" s="1"/>
  <c r="V548" i="29" s="1"/>
  <c r="V575" i="29" s="1"/>
  <c r="V8" i="31" s="1"/>
  <c r="V31" i="31" s="1"/>
  <c r="V55" i="31" s="1"/>
  <c r="V78" i="31" s="1"/>
  <c r="V101" i="31" s="1"/>
  <c r="V126" i="31" s="1"/>
  <c r="V148" i="31" s="1"/>
  <c r="V170" i="31" s="1"/>
  <c r="V194" i="31" s="1"/>
  <c r="V218" i="31" s="1"/>
  <c r="V241" i="31" s="1"/>
  <c r="V265" i="31" s="1"/>
  <c r="V289" i="31" s="1"/>
  <c r="V310" i="31" s="1"/>
  <c r="V333" i="31" s="1"/>
  <c r="V354" i="31" s="1"/>
  <c r="V377" i="31" s="1"/>
  <c r="V480" i="29"/>
  <c r="V505" i="29" s="1"/>
  <c r="V531" i="29" s="1"/>
  <c r="V555" i="29" s="1"/>
  <c r="V591" i="29" s="1"/>
  <c r="V15" i="31" s="1"/>
  <c r="AW267" i="28"/>
  <c r="CG267" i="28"/>
  <c r="V143" i="29"/>
  <c r="V164" i="29" s="1"/>
  <c r="V184" i="29" s="1"/>
  <c r="V206" i="29" s="1"/>
  <c r="V224" i="29" s="1"/>
  <c r="V244" i="29" s="1"/>
  <c r="V266" i="29" s="1"/>
  <c r="V285" i="29" s="1"/>
  <c r="BO267" i="28"/>
  <c r="V353" i="29"/>
  <c r="V374" i="29" s="1"/>
  <c r="V397" i="29" s="1"/>
  <c r="V420" i="29" s="1"/>
  <c r="V447" i="29" s="1"/>
  <c r="V471" i="29" s="1"/>
  <c r="V493" i="29" s="1"/>
  <c r="V519" i="29" s="1"/>
  <c r="V545" i="29" s="1"/>
  <c r="V571" i="29" s="1"/>
  <c r="V5" i="31" s="1"/>
  <c r="V28" i="31" s="1"/>
  <c r="V51" i="31" s="1"/>
  <c r="V75" i="31" s="1"/>
  <c r="V98" i="31" s="1"/>
  <c r="V122" i="31" s="1"/>
  <c r="V145" i="31" s="1"/>
  <c r="V167" i="31" s="1"/>
  <c r="V191" i="31" s="1"/>
  <c r="V215" i="31" s="1"/>
  <c r="V237" i="31" s="1"/>
  <c r="V262" i="31" s="1"/>
  <c r="V457" i="29"/>
  <c r="V557" i="29"/>
  <c r="V597" i="29" s="1"/>
  <c r="V17" i="31" s="1"/>
  <c r="V39" i="31" s="1"/>
  <c r="V63" i="31" s="1"/>
  <c r="V87" i="31" s="1"/>
  <c r="V110" i="31" s="1"/>
  <c r="V134" i="31" s="1"/>
  <c r="V156" i="31" s="1"/>
  <c r="V179" i="31" s="1"/>
  <c r="V204" i="31" s="1"/>
  <c r="V226" i="31" s="1"/>
  <c r="V251" i="31" s="1"/>
  <c r="V275" i="31" s="1"/>
  <c r="V297" i="31" s="1"/>
  <c r="V319" i="31" s="1"/>
  <c r="V340" i="31" s="1"/>
  <c r="V362" i="31" s="1"/>
  <c r="V398" i="31" s="1"/>
  <c r="BC296" i="28"/>
  <c r="S129" i="29" s="1"/>
  <c r="O593" i="29"/>
  <c r="P352" i="29"/>
  <c r="BB2" i="30"/>
  <c r="V20" i="31"/>
  <c r="V42" i="31" s="1"/>
  <c r="V67" i="31" s="1"/>
  <c r="V90" i="31" s="1"/>
  <c r="O400" i="31"/>
  <c r="V92" i="38"/>
  <c r="V112" i="38" s="1"/>
  <c r="V134" i="38" s="1"/>
  <c r="V157" i="38" s="1"/>
  <c r="AT38" i="28"/>
  <c r="AT267" i="28" s="1"/>
  <c r="T607" i="29"/>
  <c r="O583" i="29"/>
  <c r="P390" i="31"/>
  <c r="O375" i="31"/>
  <c r="V287" i="31"/>
  <c r="V308" i="31" s="1"/>
  <c r="V330" i="31" s="1"/>
  <c r="V352" i="31" s="1"/>
  <c r="V374" i="31" s="1"/>
  <c r="O597" i="29"/>
  <c r="AP296" i="28"/>
  <c r="R47" i="29" s="1"/>
  <c r="CO296" i="28"/>
  <c r="R352" i="29" s="1"/>
  <c r="BC129" i="28"/>
  <c r="BC267" i="28" s="1"/>
  <c r="CM252" i="28"/>
  <c r="P593" i="29"/>
  <c r="P111" i="29"/>
  <c r="DH13" i="28"/>
  <c r="DH267" i="28" s="1"/>
  <c r="DE115" i="28"/>
  <c r="DE267" i="28" s="1"/>
  <c r="AT172" i="28"/>
  <c r="AT183" i="28"/>
  <c r="V4" i="29"/>
  <c r="V28" i="29" s="1"/>
  <c r="V47" i="29" s="1"/>
  <c r="V67" i="29" s="1"/>
  <c r="V89" i="29" s="1"/>
  <c r="V110" i="29" s="1"/>
  <c r="P50" i="29"/>
  <c r="P573" i="29" s="1"/>
  <c r="CU267" i="30"/>
  <c r="V37" i="31"/>
  <c r="V61" i="31" s="1"/>
  <c r="V85" i="31" s="1"/>
  <c r="V108" i="31" s="1"/>
  <c r="V132" i="31" s="1"/>
  <c r="H408" i="31"/>
  <c r="U607" i="29"/>
  <c r="CO2" i="30"/>
  <c r="CO267" i="30"/>
  <c r="BX64" i="28"/>
  <c r="BX267" i="28" s="1"/>
  <c r="BW296" i="28"/>
  <c r="R251" i="29" s="1"/>
  <c r="AS296" i="28"/>
  <c r="R67" i="29" s="1"/>
  <c r="O5" i="29"/>
  <c r="V280" i="29"/>
  <c r="V299" i="29" s="1"/>
  <c r="V319" i="29" s="1"/>
  <c r="O572" i="29"/>
  <c r="CR2" i="30"/>
  <c r="CX267" i="30"/>
  <c r="CX2" i="30"/>
  <c r="BF268" i="36"/>
  <c r="V170" i="37"/>
  <c r="V194" i="37" s="1"/>
  <c r="AT296" i="28"/>
  <c r="S67" i="29" s="1"/>
  <c r="BZ296" i="28"/>
  <c r="R273" i="29" s="1"/>
  <c r="G607" i="29"/>
  <c r="K408" i="31"/>
  <c r="BI268" i="36"/>
  <c r="O559" i="37"/>
  <c r="V6" i="37"/>
  <c r="V25" i="37" s="1"/>
  <c r="V46" i="37" s="1"/>
  <c r="V68" i="37" s="1"/>
  <c r="V91" i="37" s="1"/>
  <c r="V117" i="37" s="1"/>
  <c r="V139" i="37" s="1"/>
  <c r="V162" i="37" s="1"/>
  <c r="V185" i="37" s="1"/>
  <c r="V206" i="37" s="1"/>
  <c r="V227" i="37" s="1"/>
  <c r="V248" i="37" s="1"/>
  <c r="V269" i="37" s="1"/>
  <c r="V291" i="37" s="1"/>
  <c r="V314" i="37" s="1"/>
  <c r="V335" i="37" s="1"/>
  <c r="V355" i="37" s="1"/>
  <c r="V376" i="37" s="1"/>
  <c r="V395" i="37" s="1"/>
  <c r="V414" i="37" s="1"/>
  <c r="V435" i="37" s="1"/>
  <c r="V455" i="37" s="1"/>
  <c r="V475" i="37" s="1"/>
  <c r="V494" i="37" s="1"/>
  <c r="V515" i="37" s="1"/>
  <c r="V537" i="37" s="1"/>
  <c r="V559" i="37" s="1"/>
  <c r="H607" i="29"/>
  <c r="BQ271" i="39"/>
  <c r="BQ2" i="39"/>
  <c r="V74" i="31"/>
  <c r="V97" i="31" s="1"/>
  <c r="V215" i="37"/>
  <c r="V236" i="37" s="1"/>
  <c r="V257" i="37" s="1"/>
  <c r="CI271" i="39"/>
  <c r="BN2" i="39"/>
  <c r="O372" i="31"/>
  <c r="AT174" i="28"/>
  <c r="CV252" i="28"/>
  <c r="CR267" i="28"/>
  <c r="P581" i="29"/>
  <c r="O581" i="29"/>
  <c r="AR293" i="30"/>
  <c r="R144" i="31" s="1"/>
  <c r="O154" i="31"/>
  <c r="V136" i="31"/>
  <c r="V158" i="31" s="1"/>
  <c r="V182" i="31" s="1"/>
  <c r="V206" i="31" s="1"/>
  <c r="V228" i="31" s="1"/>
  <c r="V253" i="31" s="1"/>
  <c r="V277" i="31" s="1"/>
  <c r="V299" i="31" s="1"/>
  <c r="V321" i="31" s="1"/>
  <c r="V343" i="31" s="1"/>
  <c r="V364" i="31" s="1"/>
  <c r="V396" i="31" s="1"/>
  <c r="BR268" i="36"/>
  <c r="AK268" i="36"/>
  <c r="CM268" i="36"/>
  <c r="DH268" i="36"/>
  <c r="K607" i="29"/>
  <c r="O222" i="29"/>
  <c r="V222" i="29" s="1"/>
  <c r="V242" i="29" s="1"/>
  <c r="V264" i="29" s="1"/>
  <c r="V283" i="29" s="1"/>
  <c r="V302" i="29" s="1"/>
  <c r="V322" i="29" s="1"/>
  <c r="L607" i="29"/>
  <c r="AJ267" i="30"/>
  <c r="O379" i="31"/>
  <c r="O394" i="31"/>
  <c r="V24" i="37"/>
  <c r="V45" i="37" s="1"/>
  <c r="V67" i="37" s="1"/>
  <c r="V90" i="37" s="1"/>
  <c r="V116" i="37" s="1"/>
  <c r="V138" i="37" s="1"/>
  <c r="V161" i="37" s="1"/>
  <c r="V184" i="37" s="1"/>
  <c r="V205" i="37" s="1"/>
  <c r="V226" i="37" s="1"/>
  <c r="V247" i="37" s="1"/>
  <c r="V268" i="37" s="1"/>
  <c r="V290" i="37" s="1"/>
  <c r="V313" i="37" s="1"/>
  <c r="V334" i="37" s="1"/>
  <c r="V354" i="37" s="1"/>
  <c r="V375" i="37" s="1"/>
  <c r="V394" i="37" s="1"/>
  <c r="V413" i="37" s="1"/>
  <c r="V434" i="37" s="1"/>
  <c r="V454" i="37" s="1"/>
  <c r="V474" i="37" s="1"/>
  <c r="V493" i="37" s="1"/>
  <c r="V514" i="37" s="1"/>
  <c r="V536" i="37" s="1"/>
  <c r="V558" i="37" s="1"/>
  <c r="V380" i="37"/>
  <c r="V399" i="37" s="1"/>
  <c r="V420" i="37" s="1"/>
  <c r="V440" i="37" s="1"/>
  <c r="V460" i="37" s="1"/>
  <c r="V479" i="37" s="1"/>
  <c r="V500" i="37" s="1"/>
  <c r="V521" i="37" s="1"/>
  <c r="V543" i="37" s="1"/>
  <c r="V569" i="37" s="1"/>
  <c r="CJ35" i="28"/>
  <c r="CJ267" i="28" s="1"/>
  <c r="CM64" i="28"/>
  <c r="CM267" i="28" s="1"/>
  <c r="AT73" i="28"/>
  <c r="AY296" i="28"/>
  <c r="R110" i="29" s="1"/>
  <c r="R569" i="29" s="1"/>
  <c r="R607" i="29" s="1"/>
  <c r="O587" i="29"/>
  <c r="P222" i="29"/>
  <c r="P591" i="29" s="1"/>
  <c r="AM267" i="30"/>
  <c r="P394" i="31"/>
  <c r="O373" i="31"/>
  <c r="CA268" i="36"/>
  <c r="O129" i="29"/>
  <c r="N607" i="29"/>
  <c r="AS267" i="30"/>
  <c r="P396" i="31"/>
  <c r="U408" i="31"/>
  <c r="CD268" i="36"/>
  <c r="V279" i="37"/>
  <c r="V301" i="37" s="1"/>
  <c r="V323" i="37" s="1"/>
  <c r="V344" i="37" s="1"/>
  <c r="V364" i="37" s="1"/>
  <c r="V384" i="37" s="1"/>
  <c r="V403" i="37" s="1"/>
  <c r="V424" i="37" s="1"/>
  <c r="V444" i="37" s="1"/>
  <c r="V464" i="37" s="1"/>
  <c r="V483" i="37" s="1"/>
  <c r="V504" i="37" s="1"/>
  <c r="V525" i="37" s="1"/>
  <c r="V547" i="37" s="1"/>
  <c r="V576" i="37" s="1"/>
  <c r="O575" i="29"/>
  <c r="O589" i="29"/>
  <c r="V443" i="29"/>
  <c r="V468" i="29" s="1"/>
  <c r="O604" i="29"/>
  <c r="P597" i="29"/>
  <c r="O384" i="31"/>
  <c r="V114" i="31"/>
  <c r="V137" i="31" s="1"/>
  <c r="V159" i="31" s="1"/>
  <c r="V183" i="31" s="1"/>
  <c r="V207" i="31" s="1"/>
  <c r="V229" i="31" s="1"/>
  <c r="V254" i="31" s="1"/>
  <c r="V278" i="31" s="1"/>
  <c r="V300" i="31" s="1"/>
  <c r="V322" i="31" s="1"/>
  <c r="V344" i="31" s="1"/>
  <c r="V365" i="31" s="1"/>
  <c r="V400" i="31" s="1"/>
  <c r="CG268" i="36"/>
  <c r="AL293" i="30"/>
  <c r="R121" i="31" s="1"/>
  <c r="R372" i="31" s="1"/>
  <c r="R408" i="31" s="1"/>
  <c r="O121" i="31"/>
  <c r="DA296" i="28"/>
  <c r="R419" i="29" s="1"/>
  <c r="V36" i="29"/>
  <c r="P384" i="31"/>
  <c r="AH268" i="36"/>
  <c r="CL268" i="36"/>
  <c r="O557" i="37"/>
  <c r="V4" i="37"/>
  <c r="V75" i="37"/>
  <c r="V99" i="37" s="1"/>
  <c r="V123" i="37" s="1"/>
  <c r="V145" i="37" s="1"/>
  <c r="V167" i="37" s="1"/>
  <c r="V191" i="37" s="1"/>
  <c r="V212" i="37" s="1"/>
  <c r="V233" i="37" s="1"/>
  <c r="V254" i="37" s="1"/>
  <c r="V276" i="37" s="1"/>
  <c r="V298" i="37" s="1"/>
  <c r="V320" i="37" s="1"/>
  <c r="V341" i="37" s="1"/>
  <c r="V361" i="37" s="1"/>
  <c r="V381" i="37" s="1"/>
  <c r="V400" i="37" s="1"/>
  <c r="V421" i="37" s="1"/>
  <c r="V441" i="37" s="1"/>
  <c r="V461" i="37" s="1"/>
  <c r="V480" i="37" s="1"/>
  <c r="V501" i="37" s="1"/>
  <c r="V522" i="37" s="1"/>
  <c r="V544" i="37" s="1"/>
  <c r="V571" i="37" s="1"/>
  <c r="BT271" i="39"/>
  <c r="BT2" i="39"/>
  <c r="P154" i="31"/>
  <c r="P392" i="31" s="1"/>
  <c r="BX268" i="36"/>
  <c r="CM294" i="36"/>
  <c r="S374" i="37" s="1"/>
  <c r="S557" i="37" s="1"/>
  <c r="S591" i="37" s="1"/>
  <c r="O558" i="37"/>
  <c r="P566" i="37"/>
  <c r="P579" i="37"/>
  <c r="BW271" i="39"/>
  <c r="P571" i="38"/>
  <c r="N118" i="35" s="1"/>
  <c r="N351" i="35" s="1"/>
  <c r="V312" i="38"/>
  <c r="V340" i="38" s="1"/>
  <c r="V370" i="38" s="1"/>
  <c r="V397" i="38" s="1"/>
  <c r="V424" i="38" s="1"/>
  <c r="V454" i="38" s="1"/>
  <c r="V484" i="38" s="1"/>
  <c r="V511" i="38" s="1"/>
  <c r="V542" i="38" s="1"/>
  <c r="V571" i="38" s="1"/>
  <c r="K114" i="35"/>
  <c r="K613" i="38"/>
  <c r="CI267" i="30"/>
  <c r="AC293" i="30"/>
  <c r="R50" i="31" s="1"/>
  <c r="P558" i="37"/>
  <c r="CT303" i="39"/>
  <c r="R507" i="38" s="1"/>
  <c r="O507" i="38"/>
  <c r="V93" i="38"/>
  <c r="V113" i="38" s="1"/>
  <c r="V203" i="38"/>
  <c r="H591" i="37"/>
  <c r="P507" i="38"/>
  <c r="CU303" i="39"/>
  <c r="S507" i="38" s="1"/>
  <c r="S567" i="38" s="1"/>
  <c r="S613" i="38" s="1"/>
  <c r="P567" i="38"/>
  <c r="AI267" i="30"/>
  <c r="V5" i="37"/>
  <c r="P438" i="37"/>
  <c r="P563" i="37" s="1"/>
  <c r="P591" i="37" s="1"/>
  <c r="O577" i="37"/>
  <c r="AD271" i="39"/>
  <c r="V118" i="38"/>
  <c r="V140" i="38" s="1"/>
  <c r="V163" i="38" s="1"/>
  <c r="V187" i="38" s="1"/>
  <c r="V209" i="38" s="1"/>
  <c r="V233" i="38" s="1"/>
  <c r="V258" i="38" s="1"/>
  <c r="V286" i="38" s="1"/>
  <c r="V316" i="38" s="1"/>
  <c r="V346" i="38" s="1"/>
  <c r="V374" i="38" s="1"/>
  <c r="V401" i="38" s="1"/>
  <c r="V429" i="38" s="1"/>
  <c r="V459" i="38" s="1"/>
  <c r="V488" i="38" s="1"/>
  <c r="V515" i="38" s="1"/>
  <c r="V547" i="38" s="1"/>
  <c r="V579" i="38" s="1"/>
  <c r="V180" i="38"/>
  <c r="N613" i="38"/>
  <c r="AG271" i="39"/>
  <c r="V74" i="38"/>
  <c r="V94" i="38" s="1"/>
  <c r="V115" i="38" s="1"/>
  <c r="V138" i="38" s="1"/>
  <c r="V160" i="38" s="1"/>
  <c r="V183" i="38" s="1"/>
  <c r="V206" i="38" s="1"/>
  <c r="V230" i="38" s="1"/>
  <c r="V254" i="38" s="1"/>
  <c r="V283" i="38" s="1"/>
  <c r="V313" i="38" s="1"/>
  <c r="V342" i="38" s="1"/>
  <c r="V371" i="38" s="1"/>
  <c r="V398" i="38" s="1"/>
  <c r="V425" i="38" s="1"/>
  <c r="V456" i="38" s="1"/>
  <c r="V485" i="38" s="1"/>
  <c r="V512" i="38" s="1"/>
  <c r="V543" i="38" s="1"/>
  <c r="V573" i="38" s="1"/>
  <c r="V71" i="37"/>
  <c r="V94" i="37" s="1"/>
  <c r="V119" i="37" s="1"/>
  <c r="V141" i="37" s="1"/>
  <c r="V164" i="37" s="1"/>
  <c r="V188" i="37" s="1"/>
  <c r="V209" i="37" s="1"/>
  <c r="V229" i="37" s="1"/>
  <c r="V250" i="37" s="1"/>
  <c r="V271" i="37" s="1"/>
  <c r="V294" i="37" s="1"/>
  <c r="V317" i="37" s="1"/>
  <c r="V337" i="37" s="1"/>
  <c r="V358" i="37" s="1"/>
  <c r="V378" i="37" s="1"/>
  <c r="V397" i="37" s="1"/>
  <c r="V417" i="37" s="1"/>
  <c r="V438" i="37" s="1"/>
  <c r="V457" i="37" s="1"/>
  <c r="V477" i="37" s="1"/>
  <c r="V120" i="37"/>
  <c r="V142" i="37" s="1"/>
  <c r="V165" i="37" s="1"/>
  <c r="V189" i="37" s="1"/>
  <c r="V210" i="37" s="1"/>
  <c r="V230" i="37" s="1"/>
  <c r="V252" i="37" s="1"/>
  <c r="V273" i="37" s="1"/>
  <c r="V295" i="37" s="1"/>
  <c r="V318" i="37" s="1"/>
  <c r="V338" i="37" s="1"/>
  <c r="V359" i="37" s="1"/>
  <c r="V379" i="37" s="1"/>
  <c r="V398" i="37" s="1"/>
  <c r="V418" i="37" s="1"/>
  <c r="V439" i="37" s="1"/>
  <c r="V458" i="37" s="1"/>
  <c r="V478" i="37" s="1"/>
  <c r="V499" i="37" s="1"/>
  <c r="V519" i="37" s="1"/>
  <c r="V541" i="37" s="1"/>
  <c r="V566" i="37" s="1"/>
  <c r="K591" i="37"/>
  <c r="CO271" i="39"/>
  <c r="CS268" i="36"/>
  <c r="L591" i="37"/>
  <c r="AM271" i="39"/>
  <c r="CR271" i="39"/>
  <c r="V50" i="38"/>
  <c r="V226" i="38"/>
  <c r="V251" i="38" s="1"/>
  <c r="V279" i="38" s="1"/>
  <c r="V309" i="38" s="1"/>
  <c r="V337" i="38" s="1"/>
  <c r="V367" i="38" s="1"/>
  <c r="V394" i="38" s="1"/>
  <c r="V421" i="38" s="1"/>
  <c r="V451" i="38" s="1"/>
  <c r="V481" i="38" s="1"/>
  <c r="V508" i="38" s="1"/>
  <c r="V539" i="38" s="1"/>
  <c r="V568" i="38" s="1"/>
  <c r="CV268" i="36"/>
  <c r="R557" i="37"/>
  <c r="R591" i="37" s="1"/>
  <c r="P580" i="37"/>
  <c r="CU271" i="39"/>
  <c r="CY268" i="36"/>
  <c r="O561" i="37"/>
  <c r="V7" i="37"/>
  <c r="V26" i="37" s="1"/>
  <c r="V48" i="37" s="1"/>
  <c r="V69" i="37" s="1"/>
  <c r="V92" i="37" s="1"/>
  <c r="V118" i="37" s="1"/>
  <c r="V140" i="37" s="1"/>
  <c r="V163" i="37" s="1"/>
  <c r="V186" i="37" s="1"/>
  <c r="V208" i="37" s="1"/>
  <c r="V228" i="37" s="1"/>
  <c r="V249" i="37" s="1"/>
  <c r="V270" i="37" s="1"/>
  <c r="V292" i="37" s="1"/>
  <c r="V316" i="37" s="1"/>
  <c r="V336" i="37" s="1"/>
  <c r="V356" i="37" s="1"/>
  <c r="V377" i="37" s="1"/>
  <c r="V396" i="37" s="1"/>
  <c r="V416" i="37" s="1"/>
  <c r="V436" i="37" s="1"/>
  <c r="V456" i="37" s="1"/>
  <c r="V476" i="37" s="1"/>
  <c r="V496" i="37" s="1"/>
  <c r="V517" i="37" s="1"/>
  <c r="V539" i="37" s="1"/>
  <c r="V561" i="37" s="1"/>
  <c r="V27" i="37"/>
  <c r="V49" i="37" s="1"/>
  <c r="V50" i="37"/>
  <c r="V73" i="37"/>
  <c r="V96" i="37" s="1"/>
  <c r="AV271" i="39"/>
  <c r="BH271" i="39"/>
  <c r="N355" i="35"/>
  <c r="CK306" i="40"/>
  <c r="AW268" i="36"/>
  <c r="BE268" i="36"/>
  <c r="V23" i="37"/>
  <c r="V44" i="37" s="1"/>
  <c r="V66" i="37" s="1"/>
  <c r="V89" i="37" s="1"/>
  <c r="V115" i="37" s="1"/>
  <c r="V137" i="37" s="1"/>
  <c r="V160" i="37" s="1"/>
  <c r="V183" i="37" s="1"/>
  <c r="V204" i="37" s="1"/>
  <c r="V225" i="37" s="1"/>
  <c r="V246" i="37" s="1"/>
  <c r="V267" i="37" s="1"/>
  <c r="V289" i="37" s="1"/>
  <c r="V312" i="37" s="1"/>
  <c r="V333" i="37" s="1"/>
  <c r="V353" i="37" s="1"/>
  <c r="V374" i="37" s="1"/>
  <c r="V393" i="37" s="1"/>
  <c r="V412" i="37" s="1"/>
  <c r="V433" i="37" s="1"/>
  <c r="V453" i="37" s="1"/>
  <c r="V473" i="37" s="1"/>
  <c r="V492" i="37" s="1"/>
  <c r="V513" i="37" s="1"/>
  <c r="V535" i="37" s="1"/>
  <c r="V557" i="37" s="1"/>
  <c r="V175" i="37"/>
  <c r="O584" i="37"/>
  <c r="V327" i="37"/>
  <c r="P585" i="37"/>
  <c r="O571" i="37"/>
  <c r="AY271" i="39"/>
  <c r="V25" i="38"/>
  <c r="V46" i="38" s="1"/>
  <c r="O567" i="38"/>
  <c r="V135" i="38"/>
  <c r="V158" i="38" s="1"/>
  <c r="V181" i="38" s="1"/>
  <c r="V204" i="38" s="1"/>
  <c r="V227" i="38" s="1"/>
  <c r="V252" i="38" s="1"/>
  <c r="V281" i="38" s="1"/>
  <c r="V311" i="38" s="1"/>
  <c r="V339" i="38" s="1"/>
  <c r="V369" i="38" s="1"/>
  <c r="V396" i="38" s="1"/>
  <c r="V423" i="38" s="1"/>
  <c r="V453" i="38" s="1"/>
  <c r="V483" i="38" s="1"/>
  <c r="V510" i="38" s="1"/>
  <c r="V541" i="38" s="1"/>
  <c r="V570" i="38" s="1"/>
  <c r="DE268" i="36"/>
  <c r="P576" i="37"/>
  <c r="V57" i="37"/>
  <c r="V79" i="37" s="1"/>
  <c r="V103" i="37" s="1"/>
  <c r="V127" i="37" s="1"/>
  <c r="V149" i="37" s="1"/>
  <c r="V171" i="37" s="1"/>
  <c r="V195" i="37" s="1"/>
  <c r="V216" i="37" s="1"/>
  <c r="V237" i="37" s="1"/>
  <c r="V258" i="37" s="1"/>
  <c r="V280" i="37" s="1"/>
  <c r="V302" i="37" s="1"/>
  <c r="V324" i="37" s="1"/>
  <c r="V345" i="37" s="1"/>
  <c r="V365" i="37" s="1"/>
  <c r="V385" i="37" s="1"/>
  <c r="V404" i="37" s="1"/>
  <c r="V425" i="37" s="1"/>
  <c r="V445" i="37" s="1"/>
  <c r="V465" i="37" s="1"/>
  <c r="V484" i="37" s="1"/>
  <c r="V505" i="37" s="1"/>
  <c r="V526" i="37" s="1"/>
  <c r="V548" i="37" s="1"/>
  <c r="V577" i="37" s="1"/>
  <c r="BB271" i="39"/>
  <c r="P570" i="38"/>
  <c r="N117" i="35" s="1"/>
  <c r="O568" i="38"/>
  <c r="M115" i="35" s="1"/>
  <c r="M347" i="35" s="1"/>
  <c r="O569" i="37"/>
  <c r="P588" i="37"/>
  <c r="T591" i="37"/>
  <c r="V127" i="38"/>
  <c r="V150" i="38" s="1"/>
  <c r="O598" i="38"/>
  <c r="M147" i="35" s="1"/>
  <c r="M403" i="35" s="1"/>
  <c r="DN268" i="36"/>
  <c r="V37" i="37"/>
  <c r="V59" i="37" s="1"/>
  <c r="V81" i="37" s="1"/>
  <c r="V105" i="37" s="1"/>
  <c r="V128" i="37" s="1"/>
  <c r="V150" i="37" s="1"/>
  <c r="V173" i="37" s="1"/>
  <c r="V196" i="37" s="1"/>
  <c r="V217" i="37" s="1"/>
  <c r="V238" i="37" s="1"/>
  <c r="V259" i="37" s="1"/>
  <c r="V281" i="37" s="1"/>
  <c r="V303" i="37" s="1"/>
  <c r="V325" i="37" s="1"/>
  <c r="V346" i="37" s="1"/>
  <c r="V366" i="37" s="1"/>
  <c r="V386" i="37" s="1"/>
  <c r="V405" i="37" s="1"/>
  <c r="V426" i="37" s="1"/>
  <c r="V446" i="37" s="1"/>
  <c r="V466" i="37" s="1"/>
  <c r="V485" i="37" s="1"/>
  <c r="V506" i="37" s="1"/>
  <c r="V527" i="37" s="1"/>
  <c r="V549" i="37" s="1"/>
  <c r="V579" i="37" s="1"/>
  <c r="U591" i="37"/>
  <c r="O576" i="37"/>
  <c r="P202" i="38"/>
  <c r="BH303" i="39"/>
  <c r="S202" i="38" s="1"/>
  <c r="BG303" i="39"/>
  <c r="R202" i="38" s="1"/>
  <c r="V368" i="38"/>
  <c r="V395" i="38" s="1"/>
  <c r="V422" i="38" s="1"/>
  <c r="V452" i="38" s="1"/>
  <c r="V482" i="38" s="1"/>
  <c r="V509" i="38" s="1"/>
  <c r="V540" i="38" s="1"/>
  <c r="V569" i="38" s="1"/>
  <c r="O569" i="38"/>
  <c r="M116" i="35" s="1"/>
  <c r="DQ268" i="36"/>
  <c r="AS271" i="39"/>
  <c r="BZ271" i="39"/>
  <c r="BZ2" i="39"/>
  <c r="AO306" i="40"/>
  <c r="CQ306" i="40"/>
  <c r="CE306" i="40"/>
  <c r="BU306" i="40"/>
  <c r="P400" i="41"/>
  <c r="P695" i="41" s="1"/>
  <c r="CK340" i="40"/>
  <c r="S398" i="41" s="1"/>
  <c r="DB340" i="40"/>
  <c r="R547" i="41" s="1"/>
  <c r="O560" i="41"/>
  <c r="V560" i="41" s="1"/>
  <c r="V588" i="41" s="1"/>
  <c r="O734" i="41"/>
  <c r="V303" i="41"/>
  <c r="V332" i="41" s="1"/>
  <c r="V363" i="41" s="1"/>
  <c r="V393" i="41" s="1"/>
  <c r="V424" i="41" s="1"/>
  <c r="V453" i="41" s="1"/>
  <c r="V483" i="41" s="1"/>
  <c r="V512" i="41" s="1"/>
  <c r="V542" i="41" s="1"/>
  <c r="V571" i="41" s="1"/>
  <c r="V599" i="41" s="1"/>
  <c r="V629" i="41" s="1"/>
  <c r="V658" i="41" s="1"/>
  <c r="V687" i="41" s="1"/>
  <c r="V734" i="41" s="1"/>
  <c r="V816" i="44"/>
  <c r="V770" i="44"/>
  <c r="O571" i="38"/>
  <c r="M118" i="35" s="1"/>
  <c r="V134" i="41"/>
  <c r="V161" i="41" s="1"/>
  <c r="V189" i="41" s="1"/>
  <c r="V218" i="41" s="1"/>
  <c r="V246" i="41" s="1"/>
  <c r="V274" i="41" s="1"/>
  <c r="V302" i="41" s="1"/>
  <c r="V331" i="41" s="1"/>
  <c r="V362" i="41" s="1"/>
  <c r="V392" i="41" s="1"/>
  <c r="V423" i="41" s="1"/>
  <c r="V452" i="41" s="1"/>
  <c r="V482" i="41" s="1"/>
  <c r="V511" i="41" s="1"/>
  <c r="V541" i="41" s="1"/>
  <c r="V570" i="41" s="1"/>
  <c r="V598" i="41" s="1"/>
  <c r="V628" i="41" s="1"/>
  <c r="V657" i="41" s="1"/>
  <c r="V686" i="41" s="1"/>
  <c r="V733" i="41" s="1"/>
  <c r="O733" i="41"/>
  <c r="AL271" i="39"/>
  <c r="AU306" i="40"/>
  <c r="CZ306" i="40"/>
  <c r="O695" i="41"/>
  <c r="V6" i="41"/>
  <c r="V34" i="41" s="1"/>
  <c r="V60" i="41" s="1"/>
  <c r="V85" i="41" s="1"/>
  <c r="V112" i="41" s="1"/>
  <c r="V140" i="41" s="1"/>
  <c r="V167" i="41" s="1"/>
  <c r="V196" i="41" s="1"/>
  <c r="V224" i="41" s="1"/>
  <c r="V252" i="41" s="1"/>
  <c r="V281" i="41" s="1"/>
  <c r="V309" i="41" s="1"/>
  <c r="V340" i="41" s="1"/>
  <c r="V370" i="41" s="1"/>
  <c r="V400" i="41" s="1"/>
  <c r="V431" i="41" s="1"/>
  <c r="V460" i="41" s="1"/>
  <c r="V490" i="41" s="1"/>
  <c r="V518" i="41" s="1"/>
  <c r="V548" i="41" s="1"/>
  <c r="V578" i="41" s="1"/>
  <c r="V606" i="41" s="1"/>
  <c r="V636" i="41" s="1"/>
  <c r="V664" i="41" s="1"/>
  <c r="V695" i="41" s="1"/>
  <c r="V71" i="38"/>
  <c r="V91" i="38" s="1"/>
  <c r="V111" i="38" s="1"/>
  <c r="V133" i="38" s="1"/>
  <c r="V156" i="38" s="1"/>
  <c r="V179" i="38" s="1"/>
  <c r="V202" i="38" s="1"/>
  <c r="V225" i="38" s="1"/>
  <c r="V250" i="38" s="1"/>
  <c r="V278" i="38" s="1"/>
  <c r="V308" i="38" s="1"/>
  <c r="V336" i="38" s="1"/>
  <c r="V366" i="38" s="1"/>
  <c r="V393" i="38" s="1"/>
  <c r="V420" i="38" s="1"/>
  <c r="V450" i="38" s="1"/>
  <c r="V480" i="38" s="1"/>
  <c r="AX306" i="40"/>
  <c r="DC306" i="40"/>
  <c r="BY47" i="40"/>
  <c r="BY306" i="40" s="1"/>
  <c r="CK168" i="40"/>
  <c r="CH168" i="40"/>
  <c r="CY306" i="40"/>
  <c r="S693" i="41"/>
  <c r="S740" i="41" s="1"/>
  <c r="V106" i="41"/>
  <c r="H114" i="35"/>
  <c r="H613" i="38"/>
  <c r="O578" i="38"/>
  <c r="M125" i="35" s="1"/>
  <c r="M362" i="35" s="1"/>
  <c r="BA306" i="40"/>
  <c r="DE306" i="40"/>
  <c r="V58" i="41"/>
  <c r="V83" i="41" s="1"/>
  <c r="V110" i="41" s="1"/>
  <c r="V138" i="41" s="1"/>
  <c r="V165" i="41" s="1"/>
  <c r="V194" i="41" s="1"/>
  <c r="V222" i="41" s="1"/>
  <c r="V250" i="41" s="1"/>
  <c r="V279" i="41" s="1"/>
  <c r="V307" i="41" s="1"/>
  <c r="V338" i="41" s="1"/>
  <c r="V368" i="41" s="1"/>
  <c r="V398" i="41" s="1"/>
  <c r="V429" i="41" s="1"/>
  <c r="V458" i="41" s="1"/>
  <c r="V489" i="41" s="1"/>
  <c r="V517" i="41" s="1"/>
  <c r="V547" i="41" s="1"/>
  <c r="V577" i="41" s="1"/>
  <c r="V605" i="41" s="1"/>
  <c r="V635" i="41" s="1"/>
  <c r="V663" i="41" s="1"/>
  <c r="V693" i="41" s="1"/>
  <c r="O731" i="41"/>
  <c r="AN306" i="43"/>
  <c r="AK306" i="43"/>
  <c r="O570" i="38"/>
  <c r="M117" i="35" s="1"/>
  <c r="DF84" i="40"/>
  <c r="DF306" i="40" s="1"/>
  <c r="O799" i="44"/>
  <c r="M221" i="35" s="1"/>
  <c r="DL306" i="40"/>
  <c r="V22" i="44"/>
  <c r="V50" i="44" s="1"/>
  <c r="V79" i="44" s="1"/>
  <c r="V106" i="44" s="1"/>
  <c r="O813" i="44"/>
  <c r="M238" i="35" s="1"/>
  <c r="M389" i="35" s="1"/>
  <c r="P828" i="44"/>
  <c r="N233" i="35" s="1"/>
  <c r="P707" i="41"/>
  <c r="V328" i="38"/>
  <c r="V358" i="38" s="1"/>
  <c r="G613" i="38"/>
  <c r="BP306" i="40"/>
  <c r="P731" i="41"/>
  <c r="V33" i="41"/>
  <c r="O694" i="41"/>
  <c r="O726" i="41"/>
  <c r="V131" i="41"/>
  <c r="V158" i="41" s="1"/>
  <c r="O824" i="44"/>
  <c r="M249" i="35" s="1"/>
  <c r="V590" i="44"/>
  <c r="V623" i="44" s="1"/>
  <c r="V653" i="44" s="1"/>
  <c r="V685" i="44" s="1"/>
  <c r="V716" i="44" s="1"/>
  <c r="V748" i="44" s="1"/>
  <c r="BW2" i="39"/>
  <c r="BZ142" i="39"/>
  <c r="BS271" i="39"/>
  <c r="M613" i="38"/>
  <c r="BS306" i="40"/>
  <c r="BJ106" i="40"/>
  <c r="BJ306" i="40" s="1"/>
  <c r="V63" i="41"/>
  <c r="V88" i="41" s="1"/>
  <c r="V116" i="41" s="1"/>
  <c r="V143" i="41" s="1"/>
  <c r="V171" i="41" s="1"/>
  <c r="V199" i="41" s="1"/>
  <c r="V228" i="41" s="1"/>
  <c r="V255" i="41" s="1"/>
  <c r="V284" i="41" s="1"/>
  <c r="V312" i="41" s="1"/>
  <c r="V343" i="41" s="1"/>
  <c r="V374" i="41" s="1"/>
  <c r="V404" i="41" s="1"/>
  <c r="V434" i="41" s="1"/>
  <c r="V463" i="41" s="1"/>
  <c r="V493" i="41" s="1"/>
  <c r="V522" i="41" s="1"/>
  <c r="V551" i="41" s="1"/>
  <c r="V581" i="41" s="1"/>
  <c r="V609" i="41" s="1"/>
  <c r="V639" i="41" s="1"/>
  <c r="V668" i="41" s="1"/>
  <c r="V699" i="41" s="1"/>
  <c r="P697" i="41"/>
  <c r="V59" i="41"/>
  <c r="V84" i="41" s="1"/>
  <c r="V111" i="41" s="1"/>
  <c r="V139" i="41" s="1"/>
  <c r="V166" i="41" s="1"/>
  <c r="V195" i="41" s="1"/>
  <c r="V223" i="41" s="1"/>
  <c r="V251" i="41" s="1"/>
  <c r="V280" i="41" s="1"/>
  <c r="V308" i="41" s="1"/>
  <c r="V339" i="41" s="1"/>
  <c r="V369" i="41" s="1"/>
  <c r="V399" i="41" s="1"/>
  <c r="V430" i="41" s="1"/>
  <c r="O66" i="41"/>
  <c r="V594" i="41"/>
  <c r="V624" i="41" s="1"/>
  <c r="V653" i="41" s="1"/>
  <c r="V682" i="41" s="1"/>
  <c r="V725" i="41" s="1"/>
  <c r="V617" i="41"/>
  <c r="O573" i="38"/>
  <c r="M120" i="35" s="1"/>
  <c r="BV306" i="40"/>
  <c r="V301" i="41"/>
  <c r="V330" i="41" s="1"/>
  <c r="V361" i="41" s="1"/>
  <c r="V391" i="41" s="1"/>
  <c r="V422" i="41" s="1"/>
  <c r="V451" i="41" s="1"/>
  <c r="V481" i="41" s="1"/>
  <c r="V510" i="41" s="1"/>
  <c r="V540" i="41" s="1"/>
  <c r="V569" i="41" s="1"/>
  <c r="V597" i="41" s="1"/>
  <c r="V627" i="41" s="1"/>
  <c r="V656" i="41" s="1"/>
  <c r="O581" i="38"/>
  <c r="M128" i="35" s="1"/>
  <c r="M370" i="35" s="1"/>
  <c r="V4" i="41"/>
  <c r="V32" i="41" s="1"/>
  <c r="O693" i="41"/>
  <c r="V186" i="41"/>
  <c r="V215" i="41" s="1"/>
  <c r="V243" i="41" s="1"/>
  <c r="V271" i="41" s="1"/>
  <c r="V299" i="41" s="1"/>
  <c r="V328" i="41" s="1"/>
  <c r="V359" i="41" s="1"/>
  <c r="V389" i="41" s="1"/>
  <c r="V420" i="41" s="1"/>
  <c r="V449" i="41" s="1"/>
  <c r="V479" i="41" s="1"/>
  <c r="V508" i="41" s="1"/>
  <c r="V538" i="41" s="1"/>
  <c r="V567" i="41" s="1"/>
  <c r="V595" i="41" s="1"/>
  <c r="V625" i="41" s="1"/>
  <c r="V654" i="41" s="1"/>
  <c r="V683" i="41" s="1"/>
  <c r="V726" i="41" s="1"/>
  <c r="O705" i="41"/>
  <c r="V231" i="41"/>
  <c r="V258" i="41" s="1"/>
  <c r="V287" i="41" s="1"/>
  <c r="V315" i="41" s="1"/>
  <c r="V346" i="41" s="1"/>
  <c r="V377" i="41" s="1"/>
  <c r="V407" i="41" s="1"/>
  <c r="V437" i="41" s="1"/>
  <c r="V468" i="41" s="1"/>
  <c r="V497" i="41" s="1"/>
  <c r="V527" i="41" s="1"/>
  <c r="V555" i="41" s="1"/>
  <c r="V584" i="41" s="1"/>
  <c r="V613" i="41" s="1"/>
  <c r="V642" i="41" s="1"/>
  <c r="V671" i="41" s="1"/>
  <c r="V705" i="41" s="1"/>
  <c r="V298" i="38"/>
  <c r="V327" i="38" s="1"/>
  <c r="V357" i="38" s="1"/>
  <c r="V386" i="38" s="1"/>
  <c r="V413" i="38" s="1"/>
  <c r="V443" i="38" s="1"/>
  <c r="V473" i="38" s="1"/>
  <c r="V329" i="38"/>
  <c r="V359" i="38" s="1"/>
  <c r="BP146" i="40"/>
  <c r="P693" i="41"/>
  <c r="O716" i="41"/>
  <c r="V208" i="41"/>
  <c r="V236" i="41" s="1"/>
  <c r="V263" i="41" s="1"/>
  <c r="V292" i="41" s="1"/>
  <c r="V321" i="41" s="1"/>
  <c r="V352" i="41" s="1"/>
  <c r="V382" i="41" s="1"/>
  <c r="V412" i="41" s="1"/>
  <c r="P714" i="41"/>
  <c r="DQ308" i="43"/>
  <c r="BS303" i="39"/>
  <c r="R278" i="38" s="1"/>
  <c r="R567" i="38" s="1"/>
  <c r="R613" i="38" s="1"/>
  <c r="CH306" i="40"/>
  <c r="DI306" i="40"/>
  <c r="V662" i="41"/>
  <c r="V692" i="41" s="1"/>
  <c r="V739" i="41" s="1"/>
  <c r="H740" i="41"/>
  <c r="CD308" i="43"/>
  <c r="AT308" i="43"/>
  <c r="P826" i="44"/>
  <c r="N244" i="35" s="1"/>
  <c r="V306" i="44"/>
  <c r="V333" i="44" s="1"/>
  <c r="V359" i="44" s="1"/>
  <c r="V387" i="44" s="1"/>
  <c r="V421" i="44" s="1"/>
  <c r="V452" i="44" s="1"/>
  <c r="V483" i="44" s="1"/>
  <c r="V516" i="44" s="1"/>
  <c r="V549" i="44" s="1"/>
  <c r="V582" i="44" s="1"/>
  <c r="V614" i="44" s="1"/>
  <c r="V645" i="44" s="1"/>
  <c r="V677" i="44" s="1"/>
  <c r="V708" i="44" s="1"/>
  <c r="V740" i="44" s="1"/>
  <c r="V772" i="44" s="1"/>
  <c r="V819" i="44" s="1"/>
  <c r="U613" i="38"/>
  <c r="BC306" i="40"/>
  <c r="V35" i="41"/>
  <c r="V61" i="41" s="1"/>
  <c r="V86" i="41" s="1"/>
  <c r="V113" i="41" s="1"/>
  <c r="V141" i="41" s="1"/>
  <c r="V168" i="41" s="1"/>
  <c r="V197" i="41" s="1"/>
  <c r="V225" i="41" s="1"/>
  <c r="V253" i="41" s="1"/>
  <c r="V282" i="41" s="1"/>
  <c r="V310" i="41" s="1"/>
  <c r="V341" i="41" s="1"/>
  <c r="V371" i="41" s="1"/>
  <c r="V401" i="41" s="1"/>
  <c r="V432" i="41" s="1"/>
  <c r="V461" i="41" s="1"/>
  <c r="V491" i="41" s="1"/>
  <c r="V519" i="41" s="1"/>
  <c r="V549" i="41" s="1"/>
  <c r="V579" i="41" s="1"/>
  <c r="V607" i="41" s="1"/>
  <c r="V637" i="41" s="1"/>
  <c r="V665" i="41" s="1"/>
  <c r="V696" i="41" s="1"/>
  <c r="V156" i="41"/>
  <c r="V184" i="41" s="1"/>
  <c r="V213" i="41" s="1"/>
  <c r="V241" i="41" s="1"/>
  <c r="V268" i="41" s="1"/>
  <c r="V297" i="41" s="1"/>
  <c r="V326" i="41" s="1"/>
  <c r="V357" i="41" s="1"/>
  <c r="V387" i="41" s="1"/>
  <c r="V417" i="41" s="1"/>
  <c r="V447" i="41" s="1"/>
  <c r="V477" i="41" s="1"/>
  <c r="V506" i="41" s="1"/>
  <c r="V536" i="41" s="1"/>
  <c r="V565" i="41" s="1"/>
  <c r="V593" i="41" s="1"/>
  <c r="V623" i="41" s="1"/>
  <c r="V652" i="41" s="1"/>
  <c r="V681" i="41" s="1"/>
  <c r="V723" i="41" s="1"/>
  <c r="V187" i="41"/>
  <c r="V216" i="41" s="1"/>
  <c r="V244" i="41" s="1"/>
  <c r="V272" i="41" s="1"/>
  <c r="V300" i="41" s="1"/>
  <c r="V329" i="41" s="1"/>
  <c r="V360" i="41" s="1"/>
  <c r="V390" i="41" s="1"/>
  <c r="V421" i="41" s="1"/>
  <c r="V450" i="41" s="1"/>
  <c r="V480" i="41" s="1"/>
  <c r="V509" i="41" s="1"/>
  <c r="V539" i="41" s="1"/>
  <c r="V568" i="41" s="1"/>
  <c r="V596" i="41" s="1"/>
  <c r="V626" i="41" s="1"/>
  <c r="V655" i="41" s="1"/>
  <c r="V684" i="41" s="1"/>
  <c r="V731" i="41" s="1"/>
  <c r="V611" i="41"/>
  <c r="O725" i="41"/>
  <c r="BR308" i="43"/>
  <c r="O786" i="44"/>
  <c r="M208" i="35" s="1"/>
  <c r="P794" i="44"/>
  <c r="N216" i="35" s="1"/>
  <c r="N360" i="35" s="1"/>
  <c r="BE89" i="39"/>
  <c r="BE271" i="39" s="1"/>
  <c r="O114" i="35"/>
  <c r="T613" i="38"/>
  <c r="CN306" i="40"/>
  <c r="DO306" i="40"/>
  <c r="P733" i="41"/>
  <c r="V406" i="41"/>
  <c r="V436" i="41" s="1"/>
  <c r="V467" i="41" s="1"/>
  <c r="V496" i="41" s="1"/>
  <c r="V526" i="41" s="1"/>
  <c r="V554" i="41" s="1"/>
  <c r="V583" i="41" s="1"/>
  <c r="V612" i="41" s="1"/>
  <c r="V641" i="41" s="1"/>
  <c r="V670" i="41" s="1"/>
  <c r="V704" i="41" s="1"/>
  <c r="V37" i="41"/>
  <c r="O828" i="44"/>
  <c r="M233" i="35" s="1"/>
  <c r="V27" i="44"/>
  <c r="V54" i="44" s="1"/>
  <c r="V83" i="44" s="1"/>
  <c r="V110" i="44" s="1"/>
  <c r="V139" i="44" s="1"/>
  <c r="V168" i="44" s="1"/>
  <c r="V196" i="44" s="1"/>
  <c r="V226" i="44" s="1"/>
  <c r="V254" i="44" s="1"/>
  <c r="V281" i="44" s="1"/>
  <c r="V308" i="44" s="1"/>
  <c r="V335" i="44" s="1"/>
  <c r="V361" i="44" s="1"/>
  <c r="V389" i="44" s="1"/>
  <c r="V423" i="44" s="1"/>
  <c r="V454" i="44" s="1"/>
  <c r="V485" i="44" s="1"/>
  <c r="V518" i="44" s="1"/>
  <c r="V551" i="44" s="1"/>
  <c r="V584" i="44" s="1"/>
  <c r="V616" i="44" s="1"/>
  <c r="V647" i="44" s="1"/>
  <c r="V679" i="44" s="1"/>
  <c r="V710" i="44" s="1"/>
  <c r="V742" i="44" s="1"/>
  <c r="V774" i="44" s="1"/>
  <c r="V828" i="44" s="1"/>
  <c r="V527" i="44"/>
  <c r="O833" i="44"/>
  <c r="M252" i="35" s="1"/>
  <c r="M414" i="35" s="1"/>
  <c r="P207" i="35"/>
  <c r="U839" i="44"/>
  <c r="DH308" i="43"/>
  <c r="O818" i="44"/>
  <c r="M243" i="35" s="1"/>
  <c r="BI306" i="40"/>
  <c r="CD306" i="43"/>
  <c r="CA306" i="43"/>
  <c r="P818" i="44"/>
  <c r="N243" i="35" s="1"/>
  <c r="P726" i="41"/>
  <c r="BL308" i="43"/>
  <c r="O790" i="44"/>
  <c r="M212" i="35" s="1"/>
  <c r="O820" i="44"/>
  <c r="M245" i="35" s="1"/>
  <c r="M405" i="35" s="1"/>
  <c r="V29" i="44"/>
  <c r="V57" i="44" s="1"/>
  <c r="O838" i="44"/>
  <c r="M256" i="35" s="1"/>
  <c r="V134" i="44"/>
  <c r="V164" i="44" s="1"/>
  <c r="V192" i="44" s="1"/>
  <c r="V222" i="44" s="1"/>
  <c r="V250" i="44" s="1"/>
  <c r="V277" i="44" s="1"/>
  <c r="V304" i="44" s="1"/>
  <c r="V331" i="44" s="1"/>
  <c r="V357" i="44" s="1"/>
  <c r="V385" i="44" s="1"/>
  <c r="V419" i="44" s="1"/>
  <c r="V450" i="44" s="1"/>
  <c r="V481" i="44" s="1"/>
  <c r="V514" i="44" s="1"/>
  <c r="V547" i="44" s="1"/>
  <c r="O410" i="35"/>
  <c r="N410" i="35"/>
  <c r="P732" i="41"/>
  <c r="G740" i="41"/>
  <c r="O696" i="41"/>
  <c r="O699" i="41"/>
  <c r="O785" i="44"/>
  <c r="V4" i="44"/>
  <c r="V33" i="44" s="1"/>
  <c r="V61" i="44" s="1"/>
  <c r="V90" i="44" s="1"/>
  <c r="V117" i="44" s="1"/>
  <c r="V146" i="44" s="1"/>
  <c r="V176" i="44" s="1"/>
  <c r="V205" i="44" s="1"/>
  <c r="V234" i="44" s="1"/>
  <c r="V262" i="44" s="1"/>
  <c r="V289" i="44" s="1"/>
  <c r="V316" i="44" s="1"/>
  <c r="V342" i="44" s="1"/>
  <c r="V370" i="44" s="1"/>
  <c r="V402" i="44" s="1"/>
  <c r="V433" i="44" s="1"/>
  <c r="V464" i="44" s="1"/>
  <c r="V497" i="44" s="1"/>
  <c r="V531" i="44" s="1"/>
  <c r="V563" i="44" s="1"/>
  <c r="V596" i="44" s="1"/>
  <c r="V628" i="44" s="1"/>
  <c r="V659" i="44" s="1"/>
  <c r="V690" i="44" s="1"/>
  <c r="V721" i="44" s="1"/>
  <c r="V753" i="44" s="1"/>
  <c r="V785" i="44" s="1"/>
  <c r="BX308" i="43"/>
  <c r="P819" i="44"/>
  <c r="N235" i="35" s="1"/>
  <c r="N397" i="35" s="1"/>
  <c r="V65" i="44"/>
  <c r="V94" i="44" s="1"/>
  <c r="V122" i="44" s="1"/>
  <c r="V151" i="44" s="1"/>
  <c r="V233" i="44"/>
  <c r="V261" i="44" s="1"/>
  <c r="V288" i="44" s="1"/>
  <c r="V315" i="44" s="1"/>
  <c r="V341" i="44" s="1"/>
  <c r="V369" i="44" s="1"/>
  <c r="V401" i="44" s="1"/>
  <c r="V432" i="44" s="1"/>
  <c r="V463" i="44" s="1"/>
  <c r="V496" i="44" s="1"/>
  <c r="V530" i="44" s="1"/>
  <c r="V562" i="44" s="1"/>
  <c r="V595" i="44" s="1"/>
  <c r="V627" i="44" s="1"/>
  <c r="V658" i="44" s="1"/>
  <c r="V689" i="44" s="1"/>
  <c r="V720" i="44" s="1"/>
  <c r="V752" i="44" s="1"/>
  <c r="V784" i="44" s="1"/>
  <c r="V838" i="44" s="1"/>
  <c r="V457" i="44"/>
  <c r="V489" i="44" s="1"/>
  <c r="V526" i="44" s="1"/>
  <c r="O707" i="41"/>
  <c r="V217" i="41"/>
  <c r="V245" i="41" s="1"/>
  <c r="V273" i="41" s="1"/>
  <c r="P734" i="41"/>
  <c r="CA308" i="43"/>
  <c r="CS6" i="43"/>
  <c r="CS308" i="43" s="1"/>
  <c r="AW346" i="43"/>
  <c r="S146" i="44" s="1"/>
  <c r="P147" i="44"/>
  <c r="P786" i="44" s="1"/>
  <c r="N208" i="35" s="1"/>
  <c r="O792" i="44"/>
  <c r="M213" i="35" s="1"/>
  <c r="M355" i="35" s="1"/>
  <c r="O804" i="44"/>
  <c r="M224" i="35" s="1"/>
  <c r="M377" i="35" s="1"/>
  <c r="H207" i="35"/>
  <c r="H839" i="44"/>
  <c r="V125" i="44"/>
  <c r="V154" i="44" s="1"/>
  <c r="V183" i="44" s="1"/>
  <c r="V213" i="44" s="1"/>
  <c r="V241" i="44" s="1"/>
  <c r="V268" i="44" s="1"/>
  <c r="V295" i="44" s="1"/>
  <c r="V322" i="44" s="1"/>
  <c r="V348" i="44" s="1"/>
  <c r="V376" i="44" s="1"/>
  <c r="V410" i="44" s="1"/>
  <c r="V441" i="44" s="1"/>
  <c r="V472" i="44" s="1"/>
  <c r="V505" i="44" s="1"/>
  <c r="V538" i="44" s="1"/>
  <c r="V570" i="44" s="1"/>
  <c r="V602" i="44" s="1"/>
  <c r="V634" i="44" s="1"/>
  <c r="V665" i="44" s="1"/>
  <c r="V696" i="44" s="1"/>
  <c r="V727" i="44" s="1"/>
  <c r="V759" i="44" s="1"/>
  <c r="V798" i="44" s="1"/>
  <c r="BO340" i="40"/>
  <c r="R222" i="41" s="1"/>
  <c r="K740" i="41"/>
  <c r="P792" i="44"/>
  <c r="N213" i="35" s="1"/>
  <c r="V258" i="44"/>
  <c r="O831" i="44"/>
  <c r="M253" i="35" s="1"/>
  <c r="M410" i="35" s="1"/>
  <c r="V364" i="44"/>
  <c r="V392" i="44" s="1"/>
  <c r="V426" i="44" s="1"/>
  <c r="V739" i="44"/>
  <c r="V771" i="44" s="1"/>
  <c r="V818" i="44" s="1"/>
  <c r="V647" i="41"/>
  <c r="V676" i="41" s="1"/>
  <c r="V714" i="41" s="1"/>
  <c r="L740" i="41"/>
  <c r="CG308" i="43"/>
  <c r="BI308" i="43"/>
  <c r="V137" i="44"/>
  <c r="V166" i="44" s="1"/>
  <c r="V194" i="44" s="1"/>
  <c r="V224" i="44" s="1"/>
  <c r="O788" i="44"/>
  <c r="M210" i="35" s="1"/>
  <c r="V179" i="44"/>
  <c r="V208" i="44" s="1"/>
  <c r="P822" i="44"/>
  <c r="N247" i="35" s="1"/>
  <c r="V15" i="41"/>
  <c r="V41" i="41" s="1"/>
  <c r="V67" i="41" s="1"/>
  <c r="V92" i="41" s="1"/>
  <c r="V120" i="41" s="1"/>
  <c r="V148" i="41" s="1"/>
  <c r="V176" i="41" s="1"/>
  <c r="V204" i="41" s="1"/>
  <c r="V233" i="41" s="1"/>
  <c r="V260" i="41" s="1"/>
  <c r="V289" i="41" s="1"/>
  <c r="V317" i="41" s="1"/>
  <c r="V348" i="41" s="1"/>
  <c r="V379" i="41" s="1"/>
  <c r="V409" i="41" s="1"/>
  <c r="V439" i="41" s="1"/>
  <c r="V470" i="41" s="1"/>
  <c r="V499" i="41" s="1"/>
  <c r="V529" i="41" s="1"/>
  <c r="V557" i="41" s="1"/>
  <c r="V586" i="41" s="1"/>
  <c r="V615" i="41" s="1"/>
  <c r="V644" i="41" s="1"/>
  <c r="V673" i="41" s="1"/>
  <c r="V707" i="41" s="1"/>
  <c r="AH308" i="43"/>
  <c r="CJ308" i="43"/>
  <c r="BC308" i="43"/>
  <c r="AK22" i="43"/>
  <c r="AK308" i="43" s="1"/>
  <c r="V242" i="44"/>
  <c r="V269" i="44" s="1"/>
  <c r="V296" i="44" s="1"/>
  <c r="V323" i="44" s="1"/>
  <c r="V349" i="44" s="1"/>
  <c r="V377" i="44" s="1"/>
  <c r="V411" i="44" s="1"/>
  <c r="V442" i="44" s="1"/>
  <c r="V473" i="44" s="1"/>
  <c r="V506" i="44" s="1"/>
  <c r="V539" i="44" s="1"/>
  <c r="V571" i="44" s="1"/>
  <c r="V603" i="44" s="1"/>
  <c r="V635" i="44" s="1"/>
  <c r="V666" i="44" s="1"/>
  <c r="V697" i="44" s="1"/>
  <c r="V728" i="44" s="1"/>
  <c r="V760" i="44" s="1"/>
  <c r="V799" i="44" s="1"/>
  <c r="L613" i="38"/>
  <c r="DE340" i="40"/>
  <c r="R577" i="41" s="1"/>
  <c r="R693" i="41" s="1"/>
  <c r="R740" i="41" s="1"/>
  <c r="V8" i="41"/>
  <c r="V36" i="41" s="1"/>
  <c r="V62" i="41" s="1"/>
  <c r="V87" i="41" s="1"/>
  <c r="V114" i="41" s="1"/>
  <c r="V142" i="41" s="1"/>
  <c r="V169" i="41" s="1"/>
  <c r="V198" i="41" s="1"/>
  <c r="V226" i="41" s="1"/>
  <c r="V254" i="41" s="1"/>
  <c r="V283" i="41" s="1"/>
  <c r="V311" i="41" s="1"/>
  <c r="V342" i="41" s="1"/>
  <c r="V372" i="41" s="1"/>
  <c r="V402" i="41" s="1"/>
  <c r="V433" i="41" s="1"/>
  <c r="V462" i="41" s="1"/>
  <c r="V492" i="41" s="1"/>
  <c r="V520" i="41" s="1"/>
  <c r="V550" i="41" s="1"/>
  <c r="V580" i="41" s="1"/>
  <c r="V608" i="41" s="1"/>
  <c r="V638" i="41" s="1"/>
  <c r="V666" i="41" s="1"/>
  <c r="V697" i="41" s="1"/>
  <c r="V640" i="41"/>
  <c r="V669" i="41" s="1"/>
  <c r="V701" i="41" s="1"/>
  <c r="CM308" i="43"/>
  <c r="P371" i="44"/>
  <c r="CA346" i="43"/>
  <c r="S370" i="44" s="1"/>
  <c r="P827" i="44"/>
  <c r="N234" i="35" s="1"/>
  <c r="O739" i="41"/>
  <c r="V175" i="44"/>
  <c r="V204" i="44" s="1"/>
  <c r="L207" i="35"/>
  <c r="L839" i="44"/>
  <c r="P785" i="44"/>
  <c r="P344" i="35"/>
  <c r="O398" i="35"/>
  <c r="S785" i="44"/>
  <c r="S839" i="44" s="1"/>
  <c r="V285" i="44"/>
  <c r="V312" i="44" s="1"/>
  <c r="BG219" i="45"/>
  <c r="DE306" i="43"/>
  <c r="DE308" i="43" s="1"/>
  <c r="O819" i="44"/>
  <c r="M235" i="35" s="1"/>
  <c r="M397" i="35" s="1"/>
  <c r="P597" i="44"/>
  <c r="AR6" i="45"/>
  <c r="BP88" i="45"/>
  <c r="K348" i="35"/>
  <c r="G396" i="35"/>
  <c r="CV308" i="43"/>
  <c r="V62" i="44"/>
  <c r="V91" i="44" s="1"/>
  <c r="P814" i="44"/>
  <c r="N239" i="35" s="1"/>
  <c r="M411" i="35"/>
  <c r="CY308" i="43"/>
  <c r="BC306" i="43"/>
  <c r="BK308" i="43"/>
  <c r="V9" i="44"/>
  <c r="V39" i="44" s="1"/>
  <c r="V67" i="44" s="1"/>
  <c r="V95" i="44" s="1"/>
  <c r="V123" i="44" s="1"/>
  <c r="V152" i="44" s="1"/>
  <c r="V181" i="44" s="1"/>
  <c r="V211" i="44" s="1"/>
  <c r="V239" i="44" s="1"/>
  <c r="V266" i="44" s="1"/>
  <c r="V293" i="44" s="1"/>
  <c r="V320" i="44" s="1"/>
  <c r="V346" i="44" s="1"/>
  <c r="V374" i="44" s="1"/>
  <c r="V406" i="44" s="1"/>
  <c r="V437" i="44" s="1"/>
  <c r="V468" i="44" s="1"/>
  <c r="V501" i="44" s="1"/>
  <c r="V535" i="44" s="1"/>
  <c r="V567" i="44" s="1"/>
  <c r="V600" i="44" s="1"/>
  <c r="V632" i="44" s="1"/>
  <c r="V663" i="44" s="1"/>
  <c r="V694" i="44" s="1"/>
  <c r="V725" i="44" s="1"/>
  <c r="V757" i="44" s="1"/>
  <c r="V792" i="44" s="1"/>
  <c r="P798" i="44"/>
  <c r="N220" i="35" s="1"/>
  <c r="AU6" i="45"/>
  <c r="BA10" i="45"/>
  <c r="BF163" i="43"/>
  <c r="BF308" i="43" s="1"/>
  <c r="AK201" i="43"/>
  <c r="V111" i="44"/>
  <c r="V140" i="44" s="1"/>
  <c r="V169" i="44" s="1"/>
  <c r="V197" i="44" s="1"/>
  <c r="V227" i="44" s="1"/>
  <c r="V255" i="44" s="1"/>
  <c r="V282" i="44" s="1"/>
  <c r="V309" i="44" s="1"/>
  <c r="V336" i="44" s="1"/>
  <c r="V362" i="44" s="1"/>
  <c r="V390" i="44" s="1"/>
  <c r="V424" i="44" s="1"/>
  <c r="V455" i="44" s="1"/>
  <c r="V487" i="44" s="1"/>
  <c r="V520" i="44" s="1"/>
  <c r="V553" i="44" s="1"/>
  <c r="V586" i="44" s="1"/>
  <c r="V618" i="44" s="1"/>
  <c r="V649" i="44" s="1"/>
  <c r="V681" i="44" s="1"/>
  <c r="V712" i="44" s="1"/>
  <c r="V744" i="44" s="1"/>
  <c r="V776" i="44" s="1"/>
  <c r="V829" i="44" s="1"/>
  <c r="P832" i="44"/>
  <c r="N251" i="35" s="1"/>
  <c r="N413" i="35" s="1"/>
  <c r="O827" i="44"/>
  <c r="M234" i="35" s="1"/>
  <c r="V585" i="44"/>
  <c r="V617" i="44" s="1"/>
  <c r="V648" i="44" s="1"/>
  <c r="V680" i="44" s="1"/>
  <c r="V711" i="44" s="1"/>
  <c r="V743" i="44" s="1"/>
  <c r="V775" i="44" s="1"/>
  <c r="V827" i="44" s="1"/>
  <c r="P816" i="44"/>
  <c r="N241" i="35" s="1"/>
  <c r="O798" i="44"/>
  <c r="M220" i="35" s="1"/>
  <c r="BG10" i="45"/>
  <c r="BA114" i="45"/>
  <c r="V308" i="45"/>
  <c r="W171" i="45"/>
  <c r="AH21" i="43"/>
  <c r="AN22" i="43"/>
  <c r="AN308" i="43" s="1"/>
  <c r="AW44" i="43"/>
  <c r="AW308" i="43" s="1"/>
  <c r="DN66" i="43"/>
  <c r="DN308" i="43" s="1"/>
  <c r="V16" i="44"/>
  <c r="V45" i="44" s="1"/>
  <c r="V74" i="44" s="1"/>
  <c r="V101" i="44" s="1"/>
  <c r="V129" i="44" s="1"/>
  <c r="V158" i="44" s="1"/>
  <c r="V187" i="44" s="1"/>
  <c r="V217" i="44" s="1"/>
  <c r="V245" i="44" s="1"/>
  <c r="V272" i="44" s="1"/>
  <c r="V299" i="44" s="1"/>
  <c r="V326" i="44" s="1"/>
  <c r="V352" i="44" s="1"/>
  <c r="V380" i="44" s="1"/>
  <c r="V414" i="44" s="1"/>
  <c r="V445" i="44" s="1"/>
  <c r="V476" i="44" s="1"/>
  <c r="V509" i="44" s="1"/>
  <c r="V542" i="44" s="1"/>
  <c r="V574" i="44" s="1"/>
  <c r="V606" i="44" s="1"/>
  <c r="V638" i="44" s="1"/>
  <c r="V669" i="44" s="1"/>
  <c r="V700" i="44" s="1"/>
  <c r="V731" i="44" s="1"/>
  <c r="V763" i="44" s="1"/>
  <c r="V804" i="44" s="1"/>
  <c r="P838" i="44"/>
  <c r="N256" i="35" s="1"/>
  <c r="V118" i="44"/>
  <c r="V147" i="44" s="1"/>
  <c r="V177" i="44" s="1"/>
  <c r="V206" i="44" s="1"/>
  <c r="V235" i="44" s="1"/>
  <c r="V263" i="44" s="1"/>
  <c r="V290" i="44" s="1"/>
  <c r="V317" i="44" s="1"/>
  <c r="V343" i="44" s="1"/>
  <c r="V371" i="44" s="1"/>
  <c r="V403" i="44" s="1"/>
  <c r="V434" i="44" s="1"/>
  <c r="V465" i="44" s="1"/>
  <c r="V498" i="44" s="1"/>
  <c r="V532" i="44" s="1"/>
  <c r="V564" i="44" s="1"/>
  <c r="V597" i="44" s="1"/>
  <c r="V629" i="44" s="1"/>
  <c r="V660" i="44" s="1"/>
  <c r="V691" i="44" s="1"/>
  <c r="V722" i="44" s="1"/>
  <c r="V754" i="44" s="1"/>
  <c r="V786" i="44" s="1"/>
  <c r="V215" i="44"/>
  <c r="V243" i="44" s="1"/>
  <c r="V270" i="44" s="1"/>
  <c r="V297" i="44" s="1"/>
  <c r="V324" i="44" s="1"/>
  <c r="V350" i="44" s="1"/>
  <c r="V378" i="44" s="1"/>
  <c r="V412" i="44" s="1"/>
  <c r="V443" i="44" s="1"/>
  <c r="V474" i="44" s="1"/>
  <c r="V507" i="44" s="1"/>
  <c r="V540" i="44" s="1"/>
  <c r="V572" i="44" s="1"/>
  <c r="V604" i="44" s="1"/>
  <c r="V636" i="44" s="1"/>
  <c r="V667" i="44" s="1"/>
  <c r="V698" i="44" s="1"/>
  <c r="V729" i="44" s="1"/>
  <c r="V761" i="44" s="1"/>
  <c r="V800" i="44" s="1"/>
  <c r="V523" i="44"/>
  <c r="V556" i="44" s="1"/>
  <c r="V589" i="44" s="1"/>
  <c r="V621" i="44" s="1"/>
  <c r="V652" i="44" s="1"/>
  <c r="V684" i="44" s="1"/>
  <c r="V715" i="44" s="1"/>
  <c r="V747" i="44" s="1"/>
  <c r="O825" i="44"/>
  <c r="M250" i="35" s="1"/>
  <c r="M412" i="35" s="1"/>
  <c r="BI308" i="45"/>
  <c r="BJ10" i="45"/>
  <c r="O787" i="44"/>
  <c r="M209" i="35" s="1"/>
  <c r="V6" i="44"/>
  <c r="V35" i="44" s="1"/>
  <c r="V63" i="44" s="1"/>
  <c r="V92" i="44" s="1"/>
  <c r="V119" i="44" s="1"/>
  <c r="O830" i="44"/>
  <c r="M237" i="35" s="1"/>
  <c r="M416" i="35" s="1"/>
  <c r="V85" i="44"/>
  <c r="V97" i="44"/>
  <c r="V252" i="44"/>
  <c r="V279" i="44" s="1"/>
  <c r="G839" i="44"/>
  <c r="N368" i="35"/>
  <c r="P787" i="44"/>
  <c r="N209" i="35" s="1"/>
  <c r="V11" i="44"/>
  <c r="V40" i="44" s="1"/>
  <c r="V68" i="44" s="1"/>
  <c r="V96" i="44" s="1"/>
  <c r="V124" i="44" s="1"/>
  <c r="V153" i="44" s="1"/>
  <c r="V182" i="44" s="1"/>
  <c r="V212" i="44" s="1"/>
  <c r="V240" i="44" s="1"/>
  <c r="V267" i="44" s="1"/>
  <c r="V294" i="44" s="1"/>
  <c r="V321" i="44" s="1"/>
  <c r="V347" i="44" s="1"/>
  <c r="V375" i="44" s="1"/>
  <c r="V409" i="44" s="1"/>
  <c r="V440" i="44" s="1"/>
  <c r="V471" i="44" s="1"/>
  <c r="V504" i="44" s="1"/>
  <c r="V537" i="44" s="1"/>
  <c r="V569" i="44" s="1"/>
  <c r="V601" i="44" s="1"/>
  <c r="V633" i="44" s="1"/>
  <c r="V664" i="44" s="1"/>
  <c r="V695" i="44" s="1"/>
  <c r="V726" i="44" s="1"/>
  <c r="V758" i="44" s="1"/>
  <c r="V797" i="44" s="1"/>
  <c r="V112" i="44"/>
  <c r="V141" i="44" s="1"/>
  <c r="V170" i="44" s="1"/>
  <c r="V198" i="44" s="1"/>
  <c r="V228" i="44" s="1"/>
  <c r="V256" i="44" s="1"/>
  <c r="V283" i="44" s="1"/>
  <c r="V310" i="44" s="1"/>
  <c r="V337" i="44" s="1"/>
  <c r="V363" i="44" s="1"/>
  <c r="V391" i="44" s="1"/>
  <c r="V425" i="44" s="1"/>
  <c r="V456" i="44" s="1"/>
  <c r="V488" i="44" s="1"/>
  <c r="V521" i="44" s="1"/>
  <c r="V554" i="44" s="1"/>
  <c r="V587" i="44" s="1"/>
  <c r="V619" i="44" s="1"/>
  <c r="V650" i="44" s="1"/>
  <c r="V682" i="44" s="1"/>
  <c r="V713" i="44" s="1"/>
  <c r="V745" i="44" s="1"/>
  <c r="V777" i="44" s="1"/>
  <c r="V830" i="44" s="1"/>
  <c r="V148" i="44"/>
  <c r="V178" i="44" s="1"/>
  <c r="V207" i="44" s="1"/>
  <c r="V236" i="44" s="1"/>
  <c r="V264" i="44" s="1"/>
  <c r="V291" i="44" s="1"/>
  <c r="V318" i="44" s="1"/>
  <c r="V344" i="44" s="1"/>
  <c r="V372" i="44" s="1"/>
  <c r="V404" i="44" s="1"/>
  <c r="V435" i="44" s="1"/>
  <c r="V466" i="44" s="1"/>
  <c r="V499" i="44" s="1"/>
  <c r="V533" i="44" s="1"/>
  <c r="V565" i="44" s="1"/>
  <c r="V598" i="44" s="1"/>
  <c r="V630" i="44" s="1"/>
  <c r="V661" i="44" s="1"/>
  <c r="V692" i="44" s="1"/>
  <c r="V723" i="44" s="1"/>
  <c r="V755" i="44" s="1"/>
  <c r="V787" i="44" s="1"/>
  <c r="V155" i="44"/>
  <c r="V184" i="44" s="1"/>
  <c r="V214" i="44" s="1"/>
  <c r="K207" i="35"/>
  <c r="K839" i="44"/>
  <c r="K344" i="35"/>
  <c r="L353" i="35"/>
  <c r="G390" i="35"/>
  <c r="O353" i="35"/>
  <c r="K390" i="35"/>
  <c r="G395" i="35"/>
  <c r="P799" i="44"/>
  <c r="N221" i="35" s="1"/>
  <c r="O821" i="44"/>
  <c r="M246" i="35" s="1"/>
  <c r="M406" i="35" s="1"/>
  <c r="V37" i="46"/>
  <c r="H354" i="35"/>
  <c r="G344" i="35"/>
  <c r="G426" i="35" s="1"/>
  <c r="L395" i="35"/>
  <c r="M392" i="35"/>
  <c r="M422" i="35"/>
  <c r="BJ219" i="45"/>
  <c r="BA222" i="45"/>
  <c r="O348" i="35"/>
  <c r="O362" i="35"/>
  <c r="P348" i="35"/>
  <c r="O392" i="35"/>
  <c r="L396" i="35"/>
  <c r="O377" i="35"/>
  <c r="O396" i="35"/>
  <c r="O411" i="35"/>
  <c r="V180" i="44"/>
  <c r="V210" i="44" s="1"/>
  <c r="V238" i="44" s="1"/>
  <c r="V265" i="44" s="1"/>
  <c r="V292" i="44" s="1"/>
  <c r="V319" i="44" s="1"/>
  <c r="V345" i="44" s="1"/>
  <c r="V373" i="44" s="1"/>
  <c r="V405" i="44" s="1"/>
  <c r="V436" i="44" s="1"/>
  <c r="V467" i="44" s="1"/>
  <c r="V500" i="44" s="1"/>
  <c r="V534" i="44" s="1"/>
  <c r="V566" i="44" s="1"/>
  <c r="V599" i="44" s="1"/>
  <c r="V631" i="44" s="1"/>
  <c r="V662" i="44" s="1"/>
  <c r="V693" i="44" s="1"/>
  <c r="V724" i="44" s="1"/>
  <c r="V756" i="44" s="1"/>
  <c r="V790" i="44" s="1"/>
  <c r="V357" i="46"/>
  <c r="V393" i="46" s="1"/>
  <c r="V427" i="46" s="1"/>
  <c r="V460" i="46" s="1"/>
  <c r="V494" i="46" s="1"/>
  <c r="V567" i="46" s="1"/>
  <c r="L350" i="35"/>
  <c r="H394" i="35"/>
  <c r="AU158" i="45"/>
  <c r="P830" i="44"/>
  <c r="N237" i="35" s="1"/>
  <c r="N416" i="35" s="1"/>
  <c r="V149" i="44"/>
  <c r="T839" i="44"/>
  <c r="O350" i="35"/>
  <c r="AU89" i="45"/>
  <c r="AU308" i="45" s="1"/>
  <c r="H530" i="46"/>
  <c r="H257" i="35" s="1"/>
  <c r="H344" i="35" s="1"/>
  <c r="K353" i="35"/>
  <c r="O368" i="35"/>
  <c r="O394" i="35"/>
  <c r="L390" i="35"/>
  <c r="H395" i="35"/>
  <c r="H348" i="35"/>
  <c r="O355" i="35"/>
  <c r="O395" i="35"/>
  <c r="L348" i="35"/>
  <c r="H396" i="35"/>
  <c r="P568" i="46"/>
  <c r="N298" i="35" s="1"/>
  <c r="N411" i="35" s="1"/>
  <c r="K350" i="35"/>
  <c r="P396" i="35"/>
  <c r="O407" i="35"/>
  <c r="O412" i="35"/>
  <c r="Z308" i="45"/>
  <c r="BS308" i="45"/>
  <c r="AC308" i="45"/>
  <c r="BG308" i="45"/>
  <c r="AF308" i="45"/>
  <c r="BJ308" i="45"/>
  <c r="AL308" i="45"/>
  <c r="AO308" i="45"/>
  <c r="BP308" i="45"/>
  <c r="BA308" i="45"/>
  <c r="BM308" i="45"/>
  <c r="AR308" i="45"/>
  <c r="W308" i="45"/>
  <c r="AX308" i="45"/>
  <c r="V477" i="46"/>
  <c r="V549" i="46" s="1"/>
  <c r="V472" i="46"/>
  <c r="V542" i="46" s="1"/>
  <c r="V476" i="46"/>
  <c r="V548" i="46" s="1"/>
  <c r="V473" i="46"/>
  <c r="V543" i="46" s="1"/>
  <c r="V118" i="46"/>
  <c r="V150" i="46" s="1"/>
  <c r="V182" i="46" s="1"/>
  <c r="V266" i="46"/>
  <c r="V475" i="46"/>
  <c r="V547" i="46" s="1"/>
  <c r="V478" i="46"/>
  <c r="V550" i="46" s="1"/>
  <c r="V450" i="46"/>
  <c r="V484" i="46" s="1"/>
  <c r="V537" i="46"/>
  <c r="V474" i="46"/>
  <c r="V546" i="46" s="1"/>
  <c r="H534" i="46"/>
  <c r="H261" i="35" s="1"/>
  <c r="H352" i="35" s="1"/>
  <c r="P540" i="46"/>
  <c r="N268" i="35" s="1"/>
  <c r="N363" i="35" s="1"/>
  <c r="V294" i="46"/>
  <c r="V326" i="46" s="1"/>
  <c r="V361" i="46" s="1"/>
  <c r="V397" i="46" s="1"/>
  <c r="V429" i="46" s="1"/>
  <c r="V463" i="46" s="1"/>
  <c r="V496" i="46" s="1"/>
  <c r="V573" i="46" s="1"/>
  <c r="V51" i="46"/>
  <c r="V448" i="46"/>
  <c r="O563" i="46"/>
  <c r="M297" i="35" s="1"/>
  <c r="M407" i="35" s="1"/>
  <c r="P535" i="46"/>
  <c r="N262" i="35" s="1"/>
  <c r="N353" i="35" s="1"/>
  <c r="P530" i="46"/>
  <c r="N257" i="35" s="1"/>
  <c r="O541" i="46"/>
  <c r="M269" i="35" s="1"/>
  <c r="M368" i="35" s="1"/>
  <c r="O557" i="46"/>
  <c r="M286" i="35" s="1"/>
  <c r="M395" i="35" s="1"/>
  <c r="O561" i="46"/>
  <c r="M290" i="35" s="1"/>
  <c r="M398" i="35" s="1"/>
  <c r="V36" i="46"/>
  <c r="V68" i="46" s="1"/>
  <c r="V99" i="46" s="1"/>
  <c r="V130" i="46" s="1"/>
  <c r="V162" i="46" s="1"/>
  <c r="V195" i="46" s="1"/>
  <c r="V227" i="46" s="1"/>
  <c r="V261" i="46" s="1"/>
  <c r="V296" i="46" s="1"/>
  <c r="V328" i="46" s="1"/>
  <c r="V363" i="46" s="1"/>
  <c r="V399" i="46" s="1"/>
  <c r="V431" i="46" s="1"/>
  <c r="V230" i="46"/>
  <c r="V264" i="46" s="1"/>
  <c r="V298" i="46" s="1"/>
  <c r="V332" i="46" s="1"/>
  <c r="V367" i="46" s="1"/>
  <c r="V402" i="46" s="1"/>
  <c r="V434" i="46" s="1"/>
  <c r="V149" i="46"/>
  <c r="V181" i="46" s="1"/>
  <c r="V214" i="46" s="1"/>
  <c r="V246" i="46" s="1"/>
  <c r="V281" i="46" s="1"/>
  <c r="V314" i="46" s="1"/>
  <c r="V349" i="46" s="1"/>
  <c r="V384" i="46" s="1"/>
  <c r="V418" i="46" s="1"/>
  <c r="V451" i="46" s="1"/>
  <c r="V485" i="46" s="1"/>
  <c r="V557" i="46" s="1"/>
  <c r="V69" i="46"/>
  <c r="V100" i="46" s="1"/>
  <c r="V131" i="46" s="1"/>
  <c r="V163" i="46" s="1"/>
  <c r="V197" i="46" s="1"/>
  <c r="V228" i="46" s="1"/>
  <c r="V263" i="46" s="1"/>
  <c r="V297" i="46" s="1"/>
  <c r="V330" i="46" s="1"/>
  <c r="V365" i="46" s="1"/>
  <c r="V401" i="46" s="1"/>
  <c r="V433" i="46" s="1"/>
  <c r="V324" i="46"/>
  <c r="V359" i="46" s="1"/>
  <c r="V395" i="46" s="1"/>
  <c r="H408" i="35"/>
  <c r="P557" i="46"/>
  <c r="N286" i="35" s="1"/>
  <c r="N395" i="35" s="1"/>
  <c r="P563" i="46"/>
  <c r="N297" i="35" s="1"/>
  <c r="V82" i="46"/>
  <c r="V113" i="46" s="1"/>
  <c r="V145" i="46" s="1"/>
  <c r="V176" i="46" s="1"/>
  <c r="V210" i="46" s="1"/>
  <c r="V242" i="46" s="1"/>
  <c r="V277" i="46" s="1"/>
  <c r="V310" i="46" s="1"/>
  <c r="V345" i="46" s="1"/>
  <c r="V379" i="46" s="1"/>
  <c r="V414" i="46" s="1"/>
  <c r="V446" i="46" s="1"/>
  <c r="P567" i="46"/>
  <c r="N296" i="35" s="1"/>
  <c r="N402" i="35" s="1"/>
  <c r="O540" i="46"/>
  <c r="M268" i="35" s="1"/>
  <c r="M363" i="35" s="1"/>
  <c r="P562" i="46"/>
  <c r="N291" i="35" s="1"/>
  <c r="N399" i="35" s="1"/>
  <c r="P556" i="46"/>
  <c r="N285" i="35" s="1"/>
  <c r="N394" i="35" s="1"/>
  <c r="P558" i="46"/>
  <c r="N287" i="35" s="1"/>
  <c r="N396" i="35" s="1"/>
  <c r="P552" i="46"/>
  <c r="N281" i="35" s="1"/>
  <c r="P533" i="46"/>
  <c r="N260" i="35" s="1"/>
  <c r="N350" i="35" s="1"/>
  <c r="O558" i="46"/>
  <c r="M287" i="35" s="1"/>
  <c r="P560" i="46"/>
  <c r="N289" i="35" s="1"/>
  <c r="N422" i="35" s="1"/>
  <c r="P561" i="46"/>
  <c r="N290" i="35" s="1"/>
  <c r="N398" i="35" s="1"/>
  <c r="O567" i="46"/>
  <c r="M296" i="35" s="1"/>
  <c r="M402" i="35" s="1"/>
  <c r="P531" i="46"/>
  <c r="N258" i="35" s="1"/>
  <c r="S530" i="46"/>
  <c r="S574" i="46" s="1"/>
  <c r="P565" i="46"/>
  <c r="N294" i="35" s="1"/>
  <c r="N401" i="35" s="1"/>
  <c r="R530" i="46"/>
  <c r="R574" i="46" s="1"/>
  <c r="P564" i="46"/>
  <c r="N292" i="35" s="1"/>
  <c r="N400" i="35" s="1"/>
  <c r="P554" i="46"/>
  <c r="N283" i="35" s="1"/>
  <c r="N392" i="35" s="1"/>
  <c r="V256" i="46"/>
  <c r="V291" i="46" s="1"/>
  <c r="V323" i="46" s="1"/>
  <c r="V358" i="46" s="1"/>
  <c r="V394" i="46" s="1"/>
  <c r="O535" i="46"/>
  <c r="M262" i="35" s="1"/>
  <c r="V458" i="46"/>
  <c r="V492" i="46" s="1"/>
  <c r="V564" i="46" s="1"/>
  <c r="P551" i="46"/>
  <c r="N280" i="35" s="1"/>
  <c r="N388" i="35" s="1"/>
  <c r="V300" i="46"/>
  <c r="V335" i="46" s="1"/>
  <c r="V369" i="46" s="1"/>
  <c r="V404" i="46" s="1"/>
  <c r="V436" i="46" s="1"/>
  <c r="V136" i="46"/>
  <c r="V167" i="46" s="1"/>
  <c r="V201" i="46" s="1"/>
  <c r="V233" i="46" s="1"/>
  <c r="V267" i="46" s="1"/>
  <c r="V301" i="46" s="1"/>
  <c r="V336" i="46" s="1"/>
  <c r="V370" i="46" s="1"/>
  <c r="V405" i="46" s="1"/>
  <c r="O556" i="46"/>
  <c r="M285" i="35" s="1"/>
  <c r="M394" i="35" s="1"/>
  <c r="V22" i="46"/>
  <c r="V54" i="46" s="1"/>
  <c r="V84" i="46" s="1"/>
  <c r="V115" i="46" s="1"/>
  <c r="V147" i="46" s="1"/>
  <c r="V179" i="46" s="1"/>
  <c r="V212" i="46" s="1"/>
  <c r="V35" i="46"/>
  <c r="V67" i="46" s="1"/>
  <c r="V98" i="46" s="1"/>
  <c r="V129" i="46" s="1"/>
  <c r="V161" i="46" s="1"/>
  <c r="V194" i="46" s="1"/>
  <c r="V226" i="46" s="1"/>
  <c r="V260" i="46" s="1"/>
  <c r="V295" i="46" s="1"/>
  <c r="V327" i="46" s="1"/>
  <c r="V362" i="46" s="1"/>
  <c r="V398" i="46" s="1"/>
  <c r="V430" i="46" s="1"/>
  <c r="O551" i="46"/>
  <c r="M280" i="35" s="1"/>
  <c r="M388" i="35" s="1"/>
  <c r="V309" i="46"/>
  <c r="V344" i="46" s="1"/>
  <c r="V378" i="46" s="1"/>
  <c r="V413" i="46" s="1"/>
  <c r="V445" i="46" s="1"/>
  <c r="O530" i="46"/>
  <c r="V215" i="46"/>
  <c r="V247" i="46" s="1"/>
  <c r="V282" i="46" s="1"/>
  <c r="V315" i="46" s="1"/>
  <c r="V350" i="46" s="1"/>
  <c r="V385" i="46" s="1"/>
  <c r="V419" i="46" s="1"/>
  <c r="V452" i="46" s="1"/>
  <c r="V486" i="46" s="1"/>
  <c r="V558" i="46" s="1"/>
  <c r="O565" i="46"/>
  <c r="M294" i="35" s="1"/>
  <c r="M401" i="35" s="1"/>
  <c r="V254" i="46"/>
  <c r="V288" i="46" s="1"/>
  <c r="V321" i="46" s="1"/>
  <c r="V356" i="46" s="1"/>
  <c r="V391" i="46" s="1"/>
  <c r="V426" i="46" s="1"/>
  <c r="V459" i="46" s="1"/>
  <c r="V493" i="46" s="1"/>
  <c r="V565" i="46" s="1"/>
  <c r="O552" i="46"/>
  <c r="M281" i="35" s="1"/>
  <c r="M390" i="35" s="1"/>
  <c r="O572" i="46"/>
  <c r="M302" i="35" s="1"/>
  <c r="M423" i="35" s="1"/>
  <c r="O531" i="46"/>
  <c r="M258" i="35" s="1"/>
  <c r="M348" i="35" s="1"/>
  <c r="O562" i="46"/>
  <c r="M291" i="35" s="1"/>
  <c r="M399" i="35" s="1"/>
  <c r="V180" i="46"/>
  <c r="V213" i="46" s="1"/>
  <c r="V245" i="46" s="1"/>
  <c r="V280" i="46" s="1"/>
  <c r="V312" i="46" s="1"/>
  <c r="V348" i="46" s="1"/>
  <c r="V383" i="46" s="1"/>
  <c r="V416" i="46" s="1"/>
  <c r="V449" i="46" s="1"/>
  <c r="V483" i="46" s="1"/>
  <c r="V561" i="46" s="1"/>
  <c r="T574" i="46"/>
  <c r="O533" i="46"/>
  <c r="M260" i="35" s="1"/>
  <c r="M350" i="35" s="1"/>
  <c r="P426" i="35"/>
  <c r="V184" i="46"/>
  <c r="V217" i="46" s="1"/>
  <c r="V249" i="46" s="1"/>
  <c r="V284" i="46" s="1"/>
  <c r="V317" i="46" s="1"/>
  <c r="V352" i="46" s="1"/>
  <c r="V387" i="46" s="1"/>
  <c r="V421" i="46" s="1"/>
  <c r="V454" i="46" s="1"/>
  <c r="V488" i="46" s="1"/>
  <c r="V560" i="46" s="1"/>
  <c r="L574" i="46"/>
  <c r="L257" i="35"/>
  <c r="L344" i="35" s="1"/>
  <c r="G574" i="46"/>
  <c r="K426" i="35"/>
  <c r="H574" i="46"/>
  <c r="O257" i="35"/>
  <c r="O344" i="35" s="1"/>
  <c r="K574" i="46"/>
  <c r="U574" i="46"/>
  <c r="V740" i="41" l="1"/>
  <c r="V591" i="37"/>
  <c r="P408" i="31"/>
  <c r="V779" i="44"/>
  <c r="V822" i="44"/>
  <c r="V66" i="41"/>
  <c r="V91" i="41" s="1"/>
  <c r="V119" i="41" s="1"/>
  <c r="V147" i="41" s="1"/>
  <c r="V175" i="41" s="1"/>
  <c r="V203" i="41" s="1"/>
  <c r="V232" i="41" s="1"/>
  <c r="V259" i="41" s="1"/>
  <c r="V288" i="41" s="1"/>
  <c r="V316" i="41" s="1"/>
  <c r="V347" i="41" s="1"/>
  <c r="V378" i="41" s="1"/>
  <c r="V408" i="41" s="1"/>
  <c r="V438" i="41" s="1"/>
  <c r="V469" i="41" s="1"/>
  <c r="V498" i="41" s="1"/>
  <c r="V528" i="41" s="1"/>
  <c r="V556" i="41" s="1"/>
  <c r="V585" i="41" s="1"/>
  <c r="V614" i="41" s="1"/>
  <c r="O706" i="41"/>
  <c r="O740" i="41" s="1"/>
  <c r="V507" i="38"/>
  <c r="V538" i="38" s="1"/>
  <c r="V567" i="38" s="1"/>
  <c r="V613" i="38" s="1"/>
  <c r="O591" i="37"/>
  <c r="V121" i="31"/>
  <c r="V144" i="31" s="1"/>
  <c r="V166" i="31" s="1"/>
  <c r="V190" i="31" s="1"/>
  <c r="V214" i="31" s="1"/>
  <c r="V236" i="31" s="1"/>
  <c r="V261" i="31" s="1"/>
  <c r="V285" i="31" s="1"/>
  <c r="V307" i="31" s="1"/>
  <c r="V329" i="31" s="1"/>
  <c r="V351" i="31" s="1"/>
  <c r="V372" i="31" s="1"/>
  <c r="V408" i="31" s="1"/>
  <c r="M114" i="35"/>
  <c r="O613" i="38"/>
  <c r="N114" i="35"/>
  <c r="N344" i="35" s="1"/>
  <c r="N426" i="35" s="1"/>
  <c r="P613" i="38"/>
  <c r="O607" i="29"/>
  <c r="M396" i="35"/>
  <c r="V154" i="31"/>
  <c r="V177" i="31" s="1"/>
  <c r="V202" i="31" s="1"/>
  <c r="V224" i="31" s="1"/>
  <c r="V249" i="31" s="1"/>
  <c r="V273" i="31" s="1"/>
  <c r="V295" i="31" s="1"/>
  <c r="V317" i="31" s="1"/>
  <c r="V338" i="31" s="1"/>
  <c r="V360" i="31" s="1"/>
  <c r="V392" i="31" s="1"/>
  <c r="N390" i="35"/>
  <c r="O392" i="31"/>
  <c r="N207" i="35"/>
  <c r="P839" i="44"/>
  <c r="O426" i="35"/>
  <c r="M353" i="35"/>
  <c r="O408" i="31"/>
  <c r="P607" i="29"/>
  <c r="O839" i="44"/>
  <c r="M207" i="35"/>
  <c r="V824" i="44"/>
  <c r="V780" i="44"/>
  <c r="N407" i="35"/>
  <c r="O714" i="41"/>
  <c r="V5" i="29"/>
  <c r="V29" i="29" s="1"/>
  <c r="O570" i="29"/>
  <c r="V522" i="44"/>
  <c r="V555" i="44" s="1"/>
  <c r="V588" i="44" s="1"/>
  <c r="V620" i="44" s="1"/>
  <c r="V651" i="44" s="1"/>
  <c r="V683" i="44" s="1"/>
  <c r="V714" i="44" s="1"/>
  <c r="V746" i="44" s="1"/>
  <c r="P740" i="41"/>
  <c r="M351" i="35"/>
  <c r="H426" i="35"/>
  <c r="V129" i="29"/>
  <c r="V149" i="29" s="1"/>
  <c r="V170" i="29" s="1"/>
  <c r="V190" i="29" s="1"/>
  <c r="V212" i="29" s="1"/>
  <c r="V230" i="29" s="1"/>
  <c r="V251" i="29" s="1"/>
  <c r="V273" i="29" s="1"/>
  <c r="V292" i="29" s="1"/>
  <c r="V311" i="29" s="1"/>
  <c r="V332" i="29" s="1"/>
  <c r="V352" i="29" s="1"/>
  <c r="V373" i="29" s="1"/>
  <c r="V396" i="29" s="1"/>
  <c r="V419" i="29" s="1"/>
  <c r="V446" i="29" s="1"/>
  <c r="V470" i="29" s="1"/>
  <c r="V492" i="29" s="1"/>
  <c r="V518" i="29" s="1"/>
  <c r="V544" i="29" s="1"/>
  <c r="V569" i="29" s="1"/>
  <c r="V607" i="29" s="1"/>
  <c r="O591" i="29"/>
  <c r="L426" i="35"/>
  <c r="N348" i="35"/>
  <c r="V465" i="46"/>
  <c r="V531" i="46" s="1"/>
  <c r="V468" i="46"/>
  <c r="V535" i="46" s="1"/>
  <c r="V481" i="46"/>
  <c r="V552" i="46" s="1"/>
  <c r="V470" i="46"/>
  <c r="V540" i="46" s="1"/>
  <c r="V464" i="46"/>
  <c r="V530" i="46" s="1"/>
  <c r="V482" i="46"/>
  <c r="V554" i="46" s="1"/>
  <c r="V479" i="46"/>
  <c r="V551" i="46" s="1"/>
  <c r="V466" i="46"/>
  <c r="V533" i="46" s="1"/>
  <c r="O574" i="46"/>
  <c r="M257" i="35"/>
  <c r="P574" i="46"/>
  <c r="M344" i="35" l="1"/>
  <c r="M426" i="35" s="1"/>
  <c r="V821" i="44"/>
  <c r="V839" i="44" s="1"/>
  <c r="V778" i="44"/>
  <c r="V574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 THI YEN NHI</author>
  </authors>
  <commentList>
    <comment ref="AO28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stop 3 m/c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 THI YEN NHI</author>
  </authors>
  <commentList>
    <comment ref="L2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Re-beam 3 beam</t>
        </r>
      </text>
    </comment>
    <comment ref="L2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Re-beam 2 beam</t>
        </r>
      </text>
    </comment>
    <comment ref="L70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Re-beam 3 beam</t>
        </r>
      </text>
    </comment>
    <comment ref="L110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Re-beam 2 beam</t>
        </r>
      </text>
    </comment>
    <comment ref="L11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Re-beam 1 beam</t>
        </r>
      </text>
    </comment>
    <comment ref="L117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Re-beam 2 beam</t>
        </r>
      </text>
    </comment>
    <comment ref="L130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Re-beam 1 beam</t>
        </r>
      </text>
    </comment>
    <comment ref="L132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Re-beam 1 beam</t>
        </r>
      </text>
    </comment>
    <comment ref="L137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Re-beam 2 beam</t>
        </r>
      </text>
    </comment>
    <comment ref="L198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Re-beam 2 beam</t>
        </r>
      </text>
    </comment>
    <comment ref="L218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Re-beam 1 beam</t>
        </r>
      </text>
    </comment>
    <comment ref="L230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Re-beam 5 beam</t>
        </r>
      </text>
    </comment>
    <comment ref="L378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2 beam lên lại máy</t>
        </r>
      </text>
    </comment>
    <comment ref="G443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Thực tế nhận 18/12/2025, phiếu xuất kho 26/01/2026</t>
        </r>
      </text>
    </comment>
    <comment ref="L446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3 beam lên lại máy</t>
        </r>
      </text>
    </comment>
    <comment ref="G604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Thực tế nhận 18/12/2025, Phiếu xuất kho 26/01/2026</t>
        </r>
      </text>
    </comment>
    <comment ref="H605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72 kg thực tế nhận trong tháng 12( Phiếu xuất kho 29/1)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 THI YEN NHI</author>
  </authors>
  <commentList>
    <comment ref="L5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1 beam cắt máy 230 lên lại máy 234</t>
        </r>
      </text>
    </comment>
    <comment ref="L12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 xml:space="preserve">VO THI YEN NHI:
</t>
        </r>
        <r>
          <rPr>
            <sz val="9"/>
            <color indexed="81"/>
            <rFont val="Tahoma"/>
            <family val="2"/>
          </rPr>
          <t>2 BEAM lên lại máy dệt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 THI YEN NHI</author>
  </authors>
  <commentList>
    <comment ref="H24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PXK 13/04/2026 103.4 Kg
Thực tế nhận: 
- 15/01/2026: 40.4 Kg
- 16/03/2026: 21 Kg
- 11/04/2026: 42 Kg</t>
        </r>
      </text>
    </comment>
    <comment ref="D259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Beam Sample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 THI YEN NHI</author>
  </authors>
  <commentList>
    <comment ref="H592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91.8 kg SAFFEROT - 1
91.8 kg SAFFEROT - 2</t>
        </r>
      </text>
    </comment>
    <comment ref="H622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367.2 kg SAFFEROT 86.61"
91.8 kg SAFFEROT 94.5"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 THI YEN NHI</author>
  </authors>
  <commentList>
    <comment ref="H19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15510 Kg sợi AA
161.73 Kg sợi A</t>
        </r>
      </text>
    </comment>
    <comment ref="G38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Thực tế nhận 18/12/2025, Phiếu xuất kho 26/01/2026</t>
        </r>
      </text>
    </comment>
    <comment ref="H39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72 kg thực tế nhận trong tháng 12( Phiếu xuất kho 29/1)</t>
        </r>
      </text>
    </comment>
    <comment ref="B417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Sample</t>
        </r>
      </text>
    </comment>
    <comment ref="H418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VO THI YEN NHI:</t>
        </r>
        <r>
          <rPr>
            <sz val="9"/>
            <color indexed="81"/>
            <rFont val="Tahoma"/>
            <family val="2"/>
          </rPr>
          <t xml:space="preserve">
sample</t>
        </r>
      </text>
    </comment>
  </commentList>
</comments>
</file>

<file path=xl/sharedStrings.xml><?xml version="1.0" encoding="utf-8"?>
<sst xmlns="http://schemas.openxmlformats.org/spreadsheetml/2006/main" count="59841" uniqueCount="526">
  <si>
    <t>생산량</t>
    <phoneticPr fontId="96" type="noConversion"/>
  </si>
  <si>
    <t>1일 생산량</t>
  </si>
  <si>
    <t>생산량</t>
  </si>
  <si>
    <t>12월31일</t>
  </si>
  <si>
    <t xml:space="preserve">절포 </t>
  </si>
  <si>
    <t>Total</t>
  </si>
  <si>
    <t>1월2일</t>
  </si>
  <si>
    <t>1월3일</t>
  </si>
  <si>
    <t>1월4일</t>
  </si>
  <si>
    <t>1월5일</t>
  </si>
  <si>
    <t>1월6일</t>
  </si>
  <si>
    <t>1월7일</t>
  </si>
  <si>
    <t>1월8일</t>
  </si>
  <si>
    <t>1월9일</t>
  </si>
  <si>
    <t>1월10일</t>
  </si>
  <si>
    <t>1월11일</t>
  </si>
  <si>
    <t>1월12일</t>
  </si>
  <si>
    <t>1월13일</t>
  </si>
  <si>
    <t>1월14일</t>
  </si>
  <si>
    <t>1월15일</t>
  </si>
  <si>
    <t>1월16일</t>
  </si>
  <si>
    <t>1월17일</t>
  </si>
  <si>
    <t>1월18일</t>
  </si>
  <si>
    <t>기타</t>
  </si>
  <si>
    <t>GREY</t>
  </si>
  <si>
    <t>WHITE</t>
  </si>
  <si>
    <t>절포</t>
  </si>
  <si>
    <t>생산</t>
  </si>
  <si>
    <t>1월19일</t>
  </si>
  <si>
    <t>1월20일</t>
  </si>
  <si>
    <t>1월21일</t>
  </si>
  <si>
    <t>1월22일</t>
  </si>
  <si>
    <t>1월23일</t>
  </si>
  <si>
    <t>1월24일</t>
  </si>
  <si>
    <t>1월25일</t>
  </si>
  <si>
    <t>호기</t>
  </si>
  <si>
    <t>LOT</t>
  </si>
  <si>
    <t>SC-1020</t>
  </si>
  <si>
    <t xml:space="preserve">날짜 </t>
  </si>
  <si>
    <t>COLOR</t>
  </si>
  <si>
    <t>65"</t>
  </si>
  <si>
    <t>M/C 개수</t>
  </si>
  <si>
    <t>RD104Z</t>
  </si>
  <si>
    <t>MODEL</t>
  </si>
  <si>
    <t>SKUBB</t>
  </si>
  <si>
    <t>DRONA</t>
  </si>
  <si>
    <t xml:space="preserve">TOTAL </t>
  </si>
  <si>
    <t>INNER CUSHION</t>
  </si>
  <si>
    <t>61"</t>
  </si>
  <si>
    <t>경사입고(KG)
Nhập sợi dọc</t>
  </si>
  <si>
    <t>위사 입고(KG) 
Nhập sợi ngang</t>
  </si>
  <si>
    <t>CC사 입고
Nhập sợi CC</t>
  </si>
  <si>
    <t>LENO사 입고
Nhập sợi Leno</t>
  </si>
  <si>
    <t>STUK</t>
  </si>
  <si>
    <t>67"</t>
  </si>
  <si>
    <t>WALMART</t>
  </si>
  <si>
    <t>ACZ07</t>
  </si>
  <si>
    <t>66.5"</t>
  </si>
  <si>
    <t>HOVLIG</t>
  </si>
  <si>
    <t>Microfiber 75d*150d, 87T(53*34th/CM) 
Recycle 66.5"</t>
  </si>
  <si>
    <t>P/Rip DTY, 125D*250D 129T(70*59T)
 Recycle 67" PU 1TIME</t>
  </si>
  <si>
    <t xml:space="preserve">TGT </t>
  </si>
  <si>
    <t>원단 스펙</t>
  </si>
  <si>
    <t>P/T 63D 180T(108*72), 60" PU 1 TIME</t>
  </si>
  <si>
    <t>60"</t>
  </si>
  <si>
    <t>BLACK</t>
  </si>
  <si>
    <t>CHECK BLACK</t>
  </si>
  <si>
    <t>56"</t>
  </si>
  <si>
    <t>1T3035ZC-35</t>
  </si>
  <si>
    <t>011-3</t>
  </si>
  <si>
    <t>TONG</t>
  </si>
  <si>
    <t>60.5"</t>
  </si>
  <si>
    <t>1800A</t>
  </si>
  <si>
    <t>1801D</t>
  </si>
  <si>
    <t>FDY 130D, 58T(28*25th/CM) Recycle 65" PU 1TIME</t>
  </si>
  <si>
    <t>AAZ43</t>
  </si>
  <si>
    <t>출고수량
Xuất vải</t>
  </si>
  <si>
    <t>생지불량
Vải lỗi</t>
  </si>
  <si>
    <t>재고수량
Tồn kho</t>
  </si>
  <si>
    <t>DJ-234</t>
  </si>
  <si>
    <t>DJ-232A</t>
  </si>
  <si>
    <t xml:space="preserve">상대+연경
</t>
  </si>
  <si>
    <t xml:space="preserve">상대빔
</t>
  </si>
  <si>
    <t xml:space="preserve">경사빔 재고
</t>
  </si>
  <si>
    <t xml:space="preserve">경사빔
</t>
  </si>
  <si>
    <t>X040218</t>
  </si>
  <si>
    <t xml:space="preserve">절포수량
</t>
  </si>
  <si>
    <t xml:space="preserve">생산수량
</t>
  </si>
  <si>
    <t xml:space="preserve">P/T 75D 190T(100*90) Recycle 60" </t>
  </si>
  <si>
    <t>ABZ85,DR856Z</t>
  </si>
  <si>
    <t>WIDTH</t>
  </si>
  <si>
    <t>DR1073Z</t>
  </si>
  <si>
    <t>JY-BMAJ16</t>
  </si>
  <si>
    <t xml:space="preserve">일일 생산량 현황 </t>
  </si>
  <si>
    <t>AAZ86</t>
  </si>
  <si>
    <t>ABZ85,DR794Z,DR856Z</t>
  </si>
  <si>
    <t>DR1075Z</t>
  </si>
  <si>
    <t>011-3 61"</t>
  </si>
  <si>
    <t>DR1073Z,DR856Z</t>
  </si>
  <si>
    <t>RD159Z</t>
  </si>
  <si>
    <t>P/T DTY 75D*100D, 181T(105*76), Recycle 60.5"</t>
  </si>
  <si>
    <t>P/OX 130D (122T)</t>
  </si>
  <si>
    <t>XB061218</t>
  </si>
  <si>
    <t>LASBRAKEN</t>
  </si>
  <si>
    <t xml:space="preserve"> RD159Z</t>
  </si>
  <si>
    <t>95"</t>
  </si>
  <si>
    <t>WMD-74</t>
  </si>
  <si>
    <t>P/OX 200D(105T)</t>
  </si>
  <si>
    <t>M5102014</t>
  </si>
  <si>
    <t>1T2587ZC-46</t>
  </si>
  <si>
    <t>LASBRAKEN: RD159Z</t>
  </si>
  <si>
    <t>HEDFRYLE: RD159Z</t>
  </si>
  <si>
    <t xml:space="preserve">HEDFRYLE </t>
  </si>
  <si>
    <t>94"</t>
  </si>
  <si>
    <t>1월30일</t>
  </si>
  <si>
    <t>1월31일</t>
  </si>
  <si>
    <t xml:space="preserve">011-3 </t>
  </si>
  <si>
    <t>1월26일</t>
  </si>
  <si>
    <t>1월27일</t>
  </si>
  <si>
    <t>1월28일</t>
  </si>
  <si>
    <t>1월29일</t>
  </si>
  <si>
    <t>RD152Z</t>
  </si>
  <si>
    <t>OVNING</t>
  </si>
  <si>
    <t>P/OX 300D* P/SPUN 10'S, Recycle 60"</t>
  </si>
  <si>
    <t>SC-1004</t>
  </si>
  <si>
    <t>TAFFETA-190T</t>
  </si>
  <si>
    <t>TOTAL 
JANUARY</t>
  </si>
  <si>
    <t>ABZ85</t>
  </si>
  <si>
    <t>011-4</t>
  </si>
  <si>
    <t>JY-BMAJ10</t>
  </si>
  <si>
    <t>RD225Z,DR1074Z</t>
  </si>
  <si>
    <t>P/OX - 135T</t>
  </si>
  <si>
    <t>M5101413</t>
  </si>
  <si>
    <t>P/OX 600D*300D, 64T, 135GR/SQM, recycle 67%</t>
  </si>
  <si>
    <t>WMT-D74 180T</t>
  </si>
  <si>
    <t>XB080718</t>
  </si>
  <si>
    <t xml:space="preserve">P/DTY 300D*P/SPUN 16'S </t>
  </si>
  <si>
    <t>P/OX 300D* P/SPUN 10'S, Recycle 56"</t>
  </si>
  <si>
    <t>TGT- ACZ07</t>
  </si>
  <si>
    <t>P/OX 300D* P/SPUN 16'S</t>
  </si>
  <si>
    <t>60."</t>
  </si>
  <si>
    <t>P/OX 300D*250D, 109T(59*50) 149g/sqm, 56"</t>
  </si>
  <si>
    <t>TAFFETA 190T (P/T 75D 190T, recycle 60"): SC-1004 (M)</t>
  </si>
  <si>
    <t>SKUBB (Polyester FDY 130D, 53T(28*25th/cm) recycle): SC-1020 65" (M)</t>
  </si>
  <si>
    <t>SKUBB (Polyester FDY 130D, 53T(28*25th/cm) recycle): 011-3 61" (YDS)</t>
  </si>
  <si>
    <t>SKUBB (Polyester FDY 130D, 53T(28*25th/cm) recycle, Dk/Grey): 011-3 65" (M)</t>
  </si>
  <si>
    <t>SKUBB (Polyester FDY 130D, 53T(28*25th/cm) recycle, Dk/Grey): 011-4 65" (M)</t>
  </si>
  <si>
    <t>STUK (P/Rip 125DX250D 129T(70*59T), 80g/sqm, Recycle, 67" check black): ABZ85,DR856Z (M)</t>
  </si>
  <si>
    <t>STUK (P/Rip 125DX250D 129T(70*59T), 80g/sqm, Recycle, 67" check black): ABZ85,DR794Z,DR856Z(M)</t>
  </si>
  <si>
    <t>STUK (P/Rip 125DX250D 129T(70*59T), 80g/sqm, Recycle, 67" check black) : DR1073Z,DR856Z(M)</t>
  </si>
  <si>
    <t>STUK (P/Rip 125DX250D 129T(70*59T), 80g/sqm, Recycle, 67" check black): RD225Z,DR1074Z (M)</t>
  </si>
  <si>
    <t>DRONA (P/p micro fiber 75D*150D (53*34th/cm), 108g/m2, Recycle 66.5"): AAZ43 (M)</t>
  </si>
  <si>
    <t>DRONA (P/p micro fiber 75D*150D (53*34th/cm), 108g/m2, Recycle 66.5" Dk/grey : 1800A (M)</t>
  </si>
  <si>
    <t>DRONA (P/p micro fiber 75D*150D (53*34th/cm), 108g/m2, Recycle 66.5",Black : DJ-234 (M)</t>
  </si>
  <si>
    <t>INNER CUSHION (P/T DTY 75Dx100D, 181T(105*76), Recycle, 60.5"): RD159Z (M)</t>
  </si>
  <si>
    <t>OVNING (P/OX 300D X P/SPUN 10's, Recycle, 60"): ACZ07 (M)</t>
  </si>
  <si>
    <t>HOVLIG (P/OX 300D X P/SPUN 16's, Recycle, 60"): ACZ07 (M)</t>
  </si>
  <si>
    <t>TGT (P/OX 300D X P/SPUN 10's, Recycle, 56"): ACZ07 (M)</t>
  </si>
  <si>
    <t>WMT 63D 180T (P/T 63D 180T(108*72), 60" PU 1TIME: XB080718 (M)</t>
  </si>
  <si>
    <t>P/OX - 135T (POLY FDY 150D/36F): M5101413 (M)</t>
  </si>
  <si>
    <t>P/OX 130D(122T) (POLY FDY 128D/36): XB061218 (M)</t>
  </si>
  <si>
    <t>LASBRAKEN (POLY DTY 75D/72F, recycle): RD159Z (M)</t>
  </si>
  <si>
    <t>WMD-74 (P/OX 300D*250D, 109T(59*50) 149g/sqm): 1T3035ZC-35 (M)</t>
  </si>
  <si>
    <t>P/OX 200D(105T) (POLY FDY 200D/48F): M5102014 (M)</t>
  </si>
  <si>
    <t>HEDFRYLE 94" (POLY DTY 75D/72F, recycle): RD159Z (M)</t>
  </si>
  <si>
    <t>WALMART (P/OX 600D*300D,64T,135 gr/sqm, recycle 67%): ACZ07 (M)</t>
  </si>
  <si>
    <t>2월2일</t>
  </si>
  <si>
    <t>2월3일</t>
  </si>
  <si>
    <t>2월4일</t>
  </si>
  <si>
    <t>2월5일</t>
  </si>
  <si>
    <t>2월6일</t>
  </si>
  <si>
    <t>2월7일</t>
  </si>
  <si>
    <t>2월8일</t>
  </si>
  <si>
    <t>2월9일</t>
  </si>
  <si>
    <t>2월10일</t>
  </si>
  <si>
    <t>2월11일</t>
  </si>
  <si>
    <t>2월12일</t>
  </si>
  <si>
    <t>2월13일</t>
  </si>
  <si>
    <t>2월14일</t>
  </si>
  <si>
    <t>2월15일</t>
  </si>
  <si>
    <t>2월16일</t>
  </si>
  <si>
    <t>2월17일</t>
  </si>
  <si>
    <t>2월18일</t>
  </si>
  <si>
    <t>2월19일</t>
  </si>
  <si>
    <t>2월20일</t>
  </si>
  <si>
    <t>2월21일</t>
  </si>
  <si>
    <t>2월22일</t>
  </si>
  <si>
    <t>2월23일</t>
  </si>
  <si>
    <t>2월24일</t>
  </si>
  <si>
    <t>2월25일</t>
  </si>
  <si>
    <t>2월26일</t>
  </si>
  <si>
    <t>2월27일</t>
  </si>
  <si>
    <t>2월28일</t>
  </si>
  <si>
    <t>POLY FDY 128D/36</t>
  </si>
  <si>
    <t>POLY FDY 150D/36F</t>
  </si>
  <si>
    <t>POLY FDY 200D/48F</t>
  </si>
  <si>
    <t>WMT- 63D 180T</t>
  </si>
  <si>
    <t>POLY DTY 75D/72F, recycle</t>
  </si>
  <si>
    <t>TOTAL 
FEBRUARY</t>
  </si>
  <si>
    <t>RD225Z</t>
  </si>
  <si>
    <t>RD191S</t>
  </si>
  <si>
    <t>DRONA BLACK SAMPLE 66.5" : RD191S (M)</t>
  </si>
  <si>
    <t>RD56DJ04Z1Z</t>
  </si>
  <si>
    <t>Tet holiday</t>
  </si>
  <si>
    <t xml:space="preserve">TOTAL 
</t>
  </si>
  <si>
    <t xml:space="preserve">
JANUARY</t>
  </si>
  <si>
    <t>FEBRUARY</t>
  </si>
  <si>
    <t>MARCH</t>
  </si>
  <si>
    <t>3월2일</t>
  </si>
  <si>
    <t>3월3일</t>
  </si>
  <si>
    <t>3월4일</t>
  </si>
  <si>
    <t>3월5일</t>
  </si>
  <si>
    <t>3월6일</t>
  </si>
  <si>
    <t>3월7일</t>
  </si>
  <si>
    <t>3월8일</t>
  </si>
  <si>
    <t>3월9일</t>
  </si>
  <si>
    <t>3월10일</t>
  </si>
  <si>
    <t>3월11일</t>
  </si>
  <si>
    <t>3월12일</t>
  </si>
  <si>
    <t>3월13일</t>
  </si>
  <si>
    <t>3월14일</t>
  </si>
  <si>
    <t>3월15일</t>
  </si>
  <si>
    <t>3월16일</t>
  </si>
  <si>
    <t>3월17일</t>
  </si>
  <si>
    <t>3월18일</t>
  </si>
  <si>
    <t>3월20일</t>
  </si>
  <si>
    <t>3월21일</t>
  </si>
  <si>
    <t>3월22일</t>
  </si>
  <si>
    <t>3월23일</t>
  </si>
  <si>
    <t>3월24일</t>
  </si>
  <si>
    <t>3월25일</t>
  </si>
  <si>
    <t>3월26일</t>
  </si>
  <si>
    <t>3월27일</t>
  </si>
  <si>
    <t>3월28일</t>
  </si>
  <si>
    <t>3월29일</t>
  </si>
  <si>
    <t>3월30일</t>
  </si>
  <si>
    <t>3월31일</t>
  </si>
  <si>
    <t>TOTAL 
MARCH</t>
  </si>
  <si>
    <t>APRIL</t>
  </si>
  <si>
    <t>600*300-ACZ07</t>
  </si>
  <si>
    <t>FDY 130D, 53T(28*25th/CM)
 Recycle 65" PU 1TIME</t>
  </si>
  <si>
    <t>FDY 130D, 53T(28*25th/CM) Recycle 65" PU 1TIME</t>
  </si>
  <si>
    <t xml:space="preserve">FDY 130D, 53T(28*25th/CM)
 Recycle 65" PU 1TIME
</t>
  </si>
  <si>
    <t>P/OX 300D* P/SPUN 16'S, Recycle 60"</t>
  </si>
  <si>
    <t>O-ACZ07</t>
  </si>
  <si>
    <t>H-ACZ07</t>
  </si>
  <si>
    <t>SC-1012</t>
  </si>
  <si>
    <t>76.8"</t>
  </si>
  <si>
    <t>H20123</t>
  </si>
  <si>
    <t>400D P/OX - 67T</t>
  </si>
  <si>
    <t>P/DTY 400D*400D, 34*33thr/inch, 135gr/sqm, 60"PU</t>
  </si>
  <si>
    <t>H20126</t>
  </si>
  <si>
    <t>FDY 68/24 SD</t>
  </si>
  <si>
    <t>샤워 커튼</t>
  </si>
  <si>
    <t>샤워 커튼 (FDY 68/24 SD): SC-1012 (M)</t>
  </si>
  <si>
    <t>400D P/OX - 67T (P/DTY 400D*400D, 34*33thr/inch, 135gr/sqm, 60"PU): H20126 (M)</t>
  </si>
  <si>
    <t>3월19일</t>
  </si>
  <si>
    <t>MAY</t>
  </si>
  <si>
    <t>4월1일</t>
  </si>
  <si>
    <t>4월2일</t>
  </si>
  <si>
    <t>4월3일</t>
  </si>
  <si>
    <t>4월4일</t>
  </si>
  <si>
    <t>4월5일</t>
  </si>
  <si>
    <t>4월6일</t>
  </si>
  <si>
    <t>4월7일</t>
  </si>
  <si>
    <t>4월8일</t>
  </si>
  <si>
    <t>4월9일</t>
  </si>
  <si>
    <t>4월10일</t>
  </si>
  <si>
    <t>4월11일</t>
  </si>
  <si>
    <t>4월12일</t>
  </si>
  <si>
    <t>4월13일</t>
  </si>
  <si>
    <t>4월14일</t>
  </si>
  <si>
    <t>4월15일</t>
  </si>
  <si>
    <t>4월16일</t>
  </si>
  <si>
    <t>4월17일</t>
  </si>
  <si>
    <t>4월18일</t>
  </si>
  <si>
    <t>4월19일</t>
  </si>
  <si>
    <t>4월20일</t>
  </si>
  <si>
    <t>4월21일</t>
  </si>
  <si>
    <t>4월22일</t>
  </si>
  <si>
    <t>4월23일</t>
  </si>
  <si>
    <t>4월24일</t>
  </si>
  <si>
    <t>4월25일</t>
  </si>
  <si>
    <t>4월26일</t>
  </si>
  <si>
    <t>4월27일</t>
  </si>
  <si>
    <t>4월28일</t>
  </si>
  <si>
    <t>4월29일</t>
  </si>
  <si>
    <t>4월30일</t>
  </si>
  <si>
    <t>TOTAL 
APRIL</t>
  </si>
  <si>
    <t>SAFFEROT</t>
  </si>
  <si>
    <t>POLY DTY 75D/36F, recycle</t>
  </si>
  <si>
    <t>RD242Z</t>
  </si>
  <si>
    <t>82.68"</t>
  </si>
  <si>
    <t>M-1</t>
  </si>
  <si>
    <t>M-2</t>
  </si>
  <si>
    <t>SAFFEROT (POLY DTY 75D/36F, recycle) 82.68": RD242Z (M)</t>
  </si>
  <si>
    <t>RD176Z,RD242Z</t>
  </si>
  <si>
    <t>DRONA (P/p micro fiber 75D*150D (53*34th/cm), 108g/m2, Recycle 55.5"): RD176Z,RD242Z (M)</t>
  </si>
  <si>
    <t>55.5"</t>
  </si>
  <si>
    <t>Microfiber 75d*150d, 87T(53*34th/CM) 
Recycle 55.5"</t>
  </si>
  <si>
    <t>Microfiber 75d*150d (53*34th/CM), 108g/m2
Recycle 55.5"</t>
  </si>
  <si>
    <t>Microfiber 75d*150d (53*34th/CM), 108g/m2 Recycle 55.5"</t>
  </si>
  <si>
    <t>DRONA (P/p micro fiber 75D*150D (53*34th/cm), 108g/m2, Recycle 66.5"): RD242Z (M)</t>
  </si>
  <si>
    <t>STUK (P/Rip 125DX250D 129T(70*59T), 80g/sqm, Recycle, 67" White): RD225Z (M) SPL</t>
  </si>
  <si>
    <t>WMT 400 D P/OX</t>
  </si>
  <si>
    <t>TGT 400 D P/OX</t>
  </si>
  <si>
    <t>P/DTY 200/96 SD</t>
  </si>
  <si>
    <t>011-5</t>
  </si>
  <si>
    <t>TGT 400 D P/OX (P/DTY 200/96 SD 60"): H20126 (M)</t>
  </si>
  <si>
    <t>WMT 400 D P/OX (P/DTY 400D*400D, 34*33thr/inch, 135gr/sqm, 60"PU): H20126 (M)</t>
  </si>
  <si>
    <t>WMT 400-H20126</t>
  </si>
  <si>
    <t>TGT 400-H20126</t>
  </si>
  <si>
    <t>SKUBB (Polyester FDY 130D, 53T(28*25th/cm) recycle, Dk/Grey): 011-5 65" (M)</t>
  </si>
  <si>
    <t>RESARE-SC-1012</t>
  </si>
  <si>
    <t>RENSARE (FDY 68/24 SD 60"): SC-1012 (M)</t>
  </si>
  <si>
    <t>RENSARE</t>
  </si>
  <si>
    <t>P/OX 600D*300D, 64T, 135GR/SQM, Virgin 100%</t>
  </si>
  <si>
    <t>P28V855</t>
  </si>
  <si>
    <t>WALMART (P/OX 600D*300D,64T,135 gr/sqm, virgin 100% ): P28V855 (M)</t>
  </si>
  <si>
    <t>WMT-P28V855</t>
  </si>
  <si>
    <t>RD225Z,DR1177Z</t>
  </si>
  <si>
    <t>M-3</t>
  </si>
  <si>
    <t>M-4</t>
  </si>
  <si>
    <t>STUK (P/Rip 125DX250D 129T(70*59T), 80g/sqm, Recycle, 67" check black): RD225Z,DR1177Z (M)</t>
  </si>
  <si>
    <t>DR1178Z</t>
  </si>
  <si>
    <t>P/OX 200D, 119T(60*59),61" 115GR/SQM PU 1TIME</t>
  </si>
  <si>
    <t>200D 119T</t>
  </si>
  <si>
    <t>P/OX 130D, 122T(75*47), 60" PU 1TIME</t>
  </si>
  <si>
    <t>SC1039</t>
  </si>
  <si>
    <t>RD271Z</t>
  </si>
  <si>
    <t>5월1일</t>
  </si>
  <si>
    <t>5월2일</t>
  </si>
  <si>
    <t>5월3일</t>
  </si>
  <si>
    <t>5월4일</t>
  </si>
  <si>
    <t>5월5일</t>
  </si>
  <si>
    <t>5월6일</t>
  </si>
  <si>
    <t>5월7일</t>
  </si>
  <si>
    <t>5월8일</t>
  </si>
  <si>
    <t>5월9일</t>
  </si>
  <si>
    <t>5월10일</t>
  </si>
  <si>
    <t>5월11일</t>
  </si>
  <si>
    <t>5월12일</t>
  </si>
  <si>
    <t>5월13일</t>
  </si>
  <si>
    <t>5월14일</t>
  </si>
  <si>
    <t>5월15일</t>
  </si>
  <si>
    <t>5월16일</t>
  </si>
  <si>
    <t>5월17일</t>
  </si>
  <si>
    <t>5월18일</t>
  </si>
  <si>
    <t>5월19일</t>
  </si>
  <si>
    <t>5월20일</t>
  </si>
  <si>
    <t>5월21일</t>
  </si>
  <si>
    <t>5월22일</t>
  </si>
  <si>
    <t>5월23일</t>
  </si>
  <si>
    <t>5월24일</t>
  </si>
  <si>
    <t>5월25일</t>
  </si>
  <si>
    <t>5월26일</t>
  </si>
  <si>
    <t>5월27일</t>
  </si>
  <si>
    <t>5월28일</t>
  </si>
  <si>
    <t>5월29일</t>
  </si>
  <si>
    <t>5월30일</t>
  </si>
  <si>
    <t>TOTAL 
MAY</t>
  </si>
  <si>
    <t>JUNE</t>
  </si>
  <si>
    <t>SC-1039</t>
  </si>
  <si>
    <t>200D 119T OX FORD</t>
  </si>
  <si>
    <t>P/OX 200D, 119T(60*59),61" 115gr/sqm PU 1TIME</t>
  </si>
  <si>
    <t>P/T FDY 68D*68D, 194T (116*78/INCH), RECYCLE, 60GR/M2, 190CM(가용폭) W/R</t>
  </si>
  <si>
    <t>P/OX 150D (135T)</t>
  </si>
  <si>
    <t>P/OX FDY 150D, 135T(83*52), 60" PU 1TIME</t>
  </si>
  <si>
    <t>샤워 커튼 (P/T FDY 68D*68D, 194T (116*78/INCH), Recycle): SC-1012 (M)</t>
  </si>
  <si>
    <t>P/OX 130D(122T) (P/OX 130D, 122T(75*47), 60" PU 1TIME): XB061218 (M)</t>
  </si>
  <si>
    <t>RD176Z,RD242Z Print</t>
  </si>
  <si>
    <t>RD176Z,RD242Z print</t>
  </si>
  <si>
    <t>AAZ43 print</t>
  </si>
  <si>
    <t>DRONA (P/p micro fiber 75D*150D (53*34th/cm), 108g/m2, Recycle 55.5"): RD176Z,RD242Z (M) print</t>
  </si>
  <si>
    <t>DRONA (P/p micro fiber 75D*150D (53*34th/cm), 108g/m2, Recycle 55.5"): AAZ43 (M) print</t>
  </si>
  <si>
    <t>TGT 400D</t>
  </si>
  <si>
    <t>P/DTY 400Dx400D, 37*31thr/inch, 130gr/sqm, 60"</t>
  </si>
  <si>
    <t>P/OX 150D (135T)(P/OX FDY 150D, 135T(83*52), 60"): M5101413 (M)</t>
  </si>
  <si>
    <t>200D - OX FORD (P/OX FDY 200D, 119T(60*59), Recycle, 61"): SC-1039 (M)</t>
  </si>
  <si>
    <t>TGT 400D (P/DTY 400Dx400D, 37*31thr/inch, 130gr/sqm, 60"): H20123 (M)</t>
  </si>
  <si>
    <t xml:space="preserve">AAZ43 </t>
  </si>
  <si>
    <t>94.5"</t>
  </si>
  <si>
    <t>Safferot-AAZ43</t>
  </si>
  <si>
    <t>SAFFEROT (POLY DTY 75D/36F, recycle) 94.5": AAZ43 (M)</t>
  </si>
  <si>
    <t>wmt 600*300-ACZ07</t>
  </si>
  <si>
    <t>DJ-6DH48</t>
  </si>
  <si>
    <t>P/OX 200D, 105T(53*52), 61" 100GR/SQM PU 1TIME</t>
  </si>
  <si>
    <t>DJ-6DH48,DR1177Z</t>
  </si>
  <si>
    <t>AAZ43 Print</t>
  </si>
  <si>
    <t>6월1일</t>
  </si>
  <si>
    <t>6월2일</t>
  </si>
  <si>
    <t>6월3일</t>
  </si>
  <si>
    <t>6월4일</t>
  </si>
  <si>
    <t>6월5일</t>
  </si>
  <si>
    <t>6월6일</t>
  </si>
  <si>
    <t>6월7일</t>
  </si>
  <si>
    <t>6월8일</t>
  </si>
  <si>
    <t>6월9일</t>
  </si>
  <si>
    <t>6월10일</t>
  </si>
  <si>
    <t>6월11일</t>
  </si>
  <si>
    <t>6월12일</t>
  </si>
  <si>
    <t>6월13일</t>
  </si>
  <si>
    <t>6월14일</t>
  </si>
  <si>
    <t>6월15일</t>
  </si>
  <si>
    <t>6월16일</t>
  </si>
  <si>
    <t>6월17일</t>
  </si>
  <si>
    <t>6월18일</t>
  </si>
  <si>
    <t>6월19일</t>
  </si>
  <si>
    <t>6월20일</t>
  </si>
  <si>
    <t>6월21일</t>
  </si>
  <si>
    <t>6월22일</t>
  </si>
  <si>
    <t>6월23일</t>
  </si>
  <si>
    <t>6월24일</t>
  </si>
  <si>
    <t>6월25일</t>
  </si>
  <si>
    <t>6월26일</t>
  </si>
  <si>
    <t>6월27일</t>
  </si>
  <si>
    <t>6월28일</t>
  </si>
  <si>
    <t>6월29일</t>
  </si>
  <si>
    <t>6월30일</t>
  </si>
  <si>
    <t>JULY</t>
  </si>
  <si>
    <t>P/DTY 400Dx400D, 34*33thr/inch, 135gr/sqm, 60" PU</t>
  </si>
  <si>
    <t>WMT CHRISTMAS 60"</t>
  </si>
  <si>
    <t>WMT 400-H20123</t>
  </si>
  <si>
    <t>WMT 400D (P/DTY 400Dx400D, 34*33thr/inch, 135gr/sqm, 60" PU): H20123 (M)</t>
  </si>
  <si>
    <t>TOTAL 
JUNE</t>
  </si>
  <si>
    <t>GILIMAX 68D TAF</t>
  </si>
  <si>
    <t>P/T FDY 68D*68D, 194T</t>
  </si>
  <si>
    <t>Safferot-RD230Z</t>
  </si>
  <si>
    <t>Gilimax 68D-SC1012</t>
  </si>
  <si>
    <t>Gilimax 68D TAF (P/T FDY 68D*68D,194T): SC-1012 (M)</t>
  </si>
  <si>
    <t>SAFFEROT (POLY DTY 75D/36F, recycle) 94.5": RD230Z (M)</t>
  </si>
  <si>
    <t>STUK (P/Rip 125DX250D 129T(70*59T), 80g/sqm, Recycle, 67" check black): DJ-6DH48,DR1177Z (M)</t>
  </si>
  <si>
    <t>RD230Z</t>
  </si>
  <si>
    <t>RD278Z</t>
  </si>
  <si>
    <t>Lapptafel-1_RD230Z</t>
  </si>
  <si>
    <t>86.61"</t>
  </si>
  <si>
    <t>LAPPTAFEL - 1</t>
  </si>
  <si>
    <t>LAPPTAFEL - 2</t>
  </si>
  <si>
    <t>POLY DTY 75D/36F recycle</t>
  </si>
  <si>
    <t>Safferot-RD230Z 94.5"</t>
  </si>
  <si>
    <t>Lapptafel-2_RD230Z</t>
  </si>
  <si>
    <t>LAPPTAFEL-1 (POLY DTY 75D/36F, recycle 66.5"): RD230Z (M)</t>
  </si>
  <si>
    <t>LAPPTAFEL-2 (POLY DTY 75D/36F, recycle 66.5"): RD230Z (M)</t>
  </si>
  <si>
    <t>RD340Z</t>
  </si>
  <si>
    <t>RD339Z</t>
  </si>
  <si>
    <t>Black sample-RD340Z</t>
  </si>
  <si>
    <t>Safferot-RD230Z 86.61"</t>
  </si>
  <si>
    <t>DRONA (P/p micro fiber 75D*150D (53*34th/cm), 108g/m2, Recycle 66.5",Black : RD340Z (M)</t>
  </si>
  <si>
    <t>SAFFEROT (POLY DTY 75D/36F, recycle) 86.61": RD230Z (M)</t>
  </si>
  <si>
    <t>SAFFEROT-1 (POLY DTY 75D/36F, recycle 66.5"): RD230Z (M)</t>
  </si>
  <si>
    <t>SAFFEROT-2 (POLY DTY 75D/36F, recycle 66.5"): RD230Z (M)</t>
  </si>
  <si>
    <t>SAFFEROT-1_RD230Z</t>
  </si>
  <si>
    <t>SAFFEROT-2_RD230Z</t>
  </si>
  <si>
    <t>SAFFEROT - 1</t>
  </si>
  <si>
    <t>SAFFEROT - 2</t>
  </si>
  <si>
    <t>INNER CUSHION (P/T DTY 75Dx100D, Recycle, 100.79"): RD330S (M)</t>
  </si>
  <si>
    <t>Inner Cushion-RD330S</t>
  </si>
  <si>
    <t>P/T DTY 75D*100D, Recycle 100.79"</t>
  </si>
  <si>
    <t>RD330S</t>
  </si>
  <si>
    <t>100.79"</t>
  </si>
  <si>
    <t>DR809Z</t>
  </si>
  <si>
    <t>INNER CUSHION (P/T DTY 75Dx100D, 181T(105*76), Recycle, 60.5"): RD330S (M)</t>
  </si>
  <si>
    <t>RD330S-60.5"</t>
  </si>
  <si>
    <t>TAFFETA-180T</t>
  </si>
  <si>
    <t xml:space="preserve">P/T 68D*75D, 180T (100*80T),60GR/SQM Recycle 60" </t>
  </si>
  <si>
    <t>7월1일</t>
  </si>
  <si>
    <t>7월2일</t>
  </si>
  <si>
    <t>7월3일</t>
  </si>
  <si>
    <t>7월4일</t>
  </si>
  <si>
    <t>7월5일</t>
  </si>
  <si>
    <t>7월6일</t>
  </si>
  <si>
    <t>7월7일</t>
  </si>
  <si>
    <t>7월8일</t>
  </si>
  <si>
    <t>7월9일</t>
  </si>
  <si>
    <t>7월10일</t>
  </si>
  <si>
    <t>7월11일</t>
  </si>
  <si>
    <t>7월12일</t>
  </si>
  <si>
    <t>7월13일</t>
  </si>
  <si>
    <t>7월14일</t>
  </si>
  <si>
    <t>7월15일</t>
  </si>
  <si>
    <t>7월16일</t>
  </si>
  <si>
    <t>7월17일</t>
  </si>
  <si>
    <t>7월18일</t>
  </si>
  <si>
    <t>7월19일</t>
  </si>
  <si>
    <t>7월20일</t>
  </si>
  <si>
    <t>7월21일</t>
  </si>
  <si>
    <t>7월22일</t>
  </si>
  <si>
    <t>7월23일</t>
  </si>
  <si>
    <t>7월24일</t>
  </si>
  <si>
    <t>7월25일</t>
  </si>
  <si>
    <t>7월26일</t>
  </si>
  <si>
    <t>7월27일</t>
  </si>
  <si>
    <t>7월28일</t>
  </si>
  <si>
    <t>7월29일</t>
  </si>
  <si>
    <t>7월30일</t>
  </si>
  <si>
    <t>7월31일</t>
  </si>
  <si>
    <t>SC-1012 68D</t>
  </si>
  <si>
    <t>TOTAL 
JULY</t>
  </si>
  <si>
    <t>AUGUST</t>
  </si>
  <si>
    <t>TAFFETA 68D 180T(P/T 68D*75D, 180T (100*80T),60GR/SQM Recycle 60"): SC-1012 (M)</t>
  </si>
  <si>
    <t>Microfiber 75d*150d, 87T(53*34th/CM) Recycle 55.5"</t>
  </si>
  <si>
    <t>P/DTY 75D(36F)X150D(288F), 89.5gr/SQM, recycle 214cm 84.25"</t>
  </si>
  <si>
    <t>84.25"</t>
  </si>
  <si>
    <t xml:space="preserve">P/DTY 75D(36F)X150D(288F), 89.5gr/SQM, recycle 214cm </t>
  </si>
  <si>
    <t>P/T FDY 68D*68D, 194T (116*78/INCH), Recycle, 60GR/M2, 190CM(가용폭) W/R</t>
  </si>
  <si>
    <t>POLY DTY 75D(36F)*150D(288F), recycle</t>
  </si>
  <si>
    <t>92.125"</t>
  </si>
  <si>
    <t>P/DTY 75D(36F)X150D(288F), 89.5gr/SQM, recycle 234cm 84.25"</t>
  </si>
  <si>
    <t xml:space="preserve">P/DTY 75D(36F)X150D(288F), 89.5gr/SQM, recycle 234cm </t>
  </si>
  <si>
    <t>RD230Z - 84.25"</t>
  </si>
  <si>
    <t>SAFFEROT(P/DTY 75D(36F)X150D(288F), 89.5gr/SQM, recycle 214cm, 84.25"): RD230Z (M)</t>
  </si>
  <si>
    <t>011-6A</t>
  </si>
  <si>
    <t>RD230Z - 92.125"</t>
  </si>
  <si>
    <t>SAFFEROT(P/DTY 75D(36F)X150D(288F), 89.5gr/SQM, recycle 234cm 92.125"): RD230Z (M)</t>
  </si>
  <si>
    <t>P/DTY 75D(36F)X150D(288F), 89.5gr/SQM, recycle 234cm 92.125"</t>
  </si>
  <si>
    <t>80.315"</t>
  </si>
  <si>
    <t>P/DTY 75D(36F)X150D(288F), 89.5gr/SQM, recycle 204cm 80.315"</t>
  </si>
  <si>
    <t>SAFFEROT(P/DTY 75D(36F)X150D(288F), 89.5gr/SQM, recycle 204cm 80.315"): RD230Z (M)</t>
  </si>
  <si>
    <t>RD230Z - 80.315"</t>
  </si>
  <si>
    <t>Shower Curtain( P/F 130/36 SD, 74.803"): SC-1020 (M)</t>
  </si>
  <si>
    <t>Shower Curtain</t>
  </si>
  <si>
    <t>P/F 130/36 SD</t>
  </si>
  <si>
    <t>74.803"</t>
  </si>
  <si>
    <t>SC-1020 74.803"</t>
  </si>
  <si>
    <t xml:space="preserve">일일 생산량 현황 ( Sản lượng dệt) </t>
  </si>
  <si>
    <t>1일 생산량 (Sản xuất hàng ngày)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</si>
</sst>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yyyy&quot;/&quot;m&quot;/&quot;d;@"/>
    <numFmt numFmtId="165" formatCode="yyyy/mm/dd"/>
    <numFmt numFmtId="166" formatCode="#,##0.0"/>
    <numFmt numFmtId="167" formatCode="0.0"/>
    <numFmt numFmtId="168" formatCode="#,##0.00000"/>
    <numFmt numFmtId="169" formatCode="#,##0.000"/>
  </numFmts>
  <fonts count="11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02" fillId="0" borderId="0">
      <alignment vertical="center"/>
    </xf>
    <xf numFmtId="0" fontId="71" fillId="0" borderId="0"/>
    <xf numFmtId="0" fontId="102" fillId="0" borderId="0">
      <alignment vertical="center"/>
    </xf>
    <xf numFmtId="43" fontId="71" fillId="0" borderId="0" applyFont="0" applyFill="0" applyBorder="0" applyAlignment="0" applyProtection="0"/>
    <xf numFmtId="43" fontId="102" fillId="0" borderId="0" applyFont="0" applyFill="0" applyBorder="0" applyAlignment="0" applyProtection="0"/>
  </cellStyleXfs>
  <cellXfs count="5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98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3" borderId="1" xfId="0" applyFill="1" applyBorder="1" applyAlignment="1">
      <alignment horizontal="center"/>
    </xf>
    <xf numFmtId="164" fontId="0" fillId="3" borderId="0" xfId="0" applyNumberFormat="1" applyFill="1" applyAlignment="1">
      <alignment horizontal="center" vertical="center"/>
    </xf>
    <xf numFmtId="3" fontId="99" fillId="0" borderId="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7" fillId="3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99" fillId="3" borderId="0" xfId="0" applyFont="1" applyFill="1" applyAlignment="1">
      <alignment horizontal="center" vertical="center"/>
    </xf>
    <xf numFmtId="3" fontId="99" fillId="6" borderId="1" xfId="0" applyNumberFormat="1" applyFont="1" applyFill="1" applyBorder="1" applyAlignment="1">
      <alignment horizontal="center" vertical="center"/>
    </xf>
    <xf numFmtId="3" fontId="95" fillId="0" borderId="1" xfId="0" applyNumberFormat="1" applyFont="1" applyBorder="1" applyAlignment="1">
      <alignment horizontal="center" vertical="center"/>
    </xf>
    <xf numFmtId="0" fontId="99" fillId="0" borderId="10" xfId="0" applyFont="1" applyBorder="1" applyAlignment="1">
      <alignment horizontal="center" vertical="center"/>
    </xf>
    <xf numFmtId="3" fontId="95" fillId="0" borderId="10" xfId="0" applyNumberFormat="1" applyFont="1" applyBorder="1" applyAlignment="1">
      <alignment horizontal="center" vertical="center"/>
    </xf>
    <xf numFmtId="0" fontId="97" fillId="3" borderId="0" xfId="0" applyFont="1" applyFill="1">
      <alignment vertical="center"/>
    </xf>
    <xf numFmtId="0" fontId="100" fillId="3" borderId="0" xfId="0" applyFont="1" applyFill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00" fillId="3" borderId="15" xfId="0" applyFont="1" applyFill="1" applyBorder="1" applyAlignment="1">
      <alignment horizontal="center" vertical="center"/>
    </xf>
    <xf numFmtId="0" fontId="94" fillId="3" borderId="13" xfId="0" applyFont="1" applyFill="1" applyBorder="1" applyAlignment="1">
      <alignment horizontal="center" vertical="center"/>
    </xf>
    <xf numFmtId="0" fontId="94" fillId="3" borderId="0" xfId="0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3" fontId="99" fillId="0" borderId="10" xfId="0" applyNumberFormat="1" applyFont="1" applyBorder="1" applyAlignment="1">
      <alignment horizontal="center" vertical="center"/>
    </xf>
    <xf numFmtId="166" fontId="99" fillId="0" borderId="1" xfId="0" applyNumberFormat="1" applyFon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101" fillId="3" borderId="1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3" fontId="0" fillId="3" borderId="18" xfId="0" applyNumberFormat="1" applyFill="1" applyBorder="1">
      <alignment vertical="center"/>
    </xf>
    <xf numFmtId="166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99" fillId="0" borderId="10" xfId="0" applyNumberFormat="1" applyFont="1" applyBorder="1" applyAlignment="1">
      <alignment horizontal="center" vertical="center"/>
    </xf>
    <xf numFmtId="0" fontId="99" fillId="3" borderId="16" xfId="0" applyFont="1" applyFill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93" fillId="3" borderId="16" xfId="0" applyFont="1" applyFill="1" applyBorder="1" applyAlignment="1">
      <alignment horizontal="center" vertical="center"/>
    </xf>
    <xf numFmtId="14" fontId="99" fillId="3" borderId="5" xfId="0" applyNumberFormat="1" applyFont="1" applyFill="1" applyBorder="1" applyAlignment="1">
      <alignment horizontal="center" vertical="center"/>
    </xf>
    <xf numFmtId="0" fontId="99" fillId="3" borderId="6" xfId="0" applyFont="1" applyFill="1" applyBorder="1" applyAlignment="1">
      <alignment horizontal="center" vertical="center"/>
    </xf>
    <xf numFmtId="0" fontId="92" fillId="0" borderId="1" xfId="0" applyFont="1" applyBorder="1" applyAlignment="1">
      <alignment horizontal="center" vertical="center"/>
    </xf>
    <xf numFmtId="0" fontId="92" fillId="0" borderId="5" xfId="0" applyFont="1" applyBorder="1" applyAlignment="1">
      <alignment horizontal="center" vertical="center"/>
    </xf>
    <xf numFmtId="4" fontId="99" fillId="0" borderId="1" xfId="0" applyNumberFormat="1" applyFont="1" applyBorder="1" applyAlignment="1">
      <alignment horizontal="center" vertical="center"/>
    </xf>
    <xf numFmtId="14" fontId="99" fillId="3" borderId="1" xfId="0" applyNumberFormat="1" applyFont="1" applyFill="1" applyBorder="1" applyAlignment="1">
      <alignment horizontal="center" vertical="center"/>
    </xf>
    <xf numFmtId="166" fontId="99" fillId="0" borderId="4" xfId="0" applyNumberFormat="1" applyFont="1" applyBorder="1" applyAlignment="1">
      <alignment horizontal="center" vertical="center"/>
    </xf>
    <xf numFmtId="0" fontId="91" fillId="3" borderId="1" xfId="0" applyFont="1" applyFill="1" applyBorder="1" applyAlignment="1">
      <alignment horizontal="center" vertical="center"/>
    </xf>
    <xf numFmtId="0" fontId="91" fillId="3" borderId="0" xfId="0" applyFont="1" applyFill="1">
      <alignment vertical="center"/>
    </xf>
    <xf numFmtId="0" fontId="90" fillId="3" borderId="16" xfId="0" applyFont="1" applyFill="1" applyBorder="1" applyAlignment="1">
      <alignment horizontal="center" vertical="center"/>
    </xf>
    <xf numFmtId="0" fontId="99" fillId="3" borderId="1" xfId="0" applyFont="1" applyFill="1" applyBorder="1" applyAlignment="1">
      <alignment vertical="center" wrapText="1"/>
    </xf>
    <xf numFmtId="0" fontId="89" fillId="3" borderId="16" xfId="0" applyFont="1" applyFill="1" applyBorder="1" applyAlignment="1">
      <alignment horizontal="center" vertical="center"/>
    </xf>
    <xf numFmtId="0" fontId="88" fillId="3" borderId="16" xfId="0" applyFont="1" applyFill="1" applyBorder="1" applyAlignment="1">
      <alignment horizontal="center" vertical="center"/>
    </xf>
    <xf numFmtId="1" fontId="0" fillId="3" borderId="13" xfId="0" applyNumberFormat="1" applyFill="1" applyBorder="1" applyAlignment="1">
      <alignment horizontal="center" vertical="center"/>
    </xf>
    <xf numFmtId="0" fontId="87" fillId="3" borderId="16" xfId="0" applyFont="1" applyFill="1" applyBorder="1" applyAlignment="1">
      <alignment horizontal="center" vertical="center"/>
    </xf>
    <xf numFmtId="0" fontId="86" fillId="3" borderId="16" xfId="0" applyFont="1" applyFill="1" applyBorder="1" applyAlignment="1">
      <alignment horizontal="center" vertical="center"/>
    </xf>
    <xf numFmtId="14" fontId="99" fillId="3" borderId="4" xfId="0" applyNumberFormat="1" applyFont="1" applyFill="1" applyBorder="1" applyAlignment="1">
      <alignment horizontal="center" vertical="center"/>
    </xf>
    <xf numFmtId="0" fontId="85" fillId="3" borderId="16" xfId="0" applyFont="1" applyFill="1" applyBorder="1" applyAlignment="1">
      <alignment horizontal="center" vertical="center"/>
    </xf>
    <xf numFmtId="14" fontId="99" fillId="3" borderId="6" xfId="0" applyNumberFormat="1" applyFont="1" applyFill="1" applyBorder="1" applyAlignment="1">
      <alignment horizontal="center" vertical="center"/>
    </xf>
    <xf numFmtId="0" fontId="84" fillId="3" borderId="16" xfId="0" applyFont="1" applyFill="1" applyBorder="1" applyAlignment="1">
      <alignment horizontal="center" vertical="center"/>
    </xf>
    <xf numFmtId="0" fontId="83" fillId="3" borderId="1" xfId="0" applyFont="1" applyFill="1" applyBorder="1" applyAlignment="1">
      <alignment horizontal="center" vertical="center"/>
    </xf>
    <xf numFmtId="0" fontId="83" fillId="4" borderId="1" xfId="0" applyFont="1" applyFill="1" applyBorder="1" applyAlignment="1">
      <alignment horizontal="center" vertical="center"/>
    </xf>
    <xf numFmtId="0" fontId="83" fillId="3" borderId="0" xfId="0" applyFont="1" applyFill="1">
      <alignment vertical="center"/>
    </xf>
    <xf numFmtId="1" fontId="83" fillId="3" borderId="1" xfId="0" applyNumberFormat="1" applyFont="1" applyFill="1" applyBorder="1" applyAlignment="1">
      <alignment horizontal="center" vertical="center"/>
    </xf>
    <xf numFmtId="3" fontId="0" fillId="3" borderId="0" xfId="0" applyNumberFormat="1" applyFill="1">
      <alignment vertical="center"/>
    </xf>
    <xf numFmtId="0" fontId="82" fillId="3" borderId="13" xfId="0" applyFont="1" applyFill="1" applyBorder="1" applyAlignment="1">
      <alignment horizontal="center" vertical="center"/>
    </xf>
    <xf numFmtId="0" fontId="81" fillId="3" borderId="13" xfId="0" applyFont="1" applyFill="1" applyBorder="1" applyAlignment="1">
      <alignment horizontal="center" vertical="center"/>
    </xf>
    <xf numFmtId="0" fontId="80" fillId="3" borderId="13" xfId="0" applyFont="1" applyFill="1" applyBorder="1" applyAlignment="1">
      <alignment horizontal="center" vertical="center"/>
    </xf>
    <xf numFmtId="0" fontId="79" fillId="3" borderId="13" xfId="0" applyFont="1" applyFill="1" applyBorder="1" applyAlignment="1">
      <alignment horizontal="center" vertical="center"/>
    </xf>
    <xf numFmtId="0" fontId="78" fillId="3" borderId="13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77" fillId="3" borderId="13" xfId="0" applyFont="1" applyFill="1" applyBorder="1" applyAlignment="1">
      <alignment horizontal="center" vertical="center"/>
    </xf>
    <xf numFmtId="0" fontId="76" fillId="3" borderId="13" xfId="0" applyFont="1" applyFill="1" applyBorder="1" applyAlignment="1">
      <alignment horizontal="center" vertical="center"/>
    </xf>
    <xf numFmtId="0" fontId="92" fillId="0" borderId="10" xfId="0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5" fillId="0" borderId="1" xfId="0" applyFont="1" applyBorder="1" applyAlignment="1">
      <alignment horizontal="center" vertical="center"/>
    </xf>
    <xf numFmtId="1" fontId="75" fillId="0" borderId="5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74" fillId="0" borderId="1" xfId="0" applyFont="1" applyBorder="1" applyAlignment="1">
      <alignment horizontal="center" vertical="center"/>
    </xf>
    <xf numFmtId="1" fontId="75" fillId="0" borderId="10" xfId="0" applyNumberFormat="1" applyFont="1" applyBorder="1" applyAlignment="1">
      <alignment horizontal="center" vertical="center"/>
    </xf>
    <xf numFmtId="0" fontId="92" fillId="0" borderId="8" xfId="0" applyFont="1" applyBorder="1" applyAlignment="1">
      <alignment horizontal="center" vertical="center"/>
    </xf>
    <xf numFmtId="0" fontId="73" fillId="3" borderId="13" xfId="0" applyFont="1" applyFill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72" fillId="3" borderId="13" xfId="0" applyFont="1" applyFill="1" applyBorder="1" applyAlignment="1">
      <alignment horizontal="center" vertical="center"/>
    </xf>
    <xf numFmtId="14" fontId="99" fillId="3" borderId="8" xfId="0" applyNumberFormat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left" vertical="center"/>
    </xf>
    <xf numFmtId="0" fontId="70" fillId="3" borderId="13" xfId="0" applyFont="1" applyFill="1" applyBorder="1" applyAlignment="1">
      <alignment horizontal="center" vertical="center"/>
    </xf>
    <xf numFmtId="0" fontId="70" fillId="3" borderId="16" xfId="0" applyFont="1" applyFill="1" applyBorder="1" applyAlignment="1">
      <alignment horizontal="center" vertical="center"/>
    </xf>
    <xf numFmtId="0" fontId="69" fillId="3" borderId="16" xfId="0" applyFont="1" applyFill="1" applyBorder="1" applyAlignment="1">
      <alignment horizontal="center" vertical="center"/>
    </xf>
    <xf numFmtId="0" fontId="100" fillId="3" borderId="14" xfId="0" applyFont="1" applyFill="1" applyBorder="1" applyAlignment="1">
      <alignment horizontal="left" vertical="center"/>
    </xf>
    <xf numFmtId="0" fontId="68" fillId="3" borderId="16" xfId="0" applyFont="1" applyFill="1" applyBorder="1" applyAlignment="1">
      <alignment horizontal="center" vertical="center"/>
    </xf>
    <xf numFmtId="1" fontId="91" fillId="3" borderId="1" xfId="0" applyNumberFormat="1" applyFont="1" applyFill="1" applyBorder="1" applyAlignment="1">
      <alignment horizontal="center" vertical="center"/>
    </xf>
    <xf numFmtId="0" fontId="67" fillId="3" borderId="16" xfId="0" applyFont="1" applyFill="1" applyBorder="1" applyAlignment="1">
      <alignment horizontal="center" vertical="center"/>
    </xf>
    <xf numFmtId="0" fontId="66" fillId="3" borderId="16" xfId="0" applyFont="1" applyFill="1" applyBorder="1" applyAlignment="1">
      <alignment horizontal="center" vertical="center"/>
    </xf>
    <xf numFmtId="1" fontId="80" fillId="3" borderId="13" xfId="0" applyNumberFormat="1" applyFont="1" applyFill="1" applyBorder="1" applyAlignment="1">
      <alignment horizontal="center" vertical="center"/>
    </xf>
    <xf numFmtId="0" fontId="65" fillId="3" borderId="16" xfId="0" applyFont="1" applyFill="1" applyBorder="1" applyAlignment="1">
      <alignment horizontal="center" vertical="center"/>
    </xf>
    <xf numFmtId="0" fontId="64" fillId="3" borderId="16" xfId="0" applyFont="1" applyFill="1" applyBorder="1" applyAlignment="1">
      <alignment horizontal="center" vertical="center"/>
    </xf>
    <xf numFmtId="0" fontId="63" fillId="3" borderId="16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62" fillId="3" borderId="16" xfId="0" applyFont="1" applyFill="1" applyBorder="1" applyAlignment="1">
      <alignment horizontal="center" vertical="center"/>
    </xf>
    <xf numFmtId="0" fontId="61" fillId="3" borderId="16" xfId="0" applyFont="1" applyFill="1" applyBorder="1" applyAlignment="1">
      <alignment horizontal="center" vertical="center"/>
    </xf>
    <xf numFmtId="0" fontId="60" fillId="3" borderId="13" xfId="0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59" fillId="3" borderId="16" xfId="0" applyFont="1" applyFill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0" fontId="58" fillId="3" borderId="16" xfId="0" applyFont="1" applyFill="1" applyBorder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57" fillId="3" borderId="16" xfId="0" applyFont="1" applyFill="1" applyBorder="1" applyAlignment="1">
      <alignment horizontal="center" vertical="center"/>
    </xf>
    <xf numFmtId="0" fontId="99" fillId="0" borderId="5" xfId="0" applyFont="1" applyBorder="1" applyAlignment="1">
      <alignment horizontal="center" vertical="center"/>
    </xf>
    <xf numFmtId="14" fontId="99" fillId="0" borderId="8" xfId="0" applyNumberFormat="1" applyFont="1" applyBorder="1" applyAlignment="1">
      <alignment horizontal="center" vertical="center"/>
    </xf>
    <xf numFmtId="14" fontId="99" fillId="0" borderId="5" xfId="0" applyNumberFormat="1" applyFont="1" applyBorder="1" applyAlignment="1">
      <alignment horizontal="center" vertical="center"/>
    </xf>
    <xf numFmtId="3" fontId="99" fillId="0" borderId="4" xfId="0" applyNumberFormat="1" applyFont="1" applyBorder="1" applyAlignment="1">
      <alignment horizontal="center" vertical="center"/>
    </xf>
    <xf numFmtId="3" fontId="99" fillId="0" borderId="5" xfId="0" applyNumberFormat="1" applyFont="1" applyBorder="1" applyAlignment="1">
      <alignment horizontal="center" vertical="center"/>
    </xf>
    <xf numFmtId="14" fontId="99" fillId="0" borderId="1" xfId="0" applyNumberFormat="1" applyFont="1" applyBorder="1" applyAlignment="1">
      <alignment horizontal="center" vertical="center"/>
    </xf>
    <xf numFmtId="0" fontId="99" fillId="0" borderId="1" xfId="0" applyFont="1" applyBorder="1" applyAlignment="1">
      <alignment horizontal="center" vertical="center"/>
    </xf>
    <xf numFmtId="4" fontId="99" fillId="0" borderId="10" xfId="0" applyNumberFormat="1" applyFont="1" applyBorder="1" applyAlignment="1">
      <alignment horizontal="center" vertical="center"/>
    </xf>
    <xf numFmtId="3" fontId="99" fillId="0" borderId="8" xfId="0" applyNumberFormat="1" applyFont="1" applyBorder="1" applyAlignment="1">
      <alignment horizontal="center" vertical="center"/>
    </xf>
    <xf numFmtId="0" fontId="99" fillId="3" borderId="1" xfId="0" applyFont="1" applyFill="1" applyBorder="1" applyAlignment="1">
      <alignment horizontal="center" vertical="center"/>
    </xf>
    <xf numFmtId="166" fontId="99" fillId="0" borderId="8" xfId="0" applyNumberFormat="1" applyFont="1" applyBorder="1" applyAlignment="1">
      <alignment horizontal="center" vertical="center"/>
    </xf>
    <xf numFmtId="0" fontId="56" fillId="3" borderId="16" xfId="0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95" fillId="0" borderId="5" xfId="0" applyNumberFormat="1" applyFont="1" applyBorder="1" applyAlignment="1">
      <alignment horizontal="center" vertical="center"/>
    </xf>
    <xf numFmtId="3" fontId="95" fillId="0" borderId="8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95" fillId="0" borderId="7" xfId="0" applyNumberFormat="1" applyFont="1" applyBorder="1" applyAlignment="1">
      <alignment horizontal="center" vertical="center"/>
    </xf>
    <xf numFmtId="0" fontId="99" fillId="0" borderId="4" xfId="0" applyFont="1" applyBorder="1" applyAlignment="1">
      <alignment horizontal="center" vertical="center"/>
    </xf>
    <xf numFmtId="0" fontId="99" fillId="0" borderId="7" xfId="0" applyFont="1" applyBorder="1" applyAlignment="1">
      <alignment horizontal="center" vertical="center"/>
    </xf>
    <xf numFmtId="14" fontId="99" fillId="0" borderId="7" xfId="0" applyNumberFormat="1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99" fillId="3" borderId="4" xfId="0" applyFont="1" applyFill="1" applyBorder="1" applyAlignment="1">
      <alignment horizontal="center" vertical="center"/>
    </xf>
    <xf numFmtId="0" fontId="104" fillId="3" borderId="0" xfId="0" applyFont="1" applyFill="1">
      <alignment vertical="center"/>
    </xf>
    <xf numFmtId="0" fontId="101" fillId="3" borderId="0" xfId="0" applyFont="1" applyFill="1" applyAlignment="1">
      <alignment horizontal="center" vertical="center"/>
    </xf>
    <xf numFmtId="16" fontId="101" fillId="3" borderId="3" xfId="0" applyNumberFormat="1" applyFont="1" applyFill="1" applyBorder="1" applyAlignment="1">
      <alignment horizontal="center" vertical="center"/>
    </xf>
    <xf numFmtId="0" fontId="101" fillId="3" borderId="2" xfId="0" applyFont="1" applyFill="1" applyBorder="1" applyAlignment="1">
      <alignment horizontal="center" vertical="center"/>
    </xf>
    <xf numFmtId="1" fontId="101" fillId="3" borderId="1" xfId="0" applyNumberFormat="1" applyFont="1" applyFill="1" applyBorder="1" applyAlignment="1">
      <alignment horizontal="center" vertical="center"/>
    </xf>
    <xf numFmtId="0" fontId="101" fillId="3" borderId="0" xfId="0" applyFont="1" applyFill="1">
      <alignment vertical="center"/>
    </xf>
    <xf numFmtId="0" fontId="101" fillId="3" borderId="12" xfId="0" applyFont="1" applyFill="1" applyBorder="1" applyAlignment="1">
      <alignment horizontal="center" vertical="center"/>
    </xf>
    <xf numFmtId="0" fontId="101" fillId="3" borderId="16" xfId="0" applyFont="1" applyFill="1" applyBorder="1" applyAlignment="1">
      <alignment horizontal="center" vertical="center"/>
    </xf>
    <xf numFmtId="0" fontId="101" fillId="3" borderId="13" xfId="0" applyFont="1" applyFill="1" applyBorder="1" applyAlignment="1">
      <alignment horizontal="center" vertical="center"/>
    </xf>
    <xf numFmtId="0" fontId="105" fillId="3" borderId="15" xfId="0" applyFont="1" applyFill="1" applyBorder="1" applyAlignment="1">
      <alignment horizontal="center" vertical="center"/>
    </xf>
    <xf numFmtId="0" fontId="101" fillId="5" borderId="1" xfId="0" applyFont="1" applyFill="1" applyBorder="1" applyAlignment="1">
      <alignment horizontal="center" vertical="center"/>
    </xf>
    <xf numFmtId="0" fontId="55" fillId="3" borderId="13" xfId="0" applyFont="1" applyFill="1" applyBorder="1" applyAlignment="1">
      <alignment horizontal="center" vertical="center"/>
    </xf>
    <xf numFmtId="0" fontId="55" fillId="3" borderId="16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95" fillId="0" borderId="4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99" fillId="0" borderId="4" xfId="0" applyNumberFormat="1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99" fillId="3" borderId="4" xfId="0" applyFont="1" applyFill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/>
    </xf>
    <xf numFmtId="0" fontId="0" fillId="3" borderId="1" xfId="0" applyFill="1" applyBorder="1">
      <alignment vertical="center"/>
    </xf>
    <xf numFmtId="3" fontId="0" fillId="0" borderId="1" xfId="0" applyNumberFormat="1" applyBorder="1">
      <alignment vertical="center"/>
    </xf>
    <xf numFmtId="166" fontId="99" fillId="0" borderId="5" xfId="0" applyNumberFormat="1" applyFon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0" fontId="101" fillId="5" borderId="2" xfId="0" applyFont="1" applyFill="1" applyBorder="1" applyAlignment="1">
      <alignment horizontal="center" vertical="center"/>
    </xf>
    <xf numFmtId="0" fontId="75" fillId="0" borderId="8" xfId="0" applyFont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1" fillId="5" borderId="1" xfId="0" applyFont="1" applyFill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0" fontId="51" fillId="3" borderId="1" xfId="0" applyFont="1" applyFill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75" fillId="0" borderId="5" xfId="0" applyFont="1" applyBorder="1" applyAlignment="1">
      <alignment horizontal="center" vertical="center"/>
    </xf>
    <xf numFmtId="0" fontId="50" fillId="3" borderId="16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8" fillId="3" borderId="13" xfId="0" applyFont="1" applyFill="1" applyBorder="1" applyAlignment="1">
      <alignment horizontal="center" vertical="center"/>
    </xf>
    <xf numFmtId="0" fontId="47" fillId="3" borderId="16" xfId="0" applyFont="1" applyFill="1" applyBorder="1" applyAlignment="1">
      <alignment horizontal="center" vertical="center"/>
    </xf>
    <xf numFmtId="1" fontId="99" fillId="0" borderId="0" xfId="0" applyNumberFormat="1" applyFont="1" applyAlignment="1">
      <alignment horizontal="center" vertical="center"/>
    </xf>
    <xf numFmtId="166" fontId="95" fillId="0" borderId="1" xfId="0" applyNumberFormat="1" applyFont="1" applyBorder="1" applyAlignment="1">
      <alignment horizontal="center" vertical="center"/>
    </xf>
    <xf numFmtId="0" fontId="46" fillId="3" borderId="16" xfId="0" applyFont="1" applyFill="1" applyBorder="1" applyAlignment="1">
      <alignment horizontal="center" vertical="center"/>
    </xf>
    <xf numFmtId="1" fontId="94" fillId="3" borderId="13" xfId="0" applyNumberFormat="1" applyFont="1" applyFill="1" applyBorder="1" applyAlignment="1">
      <alignment horizontal="center" vertical="center"/>
    </xf>
    <xf numFmtId="0" fontId="99" fillId="3" borderId="1" xfId="0" applyFont="1" applyFill="1" applyBorder="1" applyAlignment="1">
      <alignment horizontal="center" vertical="center" wrapText="1"/>
    </xf>
    <xf numFmtId="0" fontId="99" fillId="3" borderId="6" xfId="0" applyFont="1" applyFill="1" applyBorder="1" applyAlignment="1">
      <alignment horizontal="center" vertical="center" wrapText="1"/>
    </xf>
    <xf numFmtId="166" fontId="0" fillId="0" borderId="5" xfId="0" applyNumberFormat="1" applyBorder="1" applyAlignment="1">
      <alignment horizontal="center" vertical="center"/>
    </xf>
    <xf numFmtId="3" fontId="99" fillId="3" borderId="1" xfId="0" applyNumberFormat="1" applyFont="1" applyFill="1" applyBorder="1" applyAlignment="1">
      <alignment horizontal="center" vertical="center"/>
    </xf>
    <xf numFmtId="166" fontId="99" fillId="0" borderId="4" xfId="0" quotePrefix="1" applyNumberFormat="1" applyFont="1" applyBorder="1" applyAlignment="1">
      <alignment horizontal="center" vertical="center"/>
    </xf>
    <xf numFmtId="165" fontId="108" fillId="0" borderId="21" xfId="0" applyNumberFormat="1" applyFont="1" applyBorder="1" applyAlignment="1">
      <alignment horizontal="center" vertical="center"/>
    </xf>
    <xf numFmtId="0" fontId="109" fillId="0" borderId="21" xfId="0" applyFont="1" applyBorder="1" applyAlignment="1">
      <alignment horizontal="center" vertical="center"/>
    </xf>
    <xf numFmtId="0" fontId="109" fillId="0" borderId="21" xfId="0" applyFont="1" applyBorder="1" applyAlignment="1">
      <alignment horizontal="left" vertical="center"/>
    </xf>
    <xf numFmtId="4" fontId="108" fillId="0" borderId="21" xfId="0" applyNumberFormat="1" applyFont="1" applyBorder="1" applyAlignment="1">
      <alignment horizontal="center" vertical="center"/>
    </xf>
    <xf numFmtId="3" fontId="108" fillId="0" borderId="21" xfId="0" applyNumberFormat="1" applyFont="1" applyBorder="1" applyAlignment="1">
      <alignment horizontal="center" vertical="center"/>
    </xf>
    <xf numFmtId="166" fontId="108" fillId="0" borderId="21" xfId="0" applyNumberFormat="1" applyFont="1" applyBorder="1" applyAlignment="1">
      <alignment horizontal="center" vertical="center"/>
    </xf>
    <xf numFmtId="3" fontId="99" fillId="3" borderId="4" xfId="0" applyNumberFormat="1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66" fontId="99" fillId="3" borderId="4" xfId="0" applyNumberFormat="1" applyFont="1" applyFill="1" applyBorder="1" applyAlignment="1">
      <alignment horizontal="center" vertical="center"/>
    </xf>
    <xf numFmtId="3" fontId="99" fillId="3" borderId="5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4" fontId="99" fillId="3" borderId="1" xfId="0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/>
    </xf>
    <xf numFmtId="1" fontId="93" fillId="3" borderId="16" xfId="0" applyNumberFormat="1" applyFont="1" applyFill="1" applyBorder="1" applyAlignment="1">
      <alignment horizontal="center" vertical="center"/>
    </xf>
    <xf numFmtId="3" fontId="103" fillId="0" borderId="0" xfId="0" applyNumberFormat="1" applyFont="1" applyAlignment="1">
      <alignment horizontal="center" vertical="center"/>
    </xf>
    <xf numFmtId="0" fontId="43" fillId="3" borderId="16" xfId="0" applyFont="1" applyFill="1" applyBorder="1" applyAlignment="1">
      <alignment horizontal="center" vertical="center"/>
    </xf>
    <xf numFmtId="1" fontId="43" fillId="3" borderId="16" xfId="0" applyNumberFormat="1" applyFont="1" applyFill="1" applyBorder="1" applyAlignment="1">
      <alignment horizontal="center" vertical="center"/>
    </xf>
    <xf numFmtId="0" fontId="43" fillId="3" borderId="13" xfId="0" applyFont="1" applyFill="1" applyBorder="1" applyAlignment="1">
      <alignment horizontal="center" vertical="center"/>
    </xf>
    <xf numFmtId="0" fontId="43" fillId="3" borderId="0" xfId="0" applyFont="1" applyFill="1" applyAlignment="1">
      <alignment horizontal="center" vertical="center"/>
    </xf>
    <xf numFmtId="1" fontId="100" fillId="3" borderId="15" xfId="0" applyNumberFormat="1" applyFont="1" applyFill="1" applyBorder="1" applyAlignment="1">
      <alignment horizontal="center" vertical="center"/>
    </xf>
    <xf numFmtId="4" fontId="99" fillId="0" borderId="5" xfId="0" applyNumberFormat="1" applyFont="1" applyBorder="1" applyAlignment="1">
      <alignment horizontal="center" vertical="center"/>
    </xf>
    <xf numFmtId="3" fontId="99" fillId="3" borderId="10" xfId="0" applyNumberFormat="1" applyFont="1" applyFill="1" applyBorder="1" applyAlignment="1">
      <alignment horizontal="center" vertical="center"/>
    </xf>
    <xf numFmtId="0" fontId="42" fillId="3" borderId="13" xfId="0" applyFont="1" applyFill="1" applyBorder="1" applyAlignment="1">
      <alignment horizontal="left" vertical="center"/>
    </xf>
    <xf numFmtId="14" fontId="99" fillId="0" borderId="5" xfId="0" applyNumberFormat="1" applyFont="1" applyBorder="1" applyAlignment="1">
      <alignment horizontal="center" vertical="center" wrapText="1"/>
    </xf>
    <xf numFmtId="3" fontId="95" fillId="3" borderId="1" xfId="0" applyNumberFormat="1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0" fontId="40" fillId="3" borderId="16" xfId="0" applyFont="1" applyFill="1" applyBorder="1" applyAlignment="1">
      <alignment horizontal="center" vertical="center"/>
    </xf>
    <xf numFmtId="0" fontId="75" fillId="3" borderId="1" xfId="0" applyFont="1" applyFill="1" applyBorder="1" applyAlignment="1">
      <alignment horizontal="center" vertical="center"/>
    </xf>
    <xf numFmtId="3" fontId="95" fillId="3" borderId="5" xfId="0" applyNumberFormat="1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166" fontId="99" fillId="3" borderId="1" xfId="0" applyNumberFormat="1" applyFont="1" applyFill="1" applyBorder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166" fontId="99" fillId="3" borderId="8" xfId="0" applyNumberFormat="1" applyFont="1" applyFill="1" applyBorder="1" applyAlignment="1">
      <alignment horizontal="center" vertical="center"/>
    </xf>
    <xf numFmtId="3" fontId="99" fillId="3" borderId="8" xfId="0" applyNumberFormat="1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66" fontId="37" fillId="0" borderId="4" xfId="0" applyNumberFormat="1" applyFont="1" applyBorder="1" applyAlignment="1">
      <alignment horizontal="center" vertical="center"/>
    </xf>
    <xf numFmtId="166" fontId="37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36" fillId="3" borderId="17" xfId="0" applyFont="1" applyFill="1" applyBorder="1" applyAlignment="1">
      <alignment horizontal="left" vertical="center"/>
    </xf>
    <xf numFmtId="4" fontId="37" fillId="0" borderId="4" xfId="0" applyNumberFormat="1" applyFont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3" fontId="95" fillId="3" borderId="10" xfId="0" applyNumberFormat="1" applyFont="1" applyFill="1" applyBorder="1" applyAlignment="1">
      <alignment horizontal="center" vertical="center"/>
    </xf>
    <xf numFmtId="1" fontId="75" fillId="3" borderId="10" xfId="0" applyNumberFormat="1" applyFont="1" applyFill="1" applyBorder="1" applyAlignment="1">
      <alignment horizontal="center" vertical="center"/>
    </xf>
    <xf numFmtId="166" fontId="37" fillId="0" borderId="8" xfId="0" applyNumberFormat="1" applyFont="1" applyBorder="1" applyAlignment="1">
      <alignment horizontal="center" vertical="center"/>
    </xf>
    <xf numFmtId="4" fontId="99" fillId="0" borderId="4" xfId="0" applyNumberFormat="1" applyFont="1" applyBorder="1" applyAlignment="1">
      <alignment horizontal="center" vertical="center"/>
    </xf>
    <xf numFmtId="166" fontId="99" fillId="0" borderId="6" xfId="0" applyNumberFormat="1" applyFont="1" applyBorder="1" applyAlignment="1">
      <alignment horizontal="center" vertical="center"/>
    </xf>
    <xf numFmtId="1" fontId="75" fillId="3" borderId="5" xfId="0" applyNumberFormat="1" applyFont="1" applyFill="1" applyBorder="1" applyAlignment="1">
      <alignment horizontal="center" vertical="center"/>
    </xf>
    <xf numFmtId="3" fontId="0" fillId="3" borderId="4" xfId="0" applyNumberForma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110" fillId="0" borderId="0" xfId="0" applyFont="1" applyAlignment="1">
      <alignment horizontal="center" vertical="center"/>
    </xf>
    <xf numFmtId="165" fontId="111" fillId="0" borderId="21" xfId="0" applyNumberFormat="1" applyFont="1" applyBorder="1" applyAlignment="1">
      <alignment horizontal="center" vertical="center"/>
    </xf>
    <xf numFmtId="0" fontId="112" fillId="0" borderId="21" xfId="0" applyFont="1" applyBorder="1" applyAlignment="1">
      <alignment horizontal="center" vertical="center"/>
    </xf>
    <xf numFmtId="0" fontId="112" fillId="0" borderId="21" xfId="0" applyFont="1" applyBorder="1" applyAlignment="1">
      <alignment horizontal="left" vertical="center"/>
    </xf>
    <xf numFmtId="4" fontId="111" fillId="0" borderId="21" xfId="0" applyNumberFormat="1" applyFont="1" applyBorder="1" applyAlignment="1">
      <alignment horizontal="center" vertical="center"/>
    </xf>
    <xf numFmtId="3" fontId="111" fillId="0" borderId="21" xfId="0" applyNumberFormat="1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3" fontId="112" fillId="0" borderId="0" xfId="0" applyNumberFormat="1" applyFont="1" applyAlignment="1">
      <alignment horizontal="center" vertical="center"/>
    </xf>
    <xf numFmtId="3" fontId="0" fillId="3" borderId="8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9" fillId="3" borderId="8" xfId="0" applyFont="1" applyFill="1" applyBorder="1" applyAlignment="1">
      <alignment horizontal="center" vertical="center"/>
    </xf>
    <xf numFmtId="3" fontId="95" fillId="3" borderId="8" xfId="0" applyNumberFormat="1" applyFont="1" applyFill="1" applyBorder="1" applyAlignment="1">
      <alignment horizontal="center" vertical="center"/>
    </xf>
    <xf numFmtId="0" fontId="75" fillId="3" borderId="8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0" fillId="3" borderId="22" xfId="0" applyFill="1" applyBorder="1">
      <alignment vertical="center"/>
    </xf>
    <xf numFmtId="0" fontId="37" fillId="3" borderId="1" xfId="0" applyFont="1" applyFill="1" applyBorder="1" applyAlignment="1">
      <alignment horizontal="center" vertical="center"/>
    </xf>
    <xf numFmtId="0" fontId="92" fillId="3" borderId="1" xfId="0" applyFont="1" applyFill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95" fillId="0" borderId="6" xfId="0" applyNumberFormat="1" applyFont="1" applyBorder="1" applyAlignment="1">
      <alignment horizontal="center" vertical="center"/>
    </xf>
    <xf numFmtId="0" fontId="92" fillId="0" borderId="6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3" fontId="37" fillId="0" borderId="4" xfId="0" applyNumberFormat="1" applyFont="1" applyBorder="1" applyAlignment="1">
      <alignment horizontal="center" vertical="center"/>
    </xf>
    <xf numFmtId="0" fontId="99" fillId="3" borderId="5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4" fontId="99" fillId="0" borderId="4" xfId="0" applyNumberFormat="1" applyFont="1" applyBorder="1" applyAlignment="1">
      <alignment horizontal="center" vertical="center" wrapText="1"/>
    </xf>
    <xf numFmtId="14" fontId="99" fillId="0" borderId="1" xfId="0" applyNumberFormat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3" fontId="0" fillId="3" borderId="7" xfId="0" applyNumberFormat="1" applyFill="1" applyBorder="1" applyAlignment="1">
      <alignment horizontal="center" vertical="center"/>
    </xf>
    <xf numFmtId="0" fontId="99" fillId="3" borderId="8" xfId="0" applyFont="1" applyFill="1" applyBorder="1" applyAlignment="1">
      <alignment horizontal="center" vertical="center" wrapText="1"/>
    </xf>
    <xf numFmtId="166" fontId="99" fillId="3" borderId="5" xfId="0" applyNumberFormat="1" applyFont="1" applyFill="1" applyBorder="1" applyAlignment="1">
      <alignment horizontal="center" vertical="center"/>
    </xf>
    <xf numFmtId="4" fontId="37" fillId="0" borderId="1" xfId="0" applyNumberFormat="1" applyFont="1" applyBorder="1" applyAlignment="1">
      <alignment horizontal="center" vertical="center"/>
    </xf>
    <xf numFmtId="4" fontId="99" fillId="3" borderId="4" xfId="0" applyNumberFormat="1" applyFont="1" applyFill="1" applyBorder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91" fillId="7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29" fillId="3" borderId="16" xfId="0" applyFont="1" applyFill="1" applyBorder="1" applyAlignment="1">
      <alignment horizontal="center" vertical="center"/>
    </xf>
    <xf numFmtId="166" fontId="0" fillId="0" borderId="7" xfId="0" applyNumberFormat="1" applyBorder="1">
      <alignment vertical="center"/>
    </xf>
    <xf numFmtId="166" fontId="0" fillId="0" borderId="1" xfId="0" applyNumberFormat="1" applyBorder="1">
      <alignment vertical="center"/>
    </xf>
    <xf numFmtId="166" fontId="0" fillId="0" borderId="5" xfId="0" applyNumberFormat="1" applyBorder="1">
      <alignment vertical="center"/>
    </xf>
    <xf numFmtId="0" fontId="28" fillId="5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4" fontId="37" fillId="3" borderId="4" xfId="0" applyNumberFormat="1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4" fontId="99" fillId="3" borderId="5" xfId="0" applyNumberFormat="1" applyFont="1" applyFill="1" applyBorder="1" applyAlignment="1">
      <alignment horizontal="center" vertical="center"/>
    </xf>
    <xf numFmtId="0" fontId="113" fillId="3" borderId="1" xfId="0" applyFont="1" applyFill="1" applyBorder="1" applyAlignment="1">
      <alignment horizontal="center" vertical="center"/>
    </xf>
    <xf numFmtId="0" fontId="113" fillId="3" borderId="1" xfId="0" applyFont="1" applyFill="1" applyBorder="1" applyAlignment="1">
      <alignment horizontal="center" vertical="center" wrapText="1"/>
    </xf>
    <xf numFmtId="14" fontId="113" fillId="3" borderId="1" xfId="0" applyNumberFormat="1" applyFont="1" applyFill="1" applyBorder="1" applyAlignment="1">
      <alignment horizontal="center" vertical="center"/>
    </xf>
    <xf numFmtId="14" fontId="113" fillId="3" borderId="4" xfId="0" applyNumberFormat="1" applyFont="1" applyFill="1" applyBorder="1" applyAlignment="1">
      <alignment horizontal="center" vertical="center"/>
    </xf>
    <xf numFmtId="4" fontId="113" fillId="3" borderId="1" xfId="0" applyNumberFormat="1" applyFont="1" applyFill="1" applyBorder="1" applyAlignment="1">
      <alignment horizontal="center" vertical="center"/>
    </xf>
    <xf numFmtId="3" fontId="113" fillId="3" borderId="1" xfId="0" applyNumberFormat="1" applyFont="1" applyFill="1" applyBorder="1" applyAlignment="1">
      <alignment horizontal="center" vertical="center"/>
    </xf>
    <xf numFmtId="3" fontId="113" fillId="3" borderId="4" xfId="0" applyNumberFormat="1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3" fontId="27" fillId="3" borderId="0" xfId="0" applyNumberFormat="1" applyFont="1" applyFill="1" applyAlignment="1">
      <alignment horizontal="center" vertical="center"/>
    </xf>
    <xf numFmtId="1" fontId="98" fillId="3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166" fontId="111" fillId="0" borderId="21" xfId="0" applyNumberFormat="1" applyFont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3" fontId="111" fillId="3" borderId="21" xfId="0" applyNumberFormat="1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98" fillId="3" borderId="13" xfId="0" applyFont="1" applyFill="1" applyBorder="1" applyAlignment="1">
      <alignment horizontal="center" vertical="center"/>
    </xf>
    <xf numFmtId="0" fontId="98" fillId="3" borderId="16" xfId="0" applyFont="1" applyFill="1" applyBorder="1" applyAlignment="1">
      <alignment horizontal="center" vertical="center"/>
    </xf>
    <xf numFmtId="0" fontId="98" fillId="3" borderId="17" xfId="0" applyFont="1" applyFill="1" applyBorder="1" applyAlignment="1">
      <alignment horizontal="left" vertical="center"/>
    </xf>
    <xf numFmtId="0" fontId="114" fillId="3" borderId="0" xfId="0" applyFont="1" applyFill="1" applyAlignment="1">
      <alignment horizontal="center" vertical="center"/>
    </xf>
    <xf numFmtId="3" fontId="99" fillId="0" borderId="6" xfId="0" applyNumberFormat="1" applyFont="1" applyBorder="1" applyAlignment="1">
      <alignment horizontal="center" vertical="center"/>
    </xf>
    <xf numFmtId="3" fontId="113" fillId="3" borderId="5" xfId="0" applyNumberFormat="1" applyFont="1" applyFill="1" applyBorder="1" applyAlignment="1">
      <alignment horizontal="center" vertical="center"/>
    </xf>
    <xf numFmtId="43" fontId="0" fillId="0" borderId="0" xfId="5" applyFont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3" fontId="101" fillId="3" borderId="10" xfId="0" applyNumberFormat="1" applyFont="1" applyFill="1" applyBorder="1" applyAlignment="1">
      <alignment horizontal="center" vertical="center"/>
    </xf>
    <xf numFmtId="1" fontId="101" fillId="3" borderId="10" xfId="0" applyNumberFormat="1" applyFont="1" applyFill="1" applyBorder="1" applyAlignment="1">
      <alignment horizontal="center" vertical="center"/>
    </xf>
    <xf numFmtId="3" fontId="101" fillId="3" borderId="5" xfId="0" applyNumberFormat="1" applyFont="1" applyFill="1" applyBorder="1" applyAlignment="1">
      <alignment horizontal="center" vertical="center"/>
    </xf>
    <xf numFmtId="1" fontId="101" fillId="3" borderId="5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3" fontId="92" fillId="0" borderId="8" xfId="0" applyNumberFormat="1" applyFont="1" applyBorder="1" applyAlignment="1">
      <alignment horizontal="center" vertical="center"/>
    </xf>
    <xf numFmtId="0" fontId="21" fillId="3" borderId="13" xfId="0" applyFont="1" applyFill="1" applyBorder="1" applyAlignment="1">
      <alignment horizontal="left" vertical="center"/>
    </xf>
    <xf numFmtId="0" fontId="75" fillId="3" borderId="5" xfId="0" applyFont="1" applyFill="1" applyBorder="1" applyAlignment="1">
      <alignment horizontal="center" vertical="center"/>
    </xf>
    <xf numFmtId="3" fontId="0" fillId="3" borderId="5" xfId="0" applyNumberFormat="1" applyFill="1" applyBorder="1" applyAlignment="1">
      <alignment horizontal="center" vertical="center"/>
    </xf>
    <xf numFmtId="0" fontId="101" fillId="6" borderId="2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3" fontId="95" fillId="3" borderId="7" xfId="0" applyNumberFormat="1" applyFont="1" applyFill="1" applyBorder="1" applyAlignment="1">
      <alignment horizontal="center" vertical="center"/>
    </xf>
    <xf numFmtId="0" fontId="99" fillId="3" borderId="5" xfId="0" applyFont="1" applyFill="1" applyBorder="1" applyAlignment="1">
      <alignment horizontal="center" vertical="center" wrapText="1"/>
    </xf>
    <xf numFmtId="3" fontId="37" fillId="3" borderId="1" xfId="0" applyNumberFormat="1" applyFont="1" applyFill="1" applyBorder="1" applyAlignment="1">
      <alignment horizontal="center" vertical="center"/>
    </xf>
    <xf numFmtId="14" fontId="113" fillId="3" borderId="8" xfId="0" applyNumberFormat="1" applyFont="1" applyFill="1" applyBorder="1" applyAlignment="1">
      <alignment horizontal="center" vertical="center"/>
    </xf>
    <xf numFmtId="166" fontId="113" fillId="3" borderId="1" xfId="0" applyNumberFormat="1" applyFont="1" applyFill="1" applyBorder="1" applyAlignment="1">
      <alignment horizontal="center" vertical="center"/>
    </xf>
    <xf numFmtId="4" fontId="19" fillId="0" borderId="1" xfId="0" applyNumberFormat="1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16" fontId="17" fillId="3" borderId="3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0" fontId="17" fillId="3" borderId="0" xfId="0" applyFont="1" applyFill="1">
      <alignment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166" fontId="99" fillId="3" borderId="4" xfId="0" quotePrefix="1" applyNumberFormat="1" applyFont="1" applyFill="1" applyBorder="1" applyAlignment="1">
      <alignment horizontal="center" vertical="center"/>
    </xf>
    <xf numFmtId="0" fontId="92" fillId="3" borderId="8" xfId="0" applyFont="1" applyFill="1" applyBorder="1" applyAlignment="1">
      <alignment horizontal="center" vertical="center"/>
    </xf>
    <xf numFmtId="14" fontId="99" fillId="3" borderId="8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4" fontId="0" fillId="3" borderId="4" xfId="0" applyNumberFormat="1" applyFill="1" applyBorder="1" applyAlignment="1">
      <alignment horizontal="center" vertical="center"/>
    </xf>
    <xf numFmtId="0" fontId="99" fillId="3" borderId="10" xfId="0" applyFont="1" applyFill="1" applyBorder="1" applyAlignment="1">
      <alignment horizontal="center" vertical="center"/>
    </xf>
    <xf numFmtId="14" fontId="99" fillId="3" borderId="10" xfId="0" applyNumberFormat="1" applyFont="1" applyFill="1" applyBorder="1" applyAlignment="1">
      <alignment horizontal="center" vertical="center"/>
    </xf>
    <xf numFmtId="4" fontId="99" fillId="3" borderId="9" xfId="0" applyNumberFormat="1" applyFont="1" applyFill="1" applyBorder="1" applyAlignment="1">
      <alignment horizontal="center" vertical="center"/>
    </xf>
    <xf numFmtId="3" fontId="99" fillId="3" borderId="9" xfId="0" applyNumberFormat="1" applyFont="1" applyFill="1" applyBorder="1" applyAlignment="1">
      <alignment horizontal="center" vertical="center"/>
    </xf>
    <xf numFmtId="165" fontId="108" fillId="3" borderId="21" xfId="0" applyNumberFormat="1" applyFont="1" applyFill="1" applyBorder="1" applyAlignment="1">
      <alignment horizontal="center" vertical="center"/>
    </xf>
    <xf numFmtId="0" fontId="109" fillId="3" borderId="21" xfId="0" applyFont="1" applyFill="1" applyBorder="1" applyAlignment="1">
      <alignment horizontal="center" vertical="center"/>
    </xf>
    <xf numFmtId="0" fontId="109" fillId="3" borderId="21" xfId="0" applyFont="1" applyFill="1" applyBorder="1" applyAlignment="1">
      <alignment horizontal="left" vertical="center"/>
    </xf>
    <xf numFmtId="4" fontId="108" fillId="3" borderId="21" xfId="0" applyNumberFormat="1" applyFont="1" applyFill="1" applyBorder="1" applyAlignment="1">
      <alignment horizontal="center" vertical="center"/>
    </xf>
    <xf numFmtId="3" fontId="108" fillId="3" borderId="21" xfId="0" applyNumberFormat="1" applyFont="1" applyFill="1" applyBorder="1" applyAlignment="1">
      <alignment horizontal="center" vertical="center"/>
    </xf>
    <xf numFmtId="0" fontId="103" fillId="3" borderId="0" xfId="0" applyFont="1" applyFill="1" applyAlignment="1">
      <alignment horizontal="center" vertical="center"/>
    </xf>
    <xf numFmtId="3" fontId="103" fillId="3" borderId="0" xfId="0" applyNumberFormat="1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3" fontId="101" fillId="3" borderId="0" xfId="0" applyNumberFormat="1" applyFont="1" applyFill="1" applyAlignment="1">
      <alignment horizontal="center" vertical="center"/>
    </xf>
    <xf numFmtId="165" fontId="99" fillId="3" borderId="19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" fontId="3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0" fillId="0" borderId="10" xfId="0" applyNumberFormat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0" fillId="0" borderId="6" xfId="0" applyNumberForma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98" fillId="6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3" fontId="0" fillId="0" borderId="5" xfId="0" applyNumberFormat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3" fontId="0" fillId="0" borderId="4" xfId="0" applyNumberFormat="1" applyBorder="1">
      <alignment vertical="center"/>
    </xf>
    <xf numFmtId="14" fontId="99" fillId="0" borderId="4" xfId="0" applyNumberFormat="1" applyFont="1" applyBorder="1" applyAlignment="1">
      <alignment horizontal="center" vertical="center"/>
    </xf>
    <xf numFmtId="14" fontId="99" fillId="0" borderId="5" xfId="0" applyNumberFormat="1" applyFon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99" fillId="0" borderId="8" xfId="0" applyFont="1" applyBorder="1" applyAlignment="1">
      <alignment horizontal="center" vertical="center"/>
    </xf>
    <xf numFmtId="0" fontId="99" fillId="0" borderId="5" xfId="0" applyFont="1" applyBorder="1" applyAlignment="1">
      <alignment horizontal="center" vertical="center"/>
    </xf>
    <xf numFmtId="0" fontId="99" fillId="0" borderId="9" xfId="0" applyFont="1" applyBorder="1" applyAlignment="1">
      <alignment horizontal="center" vertical="center" wrapText="1"/>
    </xf>
    <xf numFmtId="0" fontId="99" fillId="0" borderId="8" xfId="0" applyFont="1" applyBorder="1" applyAlignment="1">
      <alignment horizontal="center" vertical="center" wrapText="1"/>
    </xf>
    <xf numFmtId="0" fontId="99" fillId="0" borderId="5" xfId="0" applyFont="1" applyBorder="1" applyAlignment="1">
      <alignment horizontal="center" vertical="center" wrapText="1"/>
    </xf>
    <xf numFmtId="3" fontId="92" fillId="0" borderId="9" xfId="0" applyNumberFormat="1" applyFont="1" applyBorder="1" applyAlignment="1">
      <alignment horizontal="center" vertical="center"/>
    </xf>
    <xf numFmtId="3" fontId="92" fillId="0" borderId="8" xfId="0" applyNumberFormat="1" applyFont="1" applyBorder="1" applyAlignment="1">
      <alignment horizontal="center" vertical="center"/>
    </xf>
    <xf numFmtId="3" fontId="92" fillId="0" borderId="7" xfId="0" applyNumberFormat="1" applyFont="1" applyBorder="1" applyAlignment="1">
      <alignment horizontal="center" vertical="center"/>
    </xf>
    <xf numFmtId="0" fontId="99" fillId="0" borderId="4" xfId="0" applyFont="1" applyBorder="1" applyAlignment="1">
      <alignment horizontal="center" vertical="center"/>
    </xf>
    <xf numFmtId="0" fontId="99" fillId="3" borderId="8" xfId="0" applyFont="1" applyFill="1" applyBorder="1" applyAlignment="1">
      <alignment horizontal="center" vertical="center"/>
    </xf>
    <xf numFmtId="14" fontId="99" fillId="0" borderId="8" xfId="0" applyNumberFormat="1" applyFont="1" applyBorder="1" applyAlignment="1">
      <alignment horizontal="center" vertical="center" wrapText="1"/>
    </xf>
    <xf numFmtId="14" fontId="99" fillId="0" borderId="8" xfId="0" applyNumberFormat="1" applyFont="1" applyBorder="1" applyAlignment="1">
      <alignment horizontal="center" vertical="center"/>
    </xf>
    <xf numFmtId="0" fontId="99" fillId="3" borderId="4" xfId="0" applyFont="1" applyFill="1" applyBorder="1" applyAlignment="1">
      <alignment horizontal="center" vertical="center"/>
    </xf>
    <xf numFmtId="0" fontId="99" fillId="3" borderId="5" xfId="0" applyFont="1" applyFill="1" applyBorder="1" applyAlignment="1">
      <alignment horizontal="center" vertical="center"/>
    </xf>
    <xf numFmtId="0" fontId="99" fillId="3" borderId="4" xfId="0" applyFont="1" applyFill="1" applyBorder="1" applyAlignment="1">
      <alignment horizontal="center" vertical="center" wrapText="1"/>
    </xf>
    <xf numFmtId="0" fontId="99" fillId="3" borderId="8" xfId="0" applyFont="1" applyFill="1" applyBorder="1" applyAlignment="1">
      <alignment horizontal="center" vertical="center" wrapText="1"/>
    </xf>
    <xf numFmtId="0" fontId="99" fillId="3" borderId="5" xfId="0" applyFont="1" applyFill="1" applyBorder="1" applyAlignment="1">
      <alignment horizontal="center" vertical="center" wrapText="1"/>
    </xf>
    <xf numFmtId="14" fontId="99" fillId="0" borderId="7" xfId="0" applyNumberFormat="1" applyFont="1" applyBorder="1" applyAlignment="1">
      <alignment horizontal="center" vertical="center"/>
    </xf>
    <xf numFmtId="14" fontId="99" fillId="0" borderId="4" xfId="0" applyNumberFormat="1" applyFont="1" applyBorder="1" applyAlignment="1">
      <alignment horizontal="center" vertical="center" wrapText="1"/>
    </xf>
    <xf numFmtId="14" fontId="99" fillId="0" borderId="5" xfId="0" applyNumberFormat="1" applyFont="1" applyBorder="1" applyAlignment="1">
      <alignment horizontal="center" vertical="center" wrapText="1"/>
    </xf>
    <xf numFmtId="165" fontId="99" fillId="0" borderId="20" xfId="0" applyNumberFormat="1" applyFont="1" applyBorder="1" applyAlignment="1">
      <alignment horizontal="center" vertical="center" wrapText="1"/>
    </xf>
    <xf numFmtId="165" fontId="99" fillId="0" borderId="19" xfId="0" applyNumberFormat="1" applyFont="1" applyBorder="1" applyAlignment="1">
      <alignment horizontal="center" vertical="center" wrapText="1"/>
    </xf>
    <xf numFmtId="0" fontId="99" fillId="3" borderId="1" xfId="0" applyFont="1" applyFill="1" applyBorder="1" applyAlignment="1">
      <alignment horizontal="center" vertical="center"/>
    </xf>
    <xf numFmtId="3" fontId="99" fillId="0" borderId="9" xfId="0" applyNumberFormat="1" applyFont="1" applyBorder="1" applyAlignment="1">
      <alignment horizontal="center" vertical="center"/>
    </xf>
    <xf numFmtId="3" fontId="99" fillId="0" borderId="8" xfId="0" applyNumberFormat="1" applyFont="1" applyBorder="1" applyAlignment="1">
      <alignment horizontal="center" vertical="center"/>
    </xf>
    <xf numFmtId="0" fontId="99" fillId="0" borderId="7" xfId="0" applyFont="1" applyBorder="1" applyAlignment="1">
      <alignment horizontal="center" vertical="center"/>
    </xf>
    <xf numFmtId="3" fontId="99" fillId="6" borderId="4" xfId="0" applyNumberFormat="1" applyFont="1" applyFill="1" applyBorder="1" applyAlignment="1">
      <alignment horizontal="center" vertical="center" wrapText="1"/>
    </xf>
    <xf numFmtId="3" fontId="99" fillId="6" borderId="5" xfId="0" applyNumberFormat="1" applyFont="1" applyFill="1" applyBorder="1" applyAlignment="1">
      <alignment horizontal="center" vertical="center" wrapText="1"/>
    </xf>
    <xf numFmtId="3" fontId="99" fillId="6" borderId="5" xfId="0" applyNumberFormat="1" applyFont="1" applyFill="1" applyBorder="1" applyAlignment="1">
      <alignment horizontal="center" vertical="center"/>
    </xf>
    <xf numFmtId="0" fontId="99" fillId="6" borderId="4" xfId="0" applyFont="1" applyFill="1" applyBorder="1" applyAlignment="1">
      <alignment horizontal="center" vertical="center" wrapText="1"/>
    </xf>
    <xf numFmtId="0" fontId="99" fillId="6" borderId="5" xfId="0" applyFont="1" applyFill="1" applyBorder="1" applyAlignment="1">
      <alignment horizontal="center" vertical="center" wrapText="1"/>
    </xf>
    <xf numFmtId="0" fontId="99" fillId="6" borderId="5" xfId="0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99" fillId="6" borderId="1" xfId="0" applyFont="1" applyFill="1" applyBorder="1" applyAlignment="1">
      <alignment horizontal="center" vertical="center"/>
    </xf>
    <xf numFmtId="3" fontId="99" fillId="6" borderId="1" xfId="0" applyNumberFormat="1" applyFont="1" applyFill="1" applyBorder="1" applyAlignment="1">
      <alignment horizontal="center" vertical="center" wrapText="1"/>
    </xf>
    <xf numFmtId="3" fontId="99" fillId="6" borderId="1" xfId="0" applyNumberFormat="1" applyFont="1" applyFill="1" applyBorder="1" applyAlignment="1">
      <alignment horizontal="center" vertical="center"/>
    </xf>
    <xf numFmtId="165" fontId="99" fillId="6" borderId="1" xfId="0" applyNumberFormat="1" applyFont="1" applyFill="1" applyBorder="1" applyAlignment="1">
      <alignment horizontal="center" vertical="center"/>
    </xf>
    <xf numFmtId="0" fontId="99" fillId="6" borderId="4" xfId="0" applyFont="1" applyFill="1" applyBorder="1" applyAlignment="1">
      <alignment horizontal="center" vertical="center"/>
    </xf>
    <xf numFmtId="0" fontId="99" fillId="6" borderId="8" xfId="0" applyFont="1" applyFill="1" applyBorder="1" applyAlignment="1">
      <alignment horizontal="center" vertical="center"/>
    </xf>
    <xf numFmtId="14" fontId="99" fillId="0" borderId="1" xfId="0" applyNumberFormat="1" applyFont="1" applyBorder="1" applyAlignment="1">
      <alignment horizontal="center" vertical="center" wrapText="1"/>
    </xf>
    <xf numFmtId="0" fontId="99" fillId="3" borderId="4" xfId="0" applyFont="1" applyFill="1" applyBorder="1" applyAlignment="1">
      <alignment horizontal="center" vertical="top" wrapText="1"/>
    </xf>
    <xf numFmtId="0" fontId="99" fillId="3" borderId="8" xfId="0" applyFont="1" applyFill="1" applyBorder="1" applyAlignment="1">
      <alignment horizontal="center" vertical="top" wrapText="1"/>
    </xf>
    <xf numFmtId="166" fontId="0" fillId="0" borderId="9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4" fontId="99" fillId="0" borderId="1" xfId="0" applyNumberFormat="1" applyFont="1" applyBorder="1" applyAlignment="1">
      <alignment horizontal="center" vertical="center"/>
    </xf>
    <xf numFmtId="167" fontId="99" fillId="0" borderId="9" xfId="0" applyNumberFormat="1" applyFont="1" applyBorder="1" applyAlignment="1">
      <alignment horizontal="center" vertical="center"/>
    </xf>
    <xf numFmtId="167" fontId="99" fillId="0" borderId="8" xfId="0" applyNumberFormat="1" applyFont="1" applyBorder="1" applyAlignment="1">
      <alignment horizontal="center" vertical="center"/>
    </xf>
    <xf numFmtId="167" fontId="99" fillId="0" borderId="7" xfId="0" applyNumberFormat="1" applyFont="1" applyBorder="1" applyAlignment="1">
      <alignment horizontal="center" vertical="center"/>
    </xf>
    <xf numFmtId="1" fontId="99" fillId="0" borderId="9" xfId="0" applyNumberFormat="1" applyFont="1" applyBorder="1" applyAlignment="1">
      <alignment horizontal="center" vertical="center"/>
    </xf>
    <xf numFmtId="1" fontId="99" fillId="0" borderId="8" xfId="0" applyNumberFormat="1" applyFont="1" applyBorder="1" applyAlignment="1">
      <alignment horizontal="center" vertical="center"/>
    </xf>
    <xf numFmtId="1" fontId="99" fillId="0" borderId="7" xfId="0" applyNumberFormat="1" applyFont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99" fillId="0" borderId="9" xfId="0" applyFont="1" applyBorder="1" applyAlignment="1">
      <alignment horizontal="center" wrapText="1"/>
    </xf>
    <xf numFmtId="0" fontId="99" fillId="0" borderId="8" xfId="0" applyFont="1" applyBorder="1" applyAlignment="1">
      <alignment horizontal="center" wrapText="1"/>
    </xf>
    <xf numFmtId="0" fontId="99" fillId="0" borderId="5" xfId="0" applyFont="1" applyBorder="1" applyAlignment="1">
      <alignment horizontal="center" wrapText="1"/>
    </xf>
    <xf numFmtId="0" fontId="99" fillId="6" borderId="7" xfId="0" applyFont="1" applyFill="1" applyBorder="1" applyAlignment="1">
      <alignment horizontal="center" vertical="center"/>
    </xf>
    <xf numFmtId="165" fontId="0" fillId="5" borderId="8" xfId="0" applyNumberFormat="1" applyFill="1" applyBorder="1" applyAlignment="1">
      <alignment horizontal="center" vertical="center"/>
    </xf>
    <xf numFmtId="3" fontId="92" fillId="5" borderId="8" xfId="0" applyNumberFormat="1" applyFont="1" applyFill="1" applyBorder="1" applyAlignment="1">
      <alignment horizontal="center" vertical="center"/>
    </xf>
    <xf numFmtId="14" fontId="99" fillId="5" borderId="8" xfId="0" applyNumberFormat="1" applyFont="1" applyFill="1" applyBorder="1" applyAlignment="1">
      <alignment horizontal="center" vertical="center"/>
    </xf>
    <xf numFmtId="0" fontId="99" fillId="6" borderId="7" xfId="0" applyFont="1" applyFill="1" applyBorder="1" applyAlignment="1">
      <alignment horizontal="center" vertical="center" wrapText="1"/>
    </xf>
    <xf numFmtId="3" fontId="24" fillId="0" borderId="9" xfId="0" applyNumberFormat="1" applyFont="1" applyBorder="1" applyAlignment="1">
      <alignment horizontal="center" vertical="center"/>
    </xf>
    <xf numFmtId="14" fontId="99" fillId="3" borderId="4" xfId="0" applyNumberFormat="1" applyFont="1" applyFill="1" applyBorder="1" applyAlignment="1">
      <alignment horizontal="center" vertical="center"/>
    </xf>
    <xf numFmtId="14" fontId="99" fillId="3" borderId="5" xfId="0" applyNumberFormat="1" applyFont="1" applyFill="1" applyBorder="1" applyAlignment="1">
      <alignment horizontal="center" vertical="center"/>
    </xf>
    <xf numFmtId="167" fontId="99" fillId="3" borderId="9" xfId="0" applyNumberFormat="1" applyFont="1" applyFill="1" applyBorder="1" applyAlignment="1">
      <alignment horizontal="center" vertical="center"/>
    </xf>
    <xf numFmtId="167" fontId="99" fillId="3" borderId="8" xfId="0" applyNumberFormat="1" applyFont="1" applyFill="1" applyBorder="1" applyAlignment="1">
      <alignment horizontal="center" vertical="center"/>
    </xf>
    <xf numFmtId="167" fontId="99" fillId="3" borderId="7" xfId="0" applyNumberFormat="1" applyFont="1" applyFill="1" applyBorder="1" applyAlignment="1">
      <alignment horizontal="center" vertical="center"/>
    </xf>
    <xf numFmtId="1" fontId="99" fillId="3" borderId="9" xfId="0" applyNumberFormat="1" applyFont="1" applyFill="1" applyBorder="1" applyAlignment="1">
      <alignment horizontal="center" vertical="center"/>
    </xf>
    <xf numFmtId="1" fontId="99" fillId="3" borderId="8" xfId="0" applyNumberFormat="1" applyFont="1" applyFill="1" applyBorder="1" applyAlignment="1">
      <alignment horizontal="center" vertical="center"/>
    </xf>
    <xf numFmtId="1" fontId="99" fillId="3" borderId="7" xfId="0" applyNumberFormat="1" applyFont="1" applyFill="1" applyBorder="1" applyAlignment="1">
      <alignment horizontal="center" vertical="center"/>
    </xf>
    <xf numFmtId="0" fontId="99" fillId="3" borderId="7" xfId="0" applyFont="1" applyFill="1" applyBorder="1" applyAlignment="1">
      <alignment horizontal="center" vertical="center"/>
    </xf>
    <xf numFmtId="14" fontId="99" fillId="3" borderId="1" xfId="0" applyNumberFormat="1" applyFont="1" applyFill="1" applyBorder="1" applyAlignment="1">
      <alignment horizontal="center" vertical="center" wrapText="1"/>
    </xf>
    <xf numFmtId="14" fontId="99" fillId="3" borderId="8" xfId="0" applyNumberFormat="1" applyFont="1" applyFill="1" applyBorder="1" applyAlignment="1">
      <alignment horizontal="center" vertical="center"/>
    </xf>
    <xf numFmtId="14" fontId="99" fillId="3" borderId="4" xfId="0" applyNumberFormat="1" applyFont="1" applyFill="1" applyBorder="1" applyAlignment="1">
      <alignment horizontal="center" vertical="center" wrapText="1"/>
    </xf>
    <xf numFmtId="14" fontId="99" fillId="3" borderId="5" xfId="0" applyNumberFormat="1" applyFont="1" applyFill="1" applyBorder="1" applyAlignment="1">
      <alignment horizontal="center" vertical="center" wrapText="1"/>
    </xf>
    <xf numFmtId="165" fontId="99" fillId="3" borderId="20" xfId="0" applyNumberFormat="1" applyFont="1" applyFill="1" applyBorder="1" applyAlignment="1">
      <alignment horizontal="center" vertical="center" wrapText="1"/>
    </xf>
    <xf numFmtId="165" fontId="99" fillId="3" borderId="19" xfId="0" applyNumberFormat="1" applyFont="1" applyFill="1" applyBorder="1" applyAlignment="1">
      <alignment horizontal="center" vertical="center" wrapText="1"/>
    </xf>
    <xf numFmtId="165" fontId="99" fillId="0" borderId="23" xfId="0" applyNumberFormat="1" applyFont="1" applyBorder="1" applyAlignment="1">
      <alignment horizontal="center" vertical="center" wrapText="1"/>
    </xf>
    <xf numFmtId="0" fontId="99" fillId="3" borderId="5" xfId="0" applyFont="1" applyFill="1" applyBorder="1" applyAlignment="1">
      <alignment horizontal="center" vertical="top" wrapText="1"/>
    </xf>
    <xf numFmtId="0" fontId="99" fillId="3" borderId="9" xfId="0" applyFont="1" applyFill="1" applyBorder="1" applyAlignment="1">
      <alignment horizontal="center" vertical="center" wrapText="1"/>
    </xf>
    <xf numFmtId="14" fontId="99" fillId="3" borderId="8" xfId="0" applyNumberFormat="1" applyFont="1" applyFill="1" applyBorder="1" applyAlignment="1">
      <alignment horizontal="center" vertical="center" wrapText="1"/>
    </xf>
    <xf numFmtId="0" fontId="99" fillId="3" borderId="9" xfId="0" applyFont="1" applyFill="1" applyBorder="1" applyAlignment="1">
      <alignment horizontal="center" vertical="center"/>
    </xf>
    <xf numFmtId="0" fontId="99" fillId="3" borderId="1" xfId="0" applyFont="1" applyFill="1" applyBorder="1" applyAlignment="1">
      <alignment horizontal="center" vertical="center" wrapText="1"/>
    </xf>
  </cellXfs>
  <cellStyles count="6">
    <cellStyle name="Comma" xfId="5" builtinId="3"/>
    <cellStyle name="Comma 2" xfId="4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표준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S297"/>
  <sheetViews>
    <sheetView tabSelected="1" zoomScale="80" zoomScaleNormal="80" workbookViewId="0">
      <pane xSplit="1" ySplit="4" topLeftCell="Z20" activePane="bottomRight" state="frozen"/>
      <selection activeCell="I273" sqref="I273"/>
      <selection pane="topRight" activeCell="I273" sqref="I273"/>
      <selection pane="bottomLeft" activeCell="I273" sqref="I273"/>
      <selection pane="bottomRight" activeCell="AA13" sqref="AA13"/>
    </sheetView>
  </sheetViews>
  <sheetFormatPr defaultRowHeight="15"/>
  <cols>
    <col min="1" max="1" width="96.140625" style="4" customWidth="1"/>
    <col min="2" max="2" width="10.7109375" style="4" hidden="1" customWidth="1"/>
    <col min="3" max="3" width="9.140625" style="4" hidden="1" customWidth="1"/>
    <col min="4" max="4" width="9.7109375" style="4" hidden="1" customWidth="1"/>
    <col min="5" max="26" width="21" style="139" hidden="1" customWidth="1"/>
    <col min="27" max="27" width="21" style="139" customWidth="1"/>
    <col min="28" max="28" width="20.140625" style="139" bestFit="1" customWidth="1"/>
    <col min="29" max="29" width="21" style="139" customWidth="1"/>
    <col min="30" max="30" width="0.140625" style="139" customWidth="1"/>
    <col min="31" max="31" width="21" style="139" customWidth="1"/>
    <col min="32" max="33" width="9.140625" style="4" customWidth="1"/>
    <col min="34" max="34" width="10.28515625" style="4" customWidth="1"/>
    <col min="35" max="36" width="9.140625" style="4" customWidth="1"/>
    <col min="37" max="37" width="9.7109375" style="4" customWidth="1"/>
    <col min="38" max="39" width="9.140625" style="4" customWidth="1"/>
    <col min="40" max="40" width="10.85546875" style="4" customWidth="1"/>
    <col min="41" max="42" width="9.140625" style="4" customWidth="1"/>
    <col min="43" max="43" width="9.85546875" style="4" customWidth="1"/>
    <col min="44" max="45" width="9.140625" style="4" customWidth="1"/>
    <col min="46" max="46" width="9.7109375" style="4" customWidth="1"/>
    <col min="47" max="48" width="9.140625" style="4" customWidth="1"/>
    <col min="49" max="49" width="9.7109375" style="4" customWidth="1"/>
    <col min="50" max="51" width="9.140625" style="4" customWidth="1"/>
    <col min="52" max="52" width="9.85546875" style="4" customWidth="1"/>
    <col min="53" max="54" width="9.140625" style="4" customWidth="1"/>
    <col min="55" max="55" width="9.5703125" style="4" customWidth="1"/>
    <col min="56" max="57" width="9.140625" style="4" customWidth="1"/>
    <col min="58" max="58" width="10.28515625" style="4" customWidth="1"/>
    <col min="59" max="59" width="9.7109375" style="4" customWidth="1"/>
    <col min="60" max="60" width="9.140625" style="4" customWidth="1"/>
    <col min="61" max="61" width="10.28515625" style="4" customWidth="1"/>
    <col min="62" max="63" width="9.140625" style="4" customWidth="1"/>
    <col min="64" max="64" width="10.42578125" style="4" customWidth="1"/>
    <col min="65" max="65" width="9.140625" style="4" customWidth="1"/>
    <col min="66" max="66" width="10.28515625" style="4" customWidth="1"/>
    <col min="67" max="67" width="10.42578125" style="4" customWidth="1"/>
    <col min="68" max="69" width="9.140625" style="4" customWidth="1"/>
    <col min="70" max="70" width="10" style="4" customWidth="1"/>
    <col min="71" max="72" width="9.140625" style="4" customWidth="1"/>
    <col min="73" max="73" width="9.85546875" style="4" customWidth="1"/>
    <col min="74" max="75" width="9.140625" style="4" customWidth="1"/>
    <col min="76" max="76" width="9.5703125" style="4" customWidth="1"/>
    <col min="77" max="78" width="9.140625" style="4" customWidth="1"/>
    <col min="79" max="79" width="10.28515625" style="4" customWidth="1"/>
    <col min="80" max="80" width="9.7109375" style="4" customWidth="1"/>
    <col min="81" max="81" width="9.140625" style="4" customWidth="1"/>
    <col min="82" max="82" width="10.42578125" style="4" customWidth="1"/>
    <col min="83" max="84" width="9.140625" style="4" customWidth="1"/>
    <col min="85" max="85" width="9.5703125" style="4" customWidth="1"/>
    <col min="86" max="87" width="9.140625" style="4" customWidth="1"/>
    <col min="88" max="88" width="10.28515625" style="4" customWidth="1"/>
    <col min="89" max="89" width="10.7109375" style="4" customWidth="1"/>
    <col min="90" max="90" width="9.140625" style="4" customWidth="1"/>
    <col min="91" max="91" width="10.42578125" style="4" customWidth="1"/>
    <col min="92" max="92" width="9.140625" style="4" customWidth="1"/>
    <col min="93" max="93" width="10.7109375" style="4" customWidth="1"/>
    <col min="94" max="94" width="9.85546875" style="4" customWidth="1"/>
    <col min="95" max="96" width="9.140625" style="4" customWidth="1"/>
    <col min="97" max="97" width="10.7109375" style="4" customWidth="1"/>
    <col min="98" max="99" width="9.140625" style="4" customWidth="1"/>
    <col min="100" max="100" width="10.7109375" style="4" customWidth="1"/>
    <col min="101" max="101" width="9.7109375" style="4" customWidth="1"/>
    <col min="102" max="102" width="9.140625" style="4" customWidth="1"/>
    <col min="103" max="103" width="9.85546875" style="4" customWidth="1"/>
    <col min="104" max="105" width="9.140625" style="4" customWidth="1"/>
    <col min="106" max="106" width="9.5703125" style="4" customWidth="1"/>
    <col min="107" max="108" width="9.140625" style="4" customWidth="1"/>
    <col min="109" max="109" width="9.7109375" style="4" customWidth="1"/>
    <col min="110" max="110" width="10.7109375" style="4" customWidth="1"/>
    <col min="111" max="111" width="9.140625" style="4" customWidth="1"/>
    <col min="112" max="112" width="9.7109375" style="4" customWidth="1"/>
    <col min="113" max="113" width="10.7109375" style="4" customWidth="1"/>
    <col min="114" max="114" width="9.140625" style="4" customWidth="1"/>
    <col min="115" max="115" width="9.7109375" style="4" customWidth="1"/>
    <col min="116" max="116" width="10.7109375" style="4" customWidth="1"/>
    <col min="117" max="117" width="9.140625" style="4" customWidth="1"/>
    <col min="118" max="118" width="9.7109375" style="4" customWidth="1"/>
    <col min="119" max="119" width="10.7109375" style="4" customWidth="1"/>
    <col min="120" max="120" width="9.140625" style="4" customWidth="1"/>
    <col min="121" max="121" width="9.7109375" style="4" customWidth="1"/>
    <col min="122" max="16384" width="9.140625" style="5"/>
  </cols>
  <sheetData>
    <row r="1" spans="1:121" ht="44.25" customHeight="1">
      <c r="A1" s="21" t="s">
        <v>93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14"/>
      <c r="BI1" s="11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</row>
    <row r="3" spans="1:121" ht="20.25" customHeight="1">
      <c r="A3" s="6"/>
      <c r="B3" s="6" t="s">
        <v>3</v>
      </c>
      <c r="C3" s="6" t="s">
        <v>26</v>
      </c>
      <c r="D3" s="6" t="s">
        <v>0</v>
      </c>
      <c r="E3" s="33" t="s">
        <v>36</v>
      </c>
      <c r="F3" s="33" t="s">
        <v>36</v>
      </c>
      <c r="G3" s="33" t="s">
        <v>36</v>
      </c>
      <c r="H3" s="33" t="s">
        <v>36</v>
      </c>
      <c r="I3" s="33" t="s">
        <v>36</v>
      </c>
      <c r="J3" s="33" t="s">
        <v>36</v>
      </c>
      <c r="K3" s="33" t="s">
        <v>36</v>
      </c>
      <c r="L3" s="33" t="s">
        <v>36</v>
      </c>
      <c r="M3" s="33" t="s">
        <v>36</v>
      </c>
      <c r="N3" s="33" t="s">
        <v>36</v>
      </c>
      <c r="O3" s="33" t="s">
        <v>36</v>
      </c>
      <c r="P3" s="33" t="s">
        <v>36</v>
      </c>
      <c r="Q3" s="33" t="s">
        <v>36</v>
      </c>
      <c r="R3" s="33" t="s">
        <v>36</v>
      </c>
      <c r="S3" s="33" t="s">
        <v>36</v>
      </c>
      <c r="T3" s="33" t="s">
        <v>36</v>
      </c>
      <c r="U3" s="33" t="s">
        <v>36</v>
      </c>
      <c r="V3" s="33" t="s">
        <v>36</v>
      </c>
      <c r="W3" s="33" t="s">
        <v>36</v>
      </c>
      <c r="X3" s="33" t="s">
        <v>36</v>
      </c>
      <c r="Y3" s="33" t="s">
        <v>36</v>
      </c>
      <c r="Z3" s="33" t="s">
        <v>36</v>
      </c>
      <c r="AA3" s="33" t="s">
        <v>36</v>
      </c>
      <c r="AB3" s="33" t="s">
        <v>36</v>
      </c>
      <c r="AC3" s="33" t="s">
        <v>36</v>
      </c>
      <c r="AD3" s="33" t="s">
        <v>36</v>
      </c>
      <c r="AE3" s="33" t="s">
        <v>36</v>
      </c>
      <c r="AF3" s="6" t="s">
        <v>6</v>
      </c>
      <c r="AG3" s="6" t="s">
        <v>4</v>
      </c>
      <c r="AH3" s="6" t="s">
        <v>0</v>
      </c>
      <c r="AI3" s="6" t="s">
        <v>7</v>
      </c>
      <c r="AJ3" s="6" t="s">
        <v>4</v>
      </c>
      <c r="AK3" s="6" t="s">
        <v>2</v>
      </c>
      <c r="AL3" s="6" t="s">
        <v>8</v>
      </c>
      <c r="AM3" s="6" t="s">
        <v>26</v>
      </c>
      <c r="AN3" s="6" t="s">
        <v>0</v>
      </c>
      <c r="AO3" s="6" t="s">
        <v>9</v>
      </c>
      <c r="AP3" s="6" t="s">
        <v>4</v>
      </c>
      <c r="AQ3" s="6" t="s">
        <v>0</v>
      </c>
      <c r="AR3" s="6" t="s">
        <v>10</v>
      </c>
      <c r="AS3" s="6" t="s">
        <v>4</v>
      </c>
      <c r="AT3" s="6" t="s">
        <v>0</v>
      </c>
      <c r="AU3" s="6" t="s">
        <v>11</v>
      </c>
      <c r="AV3" s="6" t="s">
        <v>4</v>
      </c>
      <c r="AW3" s="6" t="s">
        <v>0</v>
      </c>
      <c r="AX3" s="6" t="s">
        <v>12</v>
      </c>
      <c r="AY3" s="6" t="s">
        <v>4</v>
      </c>
      <c r="AZ3" s="6" t="s">
        <v>0</v>
      </c>
      <c r="BA3" s="6" t="s">
        <v>13</v>
      </c>
      <c r="BB3" s="6" t="s">
        <v>4</v>
      </c>
      <c r="BC3" s="6" t="s">
        <v>0</v>
      </c>
      <c r="BD3" s="6" t="s">
        <v>14</v>
      </c>
      <c r="BE3" s="6" t="s">
        <v>4</v>
      </c>
      <c r="BF3" s="6" t="s">
        <v>0</v>
      </c>
      <c r="BG3" s="6" t="s">
        <v>15</v>
      </c>
      <c r="BH3" s="6" t="s">
        <v>26</v>
      </c>
      <c r="BI3" s="6" t="s">
        <v>2</v>
      </c>
      <c r="BJ3" s="6" t="s">
        <v>16</v>
      </c>
      <c r="BK3" s="6" t="s">
        <v>26</v>
      </c>
      <c r="BL3" s="6" t="s">
        <v>2</v>
      </c>
      <c r="BM3" s="6" t="s">
        <v>17</v>
      </c>
      <c r="BN3" s="6" t="s">
        <v>26</v>
      </c>
      <c r="BO3" s="6" t="s">
        <v>2</v>
      </c>
      <c r="BP3" s="6" t="s">
        <v>18</v>
      </c>
      <c r="BQ3" s="6" t="s">
        <v>26</v>
      </c>
      <c r="BR3" s="6" t="s">
        <v>2</v>
      </c>
      <c r="BS3" s="6" t="s">
        <v>19</v>
      </c>
      <c r="BT3" s="6" t="s">
        <v>26</v>
      </c>
      <c r="BU3" s="6" t="s">
        <v>2</v>
      </c>
      <c r="BV3" s="6" t="s">
        <v>20</v>
      </c>
      <c r="BW3" s="6" t="s">
        <v>26</v>
      </c>
      <c r="BX3" s="6" t="s">
        <v>0</v>
      </c>
      <c r="BY3" s="6" t="s">
        <v>21</v>
      </c>
      <c r="BZ3" s="6" t="s">
        <v>26</v>
      </c>
      <c r="CA3" s="6" t="s">
        <v>0</v>
      </c>
      <c r="CB3" s="6" t="s">
        <v>22</v>
      </c>
      <c r="CC3" s="6" t="s">
        <v>26</v>
      </c>
      <c r="CD3" s="6" t="s">
        <v>0</v>
      </c>
      <c r="CE3" s="6" t="s">
        <v>28</v>
      </c>
      <c r="CF3" s="6" t="s">
        <v>26</v>
      </c>
      <c r="CG3" s="6" t="s">
        <v>0</v>
      </c>
      <c r="CH3" s="6" t="s">
        <v>29</v>
      </c>
      <c r="CI3" s="6" t="s">
        <v>26</v>
      </c>
      <c r="CJ3" s="6" t="s">
        <v>0</v>
      </c>
      <c r="CK3" s="6" t="s">
        <v>30</v>
      </c>
      <c r="CL3" s="6" t="s">
        <v>26</v>
      </c>
      <c r="CM3" s="6" t="s">
        <v>0</v>
      </c>
      <c r="CN3" s="6" t="s">
        <v>31</v>
      </c>
      <c r="CO3" s="6" t="s">
        <v>26</v>
      </c>
      <c r="CP3" s="6" t="s">
        <v>0</v>
      </c>
      <c r="CQ3" s="6" t="s">
        <v>32</v>
      </c>
      <c r="CR3" s="6" t="s">
        <v>26</v>
      </c>
      <c r="CS3" s="6" t="s">
        <v>0</v>
      </c>
      <c r="CT3" s="6" t="s">
        <v>33</v>
      </c>
      <c r="CU3" s="6" t="s">
        <v>26</v>
      </c>
      <c r="CV3" s="6" t="s">
        <v>0</v>
      </c>
      <c r="CW3" s="6" t="s">
        <v>34</v>
      </c>
      <c r="CX3" s="6" t="s">
        <v>26</v>
      </c>
      <c r="CY3" s="6" t="s">
        <v>0</v>
      </c>
      <c r="CZ3" s="6" t="s">
        <v>117</v>
      </c>
      <c r="DA3" s="6" t="s">
        <v>26</v>
      </c>
      <c r="DB3" s="6" t="s">
        <v>0</v>
      </c>
      <c r="DC3" s="6" t="s">
        <v>118</v>
      </c>
      <c r="DD3" s="6" t="s">
        <v>4</v>
      </c>
      <c r="DE3" s="6" t="s">
        <v>0</v>
      </c>
      <c r="DF3" s="6" t="s">
        <v>119</v>
      </c>
      <c r="DG3" s="6" t="s">
        <v>26</v>
      </c>
      <c r="DH3" s="6" t="s">
        <v>0</v>
      </c>
      <c r="DI3" s="6" t="s">
        <v>120</v>
      </c>
      <c r="DJ3" s="6" t="s">
        <v>26</v>
      </c>
      <c r="DK3" s="6" t="s">
        <v>0</v>
      </c>
      <c r="DL3" s="6" t="s">
        <v>114</v>
      </c>
      <c r="DM3" s="6" t="s">
        <v>26</v>
      </c>
      <c r="DN3" s="6" t="s">
        <v>0</v>
      </c>
      <c r="DO3" s="6" t="s">
        <v>115</v>
      </c>
      <c r="DP3" s="6" t="s">
        <v>26</v>
      </c>
      <c r="DQ3" s="6" t="s">
        <v>0</v>
      </c>
    </row>
    <row r="4" spans="1:121">
      <c r="A4" s="6" t="s">
        <v>35</v>
      </c>
      <c r="B4" s="6"/>
      <c r="C4" s="6"/>
      <c r="D4" s="6"/>
      <c r="E4" s="140">
        <v>46022</v>
      </c>
      <c r="F4" s="140">
        <v>46024</v>
      </c>
      <c r="G4" s="140">
        <v>46025</v>
      </c>
      <c r="H4" s="140">
        <v>46027</v>
      </c>
      <c r="I4" s="140">
        <v>46028</v>
      </c>
      <c r="J4" s="140">
        <v>46029</v>
      </c>
      <c r="K4" s="140">
        <v>46030</v>
      </c>
      <c r="L4" s="140">
        <v>46031</v>
      </c>
      <c r="M4" s="140">
        <v>46032</v>
      </c>
      <c r="N4" s="140">
        <v>46034</v>
      </c>
      <c r="O4" s="140">
        <v>46035</v>
      </c>
      <c r="P4" s="140">
        <v>46036</v>
      </c>
      <c r="Q4" s="140">
        <v>46037</v>
      </c>
      <c r="R4" s="140">
        <v>46038</v>
      </c>
      <c r="S4" s="140">
        <v>46039</v>
      </c>
      <c r="T4" s="140">
        <v>46041</v>
      </c>
      <c r="U4" s="140">
        <v>46042</v>
      </c>
      <c r="V4" s="140">
        <v>46043</v>
      </c>
      <c r="W4" s="140">
        <v>46044</v>
      </c>
      <c r="X4" s="140">
        <v>46045</v>
      </c>
      <c r="Y4" s="140">
        <v>46046</v>
      </c>
      <c r="Z4" s="140">
        <v>46048</v>
      </c>
      <c r="AA4" s="140">
        <v>46049</v>
      </c>
      <c r="AB4" s="140">
        <v>46050</v>
      </c>
      <c r="AC4" s="140">
        <v>46051</v>
      </c>
      <c r="AD4" s="140">
        <v>46052</v>
      </c>
      <c r="AE4" s="140">
        <v>46053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</row>
    <row r="5" spans="1:121">
      <c r="A5" s="6">
        <v>1</v>
      </c>
      <c r="B5" s="6">
        <v>308</v>
      </c>
      <c r="C5" s="8">
        <v>1279</v>
      </c>
      <c r="D5" s="8">
        <v>367</v>
      </c>
      <c r="E5" s="33" t="s">
        <v>69</v>
      </c>
      <c r="F5" s="33" t="s">
        <v>69</v>
      </c>
      <c r="G5" s="148" t="s">
        <v>56</v>
      </c>
      <c r="H5" s="33" t="s">
        <v>56</v>
      </c>
      <c r="I5" s="33" t="s">
        <v>56</v>
      </c>
      <c r="J5" s="33" t="s">
        <v>56</v>
      </c>
      <c r="K5" s="33" t="s">
        <v>56</v>
      </c>
      <c r="L5" s="33" t="s">
        <v>56</v>
      </c>
      <c r="M5" s="33" t="s">
        <v>56</v>
      </c>
      <c r="N5" s="148" t="s">
        <v>69</v>
      </c>
      <c r="O5" s="33" t="s">
        <v>69</v>
      </c>
      <c r="P5" s="33" t="s">
        <v>69</v>
      </c>
      <c r="Q5" s="33" t="s">
        <v>69</v>
      </c>
      <c r="R5" s="33" t="s">
        <v>69</v>
      </c>
      <c r="S5" s="33" t="s">
        <v>69</v>
      </c>
      <c r="T5" s="33" t="s">
        <v>69</v>
      </c>
      <c r="U5" s="33" t="s">
        <v>69</v>
      </c>
      <c r="V5" s="33" t="s">
        <v>69</v>
      </c>
      <c r="W5" s="33" t="s">
        <v>69</v>
      </c>
      <c r="X5" s="33" t="s">
        <v>69</v>
      </c>
      <c r="Y5" s="33" t="s">
        <v>69</v>
      </c>
      <c r="Z5" s="33" t="s">
        <v>69</v>
      </c>
      <c r="AA5" s="33" t="s">
        <v>69</v>
      </c>
      <c r="AB5" s="33" t="s">
        <v>69</v>
      </c>
      <c r="AC5" s="33" t="s">
        <v>69</v>
      </c>
      <c r="AD5" s="33" t="s">
        <v>69</v>
      </c>
      <c r="AE5" s="33" t="s">
        <v>69</v>
      </c>
      <c r="AF5" s="6">
        <v>685</v>
      </c>
      <c r="AG5" s="6"/>
      <c r="AH5" s="35">
        <f>AG5+AF5-B5</f>
        <v>377</v>
      </c>
      <c r="AI5" s="35">
        <v>246</v>
      </c>
      <c r="AJ5" s="35">
        <v>690</v>
      </c>
      <c r="AK5" s="35">
        <f>AJ5+AI5-AF5</f>
        <v>251</v>
      </c>
      <c r="AL5" s="35"/>
      <c r="AM5" s="6"/>
      <c r="AN5" s="35"/>
      <c r="AO5" s="6">
        <v>566</v>
      </c>
      <c r="AP5" s="6"/>
      <c r="AQ5" s="34">
        <f>AP5+AO5-AI5</f>
        <v>320</v>
      </c>
      <c r="AR5" s="35">
        <v>285</v>
      </c>
      <c r="AS5" s="35">
        <v>610</v>
      </c>
      <c r="AT5" s="35">
        <f>AS5+AR5-AO5</f>
        <v>329</v>
      </c>
      <c r="AU5" s="6">
        <v>25</v>
      </c>
      <c r="AV5" s="6">
        <v>610</v>
      </c>
      <c r="AW5" s="35">
        <f>AV5+AU5-AR5</f>
        <v>350</v>
      </c>
      <c r="AX5" s="6">
        <v>377</v>
      </c>
      <c r="AY5" s="6"/>
      <c r="AZ5" s="35">
        <f>AY5+AX5-AU5</f>
        <v>352</v>
      </c>
      <c r="BA5" s="35">
        <v>133</v>
      </c>
      <c r="BB5" s="35">
        <v>600</v>
      </c>
      <c r="BC5" s="35">
        <f>BB5+BA5-AX5</f>
        <v>356</v>
      </c>
      <c r="BD5" s="6">
        <v>0</v>
      </c>
      <c r="BE5" s="6">
        <v>462</v>
      </c>
      <c r="BF5" s="35">
        <f>BE5+BD5-BA5</f>
        <v>329</v>
      </c>
      <c r="BG5" s="6"/>
      <c r="BH5" s="6"/>
      <c r="BI5" s="6"/>
      <c r="BJ5" s="6">
        <v>263</v>
      </c>
      <c r="BK5" s="6"/>
      <c r="BL5" s="6">
        <f>BK5+BJ5-BD5</f>
        <v>263</v>
      </c>
      <c r="BM5" s="6">
        <v>618</v>
      </c>
      <c r="BN5" s="6"/>
      <c r="BO5" s="6">
        <f>BN5+BM5-BJ5</f>
        <v>355</v>
      </c>
      <c r="BP5" s="6">
        <v>233</v>
      </c>
      <c r="BQ5" s="6">
        <v>750</v>
      </c>
      <c r="BR5" s="35">
        <f>BQ5+BP5-BM5</f>
        <v>365</v>
      </c>
      <c r="BS5" s="6">
        <v>96</v>
      </c>
      <c r="BT5" s="6">
        <v>479</v>
      </c>
      <c r="BU5" s="6">
        <f>BT5+BS5-BP5</f>
        <v>342</v>
      </c>
      <c r="BV5" s="6">
        <v>448</v>
      </c>
      <c r="BW5" s="6"/>
      <c r="BX5" s="35">
        <f>BW5+BV5-BS5</f>
        <v>352</v>
      </c>
      <c r="BY5" s="6">
        <v>783</v>
      </c>
      <c r="BZ5" s="6"/>
      <c r="CA5" s="6">
        <f>BZ5+BY5-BV5</f>
        <v>335</v>
      </c>
      <c r="CB5" s="6"/>
      <c r="CC5" s="6"/>
      <c r="CD5" s="6"/>
      <c r="CE5" s="6">
        <v>1134</v>
      </c>
      <c r="CF5" s="6"/>
      <c r="CG5" s="6">
        <f>CF5+CE5-BY5</f>
        <v>351</v>
      </c>
      <c r="CH5" s="6">
        <v>1489</v>
      </c>
      <c r="CI5" s="6"/>
      <c r="CJ5" s="6">
        <f>CI5+CH5-CE5</f>
        <v>355</v>
      </c>
      <c r="CK5" s="6">
        <v>277</v>
      </c>
      <c r="CL5" s="6">
        <v>1560</v>
      </c>
      <c r="CM5" s="6">
        <f>CL5+CK5-CH5</f>
        <v>348</v>
      </c>
      <c r="CN5" s="6">
        <v>637</v>
      </c>
      <c r="CO5" s="6"/>
      <c r="CP5" s="6">
        <f>CO5+CN5-CK5</f>
        <v>360</v>
      </c>
      <c r="CQ5" s="6">
        <v>998</v>
      </c>
      <c r="CR5" s="6"/>
      <c r="CS5" s="6">
        <f>CR5+CQ5-CN5</f>
        <v>361</v>
      </c>
      <c r="CT5" s="6">
        <v>1340</v>
      </c>
      <c r="CU5" s="6"/>
      <c r="CV5" s="6">
        <f>CU5+CT5-CQ5</f>
        <v>342</v>
      </c>
      <c r="CW5" s="6"/>
      <c r="CX5" s="6"/>
      <c r="CY5" s="6"/>
      <c r="CZ5" s="6">
        <v>136</v>
      </c>
      <c r="DA5" s="6">
        <v>1560</v>
      </c>
      <c r="DB5" s="6">
        <f>DA5+CZ5-CT5</f>
        <v>356</v>
      </c>
      <c r="DC5" s="6">
        <v>481</v>
      </c>
      <c r="DD5" s="6"/>
      <c r="DE5" s="6">
        <f>DD5+DC5-CZ5</f>
        <v>345</v>
      </c>
      <c r="DF5" s="6">
        <v>840</v>
      </c>
      <c r="DG5" s="6"/>
      <c r="DH5" s="6">
        <f>DG5+DF5-DC5</f>
        <v>359</v>
      </c>
      <c r="DI5" s="6">
        <v>1200</v>
      </c>
      <c r="DJ5" s="6"/>
      <c r="DK5" s="6">
        <f>DJ5+DI5-DF5</f>
        <v>360</v>
      </c>
      <c r="DL5" s="6">
        <v>1561</v>
      </c>
      <c r="DM5" s="6"/>
      <c r="DN5" s="6">
        <f>DM5+DL5-DI5</f>
        <v>361</v>
      </c>
      <c r="DO5" s="6">
        <v>333</v>
      </c>
      <c r="DP5" s="6">
        <v>1565</v>
      </c>
      <c r="DQ5" s="6">
        <f>DP5+DO5-DL5</f>
        <v>337</v>
      </c>
    </row>
    <row r="6" spans="1:121">
      <c r="A6" s="6">
        <v>2</v>
      </c>
      <c r="B6" s="6">
        <v>607</v>
      </c>
      <c r="C6" s="6"/>
      <c r="D6" s="6">
        <v>373</v>
      </c>
      <c r="E6" s="33" t="s">
        <v>37</v>
      </c>
      <c r="F6" s="33" t="s">
        <v>37</v>
      </c>
      <c r="G6" s="33" t="s">
        <v>37</v>
      </c>
      <c r="H6" s="148" t="s">
        <v>124</v>
      </c>
      <c r="I6" s="33" t="s">
        <v>124</v>
      </c>
      <c r="J6" s="33" t="s">
        <v>124</v>
      </c>
      <c r="K6" s="33" t="s">
        <v>124</v>
      </c>
      <c r="L6" s="33" t="s">
        <v>124</v>
      </c>
      <c r="M6" s="33" t="s">
        <v>124</v>
      </c>
      <c r="N6" s="33" t="s">
        <v>124</v>
      </c>
      <c r="O6" s="33" t="s">
        <v>124</v>
      </c>
      <c r="P6" s="33" t="s">
        <v>124</v>
      </c>
      <c r="Q6" s="33" t="s">
        <v>124</v>
      </c>
      <c r="R6" s="33" t="s">
        <v>124</v>
      </c>
      <c r="S6" s="33" t="s">
        <v>124</v>
      </c>
      <c r="T6" s="33" t="s">
        <v>124</v>
      </c>
      <c r="U6" s="33" t="s">
        <v>124</v>
      </c>
      <c r="V6" s="33" t="s">
        <v>124</v>
      </c>
      <c r="W6" s="33" t="s">
        <v>124</v>
      </c>
      <c r="X6" s="33" t="s">
        <v>124</v>
      </c>
      <c r="Y6" s="33" t="s">
        <v>124</v>
      </c>
      <c r="Z6" s="33" t="s">
        <v>124</v>
      </c>
      <c r="AA6" s="33" t="s">
        <v>124</v>
      </c>
      <c r="AB6" s="33" t="s">
        <v>124</v>
      </c>
      <c r="AC6" s="33" t="s">
        <v>124</v>
      </c>
      <c r="AD6" s="33" t="s">
        <v>124</v>
      </c>
      <c r="AE6" s="33" t="s">
        <v>124</v>
      </c>
      <c r="AF6" s="6">
        <v>978</v>
      </c>
      <c r="AG6" s="6"/>
      <c r="AH6" s="35">
        <f t="shared" ref="AH6:AH69" si="0">AG6+AF6-B6</f>
        <v>371</v>
      </c>
      <c r="AI6" s="35">
        <v>0</v>
      </c>
      <c r="AJ6" s="35">
        <v>1273</v>
      </c>
      <c r="AK6" s="35">
        <f t="shared" ref="AK6:AK69" si="1">AJ6+AI6-AF6</f>
        <v>295</v>
      </c>
      <c r="AL6" s="6"/>
      <c r="AM6" s="6"/>
      <c r="AN6" s="35"/>
      <c r="AO6" s="6">
        <v>159</v>
      </c>
      <c r="AP6" s="6"/>
      <c r="AQ6" s="34">
        <f t="shared" ref="AQ6:AQ69" si="2">AP6+AO6-AI6</f>
        <v>159</v>
      </c>
      <c r="AR6" s="35">
        <v>402</v>
      </c>
      <c r="AS6" s="35"/>
      <c r="AT6" s="35">
        <f t="shared" ref="AT6:AT69" si="3">AS6+AR6-AO6</f>
        <v>243</v>
      </c>
      <c r="AU6" s="6">
        <v>641</v>
      </c>
      <c r="AV6" s="6"/>
      <c r="AW6" s="35">
        <f t="shared" ref="AW6:AW69" si="4">AV6+AU6-AR6</f>
        <v>239</v>
      </c>
      <c r="AX6" s="6">
        <v>180</v>
      </c>
      <c r="AY6" s="6">
        <v>702</v>
      </c>
      <c r="AZ6" s="35">
        <f t="shared" ref="AZ6:AZ69" si="5">AY6+AX6-AU6</f>
        <v>241</v>
      </c>
      <c r="BA6" s="35">
        <v>409</v>
      </c>
      <c r="BB6" s="35"/>
      <c r="BC6" s="35">
        <f t="shared" ref="BC6:BC69" si="6">BB6+BA6-AX6</f>
        <v>229</v>
      </c>
      <c r="BD6" s="6">
        <v>633</v>
      </c>
      <c r="BE6" s="6"/>
      <c r="BF6" s="35">
        <f t="shared" ref="BF6:BF69" si="7">BE6+BD6-BA6</f>
        <v>224</v>
      </c>
      <c r="BG6" s="6"/>
      <c r="BH6" s="6"/>
      <c r="BI6" s="6"/>
      <c r="BJ6" s="6">
        <v>865</v>
      </c>
      <c r="BK6" s="6"/>
      <c r="BL6" s="6">
        <f t="shared" ref="BL6:BL69" si="8">BK6+BJ6-BD6</f>
        <v>232</v>
      </c>
      <c r="BM6" s="6">
        <v>1096</v>
      </c>
      <c r="BN6" s="6"/>
      <c r="BO6" s="6">
        <f t="shared" ref="BO6:BO69" si="9">BN6+BM6-BJ6</f>
        <v>231</v>
      </c>
      <c r="BP6" s="6">
        <v>1330</v>
      </c>
      <c r="BQ6" s="6"/>
      <c r="BR6" s="35">
        <f t="shared" ref="BR6:BR69" si="10">BQ6+BP6-BM6</f>
        <v>234</v>
      </c>
      <c r="BS6" s="6">
        <v>1563</v>
      </c>
      <c r="BT6" s="6"/>
      <c r="BU6" s="6">
        <f t="shared" ref="BU6:BU69" si="11">BT6+BS6-BP6</f>
        <v>233</v>
      </c>
      <c r="BV6" s="6">
        <v>1787</v>
      </c>
      <c r="BW6" s="6"/>
      <c r="BX6" s="35">
        <f t="shared" ref="BX6:BX69" si="12">BW6+BV6-BS6</f>
        <v>224</v>
      </c>
      <c r="BY6" s="6">
        <v>6</v>
      </c>
      <c r="BZ6" s="6">
        <v>1995</v>
      </c>
      <c r="CA6" s="6">
        <f t="shared" ref="CA6:CA69" si="13">BZ6+BY6-BV6</f>
        <v>214</v>
      </c>
      <c r="CB6" s="6"/>
      <c r="CC6" s="6"/>
      <c r="CD6" s="6"/>
      <c r="CE6" s="6">
        <v>228</v>
      </c>
      <c r="CF6" s="6"/>
      <c r="CG6" s="6">
        <f t="shared" ref="CG6:CG69" si="14">CF6+CE6-BY6</f>
        <v>222</v>
      </c>
      <c r="CH6" s="6">
        <v>462</v>
      </c>
      <c r="CI6" s="6"/>
      <c r="CJ6" s="6">
        <f t="shared" ref="CJ6:CJ69" si="15">CI6+CH6-CE6</f>
        <v>234</v>
      </c>
      <c r="CK6" s="6">
        <v>691</v>
      </c>
      <c r="CL6" s="6"/>
      <c r="CM6" s="6">
        <f t="shared" ref="CM6:CM69" si="16">CL6+CK6-CH6</f>
        <v>229</v>
      </c>
      <c r="CN6" s="6">
        <v>924</v>
      </c>
      <c r="CO6" s="6"/>
      <c r="CP6" s="6">
        <f t="shared" ref="CP6:CP69" si="17">CO6+CN6-CK6</f>
        <v>233</v>
      </c>
      <c r="CQ6" s="6">
        <v>1150</v>
      </c>
      <c r="CR6" s="6"/>
      <c r="CS6" s="6">
        <f t="shared" ref="CS6:CS69" si="18">CR6+CQ6-CN6</f>
        <v>226</v>
      </c>
      <c r="CT6" s="6">
        <v>1375</v>
      </c>
      <c r="CU6" s="6"/>
      <c r="CV6" s="6">
        <f t="shared" ref="CV6:CV69" si="19">CU6+CT6-CQ6</f>
        <v>225</v>
      </c>
      <c r="CW6" s="6"/>
      <c r="CX6" s="6"/>
      <c r="CY6" s="6"/>
      <c r="CZ6" s="6">
        <v>1609</v>
      </c>
      <c r="DA6" s="6"/>
      <c r="DB6" s="6">
        <f t="shared" ref="DB6:DB69" si="20">DA6+CZ6-CT6</f>
        <v>234</v>
      </c>
      <c r="DC6" s="6">
        <v>1841</v>
      </c>
      <c r="DD6" s="6"/>
      <c r="DE6" s="6">
        <f t="shared" ref="DE6:DE69" si="21">DD6+DC6-CZ6</f>
        <v>232</v>
      </c>
      <c r="DF6" s="6">
        <v>73</v>
      </c>
      <c r="DG6" s="6">
        <v>2000</v>
      </c>
      <c r="DH6" s="6">
        <f t="shared" ref="DH6:DH69" si="22">DG6+DF6-DC6</f>
        <v>232</v>
      </c>
      <c r="DI6" s="6">
        <v>305</v>
      </c>
      <c r="DJ6" s="6"/>
      <c r="DK6" s="6">
        <f t="shared" ref="DK6:DK69" si="23">DJ6+DI6-DF6</f>
        <v>232</v>
      </c>
      <c r="DL6" s="6">
        <v>536</v>
      </c>
      <c r="DM6" s="6"/>
      <c r="DN6" s="6">
        <f t="shared" ref="DN6:DN69" si="24">DM6+DL6-DI6</f>
        <v>231</v>
      </c>
      <c r="DO6" s="6">
        <v>751</v>
      </c>
      <c r="DP6" s="6"/>
      <c r="DQ6" s="6">
        <f t="shared" ref="DQ6:DQ69" si="25">DP6+DO6-DL6</f>
        <v>215</v>
      </c>
    </row>
    <row r="7" spans="1:121">
      <c r="A7" s="6">
        <v>3</v>
      </c>
      <c r="B7" s="6">
        <v>1159</v>
      </c>
      <c r="C7" s="6"/>
      <c r="D7" s="6">
        <v>369</v>
      </c>
      <c r="E7" s="33" t="s">
        <v>37</v>
      </c>
      <c r="F7" s="33" t="s">
        <v>37</v>
      </c>
      <c r="G7" s="148" t="s">
        <v>56</v>
      </c>
      <c r="H7" s="33" t="s">
        <v>56</v>
      </c>
      <c r="I7" s="33" t="s">
        <v>56</v>
      </c>
      <c r="J7" s="33" t="s">
        <v>56</v>
      </c>
      <c r="K7" s="33" t="s">
        <v>56</v>
      </c>
      <c r="L7" s="33" t="s">
        <v>56</v>
      </c>
      <c r="M7" s="33" t="s">
        <v>56</v>
      </c>
      <c r="N7" s="33" t="s">
        <v>56</v>
      </c>
      <c r="O7" s="33" t="s">
        <v>56</v>
      </c>
      <c r="P7" s="33" t="s">
        <v>56</v>
      </c>
      <c r="Q7" s="148" t="s">
        <v>37</v>
      </c>
      <c r="R7" s="33" t="s">
        <v>37</v>
      </c>
      <c r="S7" s="33" t="s">
        <v>37</v>
      </c>
      <c r="T7" s="33" t="s">
        <v>37</v>
      </c>
      <c r="U7" s="33" t="s">
        <v>37</v>
      </c>
      <c r="V7" s="33" t="s">
        <v>37</v>
      </c>
      <c r="W7" s="33" t="s">
        <v>37</v>
      </c>
      <c r="X7" s="33" t="s">
        <v>37</v>
      </c>
      <c r="Y7" s="33" t="s">
        <v>37</v>
      </c>
      <c r="Z7" s="33" t="s">
        <v>37</v>
      </c>
      <c r="AA7" s="33" t="s">
        <v>37</v>
      </c>
      <c r="AB7" s="33" t="s">
        <v>37</v>
      </c>
      <c r="AC7" s="33" t="s">
        <v>37</v>
      </c>
      <c r="AD7" s="33" t="s">
        <v>37</v>
      </c>
      <c r="AE7" s="33" t="s">
        <v>37</v>
      </c>
      <c r="AF7" s="6">
        <v>1534</v>
      </c>
      <c r="AG7" s="6"/>
      <c r="AH7" s="35">
        <f t="shared" si="0"/>
        <v>375</v>
      </c>
      <c r="AI7" s="35">
        <v>273</v>
      </c>
      <c r="AJ7" s="35">
        <v>1539</v>
      </c>
      <c r="AK7" s="35">
        <f t="shared" si="1"/>
        <v>278</v>
      </c>
      <c r="AL7" s="35"/>
      <c r="AM7" s="6"/>
      <c r="AN7" s="35"/>
      <c r="AO7" s="6">
        <v>10</v>
      </c>
      <c r="AP7" s="6">
        <v>600</v>
      </c>
      <c r="AQ7" s="34">
        <f t="shared" si="2"/>
        <v>337</v>
      </c>
      <c r="AR7" s="35">
        <v>346</v>
      </c>
      <c r="AS7" s="35"/>
      <c r="AT7" s="35">
        <f t="shared" si="3"/>
        <v>336</v>
      </c>
      <c r="AU7" s="6">
        <v>80</v>
      </c>
      <c r="AV7" s="6">
        <v>600</v>
      </c>
      <c r="AW7" s="35">
        <f t="shared" si="4"/>
        <v>334</v>
      </c>
      <c r="AX7" s="6">
        <v>432</v>
      </c>
      <c r="AY7" s="6"/>
      <c r="AZ7" s="35">
        <f t="shared" si="5"/>
        <v>352</v>
      </c>
      <c r="BA7" s="35">
        <v>177</v>
      </c>
      <c r="BB7" s="35">
        <v>600</v>
      </c>
      <c r="BC7" s="35">
        <f t="shared" si="6"/>
        <v>345</v>
      </c>
      <c r="BD7" s="6">
        <v>518</v>
      </c>
      <c r="BE7" s="6"/>
      <c r="BF7" s="35">
        <f t="shared" si="7"/>
        <v>341</v>
      </c>
      <c r="BG7" s="6"/>
      <c r="BH7" s="6"/>
      <c r="BI7" s="6"/>
      <c r="BJ7" s="6">
        <v>270</v>
      </c>
      <c r="BK7" s="6">
        <v>600</v>
      </c>
      <c r="BL7" s="6">
        <f t="shared" si="8"/>
        <v>352</v>
      </c>
      <c r="BM7" s="6">
        <v>0</v>
      </c>
      <c r="BN7" s="6">
        <v>608</v>
      </c>
      <c r="BO7" s="6">
        <f t="shared" si="9"/>
        <v>338</v>
      </c>
      <c r="BP7" s="6">
        <v>0</v>
      </c>
      <c r="BQ7" s="6"/>
      <c r="BR7" s="35">
        <f t="shared" si="10"/>
        <v>0</v>
      </c>
      <c r="BS7" s="6">
        <v>0</v>
      </c>
      <c r="BT7" s="6"/>
      <c r="BU7" s="6">
        <f t="shared" si="11"/>
        <v>0</v>
      </c>
      <c r="BV7" s="6">
        <v>0</v>
      </c>
      <c r="BW7" s="6"/>
      <c r="BX7" s="35">
        <f t="shared" si="12"/>
        <v>0</v>
      </c>
      <c r="BY7" s="6">
        <v>0</v>
      </c>
      <c r="BZ7" s="6"/>
      <c r="CA7" s="6">
        <f t="shared" si="13"/>
        <v>0</v>
      </c>
      <c r="CB7" s="6"/>
      <c r="CC7" s="6"/>
      <c r="CD7" s="6"/>
      <c r="CE7" s="6">
        <v>0</v>
      </c>
      <c r="CF7" s="6"/>
      <c r="CG7" s="6">
        <f t="shared" si="14"/>
        <v>0</v>
      </c>
      <c r="CH7" s="6">
        <v>310</v>
      </c>
      <c r="CI7" s="6"/>
      <c r="CJ7" s="6">
        <f t="shared" si="15"/>
        <v>310</v>
      </c>
      <c r="CK7" s="6">
        <v>695</v>
      </c>
      <c r="CL7" s="6"/>
      <c r="CM7" s="6">
        <f t="shared" si="16"/>
        <v>385</v>
      </c>
      <c r="CN7" s="6">
        <v>1077</v>
      </c>
      <c r="CO7" s="6"/>
      <c r="CP7" s="6">
        <f t="shared" si="17"/>
        <v>382</v>
      </c>
      <c r="CQ7" s="6">
        <v>1445</v>
      </c>
      <c r="CR7" s="6"/>
      <c r="CS7" s="6">
        <f t="shared" si="18"/>
        <v>368</v>
      </c>
      <c r="CT7" s="6">
        <v>232</v>
      </c>
      <c r="CU7" s="6">
        <v>1560</v>
      </c>
      <c r="CV7" s="6">
        <f t="shared" si="19"/>
        <v>347</v>
      </c>
      <c r="CW7" s="6"/>
      <c r="CX7" s="6"/>
      <c r="CY7" s="6"/>
      <c r="CZ7" s="6">
        <v>605</v>
      </c>
      <c r="DA7" s="6"/>
      <c r="DB7" s="6">
        <f t="shared" si="20"/>
        <v>373</v>
      </c>
      <c r="DC7" s="6">
        <v>971</v>
      </c>
      <c r="DD7" s="6"/>
      <c r="DE7" s="6">
        <f t="shared" si="21"/>
        <v>366</v>
      </c>
      <c r="DF7" s="6">
        <v>1333</v>
      </c>
      <c r="DG7" s="6"/>
      <c r="DH7" s="6">
        <f t="shared" si="22"/>
        <v>362</v>
      </c>
      <c r="DI7" s="6">
        <v>124</v>
      </c>
      <c r="DJ7" s="6">
        <v>1560</v>
      </c>
      <c r="DK7" s="6">
        <f t="shared" si="23"/>
        <v>351</v>
      </c>
      <c r="DL7" s="6">
        <v>492</v>
      </c>
      <c r="DM7" s="6"/>
      <c r="DN7" s="6">
        <f t="shared" si="24"/>
        <v>368</v>
      </c>
      <c r="DO7" s="6">
        <v>0</v>
      </c>
      <c r="DP7" s="6">
        <v>760</v>
      </c>
      <c r="DQ7" s="6">
        <f t="shared" si="25"/>
        <v>268</v>
      </c>
    </row>
    <row r="8" spans="1:121">
      <c r="A8" s="6">
        <v>4</v>
      </c>
      <c r="B8" s="6">
        <v>556</v>
      </c>
      <c r="C8" s="6"/>
      <c r="D8" s="6">
        <v>351</v>
      </c>
      <c r="E8" s="33" t="s">
        <v>37</v>
      </c>
      <c r="F8" s="33" t="s">
        <v>37</v>
      </c>
      <c r="G8" s="33" t="s">
        <v>37</v>
      </c>
      <c r="H8" s="33" t="s">
        <v>37</v>
      </c>
      <c r="I8" s="33" t="s">
        <v>37</v>
      </c>
      <c r="J8" s="33" t="s">
        <v>37</v>
      </c>
      <c r="K8" s="33" t="s">
        <v>37</v>
      </c>
      <c r="L8" s="33" t="s">
        <v>37</v>
      </c>
      <c r="M8" s="33" t="s">
        <v>37</v>
      </c>
      <c r="N8" s="33" t="s">
        <v>37</v>
      </c>
      <c r="O8" s="33" t="s">
        <v>37</v>
      </c>
      <c r="P8" s="33" t="s">
        <v>37</v>
      </c>
      <c r="Q8" s="33" t="s">
        <v>37</v>
      </c>
      <c r="R8" s="33" t="s">
        <v>37</v>
      </c>
      <c r="S8" s="33" t="s">
        <v>37</v>
      </c>
      <c r="T8" s="33" t="s">
        <v>37</v>
      </c>
      <c r="U8" s="33" t="s">
        <v>37</v>
      </c>
      <c r="V8" s="33" t="s">
        <v>37</v>
      </c>
      <c r="W8" s="33" t="s">
        <v>37</v>
      </c>
      <c r="X8" s="148" t="s">
        <v>37</v>
      </c>
      <c r="Y8" s="33" t="s">
        <v>37</v>
      </c>
      <c r="Z8" s="33" t="s">
        <v>37</v>
      </c>
      <c r="AA8" s="33" t="s">
        <v>37</v>
      </c>
      <c r="AB8" s="33" t="s">
        <v>37</v>
      </c>
      <c r="AC8" s="33" t="s">
        <v>37</v>
      </c>
      <c r="AD8" s="33" t="s">
        <v>37</v>
      </c>
      <c r="AE8" s="33" t="s">
        <v>37</v>
      </c>
      <c r="AF8" s="6">
        <v>337</v>
      </c>
      <c r="AG8" s="6">
        <v>586</v>
      </c>
      <c r="AH8" s="35">
        <f t="shared" si="0"/>
        <v>367</v>
      </c>
      <c r="AI8" s="35">
        <v>683</v>
      </c>
      <c r="AJ8" s="35"/>
      <c r="AK8" s="35">
        <f t="shared" si="1"/>
        <v>346</v>
      </c>
      <c r="AL8" s="6"/>
      <c r="AM8" s="6"/>
      <c r="AN8" s="35"/>
      <c r="AO8" s="6">
        <v>1045</v>
      </c>
      <c r="AP8" s="6"/>
      <c r="AQ8" s="34">
        <f t="shared" si="2"/>
        <v>362</v>
      </c>
      <c r="AR8" s="35">
        <v>1415</v>
      </c>
      <c r="AS8" s="35"/>
      <c r="AT8" s="35">
        <f t="shared" si="3"/>
        <v>370</v>
      </c>
      <c r="AU8" s="6">
        <v>212</v>
      </c>
      <c r="AV8" s="6">
        <v>1560</v>
      </c>
      <c r="AW8" s="35">
        <f t="shared" si="4"/>
        <v>357</v>
      </c>
      <c r="AX8" s="6">
        <v>577</v>
      </c>
      <c r="AY8" s="6"/>
      <c r="AZ8" s="35">
        <f t="shared" si="5"/>
        <v>365</v>
      </c>
      <c r="BA8" s="35">
        <v>946</v>
      </c>
      <c r="BB8" s="35"/>
      <c r="BC8" s="35">
        <f t="shared" si="6"/>
        <v>369</v>
      </c>
      <c r="BD8" s="6">
        <v>1306</v>
      </c>
      <c r="BE8" s="6"/>
      <c r="BF8" s="35">
        <f t="shared" si="7"/>
        <v>360</v>
      </c>
      <c r="BG8" s="6"/>
      <c r="BH8" s="6"/>
      <c r="BI8" s="6"/>
      <c r="BJ8" s="6">
        <v>121</v>
      </c>
      <c r="BK8" s="6">
        <v>1560</v>
      </c>
      <c r="BL8" s="6">
        <f t="shared" si="8"/>
        <v>375</v>
      </c>
      <c r="BM8" s="6">
        <v>162</v>
      </c>
      <c r="BN8" s="6">
        <v>323</v>
      </c>
      <c r="BO8" s="6">
        <f t="shared" si="9"/>
        <v>364</v>
      </c>
      <c r="BP8" s="6">
        <v>537</v>
      </c>
      <c r="BQ8" s="6"/>
      <c r="BR8" s="35">
        <f t="shared" si="10"/>
        <v>375</v>
      </c>
      <c r="BS8" s="6">
        <v>907</v>
      </c>
      <c r="BT8" s="6"/>
      <c r="BU8" s="6">
        <f t="shared" si="11"/>
        <v>370</v>
      </c>
      <c r="BV8" s="6">
        <v>1268</v>
      </c>
      <c r="BW8" s="6"/>
      <c r="BX8" s="35">
        <f t="shared" si="12"/>
        <v>361</v>
      </c>
      <c r="BY8" s="6">
        <v>109</v>
      </c>
      <c r="BZ8" s="6">
        <v>1503</v>
      </c>
      <c r="CA8" s="6">
        <f t="shared" si="13"/>
        <v>344</v>
      </c>
      <c r="CB8" s="6"/>
      <c r="CC8" s="6"/>
      <c r="CD8" s="6"/>
      <c r="CE8" s="6">
        <v>470</v>
      </c>
      <c r="CF8" s="6"/>
      <c r="CG8" s="6">
        <f t="shared" si="14"/>
        <v>361</v>
      </c>
      <c r="CH8" s="6">
        <v>543</v>
      </c>
      <c r="CI8" s="6"/>
      <c r="CJ8" s="6">
        <f t="shared" si="15"/>
        <v>73</v>
      </c>
      <c r="CK8" s="6">
        <v>543</v>
      </c>
      <c r="CL8" s="6"/>
      <c r="CM8" s="6">
        <f t="shared" si="16"/>
        <v>0</v>
      </c>
      <c r="CN8" s="6">
        <v>0</v>
      </c>
      <c r="CO8" s="6">
        <v>771</v>
      </c>
      <c r="CP8" s="6">
        <f t="shared" si="17"/>
        <v>228</v>
      </c>
      <c r="CQ8" s="6">
        <v>279</v>
      </c>
      <c r="CR8" s="6"/>
      <c r="CS8" s="6">
        <f t="shared" si="18"/>
        <v>279</v>
      </c>
      <c r="CT8" s="6">
        <v>635</v>
      </c>
      <c r="CU8" s="6"/>
      <c r="CV8" s="6">
        <f t="shared" si="19"/>
        <v>356</v>
      </c>
      <c r="CW8" s="6"/>
      <c r="CX8" s="6"/>
      <c r="CY8" s="6"/>
      <c r="CZ8" s="6">
        <v>1006</v>
      </c>
      <c r="DA8" s="6"/>
      <c r="DB8" s="6">
        <f t="shared" si="20"/>
        <v>371</v>
      </c>
      <c r="DC8" s="6">
        <v>1374</v>
      </c>
      <c r="DD8" s="6"/>
      <c r="DE8" s="6">
        <f t="shared" si="21"/>
        <v>368</v>
      </c>
      <c r="DF8" s="6">
        <v>176</v>
      </c>
      <c r="DG8" s="6">
        <v>1560</v>
      </c>
      <c r="DH8" s="6">
        <f t="shared" si="22"/>
        <v>362</v>
      </c>
      <c r="DI8" s="6">
        <v>534</v>
      </c>
      <c r="DJ8" s="6"/>
      <c r="DK8" s="6">
        <f t="shared" si="23"/>
        <v>358</v>
      </c>
      <c r="DL8" s="6">
        <v>891</v>
      </c>
      <c r="DM8" s="6"/>
      <c r="DN8" s="6">
        <f t="shared" si="24"/>
        <v>357</v>
      </c>
      <c r="DO8" s="6">
        <v>1227</v>
      </c>
      <c r="DP8" s="6"/>
      <c r="DQ8" s="6">
        <f t="shared" si="25"/>
        <v>336</v>
      </c>
    </row>
    <row r="9" spans="1:121">
      <c r="A9" s="6">
        <v>5</v>
      </c>
      <c r="B9" s="6">
        <v>992</v>
      </c>
      <c r="C9" s="6"/>
      <c r="D9" s="6">
        <v>367</v>
      </c>
      <c r="E9" s="33" t="s">
        <v>37</v>
      </c>
      <c r="F9" s="33" t="s">
        <v>37</v>
      </c>
      <c r="G9" s="148" t="s">
        <v>56</v>
      </c>
      <c r="H9" s="33" t="s">
        <v>56</v>
      </c>
      <c r="I9" s="33" t="s">
        <v>56</v>
      </c>
      <c r="J9" s="33" t="s">
        <v>56</v>
      </c>
      <c r="K9" s="33" t="s">
        <v>56</v>
      </c>
      <c r="L9" s="33" t="s">
        <v>56</v>
      </c>
      <c r="M9" s="33" t="s">
        <v>56</v>
      </c>
      <c r="N9" s="33" t="s">
        <v>56</v>
      </c>
      <c r="O9" s="33" t="s">
        <v>56</v>
      </c>
      <c r="P9" s="33" t="s">
        <v>56</v>
      </c>
      <c r="Q9" s="148" t="s">
        <v>37</v>
      </c>
      <c r="R9" s="33" t="s">
        <v>37</v>
      </c>
      <c r="S9" s="33" t="s">
        <v>37</v>
      </c>
      <c r="T9" s="33" t="s">
        <v>37</v>
      </c>
      <c r="U9" s="33" t="s">
        <v>37</v>
      </c>
      <c r="V9" s="33" t="s">
        <v>37</v>
      </c>
      <c r="W9" s="33" t="s">
        <v>37</v>
      </c>
      <c r="X9" s="33" t="s">
        <v>37</v>
      </c>
      <c r="Y9" s="33" t="s">
        <v>37</v>
      </c>
      <c r="Z9" s="33" t="s">
        <v>37</v>
      </c>
      <c r="AA9" s="33" t="s">
        <v>37</v>
      </c>
      <c r="AB9" s="33" t="s">
        <v>37</v>
      </c>
      <c r="AC9" s="33" t="s">
        <v>37</v>
      </c>
      <c r="AD9" s="33" t="s">
        <v>37</v>
      </c>
      <c r="AE9" s="33" t="s">
        <v>37</v>
      </c>
      <c r="AF9" s="6">
        <v>1368</v>
      </c>
      <c r="AG9" s="6"/>
      <c r="AH9" s="35">
        <f t="shared" si="0"/>
        <v>376</v>
      </c>
      <c r="AI9" s="35">
        <v>266</v>
      </c>
      <c r="AJ9" s="35">
        <v>1373</v>
      </c>
      <c r="AK9" s="35">
        <f t="shared" si="1"/>
        <v>271</v>
      </c>
      <c r="AL9" s="35"/>
      <c r="AM9" s="6"/>
      <c r="AN9" s="35"/>
      <c r="AO9" s="6">
        <v>10</v>
      </c>
      <c r="AP9" s="6">
        <v>600</v>
      </c>
      <c r="AQ9" s="34">
        <f t="shared" si="2"/>
        <v>344</v>
      </c>
      <c r="AR9" s="35">
        <v>361</v>
      </c>
      <c r="AS9" s="35"/>
      <c r="AT9" s="35">
        <f t="shared" si="3"/>
        <v>351</v>
      </c>
      <c r="AU9" s="6">
        <v>98</v>
      </c>
      <c r="AV9" s="6">
        <v>600</v>
      </c>
      <c r="AW9" s="35">
        <f t="shared" si="4"/>
        <v>337</v>
      </c>
      <c r="AX9" s="6">
        <v>456</v>
      </c>
      <c r="AY9" s="6"/>
      <c r="AZ9" s="35">
        <f t="shared" si="5"/>
        <v>358</v>
      </c>
      <c r="BA9" s="35">
        <v>208</v>
      </c>
      <c r="BB9" s="35">
        <v>600</v>
      </c>
      <c r="BC9" s="35">
        <f t="shared" si="6"/>
        <v>352</v>
      </c>
      <c r="BD9" s="6">
        <v>548</v>
      </c>
      <c r="BE9" s="6"/>
      <c r="BF9" s="35">
        <f t="shared" si="7"/>
        <v>340</v>
      </c>
      <c r="BG9" s="6"/>
      <c r="BH9" s="6"/>
      <c r="BI9" s="6"/>
      <c r="BJ9" s="6">
        <v>298</v>
      </c>
      <c r="BK9" s="6">
        <v>600</v>
      </c>
      <c r="BL9" s="6">
        <f t="shared" si="8"/>
        <v>350</v>
      </c>
      <c r="BM9" s="6">
        <v>629</v>
      </c>
      <c r="BN9" s="6"/>
      <c r="BO9" s="6">
        <f t="shared" si="9"/>
        <v>331</v>
      </c>
      <c r="BP9" s="6">
        <v>0</v>
      </c>
      <c r="BQ9" s="6">
        <v>629</v>
      </c>
      <c r="BR9" s="35">
        <f t="shared" si="10"/>
        <v>0</v>
      </c>
      <c r="BS9" s="6">
        <v>0</v>
      </c>
      <c r="BT9" s="6"/>
      <c r="BU9" s="6">
        <f t="shared" si="11"/>
        <v>0</v>
      </c>
      <c r="BV9" s="6">
        <v>0</v>
      </c>
      <c r="BW9" s="6"/>
      <c r="BX9" s="35">
        <f t="shared" si="12"/>
        <v>0</v>
      </c>
      <c r="BY9" s="6">
        <v>0</v>
      </c>
      <c r="BZ9" s="6"/>
      <c r="CA9" s="6">
        <f t="shared" si="13"/>
        <v>0</v>
      </c>
      <c r="CB9" s="6"/>
      <c r="CC9" s="6"/>
      <c r="CD9" s="6"/>
      <c r="CE9" s="6">
        <v>0</v>
      </c>
      <c r="CF9" s="6"/>
      <c r="CG9" s="6">
        <f t="shared" si="14"/>
        <v>0</v>
      </c>
      <c r="CH9" s="6">
        <v>306</v>
      </c>
      <c r="CI9" s="6"/>
      <c r="CJ9" s="6">
        <f t="shared" si="15"/>
        <v>306</v>
      </c>
      <c r="CK9" s="6">
        <v>664</v>
      </c>
      <c r="CL9" s="6"/>
      <c r="CM9" s="6">
        <f t="shared" si="16"/>
        <v>358</v>
      </c>
      <c r="CN9" s="6">
        <v>1039</v>
      </c>
      <c r="CO9" s="6"/>
      <c r="CP9" s="6">
        <f t="shared" si="17"/>
        <v>375</v>
      </c>
      <c r="CQ9" s="6">
        <v>1400</v>
      </c>
      <c r="CR9" s="6"/>
      <c r="CS9" s="6">
        <f t="shared" si="18"/>
        <v>361</v>
      </c>
      <c r="CT9" s="6">
        <v>182</v>
      </c>
      <c r="CU9" s="6">
        <v>1560</v>
      </c>
      <c r="CV9" s="6">
        <f t="shared" si="19"/>
        <v>342</v>
      </c>
      <c r="CW9" s="6"/>
      <c r="CX9" s="6"/>
      <c r="CY9" s="6"/>
      <c r="CZ9" s="6">
        <v>549</v>
      </c>
      <c r="DA9" s="6"/>
      <c r="DB9" s="6">
        <f t="shared" si="20"/>
        <v>367</v>
      </c>
      <c r="DC9" s="6">
        <v>301</v>
      </c>
      <c r="DD9" s="6">
        <v>600</v>
      </c>
      <c r="DE9" s="6">
        <f t="shared" si="21"/>
        <v>352</v>
      </c>
      <c r="DF9" s="6">
        <v>655</v>
      </c>
      <c r="DG9" s="6"/>
      <c r="DH9" s="6">
        <f t="shared" si="22"/>
        <v>354</v>
      </c>
      <c r="DI9" s="6">
        <v>1021</v>
      </c>
      <c r="DJ9" s="6"/>
      <c r="DK9" s="6">
        <f t="shared" si="23"/>
        <v>366</v>
      </c>
      <c r="DL9" s="6">
        <v>1389</v>
      </c>
      <c r="DM9" s="6"/>
      <c r="DN9" s="6">
        <f t="shared" si="24"/>
        <v>368</v>
      </c>
      <c r="DO9" s="6">
        <v>162</v>
      </c>
      <c r="DP9" s="6">
        <v>1560</v>
      </c>
      <c r="DQ9" s="6">
        <f t="shared" si="25"/>
        <v>333</v>
      </c>
    </row>
    <row r="10" spans="1:121">
      <c r="A10" s="6">
        <v>6</v>
      </c>
      <c r="B10" s="6">
        <v>51</v>
      </c>
      <c r="C10" s="8">
        <v>1561</v>
      </c>
      <c r="D10" s="8">
        <v>375</v>
      </c>
      <c r="E10" s="33" t="s">
        <v>69</v>
      </c>
      <c r="F10" s="33" t="s">
        <v>69</v>
      </c>
      <c r="G10" s="33" t="s">
        <v>69</v>
      </c>
      <c r="H10" s="33" t="s">
        <v>69</v>
      </c>
      <c r="I10" s="33" t="s">
        <v>69</v>
      </c>
      <c r="J10" s="33" t="s">
        <v>69</v>
      </c>
      <c r="K10" s="33" t="s">
        <v>69</v>
      </c>
      <c r="L10" s="33" t="s">
        <v>69</v>
      </c>
      <c r="M10" s="33" t="s">
        <v>69</v>
      </c>
      <c r="N10" s="33" t="s">
        <v>69</v>
      </c>
      <c r="O10" s="33" t="s">
        <v>69</v>
      </c>
      <c r="P10" s="33" t="s">
        <v>69</v>
      </c>
      <c r="Q10" s="33" t="s">
        <v>69</v>
      </c>
      <c r="R10" s="33" t="s">
        <v>69</v>
      </c>
      <c r="S10" s="148" t="s">
        <v>37</v>
      </c>
      <c r="T10" s="33" t="s">
        <v>37</v>
      </c>
      <c r="U10" s="33" t="s">
        <v>37</v>
      </c>
      <c r="V10" s="33" t="s">
        <v>37</v>
      </c>
      <c r="W10" s="33" t="s">
        <v>37</v>
      </c>
      <c r="X10" s="33" t="s">
        <v>37</v>
      </c>
      <c r="Y10" s="33" t="s">
        <v>37</v>
      </c>
      <c r="Z10" s="33" t="s">
        <v>37</v>
      </c>
      <c r="AA10" s="33" t="s">
        <v>37</v>
      </c>
      <c r="AB10" s="33" t="s">
        <v>37</v>
      </c>
      <c r="AC10" s="33" t="s">
        <v>37</v>
      </c>
      <c r="AD10" s="33" t="s">
        <v>37</v>
      </c>
      <c r="AE10" s="33" t="s">
        <v>37</v>
      </c>
      <c r="AF10" s="6">
        <v>425</v>
      </c>
      <c r="AG10" s="6"/>
      <c r="AH10" s="35">
        <f t="shared" si="0"/>
        <v>374</v>
      </c>
      <c r="AI10" s="35">
        <v>785</v>
      </c>
      <c r="AJ10" s="35"/>
      <c r="AK10" s="35">
        <f t="shared" si="1"/>
        <v>360</v>
      </c>
      <c r="AL10" s="6"/>
      <c r="AM10" s="6"/>
      <c r="AN10" s="35"/>
      <c r="AO10" s="6">
        <v>1160</v>
      </c>
      <c r="AP10" s="6"/>
      <c r="AQ10" s="34">
        <f t="shared" si="2"/>
        <v>375</v>
      </c>
      <c r="AR10" s="35">
        <v>1538</v>
      </c>
      <c r="AS10" s="35"/>
      <c r="AT10" s="35">
        <f t="shared" si="3"/>
        <v>378</v>
      </c>
      <c r="AU10" s="6">
        <v>349</v>
      </c>
      <c r="AV10" s="6">
        <v>1560</v>
      </c>
      <c r="AW10" s="35">
        <f t="shared" si="4"/>
        <v>371</v>
      </c>
      <c r="AX10" s="6">
        <v>727</v>
      </c>
      <c r="AY10" s="6"/>
      <c r="AZ10" s="35">
        <f t="shared" si="5"/>
        <v>378</v>
      </c>
      <c r="BA10" s="35">
        <v>1097</v>
      </c>
      <c r="BB10" s="35"/>
      <c r="BC10" s="35">
        <f t="shared" si="6"/>
        <v>370</v>
      </c>
      <c r="BD10" s="6">
        <v>1455</v>
      </c>
      <c r="BE10" s="6"/>
      <c r="BF10" s="35">
        <f t="shared" si="7"/>
        <v>358</v>
      </c>
      <c r="BG10" s="6"/>
      <c r="BH10" s="6"/>
      <c r="BI10" s="6"/>
      <c r="BJ10" s="6">
        <v>265</v>
      </c>
      <c r="BK10" s="6">
        <v>1560</v>
      </c>
      <c r="BL10" s="6">
        <f t="shared" si="8"/>
        <v>370</v>
      </c>
      <c r="BM10" s="6">
        <v>635</v>
      </c>
      <c r="BN10" s="6"/>
      <c r="BO10" s="6">
        <f t="shared" si="9"/>
        <v>370</v>
      </c>
      <c r="BP10" s="6">
        <v>1010</v>
      </c>
      <c r="BQ10" s="6"/>
      <c r="BR10" s="35">
        <f t="shared" si="10"/>
        <v>375</v>
      </c>
      <c r="BS10" s="6">
        <v>1382</v>
      </c>
      <c r="BT10" s="6"/>
      <c r="BU10" s="6">
        <f t="shared" si="11"/>
        <v>372</v>
      </c>
      <c r="BV10" s="6">
        <v>0</v>
      </c>
      <c r="BW10" s="6">
        <v>1443</v>
      </c>
      <c r="BX10" s="35">
        <f t="shared" si="12"/>
        <v>61</v>
      </c>
      <c r="BY10" s="6">
        <v>0</v>
      </c>
      <c r="BZ10" s="6"/>
      <c r="CA10" s="6">
        <f t="shared" si="13"/>
        <v>0</v>
      </c>
      <c r="CB10" s="6"/>
      <c r="CC10" s="6"/>
      <c r="CD10" s="6"/>
      <c r="CE10" s="6">
        <v>0</v>
      </c>
      <c r="CF10" s="6"/>
      <c r="CG10" s="6">
        <f t="shared" si="14"/>
        <v>0</v>
      </c>
      <c r="CH10" s="6">
        <v>285</v>
      </c>
      <c r="CI10" s="6"/>
      <c r="CJ10" s="6">
        <f t="shared" si="15"/>
        <v>285</v>
      </c>
      <c r="CK10" s="6">
        <v>645</v>
      </c>
      <c r="CL10" s="6"/>
      <c r="CM10" s="6">
        <f t="shared" si="16"/>
        <v>360</v>
      </c>
      <c r="CN10" s="6">
        <v>1022</v>
      </c>
      <c r="CO10" s="6"/>
      <c r="CP10" s="6">
        <f t="shared" si="17"/>
        <v>377</v>
      </c>
      <c r="CQ10" s="6">
        <v>1392</v>
      </c>
      <c r="CR10" s="6"/>
      <c r="CS10" s="6">
        <f t="shared" si="18"/>
        <v>370</v>
      </c>
      <c r="CT10" s="6">
        <v>184</v>
      </c>
      <c r="CU10" s="6">
        <v>1560</v>
      </c>
      <c r="CV10" s="6">
        <f t="shared" si="19"/>
        <v>352</v>
      </c>
      <c r="CW10" s="6"/>
      <c r="CX10" s="6"/>
      <c r="CY10" s="6"/>
      <c r="CZ10" s="6">
        <v>556</v>
      </c>
      <c r="DA10" s="6"/>
      <c r="DB10" s="6">
        <f t="shared" si="20"/>
        <v>372</v>
      </c>
      <c r="DC10" s="6">
        <v>916</v>
      </c>
      <c r="DD10" s="6"/>
      <c r="DE10" s="6">
        <f t="shared" si="21"/>
        <v>360</v>
      </c>
      <c r="DF10" s="6">
        <v>1284</v>
      </c>
      <c r="DG10" s="6"/>
      <c r="DH10" s="6">
        <f t="shared" si="22"/>
        <v>368</v>
      </c>
      <c r="DI10" s="6">
        <v>88</v>
      </c>
      <c r="DJ10" s="6">
        <v>1560</v>
      </c>
      <c r="DK10" s="6">
        <f t="shared" si="23"/>
        <v>364</v>
      </c>
      <c r="DL10" s="6">
        <v>454</v>
      </c>
      <c r="DM10" s="6"/>
      <c r="DN10" s="6">
        <f t="shared" si="24"/>
        <v>366</v>
      </c>
      <c r="DO10" s="6">
        <v>792</v>
      </c>
      <c r="DP10" s="6"/>
      <c r="DQ10" s="6">
        <f t="shared" si="25"/>
        <v>338</v>
      </c>
    </row>
    <row r="11" spans="1:121">
      <c r="A11" s="6">
        <v>7</v>
      </c>
      <c r="B11" s="6">
        <v>223</v>
      </c>
      <c r="C11" s="8">
        <v>1560</v>
      </c>
      <c r="D11" s="8">
        <v>368</v>
      </c>
      <c r="E11" s="33" t="s">
        <v>69</v>
      </c>
      <c r="F11" s="33" t="s">
        <v>69</v>
      </c>
      <c r="G11" s="148" t="s">
        <v>56</v>
      </c>
      <c r="H11" s="33" t="s">
        <v>56</v>
      </c>
      <c r="I11" s="33" t="s">
        <v>56</v>
      </c>
      <c r="J11" s="33" t="s">
        <v>56</v>
      </c>
      <c r="K11" s="33" t="s">
        <v>56</v>
      </c>
      <c r="L11" s="33" t="s">
        <v>56</v>
      </c>
      <c r="M11" s="33" t="s">
        <v>56</v>
      </c>
      <c r="N11" s="33" t="s">
        <v>56</v>
      </c>
      <c r="O11" s="33" t="s">
        <v>56</v>
      </c>
      <c r="P11" s="33" t="s">
        <v>56</v>
      </c>
      <c r="Q11" s="148" t="s">
        <v>37</v>
      </c>
      <c r="R11" s="33" t="s">
        <v>37</v>
      </c>
      <c r="S11" s="33" t="s">
        <v>37</v>
      </c>
      <c r="T11" s="33" t="s">
        <v>37</v>
      </c>
      <c r="U11" s="33" t="s">
        <v>37</v>
      </c>
      <c r="V11" s="33" t="s">
        <v>37</v>
      </c>
      <c r="W11" s="33" t="s">
        <v>37</v>
      </c>
      <c r="X11" s="33" t="s">
        <v>37</v>
      </c>
      <c r="Y11" s="33" t="s">
        <v>37</v>
      </c>
      <c r="Z11" s="33" t="s">
        <v>37</v>
      </c>
      <c r="AA11" s="33" t="s">
        <v>37</v>
      </c>
      <c r="AB11" s="33" t="s">
        <v>37</v>
      </c>
      <c r="AC11" s="33" t="s">
        <v>37</v>
      </c>
      <c r="AD11" s="33" t="s">
        <v>37</v>
      </c>
      <c r="AE11" s="33" t="s">
        <v>37</v>
      </c>
      <c r="AF11" s="6">
        <v>604</v>
      </c>
      <c r="AG11" s="35"/>
      <c r="AH11" s="35">
        <f t="shared" si="0"/>
        <v>381</v>
      </c>
      <c r="AI11" s="35">
        <v>250</v>
      </c>
      <c r="AJ11" s="35">
        <v>609</v>
      </c>
      <c r="AK11" s="35">
        <f t="shared" si="1"/>
        <v>255</v>
      </c>
      <c r="AL11" s="35"/>
      <c r="AM11" s="6"/>
      <c r="AN11" s="35"/>
      <c r="AO11" s="6">
        <v>595</v>
      </c>
      <c r="AP11" s="6"/>
      <c r="AQ11" s="34">
        <f t="shared" si="2"/>
        <v>345</v>
      </c>
      <c r="AR11" s="35">
        <v>343</v>
      </c>
      <c r="AS11" s="35">
        <v>600</v>
      </c>
      <c r="AT11" s="35">
        <f t="shared" si="3"/>
        <v>348</v>
      </c>
      <c r="AU11" s="6">
        <v>78</v>
      </c>
      <c r="AV11" s="6">
        <v>600</v>
      </c>
      <c r="AW11" s="35">
        <f t="shared" si="4"/>
        <v>335</v>
      </c>
      <c r="AX11" s="6">
        <v>429</v>
      </c>
      <c r="AY11" s="6"/>
      <c r="AZ11" s="35">
        <f t="shared" si="5"/>
        <v>351</v>
      </c>
      <c r="BA11" s="35">
        <v>178</v>
      </c>
      <c r="BB11" s="35">
        <v>600</v>
      </c>
      <c r="BC11" s="35">
        <f t="shared" si="6"/>
        <v>349</v>
      </c>
      <c r="BD11" s="6">
        <v>509</v>
      </c>
      <c r="BE11" s="6"/>
      <c r="BF11" s="35">
        <f t="shared" si="7"/>
        <v>331</v>
      </c>
      <c r="BG11" s="6"/>
      <c r="BH11" s="6"/>
      <c r="BI11" s="6"/>
      <c r="BJ11" s="6">
        <v>250</v>
      </c>
      <c r="BK11" s="6">
        <v>600</v>
      </c>
      <c r="BL11" s="6">
        <f t="shared" si="8"/>
        <v>341</v>
      </c>
      <c r="BM11" s="6">
        <v>590</v>
      </c>
      <c r="BN11" s="6"/>
      <c r="BO11" s="6">
        <f t="shared" si="9"/>
        <v>340</v>
      </c>
      <c r="BP11" s="6">
        <v>0</v>
      </c>
      <c r="BQ11" s="6">
        <v>629</v>
      </c>
      <c r="BR11" s="35">
        <f t="shared" si="10"/>
        <v>39</v>
      </c>
      <c r="BS11" s="6">
        <v>0</v>
      </c>
      <c r="BT11" s="6"/>
      <c r="BU11" s="6">
        <f t="shared" si="11"/>
        <v>0</v>
      </c>
      <c r="BV11" s="6">
        <v>0</v>
      </c>
      <c r="BW11" s="6"/>
      <c r="BX11" s="35">
        <f t="shared" si="12"/>
        <v>0</v>
      </c>
      <c r="BY11" s="6">
        <v>0</v>
      </c>
      <c r="BZ11" s="6"/>
      <c r="CA11" s="6">
        <f t="shared" si="13"/>
        <v>0</v>
      </c>
      <c r="CB11" s="6"/>
      <c r="CC11" s="6"/>
      <c r="CD11" s="6"/>
      <c r="CE11" s="6">
        <v>0</v>
      </c>
      <c r="CF11" s="6"/>
      <c r="CG11" s="6">
        <f t="shared" si="14"/>
        <v>0</v>
      </c>
      <c r="CH11" s="6">
        <v>256</v>
      </c>
      <c r="CI11" s="6"/>
      <c r="CJ11" s="6">
        <f t="shared" si="15"/>
        <v>256</v>
      </c>
      <c r="CK11" s="6">
        <v>609</v>
      </c>
      <c r="CL11" s="6"/>
      <c r="CM11" s="6">
        <f t="shared" si="16"/>
        <v>353</v>
      </c>
      <c r="CN11" s="6">
        <v>967</v>
      </c>
      <c r="CO11" s="6"/>
      <c r="CP11" s="6">
        <f t="shared" si="17"/>
        <v>358</v>
      </c>
      <c r="CQ11" s="6">
        <v>1329</v>
      </c>
      <c r="CR11" s="6"/>
      <c r="CS11" s="6">
        <f t="shared" si="18"/>
        <v>362</v>
      </c>
      <c r="CT11" s="6">
        <v>111</v>
      </c>
      <c r="CU11" s="6">
        <v>1560</v>
      </c>
      <c r="CV11" s="6">
        <f t="shared" si="19"/>
        <v>342</v>
      </c>
      <c r="CW11" s="6"/>
      <c r="CX11" s="6"/>
      <c r="CY11" s="6"/>
      <c r="CZ11" s="6">
        <v>461</v>
      </c>
      <c r="DA11" s="6"/>
      <c r="DB11" s="6">
        <f t="shared" si="20"/>
        <v>350</v>
      </c>
      <c r="DC11" s="6">
        <v>813</v>
      </c>
      <c r="DD11" s="6"/>
      <c r="DE11" s="6">
        <f t="shared" si="21"/>
        <v>352</v>
      </c>
      <c r="DF11" s="6">
        <v>1173</v>
      </c>
      <c r="DG11" s="6"/>
      <c r="DH11" s="6">
        <f t="shared" si="22"/>
        <v>360</v>
      </c>
      <c r="DI11" s="6">
        <v>1533</v>
      </c>
      <c r="DJ11" s="6"/>
      <c r="DK11" s="6">
        <f t="shared" si="23"/>
        <v>360</v>
      </c>
      <c r="DL11" s="6">
        <v>352</v>
      </c>
      <c r="DM11" s="6">
        <v>1545</v>
      </c>
      <c r="DN11" s="6">
        <f t="shared" si="24"/>
        <v>364</v>
      </c>
      <c r="DO11" s="6">
        <v>685</v>
      </c>
      <c r="DP11" s="6"/>
      <c r="DQ11" s="6">
        <f t="shared" si="25"/>
        <v>333</v>
      </c>
    </row>
    <row r="12" spans="1:121">
      <c r="A12" s="6">
        <v>8</v>
      </c>
      <c r="B12" s="6">
        <v>1007</v>
      </c>
      <c r="C12" s="6"/>
      <c r="D12" s="6">
        <v>370</v>
      </c>
      <c r="E12" s="33" t="s">
        <v>37</v>
      </c>
      <c r="F12" s="33" t="s">
        <v>37</v>
      </c>
      <c r="G12" s="33" t="s">
        <v>37</v>
      </c>
      <c r="H12" s="148" t="s">
        <v>124</v>
      </c>
      <c r="I12" s="33" t="s">
        <v>124</v>
      </c>
      <c r="J12" s="33" t="s">
        <v>124</v>
      </c>
      <c r="K12" s="33" t="s">
        <v>124</v>
      </c>
      <c r="L12" s="33" t="s">
        <v>124</v>
      </c>
      <c r="M12" s="33" t="s">
        <v>124</v>
      </c>
      <c r="N12" s="33" t="s">
        <v>124</v>
      </c>
      <c r="O12" s="33" t="s">
        <v>124</v>
      </c>
      <c r="P12" s="33" t="s">
        <v>124</v>
      </c>
      <c r="Q12" s="33" t="s">
        <v>124</v>
      </c>
      <c r="R12" s="33" t="s">
        <v>124</v>
      </c>
      <c r="S12" s="33" t="s">
        <v>124</v>
      </c>
      <c r="T12" s="33" t="s">
        <v>124</v>
      </c>
      <c r="U12" s="33" t="s">
        <v>124</v>
      </c>
      <c r="V12" s="33" t="s">
        <v>124</v>
      </c>
      <c r="W12" s="33" t="s">
        <v>124</v>
      </c>
      <c r="X12" s="33" t="s">
        <v>124</v>
      </c>
      <c r="Y12" s="33" t="s">
        <v>124</v>
      </c>
      <c r="Z12" s="33" t="s">
        <v>124</v>
      </c>
      <c r="AA12" s="33" t="s">
        <v>124</v>
      </c>
      <c r="AB12" s="33" t="s">
        <v>124</v>
      </c>
      <c r="AC12" s="33" t="s">
        <v>124</v>
      </c>
      <c r="AD12" s="33" t="s">
        <v>124</v>
      </c>
      <c r="AE12" s="33" t="s">
        <v>124</v>
      </c>
      <c r="AF12" s="35">
        <v>1384</v>
      </c>
      <c r="AG12" s="35"/>
      <c r="AH12" s="35">
        <f t="shared" si="0"/>
        <v>377</v>
      </c>
      <c r="AI12" s="35">
        <v>0</v>
      </c>
      <c r="AJ12" s="35">
        <v>1475</v>
      </c>
      <c r="AK12" s="35">
        <f t="shared" si="1"/>
        <v>91</v>
      </c>
      <c r="AL12" s="35"/>
      <c r="AM12" s="35"/>
      <c r="AN12" s="35"/>
      <c r="AO12" s="35">
        <v>163</v>
      </c>
      <c r="AP12" s="35"/>
      <c r="AQ12" s="34">
        <f t="shared" si="2"/>
        <v>163</v>
      </c>
      <c r="AR12" s="35">
        <v>404</v>
      </c>
      <c r="AS12" s="35"/>
      <c r="AT12" s="35">
        <f t="shared" si="3"/>
        <v>241</v>
      </c>
      <c r="AU12" s="6">
        <v>638</v>
      </c>
      <c r="AV12" s="6"/>
      <c r="AW12" s="35">
        <f t="shared" si="4"/>
        <v>234</v>
      </c>
      <c r="AX12" s="35">
        <v>875</v>
      </c>
      <c r="AY12" s="35"/>
      <c r="AZ12" s="35">
        <f t="shared" si="5"/>
        <v>237</v>
      </c>
      <c r="BA12" s="35">
        <v>1106</v>
      </c>
      <c r="BB12" s="35"/>
      <c r="BC12" s="35">
        <f t="shared" si="6"/>
        <v>231</v>
      </c>
      <c r="BD12" s="6">
        <v>1330</v>
      </c>
      <c r="BE12" s="6"/>
      <c r="BF12" s="35">
        <f t="shared" si="7"/>
        <v>224</v>
      </c>
      <c r="BG12" s="6"/>
      <c r="BH12" s="6"/>
      <c r="BI12" s="35"/>
      <c r="BJ12" s="6">
        <v>1563</v>
      </c>
      <c r="BK12" s="35"/>
      <c r="BL12" s="6">
        <f t="shared" si="8"/>
        <v>233</v>
      </c>
      <c r="BM12" s="6">
        <v>1794</v>
      </c>
      <c r="BN12" s="6"/>
      <c r="BO12" s="6">
        <f t="shared" si="9"/>
        <v>231</v>
      </c>
      <c r="BP12" s="6">
        <v>26</v>
      </c>
      <c r="BQ12" s="6">
        <v>2000</v>
      </c>
      <c r="BR12" s="35">
        <f t="shared" si="10"/>
        <v>232</v>
      </c>
      <c r="BS12" s="6">
        <v>249</v>
      </c>
      <c r="BT12" s="6"/>
      <c r="BU12" s="6">
        <f t="shared" si="11"/>
        <v>223</v>
      </c>
      <c r="BV12" s="6">
        <v>480</v>
      </c>
      <c r="BW12" s="6"/>
      <c r="BX12" s="35">
        <f t="shared" si="12"/>
        <v>231</v>
      </c>
      <c r="BY12" s="6">
        <v>7</v>
      </c>
      <c r="BZ12" s="35">
        <v>690</v>
      </c>
      <c r="CA12" s="6">
        <f t="shared" si="13"/>
        <v>217</v>
      </c>
      <c r="CB12" s="6"/>
      <c r="CC12" s="6"/>
      <c r="CD12" s="35"/>
      <c r="CE12" s="6">
        <v>239</v>
      </c>
      <c r="CF12" s="35"/>
      <c r="CG12" s="6">
        <f t="shared" si="14"/>
        <v>232</v>
      </c>
      <c r="CH12" s="6">
        <v>473</v>
      </c>
      <c r="CI12" s="6"/>
      <c r="CJ12" s="6">
        <f t="shared" si="15"/>
        <v>234</v>
      </c>
      <c r="CK12" s="6">
        <v>706</v>
      </c>
      <c r="CL12" s="6"/>
      <c r="CM12" s="6">
        <f t="shared" si="16"/>
        <v>233</v>
      </c>
      <c r="CN12" s="6">
        <v>940</v>
      </c>
      <c r="CO12" s="6"/>
      <c r="CP12" s="6">
        <f t="shared" si="17"/>
        <v>234</v>
      </c>
      <c r="CQ12" s="6">
        <v>1172</v>
      </c>
      <c r="CR12" s="6"/>
      <c r="CS12" s="6">
        <f t="shared" si="18"/>
        <v>232</v>
      </c>
      <c r="CT12" s="6">
        <v>1390</v>
      </c>
      <c r="CU12" s="6"/>
      <c r="CV12" s="6">
        <f t="shared" si="19"/>
        <v>218</v>
      </c>
      <c r="CW12" s="6"/>
      <c r="CX12" s="6"/>
      <c r="CY12" s="6"/>
      <c r="CZ12" s="6">
        <v>1621</v>
      </c>
      <c r="DA12" s="6"/>
      <c r="DB12" s="6">
        <f t="shared" si="20"/>
        <v>231</v>
      </c>
      <c r="DC12" s="6">
        <v>1848</v>
      </c>
      <c r="DD12" s="6"/>
      <c r="DE12" s="6">
        <f t="shared" si="21"/>
        <v>227</v>
      </c>
      <c r="DF12" s="6">
        <v>75</v>
      </c>
      <c r="DG12" s="6">
        <v>2000</v>
      </c>
      <c r="DH12" s="6">
        <f t="shared" si="22"/>
        <v>227</v>
      </c>
      <c r="DI12" s="6">
        <v>302</v>
      </c>
      <c r="DJ12" s="6"/>
      <c r="DK12" s="6">
        <f t="shared" si="23"/>
        <v>227</v>
      </c>
      <c r="DL12" s="6">
        <v>531</v>
      </c>
      <c r="DM12" s="6"/>
      <c r="DN12" s="6">
        <f t="shared" si="24"/>
        <v>229</v>
      </c>
      <c r="DO12" s="6">
        <v>742</v>
      </c>
      <c r="DP12" s="6"/>
      <c r="DQ12" s="6">
        <f t="shared" si="25"/>
        <v>211</v>
      </c>
    </row>
    <row r="13" spans="1:121">
      <c r="A13" s="6">
        <v>9</v>
      </c>
      <c r="B13" s="6">
        <v>313</v>
      </c>
      <c r="C13" s="6"/>
      <c r="D13" s="6">
        <v>313</v>
      </c>
      <c r="E13" s="148" t="s">
        <v>37</v>
      </c>
      <c r="F13" s="33" t="s">
        <v>37</v>
      </c>
      <c r="G13" s="148" t="s">
        <v>56</v>
      </c>
      <c r="H13" s="33" t="s">
        <v>56</v>
      </c>
      <c r="I13" s="33" t="s">
        <v>56</v>
      </c>
      <c r="J13" s="33" t="s">
        <v>56</v>
      </c>
      <c r="K13" s="33" t="s">
        <v>56</v>
      </c>
      <c r="L13" s="33" t="s">
        <v>56</v>
      </c>
      <c r="M13" s="33" t="s">
        <v>56</v>
      </c>
      <c r="N13" s="33" t="s">
        <v>56</v>
      </c>
      <c r="O13" s="33" t="s">
        <v>56</v>
      </c>
      <c r="P13" s="33" t="s">
        <v>56</v>
      </c>
      <c r="Q13" s="148" t="s">
        <v>37</v>
      </c>
      <c r="R13" s="33" t="s">
        <v>37</v>
      </c>
      <c r="S13" s="33" t="s">
        <v>37</v>
      </c>
      <c r="T13" s="33" t="s">
        <v>37</v>
      </c>
      <c r="U13" s="33" t="s">
        <v>37</v>
      </c>
      <c r="V13" s="33" t="s">
        <v>37</v>
      </c>
      <c r="W13" s="33" t="s">
        <v>37</v>
      </c>
      <c r="X13" s="33" t="s">
        <v>37</v>
      </c>
      <c r="Y13" s="33" t="s">
        <v>37</v>
      </c>
      <c r="Z13" s="33" t="s">
        <v>37</v>
      </c>
      <c r="AA13" s="33" t="s">
        <v>37</v>
      </c>
      <c r="AB13" s="148" t="s">
        <v>37</v>
      </c>
      <c r="AC13" s="33" t="s">
        <v>37</v>
      </c>
      <c r="AD13" s="33" t="s">
        <v>37</v>
      </c>
      <c r="AE13" s="33" t="s">
        <v>37</v>
      </c>
      <c r="AF13" s="35">
        <v>687</v>
      </c>
      <c r="AG13" s="35"/>
      <c r="AH13" s="35">
        <f t="shared" si="0"/>
        <v>374</v>
      </c>
      <c r="AI13" s="35">
        <v>177</v>
      </c>
      <c r="AJ13" s="35">
        <v>692</v>
      </c>
      <c r="AK13" s="35">
        <f t="shared" si="1"/>
        <v>182</v>
      </c>
      <c r="AL13" s="35"/>
      <c r="AM13" s="35"/>
      <c r="AN13" s="35"/>
      <c r="AO13" s="6">
        <v>506</v>
      </c>
      <c r="AP13" s="6"/>
      <c r="AQ13" s="34">
        <f t="shared" si="2"/>
        <v>329</v>
      </c>
      <c r="AR13" s="35">
        <v>243</v>
      </c>
      <c r="AS13" s="35">
        <v>600</v>
      </c>
      <c r="AT13" s="35">
        <f t="shared" si="3"/>
        <v>337</v>
      </c>
      <c r="AU13" s="6">
        <v>594</v>
      </c>
      <c r="AV13" s="6"/>
      <c r="AW13" s="35">
        <f t="shared" si="4"/>
        <v>351</v>
      </c>
      <c r="AX13" s="6">
        <v>343</v>
      </c>
      <c r="AY13" s="6">
        <v>600</v>
      </c>
      <c r="AZ13" s="35">
        <f t="shared" si="5"/>
        <v>349</v>
      </c>
      <c r="BA13" s="6">
        <v>95</v>
      </c>
      <c r="BB13" s="6">
        <v>600</v>
      </c>
      <c r="BC13" s="35">
        <f t="shared" si="6"/>
        <v>352</v>
      </c>
      <c r="BD13" s="6">
        <v>435</v>
      </c>
      <c r="BE13" s="6"/>
      <c r="BF13" s="35">
        <f t="shared" si="7"/>
        <v>340</v>
      </c>
      <c r="BG13" s="6"/>
      <c r="BH13" s="6"/>
      <c r="BI13" s="35"/>
      <c r="BJ13" s="6">
        <v>188</v>
      </c>
      <c r="BK13" s="35">
        <v>600</v>
      </c>
      <c r="BL13" s="6">
        <f t="shared" si="8"/>
        <v>353</v>
      </c>
      <c r="BM13" s="6">
        <v>535</v>
      </c>
      <c r="BN13" s="6"/>
      <c r="BO13" s="6">
        <f t="shared" si="9"/>
        <v>347</v>
      </c>
      <c r="BP13" s="6">
        <v>0</v>
      </c>
      <c r="BQ13" s="6">
        <v>635</v>
      </c>
      <c r="BR13" s="35">
        <f t="shared" si="10"/>
        <v>100</v>
      </c>
      <c r="BS13" s="6">
        <v>0</v>
      </c>
      <c r="BT13" s="6"/>
      <c r="BU13" s="6">
        <f t="shared" si="11"/>
        <v>0</v>
      </c>
      <c r="BV13" s="6">
        <v>0</v>
      </c>
      <c r="BW13" s="6"/>
      <c r="BX13" s="35">
        <f t="shared" si="12"/>
        <v>0</v>
      </c>
      <c r="BY13" s="6">
        <v>0</v>
      </c>
      <c r="BZ13" s="35"/>
      <c r="CA13" s="6">
        <f t="shared" si="13"/>
        <v>0</v>
      </c>
      <c r="CB13" s="6"/>
      <c r="CC13" s="6"/>
      <c r="CD13" s="35"/>
      <c r="CE13" s="6">
        <v>0</v>
      </c>
      <c r="CF13" s="35"/>
      <c r="CG13" s="6">
        <f t="shared" si="14"/>
        <v>0</v>
      </c>
      <c r="CH13" s="6">
        <v>273</v>
      </c>
      <c r="CI13" s="6"/>
      <c r="CJ13" s="6">
        <f t="shared" si="15"/>
        <v>273</v>
      </c>
      <c r="CK13" s="6">
        <v>647</v>
      </c>
      <c r="CL13" s="6"/>
      <c r="CM13" s="6">
        <f t="shared" si="16"/>
        <v>374</v>
      </c>
      <c r="CN13" s="6">
        <v>1025</v>
      </c>
      <c r="CO13" s="6"/>
      <c r="CP13" s="6">
        <f t="shared" si="17"/>
        <v>378</v>
      </c>
      <c r="CQ13" s="6">
        <v>1400</v>
      </c>
      <c r="CR13" s="6"/>
      <c r="CS13" s="6">
        <f t="shared" si="18"/>
        <v>375</v>
      </c>
      <c r="CT13" s="6">
        <v>35</v>
      </c>
      <c r="CU13" s="6">
        <f>1560+151</f>
        <v>1711</v>
      </c>
      <c r="CV13" s="6">
        <f t="shared" si="19"/>
        <v>346</v>
      </c>
      <c r="CW13" s="6"/>
      <c r="CX13" s="6"/>
      <c r="CY13" s="6"/>
      <c r="CZ13" s="6">
        <v>413</v>
      </c>
      <c r="DA13" s="6"/>
      <c r="DB13" s="6">
        <f t="shared" si="20"/>
        <v>378</v>
      </c>
      <c r="DC13" s="6">
        <v>787</v>
      </c>
      <c r="DD13" s="6"/>
      <c r="DE13" s="6">
        <f t="shared" si="21"/>
        <v>374</v>
      </c>
      <c r="DF13" s="6">
        <v>35</v>
      </c>
      <c r="DG13" s="6">
        <f>790+275</f>
        <v>1065</v>
      </c>
      <c r="DH13" s="6">
        <f t="shared" si="22"/>
        <v>313</v>
      </c>
      <c r="DI13" s="6">
        <v>276</v>
      </c>
      <c r="DJ13" s="6">
        <v>128</v>
      </c>
      <c r="DK13" s="6">
        <f t="shared" si="23"/>
        <v>369</v>
      </c>
      <c r="DL13" s="6">
        <v>60</v>
      </c>
      <c r="DM13" s="6">
        <v>569</v>
      </c>
      <c r="DN13" s="6">
        <f t="shared" si="24"/>
        <v>353</v>
      </c>
      <c r="DO13" s="6">
        <v>403</v>
      </c>
      <c r="DP13" s="6"/>
      <c r="DQ13" s="6">
        <f t="shared" si="25"/>
        <v>343</v>
      </c>
    </row>
    <row r="14" spans="1:121">
      <c r="A14" s="6">
        <v>10</v>
      </c>
      <c r="B14" s="6">
        <v>709</v>
      </c>
      <c r="C14" s="6"/>
      <c r="D14" s="6">
        <v>362</v>
      </c>
      <c r="E14" s="33" t="s">
        <v>37</v>
      </c>
      <c r="F14" s="33" t="s">
        <v>37</v>
      </c>
      <c r="G14" s="33" t="s">
        <v>37</v>
      </c>
      <c r="H14" s="33" t="s">
        <v>37</v>
      </c>
      <c r="I14" s="33" t="s">
        <v>37</v>
      </c>
      <c r="J14" s="33" t="s">
        <v>37</v>
      </c>
      <c r="K14" s="33" t="s">
        <v>37</v>
      </c>
      <c r="L14" s="33" t="s">
        <v>37</v>
      </c>
      <c r="M14" s="33" t="s">
        <v>37</v>
      </c>
      <c r="N14" s="148" t="s">
        <v>37</v>
      </c>
      <c r="O14" s="33" t="s">
        <v>37</v>
      </c>
      <c r="P14" s="33" t="s">
        <v>37</v>
      </c>
      <c r="Q14" s="33" t="s">
        <v>37</v>
      </c>
      <c r="R14" s="33" t="s">
        <v>37</v>
      </c>
      <c r="S14" s="33" t="s">
        <v>37</v>
      </c>
      <c r="T14" s="33" t="s">
        <v>37</v>
      </c>
      <c r="U14" s="33" t="s">
        <v>37</v>
      </c>
      <c r="V14" s="33" t="s">
        <v>37</v>
      </c>
      <c r="W14" s="33" t="s">
        <v>37</v>
      </c>
      <c r="X14" s="33" t="s">
        <v>37</v>
      </c>
      <c r="Y14" s="33" t="s">
        <v>37</v>
      </c>
      <c r="Z14" s="33" t="s">
        <v>37</v>
      </c>
      <c r="AA14" s="33" t="s">
        <v>37</v>
      </c>
      <c r="AB14" s="33" t="s">
        <v>37</v>
      </c>
      <c r="AC14" s="33" t="s">
        <v>37</v>
      </c>
      <c r="AD14" s="33" t="s">
        <v>37</v>
      </c>
      <c r="AE14" s="33" t="s">
        <v>37</v>
      </c>
      <c r="AF14" s="6">
        <v>1092</v>
      </c>
      <c r="AG14" s="6"/>
      <c r="AH14" s="35">
        <f t="shared" si="0"/>
        <v>383</v>
      </c>
      <c r="AI14" s="35">
        <v>1446</v>
      </c>
      <c r="AJ14" s="35"/>
      <c r="AK14" s="35">
        <f t="shared" si="1"/>
        <v>354</v>
      </c>
      <c r="AL14" s="6"/>
      <c r="AM14" s="6"/>
      <c r="AN14" s="35"/>
      <c r="AO14" s="6">
        <v>255</v>
      </c>
      <c r="AP14" s="6">
        <v>1561</v>
      </c>
      <c r="AQ14" s="34">
        <f t="shared" si="2"/>
        <v>370</v>
      </c>
      <c r="AR14" s="35">
        <v>627</v>
      </c>
      <c r="AS14" s="35"/>
      <c r="AT14" s="35">
        <f t="shared" si="3"/>
        <v>372</v>
      </c>
      <c r="AU14" s="6">
        <v>991</v>
      </c>
      <c r="AV14" s="6"/>
      <c r="AW14" s="35">
        <f t="shared" si="4"/>
        <v>364</v>
      </c>
      <c r="AX14" s="6">
        <v>1186</v>
      </c>
      <c r="AY14" s="6"/>
      <c r="AZ14" s="35">
        <f t="shared" si="5"/>
        <v>195</v>
      </c>
      <c r="BA14" s="35">
        <v>0</v>
      </c>
      <c r="BB14" s="35">
        <v>1388</v>
      </c>
      <c r="BC14" s="35">
        <f t="shared" si="6"/>
        <v>202</v>
      </c>
      <c r="BD14" s="6">
        <v>0</v>
      </c>
      <c r="BE14" s="6"/>
      <c r="BF14" s="35">
        <f t="shared" si="7"/>
        <v>0</v>
      </c>
      <c r="BG14" s="6"/>
      <c r="BH14" s="6"/>
      <c r="BI14" s="6"/>
      <c r="BJ14" s="6">
        <v>0</v>
      </c>
      <c r="BK14" s="6"/>
      <c r="BL14" s="6">
        <f t="shared" si="8"/>
        <v>0</v>
      </c>
      <c r="BM14" s="6">
        <v>0</v>
      </c>
      <c r="BN14" s="6"/>
      <c r="BO14" s="6">
        <f t="shared" si="9"/>
        <v>0</v>
      </c>
      <c r="BP14" s="6">
        <v>0</v>
      </c>
      <c r="BQ14" s="6"/>
      <c r="BR14" s="35">
        <f t="shared" si="10"/>
        <v>0</v>
      </c>
      <c r="BS14" s="6">
        <v>0</v>
      </c>
      <c r="BT14" s="6"/>
      <c r="BU14" s="6">
        <f t="shared" si="11"/>
        <v>0</v>
      </c>
      <c r="BV14" s="6">
        <v>0</v>
      </c>
      <c r="BW14" s="6"/>
      <c r="BX14" s="35">
        <f t="shared" si="12"/>
        <v>0</v>
      </c>
      <c r="BY14" s="6">
        <v>0</v>
      </c>
      <c r="BZ14" s="6"/>
      <c r="CA14" s="6">
        <f t="shared" si="13"/>
        <v>0</v>
      </c>
      <c r="CB14" s="6"/>
      <c r="CC14" s="6"/>
      <c r="CD14" s="6"/>
      <c r="CE14" s="6">
        <v>0</v>
      </c>
      <c r="CF14" s="6"/>
      <c r="CG14" s="6">
        <f t="shared" si="14"/>
        <v>0</v>
      </c>
      <c r="CH14" s="6">
        <v>279</v>
      </c>
      <c r="CI14" s="6"/>
      <c r="CJ14" s="6">
        <f t="shared" si="15"/>
        <v>279</v>
      </c>
      <c r="CK14" s="6">
        <v>256</v>
      </c>
      <c r="CL14" s="6">
        <v>373</v>
      </c>
      <c r="CM14" s="6">
        <f t="shared" si="16"/>
        <v>350</v>
      </c>
      <c r="CN14" s="6">
        <v>621</v>
      </c>
      <c r="CO14" s="6"/>
      <c r="CP14" s="6">
        <f t="shared" si="17"/>
        <v>365</v>
      </c>
      <c r="CQ14" s="6">
        <v>986</v>
      </c>
      <c r="CR14" s="6"/>
      <c r="CS14" s="6">
        <f t="shared" si="18"/>
        <v>365</v>
      </c>
      <c r="CT14" s="6">
        <v>1328</v>
      </c>
      <c r="CU14" s="6"/>
      <c r="CV14" s="6">
        <f t="shared" si="19"/>
        <v>342</v>
      </c>
      <c r="CW14" s="6"/>
      <c r="CX14" s="6"/>
      <c r="CY14" s="6"/>
      <c r="CZ14" s="6">
        <v>129</v>
      </c>
      <c r="DA14" s="6">
        <v>1560</v>
      </c>
      <c r="DB14" s="6">
        <f t="shared" si="20"/>
        <v>361</v>
      </c>
      <c r="DC14" s="6">
        <v>493</v>
      </c>
      <c r="DD14" s="6"/>
      <c r="DE14" s="6">
        <f t="shared" si="21"/>
        <v>364</v>
      </c>
      <c r="DF14" s="6">
        <v>862</v>
      </c>
      <c r="DG14" s="6"/>
      <c r="DH14" s="6">
        <f t="shared" si="22"/>
        <v>369</v>
      </c>
      <c r="DI14" s="6">
        <v>1227</v>
      </c>
      <c r="DJ14" s="6"/>
      <c r="DK14" s="6">
        <f t="shared" si="23"/>
        <v>365</v>
      </c>
      <c r="DL14" s="6">
        <v>32</v>
      </c>
      <c r="DM14" s="6">
        <v>1561</v>
      </c>
      <c r="DN14" s="6">
        <f t="shared" si="24"/>
        <v>366</v>
      </c>
      <c r="DO14" s="6">
        <v>372</v>
      </c>
      <c r="DP14" s="6"/>
      <c r="DQ14" s="6">
        <f t="shared" si="25"/>
        <v>340</v>
      </c>
    </row>
    <row r="15" spans="1:121">
      <c r="A15" s="6">
        <v>11</v>
      </c>
      <c r="B15" s="6">
        <v>644</v>
      </c>
      <c r="C15" s="6"/>
      <c r="D15" s="6">
        <v>373</v>
      </c>
      <c r="E15" s="33" t="s">
        <v>37</v>
      </c>
      <c r="F15" s="33" t="s">
        <v>37</v>
      </c>
      <c r="G15" s="33" t="s">
        <v>37</v>
      </c>
      <c r="H15" s="33" t="s">
        <v>37</v>
      </c>
      <c r="I15" s="33" t="s">
        <v>37</v>
      </c>
      <c r="J15" s="33" t="s">
        <v>37</v>
      </c>
      <c r="K15" s="167" t="s">
        <v>37</v>
      </c>
      <c r="L15" s="169" t="s">
        <v>37</v>
      </c>
      <c r="M15" s="169" t="s">
        <v>37</v>
      </c>
      <c r="N15" s="169" t="s">
        <v>37</v>
      </c>
      <c r="O15" s="169" t="s">
        <v>37</v>
      </c>
      <c r="P15" s="169" t="s">
        <v>37</v>
      </c>
      <c r="Q15" s="169" t="s">
        <v>37</v>
      </c>
      <c r="R15" s="169" t="s">
        <v>37</v>
      </c>
      <c r="S15" s="169" t="s">
        <v>37</v>
      </c>
      <c r="T15" s="169" t="s">
        <v>37</v>
      </c>
      <c r="U15" s="169" t="s">
        <v>37</v>
      </c>
      <c r="V15" s="169" t="s">
        <v>37</v>
      </c>
      <c r="W15" s="169" t="s">
        <v>37</v>
      </c>
      <c r="X15" s="169" t="s">
        <v>37</v>
      </c>
      <c r="Y15" s="169" t="s">
        <v>37</v>
      </c>
      <c r="Z15" s="169" t="s">
        <v>37</v>
      </c>
      <c r="AA15" s="169" t="s">
        <v>37</v>
      </c>
      <c r="AB15" s="169" t="s">
        <v>37</v>
      </c>
      <c r="AC15" s="169" t="s">
        <v>37</v>
      </c>
      <c r="AD15" s="169" t="s">
        <v>37</v>
      </c>
      <c r="AE15" s="169" t="s">
        <v>37</v>
      </c>
      <c r="AF15" s="6">
        <v>1019</v>
      </c>
      <c r="AG15" s="6"/>
      <c r="AH15" s="35">
        <f t="shared" si="0"/>
        <v>375</v>
      </c>
      <c r="AI15" s="35">
        <v>1386</v>
      </c>
      <c r="AJ15" s="35"/>
      <c r="AK15" s="35">
        <f t="shared" si="1"/>
        <v>367</v>
      </c>
      <c r="AL15" s="6"/>
      <c r="AM15" s="6"/>
      <c r="AN15" s="35"/>
      <c r="AO15" s="6">
        <v>202</v>
      </c>
      <c r="AP15" s="6">
        <v>1561</v>
      </c>
      <c r="AQ15" s="34">
        <f t="shared" si="2"/>
        <v>377</v>
      </c>
      <c r="AR15" s="35">
        <v>582</v>
      </c>
      <c r="AS15" s="35"/>
      <c r="AT15" s="35">
        <f t="shared" si="3"/>
        <v>380</v>
      </c>
      <c r="AU15" s="6">
        <v>961</v>
      </c>
      <c r="AV15" s="6"/>
      <c r="AW15" s="35">
        <f t="shared" si="4"/>
        <v>379</v>
      </c>
      <c r="AX15" s="6">
        <v>290</v>
      </c>
      <c r="AY15" s="6">
        <v>975</v>
      </c>
      <c r="AZ15" s="35">
        <f t="shared" si="5"/>
        <v>304</v>
      </c>
      <c r="BA15" s="6">
        <v>680</v>
      </c>
      <c r="BB15" s="6"/>
      <c r="BC15" s="35">
        <f t="shared" si="6"/>
        <v>390</v>
      </c>
      <c r="BD15" s="6">
        <v>1058</v>
      </c>
      <c r="BE15" s="6"/>
      <c r="BF15" s="35">
        <f t="shared" si="7"/>
        <v>378</v>
      </c>
      <c r="BG15" s="6"/>
      <c r="BH15" s="6"/>
      <c r="BI15" s="35"/>
      <c r="BJ15" s="6">
        <v>1157</v>
      </c>
      <c r="BK15" s="35"/>
      <c r="BL15" s="6">
        <f t="shared" si="8"/>
        <v>99</v>
      </c>
      <c r="BM15" s="6">
        <v>1157</v>
      </c>
      <c r="BN15" s="6"/>
      <c r="BO15" s="6">
        <f t="shared" si="9"/>
        <v>0</v>
      </c>
      <c r="BP15" s="6">
        <v>0</v>
      </c>
      <c r="BQ15" s="6">
        <v>1157</v>
      </c>
      <c r="BR15" s="35">
        <f t="shared" si="10"/>
        <v>0</v>
      </c>
      <c r="BS15" s="6">
        <v>0</v>
      </c>
      <c r="BT15" s="6"/>
      <c r="BU15" s="6">
        <f t="shared" si="11"/>
        <v>0</v>
      </c>
      <c r="BV15" s="6">
        <v>0</v>
      </c>
      <c r="BW15" s="6"/>
      <c r="BX15" s="35">
        <f t="shared" si="12"/>
        <v>0</v>
      </c>
      <c r="BY15" s="6">
        <v>0</v>
      </c>
      <c r="BZ15" s="35"/>
      <c r="CA15" s="6">
        <f t="shared" si="13"/>
        <v>0</v>
      </c>
      <c r="CB15" s="6"/>
      <c r="CC15" s="6"/>
      <c r="CD15" s="35"/>
      <c r="CE15" s="6">
        <v>0</v>
      </c>
      <c r="CF15" s="35"/>
      <c r="CG15" s="6">
        <f t="shared" si="14"/>
        <v>0</v>
      </c>
      <c r="CH15" s="6">
        <v>229</v>
      </c>
      <c r="CI15" s="6"/>
      <c r="CJ15" s="6">
        <f t="shared" si="15"/>
        <v>229</v>
      </c>
      <c r="CK15" s="6">
        <v>574</v>
      </c>
      <c r="CL15" s="6"/>
      <c r="CM15" s="6">
        <f t="shared" si="16"/>
        <v>345</v>
      </c>
      <c r="CN15" s="6">
        <v>932</v>
      </c>
      <c r="CO15" s="6"/>
      <c r="CP15" s="6">
        <f t="shared" si="17"/>
        <v>358</v>
      </c>
      <c r="CQ15" s="6">
        <v>1289</v>
      </c>
      <c r="CR15" s="6"/>
      <c r="CS15" s="6">
        <f t="shared" si="18"/>
        <v>357</v>
      </c>
      <c r="CT15" s="6">
        <v>57</v>
      </c>
      <c r="CU15" s="6">
        <v>1560</v>
      </c>
      <c r="CV15" s="6">
        <f t="shared" si="19"/>
        <v>328</v>
      </c>
      <c r="CW15" s="6"/>
      <c r="CX15" s="6"/>
      <c r="CY15" s="6"/>
      <c r="CZ15" s="6">
        <v>414</v>
      </c>
      <c r="DA15" s="6"/>
      <c r="DB15" s="6">
        <f t="shared" si="20"/>
        <v>357</v>
      </c>
      <c r="DC15" s="6">
        <v>768</v>
      </c>
      <c r="DD15" s="6"/>
      <c r="DE15" s="6">
        <f t="shared" si="21"/>
        <v>354</v>
      </c>
      <c r="DF15" s="6">
        <v>357</v>
      </c>
      <c r="DG15" s="6">
        <v>772</v>
      </c>
      <c r="DH15" s="6">
        <f t="shared" si="22"/>
        <v>361</v>
      </c>
      <c r="DI15" s="6">
        <v>709</v>
      </c>
      <c r="DJ15" s="6"/>
      <c r="DK15" s="6">
        <f t="shared" si="23"/>
        <v>352</v>
      </c>
      <c r="DL15" s="6">
        <v>1070</v>
      </c>
      <c r="DM15" s="6"/>
      <c r="DN15" s="6">
        <f t="shared" si="24"/>
        <v>361</v>
      </c>
      <c r="DO15" s="6">
        <v>1400</v>
      </c>
      <c r="DP15" s="6"/>
      <c r="DQ15" s="6">
        <f t="shared" si="25"/>
        <v>330</v>
      </c>
    </row>
    <row r="16" spans="1:121">
      <c r="A16" s="6">
        <v>12</v>
      </c>
      <c r="B16" s="6">
        <v>643</v>
      </c>
      <c r="C16" s="6"/>
      <c r="D16" s="6">
        <v>373</v>
      </c>
      <c r="E16" s="33" t="s">
        <v>37</v>
      </c>
      <c r="F16" s="33" t="s">
        <v>37</v>
      </c>
      <c r="G16" s="33" t="s">
        <v>37</v>
      </c>
      <c r="H16" s="33" t="s">
        <v>37</v>
      </c>
      <c r="I16" s="33" t="s">
        <v>37</v>
      </c>
      <c r="J16" s="33" t="s">
        <v>37</v>
      </c>
      <c r="K16" s="167" t="s">
        <v>37</v>
      </c>
      <c r="L16" s="169" t="s">
        <v>37</v>
      </c>
      <c r="M16" s="169" t="s">
        <v>37</v>
      </c>
      <c r="N16" s="169" t="s">
        <v>37</v>
      </c>
      <c r="O16" s="169" t="s">
        <v>37</v>
      </c>
      <c r="P16" s="169" t="s">
        <v>37</v>
      </c>
      <c r="Q16" s="169" t="s">
        <v>37</v>
      </c>
      <c r="R16" s="169" t="s">
        <v>37</v>
      </c>
      <c r="S16" s="169" t="s">
        <v>37</v>
      </c>
      <c r="T16" s="169" t="s">
        <v>37</v>
      </c>
      <c r="U16" s="169" t="s">
        <v>37</v>
      </c>
      <c r="V16" s="169" t="s">
        <v>37</v>
      </c>
      <c r="W16" s="169" t="s">
        <v>37</v>
      </c>
      <c r="X16" s="169" t="s">
        <v>37</v>
      </c>
      <c r="Y16" s="169" t="s">
        <v>37</v>
      </c>
      <c r="Z16" s="169" t="s">
        <v>37</v>
      </c>
      <c r="AA16" s="169" t="s">
        <v>37</v>
      </c>
      <c r="AB16" s="169" t="s">
        <v>37</v>
      </c>
      <c r="AC16" s="169" t="s">
        <v>37</v>
      </c>
      <c r="AD16" s="169" t="s">
        <v>37</v>
      </c>
      <c r="AE16" s="169" t="s">
        <v>37</v>
      </c>
      <c r="AF16" s="35">
        <v>1022</v>
      </c>
      <c r="AG16" s="35"/>
      <c r="AH16" s="35">
        <f t="shared" si="0"/>
        <v>379</v>
      </c>
      <c r="AI16" s="35">
        <v>1361</v>
      </c>
      <c r="AJ16" s="35"/>
      <c r="AK16" s="35">
        <f t="shared" si="1"/>
        <v>339</v>
      </c>
      <c r="AL16" s="6"/>
      <c r="AM16" s="35"/>
      <c r="AN16" s="35"/>
      <c r="AO16" s="6">
        <v>187</v>
      </c>
      <c r="AP16" s="6">
        <v>1561</v>
      </c>
      <c r="AQ16" s="34">
        <f t="shared" si="2"/>
        <v>387</v>
      </c>
      <c r="AR16" s="35">
        <v>578</v>
      </c>
      <c r="AS16" s="35"/>
      <c r="AT16" s="35">
        <f t="shared" si="3"/>
        <v>391</v>
      </c>
      <c r="AU16" s="6">
        <v>953</v>
      </c>
      <c r="AV16" s="6"/>
      <c r="AW16" s="35">
        <f t="shared" si="4"/>
        <v>375</v>
      </c>
      <c r="AX16" s="6">
        <v>273</v>
      </c>
      <c r="AY16" s="6">
        <v>960</v>
      </c>
      <c r="AZ16" s="35">
        <f t="shared" si="5"/>
        <v>280</v>
      </c>
      <c r="BA16" s="6">
        <v>665</v>
      </c>
      <c r="BB16" s="6"/>
      <c r="BC16" s="35">
        <f t="shared" si="6"/>
        <v>392</v>
      </c>
      <c r="BD16" s="6">
        <v>1032</v>
      </c>
      <c r="BE16" s="6"/>
      <c r="BF16" s="35">
        <f t="shared" si="7"/>
        <v>367</v>
      </c>
      <c r="BG16" s="6"/>
      <c r="BH16" s="6"/>
      <c r="BI16" s="35"/>
      <c r="BJ16" s="6">
        <v>1130</v>
      </c>
      <c r="BK16" s="35"/>
      <c r="BL16" s="6">
        <f t="shared" si="8"/>
        <v>98</v>
      </c>
      <c r="BM16" s="6">
        <v>1130</v>
      </c>
      <c r="BN16" s="6"/>
      <c r="BO16" s="6">
        <f t="shared" si="9"/>
        <v>0</v>
      </c>
      <c r="BP16" s="6">
        <v>0</v>
      </c>
      <c r="BQ16" s="6">
        <v>1130</v>
      </c>
      <c r="BR16" s="35">
        <f t="shared" si="10"/>
        <v>0</v>
      </c>
      <c r="BS16" s="6">
        <v>0</v>
      </c>
      <c r="BT16" s="6"/>
      <c r="BU16" s="6">
        <f t="shared" si="11"/>
        <v>0</v>
      </c>
      <c r="BV16" s="6">
        <v>0</v>
      </c>
      <c r="BW16" s="6"/>
      <c r="BX16" s="35">
        <f t="shared" si="12"/>
        <v>0</v>
      </c>
      <c r="BY16" s="6">
        <v>0</v>
      </c>
      <c r="BZ16" s="35"/>
      <c r="CA16" s="6">
        <f t="shared" si="13"/>
        <v>0</v>
      </c>
      <c r="CB16" s="6"/>
      <c r="CC16" s="6"/>
      <c r="CD16" s="35"/>
      <c r="CE16" s="6">
        <v>0</v>
      </c>
      <c r="CF16" s="35"/>
      <c r="CG16" s="6">
        <f t="shared" si="14"/>
        <v>0</v>
      </c>
      <c r="CH16" s="6">
        <v>282</v>
      </c>
      <c r="CI16" s="6"/>
      <c r="CJ16" s="6">
        <f t="shared" si="15"/>
        <v>282</v>
      </c>
      <c r="CK16" s="6">
        <v>643</v>
      </c>
      <c r="CL16" s="6"/>
      <c r="CM16" s="6">
        <f t="shared" si="16"/>
        <v>361</v>
      </c>
      <c r="CN16" s="6">
        <v>1013</v>
      </c>
      <c r="CO16" s="6"/>
      <c r="CP16" s="6">
        <f t="shared" si="17"/>
        <v>370</v>
      </c>
      <c r="CQ16" s="6">
        <v>336</v>
      </c>
      <c r="CR16" s="6">
        <v>1035</v>
      </c>
      <c r="CS16" s="6">
        <f t="shared" si="18"/>
        <v>358</v>
      </c>
      <c r="CT16" s="6">
        <v>217</v>
      </c>
      <c r="CU16" s="6">
        <v>431</v>
      </c>
      <c r="CV16" s="6">
        <f t="shared" si="19"/>
        <v>312</v>
      </c>
      <c r="CW16" s="6"/>
      <c r="CX16" s="6"/>
      <c r="CY16" s="6"/>
      <c r="CZ16" s="6">
        <v>593</v>
      </c>
      <c r="DA16" s="6"/>
      <c r="DB16" s="6">
        <f t="shared" si="20"/>
        <v>376</v>
      </c>
      <c r="DC16" s="6">
        <v>963</v>
      </c>
      <c r="DD16" s="6"/>
      <c r="DE16" s="6">
        <f t="shared" si="21"/>
        <v>370</v>
      </c>
      <c r="DF16" s="6">
        <v>1334</v>
      </c>
      <c r="DG16" s="6"/>
      <c r="DH16" s="6">
        <f t="shared" si="22"/>
        <v>371</v>
      </c>
      <c r="DI16" s="6">
        <v>129</v>
      </c>
      <c r="DJ16" s="6">
        <v>1560</v>
      </c>
      <c r="DK16" s="6">
        <f t="shared" si="23"/>
        <v>355</v>
      </c>
      <c r="DL16" s="6">
        <v>499</v>
      </c>
      <c r="DM16" s="6"/>
      <c r="DN16" s="6">
        <f t="shared" si="24"/>
        <v>370</v>
      </c>
      <c r="DO16" s="6">
        <v>838</v>
      </c>
      <c r="DP16" s="6"/>
      <c r="DQ16" s="6">
        <f t="shared" si="25"/>
        <v>339</v>
      </c>
    </row>
    <row r="17" spans="1:121">
      <c r="A17" s="6">
        <v>13</v>
      </c>
      <c r="B17" s="6">
        <v>289</v>
      </c>
      <c r="C17" s="6">
        <v>1412</v>
      </c>
      <c r="D17" s="6">
        <v>317</v>
      </c>
      <c r="E17" s="148" t="s">
        <v>98</v>
      </c>
      <c r="F17" s="33" t="s">
        <v>98</v>
      </c>
      <c r="G17" s="33" t="s">
        <v>98</v>
      </c>
      <c r="H17" s="33" t="s">
        <v>98</v>
      </c>
      <c r="I17" s="33" t="s">
        <v>98</v>
      </c>
      <c r="J17" s="33" t="s">
        <v>98</v>
      </c>
      <c r="K17" s="167" t="s">
        <v>37</v>
      </c>
      <c r="L17" s="169" t="s">
        <v>37</v>
      </c>
      <c r="M17" s="169" t="s">
        <v>37</v>
      </c>
      <c r="N17" s="169" t="s">
        <v>37</v>
      </c>
      <c r="O17" s="169" t="s">
        <v>37</v>
      </c>
      <c r="P17" s="169" t="s">
        <v>37</v>
      </c>
      <c r="Q17" s="169" t="s">
        <v>37</v>
      </c>
      <c r="R17" s="169" t="s">
        <v>37</v>
      </c>
      <c r="S17" s="169" t="s">
        <v>37</v>
      </c>
      <c r="T17" s="169" t="s">
        <v>37</v>
      </c>
      <c r="U17" s="169" t="s">
        <v>37</v>
      </c>
      <c r="V17" s="169" t="s">
        <v>37</v>
      </c>
      <c r="W17" s="169" t="s">
        <v>37</v>
      </c>
      <c r="X17" s="169" t="s">
        <v>37</v>
      </c>
      <c r="Y17" s="169" t="s">
        <v>37</v>
      </c>
      <c r="Z17" s="169" t="s">
        <v>37</v>
      </c>
      <c r="AA17" s="169" t="s">
        <v>37</v>
      </c>
      <c r="AB17" s="169" t="s">
        <v>37</v>
      </c>
      <c r="AC17" s="169" t="s">
        <v>37</v>
      </c>
      <c r="AD17" s="169" t="s">
        <v>37</v>
      </c>
      <c r="AE17" s="169" t="s">
        <v>37</v>
      </c>
      <c r="AF17" s="6">
        <v>634</v>
      </c>
      <c r="AG17" s="6"/>
      <c r="AH17" s="35">
        <f t="shared" si="0"/>
        <v>345</v>
      </c>
      <c r="AI17" s="35">
        <v>970</v>
      </c>
      <c r="AJ17" s="35"/>
      <c r="AK17" s="35">
        <f t="shared" si="1"/>
        <v>336</v>
      </c>
      <c r="AL17" s="6"/>
      <c r="AM17" s="6"/>
      <c r="AN17" s="35"/>
      <c r="AO17" s="6">
        <v>120</v>
      </c>
      <c r="AP17" s="6">
        <v>1200</v>
      </c>
      <c r="AQ17" s="34">
        <f t="shared" si="2"/>
        <v>350</v>
      </c>
      <c r="AR17" s="35">
        <v>470</v>
      </c>
      <c r="AS17" s="35"/>
      <c r="AT17" s="35">
        <f t="shared" si="3"/>
        <v>350</v>
      </c>
      <c r="AU17" s="6">
        <v>815</v>
      </c>
      <c r="AV17" s="6"/>
      <c r="AW17" s="35">
        <f t="shared" si="4"/>
        <v>345</v>
      </c>
      <c r="AX17" s="6">
        <v>281</v>
      </c>
      <c r="AY17" s="6">
        <v>824</v>
      </c>
      <c r="AZ17" s="35">
        <f t="shared" si="5"/>
        <v>290</v>
      </c>
      <c r="BA17" s="35">
        <v>666</v>
      </c>
      <c r="BB17" s="35"/>
      <c r="BC17" s="35">
        <f t="shared" si="6"/>
        <v>385</v>
      </c>
      <c r="BD17" s="6">
        <v>1031</v>
      </c>
      <c r="BE17" s="6"/>
      <c r="BF17" s="35">
        <f t="shared" si="7"/>
        <v>365</v>
      </c>
      <c r="BG17" s="35"/>
      <c r="BH17" s="6"/>
      <c r="BI17" s="6"/>
      <c r="BJ17" s="6">
        <v>1127</v>
      </c>
      <c r="BK17" s="6"/>
      <c r="BL17" s="6">
        <f t="shared" si="8"/>
        <v>96</v>
      </c>
      <c r="BM17" s="6">
        <v>1127</v>
      </c>
      <c r="BN17" s="6"/>
      <c r="BO17" s="6">
        <f t="shared" si="9"/>
        <v>0</v>
      </c>
      <c r="BP17" s="6">
        <v>0</v>
      </c>
      <c r="BQ17" s="6">
        <v>1127</v>
      </c>
      <c r="BR17" s="35">
        <f t="shared" si="10"/>
        <v>0</v>
      </c>
      <c r="BS17" s="6">
        <v>0</v>
      </c>
      <c r="BT17" s="6"/>
      <c r="BU17" s="6">
        <f t="shared" si="11"/>
        <v>0</v>
      </c>
      <c r="BV17" s="6">
        <v>299</v>
      </c>
      <c r="BW17" s="6"/>
      <c r="BX17" s="35">
        <f t="shared" si="12"/>
        <v>299</v>
      </c>
      <c r="BY17" s="6">
        <v>661</v>
      </c>
      <c r="BZ17" s="6"/>
      <c r="CA17" s="6">
        <f t="shared" si="13"/>
        <v>362</v>
      </c>
      <c r="CB17" s="6"/>
      <c r="CC17" s="6"/>
      <c r="CD17" s="6"/>
      <c r="CE17" s="6">
        <v>1039</v>
      </c>
      <c r="CF17" s="6"/>
      <c r="CG17" s="6">
        <f t="shared" si="14"/>
        <v>378</v>
      </c>
      <c r="CH17" s="6">
        <v>1424</v>
      </c>
      <c r="CI17" s="6"/>
      <c r="CJ17" s="6">
        <f t="shared" si="15"/>
        <v>385</v>
      </c>
      <c r="CK17" s="6">
        <v>236</v>
      </c>
      <c r="CL17" s="6">
        <v>1570</v>
      </c>
      <c r="CM17" s="6">
        <f t="shared" si="16"/>
        <v>382</v>
      </c>
      <c r="CN17" s="6">
        <v>622</v>
      </c>
      <c r="CO17" s="6"/>
      <c r="CP17" s="6">
        <f t="shared" si="17"/>
        <v>386</v>
      </c>
      <c r="CQ17" s="6">
        <v>1004</v>
      </c>
      <c r="CR17" s="6"/>
      <c r="CS17" s="6">
        <f t="shared" si="18"/>
        <v>382</v>
      </c>
      <c r="CT17" s="6">
        <v>1370</v>
      </c>
      <c r="CU17" s="6"/>
      <c r="CV17" s="6">
        <f t="shared" si="19"/>
        <v>366</v>
      </c>
      <c r="CW17" s="6"/>
      <c r="CX17" s="6"/>
      <c r="CY17" s="6"/>
      <c r="CZ17" s="6">
        <v>240</v>
      </c>
      <c r="DA17" s="6">
        <v>1497</v>
      </c>
      <c r="DB17" s="6">
        <f t="shared" si="20"/>
        <v>367</v>
      </c>
      <c r="DC17" s="6">
        <v>613</v>
      </c>
      <c r="DD17" s="6"/>
      <c r="DE17" s="6">
        <f t="shared" si="21"/>
        <v>373</v>
      </c>
      <c r="DF17" s="6">
        <v>983</v>
      </c>
      <c r="DG17" s="6"/>
      <c r="DH17" s="6">
        <f t="shared" si="22"/>
        <v>370</v>
      </c>
      <c r="DI17" s="6">
        <v>329</v>
      </c>
      <c r="DJ17" s="6">
        <v>1013</v>
      </c>
      <c r="DK17" s="6">
        <f t="shared" si="23"/>
        <v>359</v>
      </c>
      <c r="DL17" s="6">
        <v>698</v>
      </c>
      <c r="DM17" s="6"/>
      <c r="DN17" s="6">
        <f t="shared" si="24"/>
        <v>369</v>
      </c>
      <c r="DO17" s="6">
        <v>1039</v>
      </c>
      <c r="DP17" s="6"/>
      <c r="DQ17" s="6">
        <f t="shared" si="25"/>
        <v>341</v>
      </c>
    </row>
    <row r="18" spans="1:121">
      <c r="A18" s="6">
        <v>14</v>
      </c>
      <c r="B18" s="6">
        <v>0</v>
      </c>
      <c r="C18" s="8">
        <v>1238</v>
      </c>
      <c r="D18" s="8">
        <v>161</v>
      </c>
      <c r="E18" s="33" t="s">
        <v>69</v>
      </c>
      <c r="F18" s="148" t="s">
        <v>69</v>
      </c>
      <c r="G18" s="33" t="s">
        <v>69</v>
      </c>
      <c r="H18" s="33" t="s">
        <v>69</v>
      </c>
      <c r="I18" s="33" t="s">
        <v>69</v>
      </c>
      <c r="J18" s="33" t="s">
        <v>69</v>
      </c>
      <c r="K18" s="33" t="s">
        <v>69</v>
      </c>
      <c r="L18" s="33" t="s">
        <v>69</v>
      </c>
      <c r="M18" s="33" t="s">
        <v>69</v>
      </c>
      <c r="N18" s="33" t="s">
        <v>69</v>
      </c>
      <c r="O18" s="33" t="s">
        <v>69</v>
      </c>
      <c r="P18" s="33" t="s">
        <v>69</v>
      </c>
      <c r="Q18" s="33" t="s">
        <v>69</v>
      </c>
      <c r="R18" s="33" t="s">
        <v>69</v>
      </c>
      <c r="S18" s="33" t="s">
        <v>69</v>
      </c>
      <c r="T18" s="33" t="s">
        <v>69</v>
      </c>
      <c r="U18" s="33" t="s">
        <v>69</v>
      </c>
      <c r="V18" s="33" t="s">
        <v>69</v>
      </c>
      <c r="W18" s="33" t="s">
        <v>69</v>
      </c>
      <c r="X18" s="33" t="s">
        <v>69</v>
      </c>
      <c r="Y18" s="33" t="s">
        <v>69</v>
      </c>
      <c r="Z18" s="33" t="s">
        <v>69</v>
      </c>
      <c r="AA18" s="148" t="s">
        <v>37</v>
      </c>
      <c r="AB18" s="33" t="s">
        <v>37</v>
      </c>
      <c r="AC18" s="33" t="s">
        <v>37</v>
      </c>
      <c r="AD18" s="33" t="s">
        <v>37</v>
      </c>
      <c r="AE18" s="33" t="s">
        <v>37</v>
      </c>
      <c r="AF18" s="35">
        <v>356</v>
      </c>
      <c r="AG18" s="35"/>
      <c r="AH18" s="35">
        <f t="shared" si="0"/>
        <v>356</v>
      </c>
      <c r="AI18" s="35">
        <v>720</v>
      </c>
      <c r="AJ18" s="35"/>
      <c r="AK18" s="35">
        <f t="shared" si="1"/>
        <v>364</v>
      </c>
      <c r="AL18" s="35"/>
      <c r="AM18" s="35"/>
      <c r="AN18" s="35"/>
      <c r="AO18" s="35">
        <v>1101</v>
      </c>
      <c r="AP18" s="35"/>
      <c r="AQ18" s="34">
        <f t="shared" si="2"/>
        <v>381</v>
      </c>
      <c r="AR18" s="35">
        <v>1482</v>
      </c>
      <c r="AS18" s="35"/>
      <c r="AT18" s="35">
        <f t="shared" si="3"/>
        <v>381</v>
      </c>
      <c r="AU18" s="6">
        <v>296</v>
      </c>
      <c r="AV18" s="6">
        <v>1560</v>
      </c>
      <c r="AW18" s="35">
        <f t="shared" si="4"/>
        <v>374</v>
      </c>
      <c r="AX18" s="6">
        <v>687</v>
      </c>
      <c r="AY18" s="6"/>
      <c r="AZ18" s="35">
        <f t="shared" si="5"/>
        <v>391</v>
      </c>
      <c r="BA18" s="35">
        <v>1078</v>
      </c>
      <c r="BB18" s="35"/>
      <c r="BC18" s="35">
        <f t="shared" si="6"/>
        <v>391</v>
      </c>
      <c r="BD18" s="6">
        <v>1453</v>
      </c>
      <c r="BE18" s="6"/>
      <c r="BF18" s="35">
        <f t="shared" si="7"/>
        <v>375</v>
      </c>
      <c r="BG18" s="6"/>
      <c r="BH18" s="6"/>
      <c r="BI18" s="6"/>
      <c r="BJ18" s="6">
        <v>281</v>
      </c>
      <c r="BK18" s="6">
        <v>1560</v>
      </c>
      <c r="BL18" s="6">
        <f t="shared" si="8"/>
        <v>388</v>
      </c>
      <c r="BM18" s="6">
        <v>649</v>
      </c>
      <c r="BN18" s="6"/>
      <c r="BO18" s="6">
        <f t="shared" si="9"/>
        <v>368</v>
      </c>
      <c r="BP18" s="6">
        <v>1028</v>
      </c>
      <c r="BQ18" s="6"/>
      <c r="BR18" s="35">
        <f t="shared" si="10"/>
        <v>379</v>
      </c>
      <c r="BS18" s="6">
        <v>1402</v>
      </c>
      <c r="BT18" s="6"/>
      <c r="BU18" s="6">
        <f t="shared" si="11"/>
        <v>374</v>
      </c>
      <c r="BV18" s="6">
        <v>233</v>
      </c>
      <c r="BW18" s="6">
        <v>1520</v>
      </c>
      <c r="BX18" s="35">
        <f t="shared" si="12"/>
        <v>351</v>
      </c>
      <c r="BY18" s="6">
        <v>588</v>
      </c>
      <c r="BZ18" s="6"/>
      <c r="CA18" s="6">
        <f t="shared" si="13"/>
        <v>355</v>
      </c>
      <c r="CB18" s="6"/>
      <c r="CC18" s="6"/>
      <c r="CD18" s="6"/>
      <c r="CE18" s="6">
        <v>967</v>
      </c>
      <c r="CF18" s="6"/>
      <c r="CG18" s="6">
        <f t="shared" si="14"/>
        <v>379</v>
      </c>
      <c r="CH18" s="6">
        <v>1339</v>
      </c>
      <c r="CI18" s="6"/>
      <c r="CJ18" s="6">
        <f t="shared" si="15"/>
        <v>372</v>
      </c>
      <c r="CK18" s="6">
        <v>145</v>
      </c>
      <c r="CL18" s="6">
        <v>1560</v>
      </c>
      <c r="CM18" s="6">
        <f t="shared" si="16"/>
        <v>366</v>
      </c>
      <c r="CN18" s="6">
        <v>522</v>
      </c>
      <c r="CO18" s="6"/>
      <c r="CP18" s="6">
        <f t="shared" si="17"/>
        <v>377</v>
      </c>
      <c r="CQ18" s="6">
        <v>890</v>
      </c>
      <c r="CR18" s="6"/>
      <c r="CS18" s="6">
        <f t="shared" si="18"/>
        <v>368</v>
      </c>
      <c r="CT18" s="6">
        <v>1249</v>
      </c>
      <c r="CU18" s="6"/>
      <c r="CV18" s="6">
        <f t="shared" si="19"/>
        <v>359</v>
      </c>
      <c r="CW18" s="6"/>
      <c r="CX18" s="6"/>
      <c r="CY18" s="6"/>
      <c r="CZ18" s="6">
        <v>1623</v>
      </c>
      <c r="DA18" s="6"/>
      <c r="DB18" s="6">
        <f t="shared" si="20"/>
        <v>374</v>
      </c>
      <c r="DC18" s="6">
        <v>317</v>
      </c>
      <c r="DD18" s="6">
        <v>1629</v>
      </c>
      <c r="DE18" s="6">
        <f t="shared" si="21"/>
        <v>323</v>
      </c>
      <c r="DF18" s="6">
        <v>694</v>
      </c>
      <c r="DG18" s="6"/>
      <c r="DH18" s="6">
        <f t="shared" si="22"/>
        <v>377</v>
      </c>
      <c r="DI18" s="6">
        <v>1069</v>
      </c>
      <c r="DJ18" s="6"/>
      <c r="DK18" s="6">
        <f t="shared" si="23"/>
        <v>375</v>
      </c>
      <c r="DL18" s="6">
        <v>1443</v>
      </c>
      <c r="DM18" s="6"/>
      <c r="DN18" s="6">
        <f t="shared" si="24"/>
        <v>374</v>
      </c>
      <c r="DO18" s="6">
        <v>221</v>
      </c>
      <c r="DP18" s="6">
        <v>1560</v>
      </c>
      <c r="DQ18" s="6">
        <f t="shared" si="25"/>
        <v>338</v>
      </c>
    </row>
    <row r="19" spans="1:121">
      <c r="A19" s="6">
        <v>15</v>
      </c>
      <c r="B19" s="6">
        <v>9</v>
      </c>
      <c r="C19" s="6">
        <v>1560</v>
      </c>
      <c r="D19" s="6">
        <v>402</v>
      </c>
      <c r="E19" s="33" t="s">
        <v>97</v>
      </c>
      <c r="F19" s="33" t="s">
        <v>97</v>
      </c>
      <c r="G19" s="148" t="s">
        <v>116</v>
      </c>
      <c r="H19" s="33" t="s">
        <v>116</v>
      </c>
      <c r="I19" s="33" t="s">
        <v>116</v>
      </c>
      <c r="J19" s="33" t="s">
        <v>116</v>
      </c>
      <c r="K19" s="148" t="s">
        <v>37</v>
      </c>
      <c r="L19" s="33" t="s">
        <v>37</v>
      </c>
      <c r="M19" s="33" t="s">
        <v>37</v>
      </c>
      <c r="N19" s="33" t="s">
        <v>37</v>
      </c>
      <c r="O19" s="33" t="s">
        <v>37</v>
      </c>
      <c r="P19" s="33" t="s">
        <v>37</v>
      </c>
      <c r="Q19" s="33" t="s">
        <v>37</v>
      </c>
      <c r="R19" s="33" t="s">
        <v>37</v>
      </c>
      <c r="S19" s="33" t="s">
        <v>37</v>
      </c>
      <c r="T19" s="33" t="s">
        <v>37</v>
      </c>
      <c r="U19" s="33" t="s">
        <v>37</v>
      </c>
      <c r="V19" s="33" t="s">
        <v>37</v>
      </c>
      <c r="W19" s="33" t="s">
        <v>37</v>
      </c>
      <c r="X19" s="33" t="s">
        <v>37</v>
      </c>
      <c r="Y19" s="33" t="s">
        <v>37</v>
      </c>
      <c r="Z19" s="33" t="s">
        <v>37</v>
      </c>
      <c r="AA19" s="33" t="s">
        <v>37</v>
      </c>
      <c r="AB19" s="33" t="s">
        <v>37</v>
      </c>
      <c r="AC19" s="33" t="s">
        <v>37</v>
      </c>
      <c r="AD19" s="33" t="s">
        <v>37</v>
      </c>
      <c r="AE19" s="33" t="s">
        <v>37</v>
      </c>
      <c r="AF19" s="35">
        <v>425</v>
      </c>
      <c r="AG19" s="35"/>
      <c r="AH19" s="35">
        <f t="shared" si="0"/>
        <v>416</v>
      </c>
      <c r="AI19" s="35">
        <v>254</v>
      </c>
      <c r="AJ19" s="35">
        <v>480</v>
      </c>
      <c r="AK19" s="35">
        <f t="shared" si="1"/>
        <v>309</v>
      </c>
      <c r="AL19" s="35"/>
      <c r="AM19" s="35"/>
      <c r="AN19" s="35"/>
      <c r="AO19" s="35">
        <v>631</v>
      </c>
      <c r="AP19" s="35"/>
      <c r="AQ19" s="34">
        <f t="shared" si="2"/>
        <v>377</v>
      </c>
      <c r="AR19" s="35">
        <v>1008</v>
      </c>
      <c r="AS19" s="35"/>
      <c r="AT19" s="35">
        <f t="shared" si="3"/>
        <v>377</v>
      </c>
      <c r="AU19" s="6">
        <v>1381</v>
      </c>
      <c r="AV19" s="6"/>
      <c r="AW19" s="35">
        <f t="shared" si="4"/>
        <v>373</v>
      </c>
      <c r="AX19" s="35">
        <v>275</v>
      </c>
      <c r="AY19" s="35">
        <v>1392</v>
      </c>
      <c r="AZ19" s="35">
        <f t="shared" si="5"/>
        <v>286</v>
      </c>
      <c r="BA19" s="35">
        <v>663</v>
      </c>
      <c r="BB19" s="35"/>
      <c r="BC19" s="35">
        <f t="shared" si="6"/>
        <v>388</v>
      </c>
      <c r="BD19" s="35">
        <v>1022</v>
      </c>
      <c r="BE19" s="35"/>
      <c r="BF19" s="35">
        <f t="shared" si="7"/>
        <v>359</v>
      </c>
      <c r="BG19" s="35"/>
      <c r="BH19" s="35"/>
      <c r="BI19" s="35"/>
      <c r="BJ19" s="35">
        <v>1120</v>
      </c>
      <c r="BK19" s="35"/>
      <c r="BL19" s="6">
        <f t="shared" si="8"/>
        <v>98</v>
      </c>
      <c r="BM19" s="35">
        <v>1120</v>
      </c>
      <c r="BN19" s="6"/>
      <c r="BO19" s="6">
        <f t="shared" si="9"/>
        <v>0</v>
      </c>
      <c r="BP19" s="6">
        <v>0</v>
      </c>
      <c r="BQ19" s="6">
        <v>1120</v>
      </c>
      <c r="BR19" s="35">
        <f t="shared" si="10"/>
        <v>0</v>
      </c>
      <c r="BS19" s="6">
        <v>0</v>
      </c>
      <c r="BT19" s="6"/>
      <c r="BU19" s="6">
        <f t="shared" si="11"/>
        <v>0</v>
      </c>
      <c r="BV19" s="6">
        <v>303</v>
      </c>
      <c r="BW19" s="6"/>
      <c r="BX19" s="35">
        <f t="shared" si="12"/>
        <v>303</v>
      </c>
      <c r="BY19" s="6">
        <v>8</v>
      </c>
      <c r="BZ19" s="6">
        <v>655</v>
      </c>
      <c r="CA19" s="6">
        <f t="shared" si="13"/>
        <v>360</v>
      </c>
      <c r="CB19" s="6"/>
      <c r="CC19" s="6"/>
      <c r="CD19" s="6"/>
      <c r="CE19" s="6">
        <v>394</v>
      </c>
      <c r="CF19" s="6"/>
      <c r="CG19" s="6">
        <f t="shared" si="14"/>
        <v>386</v>
      </c>
      <c r="CH19" s="6">
        <v>780</v>
      </c>
      <c r="CI19" s="6"/>
      <c r="CJ19" s="6">
        <f t="shared" si="15"/>
        <v>386</v>
      </c>
      <c r="CK19" s="6">
        <v>1157</v>
      </c>
      <c r="CL19" s="6"/>
      <c r="CM19" s="6">
        <f t="shared" si="16"/>
        <v>377</v>
      </c>
      <c r="CN19" s="6">
        <v>1540</v>
      </c>
      <c r="CO19" s="6"/>
      <c r="CP19" s="6">
        <f t="shared" si="17"/>
        <v>383</v>
      </c>
      <c r="CQ19" s="6">
        <v>350</v>
      </c>
      <c r="CR19" s="6">
        <v>1560</v>
      </c>
      <c r="CS19" s="6">
        <f t="shared" si="18"/>
        <v>370</v>
      </c>
      <c r="CT19" s="6">
        <v>702</v>
      </c>
      <c r="CU19" s="6"/>
      <c r="CV19" s="6">
        <f t="shared" si="19"/>
        <v>352</v>
      </c>
      <c r="CW19" s="6"/>
      <c r="CX19" s="6"/>
      <c r="CY19" s="6"/>
      <c r="CZ19" s="6">
        <v>1073</v>
      </c>
      <c r="DA19" s="6"/>
      <c r="DB19" s="6">
        <f t="shared" si="20"/>
        <v>371</v>
      </c>
      <c r="DC19" s="6">
        <v>1436</v>
      </c>
      <c r="DD19" s="6"/>
      <c r="DE19" s="6">
        <f t="shared" si="21"/>
        <v>363</v>
      </c>
      <c r="DF19" s="6">
        <v>230</v>
      </c>
      <c r="DG19" s="6">
        <v>1560</v>
      </c>
      <c r="DH19" s="6">
        <f t="shared" si="22"/>
        <v>354</v>
      </c>
      <c r="DI19" s="6">
        <v>582</v>
      </c>
      <c r="DJ19" s="6"/>
      <c r="DK19" s="6">
        <f t="shared" si="23"/>
        <v>352</v>
      </c>
      <c r="DL19" s="6">
        <v>934</v>
      </c>
      <c r="DM19" s="6"/>
      <c r="DN19" s="6">
        <f t="shared" si="24"/>
        <v>352</v>
      </c>
      <c r="DO19" s="6">
        <v>1266</v>
      </c>
      <c r="DP19" s="6"/>
      <c r="DQ19" s="6">
        <f t="shared" si="25"/>
        <v>332</v>
      </c>
    </row>
    <row r="20" spans="1:121" s="65" customFormat="1">
      <c r="A20" s="63">
        <v>16</v>
      </c>
      <c r="B20" s="63">
        <v>287</v>
      </c>
      <c r="C20" s="64">
        <v>1560</v>
      </c>
      <c r="D20" s="8">
        <v>369</v>
      </c>
      <c r="E20" s="33" t="s">
        <v>69</v>
      </c>
      <c r="F20" s="33" t="s">
        <v>69</v>
      </c>
      <c r="G20" s="33" t="s">
        <v>69</v>
      </c>
      <c r="H20" s="33" t="s">
        <v>69</v>
      </c>
      <c r="I20" s="33" t="s">
        <v>69</v>
      </c>
      <c r="J20" s="33" t="s">
        <v>69</v>
      </c>
      <c r="K20" s="33" t="s">
        <v>69</v>
      </c>
      <c r="L20" s="33" t="s">
        <v>69</v>
      </c>
      <c r="M20" s="33" t="s">
        <v>69</v>
      </c>
      <c r="N20" s="33" t="s">
        <v>69</v>
      </c>
      <c r="O20" s="33" t="s">
        <v>69</v>
      </c>
      <c r="P20" s="33" t="s">
        <v>69</v>
      </c>
      <c r="Q20" s="33" t="s">
        <v>69</v>
      </c>
      <c r="R20" s="33" t="s">
        <v>69</v>
      </c>
      <c r="S20" s="33" t="s">
        <v>69</v>
      </c>
      <c r="T20" s="33" t="s">
        <v>69</v>
      </c>
      <c r="U20" s="33" t="s">
        <v>69</v>
      </c>
      <c r="V20" s="33" t="s">
        <v>69</v>
      </c>
      <c r="W20" s="148" t="s">
        <v>128</v>
      </c>
      <c r="X20" s="33" t="s">
        <v>128</v>
      </c>
      <c r="Y20" s="33" t="s">
        <v>128</v>
      </c>
      <c r="Z20" s="33" t="s">
        <v>128</v>
      </c>
      <c r="AA20" s="33" t="s">
        <v>128</v>
      </c>
      <c r="AB20" s="33" t="s">
        <v>128</v>
      </c>
      <c r="AC20" s="33" t="s">
        <v>128</v>
      </c>
      <c r="AD20" s="33" t="s">
        <v>128</v>
      </c>
      <c r="AE20" s="33" t="s">
        <v>128</v>
      </c>
      <c r="AF20" s="63">
        <v>669</v>
      </c>
      <c r="AG20" s="63"/>
      <c r="AH20" s="35">
        <f t="shared" si="0"/>
        <v>382</v>
      </c>
      <c r="AI20" s="66">
        <v>1024</v>
      </c>
      <c r="AJ20" s="66"/>
      <c r="AK20" s="35">
        <f t="shared" si="1"/>
        <v>355</v>
      </c>
      <c r="AL20" s="63"/>
      <c r="AM20" s="63"/>
      <c r="AN20" s="35"/>
      <c r="AO20" s="6">
        <v>1408</v>
      </c>
      <c r="AP20" s="6"/>
      <c r="AQ20" s="34">
        <f t="shared" si="2"/>
        <v>384</v>
      </c>
      <c r="AR20" s="66">
        <v>230</v>
      </c>
      <c r="AS20" s="66">
        <v>1560</v>
      </c>
      <c r="AT20" s="35">
        <f t="shared" si="3"/>
        <v>382</v>
      </c>
      <c r="AU20" s="63">
        <v>609</v>
      </c>
      <c r="AV20" s="63"/>
      <c r="AW20" s="35">
        <f t="shared" si="4"/>
        <v>379</v>
      </c>
      <c r="AX20" s="63">
        <v>990</v>
      </c>
      <c r="AY20" s="63"/>
      <c r="AZ20" s="35">
        <f t="shared" si="5"/>
        <v>381</v>
      </c>
      <c r="BA20" s="66">
        <v>1371</v>
      </c>
      <c r="BB20" s="66"/>
      <c r="BC20" s="35">
        <f t="shared" si="6"/>
        <v>381</v>
      </c>
      <c r="BD20" s="63">
        <v>177</v>
      </c>
      <c r="BE20" s="63">
        <v>1560</v>
      </c>
      <c r="BF20" s="35">
        <f t="shared" si="7"/>
        <v>366</v>
      </c>
      <c r="BG20" s="63"/>
      <c r="BH20" s="63"/>
      <c r="BI20" s="6"/>
      <c r="BJ20" s="63">
        <v>536</v>
      </c>
      <c r="BK20" s="63"/>
      <c r="BL20" s="6">
        <f t="shared" si="8"/>
        <v>359</v>
      </c>
      <c r="BM20" s="63">
        <v>916</v>
      </c>
      <c r="BN20" s="63"/>
      <c r="BO20" s="6">
        <f t="shared" si="9"/>
        <v>380</v>
      </c>
      <c r="BP20" s="63">
        <v>1300</v>
      </c>
      <c r="BQ20" s="63"/>
      <c r="BR20" s="35">
        <f t="shared" si="10"/>
        <v>384</v>
      </c>
      <c r="BS20" s="63">
        <v>123</v>
      </c>
      <c r="BT20" s="63">
        <v>1560</v>
      </c>
      <c r="BU20" s="6">
        <f t="shared" si="11"/>
        <v>383</v>
      </c>
      <c r="BV20" s="63">
        <v>505</v>
      </c>
      <c r="BW20" s="63"/>
      <c r="BX20" s="35">
        <f t="shared" si="12"/>
        <v>382</v>
      </c>
      <c r="BY20" s="63">
        <v>863</v>
      </c>
      <c r="BZ20" s="63"/>
      <c r="CA20" s="6">
        <f t="shared" si="13"/>
        <v>358</v>
      </c>
      <c r="CB20" s="63"/>
      <c r="CC20" s="63"/>
      <c r="CD20" s="6"/>
      <c r="CE20" s="63">
        <v>1229</v>
      </c>
      <c r="CF20" s="63"/>
      <c r="CG20" s="6">
        <f t="shared" si="14"/>
        <v>366</v>
      </c>
      <c r="CH20" s="63">
        <v>39</v>
      </c>
      <c r="CI20" s="63">
        <v>1560</v>
      </c>
      <c r="CJ20" s="6">
        <f t="shared" si="15"/>
        <v>370</v>
      </c>
      <c r="CK20" s="63">
        <v>0</v>
      </c>
      <c r="CL20" s="63">
        <v>359</v>
      </c>
      <c r="CM20" s="6">
        <f t="shared" si="16"/>
        <v>320</v>
      </c>
      <c r="CN20" s="63">
        <v>340</v>
      </c>
      <c r="CO20" s="63"/>
      <c r="CP20" s="6">
        <f t="shared" si="17"/>
        <v>340</v>
      </c>
      <c r="CQ20" s="63">
        <v>712</v>
      </c>
      <c r="CR20" s="63"/>
      <c r="CS20" s="6">
        <f t="shared" si="18"/>
        <v>372</v>
      </c>
      <c r="CT20" s="63">
        <v>1065</v>
      </c>
      <c r="CU20" s="63"/>
      <c r="CV20" s="6">
        <f t="shared" si="19"/>
        <v>353</v>
      </c>
      <c r="CW20" s="63"/>
      <c r="CX20" s="63"/>
      <c r="CY20" s="6"/>
      <c r="CZ20" s="63">
        <v>1425</v>
      </c>
      <c r="DA20" s="63"/>
      <c r="DB20" s="6">
        <f t="shared" si="20"/>
        <v>360</v>
      </c>
      <c r="DC20" s="63">
        <v>237</v>
      </c>
      <c r="DD20" s="63">
        <v>1560</v>
      </c>
      <c r="DE20" s="6">
        <f t="shared" si="21"/>
        <v>372</v>
      </c>
      <c r="DF20" s="63">
        <v>613</v>
      </c>
      <c r="DG20" s="63"/>
      <c r="DH20" s="6">
        <f t="shared" si="22"/>
        <v>376</v>
      </c>
      <c r="DI20" s="63">
        <v>992</v>
      </c>
      <c r="DJ20" s="63"/>
      <c r="DK20" s="6">
        <f t="shared" si="23"/>
        <v>379</v>
      </c>
      <c r="DL20" s="63">
        <v>1371</v>
      </c>
      <c r="DM20" s="63"/>
      <c r="DN20" s="6">
        <f t="shared" si="24"/>
        <v>379</v>
      </c>
      <c r="DO20" s="63">
        <v>158</v>
      </c>
      <c r="DP20" s="63">
        <v>1560</v>
      </c>
      <c r="DQ20" s="6">
        <f t="shared" si="25"/>
        <v>347</v>
      </c>
    </row>
    <row r="21" spans="1:121">
      <c r="A21" s="6">
        <v>17</v>
      </c>
      <c r="B21" s="6">
        <v>575</v>
      </c>
      <c r="C21" s="6"/>
      <c r="D21" s="6">
        <v>330</v>
      </c>
      <c r="E21" s="33" t="s">
        <v>98</v>
      </c>
      <c r="F21" s="33" t="s">
        <v>98</v>
      </c>
      <c r="G21" s="33" t="s">
        <v>98</v>
      </c>
      <c r="H21" s="33" t="s">
        <v>98</v>
      </c>
      <c r="I21" s="33" t="s">
        <v>98</v>
      </c>
      <c r="J21" s="33" t="s">
        <v>98</v>
      </c>
      <c r="K21" s="33" t="s">
        <v>98</v>
      </c>
      <c r="L21" s="33" t="s">
        <v>98</v>
      </c>
      <c r="M21" s="33" t="s">
        <v>98</v>
      </c>
      <c r="N21" s="148" t="s">
        <v>69</v>
      </c>
      <c r="O21" s="33" t="s">
        <v>69</v>
      </c>
      <c r="P21" s="33" t="s">
        <v>69</v>
      </c>
      <c r="Q21" s="33" t="s">
        <v>69</v>
      </c>
      <c r="R21" s="33" t="s">
        <v>69</v>
      </c>
      <c r="S21" s="33" t="s">
        <v>69</v>
      </c>
      <c r="T21" s="33" t="s">
        <v>69</v>
      </c>
      <c r="U21" s="33" t="s">
        <v>69</v>
      </c>
      <c r="V21" s="33" t="s">
        <v>69</v>
      </c>
      <c r="W21" s="33" t="s">
        <v>69</v>
      </c>
      <c r="X21" s="33" t="s">
        <v>69</v>
      </c>
      <c r="Y21" s="33" t="s">
        <v>69</v>
      </c>
      <c r="Z21" s="33" t="s">
        <v>69</v>
      </c>
      <c r="AA21" s="33" t="s">
        <v>69</v>
      </c>
      <c r="AB21" s="33" t="s">
        <v>69</v>
      </c>
      <c r="AC21" s="33" t="s">
        <v>69</v>
      </c>
      <c r="AD21" s="33" t="s">
        <v>69</v>
      </c>
      <c r="AE21" s="33" t="s">
        <v>69</v>
      </c>
      <c r="AF21" s="6">
        <v>917</v>
      </c>
      <c r="AG21" s="6"/>
      <c r="AH21" s="35">
        <f t="shared" si="0"/>
        <v>342</v>
      </c>
      <c r="AI21" s="35">
        <v>208</v>
      </c>
      <c r="AJ21" s="35">
        <v>1024</v>
      </c>
      <c r="AK21" s="35">
        <f t="shared" si="1"/>
        <v>315</v>
      </c>
      <c r="AL21" s="6"/>
      <c r="AM21" s="6"/>
      <c r="AN21" s="35"/>
      <c r="AO21" s="6">
        <v>549</v>
      </c>
      <c r="AP21" s="6"/>
      <c r="AQ21" s="34">
        <f t="shared" si="2"/>
        <v>341</v>
      </c>
      <c r="AR21" s="35">
        <v>901</v>
      </c>
      <c r="AS21" s="35"/>
      <c r="AT21" s="35">
        <f t="shared" si="3"/>
        <v>352</v>
      </c>
      <c r="AU21" s="6">
        <v>43</v>
      </c>
      <c r="AV21" s="6">
        <v>1200</v>
      </c>
      <c r="AW21" s="35">
        <f t="shared" si="4"/>
        <v>342</v>
      </c>
      <c r="AX21" s="6">
        <v>388</v>
      </c>
      <c r="AY21" s="6"/>
      <c r="AZ21" s="35">
        <f t="shared" si="5"/>
        <v>345</v>
      </c>
      <c r="BA21" s="35">
        <v>734</v>
      </c>
      <c r="BB21" s="35"/>
      <c r="BC21" s="35">
        <f t="shared" si="6"/>
        <v>346</v>
      </c>
      <c r="BD21" s="6">
        <v>0</v>
      </c>
      <c r="BE21" s="6">
        <v>980</v>
      </c>
      <c r="BF21" s="35">
        <f t="shared" si="7"/>
        <v>246</v>
      </c>
      <c r="BG21" s="6"/>
      <c r="BH21" s="6"/>
      <c r="BI21" s="6"/>
      <c r="BJ21" s="6">
        <v>273</v>
      </c>
      <c r="BK21" s="6"/>
      <c r="BL21" s="6">
        <f t="shared" si="8"/>
        <v>273</v>
      </c>
      <c r="BM21" s="6">
        <v>623</v>
      </c>
      <c r="BN21" s="6"/>
      <c r="BO21" s="6">
        <f t="shared" si="9"/>
        <v>350</v>
      </c>
      <c r="BP21" s="6">
        <v>987</v>
      </c>
      <c r="BQ21" s="6"/>
      <c r="BR21" s="35">
        <f t="shared" si="10"/>
        <v>364</v>
      </c>
      <c r="BS21" s="6">
        <v>1349</v>
      </c>
      <c r="BT21" s="6"/>
      <c r="BU21" s="6">
        <f t="shared" si="11"/>
        <v>362</v>
      </c>
      <c r="BV21" s="6">
        <v>156</v>
      </c>
      <c r="BW21" s="6">
        <v>1560</v>
      </c>
      <c r="BX21" s="35">
        <f t="shared" si="12"/>
        <v>367</v>
      </c>
      <c r="BY21" s="6">
        <v>508</v>
      </c>
      <c r="BZ21" s="6"/>
      <c r="CA21" s="6">
        <f t="shared" si="13"/>
        <v>352</v>
      </c>
      <c r="CB21" s="6"/>
      <c r="CC21" s="6"/>
      <c r="CD21" s="6"/>
      <c r="CE21" s="6">
        <v>876</v>
      </c>
      <c r="CF21" s="6"/>
      <c r="CG21" s="6">
        <f t="shared" si="14"/>
        <v>368</v>
      </c>
      <c r="CH21" s="6">
        <v>1241</v>
      </c>
      <c r="CI21" s="6"/>
      <c r="CJ21" s="6">
        <f t="shared" si="15"/>
        <v>365</v>
      </c>
      <c r="CK21" s="6">
        <v>32</v>
      </c>
      <c r="CL21" s="6">
        <v>1560</v>
      </c>
      <c r="CM21" s="6">
        <f t="shared" si="16"/>
        <v>351</v>
      </c>
      <c r="CN21" s="6">
        <v>404</v>
      </c>
      <c r="CO21" s="6"/>
      <c r="CP21" s="6">
        <f t="shared" si="17"/>
        <v>372</v>
      </c>
      <c r="CQ21" s="6">
        <v>781</v>
      </c>
      <c r="CR21" s="6"/>
      <c r="CS21" s="6">
        <f t="shared" si="18"/>
        <v>377</v>
      </c>
      <c r="CT21" s="6">
        <v>1123</v>
      </c>
      <c r="CU21" s="6"/>
      <c r="CV21" s="6">
        <f t="shared" si="19"/>
        <v>342</v>
      </c>
      <c r="CW21" s="6"/>
      <c r="CX21" s="6"/>
      <c r="CY21" s="6"/>
      <c r="CZ21" s="6">
        <v>1497</v>
      </c>
      <c r="DA21" s="6"/>
      <c r="DB21" s="6">
        <f t="shared" si="20"/>
        <v>374</v>
      </c>
      <c r="DC21" s="6">
        <v>292</v>
      </c>
      <c r="DD21" s="6">
        <v>1570</v>
      </c>
      <c r="DE21" s="6">
        <f t="shared" si="21"/>
        <v>365</v>
      </c>
      <c r="DF21" s="6">
        <v>666</v>
      </c>
      <c r="DG21" s="6"/>
      <c r="DH21" s="6">
        <f t="shared" si="22"/>
        <v>374</v>
      </c>
      <c r="DI21" s="6">
        <v>1034</v>
      </c>
      <c r="DJ21" s="6"/>
      <c r="DK21" s="6">
        <f t="shared" si="23"/>
        <v>368</v>
      </c>
      <c r="DL21" s="6">
        <v>1402</v>
      </c>
      <c r="DM21" s="6"/>
      <c r="DN21" s="6">
        <f t="shared" si="24"/>
        <v>368</v>
      </c>
      <c r="DO21" s="6">
        <v>245</v>
      </c>
      <c r="DP21" s="6">
        <v>1495</v>
      </c>
      <c r="DQ21" s="6">
        <f t="shared" si="25"/>
        <v>338</v>
      </c>
    </row>
    <row r="22" spans="1:121">
      <c r="A22" s="6">
        <v>18</v>
      </c>
      <c r="B22" s="6">
        <v>810</v>
      </c>
      <c r="C22" s="6"/>
      <c r="D22" s="6">
        <v>330</v>
      </c>
      <c r="E22" s="33" t="s">
        <v>98</v>
      </c>
      <c r="F22" s="33" t="s">
        <v>98</v>
      </c>
      <c r="G22" s="33" t="s">
        <v>98</v>
      </c>
      <c r="H22" s="33" t="s">
        <v>98</v>
      </c>
      <c r="I22" s="33" t="s">
        <v>98</v>
      </c>
      <c r="J22" s="33" t="s">
        <v>98</v>
      </c>
      <c r="K22" s="33" t="s">
        <v>98</v>
      </c>
      <c r="L22" s="33" t="s">
        <v>98</v>
      </c>
      <c r="M22" s="33" t="s">
        <v>98</v>
      </c>
      <c r="N22" s="148" t="s">
        <v>37</v>
      </c>
      <c r="O22" s="33" t="s">
        <v>37</v>
      </c>
      <c r="P22" s="33" t="s">
        <v>37</v>
      </c>
      <c r="Q22" s="33" t="s">
        <v>37</v>
      </c>
      <c r="R22" s="33" t="s">
        <v>37</v>
      </c>
      <c r="S22" s="33" t="s">
        <v>37</v>
      </c>
      <c r="T22" s="33" t="s">
        <v>37</v>
      </c>
      <c r="U22" s="33" t="s">
        <v>37</v>
      </c>
      <c r="V22" s="33" t="s">
        <v>37</v>
      </c>
      <c r="W22" s="33" t="s">
        <v>37</v>
      </c>
      <c r="X22" s="33" t="s">
        <v>37</v>
      </c>
      <c r="Y22" s="33" t="s">
        <v>37</v>
      </c>
      <c r="Z22" s="33" t="s">
        <v>37</v>
      </c>
      <c r="AA22" s="33" t="s">
        <v>37</v>
      </c>
      <c r="AB22" s="33" t="s">
        <v>37</v>
      </c>
      <c r="AC22" s="33" t="s">
        <v>37</v>
      </c>
      <c r="AD22" s="148" t="s">
        <v>128</v>
      </c>
      <c r="AE22" s="33" t="s">
        <v>128</v>
      </c>
      <c r="AF22" s="6">
        <v>1158</v>
      </c>
      <c r="AG22" s="6"/>
      <c r="AH22" s="35">
        <f t="shared" si="0"/>
        <v>348</v>
      </c>
      <c r="AI22" s="35">
        <v>291</v>
      </c>
      <c r="AJ22" s="35">
        <v>1200</v>
      </c>
      <c r="AK22" s="35">
        <f t="shared" si="1"/>
        <v>333</v>
      </c>
      <c r="AL22" s="6"/>
      <c r="AM22" s="6"/>
      <c r="AN22" s="35"/>
      <c r="AO22" s="6">
        <v>642</v>
      </c>
      <c r="AP22" s="6"/>
      <c r="AQ22" s="34">
        <f t="shared" si="2"/>
        <v>351</v>
      </c>
      <c r="AR22" s="35">
        <v>990</v>
      </c>
      <c r="AS22" s="35"/>
      <c r="AT22" s="35">
        <f t="shared" si="3"/>
        <v>348</v>
      </c>
      <c r="AU22" s="6">
        <v>136</v>
      </c>
      <c r="AV22" s="6">
        <v>1200</v>
      </c>
      <c r="AW22" s="35">
        <f t="shared" si="4"/>
        <v>346</v>
      </c>
      <c r="AX22" s="6">
        <v>485</v>
      </c>
      <c r="AY22" s="6"/>
      <c r="AZ22" s="35">
        <f t="shared" si="5"/>
        <v>349</v>
      </c>
      <c r="BA22" s="35">
        <v>835</v>
      </c>
      <c r="BB22" s="35"/>
      <c r="BC22" s="35">
        <f t="shared" si="6"/>
        <v>350</v>
      </c>
      <c r="BD22" s="6">
        <v>0</v>
      </c>
      <c r="BE22" s="6">
        <v>1200</v>
      </c>
      <c r="BF22" s="35">
        <f t="shared" si="7"/>
        <v>365</v>
      </c>
      <c r="BG22" s="6"/>
      <c r="BH22" s="6"/>
      <c r="BI22" s="6"/>
      <c r="BJ22" s="6">
        <v>0</v>
      </c>
      <c r="BK22" s="6"/>
      <c r="BL22" s="6">
        <f t="shared" si="8"/>
        <v>0</v>
      </c>
      <c r="BM22" s="6">
        <v>0</v>
      </c>
      <c r="BN22" s="6"/>
      <c r="BO22" s="6">
        <f t="shared" si="9"/>
        <v>0</v>
      </c>
      <c r="BP22" s="6">
        <v>0</v>
      </c>
      <c r="BQ22" s="6"/>
      <c r="BR22" s="35">
        <f t="shared" si="10"/>
        <v>0</v>
      </c>
      <c r="BS22" s="6">
        <v>0</v>
      </c>
      <c r="BT22" s="6"/>
      <c r="BU22" s="6">
        <f t="shared" si="11"/>
        <v>0</v>
      </c>
      <c r="BV22" s="6">
        <v>173</v>
      </c>
      <c r="BW22" s="6">
        <v>170</v>
      </c>
      <c r="BX22" s="35">
        <f t="shared" si="12"/>
        <v>343</v>
      </c>
      <c r="BY22" s="6">
        <v>524</v>
      </c>
      <c r="BZ22" s="6"/>
      <c r="CA22" s="6">
        <f t="shared" si="13"/>
        <v>351</v>
      </c>
      <c r="CB22" s="6"/>
      <c r="CC22" s="6"/>
      <c r="CD22" s="6"/>
      <c r="CE22" s="6">
        <v>893</v>
      </c>
      <c r="CF22" s="6"/>
      <c r="CG22" s="6">
        <f t="shared" si="14"/>
        <v>369</v>
      </c>
      <c r="CH22" s="6">
        <v>1270</v>
      </c>
      <c r="CI22" s="6"/>
      <c r="CJ22" s="6">
        <f t="shared" si="15"/>
        <v>377</v>
      </c>
      <c r="CK22" s="6">
        <v>1482</v>
      </c>
      <c r="CL22" s="6"/>
      <c r="CM22" s="6">
        <f t="shared" si="16"/>
        <v>212</v>
      </c>
      <c r="CN22" s="6">
        <v>296</v>
      </c>
      <c r="CO22" s="6">
        <v>1560</v>
      </c>
      <c r="CP22" s="6">
        <f t="shared" si="17"/>
        <v>374</v>
      </c>
      <c r="CQ22" s="6">
        <v>671</v>
      </c>
      <c r="CR22" s="6"/>
      <c r="CS22" s="6">
        <f t="shared" si="18"/>
        <v>375</v>
      </c>
      <c r="CT22" s="6">
        <v>1025</v>
      </c>
      <c r="CU22" s="6"/>
      <c r="CV22" s="6">
        <f t="shared" si="19"/>
        <v>354</v>
      </c>
      <c r="CW22" s="6"/>
      <c r="CX22" s="6"/>
      <c r="CY22" s="6"/>
      <c r="CZ22" s="6">
        <v>1403</v>
      </c>
      <c r="DA22" s="6"/>
      <c r="DB22" s="6">
        <f t="shared" si="20"/>
        <v>378</v>
      </c>
      <c r="DC22" s="6">
        <v>216</v>
      </c>
      <c r="DD22" s="6">
        <v>1560</v>
      </c>
      <c r="DE22" s="6">
        <f t="shared" si="21"/>
        <v>373</v>
      </c>
      <c r="DF22" s="6">
        <v>591</v>
      </c>
      <c r="DG22" s="6"/>
      <c r="DH22" s="6">
        <f t="shared" si="22"/>
        <v>375</v>
      </c>
      <c r="DI22" s="6">
        <v>0</v>
      </c>
      <c r="DJ22" s="6">
        <v>792</v>
      </c>
      <c r="DK22" s="6">
        <f t="shared" si="23"/>
        <v>201</v>
      </c>
      <c r="DL22" s="6">
        <v>349</v>
      </c>
      <c r="DM22" s="6"/>
      <c r="DN22" s="6">
        <f t="shared" si="24"/>
        <v>349</v>
      </c>
      <c r="DO22" s="6">
        <v>695</v>
      </c>
      <c r="DP22" s="6"/>
      <c r="DQ22" s="6">
        <f t="shared" si="25"/>
        <v>346</v>
      </c>
    </row>
    <row r="23" spans="1:121">
      <c r="A23" s="6">
        <v>19</v>
      </c>
      <c r="B23" s="6">
        <v>982</v>
      </c>
      <c r="C23" s="6"/>
      <c r="D23" s="8">
        <v>374</v>
      </c>
      <c r="E23" s="33" t="s">
        <v>69</v>
      </c>
      <c r="F23" s="33" t="s">
        <v>69</v>
      </c>
      <c r="G23" s="33" t="s">
        <v>69</v>
      </c>
      <c r="H23" s="33" t="s">
        <v>69</v>
      </c>
      <c r="I23" s="33" t="s">
        <v>69</v>
      </c>
      <c r="J23" s="33" t="s">
        <v>69</v>
      </c>
      <c r="K23" s="33" t="s">
        <v>69</v>
      </c>
      <c r="L23" s="33" t="s">
        <v>69</v>
      </c>
      <c r="M23" s="33" t="s">
        <v>69</v>
      </c>
      <c r="N23" s="33" t="s">
        <v>69</v>
      </c>
      <c r="O23" s="33" t="s">
        <v>69</v>
      </c>
      <c r="P23" s="33" t="s">
        <v>69</v>
      </c>
      <c r="Q23" s="33" t="s">
        <v>69</v>
      </c>
      <c r="R23" s="33" t="s">
        <v>69</v>
      </c>
      <c r="S23" s="33" t="s">
        <v>69</v>
      </c>
      <c r="T23" s="33" t="s">
        <v>69</v>
      </c>
      <c r="U23" s="148" t="s">
        <v>37</v>
      </c>
      <c r="V23" s="33" t="s">
        <v>37</v>
      </c>
      <c r="W23" s="33" t="s">
        <v>37</v>
      </c>
      <c r="X23" s="33" t="s">
        <v>37</v>
      </c>
      <c r="Y23" s="33" t="s">
        <v>37</v>
      </c>
      <c r="Z23" s="33" t="s">
        <v>37</v>
      </c>
      <c r="AA23" s="33" t="s">
        <v>37</v>
      </c>
      <c r="AB23" s="33" t="s">
        <v>37</v>
      </c>
      <c r="AC23" s="33" t="s">
        <v>37</v>
      </c>
      <c r="AD23" s="33" t="s">
        <v>37</v>
      </c>
      <c r="AE23" s="33" t="s">
        <v>37</v>
      </c>
      <c r="AF23" s="6">
        <v>1352</v>
      </c>
      <c r="AG23" s="35"/>
      <c r="AH23" s="35">
        <f t="shared" si="0"/>
        <v>370</v>
      </c>
      <c r="AI23" s="35">
        <v>175</v>
      </c>
      <c r="AJ23" s="35">
        <v>1535</v>
      </c>
      <c r="AK23" s="35">
        <f t="shared" si="1"/>
        <v>358</v>
      </c>
      <c r="AL23" s="6"/>
      <c r="AM23" s="6"/>
      <c r="AN23" s="35"/>
      <c r="AO23" s="6">
        <v>555</v>
      </c>
      <c r="AP23" s="6"/>
      <c r="AQ23" s="34">
        <f t="shared" si="2"/>
        <v>380</v>
      </c>
      <c r="AR23" s="35">
        <v>933</v>
      </c>
      <c r="AS23" s="35"/>
      <c r="AT23" s="35">
        <f t="shared" si="3"/>
        <v>378</v>
      </c>
      <c r="AU23" s="6">
        <v>1309</v>
      </c>
      <c r="AV23" s="6"/>
      <c r="AW23" s="35">
        <f t="shared" si="4"/>
        <v>376</v>
      </c>
      <c r="AX23" s="6">
        <v>119</v>
      </c>
      <c r="AY23" s="6">
        <v>1560</v>
      </c>
      <c r="AZ23" s="35">
        <f t="shared" si="5"/>
        <v>370</v>
      </c>
      <c r="BA23" s="35">
        <v>477</v>
      </c>
      <c r="BB23" s="35"/>
      <c r="BC23" s="35">
        <f t="shared" si="6"/>
        <v>358</v>
      </c>
      <c r="BD23" s="6">
        <v>830</v>
      </c>
      <c r="BE23" s="6"/>
      <c r="BF23" s="35">
        <f t="shared" si="7"/>
        <v>353</v>
      </c>
      <c r="BG23" s="6"/>
      <c r="BH23" s="6"/>
      <c r="BI23" s="6"/>
      <c r="BJ23" s="6">
        <v>1195</v>
      </c>
      <c r="BK23" s="6"/>
      <c r="BL23" s="6">
        <f t="shared" si="8"/>
        <v>365</v>
      </c>
      <c r="BM23" s="6">
        <v>1558</v>
      </c>
      <c r="BN23" s="6"/>
      <c r="BO23" s="6">
        <f t="shared" si="9"/>
        <v>363</v>
      </c>
      <c r="BP23" s="6">
        <v>364</v>
      </c>
      <c r="BQ23" s="6">
        <v>1560</v>
      </c>
      <c r="BR23" s="35">
        <f t="shared" si="10"/>
        <v>366</v>
      </c>
      <c r="BS23" s="6">
        <v>730</v>
      </c>
      <c r="BT23" s="6"/>
      <c r="BU23" s="6">
        <f t="shared" si="11"/>
        <v>366</v>
      </c>
      <c r="BV23" s="6">
        <v>1097</v>
      </c>
      <c r="BW23" s="6"/>
      <c r="BX23" s="35">
        <f t="shared" si="12"/>
        <v>367</v>
      </c>
      <c r="BY23" s="6">
        <v>119</v>
      </c>
      <c r="BZ23" s="6">
        <v>1275</v>
      </c>
      <c r="CA23" s="6">
        <f t="shared" si="13"/>
        <v>297</v>
      </c>
      <c r="CB23" s="6"/>
      <c r="CC23" s="6"/>
      <c r="CD23" s="6"/>
      <c r="CE23" s="6">
        <v>0</v>
      </c>
      <c r="CF23" s="6">
        <v>391</v>
      </c>
      <c r="CG23" s="6">
        <f t="shared" si="14"/>
        <v>272</v>
      </c>
      <c r="CH23" s="6">
        <v>272</v>
      </c>
      <c r="CI23" s="6"/>
      <c r="CJ23" s="6">
        <f t="shared" si="15"/>
        <v>272</v>
      </c>
      <c r="CK23" s="6">
        <v>631</v>
      </c>
      <c r="CL23" s="6"/>
      <c r="CM23" s="6">
        <f t="shared" si="16"/>
        <v>359</v>
      </c>
      <c r="CN23" s="6">
        <v>998</v>
      </c>
      <c r="CO23" s="6"/>
      <c r="CP23" s="6">
        <f t="shared" si="17"/>
        <v>367</v>
      </c>
      <c r="CQ23" s="6">
        <v>1364</v>
      </c>
      <c r="CR23" s="6"/>
      <c r="CS23" s="6">
        <f t="shared" si="18"/>
        <v>366</v>
      </c>
      <c r="CT23" s="6">
        <v>152</v>
      </c>
      <c r="CU23" s="6">
        <v>1560</v>
      </c>
      <c r="CV23" s="6">
        <f t="shared" si="19"/>
        <v>348</v>
      </c>
      <c r="CW23" s="6"/>
      <c r="CX23" s="6"/>
      <c r="CY23" s="6"/>
      <c r="CZ23" s="6">
        <v>522</v>
      </c>
      <c r="DA23" s="6"/>
      <c r="DB23" s="6">
        <f t="shared" si="20"/>
        <v>370</v>
      </c>
      <c r="DC23" s="6">
        <v>888</v>
      </c>
      <c r="DD23" s="6"/>
      <c r="DE23" s="6">
        <f t="shared" si="21"/>
        <v>366</v>
      </c>
      <c r="DF23" s="6">
        <v>1253</v>
      </c>
      <c r="DG23" s="6"/>
      <c r="DH23" s="6">
        <f t="shared" si="22"/>
        <v>365</v>
      </c>
      <c r="DI23" s="6">
        <v>44</v>
      </c>
      <c r="DJ23" s="6">
        <v>1570</v>
      </c>
      <c r="DK23" s="6">
        <f t="shared" si="23"/>
        <v>361</v>
      </c>
      <c r="DL23" s="6">
        <v>412</v>
      </c>
      <c r="DM23" s="6"/>
      <c r="DN23" s="6">
        <f t="shared" si="24"/>
        <v>368</v>
      </c>
      <c r="DO23" s="6">
        <v>751</v>
      </c>
      <c r="DP23" s="6"/>
      <c r="DQ23" s="6">
        <f t="shared" si="25"/>
        <v>339</v>
      </c>
    </row>
    <row r="24" spans="1:121">
      <c r="A24" s="6">
        <v>20</v>
      </c>
      <c r="B24" s="6">
        <v>694</v>
      </c>
      <c r="C24" s="6"/>
      <c r="D24" s="6">
        <v>333</v>
      </c>
      <c r="E24" s="33" t="s">
        <v>95</v>
      </c>
      <c r="F24" s="33" t="s">
        <v>95</v>
      </c>
      <c r="G24" s="33" t="s">
        <v>95</v>
      </c>
      <c r="H24" s="148" t="s">
        <v>98</v>
      </c>
      <c r="I24" s="33" t="s">
        <v>98</v>
      </c>
      <c r="J24" s="33" t="s">
        <v>98</v>
      </c>
      <c r="K24" s="167" t="s">
        <v>37</v>
      </c>
      <c r="L24" s="169" t="s">
        <v>37</v>
      </c>
      <c r="M24" s="169" t="s">
        <v>37</v>
      </c>
      <c r="N24" s="169" t="s">
        <v>37</v>
      </c>
      <c r="O24" s="169" t="s">
        <v>37</v>
      </c>
      <c r="P24" s="169" t="s">
        <v>37</v>
      </c>
      <c r="Q24" s="169" t="s">
        <v>37</v>
      </c>
      <c r="R24" s="169" t="s">
        <v>37</v>
      </c>
      <c r="S24" s="169" t="s">
        <v>37</v>
      </c>
      <c r="T24" s="169" t="s">
        <v>37</v>
      </c>
      <c r="U24" s="169" t="s">
        <v>37</v>
      </c>
      <c r="V24" s="169" t="s">
        <v>37</v>
      </c>
      <c r="W24" s="169" t="s">
        <v>37</v>
      </c>
      <c r="X24" s="169" t="s">
        <v>37</v>
      </c>
      <c r="Y24" s="169" t="s">
        <v>37</v>
      </c>
      <c r="Z24" s="169" t="s">
        <v>37</v>
      </c>
      <c r="AA24" s="169" t="s">
        <v>37</v>
      </c>
      <c r="AB24" s="169" t="s">
        <v>37</v>
      </c>
      <c r="AC24" s="169" t="s">
        <v>37</v>
      </c>
      <c r="AD24" s="169" t="s">
        <v>37</v>
      </c>
      <c r="AE24" s="169" t="s">
        <v>37</v>
      </c>
      <c r="AF24" s="6">
        <v>1037</v>
      </c>
      <c r="AG24" s="6"/>
      <c r="AH24" s="35">
        <f t="shared" si="0"/>
        <v>343</v>
      </c>
      <c r="AI24" s="35">
        <v>0</v>
      </c>
      <c r="AJ24" s="35">
        <v>1285</v>
      </c>
      <c r="AK24" s="35">
        <f t="shared" si="1"/>
        <v>248</v>
      </c>
      <c r="AL24" s="6"/>
      <c r="AM24" s="6"/>
      <c r="AN24" s="35"/>
      <c r="AO24" s="6">
        <v>335</v>
      </c>
      <c r="AP24" s="6"/>
      <c r="AQ24" s="34">
        <f t="shared" si="2"/>
        <v>335</v>
      </c>
      <c r="AR24" s="35">
        <v>685</v>
      </c>
      <c r="AS24" s="35"/>
      <c r="AT24" s="35">
        <f t="shared" si="3"/>
        <v>350</v>
      </c>
      <c r="AU24" s="6">
        <v>1032</v>
      </c>
      <c r="AV24" s="6"/>
      <c r="AW24" s="35">
        <f t="shared" si="4"/>
        <v>347</v>
      </c>
      <c r="AX24" s="6">
        <v>277</v>
      </c>
      <c r="AY24" s="6">
        <v>1049</v>
      </c>
      <c r="AZ24" s="35">
        <f t="shared" si="5"/>
        <v>294</v>
      </c>
      <c r="BA24" s="35">
        <v>656</v>
      </c>
      <c r="BB24" s="35"/>
      <c r="BC24" s="35">
        <f t="shared" si="6"/>
        <v>379</v>
      </c>
      <c r="BD24" s="6">
        <v>1023</v>
      </c>
      <c r="BE24" s="6"/>
      <c r="BF24" s="35">
        <f t="shared" si="7"/>
        <v>367</v>
      </c>
      <c r="BG24" s="6"/>
      <c r="BH24" s="6"/>
      <c r="BI24" s="6"/>
      <c r="BJ24" s="6">
        <v>1</v>
      </c>
      <c r="BK24" s="6">
        <v>1400</v>
      </c>
      <c r="BL24" s="6">
        <f t="shared" si="8"/>
        <v>378</v>
      </c>
      <c r="BM24" s="6">
        <v>362</v>
      </c>
      <c r="BN24" s="6"/>
      <c r="BO24" s="6">
        <f t="shared" si="9"/>
        <v>361</v>
      </c>
      <c r="BP24" s="6">
        <v>731</v>
      </c>
      <c r="BQ24" s="6"/>
      <c r="BR24" s="35">
        <f t="shared" si="10"/>
        <v>369</v>
      </c>
      <c r="BS24" s="6">
        <v>1098</v>
      </c>
      <c r="BT24" s="6"/>
      <c r="BU24" s="6">
        <f t="shared" si="11"/>
        <v>367</v>
      </c>
      <c r="BV24" s="6">
        <v>1466</v>
      </c>
      <c r="BW24" s="6"/>
      <c r="BX24" s="35">
        <f t="shared" si="12"/>
        <v>368</v>
      </c>
      <c r="BY24" s="6">
        <v>241</v>
      </c>
      <c r="BZ24" s="6">
        <v>1560</v>
      </c>
      <c r="CA24" s="6">
        <f t="shared" si="13"/>
        <v>335</v>
      </c>
      <c r="CB24" s="6"/>
      <c r="CC24" s="6"/>
      <c r="CD24" s="6"/>
      <c r="CE24" s="6">
        <v>84</v>
      </c>
      <c r="CF24" s="6">
        <v>512</v>
      </c>
      <c r="CG24" s="6">
        <f t="shared" si="14"/>
        <v>355</v>
      </c>
      <c r="CH24" s="6">
        <v>458</v>
      </c>
      <c r="CI24" s="6"/>
      <c r="CJ24" s="6">
        <f t="shared" si="15"/>
        <v>374</v>
      </c>
      <c r="CK24" s="6">
        <v>824</v>
      </c>
      <c r="CL24" s="6"/>
      <c r="CM24" s="6">
        <f t="shared" si="16"/>
        <v>366</v>
      </c>
      <c r="CN24" s="6">
        <v>1190</v>
      </c>
      <c r="CO24" s="6"/>
      <c r="CP24" s="6">
        <f t="shared" si="17"/>
        <v>366</v>
      </c>
      <c r="CQ24" s="6">
        <v>1551</v>
      </c>
      <c r="CR24" s="6"/>
      <c r="CS24" s="6">
        <f t="shared" si="18"/>
        <v>361</v>
      </c>
      <c r="CT24" s="6">
        <v>331</v>
      </c>
      <c r="CU24" s="6">
        <v>1560</v>
      </c>
      <c r="CV24" s="6">
        <f t="shared" si="19"/>
        <v>340</v>
      </c>
      <c r="CW24" s="6"/>
      <c r="CX24" s="6"/>
      <c r="CY24" s="6"/>
      <c r="CZ24" s="6">
        <v>681</v>
      </c>
      <c r="DA24" s="6"/>
      <c r="DB24" s="6">
        <f t="shared" si="20"/>
        <v>350</v>
      </c>
      <c r="DC24" s="6">
        <v>1043</v>
      </c>
      <c r="DD24" s="6"/>
      <c r="DE24" s="6">
        <f t="shared" si="21"/>
        <v>362</v>
      </c>
      <c r="DF24" s="6">
        <v>1397</v>
      </c>
      <c r="DG24" s="6"/>
      <c r="DH24" s="6">
        <f t="shared" si="22"/>
        <v>354</v>
      </c>
      <c r="DI24" s="6">
        <v>194</v>
      </c>
      <c r="DJ24" s="6">
        <v>1560</v>
      </c>
      <c r="DK24" s="6">
        <f t="shared" si="23"/>
        <v>357</v>
      </c>
      <c r="DL24" s="6">
        <v>552</v>
      </c>
      <c r="DM24" s="6"/>
      <c r="DN24" s="6">
        <f t="shared" si="24"/>
        <v>358</v>
      </c>
      <c r="DO24" s="6">
        <v>876</v>
      </c>
      <c r="DP24" s="6"/>
      <c r="DQ24" s="6">
        <f t="shared" si="25"/>
        <v>324</v>
      </c>
    </row>
    <row r="25" spans="1:121">
      <c r="A25" s="6">
        <v>21</v>
      </c>
      <c r="B25" s="6">
        <v>612</v>
      </c>
      <c r="C25" s="6"/>
      <c r="D25" s="6">
        <v>361</v>
      </c>
      <c r="E25" s="33" t="s">
        <v>37</v>
      </c>
      <c r="F25" s="33" t="s">
        <v>37</v>
      </c>
      <c r="G25" s="33" t="s">
        <v>37</v>
      </c>
      <c r="H25" s="33" t="s">
        <v>37</v>
      </c>
      <c r="I25" s="33" t="s">
        <v>37</v>
      </c>
      <c r="J25" s="33" t="s">
        <v>37</v>
      </c>
      <c r="K25" s="33" t="s">
        <v>37</v>
      </c>
      <c r="L25" s="33" t="s">
        <v>37</v>
      </c>
      <c r="M25" s="33" t="s">
        <v>37</v>
      </c>
      <c r="N25" s="33" t="s">
        <v>37</v>
      </c>
      <c r="O25" s="33" t="s">
        <v>37</v>
      </c>
      <c r="P25" s="33" t="s">
        <v>37</v>
      </c>
      <c r="Q25" s="33" t="s">
        <v>37</v>
      </c>
      <c r="R25" s="33" t="s">
        <v>37</v>
      </c>
      <c r="S25" s="33" t="s">
        <v>37</v>
      </c>
      <c r="T25" s="33" t="s">
        <v>37</v>
      </c>
      <c r="U25" s="33" t="s">
        <v>37</v>
      </c>
      <c r="V25" s="148" t="s">
        <v>37</v>
      </c>
      <c r="W25" s="33" t="s">
        <v>37</v>
      </c>
      <c r="X25" s="33" t="s">
        <v>37</v>
      </c>
      <c r="Y25" s="33" t="s">
        <v>37</v>
      </c>
      <c r="Z25" s="33" t="s">
        <v>37</v>
      </c>
      <c r="AA25" s="33" t="s">
        <v>37</v>
      </c>
      <c r="AB25" s="33" t="s">
        <v>37</v>
      </c>
      <c r="AC25" s="33" t="s">
        <v>37</v>
      </c>
      <c r="AD25" s="33" t="s">
        <v>37</v>
      </c>
      <c r="AE25" s="33" t="s">
        <v>37</v>
      </c>
      <c r="AF25" s="6">
        <v>987</v>
      </c>
      <c r="AG25" s="6"/>
      <c r="AH25" s="35">
        <f t="shared" si="0"/>
        <v>375</v>
      </c>
      <c r="AI25" s="35">
        <v>1340</v>
      </c>
      <c r="AJ25" s="35"/>
      <c r="AK25" s="35">
        <f t="shared" si="1"/>
        <v>353</v>
      </c>
      <c r="AL25" s="6"/>
      <c r="AM25" s="6"/>
      <c r="AN25" s="35"/>
      <c r="AO25" s="6">
        <v>231</v>
      </c>
      <c r="AP25" s="6">
        <v>1459</v>
      </c>
      <c r="AQ25" s="34">
        <f t="shared" si="2"/>
        <v>350</v>
      </c>
      <c r="AR25" s="35">
        <v>602</v>
      </c>
      <c r="AS25" s="35"/>
      <c r="AT25" s="35">
        <f t="shared" si="3"/>
        <v>371</v>
      </c>
      <c r="AU25" s="6">
        <v>950</v>
      </c>
      <c r="AV25" s="6"/>
      <c r="AW25" s="35">
        <f t="shared" si="4"/>
        <v>348</v>
      </c>
      <c r="AX25" s="6">
        <v>1317</v>
      </c>
      <c r="AY25" s="6"/>
      <c r="AZ25" s="35">
        <f t="shared" si="5"/>
        <v>367</v>
      </c>
      <c r="BA25" s="35">
        <v>115</v>
      </c>
      <c r="BB25" s="35">
        <v>1560</v>
      </c>
      <c r="BC25" s="35">
        <f t="shared" si="6"/>
        <v>358</v>
      </c>
      <c r="BD25" s="6">
        <v>460</v>
      </c>
      <c r="BE25" s="6"/>
      <c r="BF25" s="35">
        <f t="shared" si="7"/>
        <v>345</v>
      </c>
      <c r="BG25" s="6"/>
      <c r="BH25" s="6"/>
      <c r="BI25" s="6"/>
      <c r="BJ25" s="6">
        <v>328</v>
      </c>
      <c r="BK25" s="6">
        <v>496</v>
      </c>
      <c r="BL25" s="6">
        <f t="shared" si="8"/>
        <v>364</v>
      </c>
      <c r="BM25" s="6">
        <v>691</v>
      </c>
      <c r="BN25" s="6"/>
      <c r="BO25" s="6">
        <f t="shared" si="9"/>
        <v>363</v>
      </c>
      <c r="BP25" s="6">
        <v>1060</v>
      </c>
      <c r="BQ25" s="6"/>
      <c r="BR25" s="35">
        <f t="shared" si="10"/>
        <v>369</v>
      </c>
      <c r="BS25" s="6">
        <v>1423</v>
      </c>
      <c r="BT25" s="6"/>
      <c r="BU25" s="6">
        <f t="shared" si="11"/>
        <v>363</v>
      </c>
      <c r="BV25" s="6">
        <v>231</v>
      </c>
      <c r="BW25" s="6">
        <v>1560</v>
      </c>
      <c r="BX25" s="35">
        <f t="shared" si="12"/>
        <v>368</v>
      </c>
      <c r="BY25" s="6">
        <v>579</v>
      </c>
      <c r="BZ25" s="6"/>
      <c r="CA25" s="6">
        <f t="shared" si="13"/>
        <v>348</v>
      </c>
      <c r="CB25" s="6"/>
      <c r="CC25" s="6"/>
      <c r="CD25" s="6"/>
      <c r="CE25" s="6">
        <v>327</v>
      </c>
      <c r="CF25" s="6">
        <v>615</v>
      </c>
      <c r="CG25" s="6">
        <f t="shared" si="14"/>
        <v>363</v>
      </c>
      <c r="CH25" s="6">
        <v>0</v>
      </c>
      <c r="CI25" s="6">
        <v>606</v>
      </c>
      <c r="CJ25" s="6">
        <f t="shared" si="15"/>
        <v>279</v>
      </c>
      <c r="CK25" s="6">
        <v>332</v>
      </c>
      <c r="CL25" s="6"/>
      <c r="CM25" s="6">
        <f t="shared" si="16"/>
        <v>332</v>
      </c>
      <c r="CN25" s="6">
        <v>696</v>
      </c>
      <c r="CO25" s="6"/>
      <c r="CP25" s="6">
        <f t="shared" si="17"/>
        <v>364</v>
      </c>
      <c r="CQ25" s="6">
        <v>1057</v>
      </c>
      <c r="CR25" s="6"/>
      <c r="CS25" s="6">
        <f t="shared" si="18"/>
        <v>361</v>
      </c>
      <c r="CT25" s="6">
        <v>1391</v>
      </c>
      <c r="CU25" s="6"/>
      <c r="CV25" s="6">
        <f t="shared" si="19"/>
        <v>334</v>
      </c>
      <c r="CW25" s="6"/>
      <c r="CX25" s="6"/>
      <c r="CY25" s="6"/>
      <c r="CZ25" s="6">
        <v>201</v>
      </c>
      <c r="DA25" s="6">
        <v>1560</v>
      </c>
      <c r="DB25" s="6">
        <f t="shared" si="20"/>
        <v>370</v>
      </c>
      <c r="DC25" s="6">
        <v>567</v>
      </c>
      <c r="DD25" s="6"/>
      <c r="DE25" s="6">
        <f t="shared" si="21"/>
        <v>366</v>
      </c>
      <c r="DF25" s="6">
        <v>934</v>
      </c>
      <c r="DG25" s="6"/>
      <c r="DH25" s="6">
        <f t="shared" si="22"/>
        <v>367</v>
      </c>
      <c r="DI25" s="6">
        <v>1291</v>
      </c>
      <c r="DJ25" s="6"/>
      <c r="DK25" s="6">
        <f t="shared" si="23"/>
        <v>357</v>
      </c>
      <c r="DL25" s="6">
        <v>100</v>
      </c>
      <c r="DM25" s="6">
        <v>1560</v>
      </c>
      <c r="DN25" s="6">
        <f t="shared" si="24"/>
        <v>369</v>
      </c>
      <c r="DO25" s="6">
        <v>439</v>
      </c>
      <c r="DP25" s="6"/>
      <c r="DQ25" s="6">
        <f t="shared" si="25"/>
        <v>339</v>
      </c>
    </row>
    <row r="26" spans="1:121">
      <c r="A26" s="6">
        <v>22</v>
      </c>
      <c r="B26" s="6">
        <v>57</v>
      </c>
      <c r="C26" s="8">
        <v>1561</v>
      </c>
      <c r="D26" s="8">
        <v>368</v>
      </c>
      <c r="E26" s="33" t="s">
        <v>69</v>
      </c>
      <c r="F26" s="33" t="s">
        <v>69</v>
      </c>
      <c r="G26" s="33" t="s">
        <v>69</v>
      </c>
      <c r="H26" s="33" t="s">
        <v>69</v>
      </c>
      <c r="I26" s="33" t="s">
        <v>69</v>
      </c>
      <c r="J26" s="33" t="s">
        <v>69</v>
      </c>
      <c r="K26" s="33" t="s">
        <v>69</v>
      </c>
      <c r="L26" s="33" t="s">
        <v>69</v>
      </c>
      <c r="M26" s="33" t="s">
        <v>69</v>
      </c>
      <c r="N26" s="33" t="s">
        <v>69</v>
      </c>
      <c r="O26" s="33" t="s">
        <v>69</v>
      </c>
      <c r="P26" s="33" t="s">
        <v>69</v>
      </c>
      <c r="Q26" s="33" t="s">
        <v>69</v>
      </c>
      <c r="R26" s="33" t="s">
        <v>69</v>
      </c>
      <c r="S26" s="148" t="s">
        <v>37</v>
      </c>
      <c r="T26" s="33" t="s">
        <v>37</v>
      </c>
      <c r="U26" s="33" t="s">
        <v>37</v>
      </c>
      <c r="V26" s="33" t="s">
        <v>37</v>
      </c>
      <c r="W26" s="33" t="s">
        <v>37</v>
      </c>
      <c r="X26" s="33" t="s">
        <v>37</v>
      </c>
      <c r="Y26" s="33" t="s">
        <v>37</v>
      </c>
      <c r="Z26" s="33" t="s">
        <v>37</v>
      </c>
      <c r="AA26" s="33" t="s">
        <v>37</v>
      </c>
      <c r="AB26" s="33" t="s">
        <v>37</v>
      </c>
      <c r="AC26" s="33" t="s">
        <v>37</v>
      </c>
      <c r="AD26" s="33" t="s">
        <v>37</v>
      </c>
      <c r="AE26" s="33" t="s">
        <v>37</v>
      </c>
      <c r="AF26" s="6">
        <v>438</v>
      </c>
      <c r="AG26" s="6"/>
      <c r="AH26" s="35">
        <f t="shared" si="0"/>
        <v>381</v>
      </c>
      <c r="AI26" s="35">
        <v>801</v>
      </c>
      <c r="AJ26" s="35"/>
      <c r="AK26" s="35">
        <f t="shared" si="1"/>
        <v>363</v>
      </c>
      <c r="AL26" s="6"/>
      <c r="AM26" s="6"/>
      <c r="AN26" s="35"/>
      <c r="AO26" s="6">
        <v>1181</v>
      </c>
      <c r="AP26" s="6"/>
      <c r="AQ26" s="34">
        <f t="shared" si="2"/>
        <v>380</v>
      </c>
      <c r="AR26" s="35">
        <v>1</v>
      </c>
      <c r="AS26" s="35">
        <v>1560</v>
      </c>
      <c r="AT26" s="35">
        <f t="shared" si="3"/>
        <v>380</v>
      </c>
      <c r="AU26" s="6">
        <v>365</v>
      </c>
      <c r="AV26" s="6"/>
      <c r="AW26" s="35">
        <f t="shared" si="4"/>
        <v>364</v>
      </c>
      <c r="AX26" s="6">
        <v>738</v>
      </c>
      <c r="AY26" s="6"/>
      <c r="AZ26" s="35">
        <f t="shared" si="5"/>
        <v>373</v>
      </c>
      <c r="BA26" s="35">
        <v>1111</v>
      </c>
      <c r="BB26" s="35"/>
      <c r="BC26" s="35">
        <f t="shared" si="6"/>
        <v>373</v>
      </c>
      <c r="BD26" s="6">
        <v>1476</v>
      </c>
      <c r="BE26" s="6"/>
      <c r="BF26" s="35">
        <f t="shared" si="7"/>
        <v>365</v>
      </c>
      <c r="BG26" s="6"/>
      <c r="BH26" s="6"/>
      <c r="BI26" s="6"/>
      <c r="BJ26" s="6">
        <v>290</v>
      </c>
      <c r="BK26" s="6">
        <v>1560</v>
      </c>
      <c r="BL26" s="6">
        <f t="shared" si="8"/>
        <v>374</v>
      </c>
      <c r="BM26" s="6">
        <v>627</v>
      </c>
      <c r="BN26" s="6"/>
      <c r="BO26" s="6">
        <f t="shared" si="9"/>
        <v>337</v>
      </c>
      <c r="BP26" s="6">
        <v>1021</v>
      </c>
      <c r="BQ26" s="6"/>
      <c r="BR26" s="35">
        <f t="shared" si="10"/>
        <v>394</v>
      </c>
      <c r="BS26" s="6">
        <v>0</v>
      </c>
      <c r="BT26" s="6">
        <v>1384</v>
      </c>
      <c r="BU26" s="6">
        <f t="shared" si="11"/>
        <v>363</v>
      </c>
      <c r="BV26" s="6">
        <v>0</v>
      </c>
      <c r="BW26" s="6"/>
      <c r="BX26" s="35">
        <f t="shared" si="12"/>
        <v>0</v>
      </c>
      <c r="BY26" s="6">
        <v>0</v>
      </c>
      <c r="BZ26" s="6"/>
      <c r="CA26" s="6">
        <f t="shared" si="13"/>
        <v>0</v>
      </c>
      <c r="CB26" s="6"/>
      <c r="CC26" s="6"/>
      <c r="CD26" s="6"/>
      <c r="CE26" s="6">
        <v>0</v>
      </c>
      <c r="CF26" s="6"/>
      <c r="CG26" s="6">
        <f t="shared" si="14"/>
        <v>0</v>
      </c>
      <c r="CH26" s="6">
        <v>276</v>
      </c>
      <c r="CI26" s="6"/>
      <c r="CJ26" s="6">
        <f t="shared" si="15"/>
        <v>276</v>
      </c>
      <c r="CK26" s="6">
        <v>628</v>
      </c>
      <c r="CL26" s="6"/>
      <c r="CM26" s="6">
        <f t="shared" si="16"/>
        <v>352</v>
      </c>
      <c r="CN26" s="6">
        <v>984</v>
      </c>
      <c r="CO26" s="6"/>
      <c r="CP26" s="6">
        <f t="shared" si="17"/>
        <v>356</v>
      </c>
      <c r="CQ26" s="6">
        <v>1343</v>
      </c>
      <c r="CR26" s="6"/>
      <c r="CS26" s="6">
        <f t="shared" si="18"/>
        <v>359</v>
      </c>
      <c r="CT26" s="6">
        <v>137</v>
      </c>
      <c r="CU26" s="6">
        <v>1560</v>
      </c>
      <c r="CV26" s="6">
        <f t="shared" si="19"/>
        <v>354</v>
      </c>
      <c r="CW26" s="6"/>
      <c r="CX26" s="6"/>
      <c r="CY26" s="6"/>
      <c r="CZ26" s="6">
        <v>511</v>
      </c>
      <c r="DA26" s="6"/>
      <c r="DB26" s="6">
        <f t="shared" si="20"/>
        <v>374</v>
      </c>
      <c r="DC26" s="6">
        <v>882</v>
      </c>
      <c r="DD26" s="6"/>
      <c r="DE26" s="6">
        <f t="shared" si="21"/>
        <v>371</v>
      </c>
      <c r="DF26" s="6">
        <v>1254</v>
      </c>
      <c r="DG26" s="6"/>
      <c r="DH26" s="6">
        <f t="shared" si="22"/>
        <v>372</v>
      </c>
      <c r="DI26" s="6">
        <v>64</v>
      </c>
      <c r="DJ26" s="6">
        <v>1557</v>
      </c>
      <c r="DK26" s="6">
        <f t="shared" si="23"/>
        <v>367</v>
      </c>
      <c r="DL26" s="6">
        <v>435</v>
      </c>
      <c r="DM26" s="6"/>
      <c r="DN26" s="6">
        <f t="shared" si="24"/>
        <v>371</v>
      </c>
      <c r="DO26" s="6">
        <v>773</v>
      </c>
      <c r="DP26" s="6"/>
      <c r="DQ26" s="6">
        <f t="shared" si="25"/>
        <v>338</v>
      </c>
    </row>
    <row r="27" spans="1:121">
      <c r="A27" s="6">
        <v>23</v>
      </c>
      <c r="B27" s="6">
        <v>0</v>
      </c>
      <c r="C27" s="6">
        <v>595</v>
      </c>
      <c r="D27" s="6">
        <v>263</v>
      </c>
      <c r="E27" s="33" t="s">
        <v>37</v>
      </c>
      <c r="F27" s="148" t="s">
        <v>37</v>
      </c>
      <c r="G27" s="33" t="s">
        <v>37</v>
      </c>
      <c r="H27" s="33" t="s">
        <v>37</v>
      </c>
      <c r="I27" s="33" t="s">
        <v>37</v>
      </c>
      <c r="J27" s="33" t="s">
        <v>37</v>
      </c>
      <c r="K27" s="33" t="s">
        <v>37</v>
      </c>
      <c r="L27" s="33" t="s">
        <v>37</v>
      </c>
      <c r="M27" s="33" t="s">
        <v>37</v>
      </c>
      <c r="N27" s="33" t="s">
        <v>37</v>
      </c>
      <c r="O27" s="33" t="s">
        <v>37</v>
      </c>
      <c r="P27" s="33" t="s">
        <v>37</v>
      </c>
      <c r="Q27" s="33" t="s">
        <v>37</v>
      </c>
      <c r="R27" s="33" t="s">
        <v>37</v>
      </c>
      <c r="S27" s="33" t="s">
        <v>37</v>
      </c>
      <c r="T27" s="33" t="s">
        <v>37</v>
      </c>
      <c r="U27" s="33" t="s">
        <v>37</v>
      </c>
      <c r="V27" s="33" t="s">
        <v>37</v>
      </c>
      <c r="W27" s="33" t="s">
        <v>37</v>
      </c>
      <c r="X27" s="33" t="s">
        <v>37</v>
      </c>
      <c r="Y27" s="33" t="s">
        <v>37</v>
      </c>
      <c r="Z27" s="33" t="s">
        <v>37</v>
      </c>
      <c r="AA27" s="33" t="s">
        <v>37</v>
      </c>
      <c r="AB27" s="148" t="s">
        <v>37</v>
      </c>
      <c r="AC27" s="33" t="s">
        <v>37</v>
      </c>
      <c r="AD27" s="33" t="s">
        <v>37</v>
      </c>
      <c r="AE27" s="33" t="s">
        <v>37</v>
      </c>
      <c r="AF27" s="35">
        <v>346</v>
      </c>
      <c r="AG27" s="35"/>
      <c r="AH27" s="35">
        <f t="shared" si="0"/>
        <v>346</v>
      </c>
      <c r="AI27" s="35">
        <v>709</v>
      </c>
      <c r="AJ27" s="35"/>
      <c r="AK27" s="35">
        <f t="shared" si="1"/>
        <v>363</v>
      </c>
      <c r="AL27" s="35"/>
      <c r="AM27" s="35"/>
      <c r="AN27" s="35"/>
      <c r="AO27" s="35">
        <v>1089</v>
      </c>
      <c r="AP27" s="35"/>
      <c r="AQ27" s="34">
        <f t="shared" si="2"/>
        <v>380</v>
      </c>
      <c r="AR27" s="35">
        <v>1470</v>
      </c>
      <c r="AS27" s="35"/>
      <c r="AT27" s="35">
        <f t="shared" si="3"/>
        <v>381</v>
      </c>
      <c r="AU27" s="6">
        <v>284</v>
      </c>
      <c r="AV27" s="6">
        <v>1560</v>
      </c>
      <c r="AW27" s="35">
        <f t="shared" si="4"/>
        <v>374</v>
      </c>
      <c r="AX27" s="35">
        <v>665</v>
      </c>
      <c r="AY27" s="35"/>
      <c r="AZ27" s="35">
        <f t="shared" si="5"/>
        <v>381</v>
      </c>
      <c r="BA27" s="35">
        <v>1044</v>
      </c>
      <c r="BB27" s="35"/>
      <c r="BC27" s="35">
        <f t="shared" si="6"/>
        <v>379</v>
      </c>
      <c r="BD27" s="35">
        <v>1412</v>
      </c>
      <c r="BE27" s="35"/>
      <c r="BF27" s="35">
        <f t="shared" si="7"/>
        <v>368</v>
      </c>
      <c r="BG27" s="35"/>
      <c r="BH27" s="35"/>
      <c r="BI27" s="35"/>
      <c r="BJ27" s="35">
        <v>227</v>
      </c>
      <c r="BK27" s="35">
        <v>1560</v>
      </c>
      <c r="BL27" s="6">
        <f t="shared" si="8"/>
        <v>375</v>
      </c>
      <c r="BM27" s="35">
        <v>598</v>
      </c>
      <c r="BN27" s="35"/>
      <c r="BO27" s="6">
        <f t="shared" si="9"/>
        <v>371</v>
      </c>
      <c r="BP27" s="6">
        <v>976</v>
      </c>
      <c r="BQ27" s="6"/>
      <c r="BR27" s="35">
        <f t="shared" si="10"/>
        <v>378</v>
      </c>
      <c r="BS27" s="35">
        <v>1343</v>
      </c>
      <c r="BT27" s="35"/>
      <c r="BU27" s="6">
        <f t="shared" si="11"/>
        <v>367</v>
      </c>
      <c r="BV27" s="35">
        <v>155</v>
      </c>
      <c r="BW27" s="6">
        <v>1560</v>
      </c>
      <c r="BX27" s="35">
        <f t="shared" si="12"/>
        <v>372</v>
      </c>
      <c r="BY27" s="35">
        <v>515</v>
      </c>
      <c r="BZ27" s="35"/>
      <c r="CA27" s="6">
        <f t="shared" si="13"/>
        <v>360</v>
      </c>
      <c r="CB27" s="35"/>
      <c r="CC27" s="35"/>
      <c r="CD27" s="35"/>
      <c r="CE27" s="6">
        <v>886</v>
      </c>
      <c r="CF27" s="35"/>
      <c r="CG27" s="6">
        <f t="shared" si="14"/>
        <v>371</v>
      </c>
      <c r="CH27" s="6">
        <v>1262</v>
      </c>
      <c r="CI27" s="6"/>
      <c r="CJ27" s="6">
        <f t="shared" si="15"/>
        <v>376</v>
      </c>
      <c r="CK27" s="6">
        <v>1471</v>
      </c>
      <c r="CL27" s="6"/>
      <c r="CM27" s="6">
        <f t="shared" si="16"/>
        <v>209</v>
      </c>
      <c r="CN27" s="6">
        <v>285</v>
      </c>
      <c r="CO27" s="6">
        <v>1560</v>
      </c>
      <c r="CP27" s="6">
        <f t="shared" si="17"/>
        <v>374</v>
      </c>
      <c r="CQ27" s="6">
        <v>658</v>
      </c>
      <c r="CR27" s="6"/>
      <c r="CS27" s="6">
        <f t="shared" si="18"/>
        <v>373</v>
      </c>
      <c r="CT27" s="6">
        <v>1009</v>
      </c>
      <c r="CU27" s="6"/>
      <c r="CV27" s="6">
        <f t="shared" si="19"/>
        <v>351</v>
      </c>
      <c r="CW27" s="6"/>
      <c r="CX27" s="6"/>
      <c r="CY27" s="6"/>
      <c r="CZ27" s="6">
        <v>1385</v>
      </c>
      <c r="DA27" s="6"/>
      <c r="DB27" s="6">
        <f t="shared" si="20"/>
        <v>376</v>
      </c>
      <c r="DC27" s="6">
        <v>0</v>
      </c>
      <c r="DD27" s="6">
        <v>1628</v>
      </c>
      <c r="DE27" s="6">
        <f t="shared" si="21"/>
        <v>243</v>
      </c>
      <c r="DF27" s="6">
        <v>318</v>
      </c>
      <c r="DG27" s="6"/>
      <c r="DH27" s="6">
        <f t="shared" si="22"/>
        <v>318</v>
      </c>
      <c r="DI27" s="6">
        <v>691</v>
      </c>
      <c r="DJ27" s="6"/>
      <c r="DK27" s="6">
        <f t="shared" si="23"/>
        <v>373</v>
      </c>
      <c r="DL27" s="6">
        <v>1067</v>
      </c>
      <c r="DM27" s="6"/>
      <c r="DN27" s="6">
        <f t="shared" si="24"/>
        <v>376</v>
      </c>
      <c r="DO27" s="6">
        <v>1417</v>
      </c>
      <c r="DP27" s="6"/>
      <c r="DQ27" s="6">
        <f t="shared" si="25"/>
        <v>350</v>
      </c>
    </row>
    <row r="28" spans="1:121">
      <c r="A28" s="6">
        <v>24</v>
      </c>
      <c r="B28" s="6">
        <v>0</v>
      </c>
      <c r="C28" s="6">
        <v>975</v>
      </c>
      <c r="D28" s="6">
        <v>210</v>
      </c>
      <c r="E28" s="33" t="s">
        <v>37</v>
      </c>
      <c r="F28" s="148" t="s">
        <v>37</v>
      </c>
      <c r="G28" s="33" t="s">
        <v>37</v>
      </c>
      <c r="H28" s="33" t="s">
        <v>37</v>
      </c>
      <c r="I28" s="33" t="s">
        <v>37</v>
      </c>
      <c r="J28" s="33" t="s">
        <v>37</v>
      </c>
      <c r="K28" s="33" t="s">
        <v>37</v>
      </c>
      <c r="L28" s="33" t="s">
        <v>37</v>
      </c>
      <c r="M28" s="33" t="s">
        <v>37</v>
      </c>
      <c r="N28" s="33" t="s">
        <v>37</v>
      </c>
      <c r="O28" s="33" t="s">
        <v>37</v>
      </c>
      <c r="P28" s="33" t="s">
        <v>37</v>
      </c>
      <c r="Q28" s="33" t="s">
        <v>37</v>
      </c>
      <c r="R28" s="33" t="s">
        <v>37</v>
      </c>
      <c r="S28" s="33" t="s">
        <v>37</v>
      </c>
      <c r="T28" s="33" t="s">
        <v>37</v>
      </c>
      <c r="U28" s="33" t="s">
        <v>37</v>
      </c>
      <c r="V28" s="33" t="s">
        <v>37</v>
      </c>
      <c r="W28" s="33" t="s">
        <v>37</v>
      </c>
      <c r="X28" s="33" t="s">
        <v>37</v>
      </c>
      <c r="Y28" s="33" t="s">
        <v>37</v>
      </c>
      <c r="Z28" s="33" t="s">
        <v>37</v>
      </c>
      <c r="AA28" s="33" t="s">
        <v>37</v>
      </c>
      <c r="AB28" s="148" t="s">
        <v>37</v>
      </c>
      <c r="AC28" s="33" t="s">
        <v>37</v>
      </c>
      <c r="AD28" s="33" t="s">
        <v>37</v>
      </c>
      <c r="AE28" s="33" t="s">
        <v>37</v>
      </c>
      <c r="AF28" s="6">
        <v>349</v>
      </c>
      <c r="AG28" s="6"/>
      <c r="AH28" s="35">
        <f t="shared" si="0"/>
        <v>349</v>
      </c>
      <c r="AI28" s="35">
        <v>709</v>
      </c>
      <c r="AJ28" s="35"/>
      <c r="AK28" s="35">
        <f t="shared" si="1"/>
        <v>360</v>
      </c>
      <c r="AL28" s="6"/>
      <c r="AM28" s="6"/>
      <c r="AN28" s="35"/>
      <c r="AO28" s="6">
        <v>1088</v>
      </c>
      <c r="AP28" s="6"/>
      <c r="AQ28" s="34">
        <f t="shared" si="2"/>
        <v>379</v>
      </c>
      <c r="AR28" s="35">
        <v>1463</v>
      </c>
      <c r="AS28" s="35"/>
      <c r="AT28" s="35">
        <f t="shared" si="3"/>
        <v>375</v>
      </c>
      <c r="AU28" s="6">
        <v>276</v>
      </c>
      <c r="AV28" s="6">
        <v>1560</v>
      </c>
      <c r="AW28" s="35">
        <f t="shared" si="4"/>
        <v>373</v>
      </c>
      <c r="AX28" s="6">
        <v>657</v>
      </c>
      <c r="AY28" s="6"/>
      <c r="AZ28" s="35">
        <f t="shared" si="5"/>
        <v>381</v>
      </c>
      <c r="BA28" s="6">
        <v>1035</v>
      </c>
      <c r="BB28" s="6"/>
      <c r="BC28" s="35">
        <f t="shared" si="6"/>
        <v>378</v>
      </c>
      <c r="BD28" s="6">
        <v>1394</v>
      </c>
      <c r="BE28" s="6"/>
      <c r="BF28" s="35">
        <f t="shared" si="7"/>
        <v>359</v>
      </c>
      <c r="BG28" s="6"/>
      <c r="BH28" s="6"/>
      <c r="BI28" s="35"/>
      <c r="BJ28" s="6">
        <v>214</v>
      </c>
      <c r="BK28" s="35">
        <v>1560</v>
      </c>
      <c r="BL28" s="6">
        <f t="shared" si="8"/>
        <v>380</v>
      </c>
      <c r="BM28" s="6">
        <v>588</v>
      </c>
      <c r="BN28" s="6"/>
      <c r="BO28" s="6">
        <f t="shared" si="9"/>
        <v>374</v>
      </c>
      <c r="BP28" s="6">
        <v>959</v>
      </c>
      <c r="BQ28" s="6"/>
      <c r="BR28" s="35">
        <f t="shared" si="10"/>
        <v>371</v>
      </c>
      <c r="BS28" s="6">
        <v>1329</v>
      </c>
      <c r="BT28" s="6"/>
      <c r="BU28" s="6">
        <f t="shared" si="11"/>
        <v>370</v>
      </c>
      <c r="BV28" s="6">
        <v>133</v>
      </c>
      <c r="BW28" s="6">
        <v>1560</v>
      </c>
      <c r="BX28" s="35">
        <f t="shared" si="12"/>
        <v>364</v>
      </c>
      <c r="BY28" s="6">
        <v>475</v>
      </c>
      <c r="BZ28" s="35"/>
      <c r="CA28" s="6">
        <f t="shared" si="13"/>
        <v>342</v>
      </c>
      <c r="CB28" s="6"/>
      <c r="CC28" s="6"/>
      <c r="CD28" s="35"/>
      <c r="CE28" s="6">
        <v>850</v>
      </c>
      <c r="CF28" s="35"/>
      <c r="CG28" s="6">
        <f t="shared" si="14"/>
        <v>375</v>
      </c>
      <c r="CH28" s="6">
        <v>1227</v>
      </c>
      <c r="CI28" s="6"/>
      <c r="CJ28" s="6">
        <f t="shared" si="15"/>
        <v>377</v>
      </c>
      <c r="CK28" s="6">
        <v>1435</v>
      </c>
      <c r="CL28" s="6"/>
      <c r="CM28" s="6">
        <f t="shared" si="16"/>
        <v>208</v>
      </c>
      <c r="CN28" s="6">
        <v>251</v>
      </c>
      <c r="CO28" s="6">
        <v>1560</v>
      </c>
      <c r="CP28" s="6">
        <f t="shared" si="17"/>
        <v>376</v>
      </c>
      <c r="CQ28" s="6">
        <v>618</v>
      </c>
      <c r="CR28" s="6"/>
      <c r="CS28" s="6">
        <f t="shared" si="18"/>
        <v>367</v>
      </c>
      <c r="CT28" s="6">
        <v>958</v>
      </c>
      <c r="CU28" s="6"/>
      <c r="CV28" s="6">
        <f t="shared" si="19"/>
        <v>340</v>
      </c>
      <c r="CW28" s="6"/>
      <c r="CX28" s="6"/>
      <c r="CY28" s="6"/>
      <c r="CZ28" s="6">
        <v>1329</v>
      </c>
      <c r="DA28" s="6"/>
      <c r="DB28" s="6">
        <f t="shared" si="20"/>
        <v>371</v>
      </c>
      <c r="DC28" s="6">
        <v>0</v>
      </c>
      <c r="DD28" s="6">
        <v>1623</v>
      </c>
      <c r="DE28" s="6">
        <f t="shared" si="21"/>
        <v>294</v>
      </c>
      <c r="DF28" s="6">
        <v>311</v>
      </c>
      <c r="DG28" s="6"/>
      <c r="DH28" s="6">
        <f t="shared" si="22"/>
        <v>311</v>
      </c>
      <c r="DI28" s="6">
        <v>680</v>
      </c>
      <c r="DJ28" s="6"/>
      <c r="DK28" s="6">
        <f t="shared" si="23"/>
        <v>369</v>
      </c>
      <c r="DL28" s="6">
        <v>1048</v>
      </c>
      <c r="DM28" s="6"/>
      <c r="DN28" s="6">
        <f t="shared" si="24"/>
        <v>368</v>
      </c>
      <c r="DO28" s="6">
        <v>1384</v>
      </c>
      <c r="DP28" s="6"/>
      <c r="DQ28" s="6">
        <f t="shared" si="25"/>
        <v>336</v>
      </c>
    </row>
    <row r="29" spans="1:121">
      <c r="A29" s="6">
        <v>25</v>
      </c>
      <c r="B29" s="6">
        <v>728</v>
      </c>
      <c r="C29" s="6"/>
      <c r="D29" s="6">
        <v>268</v>
      </c>
      <c r="E29" s="33" t="s">
        <v>99</v>
      </c>
      <c r="F29" s="33" t="s">
        <v>99</v>
      </c>
      <c r="G29" s="33" t="s">
        <v>99</v>
      </c>
      <c r="H29" s="33" t="s">
        <v>99</v>
      </c>
      <c r="I29" s="33" t="s">
        <v>99</v>
      </c>
      <c r="J29" s="33" t="s">
        <v>99</v>
      </c>
      <c r="K29" s="33" t="s">
        <v>99</v>
      </c>
      <c r="L29" s="33" t="s">
        <v>99</v>
      </c>
      <c r="M29" s="33" t="s">
        <v>99</v>
      </c>
      <c r="N29" s="33" t="s">
        <v>99</v>
      </c>
      <c r="O29" s="33" t="s">
        <v>99</v>
      </c>
      <c r="P29" s="33" t="s">
        <v>99</v>
      </c>
      <c r="Q29" s="148" t="s">
        <v>37</v>
      </c>
      <c r="R29" s="33" t="s">
        <v>37</v>
      </c>
      <c r="S29" s="33" t="s">
        <v>37</v>
      </c>
      <c r="T29" s="33" t="s">
        <v>37</v>
      </c>
      <c r="U29" s="33" t="s">
        <v>37</v>
      </c>
      <c r="V29" s="33" t="s">
        <v>37</v>
      </c>
      <c r="W29" s="148" t="s">
        <v>37</v>
      </c>
      <c r="X29" s="33" t="s">
        <v>37</v>
      </c>
      <c r="Y29" s="33" t="s">
        <v>37</v>
      </c>
      <c r="Z29" s="33" t="s">
        <v>37</v>
      </c>
      <c r="AA29" s="33" t="s">
        <v>37</v>
      </c>
      <c r="AB29" s="33" t="s">
        <v>37</v>
      </c>
      <c r="AC29" s="33" t="s">
        <v>37</v>
      </c>
      <c r="AD29" s="33" t="s">
        <v>37</v>
      </c>
      <c r="AE29" s="33" t="s">
        <v>37</v>
      </c>
      <c r="AF29" s="6">
        <v>1000</v>
      </c>
      <c r="AG29" s="6"/>
      <c r="AH29" s="35">
        <f t="shared" si="0"/>
        <v>272</v>
      </c>
      <c r="AI29" s="35">
        <v>1236</v>
      </c>
      <c r="AJ29" s="35"/>
      <c r="AK29" s="35">
        <f t="shared" si="1"/>
        <v>236</v>
      </c>
      <c r="AL29" s="6"/>
      <c r="AM29" s="6"/>
      <c r="AN29" s="35"/>
      <c r="AO29" s="6">
        <v>96</v>
      </c>
      <c r="AP29" s="6">
        <v>1425</v>
      </c>
      <c r="AQ29" s="34">
        <f t="shared" si="2"/>
        <v>285</v>
      </c>
      <c r="AR29" s="35">
        <v>383</v>
      </c>
      <c r="AS29" s="35"/>
      <c r="AT29" s="35">
        <f t="shared" si="3"/>
        <v>287</v>
      </c>
      <c r="AU29" s="6">
        <v>665</v>
      </c>
      <c r="AV29" s="6"/>
      <c r="AW29" s="35">
        <f t="shared" si="4"/>
        <v>282</v>
      </c>
      <c r="AX29" s="6">
        <v>950</v>
      </c>
      <c r="AY29" s="6"/>
      <c r="AZ29" s="35">
        <f t="shared" si="5"/>
        <v>285</v>
      </c>
      <c r="BA29" s="35">
        <v>1231</v>
      </c>
      <c r="BB29" s="35"/>
      <c r="BC29" s="35">
        <f t="shared" si="6"/>
        <v>281</v>
      </c>
      <c r="BD29" s="6">
        <v>6</v>
      </c>
      <c r="BE29" s="6">
        <v>1500</v>
      </c>
      <c r="BF29" s="35">
        <f t="shared" si="7"/>
        <v>275</v>
      </c>
      <c r="BG29" s="6"/>
      <c r="BH29" s="6"/>
      <c r="BI29" s="6"/>
      <c r="BJ29" s="6">
        <v>291</v>
      </c>
      <c r="BK29" s="6"/>
      <c r="BL29" s="6">
        <f t="shared" si="8"/>
        <v>285</v>
      </c>
      <c r="BM29" s="6">
        <v>0</v>
      </c>
      <c r="BN29" s="6">
        <v>459</v>
      </c>
      <c r="BO29" s="6">
        <f t="shared" si="9"/>
        <v>168</v>
      </c>
      <c r="BP29" s="6">
        <v>0</v>
      </c>
      <c r="BQ29" s="6"/>
      <c r="BR29" s="35">
        <f t="shared" si="10"/>
        <v>0</v>
      </c>
      <c r="BS29" s="6">
        <v>313</v>
      </c>
      <c r="BT29" s="6"/>
      <c r="BU29" s="6">
        <f t="shared" si="11"/>
        <v>313</v>
      </c>
      <c r="BV29" s="6">
        <v>669</v>
      </c>
      <c r="BW29" s="6"/>
      <c r="BX29" s="35">
        <f t="shared" si="12"/>
        <v>356</v>
      </c>
      <c r="BY29" s="6">
        <v>1005</v>
      </c>
      <c r="BZ29" s="6"/>
      <c r="CA29" s="6">
        <f t="shared" si="13"/>
        <v>336</v>
      </c>
      <c r="CB29" s="6"/>
      <c r="CC29" s="6"/>
      <c r="CD29" s="6"/>
      <c r="CE29" s="6">
        <v>280</v>
      </c>
      <c r="CF29" s="6">
        <v>1073</v>
      </c>
      <c r="CG29" s="6">
        <f t="shared" si="14"/>
        <v>348</v>
      </c>
      <c r="CH29" s="6">
        <v>554</v>
      </c>
      <c r="CI29" s="6"/>
      <c r="CJ29" s="6">
        <f t="shared" si="15"/>
        <v>274</v>
      </c>
      <c r="CK29" s="6">
        <v>0</v>
      </c>
      <c r="CL29" s="6">
        <v>751</v>
      </c>
      <c r="CM29" s="6">
        <f t="shared" si="16"/>
        <v>197</v>
      </c>
      <c r="CN29" s="6">
        <v>30</v>
      </c>
      <c r="CO29" s="6"/>
      <c r="CP29" s="6">
        <f t="shared" si="17"/>
        <v>30</v>
      </c>
      <c r="CQ29" s="6">
        <v>392</v>
      </c>
      <c r="CR29" s="6"/>
      <c r="CS29" s="6">
        <f t="shared" si="18"/>
        <v>362</v>
      </c>
      <c r="CT29" s="6">
        <v>741</v>
      </c>
      <c r="CU29" s="6"/>
      <c r="CV29" s="6">
        <f t="shared" si="19"/>
        <v>349</v>
      </c>
      <c r="CW29" s="6"/>
      <c r="CX29" s="6"/>
      <c r="CY29" s="6"/>
      <c r="CZ29" s="6">
        <v>1107</v>
      </c>
      <c r="DA29" s="6"/>
      <c r="DB29" s="6">
        <f t="shared" si="20"/>
        <v>366</v>
      </c>
      <c r="DC29" s="6">
        <v>222</v>
      </c>
      <c r="DD29" s="6">
        <v>1224</v>
      </c>
      <c r="DE29" s="6">
        <f t="shared" si="21"/>
        <v>339</v>
      </c>
      <c r="DF29" s="6">
        <v>556</v>
      </c>
      <c r="DG29" s="6"/>
      <c r="DH29" s="6">
        <f t="shared" si="22"/>
        <v>334</v>
      </c>
      <c r="DI29" s="6">
        <v>273</v>
      </c>
      <c r="DJ29" s="6">
        <v>628</v>
      </c>
      <c r="DK29" s="6">
        <f t="shared" si="23"/>
        <v>345</v>
      </c>
      <c r="DL29" s="6">
        <v>632</v>
      </c>
      <c r="DM29" s="6"/>
      <c r="DN29" s="6">
        <f t="shared" si="24"/>
        <v>359</v>
      </c>
      <c r="DO29" s="6">
        <v>963</v>
      </c>
      <c r="DP29" s="6"/>
      <c r="DQ29" s="6">
        <f t="shared" si="25"/>
        <v>331</v>
      </c>
    </row>
    <row r="30" spans="1:121">
      <c r="A30" s="6">
        <v>26</v>
      </c>
      <c r="B30" s="6">
        <v>587</v>
      </c>
      <c r="C30" s="6"/>
      <c r="D30" s="6">
        <v>362</v>
      </c>
      <c r="E30" s="33" t="s">
        <v>37</v>
      </c>
      <c r="F30" s="33" t="s">
        <v>37</v>
      </c>
      <c r="G30" s="33" t="s">
        <v>37</v>
      </c>
      <c r="H30" s="33" t="s">
        <v>37</v>
      </c>
      <c r="I30" s="33" t="s">
        <v>37</v>
      </c>
      <c r="J30" s="33" t="s">
        <v>37</v>
      </c>
      <c r="K30" s="33" t="s">
        <v>37</v>
      </c>
      <c r="L30" s="33" t="s">
        <v>37</v>
      </c>
      <c r="M30" s="33" t="s">
        <v>37</v>
      </c>
      <c r="N30" s="33" t="s">
        <v>37</v>
      </c>
      <c r="O30" s="33" t="s">
        <v>37</v>
      </c>
      <c r="P30" s="33" t="s">
        <v>37</v>
      </c>
      <c r="Q30" s="33" t="s">
        <v>37</v>
      </c>
      <c r="R30" s="33" t="s">
        <v>37</v>
      </c>
      <c r="S30" s="33" t="s">
        <v>37</v>
      </c>
      <c r="T30" s="33" t="s">
        <v>37</v>
      </c>
      <c r="U30" s="33" t="s">
        <v>37</v>
      </c>
      <c r="V30" s="148" t="s">
        <v>128</v>
      </c>
      <c r="W30" s="33" t="s">
        <v>128</v>
      </c>
      <c r="X30" s="33" t="s">
        <v>128</v>
      </c>
      <c r="Y30" s="33" t="s">
        <v>128</v>
      </c>
      <c r="Z30" s="33" t="s">
        <v>128</v>
      </c>
      <c r="AA30" s="33" t="s">
        <v>128</v>
      </c>
      <c r="AB30" s="33" t="s">
        <v>128</v>
      </c>
      <c r="AC30" s="33" t="s">
        <v>128</v>
      </c>
      <c r="AD30" s="33" t="s">
        <v>128</v>
      </c>
      <c r="AE30" s="33" t="s">
        <v>128</v>
      </c>
      <c r="AF30" s="6">
        <v>185</v>
      </c>
      <c r="AG30" s="6">
        <v>751</v>
      </c>
      <c r="AH30" s="35">
        <f t="shared" si="0"/>
        <v>349</v>
      </c>
      <c r="AI30" s="35">
        <v>527</v>
      </c>
      <c r="AJ30" s="35"/>
      <c r="AK30" s="35">
        <f t="shared" si="1"/>
        <v>342</v>
      </c>
      <c r="AL30" s="6"/>
      <c r="AM30" s="6"/>
      <c r="AN30" s="35"/>
      <c r="AO30" s="6">
        <v>348</v>
      </c>
      <c r="AP30" s="6">
        <v>539</v>
      </c>
      <c r="AQ30" s="34">
        <f t="shared" si="2"/>
        <v>360</v>
      </c>
      <c r="AR30" s="35">
        <v>697</v>
      </c>
      <c r="AS30" s="35"/>
      <c r="AT30" s="35">
        <f t="shared" si="3"/>
        <v>349</v>
      </c>
      <c r="AU30" s="6">
        <v>1055</v>
      </c>
      <c r="AV30" s="6"/>
      <c r="AW30" s="35">
        <f t="shared" si="4"/>
        <v>358</v>
      </c>
      <c r="AX30" s="6">
        <v>1431</v>
      </c>
      <c r="AY30" s="6"/>
      <c r="AZ30" s="35">
        <f t="shared" si="5"/>
        <v>376</v>
      </c>
      <c r="BA30" s="35">
        <v>249</v>
      </c>
      <c r="BB30" s="35">
        <v>1560</v>
      </c>
      <c r="BC30" s="35">
        <f t="shared" si="6"/>
        <v>378</v>
      </c>
      <c r="BD30" s="6">
        <v>618</v>
      </c>
      <c r="BE30" s="6"/>
      <c r="BF30" s="35">
        <f t="shared" si="7"/>
        <v>369</v>
      </c>
      <c r="BG30" s="6"/>
      <c r="BH30" s="6"/>
      <c r="BI30" s="6"/>
      <c r="BJ30" s="6">
        <v>998</v>
      </c>
      <c r="BK30" s="6"/>
      <c r="BL30" s="6">
        <f t="shared" si="8"/>
        <v>380</v>
      </c>
      <c r="BM30" s="6">
        <v>24</v>
      </c>
      <c r="BN30" s="6">
        <v>1318</v>
      </c>
      <c r="BO30" s="6">
        <f t="shared" si="9"/>
        <v>344</v>
      </c>
      <c r="BP30" s="6">
        <v>65</v>
      </c>
      <c r="BQ30" s="6">
        <v>317</v>
      </c>
      <c r="BR30" s="35">
        <f t="shared" si="10"/>
        <v>358</v>
      </c>
      <c r="BS30" s="6">
        <v>414</v>
      </c>
      <c r="BT30" s="6"/>
      <c r="BU30" s="6">
        <f t="shared" si="11"/>
        <v>349</v>
      </c>
      <c r="BV30" s="6">
        <v>297</v>
      </c>
      <c r="BW30" s="6">
        <v>462</v>
      </c>
      <c r="BX30" s="35">
        <f t="shared" si="12"/>
        <v>345</v>
      </c>
      <c r="BY30" s="6">
        <v>639</v>
      </c>
      <c r="BZ30" s="6"/>
      <c r="CA30" s="6">
        <f t="shared" si="13"/>
        <v>342</v>
      </c>
      <c r="CB30" s="6"/>
      <c r="CC30" s="6"/>
      <c r="CD30" s="6"/>
      <c r="CE30" s="6">
        <v>134</v>
      </c>
      <c r="CF30" s="6">
        <v>847</v>
      </c>
      <c r="CG30" s="6">
        <f t="shared" si="14"/>
        <v>342</v>
      </c>
      <c r="CH30" s="6">
        <v>424</v>
      </c>
      <c r="CI30" s="6"/>
      <c r="CJ30" s="6">
        <f t="shared" si="15"/>
        <v>290</v>
      </c>
      <c r="CK30" s="6">
        <v>275</v>
      </c>
      <c r="CL30" s="6">
        <v>492</v>
      </c>
      <c r="CM30" s="6">
        <f t="shared" si="16"/>
        <v>343</v>
      </c>
      <c r="CN30" s="6">
        <v>647</v>
      </c>
      <c r="CO30" s="6"/>
      <c r="CP30" s="6">
        <f t="shared" si="17"/>
        <v>372</v>
      </c>
      <c r="CQ30" s="6">
        <v>1023</v>
      </c>
      <c r="CR30" s="6"/>
      <c r="CS30" s="6">
        <f t="shared" si="18"/>
        <v>376</v>
      </c>
      <c r="CT30" s="6">
        <v>1382</v>
      </c>
      <c r="CU30" s="6"/>
      <c r="CV30" s="6">
        <f t="shared" si="19"/>
        <v>359</v>
      </c>
      <c r="CW30" s="6"/>
      <c r="CX30" s="6"/>
      <c r="CY30" s="6"/>
      <c r="CZ30" s="6">
        <v>223</v>
      </c>
      <c r="DA30" s="6">
        <v>1528</v>
      </c>
      <c r="DB30" s="6">
        <f t="shared" si="20"/>
        <v>369</v>
      </c>
      <c r="DC30" s="6">
        <v>582</v>
      </c>
      <c r="DD30" s="6"/>
      <c r="DE30" s="6">
        <f t="shared" si="21"/>
        <v>359</v>
      </c>
      <c r="DF30" s="6">
        <v>275</v>
      </c>
      <c r="DG30" s="6">
        <v>672</v>
      </c>
      <c r="DH30" s="6">
        <f t="shared" si="22"/>
        <v>365</v>
      </c>
      <c r="DI30" s="6">
        <v>641</v>
      </c>
      <c r="DJ30" s="6"/>
      <c r="DK30" s="6">
        <f t="shared" si="23"/>
        <v>366</v>
      </c>
      <c r="DL30" s="6">
        <v>255</v>
      </c>
      <c r="DM30" s="6">
        <v>753</v>
      </c>
      <c r="DN30" s="6">
        <f t="shared" si="24"/>
        <v>367</v>
      </c>
      <c r="DO30" s="6">
        <v>587</v>
      </c>
      <c r="DP30" s="6"/>
      <c r="DQ30" s="6">
        <f t="shared" si="25"/>
        <v>332</v>
      </c>
    </row>
    <row r="31" spans="1:121">
      <c r="A31" s="6">
        <v>27</v>
      </c>
      <c r="B31" s="6">
        <v>314</v>
      </c>
      <c r="C31" s="8">
        <v>1560</v>
      </c>
      <c r="D31" s="8">
        <v>363</v>
      </c>
      <c r="E31" s="33" t="s">
        <v>69</v>
      </c>
      <c r="F31" s="33" t="s">
        <v>69</v>
      </c>
      <c r="G31" s="33" t="s">
        <v>69</v>
      </c>
      <c r="H31" s="33" t="s">
        <v>69</v>
      </c>
      <c r="I31" s="33" t="s">
        <v>69</v>
      </c>
      <c r="J31" s="33" t="s">
        <v>69</v>
      </c>
      <c r="K31" s="33" t="s">
        <v>69</v>
      </c>
      <c r="L31" s="33" t="s">
        <v>69</v>
      </c>
      <c r="M31" s="33" t="s">
        <v>69</v>
      </c>
      <c r="N31" s="33" t="s">
        <v>69</v>
      </c>
      <c r="O31" s="33" t="s">
        <v>69</v>
      </c>
      <c r="P31" s="33" t="s">
        <v>69</v>
      </c>
      <c r="Q31" s="33" t="s">
        <v>69</v>
      </c>
      <c r="R31" s="33" t="s">
        <v>69</v>
      </c>
      <c r="S31" s="33" t="s">
        <v>69</v>
      </c>
      <c r="T31" s="33" t="s">
        <v>69</v>
      </c>
      <c r="U31" s="33" t="s">
        <v>69</v>
      </c>
      <c r="V31" s="148" t="s">
        <v>37</v>
      </c>
      <c r="W31" s="33" t="s">
        <v>37</v>
      </c>
      <c r="X31" s="33" t="s">
        <v>37</v>
      </c>
      <c r="Y31" s="33" t="s">
        <v>37</v>
      </c>
      <c r="Z31" s="33" t="s">
        <v>37</v>
      </c>
      <c r="AA31" s="33" t="s">
        <v>37</v>
      </c>
      <c r="AB31" s="33" t="s">
        <v>37</v>
      </c>
      <c r="AC31" s="33" t="s">
        <v>37</v>
      </c>
      <c r="AD31" s="33" t="s">
        <v>37</v>
      </c>
      <c r="AE31" s="33" t="s">
        <v>37</v>
      </c>
      <c r="AF31" s="6">
        <v>690</v>
      </c>
      <c r="AG31" s="6"/>
      <c r="AH31" s="35">
        <f t="shared" si="0"/>
        <v>376</v>
      </c>
      <c r="AI31" s="35">
        <v>1048</v>
      </c>
      <c r="AJ31" s="35"/>
      <c r="AK31" s="35">
        <f t="shared" si="1"/>
        <v>358</v>
      </c>
      <c r="AL31" s="6"/>
      <c r="AM31" s="6"/>
      <c r="AN31" s="35"/>
      <c r="AO31" s="6">
        <v>1426</v>
      </c>
      <c r="AP31" s="6"/>
      <c r="AQ31" s="34">
        <f t="shared" si="2"/>
        <v>378</v>
      </c>
      <c r="AR31" s="35">
        <v>234</v>
      </c>
      <c r="AS31" s="35">
        <v>1560</v>
      </c>
      <c r="AT31" s="35">
        <f t="shared" si="3"/>
        <v>368</v>
      </c>
      <c r="AU31" s="6">
        <v>604</v>
      </c>
      <c r="AV31" s="6"/>
      <c r="AW31" s="35">
        <f t="shared" si="4"/>
        <v>370</v>
      </c>
      <c r="AX31" s="6">
        <v>985</v>
      </c>
      <c r="AY31" s="6"/>
      <c r="AZ31" s="35">
        <f t="shared" si="5"/>
        <v>381</v>
      </c>
      <c r="BA31" s="35">
        <v>1361</v>
      </c>
      <c r="BB31" s="35"/>
      <c r="BC31" s="35">
        <f t="shared" si="6"/>
        <v>376</v>
      </c>
      <c r="BD31" s="6">
        <v>169</v>
      </c>
      <c r="BE31" s="6">
        <v>1560</v>
      </c>
      <c r="BF31" s="35">
        <f t="shared" si="7"/>
        <v>368</v>
      </c>
      <c r="BG31" s="6"/>
      <c r="BH31" s="6"/>
      <c r="BI31" s="6"/>
      <c r="BJ31" s="6">
        <v>551</v>
      </c>
      <c r="BK31" s="6"/>
      <c r="BL31" s="6">
        <f t="shared" si="8"/>
        <v>382</v>
      </c>
      <c r="BM31" s="6">
        <v>925</v>
      </c>
      <c r="BN31" s="6"/>
      <c r="BO31" s="6">
        <f t="shared" si="9"/>
        <v>374</v>
      </c>
      <c r="BP31" s="6">
        <v>1307</v>
      </c>
      <c r="BQ31" s="6"/>
      <c r="BR31" s="35">
        <f t="shared" si="10"/>
        <v>382</v>
      </c>
      <c r="BS31" s="6">
        <v>136</v>
      </c>
      <c r="BT31" s="6">
        <v>1540</v>
      </c>
      <c r="BU31" s="6">
        <f t="shared" si="11"/>
        <v>369</v>
      </c>
      <c r="BV31" s="6">
        <v>508</v>
      </c>
      <c r="BW31" s="6"/>
      <c r="BX31" s="35">
        <f t="shared" si="12"/>
        <v>372</v>
      </c>
      <c r="BY31" s="6">
        <v>862</v>
      </c>
      <c r="BZ31" s="6"/>
      <c r="CA31" s="6">
        <f t="shared" si="13"/>
        <v>354</v>
      </c>
      <c r="CB31" s="6"/>
      <c r="CC31" s="6"/>
      <c r="CD31" s="6"/>
      <c r="CE31" s="6">
        <v>1229</v>
      </c>
      <c r="CF31" s="6"/>
      <c r="CG31" s="6">
        <f t="shared" si="14"/>
        <v>367</v>
      </c>
      <c r="CH31" s="6">
        <v>1524</v>
      </c>
      <c r="CI31" s="6"/>
      <c r="CJ31" s="6">
        <f t="shared" si="15"/>
        <v>295</v>
      </c>
      <c r="CK31" s="6">
        <v>241</v>
      </c>
      <c r="CL31" s="6">
        <v>1638</v>
      </c>
      <c r="CM31" s="6">
        <f t="shared" si="16"/>
        <v>355</v>
      </c>
      <c r="CN31" s="6">
        <v>600</v>
      </c>
      <c r="CO31" s="6"/>
      <c r="CP31" s="6">
        <f t="shared" si="17"/>
        <v>359</v>
      </c>
      <c r="CQ31" s="6">
        <v>964</v>
      </c>
      <c r="CR31" s="6"/>
      <c r="CS31" s="6">
        <f t="shared" si="18"/>
        <v>364</v>
      </c>
      <c r="CT31" s="6">
        <v>1306</v>
      </c>
      <c r="CU31" s="6"/>
      <c r="CV31" s="6">
        <f t="shared" si="19"/>
        <v>342</v>
      </c>
      <c r="CW31" s="6"/>
      <c r="CX31" s="6"/>
      <c r="CY31" s="6"/>
      <c r="CZ31" s="6">
        <v>105</v>
      </c>
      <c r="DA31" s="6">
        <v>1560</v>
      </c>
      <c r="DB31" s="6">
        <f t="shared" si="20"/>
        <v>359</v>
      </c>
      <c r="DC31" s="6">
        <v>464</v>
      </c>
      <c r="DD31" s="6"/>
      <c r="DE31" s="6">
        <f t="shared" si="21"/>
        <v>359</v>
      </c>
      <c r="DF31" s="6">
        <v>832</v>
      </c>
      <c r="DG31" s="6"/>
      <c r="DH31" s="6">
        <f t="shared" si="22"/>
        <v>368</v>
      </c>
      <c r="DI31" s="6">
        <v>1199</v>
      </c>
      <c r="DJ31" s="6"/>
      <c r="DK31" s="6">
        <f t="shared" si="23"/>
        <v>367</v>
      </c>
      <c r="DL31" s="6">
        <v>7</v>
      </c>
      <c r="DM31" s="6">
        <v>1560</v>
      </c>
      <c r="DN31" s="6">
        <f t="shared" si="24"/>
        <v>368</v>
      </c>
      <c r="DO31" s="6">
        <v>344</v>
      </c>
      <c r="DP31" s="6"/>
      <c r="DQ31" s="6">
        <f t="shared" si="25"/>
        <v>337</v>
      </c>
    </row>
    <row r="32" spans="1:121">
      <c r="A32" s="6">
        <v>28</v>
      </c>
      <c r="B32" s="6">
        <v>669</v>
      </c>
      <c r="C32" s="6"/>
      <c r="D32" s="6">
        <v>375</v>
      </c>
      <c r="E32" s="33" t="s">
        <v>37</v>
      </c>
      <c r="F32" s="33" t="s">
        <v>37</v>
      </c>
      <c r="G32" s="33" t="s">
        <v>37</v>
      </c>
      <c r="H32" s="33" t="s">
        <v>37</v>
      </c>
      <c r="I32" s="33" t="s">
        <v>37</v>
      </c>
      <c r="J32" s="33" t="s">
        <v>37</v>
      </c>
      <c r="K32" s="33" t="s">
        <v>37</v>
      </c>
      <c r="L32" s="33" t="s">
        <v>37</v>
      </c>
      <c r="M32" s="33" t="s">
        <v>37</v>
      </c>
      <c r="N32" s="33" t="s">
        <v>37</v>
      </c>
      <c r="O32" s="33" t="s">
        <v>37</v>
      </c>
      <c r="P32" s="33" t="s">
        <v>37</v>
      </c>
      <c r="Q32" s="33" t="s">
        <v>37</v>
      </c>
      <c r="R32" s="33" t="s">
        <v>37</v>
      </c>
      <c r="S32" s="33" t="s">
        <v>37</v>
      </c>
      <c r="T32" s="33" t="s">
        <v>37</v>
      </c>
      <c r="U32" s="33" t="s">
        <v>37</v>
      </c>
      <c r="V32" s="33" t="s">
        <v>37</v>
      </c>
      <c r="W32" s="33" t="s">
        <v>37</v>
      </c>
      <c r="X32" s="33" t="s">
        <v>37</v>
      </c>
      <c r="Y32" s="33" t="s">
        <v>37</v>
      </c>
      <c r="Z32" s="33" t="s">
        <v>37</v>
      </c>
      <c r="AA32" s="148" t="s">
        <v>37</v>
      </c>
      <c r="AB32" s="33" t="s">
        <v>37</v>
      </c>
      <c r="AC32" s="33" t="s">
        <v>37</v>
      </c>
      <c r="AD32" s="33" t="s">
        <v>37</v>
      </c>
      <c r="AE32" s="33" t="s">
        <v>37</v>
      </c>
      <c r="AF32" s="35">
        <v>1038</v>
      </c>
      <c r="AG32" s="35"/>
      <c r="AH32" s="35">
        <f t="shared" si="0"/>
        <v>369</v>
      </c>
      <c r="AI32" s="35">
        <v>1394</v>
      </c>
      <c r="AJ32" s="35"/>
      <c r="AK32" s="35">
        <f t="shared" si="1"/>
        <v>356</v>
      </c>
      <c r="AL32" s="35"/>
      <c r="AM32" s="35"/>
      <c r="AN32" s="35"/>
      <c r="AO32" s="6">
        <v>202</v>
      </c>
      <c r="AP32" s="6">
        <v>1561</v>
      </c>
      <c r="AQ32" s="34">
        <f t="shared" si="2"/>
        <v>369</v>
      </c>
      <c r="AR32" s="35">
        <v>569</v>
      </c>
      <c r="AS32" s="35"/>
      <c r="AT32" s="35">
        <f t="shared" si="3"/>
        <v>367</v>
      </c>
      <c r="AU32" s="6">
        <v>934</v>
      </c>
      <c r="AV32" s="6"/>
      <c r="AW32" s="35">
        <f t="shared" si="4"/>
        <v>365</v>
      </c>
      <c r="AX32" s="6">
        <v>1316</v>
      </c>
      <c r="AY32" s="6"/>
      <c r="AZ32" s="35">
        <f t="shared" si="5"/>
        <v>382</v>
      </c>
      <c r="BA32" s="6">
        <v>136</v>
      </c>
      <c r="BB32" s="6">
        <v>1560</v>
      </c>
      <c r="BC32" s="35">
        <f t="shared" si="6"/>
        <v>380</v>
      </c>
      <c r="BD32" s="6">
        <v>506</v>
      </c>
      <c r="BE32" s="6"/>
      <c r="BF32" s="35">
        <f t="shared" si="7"/>
        <v>370</v>
      </c>
      <c r="BG32" s="6"/>
      <c r="BH32" s="6"/>
      <c r="BI32" s="35"/>
      <c r="BJ32" s="6">
        <v>890</v>
      </c>
      <c r="BK32" s="35"/>
      <c r="BL32" s="6">
        <f t="shared" si="8"/>
        <v>384</v>
      </c>
      <c r="BM32" s="6">
        <v>1268</v>
      </c>
      <c r="BN32" s="6"/>
      <c r="BO32" s="6">
        <f t="shared" si="9"/>
        <v>378</v>
      </c>
      <c r="BP32" s="6">
        <v>52</v>
      </c>
      <c r="BQ32" s="6">
        <v>1581</v>
      </c>
      <c r="BR32" s="35">
        <f t="shared" si="10"/>
        <v>365</v>
      </c>
      <c r="BS32" s="6">
        <v>426</v>
      </c>
      <c r="BT32" s="6"/>
      <c r="BU32" s="6">
        <f t="shared" si="11"/>
        <v>374</v>
      </c>
      <c r="BV32" s="6">
        <v>804</v>
      </c>
      <c r="BW32" s="6"/>
      <c r="BX32" s="35">
        <f t="shared" si="12"/>
        <v>378</v>
      </c>
      <c r="BY32" s="6">
        <v>1151</v>
      </c>
      <c r="BZ32" s="35"/>
      <c r="CA32" s="6">
        <f t="shared" si="13"/>
        <v>347</v>
      </c>
      <c r="CB32" s="6"/>
      <c r="CC32" s="6"/>
      <c r="CD32" s="35"/>
      <c r="CE32" s="6">
        <v>1522</v>
      </c>
      <c r="CF32" s="35"/>
      <c r="CG32" s="6">
        <f t="shared" si="14"/>
        <v>371</v>
      </c>
      <c r="CH32" s="6">
        <v>337</v>
      </c>
      <c r="CI32" s="6">
        <v>1560</v>
      </c>
      <c r="CJ32" s="6">
        <f t="shared" si="15"/>
        <v>375</v>
      </c>
      <c r="CK32" s="6">
        <v>704</v>
      </c>
      <c r="CL32" s="6"/>
      <c r="CM32" s="6">
        <f t="shared" si="16"/>
        <v>367</v>
      </c>
      <c r="CN32" s="6">
        <v>1078</v>
      </c>
      <c r="CO32" s="6"/>
      <c r="CP32" s="6">
        <f t="shared" si="17"/>
        <v>374</v>
      </c>
      <c r="CQ32" s="6">
        <v>1449</v>
      </c>
      <c r="CR32" s="6"/>
      <c r="CS32" s="6">
        <f t="shared" si="18"/>
        <v>371</v>
      </c>
      <c r="CT32" s="6">
        <v>0</v>
      </c>
      <c r="CU32" s="6">
        <v>1588</v>
      </c>
      <c r="CV32" s="6">
        <f t="shared" si="19"/>
        <v>139</v>
      </c>
      <c r="CW32" s="6"/>
      <c r="CX32" s="6"/>
      <c r="CY32" s="6"/>
      <c r="CZ32" s="6">
        <v>0</v>
      </c>
      <c r="DA32" s="6"/>
      <c r="DB32" s="6">
        <f t="shared" si="20"/>
        <v>0</v>
      </c>
      <c r="DC32" s="6">
        <v>340</v>
      </c>
      <c r="DD32" s="6"/>
      <c r="DE32" s="6">
        <f t="shared" si="21"/>
        <v>340</v>
      </c>
      <c r="DF32" s="6">
        <v>716</v>
      </c>
      <c r="DG32" s="6"/>
      <c r="DH32" s="6">
        <f t="shared" si="22"/>
        <v>376</v>
      </c>
      <c r="DI32" s="6">
        <v>1074</v>
      </c>
      <c r="DJ32" s="6"/>
      <c r="DK32" s="6">
        <f t="shared" si="23"/>
        <v>358</v>
      </c>
      <c r="DL32" s="6">
        <v>311</v>
      </c>
      <c r="DM32" s="6">
        <v>1133</v>
      </c>
      <c r="DN32" s="6">
        <f t="shared" si="24"/>
        <v>370</v>
      </c>
      <c r="DO32" s="6">
        <v>640</v>
      </c>
      <c r="DP32" s="6"/>
      <c r="DQ32" s="6">
        <f t="shared" si="25"/>
        <v>329</v>
      </c>
    </row>
    <row r="33" spans="1:121">
      <c r="A33" s="6">
        <v>29</v>
      </c>
      <c r="B33" s="6">
        <v>0</v>
      </c>
      <c r="C33" s="6">
        <v>1359</v>
      </c>
      <c r="D33" s="6">
        <v>323</v>
      </c>
      <c r="E33" s="33" t="s">
        <v>37</v>
      </c>
      <c r="F33" s="148" t="s">
        <v>37</v>
      </c>
      <c r="G33" s="33" t="s">
        <v>37</v>
      </c>
      <c r="H33" s="33" t="s">
        <v>37</v>
      </c>
      <c r="I33" s="33" t="s">
        <v>37</v>
      </c>
      <c r="J33" s="33" t="s">
        <v>37</v>
      </c>
      <c r="K33" s="33" t="s">
        <v>37</v>
      </c>
      <c r="L33" s="33" t="s">
        <v>37</v>
      </c>
      <c r="M33" s="33" t="s">
        <v>37</v>
      </c>
      <c r="N33" s="33" t="s">
        <v>37</v>
      </c>
      <c r="O33" s="33" t="s">
        <v>37</v>
      </c>
      <c r="P33" s="33" t="s">
        <v>37</v>
      </c>
      <c r="Q33" s="33" t="s">
        <v>37</v>
      </c>
      <c r="R33" s="33" t="s">
        <v>37</v>
      </c>
      <c r="S33" s="33" t="s">
        <v>37</v>
      </c>
      <c r="T33" s="33" t="s">
        <v>37</v>
      </c>
      <c r="U33" s="33" t="s">
        <v>37</v>
      </c>
      <c r="V33" s="33" t="s">
        <v>37</v>
      </c>
      <c r="W33" s="33" t="s">
        <v>37</v>
      </c>
      <c r="X33" s="33" t="s">
        <v>37</v>
      </c>
      <c r="Y33" s="33" t="s">
        <v>37</v>
      </c>
      <c r="Z33" s="33" t="s">
        <v>37</v>
      </c>
      <c r="AA33" s="33" t="s">
        <v>37</v>
      </c>
      <c r="AB33" s="148" t="s">
        <v>37</v>
      </c>
      <c r="AC33" s="33" t="s">
        <v>37</v>
      </c>
      <c r="AD33" s="33" t="s">
        <v>37</v>
      </c>
      <c r="AE33" s="33" t="s">
        <v>37</v>
      </c>
      <c r="AF33" s="35">
        <v>339</v>
      </c>
      <c r="AG33" s="35"/>
      <c r="AH33" s="35">
        <f t="shared" si="0"/>
        <v>339</v>
      </c>
      <c r="AI33" s="35">
        <v>687</v>
      </c>
      <c r="AJ33" s="35"/>
      <c r="AK33" s="35">
        <f t="shared" si="1"/>
        <v>348</v>
      </c>
      <c r="AL33" s="35"/>
      <c r="AM33" s="35"/>
      <c r="AN33" s="35"/>
      <c r="AO33" s="35">
        <v>1054</v>
      </c>
      <c r="AP33" s="35"/>
      <c r="AQ33" s="34">
        <f t="shared" si="2"/>
        <v>367</v>
      </c>
      <c r="AR33" s="35">
        <v>1422</v>
      </c>
      <c r="AS33" s="35"/>
      <c r="AT33" s="35">
        <f t="shared" si="3"/>
        <v>368</v>
      </c>
      <c r="AU33" s="6">
        <v>303</v>
      </c>
      <c r="AV33" s="6">
        <v>1475</v>
      </c>
      <c r="AW33" s="35">
        <f t="shared" si="4"/>
        <v>356</v>
      </c>
      <c r="AX33" s="6">
        <v>682</v>
      </c>
      <c r="AY33" s="6"/>
      <c r="AZ33" s="35">
        <f t="shared" si="5"/>
        <v>379</v>
      </c>
      <c r="BA33" s="6">
        <v>1056</v>
      </c>
      <c r="BB33" s="6"/>
      <c r="BC33" s="35">
        <f t="shared" si="6"/>
        <v>374</v>
      </c>
      <c r="BD33" s="6">
        <v>1427</v>
      </c>
      <c r="BE33" s="6"/>
      <c r="BF33" s="35">
        <f t="shared" si="7"/>
        <v>371</v>
      </c>
      <c r="BG33" s="6"/>
      <c r="BH33" s="6"/>
      <c r="BI33" s="35"/>
      <c r="BJ33" s="6">
        <v>248</v>
      </c>
      <c r="BK33" s="35">
        <v>1560</v>
      </c>
      <c r="BL33" s="6">
        <f t="shared" si="8"/>
        <v>381</v>
      </c>
      <c r="BM33" s="6">
        <v>624</v>
      </c>
      <c r="BN33" s="6"/>
      <c r="BO33" s="6">
        <f t="shared" si="9"/>
        <v>376</v>
      </c>
      <c r="BP33" s="6">
        <v>1008</v>
      </c>
      <c r="BQ33" s="6"/>
      <c r="BR33" s="35">
        <f t="shared" si="10"/>
        <v>384</v>
      </c>
      <c r="BS33" s="6">
        <v>1377</v>
      </c>
      <c r="BT33" s="6"/>
      <c r="BU33" s="6">
        <f t="shared" si="11"/>
        <v>369</v>
      </c>
      <c r="BV33" s="6">
        <v>190</v>
      </c>
      <c r="BW33" s="6">
        <v>1560</v>
      </c>
      <c r="BX33" s="35">
        <f t="shared" si="12"/>
        <v>373</v>
      </c>
      <c r="BY33" s="6">
        <v>547</v>
      </c>
      <c r="BZ33" s="35"/>
      <c r="CA33" s="6">
        <f t="shared" si="13"/>
        <v>357</v>
      </c>
      <c r="CB33" s="6"/>
      <c r="CC33" s="6"/>
      <c r="CD33" s="35"/>
      <c r="CE33" s="6">
        <v>235</v>
      </c>
      <c r="CF33" s="35">
        <v>682</v>
      </c>
      <c r="CG33" s="6">
        <f t="shared" si="14"/>
        <v>370</v>
      </c>
      <c r="CH33" s="6">
        <v>609</v>
      </c>
      <c r="CI33" s="6"/>
      <c r="CJ33" s="6">
        <f t="shared" si="15"/>
        <v>374</v>
      </c>
      <c r="CK33" s="6">
        <v>362</v>
      </c>
      <c r="CL33" s="6">
        <v>612</v>
      </c>
      <c r="CM33" s="6">
        <f t="shared" si="16"/>
        <v>365</v>
      </c>
      <c r="CN33" s="6">
        <v>739</v>
      </c>
      <c r="CO33" s="6"/>
      <c r="CP33" s="6">
        <f t="shared" si="17"/>
        <v>377</v>
      </c>
      <c r="CQ33" s="6">
        <v>1106</v>
      </c>
      <c r="CR33" s="6"/>
      <c r="CS33" s="6">
        <f t="shared" si="18"/>
        <v>367</v>
      </c>
      <c r="CT33" s="6">
        <v>1454</v>
      </c>
      <c r="CU33" s="6"/>
      <c r="CV33" s="6">
        <f t="shared" si="19"/>
        <v>348</v>
      </c>
      <c r="CW33" s="6"/>
      <c r="CX33" s="6"/>
      <c r="CY33" s="6"/>
      <c r="CZ33" s="6">
        <v>267</v>
      </c>
      <c r="DA33" s="6">
        <v>1560</v>
      </c>
      <c r="DB33" s="6">
        <f t="shared" si="20"/>
        <v>373</v>
      </c>
      <c r="DC33" s="6">
        <v>0</v>
      </c>
      <c r="DD33" s="6">
        <v>413</v>
      </c>
      <c r="DE33" s="6">
        <f t="shared" si="21"/>
        <v>146</v>
      </c>
      <c r="DF33" s="6">
        <v>294</v>
      </c>
      <c r="DG33" s="6"/>
      <c r="DH33" s="6">
        <f t="shared" si="22"/>
        <v>294</v>
      </c>
      <c r="DI33" s="6">
        <v>660</v>
      </c>
      <c r="DJ33" s="6"/>
      <c r="DK33" s="6">
        <f t="shared" si="23"/>
        <v>366</v>
      </c>
      <c r="DL33" s="6">
        <v>338</v>
      </c>
      <c r="DM33" s="6">
        <v>677</v>
      </c>
      <c r="DN33" s="6">
        <f t="shared" si="24"/>
        <v>355</v>
      </c>
      <c r="DO33" s="6">
        <v>653</v>
      </c>
      <c r="DP33" s="6"/>
      <c r="DQ33" s="6">
        <f t="shared" si="25"/>
        <v>315</v>
      </c>
    </row>
    <row r="34" spans="1:121">
      <c r="A34" s="6">
        <v>30</v>
      </c>
      <c r="B34" s="6">
        <v>355</v>
      </c>
      <c r="C34" s="6">
        <v>1516</v>
      </c>
      <c r="D34" s="6">
        <v>365</v>
      </c>
      <c r="E34" s="33" t="s">
        <v>37</v>
      </c>
      <c r="F34" s="33" t="s">
        <v>37</v>
      </c>
      <c r="G34" s="33" t="s">
        <v>37</v>
      </c>
      <c r="H34" s="33" t="s">
        <v>37</v>
      </c>
      <c r="I34" s="33" t="s">
        <v>37</v>
      </c>
      <c r="J34" s="33" t="s">
        <v>37</v>
      </c>
      <c r="K34" s="33" t="s">
        <v>37</v>
      </c>
      <c r="L34" s="33" t="s">
        <v>37</v>
      </c>
      <c r="M34" s="33" t="s">
        <v>37</v>
      </c>
      <c r="N34" s="33" t="s">
        <v>37</v>
      </c>
      <c r="O34" s="33" t="s">
        <v>37</v>
      </c>
      <c r="P34" s="33" t="s">
        <v>37</v>
      </c>
      <c r="Q34" s="33" t="s">
        <v>37</v>
      </c>
      <c r="R34" s="33" t="s">
        <v>37</v>
      </c>
      <c r="S34" s="33" t="s">
        <v>37</v>
      </c>
      <c r="T34" s="33" t="s">
        <v>37</v>
      </c>
      <c r="U34" s="33" t="s">
        <v>37</v>
      </c>
      <c r="V34" s="148" t="s">
        <v>128</v>
      </c>
      <c r="W34" s="33" t="s">
        <v>128</v>
      </c>
      <c r="X34" s="33" t="s">
        <v>128</v>
      </c>
      <c r="Y34" s="33" t="s">
        <v>128</v>
      </c>
      <c r="Z34" s="33" t="s">
        <v>128</v>
      </c>
      <c r="AA34" s="33" t="s">
        <v>128</v>
      </c>
      <c r="AB34" s="33" t="s">
        <v>128</v>
      </c>
      <c r="AC34" s="33" t="s">
        <v>128</v>
      </c>
      <c r="AD34" s="33" t="s">
        <v>128</v>
      </c>
      <c r="AE34" s="33" t="s">
        <v>128</v>
      </c>
      <c r="AF34" s="6">
        <v>725</v>
      </c>
      <c r="AG34" s="6"/>
      <c r="AH34" s="35">
        <f t="shared" si="0"/>
        <v>370</v>
      </c>
      <c r="AI34" s="35">
        <v>1081</v>
      </c>
      <c r="AJ34" s="35"/>
      <c r="AK34" s="35">
        <f t="shared" si="1"/>
        <v>356</v>
      </c>
      <c r="AL34" s="6"/>
      <c r="AM34" s="6"/>
      <c r="AN34" s="35"/>
      <c r="AO34" s="6">
        <v>1</v>
      </c>
      <c r="AP34" s="6">
        <v>1454</v>
      </c>
      <c r="AQ34" s="34">
        <f t="shared" si="2"/>
        <v>374</v>
      </c>
      <c r="AR34" s="35">
        <v>364</v>
      </c>
      <c r="AS34" s="35"/>
      <c r="AT34" s="35">
        <f t="shared" si="3"/>
        <v>363</v>
      </c>
      <c r="AU34" s="6">
        <v>722</v>
      </c>
      <c r="AV34" s="6"/>
      <c r="AW34" s="35">
        <f t="shared" si="4"/>
        <v>358</v>
      </c>
      <c r="AX34" s="6">
        <v>40</v>
      </c>
      <c r="AY34" s="6">
        <v>1061</v>
      </c>
      <c r="AZ34" s="35">
        <f t="shared" si="5"/>
        <v>379</v>
      </c>
      <c r="BA34" s="35">
        <v>371</v>
      </c>
      <c r="BB34" s="35"/>
      <c r="BC34" s="35">
        <f t="shared" si="6"/>
        <v>331</v>
      </c>
      <c r="BD34" s="6">
        <v>725</v>
      </c>
      <c r="BE34" s="6"/>
      <c r="BF34" s="35">
        <f t="shared" si="7"/>
        <v>354</v>
      </c>
      <c r="BG34" s="6"/>
      <c r="BH34" s="6"/>
      <c r="BI34" s="6"/>
      <c r="BJ34" s="6">
        <v>1083</v>
      </c>
      <c r="BK34" s="6"/>
      <c r="BL34" s="6">
        <f t="shared" si="8"/>
        <v>358</v>
      </c>
      <c r="BM34" s="6">
        <v>1449</v>
      </c>
      <c r="BN34" s="6"/>
      <c r="BO34" s="6">
        <f t="shared" si="9"/>
        <v>366</v>
      </c>
      <c r="BP34" s="6">
        <v>266</v>
      </c>
      <c r="BQ34" s="6">
        <v>1560</v>
      </c>
      <c r="BR34" s="35">
        <f t="shared" si="10"/>
        <v>377</v>
      </c>
      <c r="BS34" s="6">
        <v>628</v>
      </c>
      <c r="BT34" s="6"/>
      <c r="BU34" s="6">
        <f t="shared" si="11"/>
        <v>362</v>
      </c>
      <c r="BV34" s="6">
        <v>1005</v>
      </c>
      <c r="BW34" s="6"/>
      <c r="BX34" s="35">
        <f t="shared" si="12"/>
        <v>377</v>
      </c>
      <c r="BY34" s="6">
        <v>1361</v>
      </c>
      <c r="BZ34" s="6"/>
      <c r="CA34" s="6">
        <f t="shared" si="13"/>
        <v>356</v>
      </c>
      <c r="CB34" s="6"/>
      <c r="CC34" s="6"/>
      <c r="CD34" s="6"/>
      <c r="CE34" s="6">
        <v>267</v>
      </c>
      <c r="CF34" s="6">
        <v>1459</v>
      </c>
      <c r="CG34" s="6">
        <f t="shared" si="14"/>
        <v>365</v>
      </c>
      <c r="CH34" s="6">
        <v>563</v>
      </c>
      <c r="CI34" s="6"/>
      <c r="CJ34" s="6">
        <f t="shared" si="15"/>
        <v>296</v>
      </c>
      <c r="CK34" s="6">
        <v>248</v>
      </c>
      <c r="CL34" s="6">
        <v>676</v>
      </c>
      <c r="CM34" s="6">
        <f t="shared" si="16"/>
        <v>361</v>
      </c>
      <c r="CN34" s="6">
        <v>616</v>
      </c>
      <c r="CO34" s="6"/>
      <c r="CP34" s="6">
        <f t="shared" si="17"/>
        <v>368</v>
      </c>
      <c r="CQ34" s="6">
        <v>990</v>
      </c>
      <c r="CR34" s="6"/>
      <c r="CS34" s="6">
        <f t="shared" si="18"/>
        <v>374</v>
      </c>
      <c r="CT34" s="6">
        <v>1329</v>
      </c>
      <c r="CU34" s="6"/>
      <c r="CV34" s="6">
        <f t="shared" si="19"/>
        <v>339</v>
      </c>
      <c r="CW34" s="6"/>
      <c r="CX34" s="6"/>
      <c r="CY34" s="6"/>
      <c r="CZ34" s="6">
        <v>144</v>
      </c>
      <c r="DA34" s="6">
        <v>1560</v>
      </c>
      <c r="DB34" s="6">
        <f t="shared" si="20"/>
        <v>375</v>
      </c>
      <c r="DC34" s="6">
        <v>506</v>
      </c>
      <c r="DD34" s="6"/>
      <c r="DE34" s="6">
        <f t="shared" si="21"/>
        <v>362</v>
      </c>
      <c r="DF34" s="6">
        <v>124</v>
      </c>
      <c r="DG34" s="6">
        <v>749</v>
      </c>
      <c r="DH34" s="6">
        <f t="shared" si="22"/>
        <v>367</v>
      </c>
      <c r="DI34" s="6">
        <v>482</v>
      </c>
      <c r="DJ34" s="6"/>
      <c r="DK34" s="6">
        <f t="shared" si="23"/>
        <v>358</v>
      </c>
      <c r="DL34" s="6">
        <v>836</v>
      </c>
      <c r="DM34" s="6"/>
      <c r="DN34" s="6">
        <f t="shared" si="24"/>
        <v>354</v>
      </c>
      <c r="DO34" s="6">
        <v>1174</v>
      </c>
      <c r="DP34" s="6"/>
      <c r="DQ34" s="6">
        <f t="shared" si="25"/>
        <v>338</v>
      </c>
    </row>
    <row r="35" spans="1:121">
      <c r="A35" s="6">
        <v>31</v>
      </c>
      <c r="B35" s="6">
        <v>542</v>
      </c>
      <c r="C35" s="6"/>
      <c r="D35" s="6">
        <v>328</v>
      </c>
      <c r="E35" s="33" t="s">
        <v>95</v>
      </c>
      <c r="F35" s="33" t="s">
        <v>95</v>
      </c>
      <c r="G35" s="33" t="s">
        <v>95</v>
      </c>
      <c r="H35" s="148" t="s">
        <v>98</v>
      </c>
      <c r="I35" s="33" t="s">
        <v>98</v>
      </c>
      <c r="J35" s="33" t="s">
        <v>98</v>
      </c>
      <c r="K35" s="33" t="s">
        <v>98</v>
      </c>
      <c r="L35" s="33" t="s">
        <v>98</v>
      </c>
      <c r="M35" s="33" t="s">
        <v>98</v>
      </c>
      <c r="N35" s="148" t="s">
        <v>37</v>
      </c>
      <c r="O35" s="33" t="s">
        <v>37</v>
      </c>
      <c r="P35" s="33" t="s">
        <v>37</v>
      </c>
      <c r="Q35" s="33" t="s">
        <v>37</v>
      </c>
      <c r="R35" s="33" t="s">
        <v>37</v>
      </c>
      <c r="S35" s="33" t="s">
        <v>37</v>
      </c>
      <c r="T35" s="33" t="s">
        <v>37</v>
      </c>
      <c r="U35" s="33" t="s">
        <v>37</v>
      </c>
      <c r="V35" s="33" t="s">
        <v>37</v>
      </c>
      <c r="W35" s="33" t="s">
        <v>37</v>
      </c>
      <c r="X35" s="33" t="s">
        <v>37</v>
      </c>
      <c r="Y35" s="33" t="s">
        <v>37</v>
      </c>
      <c r="Z35" s="33" t="s">
        <v>37</v>
      </c>
      <c r="AA35" s="33" t="s">
        <v>37</v>
      </c>
      <c r="AB35" s="33" t="s">
        <v>37</v>
      </c>
      <c r="AC35" s="33" t="s">
        <v>37</v>
      </c>
      <c r="AD35" s="148" t="s">
        <v>37</v>
      </c>
      <c r="AE35" s="33" t="s">
        <v>37</v>
      </c>
      <c r="AF35" s="6">
        <v>891</v>
      </c>
      <c r="AG35" s="6"/>
      <c r="AH35" s="35">
        <f t="shared" si="0"/>
        <v>349</v>
      </c>
      <c r="AI35" s="35">
        <v>1220</v>
      </c>
      <c r="AJ35" s="35"/>
      <c r="AK35" s="35">
        <f t="shared" si="1"/>
        <v>329</v>
      </c>
      <c r="AL35" s="6"/>
      <c r="AM35" s="6"/>
      <c r="AN35" s="35"/>
      <c r="AO35" s="6">
        <v>249</v>
      </c>
      <c r="AP35" s="6">
        <v>1273</v>
      </c>
      <c r="AQ35" s="34">
        <f t="shared" si="2"/>
        <v>302</v>
      </c>
      <c r="AR35" s="35">
        <v>592</v>
      </c>
      <c r="AS35" s="35"/>
      <c r="AT35" s="35">
        <f t="shared" si="3"/>
        <v>343</v>
      </c>
      <c r="AU35" s="6">
        <v>910</v>
      </c>
      <c r="AV35" s="6"/>
      <c r="AW35" s="35">
        <f t="shared" si="4"/>
        <v>318</v>
      </c>
      <c r="AX35" s="6">
        <v>58</v>
      </c>
      <c r="AY35" s="6">
        <v>1200</v>
      </c>
      <c r="AZ35" s="35">
        <f t="shared" si="5"/>
        <v>348</v>
      </c>
      <c r="BA35" s="35">
        <v>394</v>
      </c>
      <c r="BB35" s="35"/>
      <c r="BC35" s="35">
        <f t="shared" si="6"/>
        <v>336</v>
      </c>
      <c r="BD35" s="6">
        <v>0</v>
      </c>
      <c r="BE35" s="6">
        <v>394</v>
      </c>
      <c r="BF35" s="35">
        <f t="shared" si="7"/>
        <v>0</v>
      </c>
      <c r="BG35" s="6"/>
      <c r="BH35" s="6"/>
      <c r="BI35" s="6"/>
      <c r="BJ35" s="6">
        <v>0</v>
      </c>
      <c r="BK35" s="6"/>
      <c r="BL35" s="6">
        <f t="shared" si="8"/>
        <v>0</v>
      </c>
      <c r="BM35" s="6">
        <v>0</v>
      </c>
      <c r="BN35" s="6"/>
      <c r="BO35" s="6">
        <f t="shared" si="9"/>
        <v>0</v>
      </c>
      <c r="BP35" s="6">
        <v>282</v>
      </c>
      <c r="BQ35" s="6"/>
      <c r="BR35" s="35">
        <f t="shared" si="10"/>
        <v>282</v>
      </c>
      <c r="BS35" s="6">
        <v>656</v>
      </c>
      <c r="BT35" s="6"/>
      <c r="BU35" s="6">
        <f t="shared" si="11"/>
        <v>374</v>
      </c>
      <c r="BV35" s="6">
        <v>1028</v>
      </c>
      <c r="BW35" s="6"/>
      <c r="BX35" s="35">
        <f t="shared" si="12"/>
        <v>372</v>
      </c>
      <c r="BY35" s="6">
        <v>292</v>
      </c>
      <c r="BZ35" s="6">
        <v>1084</v>
      </c>
      <c r="CA35" s="6">
        <f t="shared" si="13"/>
        <v>348</v>
      </c>
      <c r="CB35" s="6"/>
      <c r="CC35" s="6"/>
      <c r="CD35" s="6"/>
      <c r="CE35" s="6">
        <f>366+292</f>
        <v>658</v>
      </c>
      <c r="CF35" s="6"/>
      <c r="CG35" s="6">
        <f t="shared" si="14"/>
        <v>366</v>
      </c>
      <c r="CH35" s="6">
        <f>729+292</f>
        <v>1021</v>
      </c>
      <c r="CI35" s="6"/>
      <c r="CJ35" s="6">
        <f t="shared" si="15"/>
        <v>363</v>
      </c>
      <c r="CK35" s="6">
        <f>933+292</f>
        <v>1225</v>
      </c>
      <c r="CL35" s="6"/>
      <c r="CM35" s="6">
        <f t="shared" si="16"/>
        <v>204</v>
      </c>
      <c r="CN35" s="6">
        <v>31</v>
      </c>
      <c r="CO35" s="6">
        <v>1560</v>
      </c>
      <c r="CP35" s="6">
        <f t="shared" si="17"/>
        <v>366</v>
      </c>
      <c r="CQ35" s="6">
        <v>398</v>
      </c>
      <c r="CR35" s="6"/>
      <c r="CS35" s="6">
        <f t="shared" si="18"/>
        <v>367</v>
      </c>
      <c r="CT35" s="6">
        <v>742</v>
      </c>
      <c r="CU35" s="6"/>
      <c r="CV35" s="6">
        <f t="shared" si="19"/>
        <v>344</v>
      </c>
      <c r="CW35" s="6"/>
      <c r="CX35" s="6"/>
      <c r="CY35" s="6"/>
      <c r="CZ35" s="6">
        <v>1109</v>
      </c>
      <c r="DA35" s="6"/>
      <c r="DB35" s="6">
        <f t="shared" si="20"/>
        <v>367</v>
      </c>
      <c r="DC35" s="6">
        <v>1473</v>
      </c>
      <c r="DD35" s="6"/>
      <c r="DE35" s="6">
        <f t="shared" si="21"/>
        <v>364</v>
      </c>
      <c r="DF35" s="6">
        <v>1837</v>
      </c>
      <c r="DG35" s="6"/>
      <c r="DH35" s="6">
        <f t="shared" si="22"/>
        <v>364</v>
      </c>
      <c r="DI35" s="6">
        <v>0</v>
      </c>
      <c r="DJ35" s="6">
        <v>2163</v>
      </c>
      <c r="DK35" s="6">
        <f t="shared" si="23"/>
        <v>326</v>
      </c>
      <c r="DL35" s="6">
        <v>331</v>
      </c>
      <c r="DM35" s="6"/>
      <c r="DN35" s="6">
        <f t="shared" si="24"/>
        <v>331</v>
      </c>
      <c r="DO35" s="6">
        <v>658</v>
      </c>
      <c r="DP35" s="6"/>
      <c r="DQ35" s="6">
        <f t="shared" si="25"/>
        <v>327</v>
      </c>
    </row>
    <row r="36" spans="1:121">
      <c r="A36" s="6">
        <v>32</v>
      </c>
      <c r="B36" s="6">
        <v>0</v>
      </c>
      <c r="C36" s="6">
        <v>677</v>
      </c>
      <c r="D36" s="6">
        <v>241</v>
      </c>
      <c r="E36" s="33" t="s">
        <v>95</v>
      </c>
      <c r="F36" s="148" t="s">
        <v>98</v>
      </c>
      <c r="G36" s="33" t="s">
        <v>98</v>
      </c>
      <c r="H36" s="33" t="s">
        <v>98</v>
      </c>
      <c r="I36" s="33" t="s">
        <v>98</v>
      </c>
      <c r="J36" s="33" t="s">
        <v>98</v>
      </c>
      <c r="K36" s="33" t="s">
        <v>98</v>
      </c>
      <c r="L36" s="33" t="s">
        <v>98</v>
      </c>
      <c r="M36" s="33" t="s">
        <v>98</v>
      </c>
      <c r="N36" s="148" t="s">
        <v>37</v>
      </c>
      <c r="O36" s="33" t="s">
        <v>37</v>
      </c>
      <c r="P36" s="33" t="s">
        <v>37</v>
      </c>
      <c r="Q36" s="33" t="s">
        <v>37</v>
      </c>
      <c r="R36" s="33" t="s">
        <v>37</v>
      </c>
      <c r="S36" s="33" t="s">
        <v>37</v>
      </c>
      <c r="T36" s="33" t="s">
        <v>37</v>
      </c>
      <c r="U36" s="33" t="s">
        <v>37</v>
      </c>
      <c r="V36" s="33" t="s">
        <v>37</v>
      </c>
      <c r="W36" s="33" t="s">
        <v>37</v>
      </c>
      <c r="X36" s="33" t="s">
        <v>37</v>
      </c>
      <c r="Y36" s="33" t="s">
        <v>37</v>
      </c>
      <c r="Z36" s="33" t="s">
        <v>37</v>
      </c>
      <c r="AA36" s="33" t="s">
        <v>37</v>
      </c>
      <c r="AB36" s="148" t="s">
        <v>37</v>
      </c>
      <c r="AC36" s="33" t="s">
        <v>37</v>
      </c>
      <c r="AD36" s="33" t="s">
        <v>37</v>
      </c>
      <c r="AE36" s="33" t="s">
        <v>37</v>
      </c>
      <c r="AF36" s="6">
        <v>335</v>
      </c>
      <c r="AG36" s="6"/>
      <c r="AH36" s="35">
        <f t="shared" si="0"/>
        <v>335</v>
      </c>
      <c r="AI36" s="35">
        <v>665</v>
      </c>
      <c r="AJ36" s="35"/>
      <c r="AK36" s="35">
        <f t="shared" si="1"/>
        <v>330</v>
      </c>
      <c r="AL36" s="6"/>
      <c r="AM36" s="6"/>
      <c r="AN36" s="35"/>
      <c r="AO36" s="6">
        <v>1011</v>
      </c>
      <c r="AP36" s="6"/>
      <c r="AQ36" s="34">
        <f t="shared" si="2"/>
        <v>346</v>
      </c>
      <c r="AR36" s="35">
        <v>158</v>
      </c>
      <c r="AS36" s="35">
        <v>1200</v>
      </c>
      <c r="AT36" s="35">
        <f t="shared" si="3"/>
        <v>347</v>
      </c>
      <c r="AU36" s="6">
        <v>504</v>
      </c>
      <c r="AV36" s="6"/>
      <c r="AW36" s="35">
        <f t="shared" si="4"/>
        <v>346</v>
      </c>
      <c r="AX36" s="6">
        <v>845</v>
      </c>
      <c r="AY36" s="6"/>
      <c r="AZ36" s="35">
        <f t="shared" si="5"/>
        <v>341</v>
      </c>
      <c r="BA36" s="35">
        <v>944</v>
      </c>
      <c r="BB36" s="35"/>
      <c r="BC36" s="35">
        <f t="shared" si="6"/>
        <v>99</v>
      </c>
      <c r="BD36" s="6">
        <v>0</v>
      </c>
      <c r="BE36" s="6">
        <v>944</v>
      </c>
      <c r="BF36" s="35">
        <f t="shared" si="7"/>
        <v>0</v>
      </c>
      <c r="BG36" s="6"/>
      <c r="BH36" s="6"/>
      <c r="BI36" s="6"/>
      <c r="BJ36" s="6">
        <v>0</v>
      </c>
      <c r="BK36" s="6"/>
      <c r="BL36" s="6">
        <f t="shared" si="8"/>
        <v>0</v>
      </c>
      <c r="BM36" s="6">
        <v>0</v>
      </c>
      <c r="BN36" s="6"/>
      <c r="BO36" s="6">
        <f t="shared" si="9"/>
        <v>0</v>
      </c>
      <c r="BP36" s="6">
        <v>293</v>
      </c>
      <c r="BQ36" s="6"/>
      <c r="BR36" s="35">
        <f t="shared" si="10"/>
        <v>293</v>
      </c>
      <c r="BS36" s="6">
        <v>676</v>
      </c>
      <c r="BT36" s="6"/>
      <c r="BU36" s="6">
        <f t="shared" si="11"/>
        <v>383</v>
      </c>
      <c r="BV36" s="6">
        <v>1044</v>
      </c>
      <c r="BW36" s="6"/>
      <c r="BX36" s="35">
        <f t="shared" si="12"/>
        <v>368</v>
      </c>
      <c r="BY36" s="6">
        <v>1401</v>
      </c>
      <c r="BZ36" s="6"/>
      <c r="CA36" s="6">
        <f t="shared" si="13"/>
        <v>357</v>
      </c>
      <c r="CB36" s="6"/>
      <c r="CC36" s="6"/>
      <c r="CD36" s="6"/>
      <c r="CE36" s="6">
        <v>206</v>
      </c>
      <c r="CF36" s="6">
        <v>1570</v>
      </c>
      <c r="CG36" s="6">
        <f t="shared" si="14"/>
        <v>375</v>
      </c>
      <c r="CH36" s="6">
        <v>573</v>
      </c>
      <c r="CI36" s="6"/>
      <c r="CJ36" s="6">
        <f t="shared" si="15"/>
        <v>367</v>
      </c>
      <c r="CK36" s="6">
        <v>946</v>
      </c>
      <c r="CL36" s="6"/>
      <c r="CM36" s="6">
        <f t="shared" si="16"/>
        <v>373</v>
      </c>
      <c r="CN36" s="6">
        <v>1311</v>
      </c>
      <c r="CO36" s="6"/>
      <c r="CP36" s="6">
        <f t="shared" si="17"/>
        <v>365</v>
      </c>
      <c r="CQ36" s="6">
        <v>234</v>
      </c>
      <c r="CR36" s="6">
        <v>1448</v>
      </c>
      <c r="CS36" s="6">
        <f t="shared" si="18"/>
        <v>371</v>
      </c>
      <c r="CT36" s="6">
        <v>588</v>
      </c>
      <c r="CU36" s="6"/>
      <c r="CV36" s="6">
        <f t="shared" si="19"/>
        <v>354</v>
      </c>
      <c r="CW36" s="6"/>
      <c r="CX36" s="6"/>
      <c r="CY36" s="6"/>
      <c r="CZ36" s="6">
        <v>966</v>
      </c>
      <c r="DA36" s="6"/>
      <c r="DB36" s="6">
        <f t="shared" si="20"/>
        <v>378</v>
      </c>
      <c r="DC36" s="6">
        <v>0</v>
      </c>
      <c r="DD36" s="6">
        <v>1195</v>
      </c>
      <c r="DE36" s="6">
        <f t="shared" si="21"/>
        <v>229</v>
      </c>
      <c r="DF36" s="6">
        <v>322</v>
      </c>
      <c r="DG36" s="6"/>
      <c r="DH36" s="6">
        <f t="shared" si="22"/>
        <v>322</v>
      </c>
      <c r="DI36" s="6">
        <v>682</v>
      </c>
      <c r="DJ36" s="6"/>
      <c r="DK36" s="6">
        <f t="shared" si="23"/>
        <v>360</v>
      </c>
      <c r="DL36" s="6">
        <v>1055</v>
      </c>
      <c r="DM36" s="6"/>
      <c r="DN36" s="6">
        <f t="shared" si="24"/>
        <v>373</v>
      </c>
      <c r="DO36" s="6">
        <v>1394</v>
      </c>
      <c r="DP36" s="6"/>
      <c r="DQ36" s="6">
        <f t="shared" si="25"/>
        <v>339</v>
      </c>
    </row>
    <row r="37" spans="1:121">
      <c r="A37" s="6">
        <v>33</v>
      </c>
      <c r="B37" s="6">
        <v>316</v>
      </c>
      <c r="C37" s="6">
        <v>1560</v>
      </c>
      <c r="D37" s="6">
        <v>406</v>
      </c>
      <c r="E37" s="33" t="s">
        <v>97</v>
      </c>
      <c r="F37" s="148" t="s">
        <v>116</v>
      </c>
      <c r="G37" s="33" t="s">
        <v>116</v>
      </c>
      <c r="H37" s="33" t="s">
        <v>116</v>
      </c>
      <c r="I37" s="33" t="s">
        <v>116</v>
      </c>
      <c r="J37" s="33" t="s">
        <v>116</v>
      </c>
      <c r="K37" s="33" t="s">
        <v>116</v>
      </c>
      <c r="L37" s="33" t="s">
        <v>116</v>
      </c>
      <c r="M37" s="33" t="s">
        <v>116</v>
      </c>
      <c r="N37" s="33" t="s">
        <v>116</v>
      </c>
      <c r="O37" s="33" t="s">
        <v>116</v>
      </c>
      <c r="P37" s="33" t="s">
        <v>116</v>
      </c>
      <c r="Q37" s="33" t="s">
        <v>116</v>
      </c>
      <c r="R37" s="33" t="s">
        <v>116</v>
      </c>
      <c r="S37" s="33" t="s">
        <v>116</v>
      </c>
      <c r="T37" s="33" t="s">
        <v>116</v>
      </c>
      <c r="U37" s="33" t="s">
        <v>116</v>
      </c>
      <c r="V37" s="33" t="s">
        <v>116</v>
      </c>
      <c r="W37" s="33" t="s">
        <v>116</v>
      </c>
      <c r="X37" s="33" t="s">
        <v>116</v>
      </c>
      <c r="Y37" s="33" t="s">
        <v>116</v>
      </c>
      <c r="Z37" s="33" t="s">
        <v>116</v>
      </c>
      <c r="AA37" s="148" t="s">
        <v>37</v>
      </c>
      <c r="AB37" s="33" t="s">
        <v>37</v>
      </c>
      <c r="AC37" s="33" t="s">
        <v>37</v>
      </c>
      <c r="AD37" s="33" t="s">
        <v>37</v>
      </c>
      <c r="AE37" s="33" t="s">
        <v>37</v>
      </c>
      <c r="AF37" s="35">
        <v>217</v>
      </c>
      <c r="AG37" s="35">
        <v>447</v>
      </c>
      <c r="AH37" s="35">
        <f t="shared" si="0"/>
        <v>348</v>
      </c>
      <c r="AI37" s="35">
        <v>598</v>
      </c>
      <c r="AJ37" s="35"/>
      <c r="AK37" s="35">
        <f t="shared" si="1"/>
        <v>381</v>
      </c>
      <c r="AL37" s="35"/>
      <c r="AM37" s="35"/>
      <c r="AN37" s="35"/>
      <c r="AO37" s="35">
        <v>980</v>
      </c>
      <c r="AP37" s="35"/>
      <c r="AQ37" s="34">
        <f t="shared" si="2"/>
        <v>382</v>
      </c>
      <c r="AR37" s="35">
        <f>1380*0.9144</f>
        <v>1261.8720000000001</v>
      </c>
      <c r="AS37" s="35"/>
      <c r="AT37" s="35">
        <f t="shared" si="3"/>
        <v>281.87200000000007</v>
      </c>
      <c r="AU37" s="6">
        <v>70</v>
      </c>
      <c r="AV37" s="6">
        <v>1560</v>
      </c>
      <c r="AW37" s="35">
        <f t="shared" si="4"/>
        <v>368.12799999999993</v>
      </c>
      <c r="AX37" s="35">
        <v>429</v>
      </c>
      <c r="AY37" s="35"/>
      <c r="AZ37" s="35">
        <f t="shared" si="5"/>
        <v>359</v>
      </c>
      <c r="BA37" s="6">
        <v>785</v>
      </c>
      <c r="BB37" s="6"/>
      <c r="BC37" s="35">
        <f t="shared" si="6"/>
        <v>356</v>
      </c>
      <c r="BD37" s="6">
        <v>1146</v>
      </c>
      <c r="BE37" s="6"/>
      <c r="BF37" s="35">
        <f t="shared" si="7"/>
        <v>361</v>
      </c>
      <c r="BG37" s="6"/>
      <c r="BH37" s="6"/>
      <c r="BI37" s="35"/>
      <c r="BJ37" s="6">
        <v>1514</v>
      </c>
      <c r="BK37" s="6"/>
      <c r="BL37" s="6">
        <f t="shared" si="8"/>
        <v>368</v>
      </c>
      <c r="BM37" s="6">
        <v>327</v>
      </c>
      <c r="BN37" s="6">
        <v>1560</v>
      </c>
      <c r="BO37" s="6">
        <f t="shared" si="9"/>
        <v>373</v>
      </c>
      <c r="BP37" s="6">
        <v>676</v>
      </c>
      <c r="BQ37" s="6"/>
      <c r="BR37" s="35">
        <f t="shared" si="10"/>
        <v>349</v>
      </c>
      <c r="BS37" s="6">
        <v>1038</v>
      </c>
      <c r="BT37" s="6"/>
      <c r="BU37" s="6">
        <f t="shared" si="11"/>
        <v>362</v>
      </c>
      <c r="BV37" s="6">
        <v>213</v>
      </c>
      <c r="BW37" s="6">
        <v>1180</v>
      </c>
      <c r="BX37" s="35">
        <f t="shared" si="12"/>
        <v>355</v>
      </c>
      <c r="BY37" s="6">
        <v>556</v>
      </c>
      <c r="BZ37" s="6"/>
      <c r="CA37" s="6">
        <f t="shared" si="13"/>
        <v>343</v>
      </c>
      <c r="CB37" s="6"/>
      <c r="CC37" s="6"/>
      <c r="CD37" s="6"/>
      <c r="CE37" s="6">
        <v>911</v>
      </c>
      <c r="CF37" s="6"/>
      <c r="CG37" s="6">
        <f t="shared" si="14"/>
        <v>355</v>
      </c>
      <c r="CH37" s="6">
        <v>1273</v>
      </c>
      <c r="CI37" s="6"/>
      <c r="CJ37" s="6">
        <f t="shared" si="15"/>
        <v>362</v>
      </c>
      <c r="CK37" s="6">
        <v>57</v>
      </c>
      <c r="CL37" s="6">
        <v>1560</v>
      </c>
      <c r="CM37" s="6">
        <f t="shared" si="16"/>
        <v>344</v>
      </c>
      <c r="CN37" s="6">
        <v>426</v>
      </c>
      <c r="CO37" s="6"/>
      <c r="CP37" s="6">
        <f t="shared" si="17"/>
        <v>369</v>
      </c>
      <c r="CQ37" s="6">
        <v>787</v>
      </c>
      <c r="CR37" s="6"/>
      <c r="CS37" s="6">
        <f t="shared" si="18"/>
        <v>361</v>
      </c>
      <c r="CT37" s="6">
        <v>162</v>
      </c>
      <c r="CU37" s="6">
        <v>966</v>
      </c>
      <c r="CV37" s="6">
        <f t="shared" si="19"/>
        <v>341</v>
      </c>
      <c r="CW37" s="6"/>
      <c r="CX37" s="6"/>
      <c r="CY37" s="6"/>
      <c r="CZ37" s="6">
        <v>0</v>
      </c>
      <c r="DA37" s="6">
        <f>359+136</f>
        <v>495</v>
      </c>
      <c r="DB37" s="6">
        <f t="shared" si="20"/>
        <v>333</v>
      </c>
      <c r="DC37" s="6">
        <v>244</v>
      </c>
      <c r="DD37" s="6"/>
      <c r="DE37" s="6">
        <f t="shared" si="21"/>
        <v>244</v>
      </c>
      <c r="DF37" s="6">
        <v>616</v>
      </c>
      <c r="DG37" s="6"/>
      <c r="DH37" s="6">
        <f t="shared" si="22"/>
        <v>372</v>
      </c>
      <c r="DI37" s="6">
        <v>976</v>
      </c>
      <c r="DJ37" s="6"/>
      <c r="DK37" s="6">
        <f t="shared" si="23"/>
        <v>360</v>
      </c>
      <c r="DL37" s="6">
        <v>1338</v>
      </c>
      <c r="DM37" s="6"/>
      <c r="DN37" s="6">
        <f t="shared" si="24"/>
        <v>362</v>
      </c>
      <c r="DO37" s="6">
        <v>81</v>
      </c>
      <c r="DP37" s="6">
        <v>1560</v>
      </c>
      <c r="DQ37" s="6">
        <f t="shared" si="25"/>
        <v>303</v>
      </c>
    </row>
    <row r="38" spans="1:121">
      <c r="A38" s="6">
        <v>34</v>
      </c>
      <c r="B38" s="6">
        <v>767</v>
      </c>
      <c r="C38" s="6"/>
      <c r="D38" s="6">
        <v>405</v>
      </c>
      <c r="E38" s="33" t="s">
        <v>97</v>
      </c>
      <c r="F38" s="148" t="s">
        <v>116</v>
      </c>
      <c r="G38" s="33" t="s">
        <v>116</v>
      </c>
      <c r="H38" s="33" t="s">
        <v>116</v>
      </c>
      <c r="I38" s="33" t="s">
        <v>116</v>
      </c>
      <c r="J38" s="33" t="s">
        <v>116</v>
      </c>
      <c r="K38" s="33" t="s">
        <v>116</v>
      </c>
      <c r="L38" s="33" t="s">
        <v>116</v>
      </c>
      <c r="M38" s="33" t="s">
        <v>116</v>
      </c>
      <c r="N38" s="33" t="s">
        <v>116</v>
      </c>
      <c r="O38" s="33" t="s">
        <v>116</v>
      </c>
      <c r="P38" s="33" t="s">
        <v>116</v>
      </c>
      <c r="Q38" s="33" t="s">
        <v>116</v>
      </c>
      <c r="R38" s="33" t="s">
        <v>116</v>
      </c>
      <c r="S38" s="33" t="s">
        <v>116</v>
      </c>
      <c r="T38" s="33" t="s">
        <v>116</v>
      </c>
      <c r="U38" s="33" t="s">
        <v>116</v>
      </c>
      <c r="V38" s="33" t="s">
        <v>116</v>
      </c>
      <c r="W38" s="33" t="s">
        <v>116</v>
      </c>
      <c r="X38" s="33" t="s">
        <v>116</v>
      </c>
      <c r="Y38" s="33" t="s">
        <v>116</v>
      </c>
      <c r="Z38" s="33" t="s">
        <v>116</v>
      </c>
      <c r="AA38" s="33" t="s">
        <v>116</v>
      </c>
      <c r="AB38" s="148" t="s">
        <v>37</v>
      </c>
      <c r="AC38" s="33" t="s">
        <v>37</v>
      </c>
      <c r="AD38" s="33" t="s">
        <v>37</v>
      </c>
      <c r="AE38" s="33" t="s">
        <v>37</v>
      </c>
      <c r="AF38" s="35">
        <v>287</v>
      </c>
      <c r="AG38" s="35">
        <v>862</v>
      </c>
      <c r="AH38" s="35">
        <f t="shared" si="0"/>
        <v>382</v>
      </c>
      <c r="AI38" s="35">
        <v>678</v>
      </c>
      <c r="AJ38" s="35"/>
      <c r="AK38" s="35">
        <f t="shared" si="1"/>
        <v>391</v>
      </c>
      <c r="AL38" s="35"/>
      <c r="AM38" s="35"/>
      <c r="AN38" s="35"/>
      <c r="AO38" s="35">
        <v>1084</v>
      </c>
      <c r="AP38" s="35"/>
      <c r="AQ38" s="34">
        <f t="shared" si="2"/>
        <v>406</v>
      </c>
      <c r="AR38" s="35">
        <f>1489*0.9144</f>
        <v>1361.5416</v>
      </c>
      <c r="AS38" s="35"/>
      <c r="AT38" s="35">
        <f t="shared" si="3"/>
        <v>277.54160000000002</v>
      </c>
      <c r="AU38" s="6">
        <v>165</v>
      </c>
      <c r="AV38" s="6">
        <v>1560</v>
      </c>
      <c r="AW38" s="35">
        <f t="shared" si="4"/>
        <v>363.45839999999998</v>
      </c>
      <c r="AX38" s="6">
        <v>543</v>
      </c>
      <c r="AY38" s="6"/>
      <c r="AZ38" s="35">
        <f t="shared" si="5"/>
        <v>378</v>
      </c>
      <c r="BA38" s="6">
        <v>918</v>
      </c>
      <c r="BB38" s="6"/>
      <c r="BC38" s="35">
        <f t="shared" si="6"/>
        <v>375</v>
      </c>
      <c r="BD38" s="6">
        <v>1283</v>
      </c>
      <c r="BE38" s="6"/>
      <c r="BF38" s="35">
        <f t="shared" si="7"/>
        <v>365</v>
      </c>
      <c r="BG38" s="6"/>
      <c r="BH38" s="6"/>
      <c r="BI38" s="35"/>
      <c r="BJ38" s="6">
        <v>94</v>
      </c>
      <c r="BK38" s="6">
        <v>1560</v>
      </c>
      <c r="BL38" s="6">
        <f t="shared" si="8"/>
        <v>371</v>
      </c>
      <c r="BM38" s="6">
        <v>466</v>
      </c>
      <c r="BN38" s="6"/>
      <c r="BO38" s="6">
        <f t="shared" si="9"/>
        <v>372</v>
      </c>
      <c r="BP38" s="6">
        <v>842</v>
      </c>
      <c r="BQ38" s="6"/>
      <c r="BR38" s="35">
        <f t="shared" si="10"/>
        <v>376</v>
      </c>
      <c r="BS38" s="6">
        <v>131</v>
      </c>
      <c r="BT38" s="6">
        <v>1080</v>
      </c>
      <c r="BU38" s="6">
        <f t="shared" si="11"/>
        <v>369</v>
      </c>
      <c r="BV38" s="6">
        <v>476</v>
      </c>
      <c r="BW38" s="6"/>
      <c r="BX38" s="35">
        <f t="shared" si="12"/>
        <v>345</v>
      </c>
      <c r="BY38" s="6">
        <v>822</v>
      </c>
      <c r="BZ38" s="6"/>
      <c r="CA38" s="6">
        <f t="shared" si="13"/>
        <v>346</v>
      </c>
      <c r="CB38" s="6"/>
      <c r="CC38" s="6"/>
      <c r="CD38" s="6"/>
      <c r="CE38" s="6">
        <v>1194</v>
      </c>
      <c r="CF38" s="6"/>
      <c r="CG38" s="6">
        <f t="shared" si="14"/>
        <v>372</v>
      </c>
      <c r="CH38" s="6">
        <v>2</v>
      </c>
      <c r="CI38" s="6">
        <v>1560</v>
      </c>
      <c r="CJ38" s="6">
        <f t="shared" si="15"/>
        <v>368</v>
      </c>
      <c r="CK38" s="6">
        <v>373</v>
      </c>
      <c r="CL38" s="6"/>
      <c r="CM38" s="6">
        <f t="shared" si="16"/>
        <v>371</v>
      </c>
      <c r="CN38" s="6">
        <v>702</v>
      </c>
      <c r="CO38" s="6"/>
      <c r="CP38" s="6">
        <f t="shared" si="17"/>
        <v>329</v>
      </c>
      <c r="CQ38" s="6">
        <v>1070</v>
      </c>
      <c r="CR38" s="6"/>
      <c r="CS38" s="6">
        <f t="shared" si="18"/>
        <v>368</v>
      </c>
      <c r="CT38" s="6">
        <v>1410</v>
      </c>
      <c r="CU38" s="6"/>
      <c r="CV38" s="6">
        <f t="shared" si="19"/>
        <v>340</v>
      </c>
      <c r="CW38" s="6"/>
      <c r="CX38" s="6"/>
      <c r="CY38" s="6"/>
      <c r="CZ38" s="6">
        <v>217</v>
      </c>
      <c r="DA38" s="6">
        <v>1560</v>
      </c>
      <c r="DB38" s="6">
        <f t="shared" si="20"/>
        <v>367</v>
      </c>
      <c r="DC38" s="6">
        <v>0</v>
      </c>
      <c r="DD38" s="6">
        <v>495</v>
      </c>
      <c r="DE38" s="6">
        <f t="shared" si="21"/>
        <v>278</v>
      </c>
      <c r="DF38" s="6">
        <v>310</v>
      </c>
      <c r="DG38" s="6"/>
      <c r="DH38" s="6">
        <f t="shared" si="22"/>
        <v>310</v>
      </c>
      <c r="DI38" s="6">
        <v>678</v>
      </c>
      <c r="DJ38" s="6"/>
      <c r="DK38" s="6">
        <f t="shared" si="23"/>
        <v>368</v>
      </c>
      <c r="DL38" s="6">
        <v>1043</v>
      </c>
      <c r="DM38" s="6"/>
      <c r="DN38" s="6">
        <f t="shared" si="24"/>
        <v>365</v>
      </c>
      <c r="DO38" s="6">
        <v>1372</v>
      </c>
      <c r="DP38" s="6"/>
      <c r="DQ38" s="6">
        <f t="shared" si="25"/>
        <v>329</v>
      </c>
    </row>
    <row r="39" spans="1:121">
      <c r="A39" s="6">
        <v>35</v>
      </c>
      <c r="B39" s="6">
        <v>97</v>
      </c>
      <c r="C39" s="6">
        <v>1560</v>
      </c>
      <c r="D39" s="6">
        <v>373</v>
      </c>
      <c r="E39" s="33" t="s">
        <v>37</v>
      </c>
      <c r="F39" s="33" t="s">
        <v>37</v>
      </c>
      <c r="G39" s="33" t="s">
        <v>37</v>
      </c>
      <c r="H39" s="33" t="s">
        <v>37</v>
      </c>
      <c r="I39" s="33" t="s">
        <v>37</v>
      </c>
      <c r="J39" s="33" t="s">
        <v>37</v>
      </c>
      <c r="K39" s="33" t="s">
        <v>37</v>
      </c>
      <c r="L39" s="33" t="s">
        <v>37</v>
      </c>
      <c r="M39" s="33" t="s">
        <v>37</v>
      </c>
      <c r="N39" s="148" t="s">
        <v>69</v>
      </c>
      <c r="O39" s="33" t="s">
        <v>69</v>
      </c>
      <c r="P39" s="33" t="s">
        <v>69</v>
      </c>
      <c r="Q39" s="33" t="s">
        <v>69</v>
      </c>
      <c r="R39" s="148" t="s">
        <v>37</v>
      </c>
      <c r="S39" s="33" t="s">
        <v>37</v>
      </c>
      <c r="T39" s="33" t="s">
        <v>37</v>
      </c>
      <c r="U39" s="33" t="s">
        <v>37</v>
      </c>
      <c r="V39" s="33" t="s">
        <v>37</v>
      </c>
      <c r="W39" s="33" t="s">
        <v>37</v>
      </c>
      <c r="X39" s="33" t="s">
        <v>37</v>
      </c>
      <c r="Y39" s="33" t="s">
        <v>37</v>
      </c>
      <c r="Z39" s="33" t="s">
        <v>37</v>
      </c>
      <c r="AA39" s="33" t="s">
        <v>37</v>
      </c>
      <c r="AB39" s="148" t="s">
        <v>37</v>
      </c>
      <c r="AC39" s="33" t="s">
        <v>37</v>
      </c>
      <c r="AD39" s="33" t="s">
        <v>37</v>
      </c>
      <c r="AE39" s="33" t="s">
        <v>37</v>
      </c>
      <c r="AF39" s="6">
        <v>479</v>
      </c>
      <c r="AG39" s="6"/>
      <c r="AH39" s="35">
        <f t="shared" si="0"/>
        <v>382</v>
      </c>
      <c r="AI39" s="35">
        <v>831</v>
      </c>
      <c r="AJ39" s="35"/>
      <c r="AK39" s="35">
        <f t="shared" si="1"/>
        <v>352</v>
      </c>
      <c r="AL39" s="6"/>
      <c r="AM39" s="6"/>
      <c r="AN39" s="35"/>
      <c r="AO39" s="6">
        <v>1214</v>
      </c>
      <c r="AP39" s="6"/>
      <c r="AQ39" s="34">
        <f t="shared" si="2"/>
        <v>383</v>
      </c>
      <c r="AR39" s="35">
        <v>23</v>
      </c>
      <c r="AS39" s="35">
        <v>1560</v>
      </c>
      <c r="AT39" s="35">
        <f t="shared" si="3"/>
        <v>369</v>
      </c>
      <c r="AU39" s="6">
        <v>395</v>
      </c>
      <c r="AV39" s="6"/>
      <c r="AW39" s="35">
        <f t="shared" si="4"/>
        <v>372</v>
      </c>
      <c r="AX39" s="6">
        <v>398</v>
      </c>
      <c r="AY39" s="6"/>
      <c r="AZ39" s="35">
        <f t="shared" si="5"/>
        <v>3</v>
      </c>
      <c r="BA39" s="35">
        <v>0</v>
      </c>
      <c r="BB39" s="35">
        <v>675</v>
      </c>
      <c r="BC39" s="35">
        <f t="shared" si="6"/>
        <v>277</v>
      </c>
      <c r="BD39" s="6">
        <v>0</v>
      </c>
      <c r="BE39" s="6"/>
      <c r="BF39" s="35">
        <f t="shared" si="7"/>
        <v>0</v>
      </c>
      <c r="BG39" s="6"/>
      <c r="BH39" s="6"/>
      <c r="BI39" s="6"/>
      <c r="BJ39" s="6">
        <v>319</v>
      </c>
      <c r="BK39" s="6"/>
      <c r="BL39" s="6">
        <f t="shared" si="8"/>
        <v>319</v>
      </c>
      <c r="BM39" s="6">
        <v>682</v>
      </c>
      <c r="BN39" s="6"/>
      <c r="BO39" s="6">
        <f t="shared" si="9"/>
        <v>363</v>
      </c>
      <c r="BP39" s="6">
        <v>1063</v>
      </c>
      <c r="BQ39" s="6"/>
      <c r="BR39" s="35">
        <f t="shared" si="10"/>
        <v>381</v>
      </c>
      <c r="BS39" s="6">
        <v>1444</v>
      </c>
      <c r="BT39" s="6"/>
      <c r="BU39" s="6">
        <f t="shared" si="11"/>
        <v>381</v>
      </c>
      <c r="BV39" s="6">
        <v>354</v>
      </c>
      <c r="BW39" s="6">
        <v>1445</v>
      </c>
      <c r="BX39" s="35">
        <f t="shared" si="12"/>
        <v>355</v>
      </c>
      <c r="BY39" s="35">
        <v>717</v>
      </c>
      <c r="BZ39" s="6"/>
      <c r="CA39" s="6">
        <f t="shared" si="13"/>
        <v>363</v>
      </c>
      <c r="CB39" s="6"/>
      <c r="CC39" s="6"/>
      <c r="CD39" s="6"/>
      <c r="CE39" s="6">
        <v>1088</v>
      </c>
      <c r="CF39" s="6"/>
      <c r="CG39" s="6">
        <f t="shared" si="14"/>
        <v>371</v>
      </c>
      <c r="CH39" s="6">
        <v>42</v>
      </c>
      <c r="CI39" s="6">
        <v>1408</v>
      </c>
      <c r="CJ39" s="6">
        <f t="shared" si="15"/>
        <v>362</v>
      </c>
      <c r="CK39" s="6">
        <v>416</v>
      </c>
      <c r="CL39" s="6"/>
      <c r="CM39" s="6">
        <f t="shared" si="16"/>
        <v>374</v>
      </c>
      <c r="CN39" s="6">
        <v>787</v>
      </c>
      <c r="CO39" s="6"/>
      <c r="CP39" s="6">
        <f t="shared" si="17"/>
        <v>371</v>
      </c>
      <c r="CQ39" s="6">
        <v>1161</v>
      </c>
      <c r="CR39" s="6"/>
      <c r="CS39" s="6">
        <f t="shared" si="18"/>
        <v>374</v>
      </c>
      <c r="CT39" s="6">
        <v>15</v>
      </c>
      <c r="CU39" s="6">
        <v>1504</v>
      </c>
      <c r="CV39" s="6">
        <f t="shared" si="19"/>
        <v>358</v>
      </c>
      <c r="CW39" s="6"/>
      <c r="CX39" s="6"/>
      <c r="CY39" s="6"/>
      <c r="CZ39" s="6">
        <v>394</v>
      </c>
      <c r="DA39" s="6"/>
      <c r="DB39" s="6">
        <f t="shared" si="20"/>
        <v>379</v>
      </c>
      <c r="DC39" s="6">
        <v>0</v>
      </c>
      <c r="DD39" s="6">
        <v>555</v>
      </c>
      <c r="DE39" s="6">
        <f t="shared" si="21"/>
        <v>161</v>
      </c>
      <c r="DF39" s="6">
        <v>293</v>
      </c>
      <c r="DG39" s="6"/>
      <c r="DH39" s="6">
        <f t="shared" si="22"/>
        <v>293</v>
      </c>
      <c r="DI39" s="6">
        <v>664</v>
      </c>
      <c r="DJ39" s="6"/>
      <c r="DK39" s="6">
        <f t="shared" si="23"/>
        <v>371</v>
      </c>
      <c r="DL39" s="6">
        <v>57</v>
      </c>
      <c r="DM39" s="6">
        <v>960</v>
      </c>
      <c r="DN39" s="6">
        <f t="shared" si="24"/>
        <v>353</v>
      </c>
      <c r="DO39" s="6">
        <v>398</v>
      </c>
      <c r="DP39" s="6"/>
      <c r="DQ39" s="6">
        <f t="shared" si="25"/>
        <v>341</v>
      </c>
    </row>
    <row r="40" spans="1:121" ht="14.25" customHeight="1">
      <c r="A40" s="6">
        <v>36</v>
      </c>
      <c r="B40" s="6">
        <v>955</v>
      </c>
      <c r="C40" s="6"/>
      <c r="D40" s="6">
        <v>326</v>
      </c>
      <c r="E40" s="33" t="s">
        <v>98</v>
      </c>
      <c r="F40" s="33" t="s">
        <v>98</v>
      </c>
      <c r="G40" s="33" t="s">
        <v>98</v>
      </c>
      <c r="H40" s="33" t="s">
        <v>98</v>
      </c>
      <c r="I40" s="33" t="s">
        <v>98</v>
      </c>
      <c r="J40" s="33" t="s">
        <v>98</v>
      </c>
      <c r="K40" s="33" t="s">
        <v>98</v>
      </c>
      <c r="L40" s="33" t="s">
        <v>98</v>
      </c>
      <c r="M40" s="33" t="s">
        <v>98</v>
      </c>
      <c r="N40" s="33" t="s">
        <v>98</v>
      </c>
      <c r="O40" s="33" t="s">
        <v>98</v>
      </c>
      <c r="P40" s="33" t="s">
        <v>98</v>
      </c>
      <c r="Q40" s="33" t="s">
        <v>98</v>
      </c>
      <c r="R40" s="33" t="s">
        <v>98</v>
      </c>
      <c r="S40" s="148" t="s">
        <v>37</v>
      </c>
      <c r="T40" s="33" t="s">
        <v>37</v>
      </c>
      <c r="U40" s="33" t="s">
        <v>37</v>
      </c>
      <c r="V40" s="33" t="s">
        <v>37</v>
      </c>
      <c r="W40" s="33" t="s">
        <v>37</v>
      </c>
      <c r="X40" s="33" t="s">
        <v>37</v>
      </c>
      <c r="Y40" s="33" t="s">
        <v>37</v>
      </c>
      <c r="Z40" s="33" t="s">
        <v>37</v>
      </c>
      <c r="AA40" s="33" t="s">
        <v>37</v>
      </c>
      <c r="AB40" s="33" t="s">
        <v>37</v>
      </c>
      <c r="AC40" s="33" t="s">
        <v>37</v>
      </c>
      <c r="AD40" s="33" t="s">
        <v>37</v>
      </c>
      <c r="AE40" s="33" t="s">
        <v>37</v>
      </c>
      <c r="AF40" s="6">
        <v>104</v>
      </c>
      <c r="AG40" s="6">
        <v>1200</v>
      </c>
      <c r="AH40" s="35">
        <f t="shared" si="0"/>
        <v>349</v>
      </c>
      <c r="AI40" s="35">
        <v>437</v>
      </c>
      <c r="AJ40" s="35"/>
      <c r="AK40" s="35">
        <f t="shared" si="1"/>
        <v>333</v>
      </c>
      <c r="AL40" s="6"/>
      <c r="AM40" s="6"/>
      <c r="AN40" s="35"/>
      <c r="AO40" s="6">
        <v>779</v>
      </c>
      <c r="AP40" s="6"/>
      <c r="AQ40" s="34">
        <f t="shared" si="2"/>
        <v>342</v>
      </c>
      <c r="AR40" s="35">
        <v>1107</v>
      </c>
      <c r="AS40" s="35"/>
      <c r="AT40" s="35">
        <f t="shared" si="3"/>
        <v>328</v>
      </c>
      <c r="AU40" s="6">
        <v>241</v>
      </c>
      <c r="AV40" s="6">
        <v>1200</v>
      </c>
      <c r="AW40" s="35">
        <f t="shared" si="4"/>
        <v>334</v>
      </c>
      <c r="AX40" s="6">
        <v>586</v>
      </c>
      <c r="AY40" s="6"/>
      <c r="AZ40" s="35">
        <f t="shared" si="5"/>
        <v>345</v>
      </c>
      <c r="BA40" s="35">
        <v>1</v>
      </c>
      <c r="BB40" s="35">
        <v>934</v>
      </c>
      <c r="BC40" s="35">
        <f t="shared" si="6"/>
        <v>349</v>
      </c>
      <c r="BD40" s="6">
        <v>323</v>
      </c>
      <c r="BE40" s="6"/>
      <c r="BF40" s="35">
        <f t="shared" si="7"/>
        <v>322</v>
      </c>
      <c r="BG40" s="6"/>
      <c r="BH40" s="6"/>
      <c r="BI40" s="6"/>
      <c r="BJ40" s="6">
        <v>657</v>
      </c>
      <c r="BK40" s="6"/>
      <c r="BL40" s="6">
        <f t="shared" si="8"/>
        <v>334</v>
      </c>
      <c r="BM40" s="6">
        <v>264</v>
      </c>
      <c r="BN40" s="6">
        <v>726</v>
      </c>
      <c r="BO40" s="6">
        <f t="shared" si="9"/>
        <v>333</v>
      </c>
      <c r="BP40" s="6">
        <v>612</v>
      </c>
      <c r="BQ40" s="6"/>
      <c r="BR40" s="35">
        <f t="shared" si="10"/>
        <v>348</v>
      </c>
      <c r="BS40" s="6">
        <v>0</v>
      </c>
      <c r="BT40" s="6">
        <v>730</v>
      </c>
      <c r="BU40" s="6">
        <f t="shared" si="11"/>
        <v>118</v>
      </c>
      <c r="BV40" s="6">
        <v>0</v>
      </c>
      <c r="BW40" s="6"/>
      <c r="BX40" s="35">
        <f t="shared" si="12"/>
        <v>0</v>
      </c>
      <c r="BY40" s="6">
        <v>0</v>
      </c>
      <c r="BZ40" s="6"/>
      <c r="CA40" s="6">
        <f t="shared" si="13"/>
        <v>0</v>
      </c>
      <c r="CB40" s="6"/>
      <c r="CC40" s="6"/>
      <c r="CD40" s="6"/>
      <c r="CE40" s="6">
        <v>0</v>
      </c>
      <c r="CF40" s="6"/>
      <c r="CG40" s="6">
        <f t="shared" si="14"/>
        <v>0</v>
      </c>
      <c r="CH40" s="6">
        <v>270</v>
      </c>
      <c r="CI40" s="6"/>
      <c r="CJ40" s="6">
        <f t="shared" si="15"/>
        <v>270</v>
      </c>
      <c r="CK40" s="6">
        <v>630</v>
      </c>
      <c r="CL40" s="6"/>
      <c r="CM40" s="6">
        <f t="shared" si="16"/>
        <v>360</v>
      </c>
      <c r="CN40" s="6">
        <v>1000</v>
      </c>
      <c r="CO40" s="6"/>
      <c r="CP40" s="6">
        <f t="shared" si="17"/>
        <v>370</v>
      </c>
      <c r="CQ40" s="6">
        <v>1364</v>
      </c>
      <c r="CR40" s="6"/>
      <c r="CS40" s="6">
        <f t="shared" si="18"/>
        <v>364</v>
      </c>
      <c r="CT40" s="6">
        <v>141</v>
      </c>
      <c r="CU40" s="6">
        <v>1561</v>
      </c>
      <c r="CV40" s="6">
        <f t="shared" si="19"/>
        <v>338</v>
      </c>
      <c r="CW40" s="6"/>
      <c r="CX40" s="6"/>
      <c r="CY40" s="6"/>
      <c r="CZ40" s="6">
        <v>228</v>
      </c>
      <c r="DA40" s="6">
        <v>272</v>
      </c>
      <c r="DB40" s="6">
        <f t="shared" si="20"/>
        <v>359</v>
      </c>
      <c r="DC40" s="6">
        <v>269</v>
      </c>
      <c r="DD40" s="6">
        <v>313</v>
      </c>
      <c r="DE40" s="6">
        <f t="shared" si="21"/>
        <v>354</v>
      </c>
      <c r="DF40" s="6">
        <v>597</v>
      </c>
      <c r="DG40" s="6"/>
      <c r="DH40" s="6">
        <f t="shared" si="22"/>
        <v>328</v>
      </c>
      <c r="DI40" s="6">
        <v>956</v>
      </c>
      <c r="DJ40" s="6"/>
      <c r="DK40" s="6">
        <f t="shared" si="23"/>
        <v>359</v>
      </c>
      <c r="DL40" s="6">
        <v>1312</v>
      </c>
      <c r="DM40" s="6"/>
      <c r="DN40" s="6">
        <f t="shared" si="24"/>
        <v>356</v>
      </c>
      <c r="DO40" s="6">
        <v>84</v>
      </c>
      <c r="DP40" s="6">
        <v>1560</v>
      </c>
      <c r="DQ40" s="6">
        <f t="shared" si="25"/>
        <v>332</v>
      </c>
    </row>
    <row r="41" spans="1:121">
      <c r="A41" s="6">
        <v>37</v>
      </c>
      <c r="B41" s="6">
        <v>344</v>
      </c>
      <c r="C41" s="8">
        <v>371</v>
      </c>
      <c r="D41" s="8">
        <v>373</v>
      </c>
      <c r="E41" s="33" t="s">
        <v>69</v>
      </c>
      <c r="F41" s="33" t="s">
        <v>69</v>
      </c>
      <c r="G41" s="33" t="s">
        <v>69</v>
      </c>
      <c r="H41" s="33" t="s">
        <v>69</v>
      </c>
      <c r="I41" s="33" t="s">
        <v>69</v>
      </c>
      <c r="J41" s="33" t="s">
        <v>69</v>
      </c>
      <c r="K41" s="33" t="s">
        <v>69</v>
      </c>
      <c r="L41" s="33" t="s">
        <v>69</v>
      </c>
      <c r="M41" s="33" t="s">
        <v>69</v>
      </c>
      <c r="N41" s="33" t="s">
        <v>69</v>
      </c>
      <c r="O41" s="33" t="s">
        <v>69</v>
      </c>
      <c r="P41" s="33" t="s">
        <v>69</v>
      </c>
      <c r="Q41" s="33" t="s">
        <v>69</v>
      </c>
      <c r="R41" s="33" t="s">
        <v>69</v>
      </c>
      <c r="S41" s="33" t="s">
        <v>69</v>
      </c>
      <c r="T41" s="33" t="s">
        <v>69</v>
      </c>
      <c r="U41" s="33" t="s">
        <v>69</v>
      </c>
      <c r="V41" s="148" t="s">
        <v>128</v>
      </c>
      <c r="W41" s="33" t="s">
        <v>128</v>
      </c>
      <c r="X41" s="33" t="s">
        <v>128</v>
      </c>
      <c r="Y41" s="33" t="s">
        <v>128</v>
      </c>
      <c r="Z41" s="33" t="s">
        <v>128</v>
      </c>
      <c r="AA41" s="33" t="s">
        <v>128</v>
      </c>
      <c r="AB41" s="33" t="s">
        <v>128</v>
      </c>
      <c r="AC41" s="33" t="s">
        <v>128</v>
      </c>
      <c r="AD41" s="33" t="s">
        <v>128</v>
      </c>
      <c r="AE41" s="33" t="s">
        <v>128</v>
      </c>
      <c r="AF41" s="6">
        <v>719</v>
      </c>
      <c r="AG41" s="6"/>
      <c r="AH41" s="35">
        <f t="shared" si="0"/>
        <v>375</v>
      </c>
      <c r="AI41" s="35">
        <v>1077</v>
      </c>
      <c r="AJ41" s="35"/>
      <c r="AK41" s="35">
        <f t="shared" si="1"/>
        <v>358</v>
      </c>
      <c r="AL41" s="6"/>
      <c r="AM41" s="6"/>
      <c r="AN41" s="35"/>
      <c r="AO41" s="6">
        <v>1450</v>
      </c>
      <c r="AP41" s="6"/>
      <c r="AQ41" s="34">
        <f t="shared" si="2"/>
        <v>373</v>
      </c>
      <c r="AR41" s="35">
        <v>256</v>
      </c>
      <c r="AS41" s="35">
        <v>1560</v>
      </c>
      <c r="AT41" s="35">
        <f t="shared" si="3"/>
        <v>366</v>
      </c>
      <c r="AU41" s="6">
        <v>619</v>
      </c>
      <c r="AV41" s="6"/>
      <c r="AW41" s="35">
        <f t="shared" si="4"/>
        <v>363</v>
      </c>
      <c r="AX41" s="6">
        <v>988</v>
      </c>
      <c r="AY41" s="6"/>
      <c r="AZ41" s="35">
        <f t="shared" si="5"/>
        <v>369</v>
      </c>
      <c r="BA41" s="35">
        <v>1358</v>
      </c>
      <c r="BB41" s="35"/>
      <c r="BC41" s="35">
        <f t="shared" si="6"/>
        <v>370</v>
      </c>
      <c r="BD41" s="6">
        <v>153</v>
      </c>
      <c r="BE41" s="6">
        <v>1560</v>
      </c>
      <c r="BF41" s="35">
        <f t="shared" si="7"/>
        <v>355</v>
      </c>
      <c r="BG41" s="6"/>
      <c r="BH41" s="6"/>
      <c r="BI41" s="6"/>
      <c r="BJ41" s="6">
        <v>525</v>
      </c>
      <c r="BK41" s="6"/>
      <c r="BL41" s="6">
        <f t="shared" si="8"/>
        <v>372</v>
      </c>
      <c r="BM41" s="6">
        <v>892</v>
      </c>
      <c r="BN41" s="6"/>
      <c r="BO41" s="6">
        <f t="shared" si="9"/>
        <v>367</v>
      </c>
      <c r="BP41" s="6">
        <v>1256</v>
      </c>
      <c r="BQ41" s="6"/>
      <c r="BR41" s="35">
        <f t="shared" si="10"/>
        <v>364</v>
      </c>
      <c r="BS41" s="6">
        <v>64</v>
      </c>
      <c r="BT41" s="6">
        <v>1560</v>
      </c>
      <c r="BU41" s="6">
        <f t="shared" si="11"/>
        <v>368</v>
      </c>
      <c r="BV41" s="6">
        <v>151</v>
      </c>
      <c r="BW41" s="6">
        <v>265</v>
      </c>
      <c r="BX41" s="35">
        <f t="shared" si="12"/>
        <v>352</v>
      </c>
      <c r="BY41" s="6">
        <v>442</v>
      </c>
      <c r="BZ41" s="6"/>
      <c r="CA41" s="6">
        <f t="shared" si="13"/>
        <v>291</v>
      </c>
      <c r="CB41" s="6"/>
      <c r="CC41" s="6"/>
      <c r="CD41" s="6"/>
      <c r="CE41" s="6">
        <v>796</v>
      </c>
      <c r="CF41" s="6"/>
      <c r="CG41" s="6">
        <f t="shared" si="14"/>
        <v>354</v>
      </c>
      <c r="CH41" s="6">
        <v>0</v>
      </c>
      <c r="CI41" s="6">
        <v>995</v>
      </c>
      <c r="CJ41" s="6">
        <f t="shared" si="15"/>
        <v>199</v>
      </c>
      <c r="CK41" s="6">
        <v>313</v>
      </c>
      <c r="CL41" s="6"/>
      <c r="CM41" s="6">
        <f t="shared" si="16"/>
        <v>313</v>
      </c>
      <c r="CN41" s="6">
        <v>675</v>
      </c>
      <c r="CO41" s="6"/>
      <c r="CP41" s="6">
        <f t="shared" si="17"/>
        <v>362</v>
      </c>
      <c r="CQ41" s="6">
        <v>224</v>
      </c>
      <c r="CR41" s="6">
        <v>803</v>
      </c>
      <c r="CS41" s="6">
        <f t="shared" si="18"/>
        <v>352</v>
      </c>
      <c r="CT41" s="6">
        <v>567</v>
      </c>
      <c r="CU41" s="6"/>
      <c r="CV41" s="6">
        <f t="shared" si="19"/>
        <v>343</v>
      </c>
      <c r="CW41" s="6"/>
      <c r="CX41" s="6"/>
      <c r="CY41" s="6"/>
      <c r="CZ41" s="6">
        <v>932</v>
      </c>
      <c r="DA41" s="6"/>
      <c r="DB41" s="6">
        <f t="shared" si="20"/>
        <v>365</v>
      </c>
      <c r="DC41" s="6">
        <v>1289</v>
      </c>
      <c r="DD41" s="6"/>
      <c r="DE41" s="6">
        <f t="shared" si="21"/>
        <v>357</v>
      </c>
      <c r="DF41" s="6">
        <v>84</v>
      </c>
      <c r="DG41" s="6">
        <v>1560</v>
      </c>
      <c r="DH41" s="6">
        <f t="shared" si="22"/>
        <v>355</v>
      </c>
      <c r="DI41" s="6">
        <v>444</v>
      </c>
      <c r="DJ41" s="6"/>
      <c r="DK41" s="6">
        <f t="shared" si="23"/>
        <v>360</v>
      </c>
      <c r="DL41" s="6">
        <v>803</v>
      </c>
      <c r="DM41" s="6"/>
      <c r="DN41" s="6">
        <f t="shared" si="24"/>
        <v>359</v>
      </c>
      <c r="DO41" s="6">
        <v>1129</v>
      </c>
      <c r="DP41" s="6"/>
      <c r="DQ41" s="6">
        <f t="shared" si="25"/>
        <v>326</v>
      </c>
    </row>
    <row r="42" spans="1:121">
      <c r="A42" s="6">
        <v>38</v>
      </c>
      <c r="B42" s="6">
        <v>36</v>
      </c>
      <c r="C42" s="6">
        <v>1400</v>
      </c>
      <c r="D42" s="6">
        <v>351</v>
      </c>
      <c r="E42" s="33" t="s">
        <v>98</v>
      </c>
      <c r="F42" s="33" t="s">
        <v>98</v>
      </c>
      <c r="G42" s="33" t="s">
        <v>98</v>
      </c>
      <c r="H42" s="33" t="s">
        <v>98</v>
      </c>
      <c r="I42" s="33" t="s">
        <v>98</v>
      </c>
      <c r="J42" s="33" t="s">
        <v>98</v>
      </c>
      <c r="K42" s="33" t="s">
        <v>98</v>
      </c>
      <c r="L42" s="33" t="s">
        <v>98</v>
      </c>
      <c r="M42" s="33" t="s">
        <v>98</v>
      </c>
      <c r="N42" s="33" t="s">
        <v>98</v>
      </c>
      <c r="O42" s="33" t="s">
        <v>98</v>
      </c>
      <c r="P42" s="33" t="s">
        <v>98</v>
      </c>
      <c r="Q42" s="33" t="s">
        <v>98</v>
      </c>
      <c r="R42" s="33" t="s">
        <v>98</v>
      </c>
      <c r="S42" s="148" t="s">
        <v>37</v>
      </c>
      <c r="T42" s="33" t="s">
        <v>37</v>
      </c>
      <c r="U42" s="33" t="s">
        <v>37</v>
      </c>
      <c r="V42" s="33" t="s">
        <v>37</v>
      </c>
      <c r="W42" s="33" t="s">
        <v>37</v>
      </c>
      <c r="X42" s="33" t="s">
        <v>37</v>
      </c>
      <c r="Y42" s="33" t="s">
        <v>37</v>
      </c>
      <c r="Z42" s="33" t="s">
        <v>37</v>
      </c>
      <c r="AA42" s="33" t="s">
        <v>37</v>
      </c>
      <c r="AB42" s="33" t="s">
        <v>37</v>
      </c>
      <c r="AC42" s="33" t="s">
        <v>37</v>
      </c>
      <c r="AD42" s="33" t="s">
        <v>37</v>
      </c>
      <c r="AE42" s="33" t="s">
        <v>37</v>
      </c>
      <c r="AF42" s="6">
        <v>407</v>
      </c>
      <c r="AG42" s="6"/>
      <c r="AH42" s="35">
        <f t="shared" si="0"/>
        <v>371</v>
      </c>
      <c r="AI42" s="35">
        <v>754</v>
      </c>
      <c r="AJ42" s="35"/>
      <c r="AK42" s="35">
        <f t="shared" si="1"/>
        <v>347</v>
      </c>
      <c r="AL42" s="6"/>
      <c r="AM42" s="6"/>
      <c r="AN42" s="35"/>
      <c r="AO42" s="6">
        <v>1128</v>
      </c>
      <c r="AP42" s="6"/>
      <c r="AQ42" s="34">
        <f t="shared" si="2"/>
        <v>374</v>
      </c>
      <c r="AR42" s="35">
        <v>291</v>
      </c>
      <c r="AS42" s="35">
        <v>1205</v>
      </c>
      <c r="AT42" s="35">
        <f t="shared" si="3"/>
        <v>368</v>
      </c>
      <c r="AU42" s="6">
        <v>660</v>
      </c>
      <c r="AV42" s="6"/>
      <c r="AW42" s="35">
        <f t="shared" si="4"/>
        <v>369</v>
      </c>
      <c r="AX42" s="6">
        <v>1032</v>
      </c>
      <c r="AY42" s="6"/>
      <c r="AZ42" s="35">
        <f t="shared" si="5"/>
        <v>372</v>
      </c>
      <c r="BA42" s="35">
        <v>200</v>
      </c>
      <c r="BB42" s="35">
        <v>1200</v>
      </c>
      <c r="BC42" s="35">
        <f t="shared" si="6"/>
        <v>368</v>
      </c>
      <c r="BD42" s="6">
        <v>560</v>
      </c>
      <c r="BE42" s="6"/>
      <c r="BF42" s="35">
        <f t="shared" si="7"/>
        <v>360</v>
      </c>
      <c r="BG42" s="6"/>
      <c r="BH42" s="6"/>
      <c r="BI42" s="6"/>
      <c r="BJ42" s="6">
        <v>929</v>
      </c>
      <c r="BK42" s="6"/>
      <c r="BL42" s="6">
        <f t="shared" si="8"/>
        <v>369</v>
      </c>
      <c r="BM42" s="6">
        <v>97</v>
      </c>
      <c r="BN42" s="6">
        <v>1200</v>
      </c>
      <c r="BO42" s="6">
        <f t="shared" si="9"/>
        <v>368</v>
      </c>
      <c r="BP42" s="6">
        <v>467</v>
      </c>
      <c r="BQ42" s="6"/>
      <c r="BR42" s="35">
        <f t="shared" si="10"/>
        <v>370</v>
      </c>
      <c r="BS42" s="6">
        <v>839</v>
      </c>
      <c r="BT42" s="6"/>
      <c r="BU42" s="6">
        <f t="shared" si="11"/>
        <v>372</v>
      </c>
      <c r="BV42" s="6">
        <v>0</v>
      </c>
      <c r="BW42" s="6">
        <v>910</v>
      </c>
      <c r="BX42" s="35">
        <f t="shared" si="12"/>
        <v>71</v>
      </c>
      <c r="BY42" s="6">
        <v>0</v>
      </c>
      <c r="BZ42" s="6"/>
      <c r="CA42" s="6">
        <f t="shared" si="13"/>
        <v>0</v>
      </c>
      <c r="CB42" s="6"/>
      <c r="CC42" s="6"/>
      <c r="CD42" s="6"/>
      <c r="CE42" s="6">
        <v>0</v>
      </c>
      <c r="CF42" s="6"/>
      <c r="CG42" s="6">
        <f t="shared" si="14"/>
        <v>0</v>
      </c>
      <c r="CH42" s="6">
        <v>297</v>
      </c>
      <c r="CI42" s="6"/>
      <c r="CJ42" s="6">
        <f t="shared" si="15"/>
        <v>297</v>
      </c>
      <c r="CK42" s="6">
        <v>676</v>
      </c>
      <c r="CL42" s="6"/>
      <c r="CM42" s="6">
        <f t="shared" si="16"/>
        <v>379</v>
      </c>
      <c r="CN42" s="6">
        <v>1051</v>
      </c>
      <c r="CO42" s="6"/>
      <c r="CP42" s="6">
        <f t="shared" si="17"/>
        <v>375</v>
      </c>
      <c r="CQ42" s="6">
        <v>1431</v>
      </c>
      <c r="CR42" s="6"/>
      <c r="CS42" s="6">
        <f t="shared" si="18"/>
        <v>380</v>
      </c>
      <c r="CT42" s="6">
        <v>230</v>
      </c>
      <c r="CU42" s="6">
        <v>1557</v>
      </c>
      <c r="CV42" s="6">
        <f t="shared" si="19"/>
        <v>356</v>
      </c>
      <c r="CW42" s="6"/>
      <c r="CX42" s="6"/>
      <c r="CY42" s="6"/>
      <c r="CZ42" s="6">
        <v>613</v>
      </c>
      <c r="DA42" s="6"/>
      <c r="DB42" s="6">
        <f t="shared" si="20"/>
        <v>383</v>
      </c>
      <c r="DC42" s="6">
        <v>991</v>
      </c>
      <c r="DD42" s="6"/>
      <c r="DE42" s="6">
        <f t="shared" si="21"/>
        <v>378</v>
      </c>
      <c r="DF42" s="6">
        <v>1342</v>
      </c>
      <c r="DG42" s="6"/>
      <c r="DH42" s="6">
        <f t="shared" si="22"/>
        <v>351</v>
      </c>
      <c r="DI42" s="6">
        <v>141</v>
      </c>
      <c r="DJ42" s="6">
        <v>1560</v>
      </c>
      <c r="DK42" s="6">
        <f t="shared" si="23"/>
        <v>359</v>
      </c>
      <c r="DL42" s="6">
        <v>501</v>
      </c>
      <c r="DM42" s="6"/>
      <c r="DN42" s="6">
        <f t="shared" si="24"/>
        <v>360</v>
      </c>
      <c r="DO42" s="6">
        <v>825</v>
      </c>
      <c r="DP42" s="6"/>
      <c r="DQ42" s="6">
        <f t="shared" si="25"/>
        <v>324</v>
      </c>
    </row>
    <row r="43" spans="1:121">
      <c r="A43" s="6">
        <v>39</v>
      </c>
      <c r="B43" s="6">
        <v>130</v>
      </c>
      <c r="C43" s="6">
        <v>1561</v>
      </c>
      <c r="D43" s="6">
        <v>382</v>
      </c>
      <c r="E43" s="33" t="s">
        <v>37</v>
      </c>
      <c r="F43" s="33" t="s">
        <v>37</v>
      </c>
      <c r="G43" s="33" t="s">
        <v>37</v>
      </c>
      <c r="H43" s="33" t="s">
        <v>37</v>
      </c>
      <c r="I43" s="33" t="s">
        <v>37</v>
      </c>
      <c r="J43" s="33" t="s">
        <v>37</v>
      </c>
      <c r="K43" s="33" t="s">
        <v>37</v>
      </c>
      <c r="L43" s="33" t="s">
        <v>37</v>
      </c>
      <c r="M43" s="33" t="s">
        <v>37</v>
      </c>
      <c r="N43" s="33" t="s">
        <v>37</v>
      </c>
      <c r="O43" s="33" t="s">
        <v>37</v>
      </c>
      <c r="P43" s="33" t="s">
        <v>37</v>
      </c>
      <c r="Q43" s="33" t="s">
        <v>37</v>
      </c>
      <c r="R43" s="148" t="s">
        <v>37</v>
      </c>
      <c r="S43" s="33" t="s">
        <v>37</v>
      </c>
      <c r="T43" s="33" t="s">
        <v>37</v>
      </c>
      <c r="U43" s="33" t="s">
        <v>37</v>
      </c>
      <c r="V43" s="33" t="s">
        <v>37</v>
      </c>
      <c r="W43" s="33" t="s">
        <v>37</v>
      </c>
      <c r="X43" s="33" t="s">
        <v>37</v>
      </c>
      <c r="Y43" s="33" t="s">
        <v>37</v>
      </c>
      <c r="Z43" s="33" t="s">
        <v>37</v>
      </c>
      <c r="AA43" s="33" t="s">
        <v>37</v>
      </c>
      <c r="AB43" s="33" t="s">
        <v>37</v>
      </c>
      <c r="AC43" s="33" t="s">
        <v>37</v>
      </c>
      <c r="AD43" s="33" t="s">
        <v>37</v>
      </c>
      <c r="AE43" s="33" t="s">
        <v>37</v>
      </c>
      <c r="AF43" s="6">
        <v>508</v>
      </c>
      <c r="AG43" s="6"/>
      <c r="AH43" s="35">
        <f t="shared" si="0"/>
        <v>378</v>
      </c>
      <c r="AI43" s="35">
        <v>871</v>
      </c>
      <c r="AJ43" s="35"/>
      <c r="AK43" s="35">
        <f t="shared" si="1"/>
        <v>363</v>
      </c>
      <c r="AL43" s="6"/>
      <c r="AM43" s="6"/>
      <c r="AN43" s="35"/>
      <c r="AO43" s="6">
        <v>1205</v>
      </c>
      <c r="AP43" s="6"/>
      <c r="AQ43" s="34">
        <f t="shared" si="2"/>
        <v>334</v>
      </c>
      <c r="AR43" s="35">
        <v>274</v>
      </c>
      <c r="AS43" s="35">
        <v>1279</v>
      </c>
      <c r="AT43" s="35">
        <f t="shared" si="3"/>
        <v>348</v>
      </c>
      <c r="AU43" s="6">
        <v>629</v>
      </c>
      <c r="AV43" s="6"/>
      <c r="AW43" s="35">
        <f t="shared" si="4"/>
        <v>355</v>
      </c>
      <c r="AX43" s="6">
        <v>988</v>
      </c>
      <c r="AY43" s="6"/>
      <c r="AZ43" s="35">
        <f t="shared" si="5"/>
        <v>359</v>
      </c>
      <c r="BA43" s="35">
        <v>1346</v>
      </c>
      <c r="BB43" s="35"/>
      <c r="BC43" s="35">
        <f t="shared" si="6"/>
        <v>358</v>
      </c>
      <c r="BD43" s="6">
        <v>131</v>
      </c>
      <c r="BE43" s="6">
        <v>1560</v>
      </c>
      <c r="BF43" s="35">
        <f t="shared" si="7"/>
        <v>345</v>
      </c>
      <c r="BG43" s="6"/>
      <c r="BH43" s="6"/>
      <c r="BI43" s="6"/>
      <c r="BJ43" s="6">
        <v>489</v>
      </c>
      <c r="BK43" s="6"/>
      <c r="BL43" s="6">
        <f t="shared" si="8"/>
        <v>358</v>
      </c>
      <c r="BM43" s="6">
        <v>0</v>
      </c>
      <c r="BN43" s="6">
        <v>836</v>
      </c>
      <c r="BO43" s="6">
        <f t="shared" si="9"/>
        <v>347</v>
      </c>
      <c r="BP43" s="6">
        <v>369</v>
      </c>
      <c r="BQ43" s="6"/>
      <c r="BR43" s="35">
        <f t="shared" si="10"/>
        <v>369</v>
      </c>
      <c r="BS43" s="6">
        <v>0</v>
      </c>
      <c r="BT43" s="6">
        <v>675</v>
      </c>
      <c r="BU43" s="6">
        <f t="shared" si="11"/>
        <v>306</v>
      </c>
      <c r="BV43" s="6">
        <v>0</v>
      </c>
      <c r="BW43" s="6"/>
      <c r="BX43" s="35">
        <f t="shared" si="12"/>
        <v>0</v>
      </c>
      <c r="BY43" s="6">
        <v>0</v>
      </c>
      <c r="BZ43" s="6"/>
      <c r="CA43" s="6">
        <f t="shared" si="13"/>
        <v>0</v>
      </c>
      <c r="CB43" s="6"/>
      <c r="CC43" s="6"/>
      <c r="CD43" s="6"/>
      <c r="CE43" s="6">
        <v>0</v>
      </c>
      <c r="CF43" s="6"/>
      <c r="CG43" s="6">
        <f t="shared" si="14"/>
        <v>0</v>
      </c>
      <c r="CH43" s="6">
        <v>286</v>
      </c>
      <c r="CI43" s="6"/>
      <c r="CJ43" s="6">
        <f t="shared" si="15"/>
        <v>286</v>
      </c>
      <c r="CK43" s="6">
        <v>632</v>
      </c>
      <c r="CL43" s="6"/>
      <c r="CM43" s="6">
        <f t="shared" si="16"/>
        <v>346</v>
      </c>
      <c r="CN43" s="6">
        <v>1009</v>
      </c>
      <c r="CO43" s="6"/>
      <c r="CP43" s="6">
        <f t="shared" si="17"/>
        <v>377</v>
      </c>
      <c r="CQ43" s="6">
        <v>1382</v>
      </c>
      <c r="CR43" s="6"/>
      <c r="CS43" s="6">
        <f t="shared" si="18"/>
        <v>373</v>
      </c>
      <c r="CT43" s="6">
        <v>155</v>
      </c>
      <c r="CU43" s="6">
        <v>1565</v>
      </c>
      <c r="CV43" s="6">
        <f t="shared" si="19"/>
        <v>338</v>
      </c>
      <c r="CW43" s="6"/>
      <c r="CX43" s="6"/>
      <c r="CY43" s="6"/>
      <c r="CZ43" s="6">
        <v>513</v>
      </c>
      <c r="DA43" s="6"/>
      <c r="DB43" s="6">
        <f t="shared" si="20"/>
        <v>358</v>
      </c>
      <c r="DC43" s="6">
        <v>867</v>
      </c>
      <c r="DD43" s="6"/>
      <c r="DE43" s="6">
        <f t="shared" si="21"/>
        <v>354</v>
      </c>
      <c r="DF43" s="6">
        <v>1189</v>
      </c>
      <c r="DG43" s="6"/>
      <c r="DH43" s="6">
        <f t="shared" si="22"/>
        <v>322</v>
      </c>
      <c r="DI43" s="6">
        <v>231</v>
      </c>
      <c r="DJ43" s="6">
        <v>1282</v>
      </c>
      <c r="DK43" s="6">
        <f t="shared" si="23"/>
        <v>324</v>
      </c>
      <c r="DL43" s="6">
        <v>585</v>
      </c>
      <c r="DM43" s="6"/>
      <c r="DN43" s="6">
        <f t="shared" si="24"/>
        <v>354</v>
      </c>
      <c r="DO43" s="6">
        <v>905</v>
      </c>
      <c r="DP43" s="6"/>
      <c r="DQ43" s="6">
        <f t="shared" si="25"/>
        <v>320</v>
      </c>
    </row>
    <row r="44" spans="1:121">
      <c r="A44" s="6">
        <v>40</v>
      </c>
      <c r="B44" s="6">
        <v>0</v>
      </c>
      <c r="C44" s="6">
        <v>500</v>
      </c>
      <c r="D44" s="6">
        <v>114</v>
      </c>
      <c r="E44" s="33" t="s">
        <v>56</v>
      </c>
      <c r="F44" s="33" t="s">
        <v>56</v>
      </c>
      <c r="G44" s="33" t="s">
        <v>56</v>
      </c>
      <c r="H44" s="33" t="s">
        <v>56</v>
      </c>
      <c r="I44" s="33" t="s">
        <v>56</v>
      </c>
      <c r="J44" s="33" t="s">
        <v>56</v>
      </c>
      <c r="K44" s="167" t="s">
        <v>37</v>
      </c>
      <c r="L44" s="169" t="s">
        <v>37</v>
      </c>
      <c r="M44" s="169" t="s">
        <v>37</v>
      </c>
      <c r="N44" s="169" t="s">
        <v>37</v>
      </c>
      <c r="O44" s="169" t="s">
        <v>37</v>
      </c>
      <c r="P44" s="169" t="s">
        <v>37</v>
      </c>
      <c r="Q44" s="169" t="s">
        <v>37</v>
      </c>
      <c r="R44" s="169" t="s">
        <v>37</v>
      </c>
      <c r="S44" s="169" t="s">
        <v>37</v>
      </c>
      <c r="T44" s="169" t="s">
        <v>37</v>
      </c>
      <c r="U44" s="169" t="s">
        <v>37</v>
      </c>
      <c r="V44" s="169" t="s">
        <v>37</v>
      </c>
      <c r="W44" s="169" t="s">
        <v>37</v>
      </c>
      <c r="X44" s="169" t="s">
        <v>37</v>
      </c>
      <c r="Y44" s="169" t="s">
        <v>37</v>
      </c>
      <c r="Z44" s="167" t="s">
        <v>37</v>
      </c>
      <c r="AA44" s="169" t="s">
        <v>37</v>
      </c>
      <c r="AB44" s="169" t="s">
        <v>37</v>
      </c>
      <c r="AC44" s="169" t="s">
        <v>37</v>
      </c>
      <c r="AD44" s="169" t="s">
        <v>37</v>
      </c>
      <c r="AE44" s="169" t="s">
        <v>37</v>
      </c>
      <c r="AF44" s="6">
        <v>354</v>
      </c>
      <c r="AG44" s="6"/>
      <c r="AH44" s="35">
        <f t="shared" si="0"/>
        <v>354</v>
      </c>
      <c r="AI44" s="35">
        <v>1</v>
      </c>
      <c r="AJ44" s="35">
        <v>800</v>
      </c>
      <c r="AK44" s="35">
        <f t="shared" si="1"/>
        <v>447</v>
      </c>
      <c r="AL44" s="6"/>
      <c r="AM44" s="6"/>
      <c r="AN44" s="35"/>
      <c r="AO44" s="6">
        <v>466</v>
      </c>
      <c r="AP44" s="6"/>
      <c r="AQ44" s="34">
        <f t="shared" si="2"/>
        <v>465</v>
      </c>
      <c r="AR44" s="35">
        <v>426</v>
      </c>
      <c r="AS44" s="35">
        <v>500</v>
      </c>
      <c r="AT44" s="35">
        <f t="shared" si="3"/>
        <v>460</v>
      </c>
      <c r="AU44" s="6">
        <v>394</v>
      </c>
      <c r="AV44" s="6">
        <v>461</v>
      </c>
      <c r="AW44" s="35">
        <f t="shared" si="4"/>
        <v>429</v>
      </c>
      <c r="AX44" s="6">
        <v>324</v>
      </c>
      <c r="AY44" s="6">
        <v>396</v>
      </c>
      <c r="AZ44" s="35">
        <f t="shared" si="5"/>
        <v>326</v>
      </c>
      <c r="BA44" s="35">
        <v>700</v>
      </c>
      <c r="BB44" s="35"/>
      <c r="BC44" s="35">
        <f t="shared" si="6"/>
        <v>376</v>
      </c>
      <c r="BD44" s="6">
        <v>1063</v>
      </c>
      <c r="BE44" s="6"/>
      <c r="BF44" s="35">
        <f t="shared" si="7"/>
        <v>363</v>
      </c>
      <c r="BG44" s="6"/>
      <c r="BH44" s="6"/>
      <c r="BI44" s="6"/>
      <c r="BJ44" s="6">
        <v>1436</v>
      </c>
      <c r="BK44" s="6"/>
      <c r="BL44" s="6">
        <f t="shared" si="8"/>
        <v>373</v>
      </c>
      <c r="BM44" s="6">
        <v>248</v>
      </c>
      <c r="BN44" s="6">
        <v>1560</v>
      </c>
      <c r="BO44" s="6">
        <f t="shared" si="9"/>
        <v>372</v>
      </c>
      <c r="BP44" s="6">
        <v>621</v>
      </c>
      <c r="BQ44" s="6"/>
      <c r="BR44" s="35">
        <f t="shared" si="10"/>
        <v>373</v>
      </c>
      <c r="BS44" s="6">
        <v>993</v>
      </c>
      <c r="BT44" s="6"/>
      <c r="BU44" s="6">
        <f t="shared" si="11"/>
        <v>372</v>
      </c>
      <c r="BV44" s="6">
        <v>1367</v>
      </c>
      <c r="BW44" s="6"/>
      <c r="BX44" s="35">
        <f t="shared" si="12"/>
        <v>374</v>
      </c>
      <c r="BY44" s="6">
        <v>151</v>
      </c>
      <c r="BZ44" s="6">
        <v>1560</v>
      </c>
      <c r="CA44" s="6">
        <f t="shared" si="13"/>
        <v>344</v>
      </c>
      <c r="CB44" s="6"/>
      <c r="CC44" s="6"/>
      <c r="CD44" s="6"/>
      <c r="CE44" s="6">
        <v>525</v>
      </c>
      <c r="CF44" s="6"/>
      <c r="CG44" s="6">
        <f t="shared" si="14"/>
        <v>374</v>
      </c>
      <c r="CH44" s="6">
        <v>902</v>
      </c>
      <c r="CI44" s="6"/>
      <c r="CJ44" s="6">
        <f t="shared" si="15"/>
        <v>377</v>
      </c>
      <c r="CK44" s="6">
        <v>1275</v>
      </c>
      <c r="CL44" s="6"/>
      <c r="CM44" s="6">
        <f t="shared" si="16"/>
        <v>373</v>
      </c>
      <c r="CN44" s="6">
        <v>87</v>
      </c>
      <c r="CO44" s="6">
        <v>1560</v>
      </c>
      <c r="CP44" s="6">
        <f t="shared" si="17"/>
        <v>372</v>
      </c>
      <c r="CQ44" s="6">
        <v>452</v>
      </c>
      <c r="CR44" s="6"/>
      <c r="CS44" s="6">
        <f t="shared" si="18"/>
        <v>365</v>
      </c>
      <c r="CT44" s="6">
        <v>0</v>
      </c>
      <c r="CU44" s="6">
        <f>523+98</f>
        <v>621</v>
      </c>
      <c r="CV44" s="6">
        <f t="shared" si="19"/>
        <v>169</v>
      </c>
      <c r="CW44" s="6"/>
      <c r="CX44" s="6"/>
      <c r="CY44" s="6"/>
      <c r="CZ44" s="6">
        <v>216</v>
      </c>
      <c r="DA44" s="6"/>
      <c r="DB44" s="6">
        <f t="shared" si="20"/>
        <v>216</v>
      </c>
      <c r="DC44" s="6">
        <v>585</v>
      </c>
      <c r="DD44" s="6"/>
      <c r="DE44" s="6">
        <f t="shared" si="21"/>
        <v>369</v>
      </c>
      <c r="DF44" s="6">
        <v>895</v>
      </c>
      <c r="DG44" s="6"/>
      <c r="DH44" s="6">
        <f t="shared" si="22"/>
        <v>310</v>
      </c>
      <c r="DI44" s="6">
        <v>1191</v>
      </c>
      <c r="DJ44" s="6"/>
      <c r="DK44" s="6">
        <f t="shared" si="23"/>
        <v>296</v>
      </c>
      <c r="DL44" s="6">
        <v>1542</v>
      </c>
      <c r="DM44" s="6"/>
      <c r="DN44" s="6">
        <f t="shared" si="24"/>
        <v>351</v>
      </c>
      <c r="DO44" s="6">
        <v>312</v>
      </c>
      <c r="DP44" s="6">
        <v>1560</v>
      </c>
      <c r="DQ44" s="6">
        <f t="shared" si="25"/>
        <v>330</v>
      </c>
    </row>
    <row r="45" spans="1:121">
      <c r="A45" s="6">
        <v>41</v>
      </c>
      <c r="B45" s="6">
        <v>31</v>
      </c>
      <c r="C45" s="6">
        <v>1316</v>
      </c>
      <c r="D45" s="6">
        <v>376</v>
      </c>
      <c r="E45" s="33" t="s">
        <v>37</v>
      </c>
      <c r="F45" s="33" t="s">
        <v>37</v>
      </c>
      <c r="G45" s="33" t="s">
        <v>37</v>
      </c>
      <c r="H45" s="33" t="s">
        <v>37</v>
      </c>
      <c r="I45" s="33" t="s">
        <v>37</v>
      </c>
      <c r="J45" s="33" t="s">
        <v>37</v>
      </c>
      <c r="K45" s="33" t="s">
        <v>37</v>
      </c>
      <c r="L45" s="33" t="s">
        <v>37</v>
      </c>
      <c r="M45" s="33" t="s">
        <v>37</v>
      </c>
      <c r="N45" s="33" t="s">
        <v>37</v>
      </c>
      <c r="O45" s="33" t="s">
        <v>37</v>
      </c>
      <c r="P45" s="33" t="s">
        <v>37</v>
      </c>
      <c r="Q45" s="33" t="s">
        <v>37</v>
      </c>
      <c r="R45" s="33" t="s">
        <v>37</v>
      </c>
      <c r="S45" s="33" t="s">
        <v>37</v>
      </c>
      <c r="T45" s="148" t="s">
        <v>130</v>
      </c>
      <c r="U45" s="33" t="s">
        <v>130</v>
      </c>
      <c r="V45" s="33" t="s">
        <v>130</v>
      </c>
      <c r="W45" s="33" t="s">
        <v>130</v>
      </c>
      <c r="X45" s="33" t="s">
        <v>130</v>
      </c>
      <c r="Y45" s="33" t="s">
        <v>130</v>
      </c>
      <c r="Z45" s="33" t="s">
        <v>130</v>
      </c>
      <c r="AA45" s="33" t="s">
        <v>130</v>
      </c>
      <c r="AB45" s="33" t="s">
        <v>130</v>
      </c>
      <c r="AC45" s="33" t="s">
        <v>130</v>
      </c>
      <c r="AD45" s="33" t="s">
        <v>130</v>
      </c>
      <c r="AE45" s="33" t="s">
        <v>130</v>
      </c>
      <c r="AF45" s="6">
        <v>413</v>
      </c>
      <c r="AG45" s="6"/>
      <c r="AH45" s="35">
        <f t="shared" si="0"/>
        <v>382</v>
      </c>
      <c r="AI45" s="35">
        <v>770</v>
      </c>
      <c r="AJ45" s="35"/>
      <c r="AK45" s="35">
        <f t="shared" si="1"/>
        <v>357</v>
      </c>
      <c r="AL45" s="6"/>
      <c r="AM45" s="6"/>
      <c r="AN45" s="35"/>
      <c r="AO45" s="6">
        <v>1147</v>
      </c>
      <c r="AP45" s="6"/>
      <c r="AQ45" s="34">
        <f t="shared" si="2"/>
        <v>377</v>
      </c>
      <c r="AR45" s="35">
        <v>1525</v>
      </c>
      <c r="AS45" s="35"/>
      <c r="AT45" s="35">
        <f t="shared" si="3"/>
        <v>378</v>
      </c>
      <c r="AU45" s="6">
        <v>337</v>
      </c>
      <c r="AV45" s="6">
        <v>1560</v>
      </c>
      <c r="AW45" s="35">
        <f t="shared" si="4"/>
        <v>372</v>
      </c>
      <c r="AX45" s="6">
        <v>709</v>
      </c>
      <c r="AY45" s="6"/>
      <c r="AZ45" s="35">
        <f t="shared" si="5"/>
        <v>372</v>
      </c>
      <c r="BA45" s="35">
        <v>1090</v>
      </c>
      <c r="BB45" s="35"/>
      <c r="BC45" s="35">
        <f t="shared" si="6"/>
        <v>381</v>
      </c>
      <c r="BD45" s="6">
        <v>286</v>
      </c>
      <c r="BE45" s="6">
        <v>1170</v>
      </c>
      <c r="BF45" s="35">
        <f t="shared" si="7"/>
        <v>366</v>
      </c>
      <c r="BG45" s="6"/>
      <c r="BH45" s="6"/>
      <c r="BI45" s="6"/>
      <c r="BJ45" s="6">
        <v>670</v>
      </c>
      <c r="BK45" s="6"/>
      <c r="BL45" s="6">
        <f t="shared" si="8"/>
        <v>384</v>
      </c>
      <c r="BM45" s="6">
        <v>1049</v>
      </c>
      <c r="BN45" s="6"/>
      <c r="BO45" s="6">
        <f t="shared" si="9"/>
        <v>379</v>
      </c>
      <c r="BP45" s="6">
        <v>345</v>
      </c>
      <c r="BQ45" s="6">
        <v>1084</v>
      </c>
      <c r="BR45" s="35">
        <f t="shared" si="10"/>
        <v>380</v>
      </c>
      <c r="BS45" s="6">
        <v>723</v>
      </c>
      <c r="BT45" s="6"/>
      <c r="BU45" s="6">
        <f t="shared" si="11"/>
        <v>378</v>
      </c>
      <c r="BV45" s="6">
        <v>1106</v>
      </c>
      <c r="BW45" s="6"/>
      <c r="BX45" s="35">
        <f t="shared" si="12"/>
        <v>383</v>
      </c>
      <c r="BY45" s="6">
        <v>0</v>
      </c>
      <c r="BZ45" s="6">
        <v>1416</v>
      </c>
      <c r="CA45" s="6">
        <f t="shared" si="13"/>
        <v>310</v>
      </c>
      <c r="CB45" s="6"/>
      <c r="CC45" s="6"/>
      <c r="CD45" s="6"/>
      <c r="CE45" s="6">
        <v>299</v>
      </c>
      <c r="CF45" s="6"/>
      <c r="CG45" s="6">
        <f t="shared" si="14"/>
        <v>299</v>
      </c>
      <c r="CH45" s="6">
        <v>647</v>
      </c>
      <c r="CI45" s="6"/>
      <c r="CJ45" s="6">
        <f t="shared" si="15"/>
        <v>348</v>
      </c>
      <c r="CK45" s="6">
        <v>992</v>
      </c>
      <c r="CL45" s="6"/>
      <c r="CM45" s="6">
        <f t="shared" si="16"/>
        <v>345</v>
      </c>
      <c r="CN45" s="6">
        <v>140</v>
      </c>
      <c r="CO45" s="6">
        <v>1200</v>
      </c>
      <c r="CP45" s="6">
        <f t="shared" si="17"/>
        <v>348</v>
      </c>
      <c r="CQ45" s="6">
        <v>486</v>
      </c>
      <c r="CR45" s="6"/>
      <c r="CS45" s="6">
        <f t="shared" si="18"/>
        <v>346</v>
      </c>
      <c r="CT45" s="6">
        <v>820</v>
      </c>
      <c r="CU45" s="6"/>
      <c r="CV45" s="6">
        <f t="shared" si="19"/>
        <v>334</v>
      </c>
      <c r="CW45" s="6"/>
      <c r="CX45" s="6"/>
      <c r="CY45" s="6"/>
      <c r="CZ45" s="6">
        <v>1171</v>
      </c>
      <c r="DA45" s="6"/>
      <c r="DB45" s="6">
        <f t="shared" si="20"/>
        <v>351</v>
      </c>
      <c r="DC45" s="6">
        <v>320</v>
      </c>
      <c r="DD45" s="6">
        <v>1195</v>
      </c>
      <c r="DE45" s="6">
        <f t="shared" si="21"/>
        <v>344</v>
      </c>
      <c r="DF45" s="6">
        <v>669</v>
      </c>
      <c r="DG45" s="6"/>
      <c r="DH45" s="6">
        <f t="shared" si="22"/>
        <v>349</v>
      </c>
      <c r="DI45" s="6">
        <v>1018</v>
      </c>
      <c r="DJ45" s="6"/>
      <c r="DK45" s="6">
        <f t="shared" si="23"/>
        <v>349</v>
      </c>
      <c r="DL45" s="6">
        <v>155</v>
      </c>
      <c r="DM45" s="6">
        <v>1200</v>
      </c>
      <c r="DN45" s="6">
        <f t="shared" si="24"/>
        <v>337</v>
      </c>
      <c r="DO45" s="6">
        <v>472</v>
      </c>
      <c r="DP45" s="6"/>
      <c r="DQ45" s="6">
        <f t="shared" si="25"/>
        <v>317</v>
      </c>
    </row>
    <row r="46" spans="1:121">
      <c r="A46" s="6">
        <v>42</v>
      </c>
      <c r="B46" s="6">
        <v>747</v>
      </c>
      <c r="C46" s="6"/>
      <c r="D46" s="6">
        <v>332</v>
      </c>
      <c r="E46" s="33" t="s">
        <v>95</v>
      </c>
      <c r="F46" s="33" t="s">
        <v>95</v>
      </c>
      <c r="G46" s="33" t="s">
        <v>95</v>
      </c>
      <c r="H46" s="33" t="s">
        <v>95</v>
      </c>
      <c r="I46" s="148" t="s">
        <v>98</v>
      </c>
      <c r="J46" s="33" t="s">
        <v>98</v>
      </c>
      <c r="K46" s="33" t="s">
        <v>98</v>
      </c>
      <c r="L46" s="33" t="s">
        <v>98</v>
      </c>
      <c r="M46" s="33" t="s">
        <v>98</v>
      </c>
      <c r="N46" s="33" t="s">
        <v>98</v>
      </c>
      <c r="O46" s="33" t="s">
        <v>98</v>
      </c>
      <c r="P46" s="33" t="s">
        <v>98</v>
      </c>
      <c r="Q46" s="33" t="s">
        <v>98</v>
      </c>
      <c r="R46" s="33" t="s">
        <v>98</v>
      </c>
      <c r="S46" s="33" t="s">
        <v>98</v>
      </c>
      <c r="T46" s="33" t="s">
        <v>98</v>
      </c>
      <c r="U46" s="33" t="s">
        <v>98</v>
      </c>
      <c r="V46" s="33" t="s">
        <v>98</v>
      </c>
      <c r="W46" s="33" t="s">
        <v>98</v>
      </c>
      <c r="X46" s="33" t="s">
        <v>98</v>
      </c>
      <c r="Y46" s="33" t="s">
        <v>98</v>
      </c>
      <c r="Z46" s="33" t="s">
        <v>98</v>
      </c>
      <c r="AA46" s="148" t="s">
        <v>37</v>
      </c>
      <c r="AB46" s="33" t="s">
        <v>37</v>
      </c>
      <c r="AC46" s="33" t="s">
        <v>37</v>
      </c>
      <c r="AD46" s="33" t="s">
        <v>37</v>
      </c>
      <c r="AE46" s="33" t="s">
        <v>37</v>
      </c>
      <c r="AF46" s="6">
        <v>1089</v>
      </c>
      <c r="AG46" s="6"/>
      <c r="AH46" s="35">
        <f t="shared" si="0"/>
        <v>342</v>
      </c>
      <c r="AI46" s="35">
        <v>171</v>
      </c>
      <c r="AJ46" s="35">
        <v>1243</v>
      </c>
      <c r="AK46" s="35">
        <f t="shared" si="1"/>
        <v>325</v>
      </c>
      <c r="AL46" s="6"/>
      <c r="AM46" s="6"/>
      <c r="AN46" s="35"/>
      <c r="AO46" s="6">
        <v>516</v>
      </c>
      <c r="AP46" s="6"/>
      <c r="AQ46" s="34">
        <f t="shared" si="2"/>
        <v>345</v>
      </c>
      <c r="AR46" s="35">
        <v>231</v>
      </c>
      <c r="AS46" s="35">
        <v>622</v>
      </c>
      <c r="AT46" s="35">
        <f t="shared" si="3"/>
        <v>337</v>
      </c>
      <c r="AU46" s="35">
        <v>574</v>
      </c>
      <c r="AV46" s="6"/>
      <c r="AW46" s="35">
        <f t="shared" si="4"/>
        <v>343</v>
      </c>
      <c r="AX46" s="6">
        <v>920</v>
      </c>
      <c r="AY46" s="6"/>
      <c r="AZ46" s="35">
        <f t="shared" si="5"/>
        <v>346</v>
      </c>
      <c r="BA46" s="35">
        <v>65</v>
      </c>
      <c r="BB46" s="35">
        <v>1200</v>
      </c>
      <c r="BC46" s="35">
        <f t="shared" si="6"/>
        <v>345</v>
      </c>
      <c r="BD46" s="6">
        <v>402</v>
      </c>
      <c r="BE46" s="6"/>
      <c r="BF46" s="35">
        <f t="shared" si="7"/>
        <v>337</v>
      </c>
      <c r="BG46" s="6"/>
      <c r="BH46" s="6"/>
      <c r="BI46" s="6"/>
      <c r="BJ46" s="6">
        <v>741</v>
      </c>
      <c r="BK46" s="6"/>
      <c r="BL46" s="6">
        <f t="shared" si="8"/>
        <v>339</v>
      </c>
      <c r="BM46" s="6">
        <v>83</v>
      </c>
      <c r="BN46" s="6">
        <v>996</v>
      </c>
      <c r="BO46" s="6">
        <f t="shared" si="9"/>
        <v>338</v>
      </c>
      <c r="BP46" s="6">
        <v>429</v>
      </c>
      <c r="BQ46" s="6"/>
      <c r="BR46" s="35">
        <f t="shared" si="10"/>
        <v>346</v>
      </c>
      <c r="BS46" s="6">
        <v>746</v>
      </c>
      <c r="BT46" s="6"/>
      <c r="BU46" s="6">
        <f t="shared" si="11"/>
        <v>317</v>
      </c>
      <c r="BV46" s="6">
        <v>1093</v>
      </c>
      <c r="BW46" s="6"/>
      <c r="BX46" s="35">
        <f t="shared" si="12"/>
        <v>347</v>
      </c>
      <c r="BY46" s="6">
        <v>258</v>
      </c>
      <c r="BZ46" s="6">
        <v>1164</v>
      </c>
      <c r="CA46" s="6">
        <f t="shared" si="13"/>
        <v>329</v>
      </c>
      <c r="CB46" s="6"/>
      <c r="CC46" s="6"/>
      <c r="CD46" s="6"/>
      <c r="CE46" s="6">
        <v>603</v>
      </c>
      <c r="CF46" s="6"/>
      <c r="CG46" s="6">
        <f t="shared" si="14"/>
        <v>345</v>
      </c>
      <c r="CH46" s="6">
        <v>948</v>
      </c>
      <c r="CI46" s="6"/>
      <c r="CJ46" s="6">
        <f t="shared" si="15"/>
        <v>345</v>
      </c>
      <c r="CK46" s="6">
        <v>90</v>
      </c>
      <c r="CL46" s="6">
        <v>1200</v>
      </c>
      <c r="CM46" s="6">
        <f t="shared" si="16"/>
        <v>342</v>
      </c>
      <c r="CN46" s="6">
        <v>440</v>
      </c>
      <c r="CO46" s="6"/>
      <c r="CP46" s="6">
        <f t="shared" si="17"/>
        <v>350</v>
      </c>
      <c r="CQ46" s="6">
        <v>787</v>
      </c>
      <c r="CR46" s="6"/>
      <c r="CS46" s="6">
        <f t="shared" si="18"/>
        <v>347</v>
      </c>
      <c r="CT46" s="6">
        <v>1123</v>
      </c>
      <c r="CU46" s="6"/>
      <c r="CV46" s="6">
        <f t="shared" si="19"/>
        <v>336</v>
      </c>
      <c r="CW46" s="6"/>
      <c r="CX46" s="6"/>
      <c r="CY46" s="6"/>
      <c r="CZ46" s="6">
        <v>0</v>
      </c>
      <c r="DA46" s="6">
        <v>1348</v>
      </c>
      <c r="DB46" s="6">
        <f t="shared" si="20"/>
        <v>225</v>
      </c>
      <c r="DC46" s="6">
        <v>252</v>
      </c>
      <c r="DD46" s="6"/>
      <c r="DE46" s="6">
        <f t="shared" si="21"/>
        <v>252</v>
      </c>
      <c r="DF46" s="6">
        <v>610</v>
      </c>
      <c r="DG46" s="6"/>
      <c r="DH46" s="6">
        <f t="shared" si="22"/>
        <v>358</v>
      </c>
      <c r="DI46" s="6">
        <v>969</v>
      </c>
      <c r="DJ46" s="6"/>
      <c r="DK46" s="6">
        <f t="shared" si="23"/>
        <v>359</v>
      </c>
      <c r="DL46" s="6">
        <v>15</v>
      </c>
      <c r="DM46" s="6">
        <v>1305</v>
      </c>
      <c r="DN46" s="6">
        <f t="shared" si="24"/>
        <v>351</v>
      </c>
      <c r="DO46" s="6">
        <v>340</v>
      </c>
      <c r="DP46" s="6"/>
      <c r="DQ46" s="6">
        <f t="shared" si="25"/>
        <v>325</v>
      </c>
    </row>
    <row r="47" spans="1:121">
      <c r="A47" s="6">
        <v>43</v>
      </c>
      <c r="B47" s="6">
        <v>243</v>
      </c>
      <c r="C47" s="8">
        <v>1577</v>
      </c>
      <c r="D47" s="8">
        <v>376</v>
      </c>
      <c r="E47" s="33" t="s">
        <v>69</v>
      </c>
      <c r="F47" s="33" t="s">
        <v>69</v>
      </c>
      <c r="G47" s="33" t="s">
        <v>69</v>
      </c>
      <c r="H47" s="33" t="s">
        <v>69</v>
      </c>
      <c r="I47" s="33" t="s">
        <v>69</v>
      </c>
      <c r="J47" s="33" t="s">
        <v>69</v>
      </c>
      <c r="K47" s="33" t="s">
        <v>69</v>
      </c>
      <c r="L47" s="33" t="s">
        <v>69</v>
      </c>
      <c r="M47" s="33" t="s">
        <v>69</v>
      </c>
      <c r="N47" s="33" t="s">
        <v>69</v>
      </c>
      <c r="O47" s="33" t="s">
        <v>69</v>
      </c>
      <c r="P47" s="33" t="s">
        <v>69</v>
      </c>
      <c r="Q47" s="33" t="s">
        <v>69</v>
      </c>
      <c r="R47" s="33" t="s">
        <v>69</v>
      </c>
      <c r="S47" s="33" t="s">
        <v>69</v>
      </c>
      <c r="T47" s="33" t="s">
        <v>69</v>
      </c>
      <c r="U47" s="33" t="s">
        <v>69</v>
      </c>
      <c r="V47" s="33" t="s">
        <v>69</v>
      </c>
      <c r="W47" s="148" t="s">
        <v>130</v>
      </c>
      <c r="X47" s="33" t="s">
        <v>130</v>
      </c>
      <c r="Y47" s="33" t="s">
        <v>130</v>
      </c>
      <c r="Z47" s="33" t="s">
        <v>130</v>
      </c>
      <c r="AA47" s="33" t="s">
        <v>130</v>
      </c>
      <c r="AB47" s="33" t="s">
        <v>130</v>
      </c>
      <c r="AC47" s="33" t="s">
        <v>130</v>
      </c>
      <c r="AD47" s="33" t="s">
        <v>130</v>
      </c>
      <c r="AE47" s="33" t="s">
        <v>130</v>
      </c>
      <c r="AF47" s="6">
        <v>617</v>
      </c>
      <c r="AG47" s="6"/>
      <c r="AH47" s="35">
        <f t="shared" si="0"/>
        <v>374</v>
      </c>
      <c r="AI47" s="35">
        <v>980</v>
      </c>
      <c r="AJ47" s="35"/>
      <c r="AK47" s="35">
        <f t="shared" si="1"/>
        <v>363</v>
      </c>
      <c r="AL47" s="6"/>
      <c r="AM47" s="6"/>
      <c r="AN47" s="35"/>
      <c r="AO47" s="6">
        <v>1357</v>
      </c>
      <c r="AP47" s="6"/>
      <c r="AQ47" s="34">
        <f t="shared" si="2"/>
        <v>377</v>
      </c>
      <c r="AR47" s="35">
        <v>178</v>
      </c>
      <c r="AS47" s="35">
        <v>1560</v>
      </c>
      <c r="AT47" s="35">
        <f t="shared" si="3"/>
        <v>381</v>
      </c>
      <c r="AU47" s="6">
        <v>557</v>
      </c>
      <c r="AV47" s="6"/>
      <c r="AW47" s="35">
        <f t="shared" si="4"/>
        <v>379</v>
      </c>
      <c r="AX47" s="6">
        <v>935</v>
      </c>
      <c r="AY47" s="6"/>
      <c r="AZ47" s="35">
        <f t="shared" si="5"/>
        <v>378</v>
      </c>
      <c r="BA47" s="35">
        <v>1318</v>
      </c>
      <c r="BB47" s="35"/>
      <c r="BC47" s="35">
        <f t="shared" si="6"/>
        <v>383</v>
      </c>
      <c r="BD47" s="6">
        <v>128</v>
      </c>
      <c r="BE47" s="6">
        <v>1560</v>
      </c>
      <c r="BF47" s="35">
        <f t="shared" si="7"/>
        <v>370</v>
      </c>
      <c r="BG47" s="6"/>
      <c r="BH47" s="6"/>
      <c r="BI47" s="6"/>
      <c r="BJ47" s="6">
        <v>511</v>
      </c>
      <c r="BK47" s="6"/>
      <c r="BL47" s="6">
        <f t="shared" si="8"/>
        <v>383</v>
      </c>
      <c r="BM47" s="6">
        <v>887</v>
      </c>
      <c r="BN47" s="6"/>
      <c r="BO47" s="6">
        <f t="shared" si="9"/>
        <v>376</v>
      </c>
      <c r="BP47" s="6">
        <v>1269</v>
      </c>
      <c r="BQ47" s="6"/>
      <c r="BR47" s="35">
        <f t="shared" si="10"/>
        <v>382</v>
      </c>
      <c r="BS47" s="6">
        <v>75</v>
      </c>
      <c r="BT47" s="6">
        <v>1566</v>
      </c>
      <c r="BU47" s="6">
        <f t="shared" si="11"/>
        <v>372</v>
      </c>
      <c r="BV47" s="6">
        <v>459</v>
      </c>
      <c r="BW47" s="6"/>
      <c r="BX47" s="35">
        <f t="shared" si="12"/>
        <v>384</v>
      </c>
      <c r="BY47" s="6">
        <v>822</v>
      </c>
      <c r="BZ47" s="6"/>
      <c r="CA47" s="6">
        <f t="shared" si="13"/>
        <v>363</v>
      </c>
      <c r="CB47" s="6"/>
      <c r="CC47" s="6"/>
      <c r="CD47" s="6"/>
      <c r="CE47" s="6">
        <v>1202</v>
      </c>
      <c r="CF47" s="6"/>
      <c r="CG47" s="6">
        <f t="shared" si="14"/>
        <v>380</v>
      </c>
      <c r="CH47" s="6">
        <v>1292</v>
      </c>
      <c r="CI47" s="6"/>
      <c r="CJ47" s="6">
        <f t="shared" si="15"/>
        <v>90</v>
      </c>
      <c r="CK47" s="6">
        <v>0</v>
      </c>
      <c r="CL47" s="6">
        <v>1614</v>
      </c>
      <c r="CM47" s="6">
        <f t="shared" si="16"/>
        <v>322</v>
      </c>
      <c r="CN47" s="6">
        <v>292</v>
      </c>
      <c r="CO47" s="6"/>
      <c r="CP47" s="6">
        <f t="shared" si="17"/>
        <v>292</v>
      </c>
      <c r="CQ47" s="6">
        <v>641</v>
      </c>
      <c r="CR47" s="6"/>
      <c r="CS47" s="6">
        <f t="shared" si="18"/>
        <v>349</v>
      </c>
      <c r="CT47" s="6">
        <v>968</v>
      </c>
      <c r="CU47" s="6"/>
      <c r="CV47" s="6">
        <f t="shared" si="19"/>
        <v>327</v>
      </c>
      <c r="CW47" s="6"/>
      <c r="CX47" s="6"/>
      <c r="CY47" s="6"/>
      <c r="CZ47" s="6">
        <v>119</v>
      </c>
      <c r="DA47" s="6">
        <v>1200</v>
      </c>
      <c r="DB47" s="6">
        <f t="shared" si="20"/>
        <v>351</v>
      </c>
      <c r="DC47" s="6">
        <v>462</v>
      </c>
      <c r="DD47" s="6"/>
      <c r="DE47" s="6">
        <f t="shared" si="21"/>
        <v>343</v>
      </c>
      <c r="DF47" s="6">
        <v>809</v>
      </c>
      <c r="DG47" s="6"/>
      <c r="DH47" s="6">
        <f t="shared" si="22"/>
        <v>347</v>
      </c>
      <c r="DI47" s="6">
        <v>1159</v>
      </c>
      <c r="DJ47" s="6"/>
      <c r="DK47" s="6">
        <f t="shared" si="23"/>
        <v>350</v>
      </c>
      <c r="DL47" s="6">
        <v>304</v>
      </c>
      <c r="DM47" s="6">
        <v>1200</v>
      </c>
      <c r="DN47" s="6">
        <f t="shared" si="24"/>
        <v>345</v>
      </c>
      <c r="DO47" s="6">
        <v>616</v>
      </c>
      <c r="DP47" s="6"/>
      <c r="DQ47" s="6">
        <f t="shared" si="25"/>
        <v>312</v>
      </c>
    </row>
    <row r="48" spans="1:121">
      <c r="A48" s="6">
        <v>44</v>
      </c>
      <c r="B48" s="6">
        <v>296</v>
      </c>
      <c r="C48" s="6">
        <v>1560</v>
      </c>
      <c r="D48" s="6">
        <v>374</v>
      </c>
      <c r="E48" s="33" t="s">
        <v>37</v>
      </c>
      <c r="F48" s="33" t="s">
        <v>37</v>
      </c>
      <c r="G48" s="33" t="s">
        <v>37</v>
      </c>
      <c r="H48" s="33" t="s">
        <v>37</v>
      </c>
      <c r="I48" s="33" t="s">
        <v>37</v>
      </c>
      <c r="J48" s="33" t="s">
        <v>37</v>
      </c>
      <c r="K48" s="33" t="s">
        <v>37</v>
      </c>
      <c r="L48" s="33" t="s">
        <v>37</v>
      </c>
      <c r="M48" s="33" t="s">
        <v>37</v>
      </c>
      <c r="N48" s="33" t="s">
        <v>37</v>
      </c>
      <c r="O48" s="33" t="s">
        <v>37</v>
      </c>
      <c r="P48" s="33" t="s">
        <v>37</v>
      </c>
      <c r="Q48" s="33" t="s">
        <v>37</v>
      </c>
      <c r="R48" s="33" t="s">
        <v>37</v>
      </c>
      <c r="S48" s="33" t="s">
        <v>37</v>
      </c>
      <c r="T48" s="33" t="s">
        <v>37</v>
      </c>
      <c r="U48" s="33" t="s">
        <v>37</v>
      </c>
      <c r="V48" s="33" t="s">
        <v>37</v>
      </c>
      <c r="W48" s="148" t="s">
        <v>130</v>
      </c>
      <c r="X48" s="33" t="s">
        <v>130</v>
      </c>
      <c r="Y48" s="33" t="s">
        <v>130</v>
      </c>
      <c r="Z48" s="33" t="s">
        <v>130</v>
      </c>
      <c r="AA48" s="33" t="s">
        <v>130</v>
      </c>
      <c r="AB48" s="33" t="s">
        <v>130</v>
      </c>
      <c r="AC48" s="33" t="s">
        <v>130</v>
      </c>
      <c r="AD48" s="33" t="s">
        <v>130</v>
      </c>
      <c r="AE48" s="33" t="s">
        <v>130</v>
      </c>
      <c r="AF48" s="6">
        <v>666</v>
      </c>
      <c r="AG48" s="6"/>
      <c r="AH48" s="35">
        <f t="shared" si="0"/>
        <v>370</v>
      </c>
      <c r="AI48" s="35">
        <v>12</v>
      </c>
      <c r="AJ48" s="35">
        <v>998</v>
      </c>
      <c r="AK48" s="35">
        <f t="shared" si="1"/>
        <v>344</v>
      </c>
      <c r="AL48" s="6"/>
      <c r="AM48" s="6"/>
      <c r="AN48" s="35"/>
      <c r="AO48" s="6">
        <v>378</v>
      </c>
      <c r="AP48" s="6"/>
      <c r="AQ48" s="34">
        <f t="shared" si="2"/>
        <v>366</v>
      </c>
      <c r="AR48" s="35">
        <v>708</v>
      </c>
      <c r="AS48" s="35"/>
      <c r="AT48" s="35">
        <f t="shared" si="3"/>
        <v>330</v>
      </c>
      <c r="AU48" s="6">
        <v>1075</v>
      </c>
      <c r="AV48" s="6"/>
      <c r="AW48" s="35">
        <f t="shared" si="4"/>
        <v>367</v>
      </c>
      <c r="AX48" s="6">
        <v>1447</v>
      </c>
      <c r="AY48" s="6"/>
      <c r="AZ48" s="35">
        <f t="shared" si="5"/>
        <v>372</v>
      </c>
      <c r="BA48" s="35">
        <v>239</v>
      </c>
      <c r="BB48" s="35">
        <v>1560</v>
      </c>
      <c r="BC48" s="35">
        <f t="shared" si="6"/>
        <v>352</v>
      </c>
      <c r="BD48" s="6">
        <v>585</v>
      </c>
      <c r="BE48" s="6"/>
      <c r="BF48" s="35">
        <f t="shared" si="7"/>
        <v>346</v>
      </c>
      <c r="BG48" s="6"/>
      <c r="BH48" s="6"/>
      <c r="BI48" s="6"/>
      <c r="BJ48" s="6">
        <v>962</v>
      </c>
      <c r="BK48" s="6"/>
      <c r="BL48" s="6">
        <f t="shared" si="8"/>
        <v>377</v>
      </c>
      <c r="BM48" s="6">
        <v>1334</v>
      </c>
      <c r="BN48" s="6"/>
      <c r="BO48" s="6">
        <f t="shared" si="9"/>
        <v>372</v>
      </c>
      <c r="BP48" s="6">
        <v>162</v>
      </c>
      <c r="BQ48" s="6">
        <v>1545</v>
      </c>
      <c r="BR48" s="35">
        <f t="shared" si="10"/>
        <v>373</v>
      </c>
      <c r="BS48" s="6">
        <v>521</v>
      </c>
      <c r="BT48" s="6"/>
      <c r="BU48" s="6">
        <f t="shared" si="11"/>
        <v>359</v>
      </c>
      <c r="BV48" s="6">
        <v>896</v>
      </c>
      <c r="BW48" s="6"/>
      <c r="BX48" s="35">
        <f t="shared" si="12"/>
        <v>375</v>
      </c>
      <c r="BY48" s="6">
        <v>1238</v>
      </c>
      <c r="BZ48" s="6"/>
      <c r="CA48" s="6">
        <f t="shared" si="13"/>
        <v>342</v>
      </c>
      <c r="CB48" s="6"/>
      <c r="CC48" s="6"/>
      <c r="CD48" s="6"/>
      <c r="CE48" s="6">
        <v>45</v>
      </c>
      <c r="CF48" s="6">
        <v>1560</v>
      </c>
      <c r="CG48" s="6">
        <f t="shared" si="14"/>
        <v>367</v>
      </c>
      <c r="CH48" s="6">
        <v>415</v>
      </c>
      <c r="CI48" s="6"/>
      <c r="CJ48" s="6">
        <f t="shared" si="15"/>
        <v>370</v>
      </c>
      <c r="CK48" s="6">
        <v>0</v>
      </c>
      <c r="CL48" s="6">
        <v>648</v>
      </c>
      <c r="CM48" s="6">
        <f t="shared" si="16"/>
        <v>233</v>
      </c>
      <c r="CN48" s="6">
        <v>269</v>
      </c>
      <c r="CO48" s="6"/>
      <c r="CP48" s="6">
        <f t="shared" si="17"/>
        <v>269</v>
      </c>
      <c r="CQ48" s="6">
        <v>612</v>
      </c>
      <c r="CR48" s="6"/>
      <c r="CS48" s="6">
        <f t="shared" si="18"/>
        <v>343</v>
      </c>
      <c r="CT48" s="6">
        <v>939</v>
      </c>
      <c r="CU48" s="6"/>
      <c r="CV48" s="6">
        <f t="shared" si="19"/>
        <v>327</v>
      </c>
      <c r="CW48" s="6"/>
      <c r="CX48" s="6"/>
      <c r="CY48" s="6"/>
      <c r="CZ48" s="6">
        <v>87</v>
      </c>
      <c r="DA48" s="6">
        <v>1200</v>
      </c>
      <c r="DB48" s="6">
        <f t="shared" si="20"/>
        <v>348</v>
      </c>
      <c r="DC48" s="6">
        <v>432</v>
      </c>
      <c r="DD48" s="6"/>
      <c r="DE48" s="6">
        <f t="shared" si="21"/>
        <v>345</v>
      </c>
      <c r="DF48" s="6">
        <v>777</v>
      </c>
      <c r="DG48" s="6"/>
      <c r="DH48" s="6">
        <f t="shared" si="22"/>
        <v>345</v>
      </c>
      <c r="DI48" s="6">
        <v>1122</v>
      </c>
      <c r="DJ48" s="6"/>
      <c r="DK48" s="6">
        <f t="shared" si="23"/>
        <v>345</v>
      </c>
      <c r="DL48" s="6">
        <v>254</v>
      </c>
      <c r="DM48" s="6">
        <v>1210</v>
      </c>
      <c r="DN48" s="6">
        <f t="shared" si="24"/>
        <v>342</v>
      </c>
      <c r="DO48" s="6">
        <v>569</v>
      </c>
      <c r="DP48" s="6"/>
      <c r="DQ48" s="6">
        <f t="shared" si="25"/>
        <v>315</v>
      </c>
    </row>
    <row r="49" spans="1:121">
      <c r="A49" s="6">
        <v>45</v>
      </c>
      <c r="B49" s="6">
        <v>1226</v>
      </c>
      <c r="C49" s="6"/>
      <c r="D49" s="6">
        <v>347</v>
      </c>
      <c r="E49" s="33" t="s">
        <v>37</v>
      </c>
      <c r="F49" s="33" t="s">
        <v>37</v>
      </c>
      <c r="G49" s="33" t="s">
        <v>37</v>
      </c>
      <c r="H49" s="33" t="s">
        <v>37</v>
      </c>
      <c r="I49" s="33" t="s">
        <v>37</v>
      </c>
      <c r="J49" s="33" t="s">
        <v>37</v>
      </c>
      <c r="K49" s="33" t="s">
        <v>37</v>
      </c>
      <c r="L49" s="33" t="s">
        <v>37</v>
      </c>
      <c r="M49" s="33" t="s">
        <v>37</v>
      </c>
      <c r="N49" s="33" t="s">
        <v>37</v>
      </c>
      <c r="O49" s="33" t="s">
        <v>37</v>
      </c>
      <c r="P49" s="33" t="s">
        <v>37</v>
      </c>
      <c r="Q49" s="33" t="s">
        <v>37</v>
      </c>
      <c r="R49" s="33" t="s">
        <v>37</v>
      </c>
      <c r="S49" s="33" t="s">
        <v>37</v>
      </c>
      <c r="T49" s="33" t="s">
        <v>37</v>
      </c>
      <c r="U49" s="33" t="s">
        <v>37</v>
      </c>
      <c r="V49" s="33" t="s">
        <v>37</v>
      </c>
      <c r="W49" s="148" t="s">
        <v>130</v>
      </c>
      <c r="X49" s="33" t="s">
        <v>130</v>
      </c>
      <c r="Y49" s="33" t="s">
        <v>130</v>
      </c>
      <c r="Z49" s="33" t="s">
        <v>130</v>
      </c>
      <c r="AA49" s="33" t="s">
        <v>130</v>
      </c>
      <c r="AB49" s="33" t="s">
        <v>130</v>
      </c>
      <c r="AC49" s="33" t="s">
        <v>130</v>
      </c>
      <c r="AD49" s="33" t="s">
        <v>130</v>
      </c>
      <c r="AE49" s="33" t="s">
        <v>130</v>
      </c>
      <c r="AF49" s="6">
        <v>39</v>
      </c>
      <c r="AG49" s="6">
        <v>1561</v>
      </c>
      <c r="AH49" s="35">
        <f t="shared" si="0"/>
        <v>374</v>
      </c>
      <c r="AI49" s="35">
        <v>381</v>
      </c>
      <c r="AJ49" s="35"/>
      <c r="AK49" s="35">
        <f t="shared" si="1"/>
        <v>342</v>
      </c>
      <c r="AL49" s="6"/>
      <c r="AM49" s="6"/>
      <c r="AN49" s="35"/>
      <c r="AO49" s="6">
        <v>759</v>
      </c>
      <c r="AP49" s="6"/>
      <c r="AQ49" s="34">
        <f t="shared" si="2"/>
        <v>378</v>
      </c>
      <c r="AR49" s="35">
        <v>1133</v>
      </c>
      <c r="AS49" s="35"/>
      <c r="AT49" s="35">
        <f t="shared" si="3"/>
        <v>374</v>
      </c>
      <c r="AU49" s="6">
        <v>1484</v>
      </c>
      <c r="AV49" s="6"/>
      <c r="AW49" s="35">
        <f t="shared" si="4"/>
        <v>351</v>
      </c>
      <c r="AX49" s="6">
        <v>302</v>
      </c>
      <c r="AY49" s="6">
        <v>1560</v>
      </c>
      <c r="AZ49" s="35">
        <f t="shared" si="5"/>
        <v>378</v>
      </c>
      <c r="BA49" s="35">
        <v>677</v>
      </c>
      <c r="BB49" s="35"/>
      <c r="BC49" s="35">
        <f t="shared" si="6"/>
        <v>375</v>
      </c>
      <c r="BD49" s="6">
        <v>1</v>
      </c>
      <c r="BE49" s="6">
        <v>1019</v>
      </c>
      <c r="BF49" s="35">
        <f t="shared" si="7"/>
        <v>343</v>
      </c>
      <c r="BG49" s="6"/>
      <c r="BH49" s="6"/>
      <c r="BI49" s="6"/>
      <c r="BJ49" s="6">
        <v>373</v>
      </c>
      <c r="BK49" s="6"/>
      <c r="BL49" s="6">
        <f t="shared" si="8"/>
        <v>372</v>
      </c>
      <c r="BM49" s="6">
        <v>741</v>
      </c>
      <c r="BN49" s="6"/>
      <c r="BO49" s="6">
        <f t="shared" si="9"/>
        <v>368</v>
      </c>
      <c r="BP49" s="6">
        <v>1111</v>
      </c>
      <c r="BQ49" s="6"/>
      <c r="BR49" s="35">
        <f t="shared" si="10"/>
        <v>370</v>
      </c>
      <c r="BS49" s="6">
        <v>1486</v>
      </c>
      <c r="BT49" s="6"/>
      <c r="BU49" s="6">
        <f t="shared" si="11"/>
        <v>375</v>
      </c>
      <c r="BV49" s="6">
        <v>304</v>
      </c>
      <c r="BW49" s="6">
        <v>1560</v>
      </c>
      <c r="BX49" s="35">
        <f t="shared" si="12"/>
        <v>378</v>
      </c>
      <c r="BY49" s="6">
        <v>189</v>
      </c>
      <c r="BZ49" s="6">
        <v>431</v>
      </c>
      <c r="CA49" s="6">
        <f t="shared" si="13"/>
        <v>316</v>
      </c>
      <c r="CB49" s="6"/>
      <c r="CC49" s="6"/>
      <c r="CD49" s="6"/>
      <c r="CE49" s="6">
        <v>555</v>
      </c>
      <c r="CF49" s="6"/>
      <c r="CG49" s="6">
        <f t="shared" si="14"/>
        <v>366</v>
      </c>
      <c r="CH49" s="6">
        <v>920</v>
      </c>
      <c r="CI49" s="6"/>
      <c r="CJ49" s="6">
        <f t="shared" si="15"/>
        <v>365</v>
      </c>
      <c r="CK49" s="6">
        <v>0</v>
      </c>
      <c r="CL49" s="6">
        <v>1134</v>
      </c>
      <c r="CM49" s="6">
        <f t="shared" si="16"/>
        <v>214</v>
      </c>
      <c r="CN49" s="6">
        <v>252</v>
      </c>
      <c r="CO49" s="6"/>
      <c r="CP49" s="6">
        <f t="shared" si="17"/>
        <v>252</v>
      </c>
      <c r="CQ49" s="6">
        <v>584</v>
      </c>
      <c r="CR49" s="6"/>
      <c r="CS49" s="6">
        <f t="shared" si="18"/>
        <v>332</v>
      </c>
      <c r="CT49" s="6">
        <v>121</v>
      </c>
      <c r="CU49" s="6">
        <v>787</v>
      </c>
      <c r="CV49" s="6">
        <f t="shared" si="19"/>
        <v>324</v>
      </c>
      <c r="CW49" s="6"/>
      <c r="CX49" s="6"/>
      <c r="CY49" s="6"/>
      <c r="CZ49" s="6">
        <v>469</v>
      </c>
      <c r="DA49" s="6"/>
      <c r="DB49" s="6">
        <f t="shared" si="20"/>
        <v>348</v>
      </c>
      <c r="DC49" s="6">
        <v>815</v>
      </c>
      <c r="DD49" s="6"/>
      <c r="DE49" s="6">
        <f t="shared" si="21"/>
        <v>346</v>
      </c>
      <c r="DF49" s="6">
        <v>1163</v>
      </c>
      <c r="DG49" s="6"/>
      <c r="DH49" s="6">
        <f t="shared" si="22"/>
        <v>348</v>
      </c>
      <c r="DI49" s="6">
        <v>301</v>
      </c>
      <c r="DJ49" s="6">
        <v>1200</v>
      </c>
      <c r="DK49" s="6">
        <f t="shared" si="23"/>
        <v>338</v>
      </c>
      <c r="DL49" s="6">
        <v>648</v>
      </c>
      <c r="DM49" s="6"/>
      <c r="DN49" s="6">
        <f t="shared" si="24"/>
        <v>347</v>
      </c>
      <c r="DO49" s="6">
        <v>963</v>
      </c>
      <c r="DP49" s="6"/>
      <c r="DQ49" s="6">
        <f t="shared" si="25"/>
        <v>315</v>
      </c>
    </row>
    <row r="50" spans="1:121">
      <c r="A50" s="6">
        <v>46</v>
      </c>
      <c r="B50" s="6">
        <v>761</v>
      </c>
      <c r="C50" s="6"/>
      <c r="D50" s="6">
        <v>373</v>
      </c>
      <c r="E50" s="33" t="s">
        <v>37</v>
      </c>
      <c r="F50" s="33" t="s">
        <v>37</v>
      </c>
      <c r="G50" s="33" t="s">
        <v>37</v>
      </c>
      <c r="H50" s="33" t="s">
        <v>37</v>
      </c>
      <c r="I50" s="33" t="s">
        <v>37</v>
      </c>
      <c r="J50" s="33" t="s">
        <v>37</v>
      </c>
      <c r="K50" s="33" t="s">
        <v>37</v>
      </c>
      <c r="L50" s="33" t="s">
        <v>37</v>
      </c>
      <c r="M50" s="33" t="s">
        <v>37</v>
      </c>
      <c r="N50" s="33" t="s">
        <v>37</v>
      </c>
      <c r="O50" s="33" t="s">
        <v>37</v>
      </c>
      <c r="P50" s="33" t="s">
        <v>37</v>
      </c>
      <c r="Q50" s="33" t="s">
        <v>37</v>
      </c>
      <c r="R50" s="148" t="s">
        <v>130</v>
      </c>
      <c r="S50" s="33" t="s">
        <v>130</v>
      </c>
      <c r="T50" s="33" t="s">
        <v>130</v>
      </c>
      <c r="U50" s="33" t="s">
        <v>130</v>
      </c>
      <c r="V50" s="33" t="s">
        <v>130</v>
      </c>
      <c r="W50" s="33" t="s">
        <v>130</v>
      </c>
      <c r="X50" s="33" t="s">
        <v>130</v>
      </c>
      <c r="Y50" s="33" t="s">
        <v>130</v>
      </c>
      <c r="Z50" s="33" t="s">
        <v>130</v>
      </c>
      <c r="AA50" s="33" t="s">
        <v>130</v>
      </c>
      <c r="AB50" s="33" t="s">
        <v>130</v>
      </c>
      <c r="AC50" s="33" t="s">
        <v>130</v>
      </c>
      <c r="AD50" s="33" t="s">
        <v>130</v>
      </c>
      <c r="AE50" s="33" t="s">
        <v>130</v>
      </c>
      <c r="AF50" s="6">
        <v>1135</v>
      </c>
      <c r="AG50" s="6"/>
      <c r="AH50" s="35">
        <f t="shared" si="0"/>
        <v>374</v>
      </c>
      <c r="AI50" s="35">
        <v>1491</v>
      </c>
      <c r="AJ50" s="35"/>
      <c r="AK50" s="35">
        <f t="shared" si="1"/>
        <v>356</v>
      </c>
      <c r="AL50" s="6"/>
      <c r="AM50" s="6"/>
      <c r="AN50" s="35"/>
      <c r="AO50" s="6">
        <v>307</v>
      </c>
      <c r="AP50" s="6">
        <v>1560</v>
      </c>
      <c r="AQ50" s="34">
        <f t="shared" si="2"/>
        <v>376</v>
      </c>
      <c r="AR50" s="35">
        <v>673</v>
      </c>
      <c r="AS50" s="35"/>
      <c r="AT50" s="35">
        <f t="shared" si="3"/>
        <v>366</v>
      </c>
      <c r="AU50" s="6">
        <v>1044</v>
      </c>
      <c r="AV50" s="6"/>
      <c r="AW50" s="35">
        <f t="shared" si="4"/>
        <v>371</v>
      </c>
      <c r="AX50" s="6">
        <v>1419</v>
      </c>
      <c r="AY50" s="6"/>
      <c r="AZ50" s="35">
        <f t="shared" si="5"/>
        <v>375</v>
      </c>
      <c r="BA50" s="35">
        <v>231</v>
      </c>
      <c r="BB50" s="35">
        <v>1560</v>
      </c>
      <c r="BC50" s="35">
        <f t="shared" si="6"/>
        <v>372</v>
      </c>
      <c r="BD50" s="6">
        <v>593</v>
      </c>
      <c r="BE50" s="6"/>
      <c r="BF50" s="35">
        <f t="shared" si="7"/>
        <v>362</v>
      </c>
      <c r="BG50" s="6"/>
      <c r="BH50" s="6"/>
      <c r="BI50" s="6"/>
      <c r="BJ50" s="6">
        <v>964</v>
      </c>
      <c r="BK50" s="6"/>
      <c r="BL50" s="6">
        <f t="shared" si="8"/>
        <v>371</v>
      </c>
      <c r="BM50" s="6">
        <v>1335</v>
      </c>
      <c r="BN50" s="6"/>
      <c r="BO50" s="6">
        <f t="shared" si="9"/>
        <v>371</v>
      </c>
      <c r="BP50" s="6">
        <v>198</v>
      </c>
      <c r="BQ50" s="6">
        <v>1510</v>
      </c>
      <c r="BR50" s="35">
        <f t="shared" si="10"/>
        <v>373</v>
      </c>
      <c r="BS50" s="6">
        <v>0</v>
      </c>
      <c r="BT50" s="6">
        <v>512</v>
      </c>
      <c r="BU50" s="6">
        <f t="shared" si="11"/>
        <v>314</v>
      </c>
      <c r="BV50" s="6">
        <v>294</v>
      </c>
      <c r="BW50" s="6"/>
      <c r="BX50" s="35">
        <f t="shared" si="12"/>
        <v>294</v>
      </c>
      <c r="BY50" s="6">
        <v>612</v>
      </c>
      <c r="BZ50" s="6"/>
      <c r="CA50" s="6">
        <f t="shared" si="13"/>
        <v>318</v>
      </c>
      <c r="CB50" s="6"/>
      <c r="CC50" s="6"/>
      <c r="CD50" s="6"/>
      <c r="CE50" s="6">
        <v>336</v>
      </c>
      <c r="CF50" s="6">
        <v>612</v>
      </c>
      <c r="CG50" s="6">
        <f t="shared" si="14"/>
        <v>336</v>
      </c>
      <c r="CH50" s="6">
        <v>681</v>
      </c>
      <c r="CI50" s="6"/>
      <c r="CJ50" s="6">
        <f t="shared" si="15"/>
        <v>345</v>
      </c>
      <c r="CK50" s="6">
        <v>1027</v>
      </c>
      <c r="CL50" s="6"/>
      <c r="CM50" s="6">
        <f t="shared" si="16"/>
        <v>346</v>
      </c>
      <c r="CN50" s="6">
        <v>335</v>
      </c>
      <c r="CO50" s="6">
        <v>1037</v>
      </c>
      <c r="CP50" s="6">
        <f t="shared" si="17"/>
        <v>345</v>
      </c>
      <c r="CQ50" s="6">
        <v>679</v>
      </c>
      <c r="CR50" s="6"/>
      <c r="CS50" s="6">
        <f t="shared" si="18"/>
        <v>344</v>
      </c>
      <c r="CT50" s="6">
        <v>1010</v>
      </c>
      <c r="CU50" s="6"/>
      <c r="CV50" s="6">
        <f t="shared" si="19"/>
        <v>331</v>
      </c>
      <c r="CW50" s="6"/>
      <c r="CX50" s="6"/>
      <c r="CY50" s="6"/>
      <c r="CZ50" s="6">
        <v>153</v>
      </c>
      <c r="DA50" s="6">
        <v>1200</v>
      </c>
      <c r="DB50" s="6">
        <f t="shared" si="20"/>
        <v>343</v>
      </c>
      <c r="DC50" s="6">
        <v>495</v>
      </c>
      <c r="DD50" s="6"/>
      <c r="DE50" s="6">
        <f t="shared" si="21"/>
        <v>342</v>
      </c>
      <c r="DF50" s="6">
        <v>840</v>
      </c>
      <c r="DG50" s="6"/>
      <c r="DH50" s="6">
        <f t="shared" si="22"/>
        <v>345</v>
      </c>
      <c r="DI50" s="6">
        <v>57</v>
      </c>
      <c r="DJ50" s="6">
        <v>1124</v>
      </c>
      <c r="DK50" s="6">
        <f t="shared" si="23"/>
        <v>341</v>
      </c>
      <c r="DL50" s="6">
        <v>399</v>
      </c>
      <c r="DM50" s="6"/>
      <c r="DN50" s="6">
        <f t="shared" si="24"/>
        <v>342</v>
      </c>
      <c r="DO50" s="6">
        <v>310</v>
      </c>
      <c r="DP50" s="6">
        <v>401</v>
      </c>
      <c r="DQ50" s="6">
        <f t="shared" si="25"/>
        <v>312</v>
      </c>
    </row>
    <row r="51" spans="1:121">
      <c r="A51" s="6">
        <v>47</v>
      </c>
      <c r="B51" s="6">
        <v>236</v>
      </c>
      <c r="C51" s="6">
        <v>1214</v>
      </c>
      <c r="D51" s="6">
        <v>369</v>
      </c>
      <c r="E51" s="33" t="s">
        <v>37</v>
      </c>
      <c r="F51" s="33" t="s">
        <v>37</v>
      </c>
      <c r="G51" s="33" t="s">
        <v>37</v>
      </c>
      <c r="H51" s="33" t="s">
        <v>37</v>
      </c>
      <c r="I51" s="33" t="s">
        <v>37</v>
      </c>
      <c r="J51" s="33" t="s">
        <v>37</v>
      </c>
      <c r="K51" s="33" t="s">
        <v>37</v>
      </c>
      <c r="L51" s="33" t="s">
        <v>37</v>
      </c>
      <c r="M51" s="33" t="s">
        <v>37</v>
      </c>
      <c r="N51" s="33" t="s">
        <v>37</v>
      </c>
      <c r="O51" s="33" t="s">
        <v>37</v>
      </c>
      <c r="P51" s="33" t="s">
        <v>37</v>
      </c>
      <c r="Q51" s="33" t="s">
        <v>37</v>
      </c>
      <c r="R51" s="33" t="s">
        <v>37</v>
      </c>
      <c r="S51" s="33" t="s">
        <v>37</v>
      </c>
      <c r="T51" s="33" t="s">
        <v>37</v>
      </c>
      <c r="U51" s="33" t="s">
        <v>37</v>
      </c>
      <c r="V51" s="33" t="s">
        <v>37</v>
      </c>
      <c r="W51" s="148" t="s">
        <v>128</v>
      </c>
      <c r="X51" s="33" t="s">
        <v>128</v>
      </c>
      <c r="Y51" s="33" t="s">
        <v>128</v>
      </c>
      <c r="Z51" s="33" t="s">
        <v>128</v>
      </c>
      <c r="AA51" s="33" t="s">
        <v>128</v>
      </c>
      <c r="AB51" s="33" t="s">
        <v>128</v>
      </c>
      <c r="AC51" s="33" t="s">
        <v>128</v>
      </c>
      <c r="AD51" s="33" t="s">
        <v>128</v>
      </c>
      <c r="AE51" s="33" t="s">
        <v>128</v>
      </c>
      <c r="AF51" s="35">
        <v>615</v>
      </c>
      <c r="AG51" s="35"/>
      <c r="AH51" s="35">
        <f t="shared" si="0"/>
        <v>379</v>
      </c>
      <c r="AI51" s="35">
        <v>953</v>
      </c>
      <c r="AJ51" s="35"/>
      <c r="AK51" s="35">
        <f t="shared" si="1"/>
        <v>338</v>
      </c>
      <c r="AL51" s="6"/>
      <c r="AM51" s="6"/>
      <c r="AN51" s="35"/>
      <c r="AO51" s="6">
        <v>96</v>
      </c>
      <c r="AP51" s="6">
        <v>1178</v>
      </c>
      <c r="AQ51" s="34">
        <f t="shared" si="2"/>
        <v>321</v>
      </c>
      <c r="AR51" s="35">
        <v>474</v>
      </c>
      <c r="AS51" s="35"/>
      <c r="AT51" s="35">
        <f t="shared" si="3"/>
        <v>378</v>
      </c>
      <c r="AU51" s="6">
        <v>847</v>
      </c>
      <c r="AV51" s="6"/>
      <c r="AW51" s="35">
        <f t="shared" si="4"/>
        <v>373</v>
      </c>
      <c r="AX51" s="6">
        <v>1223</v>
      </c>
      <c r="AY51" s="6"/>
      <c r="AZ51" s="35">
        <f t="shared" si="5"/>
        <v>376</v>
      </c>
      <c r="BA51" s="6">
        <v>36</v>
      </c>
      <c r="BB51" s="6">
        <v>1560</v>
      </c>
      <c r="BC51" s="35">
        <f t="shared" si="6"/>
        <v>373</v>
      </c>
      <c r="BD51" s="6">
        <v>391</v>
      </c>
      <c r="BE51" s="6"/>
      <c r="BF51" s="35">
        <f t="shared" si="7"/>
        <v>355</v>
      </c>
      <c r="BG51" s="6"/>
      <c r="BH51" s="6"/>
      <c r="BI51" s="35"/>
      <c r="BJ51" s="6">
        <v>768</v>
      </c>
      <c r="BK51" s="35"/>
      <c r="BL51" s="6">
        <f t="shared" si="8"/>
        <v>377</v>
      </c>
      <c r="BM51" s="6">
        <v>1128</v>
      </c>
      <c r="BN51" s="6"/>
      <c r="BO51" s="6">
        <f t="shared" si="9"/>
        <v>360</v>
      </c>
      <c r="BP51" s="6">
        <v>1502</v>
      </c>
      <c r="BQ51" s="6"/>
      <c r="BR51" s="35">
        <f t="shared" si="10"/>
        <v>374</v>
      </c>
      <c r="BS51" s="6">
        <v>311</v>
      </c>
      <c r="BT51" s="6">
        <v>1560</v>
      </c>
      <c r="BU51" s="6">
        <f t="shared" si="11"/>
        <v>369</v>
      </c>
      <c r="BV51" s="6">
        <v>689</v>
      </c>
      <c r="BW51" s="6"/>
      <c r="BX51" s="35">
        <f t="shared" si="12"/>
        <v>378</v>
      </c>
      <c r="BY51" s="6">
        <v>1042</v>
      </c>
      <c r="BZ51" s="35"/>
      <c r="CA51" s="6">
        <f t="shared" si="13"/>
        <v>353</v>
      </c>
      <c r="CB51" s="6"/>
      <c r="CC51" s="6"/>
      <c r="CD51" s="35"/>
      <c r="CE51" s="6">
        <v>1411</v>
      </c>
      <c r="CF51" s="35"/>
      <c r="CG51" s="6">
        <f t="shared" si="14"/>
        <v>369</v>
      </c>
      <c r="CH51" s="6">
        <v>224</v>
      </c>
      <c r="CI51" s="6">
        <v>1560</v>
      </c>
      <c r="CJ51" s="6">
        <f t="shared" si="15"/>
        <v>373</v>
      </c>
      <c r="CK51" s="6">
        <v>589</v>
      </c>
      <c r="CL51" s="6"/>
      <c r="CM51" s="6">
        <f t="shared" si="16"/>
        <v>365</v>
      </c>
      <c r="CN51" s="6">
        <v>6</v>
      </c>
      <c r="CO51" s="6">
        <v>703</v>
      </c>
      <c r="CP51" s="6">
        <f t="shared" si="17"/>
        <v>120</v>
      </c>
      <c r="CQ51" s="6">
        <v>374</v>
      </c>
      <c r="CR51" s="6"/>
      <c r="CS51" s="6">
        <f t="shared" si="18"/>
        <v>368</v>
      </c>
      <c r="CT51" s="6">
        <v>721</v>
      </c>
      <c r="CU51" s="6"/>
      <c r="CV51" s="6">
        <f t="shared" si="19"/>
        <v>347</v>
      </c>
      <c r="CW51" s="6"/>
      <c r="CX51" s="6"/>
      <c r="CY51" s="6"/>
      <c r="CZ51" s="6">
        <v>1098</v>
      </c>
      <c r="DA51" s="6"/>
      <c r="DB51" s="6">
        <f t="shared" si="20"/>
        <v>377</v>
      </c>
      <c r="DC51" s="6">
        <v>1470</v>
      </c>
      <c r="DD51" s="6"/>
      <c r="DE51" s="6">
        <f t="shared" si="21"/>
        <v>372</v>
      </c>
      <c r="DF51" s="6">
        <v>276</v>
      </c>
      <c r="DG51" s="6">
        <v>1560</v>
      </c>
      <c r="DH51" s="6">
        <f t="shared" si="22"/>
        <v>366</v>
      </c>
      <c r="DI51" s="6">
        <v>359</v>
      </c>
      <c r="DJ51" s="6">
        <v>277</v>
      </c>
      <c r="DK51" s="6">
        <f t="shared" si="23"/>
        <v>360</v>
      </c>
      <c r="DL51" s="6">
        <v>729</v>
      </c>
      <c r="DM51" s="6"/>
      <c r="DN51" s="6">
        <f t="shared" si="24"/>
        <v>370</v>
      </c>
      <c r="DO51" s="6">
        <v>1066</v>
      </c>
      <c r="DP51" s="6"/>
      <c r="DQ51" s="6">
        <f t="shared" si="25"/>
        <v>337</v>
      </c>
    </row>
    <row r="52" spans="1:121">
      <c r="A52" s="6">
        <v>48</v>
      </c>
      <c r="B52" s="6">
        <v>363</v>
      </c>
      <c r="C52" s="6"/>
      <c r="D52" s="6">
        <v>331</v>
      </c>
      <c r="E52" s="33" t="s">
        <v>98</v>
      </c>
      <c r="F52" s="33" t="s">
        <v>98</v>
      </c>
      <c r="G52" s="33" t="s">
        <v>98</v>
      </c>
      <c r="H52" s="33" t="s">
        <v>98</v>
      </c>
      <c r="I52" s="33" t="s">
        <v>98</v>
      </c>
      <c r="J52" s="33" t="s">
        <v>98</v>
      </c>
      <c r="K52" s="33" t="s">
        <v>98</v>
      </c>
      <c r="L52" s="33" t="s">
        <v>98</v>
      </c>
      <c r="M52" s="33" t="s">
        <v>98</v>
      </c>
      <c r="N52" s="33" t="s">
        <v>98</v>
      </c>
      <c r="O52" s="33" t="s">
        <v>98</v>
      </c>
      <c r="P52" s="148" t="s">
        <v>98</v>
      </c>
      <c r="Q52" s="33" t="s">
        <v>98</v>
      </c>
      <c r="R52" s="33" t="s">
        <v>98</v>
      </c>
      <c r="S52" s="33" t="s">
        <v>98</v>
      </c>
      <c r="T52" s="33" t="s">
        <v>98</v>
      </c>
      <c r="U52" s="33" t="s">
        <v>98</v>
      </c>
      <c r="V52" s="33" t="s">
        <v>98</v>
      </c>
      <c r="W52" s="33" t="s">
        <v>98</v>
      </c>
      <c r="X52" s="33" t="s">
        <v>98</v>
      </c>
      <c r="Y52" s="33" t="s">
        <v>98</v>
      </c>
      <c r="Z52" s="33" t="s">
        <v>98</v>
      </c>
      <c r="AA52" s="148" t="s">
        <v>130</v>
      </c>
      <c r="AB52" s="33" t="s">
        <v>130</v>
      </c>
      <c r="AC52" s="33" t="s">
        <v>130</v>
      </c>
      <c r="AD52" s="33" t="s">
        <v>130</v>
      </c>
      <c r="AE52" s="33" t="s">
        <v>130</v>
      </c>
      <c r="AF52" s="35">
        <v>712</v>
      </c>
      <c r="AG52" s="35"/>
      <c r="AH52" s="35">
        <f t="shared" si="0"/>
        <v>349</v>
      </c>
      <c r="AI52" s="35">
        <v>1039</v>
      </c>
      <c r="AJ52" s="35"/>
      <c r="AK52" s="35">
        <f t="shared" si="1"/>
        <v>327</v>
      </c>
      <c r="AL52" s="35"/>
      <c r="AM52" s="35"/>
      <c r="AN52" s="35"/>
      <c r="AO52" s="6">
        <v>184</v>
      </c>
      <c r="AP52" s="6">
        <v>1200</v>
      </c>
      <c r="AQ52" s="34">
        <f t="shared" si="2"/>
        <v>345</v>
      </c>
      <c r="AR52" s="35">
        <v>524</v>
      </c>
      <c r="AS52" s="35"/>
      <c r="AT52" s="35">
        <f t="shared" si="3"/>
        <v>340</v>
      </c>
      <c r="AU52" s="6">
        <v>860</v>
      </c>
      <c r="AV52" s="6"/>
      <c r="AW52" s="35">
        <f t="shared" si="4"/>
        <v>336</v>
      </c>
      <c r="AX52" s="6">
        <v>6</v>
      </c>
      <c r="AY52" s="6">
        <v>1200</v>
      </c>
      <c r="AZ52" s="35">
        <f t="shared" si="5"/>
        <v>346</v>
      </c>
      <c r="BA52" s="35">
        <v>321</v>
      </c>
      <c r="BB52" s="35"/>
      <c r="BC52" s="35">
        <f t="shared" si="6"/>
        <v>315</v>
      </c>
      <c r="BD52" s="6">
        <v>656</v>
      </c>
      <c r="BE52" s="6"/>
      <c r="BF52" s="35">
        <f t="shared" si="7"/>
        <v>335</v>
      </c>
      <c r="BG52" s="6"/>
      <c r="BH52" s="6"/>
      <c r="BI52" s="6"/>
      <c r="BJ52" s="6">
        <v>1005</v>
      </c>
      <c r="BK52" s="6"/>
      <c r="BL52" s="6">
        <f t="shared" si="8"/>
        <v>349</v>
      </c>
      <c r="BM52" s="6">
        <v>0</v>
      </c>
      <c r="BN52" s="6">
        <v>1137</v>
      </c>
      <c r="BO52" s="6">
        <f t="shared" si="9"/>
        <v>132</v>
      </c>
      <c r="BP52" s="6">
        <v>334</v>
      </c>
      <c r="BQ52" s="6"/>
      <c r="BR52" s="35">
        <f t="shared" si="10"/>
        <v>334</v>
      </c>
      <c r="BS52" s="6">
        <v>683</v>
      </c>
      <c r="BT52" s="6"/>
      <c r="BU52" s="6">
        <f t="shared" si="11"/>
        <v>349</v>
      </c>
      <c r="BV52" s="6">
        <v>1032</v>
      </c>
      <c r="BW52" s="6"/>
      <c r="BX52" s="35">
        <f t="shared" si="12"/>
        <v>349</v>
      </c>
      <c r="BY52" s="6">
        <v>163</v>
      </c>
      <c r="BZ52" s="6">
        <v>1200</v>
      </c>
      <c r="CA52" s="6">
        <f t="shared" si="13"/>
        <v>331</v>
      </c>
      <c r="CB52" s="6"/>
      <c r="CC52" s="6"/>
      <c r="CD52" s="6"/>
      <c r="CE52" s="6">
        <v>507</v>
      </c>
      <c r="CF52" s="6"/>
      <c r="CG52" s="6">
        <f t="shared" si="14"/>
        <v>344</v>
      </c>
      <c r="CH52" s="6">
        <v>852</v>
      </c>
      <c r="CI52" s="6"/>
      <c r="CJ52" s="6">
        <f t="shared" si="15"/>
        <v>345</v>
      </c>
      <c r="CK52" s="6">
        <v>1199</v>
      </c>
      <c r="CL52" s="6"/>
      <c r="CM52" s="6">
        <f t="shared" si="16"/>
        <v>347</v>
      </c>
      <c r="CN52" s="6">
        <v>350</v>
      </c>
      <c r="CO52" s="6">
        <v>1200</v>
      </c>
      <c r="CP52" s="6">
        <f t="shared" si="17"/>
        <v>351</v>
      </c>
      <c r="CQ52" s="6">
        <v>696</v>
      </c>
      <c r="CR52" s="6"/>
      <c r="CS52" s="6">
        <f t="shared" si="18"/>
        <v>346</v>
      </c>
      <c r="CT52" s="6">
        <v>1029</v>
      </c>
      <c r="CU52" s="6"/>
      <c r="CV52" s="6">
        <f t="shared" si="19"/>
        <v>333</v>
      </c>
      <c r="CW52" s="6"/>
      <c r="CX52" s="6"/>
      <c r="CY52" s="6"/>
      <c r="CZ52" s="6">
        <v>1374</v>
      </c>
      <c r="DA52" s="6"/>
      <c r="DB52" s="6">
        <f t="shared" si="20"/>
        <v>345</v>
      </c>
      <c r="DC52" s="6">
        <v>234</v>
      </c>
      <c r="DD52" s="6">
        <v>1375</v>
      </c>
      <c r="DE52" s="6">
        <f t="shared" si="21"/>
        <v>235</v>
      </c>
      <c r="DF52" s="6">
        <v>581</v>
      </c>
      <c r="DG52" s="6"/>
      <c r="DH52" s="6">
        <f t="shared" si="22"/>
        <v>347</v>
      </c>
      <c r="DI52" s="6">
        <v>931</v>
      </c>
      <c r="DJ52" s="6"/>
      <c r="DK52" s="6">
        <f t="shared" si="23"/>
        <v>350</v>
      </c>
      <c r="DL52" s="6">
        <v>78</v>
      </c>
      <c r="DM52" s="6">
        <v>1200</v>
      </c>
      <c r="DN52" s="6">
        <f t="shared" si="24"/>
        <v>347</v>
      </c>
      <c r="DO52" s="6">
        <v>396</v>
      </c>
      <c r="DP52" s="6"/>
      <c r="DQ52" s="6">
        <f t="shared" si="25"/>
        <v>318</v>
      </c>
    </row>
    <row r="53" spans="1:121">
      <c r="A53" s="6">
        <v>49</v>
      </c>
      <c r="B53" s="6">
        <v>324</v>
      </c>
      <c r="C53" s="6"/>
      <c r="D53" s="6">
        <v>324</v>
      </c>
      <c r="E53" s="148" t="s">
        <v>37</v>
      </c>
      <c r="F53" s="33" t="s">
        <v>37</v>
      </c>
      <c r="G53" s="33" t="s">
        <v>37</v>
      </c>
      <c r="H53" s="33" t="s">
        <v>37</v>
      </c>
      <c r="I53" s="33" t="s">
        <v>37</v>
      </c>
      <c r="J53" s="33" t="s">
        <v>37</v>
      </c>
      <c r="K53" s="33" t="s">
        <v>37</v>
      </c>
      <c r="L53" s="33" t="s">
        <v>37</v>
      </c>
      <c r="M53" s="33" t="s">
        <v>37</v>
      </c>
      <c r="N53" s="148" t="s">
        <v>98</v>
      </c>
      <c r="O53" s="33" t="s">
        <v>98</v>
      </c>
      <c r="P53" s="33" t="s">
        <v>98</v>
      </c>
      <c r="Q53" s="33" t="s">
        <v>98</v>
      </c>
      <c r="R53" s="33" t="s">
        <v>98</v>
      </c>
      <c r="S53" s="33" t="s">
        <v>98</v>
      </c>
      <c r="T53" s="33" t="s">
        <v>98</v>
      </c>
      <c r="U53" s="33" t="s">
        <v>98</v>
      </c>
      <c r="V53" s="33" t="s">
        <v>98</v>
      </c>
      <c r="W53" s="33" t="s">
        <v>98</v>
      </c>
      <c r="X53" s="33" t="s">
        <v>98</v>
      </c>
      <c r="Y53" s="148" t="s">
        <v>130</v>
      </c>
      <c r="Z53" s="33" t="s">
        <v>130</v>
      </c>
      <c r="AA53" s="33" t="s">
        <v>130</v>
      </c>
      <c r="AB53" s="33" t="s">
        <v>130</v>
      </c>
      <c r="AC53" s="33" t="s">
        <v>130</v>
      </c>
      <c r="AD53" s="33" t="s">
        <v>130</v>
      </c>
      <c r="AE53" s="33" t="s">
        <v>130</v>
      </c>
      <c r="AF53" s="35">
        <v>704</v>
      </c>
      <c r="AG53" s="35"/>
      <c r="AH53" s="35">
        <f t="shared" si="0"/>
        <v>380</v>
      </c>
      <c r="AI53" s="35">
        <v>1061</v>
      </c>
      <c r="AJ53" s="35"/>
      <c r="AK53" s="35">
        <f t="shared" si="1"/>
        <v>357</v>
      </c>
      <c r="AL53" s="35"/>
      <c r="AM53" s="35"/>
      <c r="AN53" s="35"/>
      <c r="AO53" s="6">
        <v>1437</v>
      </c>
      <c r="AP53" s="35"/>
      <c r="AQ53" s="34">
        <f t="shared" si="2"/>
        <v>376</v>
      </c>
      <c r="AR53" s="35">
        <v>253</v>
      </c>
      <c r="AS53" s="35">
        <v>1560</v>
      </c>
      <c r="AT53" s="35">
        <f t="shared" si="3"/>
        <v>376</v>
      </c>
      <c r="AU53" s="6">
        <v>624</v>
      </c>
      <c r="AV53" s="6"/>
      <c r="AW53" s="35">
        <f t="shared" si="4"/>
        <v>371</v>
      </c>
      <c r="AX53" s="6">
        <v>1001</v>
      </c>
      <c r="AY53" s="6"/>
      <c r="AZ53" s="35">
        <f t="shared" si="5"/>
        <v>377</v>
      </c>
      <c r="BA53" s="6">
        <v>1356</v>
      </c>
      <c r="BB53" s="6"/>
      <c r="BC53" s="35">
        <f t="shared" si="6"/>
        <v>355</v>
      </c>
      <c r="BD53" s="6">
        <v>0</v>
      </c>
      <c r="BE53" s="6">
        <v>1560</v>
      </c>
      <c r="BF53" s="35">
        <f t="shared" si="7"/>
        <v>204</v>
      </c>
      <c r="BG53" s="6"/>
      <c r="BH53" s="6"/>
      <c r="BI53" s="35"/>
      <c r="BJ53" s="6">
        <v>304</v>
      </c>
      <c r="BK53" s="35"/>
      <c r="BL53" s="6">
        <f t="shared" si="8"/>
        <v>304</v>
      </c>
      <c r="BM53" s="6">
        <v>643</v>
      </c>
      <c r="BN53" s="6"/>
      <c r="BO53" s="6">
        <f t="shared" si="9"/>
        <v>339</v>
      </c>
      <c r="BP53" s="6">
        <v>989</v>
      </c>
      <c r="BQ53" s="6"/>
      <c r="BR53" s="35">
        <f t="shared" si="10"/>
        <v>346</v>
      </c>
      <c r="BS53" s="6">
        <v>135</v>
      </c>
      <c r="BT53" s="6">
        <v>1200</v>
      </c>
      <c r="BU53" s="6">
        <f t="shared" si="11"/>
        <v>346</v>
      </c>
      <c r="BV53" s="6">
        <v>484</v>
      </c>
      <c r="BW53" s="6"/>
      <c r="BX53" s="35">
        <f t="shared" si="12"/>
        <v>349</v>
      </c>
      <c r="BY53" s="6">
        <v>813</v>
      </c>
      <c r="BZ53" s="35"/>
      <c r="CA53" s="6">
        <f t="shared" si="13"/>
        <v>329</v>
      </c>
      <c r="CB53" s="6"/>
      <c r="CC53" s="6"/>
      <c r="CD53" s="35"/>
      <c r="CE53" s="6">
        <v>1158</v>
      </c>
      <c r="CF53" s="35"/>
      <c r="CG53" s="6">
        <f t="shared" si="14"/>
        <v>345</v>
      </c>
      <c r="CH53" s="6">
        <v>309</v>
      </c>
      <c r="CI53" s="6">
        <v>1200</v>
      </c>
      <c r="CJ53" s="6">
        <f t="shared" si="15"/>
        <v>351</v>
      </c>
      <c r="CK53" s="6">
        <v>657</v>
      </c>
      <c r="CL53" s="6"/>
      <c r="CM53" s="6">
        <f t="shared" si="16"/>
        <v>348</v>
      </c>
      <c r="CN53" s="6">
        <v>1005</v>
      </c>
      <c r="CO53" s="6"/>
      <c r="CP53" s="6">
        <f t="shared" si="17"/>
        <v>348</v>
      </c>
      <c r="CQ53" s="6">
        <v>0</v>
      </c>
      <c r="CR53" s="6">
        <f>1110+242</f>
        <v>1352</v>
      </c>
      <c r="CS53" s="6">
        <f t="shared" si="18"/>
        <v>347</v>
      </c>
      <c r="CT53" s="6">
        <v>298</v>
      </c>
      <c r="CU53" s="6"/>
      <c r="CV53" s="6">
        <f t="shared" si="19"/>
        <v>298</v>
      </c>
      <c r="CW53" s="6"/>
      <c r="CX53" s="6"/>
      <c r="CY53" s="6"/>
      <c r="CZ53" s="6">
        <v>648</v>
      </c>
      <c r="DA53" s="6"/>
      <c r="DB53" s="6">
        <f t="shared" si="20"/>
        <v>350</v>
      </c>
      <c r="DC53" s="6">
        <v>989</v>
      </c>
      <c r="DD53" s="6"/>
      <c r="DE53" s="6">
        <f t="shared" si="21"/>
        <v>341</v>
      </c>
      <c r="DF53" s="6">
        <v>137</v>
      </c>
      <c r="DG53" s="6">
        <v>1200</v>
      </c>
      <c r="DH53" s="6">
        <f t="shared" si="22"/>
        <v>348</v>
      </c>
      <c r="DI53" s="6">
        <v>485</v>
      </c>
      <c r="DJ53" s="6"/>
      <c r="DK53" s="6">
        <f t="shared" si="23"/>
        <v>348</v>
      </c>
      <c r="DL53" s="6">
        <v>832</v>
      </c>
      <c r="DM53" s="6"/>
      <c r="DN53" s="6">
        <f t="shared" si="24"/>
        <v>347</v>
      </c>
      <c r="DO53" s="6">
        <v>1148</v>
      </c>
      <c r="DP53" s="6"/>
      <c r="DQ53" s="6">
        <f t="shared" si="25"/>
        <v>316</v>
      </c>
    </row>
    <row r="54" spans="1:121">
      <c r="A54" s="6">
        <v>50</v>
      </c>
      <c r="B54" s="6">
        <v>535</v>
      </c>
      <c r="C54" s="6"/>
      <c r="D54" s="6">
        <v>362</v>
      </c>
      <c r="E54" s="33" t="s">
        <v>37</v>
      </c>
      <c r="F54" s="33" t="s">
        <v>37</v>
      </c>
      <c r="G54" s="33" t="s">
        <v>37</v>
      </c>
      <c r="H54" s="33" t="s">
        <v>37</v>
      </c>
      <c r="I54" s="33" t="s">
        <v>37</v>
      </c>
      <c r="J54" s="33" t="s">
        <v>37</v>
      </c>
      <c r="K54" s="167" t="s">
        <v>98</v>
      </c>
      <c r="L54" s="169" t="s">
        <v>98</v>
      </c>
      <c r="M54" s="169" t="s">
        <v>98</v>
      </c>
      <c r="N54" s="169" t="s">
        <v>98</v>
      </c>
      <c r="O54" s="169" t="s">
        <v>98</v>
      </c>
      <c r="P54" s="169" t="s">
        <v>98</v>
      </c>
      <c r="Q54" s="169" t="s">
        <v>98</v>
      </c>
      <c r="R54" s="169" t="s">
        <v>98</v>
      </c>
      <c r="S54" s="169" t="s">
        <v>98</v>
      </c>
      <c r="T54" s="169" t="s">
        <v>98</v>
      </c>
      <c r="U54" s="169" t="s">
        <v>98</v>
      </c>
      <c r="V54" s="167" t="s">
        <v>130</v>
      </c>
      <c r="W54" s="169" t="s">
        <v>130</v>
      </c>
      <c r="X54" s="169" t="s">
        <v>130</v>
      </c>
      <c r="Y54" s="169" t="s">
        <v>130</v>
      </c>
      <c r="Z54" s="169" t="s">
        <v>130</v>
      </c>
      <c r="AA54" s="169" t="s">
        <v>130</v>
      </c>
      <c r="AB54" s="169" t="s">
        <v>130</v>
      </c>
      <c r="AC54" s="169" t="s">
        <v>130</v>
      </c>
      <c r="AD54" s="169" t="s">
        <v>130</v>
      </c>
      <c r="AE54" s="169" t="s">
        <v>130</v>
      </c>
      <c r="AF54" s="6">
        <v>901</v>
      </c>
      <c r="AG54" s="6"/>
      <c r="AH54" s="35">
        <f t="shared" si="0"/>
        <v>366</v>
      </c>
      <c r="AI54" s="35">
        <v>1252</v>
      </c>
      <c r="AJ54" s="35"/>
      <c r="AK54" s="35">
        <f t="shared" si="1"/>
        <v>351</v>
      </c>
      <c r="AL54" s="6"/>
      <c r="AM54" s="6"/>
      <c r="AN54" s="35"/>
      <c r="AO54" s="6">
        <v>59</v>
      </c>
      <c r="AP54" s="6">
        <v>1560</v>
      </c>
      <c r="AQ54" s="34">
        <f t="shared" si="2"/>
        <v>367</v>
      </c>
      <c r="AR54" s="35">
        <v>436</v>
      </c>
      <c r="AS54" s="35"/>
      <c r="AT54" s="35">
        <f t="shared" si="3"/>
        <v>377</v>
      </c>
      <c r="AU54" s="6">
        <v>0</v>
      </c>
      <c r="AV54" s="6">
        <v>716</v>
      </c>
      <c r="AW54" s="35">
        <f t="shared" si="4"/>
        <v>280</v>
      </c>
      <c r="AX54" s="6">
        <v>273</v>
      </c>
      <c r="AY54" s="6"/>
      <c r="AZ54" s="35">
        <f t="shared" si="5"/>
        <v>273</v>
      </c>
      <c r="BA54" s="35">
        <v>166</v>
      </c>
      <c r="BB54" s="35">
        <f>288+148</f>
        <v>436</v>
      </c>
      <c r="BC54" s="35">
        <f t="shared" si="6"/>
        <v>329</v>
      </c>
      <c r="BD54" s="6">
        <v>500</v>
      </c>
      <c r="BE54" s="6"/>
      <c r="BF54" s="35">
        <f t="shared" si="7"/>
        <v>334</v>
      </c>
      <c r="BG54" s="6"/>
      <c r="BH54" s="6"/>
      <c r="BI54" s="6"/>
      <c r="BJ54" s="6">
        <v>848</v>
      </c>
      <c r="BK54" s="6"/>
      <c r="BL54" s="6">
        <f t="shared" si="8"/>
        <v>348</v>
      </c>
      <c r="BM54" s="6">
        <v>327</v>
      </c>
      <c r="BN54" s="6">
        <v>859</v>
      </c>
      <c r="BO54" s="6">
        <f t="shared" si="9"/>
        <v>338</v>
      </c>
      <c r="BP54" s="6">
        <v>11</v>
      </c>
      <c r="BQ54" s="6">
        <v>654</v>
      </c>
      <c r="BR54" s="35">
        <f t="shared" si="10"/>
        <v>338</v>
      </c>
      <c r="BS54" s="6">
        <v>354</v>
      </c>
      <c r="BT54" s="6"/>
      <c r="BU54" s="6">
        <f t="shared" si="11"/>
        <v>343</v>
      </c>
      <c r="BV54" s="6">
        <v>702</v>
      </c>
      <c r="BW54" s="6"/>
      <c r="BX54" s="35">
        <f t="shared" si="12"/>
        <v>348</v>
      </c>
      <c r="BY54" s="6">
        <v>82</v>
      </c>
      <c r="BZ54" s="6">
        <v>950</v>
      </c>
      <c r="CA54" s="6">
        <f t="shared" si="13"/>
        <v>330</v>
      </c>
      <c r="CB54" s="6"/>
      <c r="CC54" s="6"/>
      <c r="CD54" s="6"/>
      <c r="CE54" s="6">
        <v>419</v>
      </c>
      <c r="CF54" s="6"/>
      <c r="CG54" s="6">
        <f t="shared" si="14"/>
        <v>337</v>
      </c>
      <c r="CH54" s="6">
        <v>761</v>
      </c>
      <c r="CI54" s="6"/>
      <c r="CJ54" s="6">
        <f t="shared" si="15"/>
        <v>342</v>
      </c>
      <c r="CK54" s="6">
        <v>222</v>
      </c>
      <c r="CL54" s="6">
        <v>873</v>
      </c>
      <c r="CM54" s="6">
        <f t="shared" si="16"/>
        <v>334</v>
      </c>
      <c r="CN54" s="6">
        <v>571</v>
      </c>
      <c r="CO54" s="6"/>
      <c r="CP54" s="6">
        <f t="shared" si="17"/>
        <v>349</v>
      </c>
      <c r="CQ54" s="6">
        <v>920</v>
      </c>
      <c r="CR54" s="6"/>
      <c r="CS54" s="6">
        <f t="shared" si="18"/>
        <v>349</v>
      </c>
      <c r="CT54" s="6">
        <v>222</v>
      </c>
      <c r="CU54" s="6">
        <v>1029</v>
      </c>
      <c r="CV54" s="6">
        <f t="shared" si="19"/>
        <v>331</v>
      </c>
      <c r="CW54" s="6"/>
      <c r="CX54" s="6"/>
      <c r="CY54" s="6"/>
      <c r="CZ54" s="6">
        <v>565</v>
      </c>
      <c r="DA54" s="6"/>
      <c r="DB54" s="6">
        <f t="shared" si="20"/>
        <v>343</v>
      </c>
      <c r="DC54" s="6">
        <v>911</v>
      </c>
      <c r="DD54" s="6"/>
      <c r="DE54" s="6">
        <f t="shared" si="21"/>
        <v>346</v>
      </c>
      <c r="DF54" s="6">
        <v>37</v>
      </c>
      <c r="DG54" s="6">
        <v>1210</v>
      </c>
      <c r="DH54" s="6">
        <f t="shared" si="22"/>
        <v>336</v>
      </c>
      <c r="DI54" s="6">
        <v>376</v>
      </c>
      <c r="DJ54" s="6"/>
      <c r="DK54" s="6">
        <f t="shared" si="23"/>
        <v>339</v>
      </c>
      <c r="DL54" s="6">
        <v>722</v>
      </c>
      <c r="DM54" s="6"/>
      <c r="DN54" s="6">
        <f t="shared" si="24"/>
        <v>346</v>
      </c>
      <c r="DO54" s="6">
        <v>1036</v>
      </c>
      <c r="DP54" s="6"/>
      <c r="DQ54" s="6">
        <f t="shared" si="25"/>
        <v>314</v>
      </c>
    </row>
    <row r="55" spans="1:121">
      <c r="A55" s="6">
        <v>51</v>
      </c>
      <c r="B55" s="6">
        <v>905</v>
      </c>
      <c r="C55" s="6"/>
      <c r="D55" s="6">
        <v>329</v>
      </c>
      <c r="E55" s="33" t="s">
        <v>98</v>
      </c>
      <c r="F55" s="33" t="s">
        <v>98</v>
      </c>
      <c r="G55" s="33" t="s">
        <v>98</v>
      </c>
      <c r="H55" s="33" t="s">
        <v>98</v>
      </c>
      <c r="I55" s="33" t="s">
        <v>98</v>
      </c>
      <c r="J55" s="33" t="s">
        <v>98</v>
      </c>
      <c r="K55" s="33" t="s">
        <v>98</v>
      </c>
      <c r="L55" s="33" t="s">
        <v>98</v>
      </c>
      <c r="M55" s="33" t="s">
        <v>98</v>
      </c>
      <c r="N55" s="33" t="s">
        <v>98</v>
      </c>
      <c r="O55" s="33" t="s">
        <v>98</v>
      </c>
      <c r="P55" s="33" t="s">
        <v>98</v>
      </c>
      <c r="Q55" s="33" t="s">
        <v>98</v>
      </c>
      <c r="R55" s="33" t="s">
        <v>98</v>
      </c>
      <c r="S55" s="33" t="s">
        <v>98</v>
      </c>
      <c r="T55" s="33" t="s">
        <v>98</v>
      </c>
      <c r="U55" s="148" t="s">
        <v>130</v>
      </c>
      <c r="V55" s="33" t="s">
        <v>130</v>
      </c>
      <c r="W55" s="33" t="s">
        <v>130</v>
      </c>
      <c r="X55" s="33" t="s">
        <v>130</v>
      </c>
      <c r="Y55" s="33" t="s">
        <v>130</v>
      </c>
      <c r="Z55" s="33" t="s">
        <v>130</v>
      </c>
      <c r="AA55" s="33" t="s">
        <v>130</v>
      </c>
      <c r="AB55" s="33" t="s">
        <v>130</v>
      </c>
      <c r="AC55" s="33" t="s">
        <v>130</v>
      </c>
      <c r="AD55" s="33" t="s">
        <v>130</v>
      </c>
      <c r="AE55" s="33" t="s">
        <v>130</v>
      </c>
      <c r="AF55" s="6">
        <v>50</v>
      </c>
      <c r="AG55" s="6">
        <v>1200</v>
      </c>
      <c r="AH55" s="35">
        <f t="shared" si="0"/>
        <v>345</v>
      </c>
      <c r="AI55" s="35">
        <v>378</v>
      </c>
      <c r="AJ55" s="35"/>
      <c r="AK55" s="35">
        <f t="shared" si="1"/>
        <v>328</v>
      </c>
      <c r="AL55" s="6"/>
      <c r="AM55" s="6"/>
      <c r="AN55" s="35"/>
      <c r="AO55" s="6">
        <v>725</v>
      </c>
      <c r="AP55" s="6"/>
      <c r="AQ55" s="34">
        <f t="shared" si="2"/>
        <v>347</v>
      </c>
      <c r="AR55" s="35">
        <v>1073</v>
      </c>
      <c r="AS55" s="35"/>
      <c r="AT55" s="35">
        <f t="shared" si="3"/>
        <v>348</v>
      </c>
      <c r="AU55" s="6">
        <v>216</v>
      </c>
      <c r="AV55" s="6">
        <v>1200</v>
      </c>
      <c r="AW55" s="35">
        <f t="shared" si="4"/>
        <v>343</v>
      </c>
      <c r="AX55" s="6">
        <v>558</v>
      </c>
      <c r="AY55" s="6"/>
      <c r="AZ55" s="35">
        <f t="shared" si="5"/>
        <v>342</v>
      </c>
      <c r="BA55" s="35">
        <v>906</v>
      </c>
      <c r="BB55" s="35"/>
      <c r="BC55" s="35">
        <f t="shared" si="6"/>
        <v>348</v>
      </c>
      <c r="BD55" s="6">
        <v>38</v>
      </c>
      <c r="BE55" s="6">
        <v>1200</v>
      </c>
      <c r="BF55" s="35">
        <f t="shared" si="7"/>
        <v>332</v>
      </c>
      <c r="BG55" s="6"/>
      <c r="BH55" s="6"/>
      <c r="BI55" s="6"/>
      <c r="BJ55" s="6">
        <v>387</v>
      </c>
      <c r="BK55" s="6"/>
      <c r="BL55" s="6">
        <f t="shared" si="8"/>
        <v>349</v>
      </c>
      <c r="BM55" s="6">
        <v>731</v>
      </c>
      <c r="BN55" s="6"/>
      <c r="BO55" s="6">
        <f t="shared" si="9"/>
        <v>344</v>
      </c>
      <c r="BP55" s="6">
        <v>1080</v>
      </c>
      <c r="BQ55" s="6"/>
      <c r="BR55" s="35">
        <f t="shared" si="10"/>
        <v>349</v>
      </c>
      <c r="BS55" s="6">
        <v>217</v>
      </c>
      <c r="BT55" s="6">
        <v>1200</v>
      </c>
      <c r="BU55" s="6">
        <f t="shared" si="11"/>
        <v>337</v>
      </c>
      <c r="BV55" s="6">
        <v>559</v>
      </c>
      <c r="BW55" s="6"/>
      <c r="BX55" s="35">
        <f t="shared" si="12"/>
        <v>342</v>
      </c>
      <c r="BY55" s="6">
        <v>892</v>
      </c>
      <c r="BZ55" s="6"/>
      <c r="CA55" s="6">
        <f t="shared" si="13"/>
        <v>333</v>
      </c>
      <c r="CB55" s="6"/>
      <c r="CC55" s="6"/>
      <c r="CD55" s="6"/>
      <c r="CE55" s="6">
        <v>0</v>
      </c>
      <c r="CF55" s="6">
        <v>1107</v>
      </c>
      <c r="CG55" s="6">
        <f t="shared" si="14"/>
        <v>215</v>
      </c>
      <c r="CH55" s="6">
        <v>319</v>
      </c>
      <c r="CI55" s="6"/>
      <c r="CJ55" s="6">
        <f t="shared" si="15"/>
        <v>319</v>
      </c>
      <c r="CK55" s="6">
        <v>656</v>
      </c>
      <c r="CL55" s="6"/>
      <c r="CM55" s="6">
        <f t="shared" si="16"/>
        <v>337</v>
      </c>
      <c r="CN55" s="6">
        <v>1005</v>
      </c>
      <c r="CO55" s="6"/>
      <c r="CP55" s="6">
        <f t="shared" si="17"/>
        <v>349</v>
      </c>
      <c r="CQ55" s="6">
        <v>173</v>
      </c>
      <c r="CR55" s="6">
        <v>1178</v>
      </c>
      <c r="CS55" s="6">
        <f t="shared" si="18"/>
        <v>346</v>
      </c>
      <c r="CT55" s="6">
        <v>495</v>
      </c>
      <c r="CU55" s="6"/>
      <c r="CV55" s="6">
        <f t="shared" si="19"/>
        <v>322</v>
      </c>
      <c r="CW55" s="6"/>
      <c r="CX55" s="6"/>
      <c r="CY55" s="6"/>
      <c r="CZ55" s="6">
        <v>840</v>
      </c>
      <c r="DA55" s="6"/>
      <c r="DB55" s="6">
        <f t="shared" si="20"/>
        <v>345</v>
      </c>
      <c r="DC55" s="6">
        <v>1185</v>
      </c>
      <c r="DD55" s="6"/>
      <c r="DE55" s="6">
        <f t="shared" si="21"/>
        <v>345</v>
      </c>
      <c r="DF55" s="6">
        <v>321</v>
      </c>
      <c r="DG55" s="6">
        <v>1200</v>
      </c>
      <c r="DH55" s="6">
        <f t="shared" si="22"/>
        <v>336</v>
      </c>
      <c r="DI55" s="6">
        <v>671</v>
      </c>
      <c r="DJ55" s="6"/>
      <c r="DK55" s="6">
        <f t="shared" si="23"/>
        <v>350</v>
      </c>
      <c r="DL55" s="6">
        <v>1014</v>
      </c>
      <c r="DM55" s="6"/>
      <c r="DN55" s="6">
        <f t="shared" si="24"/>
        <v>343</v>
      </c>
      <c r="DO55" s="6">
        <v>131</v>
      </c>
      <c r="DP55" s="6">
        <v>1200</v>
      </c>
      <c r="DQ55" s="6">
        <f t="shared" si="25"/>
        <v>317</v>
      </c>
    </row>
    <row r="56" spans="1:121">
      <c r="A56" s="6">
        <v>52</v>
      </c>
      <c r="B56" s="6">
        <v>907</v>
      </c>
      <c r="C56" s="6"/>
      <c r="D56" s="6">
        <v>331</v>
      </c>
      <c r="E56" s="33" t="s">
        <v>98</v>
      </c>
      <c r="F56" s="33" t="s">
        <v>98</v>
      </c>
      <c r="G56" s="33" t="s">
        <v>98</v>
      </c>
      <c r="H56" s="33" t="s">
        <v>98</v>
      </c>
      <c r="I56" s="33" t="s">
        <v>98</v>
      </c>
      <c r="J56" s="33" t="s">
        <v>98</v>
      </c>
      <c r="K56" s="33" t="s">
        <v>98</v>
      </c>
      <c r="L56" s="33" t="s">
        <v>98</v>
      </c>
      <c r="M56" s="33" t="s">
        <v>98</v>
      </c>
      <c r="N56" s="33" t="s">
        <v>98</v>
      </c>
      <c r="O56" s="33" t="s">
        <v>98</v>
      </c>
      <c r="P56" s="33" t="s">
        <v>98</v>
      </c>
      <c r="Q56" s="33" t="s">
        <v>98</v>
      </c>
      <c r="R56" s="33" t="s">
        <v>98</v>
      </c>
      <c r="S56" s="33" t="s">
        <v>98</v>
      </c>
      <c r="T56" s="33" t="s">
        <v>98</v>
      </c>
      <c r="U56" s="148" t="s">
        <v>130</v>
      </c>
      <c r="V56" s="33" t="s">
        <v>130</v>
      </c>
      <c r="W56" s="33" t="s">
        <v>130</v>
      </c>
      <c r="X56" s="33" t="s">
        <v>130</v>
      </c>
      <c r="Y56" s="33" t="s">
        <v>130</v>
      </c>
      <c r="Z56" s="33" t="s">
        <v>130</v>
      </c>
      <c r="AA56" s="33" t="s">
        <v>130</v>
      </c>
      <c r="AB56" s="33" t="s">
        <v>130</v>
      </c>
      <c r="AC56" s="33" t="s">
        <v>130</v>
      </c>
      <c r="AD56" s="33" t="s">
        <v>130</v>
      </c>
      <c r="AE56" s="33" t="s">
        <v>130</v>
      </c>
      <c r="AF56" s="6">
        <v>55</v>
      </c>
      <c r="AG56" s="6">
        <v>1200</v>
      </c>
      <c r="AH56" s="35">
        <f t="shared" si="0"/>
        <v>348</v>
      </c>
      <c r="AI56" s="35">
        <v>387</v>
      </c>
      <c r="AJ56" s="35"/>
      <c r="AK56" s="35">
        <f t="shared" si="1"/>
        <v>332</v>
      </c>
      <c r="AL56" s="6"/>
      <c r="AM56" s="6"/>
      <c r="AN56" s="35"/>
      <c r="AO56" s="6">
        <v>737</v>
      </c>
      <c r="AP56" s="6"/>
      <c r="AQ56" s="34">
        <f t="shared" si="2"/>
        <v>350</v>
      </c>
      <c r="AR56" s="35">
        <v>1084</v>
      </c>
      <c r="AS56" s="35"/>
      <c r="AT56" s="35">
        <f t="shared" si="3"/>
        <v>347</v>
      </c>
      <c r="AU56" s="6">
        <v>231</v>
      </c>
      <c r="AV56" s="6">
        <v>1200</v>
      </c>
      <c r="AW56" s="35">
        <f t="shared" si="4"/>
        <v>347</v>
      </c>
      <c r="AX56" s="6">
        <v>579</v>
      </c>
      <c r="AY56" s="6"/>
      <c r="AZ56" s="35">
        <f t="shared" si="5"/>
        <v>348</v>
      </c>
      <c r="BA56" s="35">
        <v>927</v>
      </c>
      <c r="BB56" s="35"/>
      <c r="BC56" s="35">
        <f t="shared" si="6"/>
        <v>348</v>
      </c>
      <c r="BD56" s="35">
        <v>58</v>
      </c>
      <c r="BE56" s="6">
        <v>1200</v>
      </c>
      <c r="BF56" s="35">
        <f t="shared" si="7"/>
        <v>331</v>
      </c>
      <c r="BG56" s="35"/>
      <c r="BH56" s="6"/>
      <c r="BI56" s="6"/>
      <c r="BJ56" s="6">
        <v>409</v>
      </c>
      <c r="BK56" s="6"/>
      <c r="BL56" s="6">
        <f t="shared" si="8"/>
        <v>351</v>
      </c>
      <c r="BM56" s="6">
        <v>736</v>
      </c>
      <c r="BN56" s="6"/>
      <c r="BO56" s="6">
        <f t="shared" si="9"/>
        <v>327</v>
      </c>
      <c r="BP56" s="6">
        <v>1082</v>
      </c>
      <c r="BQ56" s="6"/>
      <c r="BR56" s="35">
        <f t="shared" si="10"/>
        <v>346</v>
      </c>
      <c r="BS56" s="6">
        <v>231</v>
      </c>
      <c r="BT56" s="6">
        <v>1200</v>
      </c>
      <c r="BU56" s="6">
        <f t="shared" si="11"/>
        <v>349</v>
      </c>
      <c r="BV56" s="6">
        <v>582</v>
      </c>
      <c r="BW56" s="6"/>
      <c r="BX56" s="35">
        <f t="shared" si="12"/>
        <v>351</v>
      </c>
      <c r="BY56" s="6">
        <v>909</v>
      </c>
      <c r="BZ56" s="6"/>
      <c r="CA56" s="6">
        <f t="shared" si="13"/>
        <v>327</v>
      </c>
      <c r="CB56" s="6"/>
      <c r="CC56" s="6"/>
      <c r="CD56" s="6"/>
      <c r="CE56" s="6">
        <v>0</v>
      </c>
      <c r="CF56" s="6">
        <v>1089</v>
      </c>
      <c r="CG56" s="6">
        <f t="shared" si="14"/>
        <v>180</v>
      </c>
      <c r="CH56" s="6">
        <v>317</v>
      </c>
      <c r="CI56" s="6"/>
      <c r="CJ56" s="6">
        <f t="shared" si="15"/>
        <v>317</v>
      </c>
      <c r="CK56" s="6">
        <v>664</v>
      </c>
      <c r="CL56" s="6"/>
      <c r="CM56" s="6">
        <f t="shared" si="16"/>
        <v>347</v>
      </c>
      <c r="CN56" s="6">
        <v>1013</v>
      </c>
      <c r="CO56" s="6"/>
      <c r="CP56" s="6">
        <f t="shared" si="17"/>
        <v>349</v>
      </c>
      <c r="CQ56" s="6">
        <v>315</v>
      </c>
      <c r="CR56" s="6">
        <v>1042</v>
      </c>
      <c r="CS56" s="6">
        <f t="shared" si="18"/>
        <v>344</v>
      </c>
      <c r="CT56" s="6">
        <v>649</v>
      </c>
      <c r="CU56" s="6"/>
      <c r="CV56" s="6">
        <f t="shared" si="19"/>
        <v>334</v>
      </c>
      <c r="CW56" s="6"/>
      <c r="CX56" s="6"/>
      <c r="CY56" s="6"/>
      <c r="CZ56" s="6">
        <v>1000</v>
      </c>
      <c r="DA56" s="6"/>
      <c r="DB56" s="6">
        <f t="shared" si="20"/>
        <v>351</v>
      </c>
      <c r="DC56" s="6">
        <v>146</v>
      </c>
      <c r="DD56" s="6">
        <v>1200</v>
      </c>
      <c r="DE56" s="6">
        <f t="shared" si="21"/>
        <v>346</v>
      </c>
      <c r="DF56" s="6">
        <v>492</v>
      </c>
      <c r="DG56" s="6"/>
      <c r="DH56" s="6">
        <f t="shared" si="22"/>
        <v>346</v>
      </c>
      <c r="DI56" s="6">
        <v>831</v>
      </c>
      <c r="DJ56" s="6"/>
      <c r="DK56" s="6">
        <f t="shared" si="23"/>
        <v>339</v>
      </c>
      <c r="DL56" s="6">
        <v>1169</v>
      </c>
      <c r="DM56" s="6"/>
      <c r="DN56" s="6">
        <f t="shared" si="24"/>
        <v>338</v>
      </c>
      <c r="DO56" s="6">
        <v>278</v>
      </c>
      <c r="DP56" s="6">
        <v>1200</v>
      </c>
      <c r="DQ56" s="6">
        <f t="shared" si="25"/>
        <v>309</v>
      </c>
    </row>
    <row r="57" spans="1:121">
      <c r="A57" s="6">
        <v>53</v>
      </c>
      <c r="B57" s="6">
        <v>49</v>
      </c>
      <c r="C57" s="6">
        <v>1200</v>
      </c>
      <c r="D57" s="6">
        <v>312</v>
      </c>
      <c r="E57" s="33" t="s">
        <v>95</v>
      </c>
      <c r="F57" s="33" t="s">
        <v>95</v>
      </c>
      <c r="G57" s="33" t="s">
        <v>95</v>
      </c>
      <c r="H57" s="33" t="s">
        <v>95</v>
      </c>
      <c r="I57" s="33" t="s">
        <v>95</v>
      </c>
      <c r="J57" s="33" t="s">
        <v>95</v>
      </c>
      <c r="K57" s="167" t="s">
        <v>98</v>
      </c>
      <c r="L57" s="169" t="s">
        <v>98</v>
      </c>
      <c r="M57" s="169" t="s">
        <v>98</v>
      </c>
      <c r="N57" s="169" t="s">
        <v>98</v>
      </c>
      <c r="O57" s="169" t="s">
        <v>98</v>
      </c>
      <c r="P57" s="169" t="s">
        <v>98</v>
      </c>
      <c r="Q57" s="169" t="s">
        <v>98</v>
      </c>
      <c r="R57" s="169" t="s">
        <v>98</v>
      </c>
      <c r="S57" s="169" t="s">
        <v>98</v>
      </c>
      <c r="T57" s="169" t="s">
        <v>98</v>
      </c>
      <c r="U57" s="169" t="s">
        <v>98</v>
      </c>
      <c r="V57" s="167" t="s">
        <v>130</v>
      </c>
      <c r="W57" s="169" t="s">
        <v>130</v>
      </c>
      <c r="X57" s="169" t="s">
        <v>130</v>
      </c>
      <c r="Y57" s="169" t="s">
        <v>130</v>
      </c>
      <c r="Z57" s="169" t="s">
        <v>130</v>
      </c>
      <c r="AA57" s="169" t="s">
        <v>130</v>
      </c>
      <c r="AB57" s="169" t="s">
        <v>130</v>
      </c>
      <c r="AC57" s="169" t="s">
        <v>130</v>
      </c>
      <c r="AD57" s="169" t="s">
        <v>130</v>
      </c>
      <c r="AE57" s="169" t="s">
        <v>130</v>
      </c>
      <c r="AF57" s="6">
        <v>393</v>
      </c>
      <c r="AG57" s="6"/>
      <c r="AH57" s="35">
        <f t="shared" si="0"/>
        <v>344</v>
      </c>
      <c r="AI57" s="35">
        <v>721</v>
      </c>
      <c r="AJ57" s="35"/>
      <c r="AK57" s="35">
        <f t="shared" si="1"/>
        <v>328</v>
      </c>
      <c r="AL57" s="6"/>
      <c r="AM57" s="6"/>
      <c r="AN57" s="35"/>
      <c r="AO57" s="6">
        <v>1068</v>
      </c>
      <c r="AP57" s="6"/>
      <c r="AQ57" s="34">
        <f t="shared" si="2"/>
        <v>347</v>
      </c>
      <c r="AR57" s="35">
        <v>1415</v>
      </c>
      <c r="AS57" s="35"/>
      <c r="AT57" s="35">
        <f t="shared" si="3"/>
        <v>347</v>
      </c>
      <c r="AU57" s="6">
        <v>0</v>
      </c>
      <c r="AV57" s="6">
        <v>1612</v>
      </c>
      <c r="AW57" s="35">
        <f t="shared" si="4"/>
        <v>197</v>
      </c>
      <c r="AX57" s="6">
        <v>323</v>
      </c>
      <c r="AY57" s="6"/>
      <c r="AZ57" s="35">
        <f t="shared" si="5"/>
        <v>323</v>
      </c>
      <c r="BA57" s="35">
        <v>668</v>
      </c>
      <c r="BB57" s="35"/>
      <c r="BC57" s="35">
        <f t="shared" si="6"/>
        <v>345</v>
      </c>
      <c r="BD57" s="6">
        <v>1005</v>
      </c>
      <c r="BE57" s="6"/>
      <c r="BF57" s="35">
        <f t="shared" si="7"/>
        <v>337</v>
      </c>
      <c r="BG57" s="6"/>
      <c r="BH57" s="6"/>
      <c r="BI57" s="6"/>
      <c r="BJ57" s="6">
        <v>154</v>
      </c>
      <c r="BK57" s="6">
        <v>1200</v>
      </c>
      <c r="BL57" s="6">
        <f t="shared" si="8"/>
        <v>349</v>
      </c>
      <c r="BM57" s="6">
        <v>501</v>
      </c>
      <c r="BN57" s="6"/>
      <c r="BO57" s="6">
        <f t="shared" si="9"/>
        <v>347</v>
      </c>
      <c r="BP57" s="6">
        <v>849</v>
      </c>
      <c r="BQ57" s="6"/>
      <c r="BR57" s="35">
        <f t="shared" si="10"/>
        <v>348</v>
      </c>
      <c r="BS57" s="6">
        <v>1194</v>
      </c>
      <c r="BT57" s="6"/>
      <c r="BU57" s="6">
        <f t="shared" si="11"/>
        <v>345</v>
      </c>
      <c r="BV57" s="6">
        <v>344</v>
      </c>
      <c r="BW57" s="6">
        <v>1200</v>
      </c>
      <c r="BX57" s="35">
        <f t="shared" si="12"/>
        <v>350</v>
      </c>
      <c r="BY57" s="6">
        <v>675</v>
      </c>
      <c r="BZ57" s="6"/>
      <c r="CA57" s="6">
        <f t="shared" si="13"/>
        <v>331</v>
      </c>
      <c r="CB57" s="6"/>
      <c r="CC57" s="6"/>
      <c r="CD57" s="6"/>
      <c r="CE57" s="6">
        <v>1024</v>
      </c>
      <c r="CF57" s="6"/>
      <c r="CG57" s="6">
        <f t="shared" si="14"/>
        <v>349</v>
      </c>
      <c r="CH57" s="6">
        <v>1371</v>
      </c>
      <c r="CI57" s="6"/>
      <c r="CJ57" s="6">
        <f t="shared" si="15"/>
        <v>347</v>
      </c>
      <c r="CK57" s="6">
        <v>234</v>
      </c>
      <c r="CL57" s="6">
        <v>1475</v>
      </c>
      <c r="CM57" s="6">
        <f t="shared" si="16"/>
        <v>338</v>
      </c>
      <c r="CN57" s="6">
        <v>579</v>
      </c>
      <c r="CO57" s="6"/>
      <c r="CP57" s="6">
        <f t="shared" si="17"/>
        <v>345</v>
      </c>
      <c r="CQ57" s="6">
        <v>925</v>
      </c>
      <c r="CR57" s="6"/>
      <c r="CS57" s="6">
        <f t="shared" si="18"/>
        <v>346</v>
      </c>
      <c r="CT57" s="6">
        <v>53</v>
      </c>
      <c r="CU57" s="6">
        <v>1200</v>
      </c>
      <c r="CV57" s="6">
        <f t="shared" si="19"/>
        <v>328</v>
      </c>
      <c r="CW57" s="6"/>
      <c r="CX57" s="6"/>
      <c r="CY57" s="6"/>
      <c r="CZ57" s="6">
        <v>404</v>
      </c>
      <c r="DA57" s="6"/>
      <c r="DB57" s="6">
        <f t="shared" si="20"/>
        <v>351</v>
      </c>
      <c r="DC57" s="6">
        <v>748</v>
      </c>
      <c r="DD57" s="6"/>
      <c r="DE57" s="6">
        <f t="shared" si="21"/>
        <v>344</v>
      </c>
      <c r="DF57" s="6">
        <v>1097</v>
      </c>
      <c r="DG57" s="6"/>
      <c r="DH57" s="6">
        <f t="shared" si="22"/>
        <v>349</v>
      </c>
      <c r="DI57" s="6">
        <v>240</v>
      </c>
      <c r="DJ57" s="6">
        <v>1200</v>
      </c>
      <c r="DK57" s="6">
        <f t="shared" si="23"/>
        <v>343</v>
      </c>
      <c r="DL57" s="6">
        <v>586</v>
      </c>
      <c r="DM57" s="6"/>
      <c r="DN57" s="6">
        <f t="shared" si="24"/>
        <v>346</v>
      </c>
      <c r="DO57" s="6">
        <v>903</v>
      </c>
      <c r="DP57" s="6"/>
      <c r="DQ57" s="6">
        <f t="shared" si="25"/>
        <v>317</v>
      </c>
    </row>
    <row r="58" spans="1:121">
      <c r="A58" s="6">
        <v>54</v>
      </c>
      <c r="B58" s="6">
        <v>1132</v>
      </c>
      <c r="C58" s="6"/>
      <c r="D58" s="6">
        <v>364</v>
      </c>
      <c r="E58" s="33" t="s">
        <v>37</v>
      </c>
      <c r="F58" s="33" t="s">
        <v>37</v>
      </c>
      <c r="G58" s="33" t="s">
        <v>37</v>
      </c>
      <c r="H58" s="33" t="s">
        <v>37</v>
      </c>
      <c r="I58" s="33" t="s">
        <v>37</v>
      </c>
      <c r="J58" s="33" t="s">
        <v>37</v>
      </c>
      <c r="K58" s="33" t="s">
        <v>37</v>
      </c>
      <c r="L58" s="33" t="s">
        <v>37</v>
      </c>
      <c r="M58" s="33" t="s">
        <v>37</v>
      </c>
      <c r="N58" s="148" t="s">
        <v>98</v>
      </c>
      <c r="O58" s="33" t="s">
        <v>98</v>
      </c>
      <c r="P58" s="33" t="s">
        <v>98</v>
      </c>
      <c r="Q58" s="33" t="s">
        <v>98</v>
      </c>
      <c r="R58" s="33" t="s">
        <v>98</v>
      </c>
      <c r="S58" s="33" t="s">
        <v>98</v>
      </c>
      <c r="T58" s="33" t="s">
        <v>98</v>
      </c>
      <c r="U58" s="33" t="s">
        <v>98</v>
      </c>
      <c r="V58" s="33" t="s">
        <v>98</v>
      </c>
      <c r="W58" s="33" t="s">
        <v>98</v>
      </c>
      <c r="X58" s="33" t="s">
        <v>98</v>
      </c>
      <c r="Y58" s="33" t="s">
        <v>98</v>
      </c>
      <c r="Z58" s="33" t="s">
        <v>98</v>
      </c>
      <c r="AA58" s="148" t="s">
        <v>130</v>
      </c>
      <c r="AB58" s="33" t="s">
        <v>130</v>
      </c>
      <c r="AC58" s="33" t="s">
        <v>130</v>
      </c>
      <c r="AD58" s="33" t="s">
        <v>130</v>
      </c>
      <c r="AE58" s="33" t="s">
        <v>130</v>
      </c>
      <c r="AF58" s="35">
        <v>1516</v>
      </c>
      <c r="AG58" s="35"/>
      <c r="AH58" s="35">
        <f t="shared" si="0"/>
        <v>384</v>
      </c>
      <c r="AI58" s="35">
        <v>311</v>
      </c>
      <c r="AJ58" s="35">
        <v>1560</v>
      </c>
      <c r="AK58" s="35">
        <f t="shared" si="1"/>
        <v>355</v>
      </c>
      <c r="AL58" s="6"/>
      <c r="AM58" s="35"/>
      <c r="AN58" s="35"/>
      <c r="AO58" s="6">
        <v>693</v>
      </c>
      <c r="AP58" s="6"/>
      <c r="AQ58" s="34">
        <f t="shared" si="2"/>
        <v>382</v>
      </c>
      <c r="AR58" s="35">
        <v>1078</v>
      </c>
      <c r="AS58" s="35"/>
      <c r="AT58" s="35">
        <f t="shared" si="3"/>
        <v>385</v>
      </c>
      <c r="AU58" s="6">
        <v>1455</v>
      </c>
      <c r="AV58" s="6"/>
      <c r="AW58" s="35">
        <f t="shared" si="4"/>
        <v>377</v>
      </c>
      <c r="AX58" s="6">
        <v>276</v>
      </c>
      <c r="AY58" s="6">
        <v>1560</v>
      </c>
      <c r="AZ58" s="35">
        <f t="shared" si="5"/>
        <v>381</v>
      </c>
      <c r="BA58" s="6">
        <v>657</v>
      </c>
      <c r="BB58" s="6"/>
      <c r="BC58" s="35">
        <f t="shared" si="6"/>
        <v>381</v>
      </c>
      <c r="BD58" s="6">
        <v>673</v>
      </c>
      <c r="BE58" s="6"/>
      <c r="BF58" s="35">
        <f t="shared" si="7"/>
        <v>16</v>
      </c>
      <c r="BG58" s="6"/>
      <c r="BH58" s="6"/>
      <c r="BI58" s="35"/>
      <c r="BJ58" s="6">
        <v>299</v>
      </c>
      <c r="BK58" s="35">
        <v>673</v>
      </c>
      <c r="BL58" s="6">
        <f t="shared" si="8"/>
        <v>299</v>
      </c>
      <c r="BM58" s="6">
        <v>636</v>
      </c>
      <c r="BN58" s="6"/>
      <c r="BO58" s="6">
        <f t="shared" si="9"/>
        <v>337</v>
      </c>
      <c r="BP58" s="6">
        <v>171</v>
      </c>
      <c r="BQ58" s="6">
        <v>808</v>
      </c>
      <c r="BR58" s="35">
        <f t="shared" si="10"/>
        <v>343</v>
      </c>
      <c r="BS58" s="6">
        <v>517</v>
      </c>
      <c r="BT58" s="6"/>
      <c r="BU58" s="6">
        <f t="shared" si="11"/>
        <v>346</v>
      </c>
      <c r="BV58" s="6">
        <v>858</v>
      </c>
      <c r="BW58" s="6"/>
      <c r="BX58" s="35">
        <f t="shared" si="12"/>
        <v>341</v>
      </c>
      <c r="BY58" s="6">
        <v>80</v>
      </c>
      <c r="BZ58" s="35">
        <v>1104</v>
      </c>
      <c r="CA58" s="6">
        <f t="shared" si="13"/>
        <v>326</v>
      </c>
      <c r="CB58" s="6"/>
      <c r="CC58" s="6"/>
      <c r="CD58" s="35"/>
      <c r="CE58" s="6">
        <v>425</v>
      </c>
      <c r="CF58" s="35"/>
      <c r="CG58" s="6">
        <f t="shared" si="14"/>
        <v>345</v>
      </c>
      <c r="CH58" s="6">
        <v>774</v>
      </c>
      <c r="CI58" s="6"/>
      <c r="CJ58" s="6">
        <f t="shared" si="15"/>
        <v>349</v>
      </c>
      <c r="CK58" s="6">
        <v>1120</v>
      </c>
      <c r="CL58" s="6"/>
      <c r="CM58" s="6">
        <f t="shared" si="16"/>
        <v>346</v>
      </c>
      <c r="CN58" s="6">
        <v>337</v>
      </c>
      <c r="CO58" s="6">
        <v>1125</v>
      </c>
      <c r="CP58" s="6">
        <f t="shared" si="17"/>
        <v>342</v>
      </c>
      <c r="CQ58" s="6">
        <v>662</v>
      </c>
      <c r="CR58" s="6"/>
      <c r="CS58" s="6">
        <f t="shared" si="18"/>
        <v>325</v>
      </c>
      <c r="CT58" s="6">
        <v>961</v>
      </c>
      <c r="CU58" s="6"/>
      <c r="CV58" s="6">
        <f t="shared" si="19"/>
        <v>299</v>
      </c>
      <c r="CW58" s="6"/>
      <c r="CX58" s="6"/>
      <c r="CY58" s="6"/>
      <c r="CZ58" s="6">
        <v>0</v>
      </c>
      <c r="DA58" s="6">
        <f>1120+157</f>
        <v>1277</v>
      </c>
      <c r="DB58" s="6">
        <f t="shared" si="20"/>
        <v>316</v>
      </c>
      <c r="DC58" s="6">
        <v>320</v>
      </c>
      <c r="DD58" s="6"/>
      <c r="DE58" s="6">
        <f t="shared" si="21"/>
        <v>320</v>
      </c>
      <c r="DF58" s="6">
        <v>663</v>
      </c>
      <c r="DG58" s="6"/>
      <c r="DH58" s="6">
        <f t="shared" si="22"/>
        <v>343</v>
      </c>
      <c r="DI58" s="6">
        <v>1007</v>
      </c>
      <c r="DJ58" s="6"/>
      <c r="DK58" s="6">
        <f t="shared" si="23"/>
        <v>344</v>
      </c>
      <c r="DL58" s="6">
        <v>150</v>
      </c>
      <c r="DM58" s="6">
        <v>1200</v>
      </c>
      <c r="DN58" s="6">
        <f t="shared" si="24"/>
        <v>343</v>
      </c>
      <c r="DO58" s="6">
        <v>454</v>
      </c>
      <c r="DP58" s="6"/>
      <c r="DQ58" s="6">
        <f t="shared" si="25"/>
        <v>304</v>
      </c>
    </row>
    <row r="59" spans="1:121">
      <c r="A59" s="6">
        <v>55</v>
      </c>
      <c r="B59" s="6">
        <v>771</v>
      </c>
      <c r="C59" s="6"/>
      <c r="D59" s="6">
        <v>371</v>
      </c>
      <c r="E59" s="33" t="s">
        <v>37</v>
      </c>
      <c r="F59" s="33" t="s">
        <v>37</v>
      </c>
      <c r="G59" s="33" t="s">
        <v>37</v>
      </c>
      <c r="H59" s="33" t="s">
        <v>37</v>
      </c>
      <c r="I59" s="33" t="s">
        <v>37</v>
      </c>
      <c r="J59" s="33" t="s">
        <v>37</v>
      </c>
      <c r="K59" s="33" t="s">
        <v>37</v>
      </c>
      <c r="L59" s="33" t="s">
        <v>37</v>
      </c>
      <c r="M59" s="33" t="s">
        <v>37</v>
      </c>
      <c r="N59" s="33" t="s">
        <v>37</v>
      </c>
      <c r="O59" s="33" t="s">
        <v>37</v>
      </c>
      <c r="P59" s="33" t="s">
        <v>37</v>
      </c>
      <c r="Q59" s="33" t="s">
        <v>37</v>
      </c>
      <c r="R59" s="33" t="s">
        <v>37</v>
      </c>
      <c r="S59" s="33" t="s">
        <v>37</v>
      </c>
      <c r="T59" s="33" t="s">
        <v>37</v>
      </c>
      <c r="U59" s="148" t="s">
        <v>130</v>
      </c>
      <c r="V59" s="33" t="s">
        <v>130</v>
      </c>
      <c r="W59" s="33" t="s">
        <v>130</v>
      </c>
      <c r="X59" s="33" t="s">
        <v>130</v>
      </c>
      <c r="Y59" s="33" t="s">
        <v>130</v>
      </c>
      <c r="Z59" s="33" t="s">
        <v>130</v>
      </c>
      <c r="AA59" s="33" t="s">
        <v>130</v>
      </c>
      <c r="AB59" s="33" t="s">
        <v>130</v>
      </c>
      <c r="AC59" s="33" t="s">
        <v>130</v>
      </c>
      <c r="AD59" s="33" t="s">
        <v>130</v>
      </c>
      <c r="AE59" s="33" t="s">
        <v>130</v>
      </c>
      <c r="AF59" s="6">
        <v>229</v>
      </c>
      <c r="AG59" s="6">
        <v>914</v>
      </c>
      <c r="AH59" s="35">
        <f t="shared" si="0"/>
        <v>372</v>
      </c>
      <c r="AI59" s="35">
        <v>552</v>
      </c>
      <c r="AJ59" s="35"/>
      <c r="AK59" s="35">
        <f t="shared" si="1"/>
        <v>323</v>
      </c>
      <c r="AL59" s="6"/>
      <c r="AM59" s="6"/>
      <c r="AN59" s="35"/>
      <c r="AO59" s="6">
        <v>899</v>
      </c>
      <c r="AP59" s="6"/>
      <c r="AQ59" s="34">
        <f t="shared" si="2"/>
        <v>347</v>
      </c>
      <c r="AR59" s="35">
        <v>1257</v>
      </c>
      <c r="AS59" s="35"/>
      <c r="AT59" s="35">
        <f t="shared" si="3"/>
        <v>358</v>
      </c>
      <c r="AU59" s="6">
        <v>46</v>
      </c>
      <c r="AV59" s="6">
        <v>1576</v>
      </c>
      <c r="AW59" s="35">
        <f t="shared" si="4"/>
        <v>365</v>
      </c>
      <c r="AX59" s="6">
        <v>416</v>
      </c>
      <c r="AY59" s="6"/>
      <c r="AZ59" s="35">
        <f t="shared" si="5"/>
        <v>370</v>
      </c>
      <c r="BA59" s="35">
        <v>785</v>
      </c>
      <c r="BB59" s="35"/>
      <c r="BC59" s="35">
        <f t="shared" si="6"/>
        <v>369</v>
      </c>
      <c r="BD59" s="6">
        <v>1137</v>
      </c>
      <c r="BE59" s="6"/>
      <c r="BF59" s="35">
        <f t="shared" si="7"/>
        <v>352</v>
      </c>
      <c r="BG59" s="6"/>
      <c r="BH59" s="6"/>
      <c r="BI59" s="6"/>
      <c r="BJ59" s="6">
        <v>1513</v>
      </c>
      <c r="BK59" s="6"/>
      <c r="BL59" s="6">
        <f t="shared" si="8"/>
        <v>376</v>
      </c>
      <c r="BM59" s="6">
        <v>317</v>
      </c>
      <c r="BN59" s="6">
        <v>1560</v>
      </c>
      <c r="BO59" s="6">
        <f t="shared" si="9"/>
        <v>364</v>
      </c>
      <c r="BP59" s="6">
        <v>685</v>
      </c>
      <c r="BQ59" s="6"/>
      <c r="BR59" s="35">
        <f t="shared" si="10"/>
        <v>368</v>
      </c>
      <c r="BS59" s="6">
        <v>1056</v>
      </c>
      <c r="BT59" s="6"/>
      <c r="BU59" s="6">
        <f t="shared" si="11"/>
        <v>371</v>
      </c>
      <c r="BV59" s="6">
        <v>1433</v>
      </c>
      <c r="BW59" s="6"/>
      <c r="BX59" s="35">
        <f t="shared" si="12"/>
        <v>377</v>
      </c>
      <c r="BY59" s="6">
        <v>207</v>
      </c>
      <c r="BZ59" s="6">
        <v>1560</v>
      </c>
      <c r="CA59" s="6">
        <f t="shared" si="13"/>
        <v>334</v>
      </c>
      <c r="CB59" s="6"/>
      <c r="CC59" s="6"/>
      <c r="CD59" s="6"/>
      <c r="CE59" s="6">
        <v>0</v>
      </c>
      <c r="CF59" s="6">
        <v>569</v>
      </c>
      <c r="CG59" s="6">
        <f t="shared" si="14"/>
        <v>362</v>
      </c>
      <c r="CH59" s="6">
        <v>293</v>
      </c>
      <c r="CI59" s="6"/>
      <c r="CJ59" s="6">
        <f t="shared" si="15"/>
        <v>293</v>
      </c>
      <c r="CK59" s="6">
        <v>622</v>
      </c>
      <c r="CL59" s="6"/>
      <c r="CM59" s="6">
        <f t="shared" si="16"/>
        <v>329</v>
      </c>
      <c r="CN59" s="6">
        <v>955</v>
      </c>
      <c r="CO59" s="6"/>
      <c r="CP59" s="6">
        <f t="shared" si="17"/>
        <v>333</v>
      </c>
      <c r="CQ59" s="6">
        <v>84</v>
      </c>
      <c r="CR59" s="6">
        <v>1200</v>
      </c>
      <c r="CS59" s="6">
        <f t="shared" si="18"/>
        <v>329</v>
      </c>
      <c r="CT59" s="6">
        <v>398</v>
      </c>
      <c r="CU59" s="6"/>
      <c r="CV59" s="6">
        <f t="shared" si="19"/>
        <v>314</v>
      </c>
      <c r="CW59" s="6"/>
      <c r="CX59" s="6"/>
      <c r="CY59" s="6"/>
      <c r="CZ59" s="6">
        <v>728</v>
      </c>
      <c r="DA59" s="6"/>
      <c r="DB59" s="6">
        <f t="shared" si="20"/>
        <v>330</v>
      </c>
      <c r="DC59" s="6">
        <v>1057</v>
      </c>
      <c r="DD59" s="6"/>
      <c r="DE59" s="6">
        <f t="shared" si="21"/>
        <v>329</v>
      </c>
      <c r="DF59" s="6">
        <v>202</v>
      </c>
      <c r="DG59" s="6">
        <v>1200</v>
      </c>
      <c r="DH59" s="6">
        <f t="shared" si="22"/>
        <v>345</v>
      </c>
      <c r="DI59" s="6">
        <v>552</v>
      </c>
      <c r="DJ59" s="6"/>
      <c r="DK59" s="6">
        <f t="shared" si="23"/>
        <v>350</v>
      </c>
      <c r="DL59" s="6">
        <v>900</v>
      </c>
      <c r="DM59" s="6"/>
      <c r="DN59" s="6">
        <f t="shared" si="24"/>
        <v>348</v>
      </c>
      <c r="DO59" s="6">
        <v>9</v>
      </c>
      <c r="DP59" s="6">
        <v>1205</v>
      </c>
      <c r="DQ59" s="6">
        <f t="shared" si="25"/>
        <v>314</v>
      </c>
    </row>
    <row r="60" spans="1:121">
      <c r="A60" s="6">
        <v>56</v>
      </c>
      <c r="B60" s="6">
        <v>1013</v>
      </c>
      <c r="C60" s="6"/>
      <c r="D60" s="6">
        <v>366</v>
      </c>
      <c r="E60" s="33" t="s">
        <v>37</v>
      </c>
      <c r="F60" s="33" t="s">
        <v>37</v>
      </c>
      <c r="G60" s="33" t="s">
        <v>37</v>
      </c>
      <c r="H60" s="33" t="s">
        <v>37</v>
      </c>
      <c r="I60" s="33" t="s">
        <v>37</v>
      </c>
      <c r="J60" s="33" t="s">
        <v>37</v>
      </c>
      <c r="K60" s="33" t="s">
        <v>37</v>
      </c>
      <c r="L60" s="33" t="s">
        <v>37</v>
      </c>
      <c r="M60" s="33" t="s">
        <v>37</v>
      </c>
      <c r="N60" s="148" t="s">
        <v>98</v>
      </c>
      <c r="O60" s="33" t="s">
        <v>98</v>
      </c>
      <c r="P60" s="33" t="s">
        <v>98</v>
      </c>
      <c r="Q60" s="33" t="s">
        <v>98</v>
      </c>
      <c r="R60" s="33" t="s">
        <v>98</v>
      </c>
      <c r="S60" s="33" t="s">
        <v>98</v>
      </c>
      <c r="T60" s="33" t="s">
        <v>98</v>
      </c>
      <c r="U60" s="33" t="s">
        <v>98</v>
      </c>
      <c r="V60" s="33" t="s">
        <v>98</v>
      </c>
      <c r="W60" s="148" t="s">
        <v>130</v>
      </c>
      <c r="X60" s="33" t="s">
        <v>130</v>
      </c>
      <c r="Y60" s="33" t="s">
        <v>130</v>
      </c>
      <c r="Z60" s="33" t="s">
        <v>130</v>
      </c>
      <c r="AA60" s="33" t="s">
        <v>130</v>
      </c>
      <c r="AB60" s="33" t="s">
        <v>130</v>
      </c>
      <c r="AC60" s="33" t="s">
        <v>130</v>
      </c>
      <c r="AD60" s="33" t="s">
        <v>130</v>
      </c>
      <c r="AE60" s="33" t="s">
        <v>130</v>
      </c>
      <c r="AF60" s="35">
        <v>1388</v>
      </c>
      <c r="AG60" s="35"/>
      <c r="AH60" s="35">
        <f t="shared" si="0"/>
        <v>375</v>
      </c>
      <c r="AI60" s="35">
        <v>178</v>
      </c>
      <c r="AJ60" s="35">
        <v>1560</v>
      </c>
      <c r="AK60" s="35">
        <f t="shared" si="1"/>
        <v>350</v>
      </c>
      <c r="AL60" s="6"/>
      <c r="AM60" s="35"/>
      <c r="AN60" s="35"/>
      <c r="AO60" s="6">
        <v>550</v>
      </c>
      <c r="AP60" s="6"/>
      <c r="AQ60" s="34">
        <f t="shared" si="2"/>
        <v>372</v>
      </c>
      <c r="AR60" s="35">
        <v>912</v>
      </c>
      <c r="AS60" s="35"/>
      <c r="AT60" s="35">
        <f t="shared" si="3"/>
        <v>362</v>
      </c>
      <c r="AU60" s="6">
        <v>1271</v>
      </c>
      <c r="AV60" s="6"/>
      <c r="AW60" s="35">
        <f t="shared" si="4"/>
        <v>359</v>
      </c>
      <c r="AX60" s="6">
        <v>73</v>
      </c>
      <c r="AY60" s="6">
        <v>1560</v>
      </c>
      <c r="AZ60" s="35">
        <f t="shared" si="5"/>
        <v>362</v>
      </c>
      <c r="BA60" s="6">
        <v>435</v>
      </c>
      <c r="BB60" s="6"/>
      <c r="BC60" s="35">
        <f t="shared" si="6"/>
        <v>362</v>
      </c>
      <c r="BD60" s="6">
        <v>450</v>
      </c>
      <c r="BE60" s="6"/>
      <c r="BF60" s="35">
        <f t="shared" si="7"/>
        <v>15</v>
      </c>
      <c r="BG60" s="6"/>
      <c r="BH60" s="6"/>
      <c r="BI60" s="35"/>
      <c r="BJ60" s="6">
        <v>297</v>
      </c>
      <c r="BK60" s="35">
        <v>450</v>
      </c>
      <c r="BL60" s="6">
        <f t="shared" si="8"/>
        <v>297</v>
      </c>
      <c r="BM60" s="6">
        <v>634</v>
      </c>
      <c r="BN60" s="6"/>
      <c r="BO60" s="6">
        <f t="shared" si="9"/>
        <v>337</v>
      </c>
      <c r="BP60" s="6">
        <v>972</v>
      </c>
      <c r="BQ60" s="6"/>
      <c r="BR60" s="35">
        <f t="shared" si="10"/>
        <v>338</v>
      </c>
      <c r="BS60" s="6">
        <v>111</v>
      </c>
      <c r="BT60" s="6">
        <v>1200</v>
      </c>
      <c r="BU60" s="6">
        <f t="shared" si="11"/>
        <v>339</v>
      </c>
      <c r="BV60" s="6">
        <v>450</v>
      </c>
      <c r="BW60" s="6"/>
      <c r="BX60" s="35">
        <f t="shared" si="12"/>
        <v>339</v>
      </c>
      <c r="BY60" s="6">
        <v>774</v>
      </c>
      <c r="BZ60" s="35"/>
      <c r="CA60" s="6">
        <f t="shared" si="13"/>
        <v>324</v>
      </c>
      <c r="CB60" s="6"/>
      <c r="CC60" s="6"/>
      <c r="CD60" s="35"/>
      <c r="CE60" s="6">
        <v>1106</v>
      </c>
      <c r="CF60" s="35"/>
      <c r="CG60" s="6">
        <f t="shared" si="14"/>
        <v>332</v>
      </c>
      <c r="CH60" s="6">
        <v>239</v>
      </c>
      <c r="CI60" s="6">
        <v>1200</v>
      </c>
      <c r="CJ60" s="6">
        <f t="shared" si="15"/>
        <v>333</v>
      </c>
      <c r="CK60" s="6">
        <v>561</v>
      </c>
      <c r="CL60" s="6"/>
      <c r="CM60" s="6">
        <f t="shared" si="16"/>
        <v>322</v>
      </c>
      <c r="CN60" s="6">
        <v>251</v>
      </c>
      <c r="CO60" s="6">
        <v>629</v>
      </c>
      <c r="CP60" s="6">
        <f t="shared" si="17"/>
        <v>319</v>
      </c>
      <c r="CQ60" s="6">
        <v>591</v>
      </c>
      <c r="CR60" s="6"/>
      <c r="CS60" s="6">
        <f t="shared" si="18"/>
        <v>340</v>
      </c>
      <c r="CT60" s="6">
        <v>271</v>
      </c>
      <c r="CU60" s="6">
        <v>645</v>
      </c>
      <c r="CV60" s="6">
        <f t="shared" si="19"/>
        <v>325</v>
      </c>
      <c r="CW60" s="6"/>
      <c r="CX60" s="6"/>
      <c r="CY60" s="6"/>
      <c r="CZ60" s="6">
        <v>613</v>
      </c>
      <c r="DA60" s="6"/>
      <c r="DB60" s="6">
        <f t="shared" si="20"/>
        <v>342</v>
      </c>
      <c r="DC60" s="6">
        <v>953</v>
      </c>
      <c r="DD60" s="6"/>
      <c r="DE60" s="6">
        <f t="shared" si="21"/>
        <v>340</v>
      </c>
      <c r="DF60" s="6">
        <v>90</v>
      </c>
      <c r="DG60" s="6">
        <v>1200</v>
      </c>
      <c r="DH60" s="6">
        <f t="shared" si="22"/>
        <v>337</v>
      </c>
      <c r="DI60" s="6">
        <v>432</v>
      </c>
      <c r="DJ60" s="6"/>
      <c r="DK60" s="6">
        <f t="shared" si="23"/>
        <v>342</v>
      </c>
      <c r="DL60" s="6">
        <v>772</v>
      </c>
      <c r="DM60" s="6"/>
      <c r="DN60" s="6">
        <f t="shared" si="24"/>
        <v>340</v>
      </c>
      <c r="DO60" s="6">
        <v>1083</v>
      </c>
      <c r="DP60" s="6"/>
      <c r="DQ60" s="6">
        <f t="shared" si="25"/>
        <v>311</v>
      </c>
    </row>
    <row r="61" spans="1:121" s="51" customFormat="1">
      <c r="A61" s="50">
        <v>57</v>
      </c>
      <c r="B61" s="50">
        <v>1343</v>
      </c>
      <c r="C61" s="50"/>
      <c r="D61" s="6">
        <v>368</v>
      </c>
      <c r="E61" s="33" t="s">
        <v>37</v>
      </c>
      <c r="F61" s="33" t="s">
        <v>37</v>
      </c>
      <c r="G61" s="33" t="s">
        <v>37</v>
      </c>
      <c r="H61" s="33" t="s">
        <v>37</v>
      </c>
      <c r="I61" s="33" t="s">
        <v>37</v>
      </c>
      <c r="J61" s="33" t="s">
        <v>37</v>
      </c>
      <c r="K61" s="33" t="s">
        <v>37</v>
      </c>
      <c r="L61" s="33" t="s">
        <v>37</v>
      </c>
      <c r="M61" s="33" t="s">
        <v>37</v>
      </c>
      <c r="N61" s="33" t="s">
        <v>37</v>
      </c>
      <c r="O61" s="33" t="s">
        <v>37</v>
      </c>
      <c r="P61" s="33" t="s">
        <v>37</v>
      </c>
      <c r="Q61" s="33" t="s">
        <v>37</v>
      </c>
      <c r="R61" s="33" t="s">
        <v>37</v>
      </c>
      <c r="S61" s="33" t="s">
        <v>37</v>
      </c>
      <c r="T61" s="148" t="s">
        <v>130</v>
      </c>
      <c r="U61" s="33" t="s">
        <v>130</v>
      </c>
      <c r="V61" s="33" t="s">
        <v>130</v>
      </c>
      <c r="W61" s="33" t="s">
        <v>130</v>
      </c>
      <c r="X61" s="33" t="s">
        <v>130</v>
      </c>
      <c r="Y61" s="33" t="s">
        <v>130</v>
      </c>
      <c r="Z61" s="33" t="s">
        <v>130</v>
      </c>
      <c r="AA61" s="33" t="s">
        <v>130</v>
      </c>
      <c r="AB61" s="33" t="s">
        <v>130</v>
      </c>
      <c r="AC61" s="33" t="s">
        <v>130</v>
      </c>
      <c r="AD61" s="33" t="s">
        <v>130</v>
      </c>
      <c r="AE61" s="33" t="s">
        <v>130</v>
      </c>
      <c r="AF61" s="50">
        <v>349</v>
      </c>
      <c r="AG61" s="50">
        <v>1364</v>
      </c>
      <c r="AH61" s="35">
        <f t="shared" si="0"/>
        <v>370</v>
      </c>
      <c r="AI61" s="96">
        <v>696</v>
      </c>
      <c r="AJ61" s="96"/>
      <c r="AK61" s="35">
        <f t="shared" si="1"/>
        <v>347</v>
      </c>
      <c r="AL61" s="50"/>
      <c r="AM61" s="50"/>
      <c r="AN61" s="35"/>
      <c r="AO61" s="6">
        <v>1073</v>
      </c>
      <c r="AP61" s="6"/>
      <c r="AQ61" s="34">
        <f t="shared" si="2"/>
        <v>377</v>
      </c>
      <c r="AR61" s="96">
        <v>1442</v>
      </c>
      <c r="AS61" s="96"/>
      <c r="AT61" s="35">
        <f t="shared" si="3"/>
        <v>369</v>
      </c>
      <c r="AU61" s="50">
        <v>252</v>
      </c>
      <c r="AV61" s="50">
        <v>1560</v>
      </c>
      <c r="AW61" s="35">
        <f t="shared" si="4"/>
        <v>370</v>
      </c>
      <c r="AX61" s="50">
        <v>627</v>
      </c>
      <c r="AY61" s="50"/>
      <c r="AZ61" s="35">
        <f t="shared" si="5"/>
        <v>375</v>
      </c>
      <c r="BA61" s="96">
        <v>1002</v>
      </c>
      <c r="BB61" s="96"/>
      <c r="BC61" s="35">
        <f t="shared" si="6"/>
        <v>375</v>
      </c>
      <c r="BD61" s="50">
        <v>15</v>
      </c>
      <c r="BE61" s="50">
        <v>1341</v>
      </c>
      <c r="BF61" s="35">
        <f t="shared" si="7"/>
        <v>354</v>
      </c>
      <c r="BG61" s="50"/>
      <c r="BH61" s="50"/>
      <c r="BI61" s="6"/>
      <c r="BJ61" s="50">
        <v>382</v>
      </c>
      <c r="BK61" s="50"/>
      <c r="BL61" s="6">
        <f t="shared" si="8"/>
        <v>367</v>
      </c>
      <c r="BM61" s="50">
        <v>752</v>
      </c>
      <c r="BN61" s="50"/>
      <c r="BO61" s="6">
        <f t="shared" si="9"/>
        <v>370</v>
      </c>
      <c r="BP61" s="50">
        <v>1130</v>
      </c>
      <c r="BQ61" s="50"/>
      <c r="BR61" s="35">
        <f t="shared" si="10"/>
        <v>378</v>
      </c>
      <c r="BS61" s="50">
        <v>1504</v>
      </c>
      <c r="BT61" s="50"/>
      <c r="BU61" s="6">
        <f t="shared" si="11"/>
        <v>374</v>
      </c>
      <c r="BV61" s="50">
        <v>320</v>
      </c>
      <c r="BW61" s="50">
        <v>1560</v>
      </c>
      <c r="BX61" s="35">
        <f t="shared" si="12"/>
        <v>376</v>
      </c>
      <c r="BY61" s="50">
        <v>0</v>
      </c>
      <c r="BZ61" s="50">
        <v>476</v>
      </c>
      <c r="CA61" s="6">
        <f t="shared" si="13"/>
        <v>156</v>
      </c>
      <c r="CB61" s="50"/>
      <c r="CC61" s="50"/>
      <c r="CD61" s="6"/>
      <c r="CE61" s="50">
        <v>315</v>
      </c>
      <c r="CF61" s="50"/>
      <c r="CG61" s="6">
        <f t="shared" si="14"/>
        <v>315</v>
      </c>
      <c r="CH61" s="50">
        <v>654</v>
      </c>
      <c r="CI61" s="50"/>
      <c r="CJ61" s="6">
        <f t="shared" si="15"/>
        <v>339</v>
      </c>
      <c r="CK61" s="50">
        <v>1001</v>
      </c>
      <c r="CL61" s="50"/>
      <c r="CM61" s="6">
        <f t="shared" si="16"/>
        <v>347</v>
      </c>
      <c r="CN61" s="50">
        <v>135</v>
      </c>
      <c r="CO61" s="50">
        <v>1200</v>
      </c>
      <c r="CP61" s="6">
        <f t="shared" si="17"/>
        <v>334</v>
      </c>
      <c r="CQ61" s="50">
        <v>484</v>
      </c>
      <c r="CR61" s="50"/>
      <c r="CS61" s="6">
        <f t="shared" si="18"/>
        <v>349</v>
      </c>
      <c r="CT61" s="50">
        <v>815</v>
      </c>
      <c r="CU61" s="50"/>
      <c r="CV61" s="6">
        <f t="shared" si="19"/>
        <v>331</v>
      </c>
      <c r="CW61" s="50"/>
      <c r="CX61" s="50"/>
      <c r="CY61" s="6"/>
      <c r="CZ61" s="50">
        <v>1165</v>
      </c>
      <c r="DA61" s="50"/>
      <c r="DB61" s="6">
        <f t="shared" si="20"/>
        <v>350</v>
      </c>
      <c r="DC61" s="50">
        <v>267</v>
      </c>
      <c r="DD61" s="50">
        <v>1245</v>
      </c>
      <c r="DE61" s="6">
        <f t="shared" si="21"/>
        <v>347</v>
      </c>
      <c r="DF61" s="50">
        <v>613</v>
      </c>
      <c r="DG61" s="50"/>
      <c r="DH61" s="6">
        <f t="shared" si="22"/>
        <v>346</v>
      </c>
      <c r="DI61" s="50">
        <v>959</v>
      </c>
      <c r="DJ61" s="50"/>
      <c r="DK61" s="6">
        <f t="shared" si="23"/>
        <v>346</v>
      </c>
      <c r="DL61" s="50">
        <v>89</v>
      </c>
      <c r="DM61" s="50">
        <v>1200</v>
      </c>
      <c r="DN61" s="6">
        <f t="shared" si="24"/>
        <v>330</v>
      </c>
      <c r="DO61" s="50">
        <v>400</v>
      </c>
      <c r="DP61" s="50"/>
      <c r="DQ61" s="6">
        <f t="shared" si="25"/>
        <v>311</v>
      </c>
    </row>
    <row r="62" spans="1:121">
      <c r="A62" s="6">
        <v>58</v>
      </c>
      <c r="B62" s="6">
        <v>263</v>
      </c>
      <c r="C62" s="6">
        <v>854</v>
      </c>
      <c r="D62" s="6">
        <v>354</v>
      </c>
      <c r="E62" s="33" t="s">
        <v>37</v>
      </c>
      <c r="F62" s="33" t="s">
        <v>37</v>
      </c>
      <c r="G62" s="33" t="s">
        <v>37</v>
      </c>
      <c r="H62" s="33" t="s">
        <v>37</v>
      </c>
      <c r="I62" s="33" t="s">
        <v>37</v>
      </c>
      <c r="J62" s="33" t="s">
        <v>37</v>
      </c>
      <c r="K62" s="33" t="s">
        <v>37</v>
      </c>
      <c r="L62" s="33" t="s">
        <v>37</v>
      </c>
      <c r="M62" s="33" t="s">
        <v>37</v>
      </c>
      <c r="N62" s="148" t="s">
        <v>98</v>
      </c>
      <c r="O62" s="33" t="s">
        <v>98</v>
      </c>
      <c r="P62" s="33" t="s">
        <v>98</v>
      </c>
      <c r="Q62" s="33" t="s">
        <v>98</v>
      </c>
      <c r="R62" s="33" t="s">
        <v>98</v>
      </c>
      <c r="S62" s="33" t="s">
        <v>98</v>
      </c>
      <c r="T62" s="33" t="s">
        <v>98</v>
      </c>
      <c r="U62" s="33" t="s">
        <v>98</v>
      </c>
      <c r="V62" s="33" t="s">
        <v>98</v>
      </c>
      <c r="W62" s="33" t="s">
        <v>98</v>
      </c>
      <c r="X62" s="33" t="s">
        <v>98</v>
      </c>
      <c r="Y62" s="33" t="s">
        <v>98</v>
      </c>
      <c r="Z62" s="148" t="s">
        <v>130</v>
      </c>
      <c r="AA62" s="33" t="s">
        <v>130</v>
      </c>
      <c r="AB62" s="33" t="s">
        <v>130</v>
      </c>
      <c r="AC62" s="33" t="s">
        <v>130</v>
      </c>
      <c r="AD62" s="33" t="s">
        <v>130</v>
      </c>
      <c r="AE62" s="33" t="s">
        <v>130</v>
      </c>
      <c r="AF62" s="35">
        <v>636</v>
      </c>
      <c r="AG62" s="35"/>
      <c r="AH62" s="35">
        <f t="shared" si="0"/>
        <v>373</v>
      </c>
      <c r="AI62" s="35">
        <v>998</v>
      </c>
      <c r="AJ62" s="35"/>
      <c r="AK62" s="35">
        <f t="shared" si="1"/>
        <v>362</v>
      </c>
      <c r="AL62" s="6"/>
      <c r="AM62" s="35"/>
      <c r="AN62" s="35"/>
      <c r="AO62" s="6">
        <v>1374</v>
      </c>
      <c r="AP62" s="6"/>
      <c r="AQ62" s="34">
        <f t="shared" si="2"/>
        <v>376</v>
      </c>
      <c r="AR62" s="35">
        <v>173</v>
      </c>
      <c r="AS62" s="35">
        <v>1560</v>
      </c>
      <c r="AT62" s="35">
        <f t="shared" si="3"/>
        <v>359</v>
      </c>
      <c r="AU62" s="6">
        <v>532</v>
      </c>
      <c r="AV62" s="6"/>
      <c r="AW62" s="35">
        <f t="shared" si="4"/>
        <v>359</v>
      </c>
      <c r="AX62" s="6">
        <v>895</v>
      </c>
      <c r="AY62" s="6"/>
      <c r="AZ62" s="35">
        <f t="shared" si="5"/>
        <v>363</v>
      </c>
      <c r="BA62" s="6">
        <v>1256</v>
      </c>
      <c r="BB62" s="6"/>
      <c r="BC62" s="35">
        <f t="shared" si="6"/>
        <v>361</v>
      </c>
      <c r="BD62" s="6">
        <v>1272</v>
      </c>
      <c r="BE62" s="6"/>
      <c r="BF62" s="35">
        <f t="shared" si="7"/>
        <v>16</v>
      </c>
      <c r="BG62" s="6"/>
      <c r="BH62" s="6"/>
      <c r="BI62" s="35"/>
      <c r="BJ62" s="6">
        <v>288</v>
      </c>
      <c r="BK62" s="35">
        <v>1272</v>
      </c>
      <c r="BL62" s="6">
        <f t="shared" si="8"/>
        <v>288</v>
      </c>
      <c r="BM62" s="6">
        <v>636</v>
      </c>
      <c r="BN62" s="6"/>
      <c r="BO62" s="6">
        <f t="shared" si="9"/>
        <v>348</v>
      </c>
      <c r="BP62" s="6">
        <v>988</v>
      </c>
      <c r="BQ62" s="6"/>
      <c r="BR62" s="35">
        <f t="shared" si="10"/>
        <v>352</v>
      </c>
      <c r="BS62" s="6">
        <v>137</v>
      </c>
      <c r="BT62" s="6">
        <v>1200</v>
      </c>
      <c r="BU62" s="6">
        <f t="shared" si="11"/>
        <v>349</v>
      </c>
      <c r="BV62" s="6">
        <v>487</v>
      </c>
      <c r="BW62" s="6"/>
      <c r="BX62" s="35">
        <f t="shared" si="12"/>
        <v>350</v>
      </c>
      <c r="BY62" s="6">
        <v>804</v>
      </c>
      <c r="BZ62" s="35"/>
      <c r="CA62" s="6">
        <f t="shared" si="13"/>
        <v>317</v>
      </c>
      <c r="CB62" s="6"/>
      <c r="CC62" s="6"/>
      <c r="CD62" s="35"/>
      <c r="CE62" s="6">
        <v>1144</v>
      </c>
      <c r="CF62" s="35"/>
      <c r="CG62" s="6">
        <f t="shared" si="14"/>
        <v>340</v>
      </c>
      <c r="CH62" s="6">
        <v>294</v>
      </c>
      <c r="CI62" s="6">
        <v>1200</v>
      </c>
      <c r="CJ62" s="6">
        <f t="shared" si="15"/>
        <v>350</v>
      </c>
      <c r="CK62" s="6">
        <v>641</v>
      </c>
      <c r="CL62" s="6"/>
      <c r="CM62" s="6">
        <f t="shared" si="16"/>
        <v>347</v>
      </c>
      <c r="CN62" s="6">
        <v>990</v>
      </c>
      <c r="CO62" s="6"/>
      <c r="CP62" s="6">
        <f t="shared" si="17"/>
        <v>349</v>
      </c>
      <c r="CQ62" s="6">
        <v>154</v>
      </c>
      <c r="CR62" s="6">
        <v>1185</v>
      </c>
      <c r="CS62" s="6">
        <f t="shared" si="18"/>
        <v>349</v>
      </c>
      <c r="CT62" s="6">
        <v>487</v>
      </c>
      <c r="CU62" s="6"/>
      <c r="CV62" s="6">
        <f t="shared" si="19"/>
        <v>333</v>
      </c>
      <c r="CW62" s="6"/>
      <c r="CX62" s="6"/>
      <c r="CY62" s="6"/>
      <c r="CZ62" s="6">
        <v>245</v>
      </c>
      <c r="DA62" s="6">
        <v>526</v>
      </c>
      <c r="DB62" s="6">
        <f t="shared" si="20"/>
        <v>284</v>
      </c>
      <c r="DC62" s="6">
        <v>591</v>
      </c>
      <c r="DD62" s="6"/>
      <c r="DE62" s="6">
        <f t="shared" si="21"/>
        <v>346</v>
      </c>
      <c r="DF62" s="6">
        <v>940</v>
      </c>
      <c r="DG62" s="6"/>
      <c r="DH62" s="6">
        <f t="shared" si="22"/>
        <v>349</v>
      </c>
      <c r="DI62" s="6">
        <v>87</v>
      </c>
      <c r="DJ62" s="6">
        <v>1200</v>
      </c>
      <c r="DK62" s="6">
        <f t="shared" si="23"/>
        <v>347</v>
      </c>
      <c r="DL62" s="6">
        <v>435</v>
      </c>
      <c r="DM62" s="6"/>
      <c r="DN62" s="6">
        <f t="shared" si="24"/>
        <v>348</v>
      </c>
      <c r="DO62" s="6">
        <v>754</v>
      </c>
      <c r="DP62" s="6"/>
      <c r="DQ62" s="6">
        <f t="shared" si="25"/>
        <v>319</v>
      </c>
    </row>
    <row r="63" spans="1:121">
      <c r="A63" s="6">
        <v>59</v>
      </c>
      <c r="B63" s="6">
        <v>642</v>
      </c>
      <c r="C63" s="6"/>
      <c r="D63" s="6">
        <v>358</v>
      </c>
      <c r="E63" s="33" t="s">
        <v>37</v>
      </c>
      <c r="F63" s="33" t="s">
        <v>37</v>
      </c>
      <c r="G63" s="33" t="s">
        <v>37</v>
      </c>
      <c r="H63" s="33" t="s">
        <v>37</v>
      </c>
      <c r="I63" s="33" t="s">
        <v>37</v>
      </c>
      <c r="J63" s="33" t="s">
        <v>37</v>
      </c>
      <c r="K63" s="33" t="s">
        <v>37</v>
      </c>
      <c r="L63" s="33" t="s">
        <v>37</v>
      </c>
      <c r="M63" s="33" t="s">
        <v>37</v>
      </c>
      <c r="N63" s="33" t="s">
        <v>37</v>
      </c>
      <c r="O63" s="148" t="s">
        <v>98</v>
      </c>
      <c r="P63" s="33" t="s">
        <v>98</v>
      </c>
      <c r="Q63" s="33" t="s">
        <v>98</v>
      </c>
      <c r="R63" s="33" t="s">
        <v>98</v>
      </c>
      <c r="S63" s="33" t="s">
        <v>98</v>
      </c>
      <c r="T63" s="33" t="s">
        <v>98</v>
      </c>
      <c r="U63" s="33" t="s">
        <v>98</v>
      </c>
      <c r="V63" s="33" t="s">
        <v>98</v>
      </c>
      <c r="W63" s="33" t="s">
        <v>98</v>
      </c>
      <c r="X63" s="33" t="s">
        <v>98</v>
      </c>
      <c r="Y63" s="148" t="s">
        <v>130</v>
      </c>
      <c r="Z63" s="33" t="s">
        <v>130</v>
      </c>
      <c r="AA63" s="33" t="s">
        <v>130</v>
      </c>
      <c r="AB63" s="33" t="s">
        <v>130</v>
      </c>
      <c r="AC63" s="33" t="s">
        <v>130</v>
      </c>
      <c r="AD63" s="33" t="s">
        <v>130</v>
      </c>
      <c r="AE63" s="33" t="s">
        <v>130</v>
      </c>
      <c r="AF63" s="35">
        <v>1009</v>
      </c>
      <c r="AG63" s="35"/>
      <c r="AH63" s="35">
        <f t="shared" si="0"/>
        <v>367</v>
      </c>
      <c r="AI63" s="35">
        <v>18</v>
      </c>
      <c r="AJ63" s="35">
        <v>1350</v>
      </c>
      <c r="AK63" s="35">
        <f t="shared" si="1"/>
        <v>359</v>
      </c>
      <c r="AL63" s="35"/>
      <c r="AM63" s="35"/>
      <c r="AN63" s="35"/>
      <c r="AO63" s="6">
        <v>391</v>
      </c>
      <c r="AP63" s="6"/>
      <c r="AQ63" s="34">
        <f t="shared" si="2"/>
        <v>373</v>
      </c>
      <c r="AR63" s="35">
        <v>770</v>
      </c>
      <c r="AS63" s="35"/>
      <c r="AT63" s="35">
        <f t="shared" si="3"/>
        <v>379</v>
      </c>
      <c r="AU63" s="6">
        <v>1132</v>
      </c>
      <c r="AV63" s="6"/>
      <c r="AW63" s="35">
        <f t="shared" si="4"/>
        <v>362</v>
      </c>
      <c r="AX63" s="6">
        <v>1505</v>
      </c>
      <c r="AY63" s="6"/>
      <c r="AZ63" s="35">
        <f t="shared" si="5"/>
        <v>373</v>
      </c>
      <c r="BA63" s="6">
        <v>344</v>
      </c>
      <c r="BB63" s="6">
        <v>1525</v>
      </c>
      <c r="BC63" s="35">
        <f t="shared" si="6"/>
        <v>364</v>
      </c>
      <c r="BD63" s="6">
        <v>704</v>
      </c>
      <c r="BE63" s="6"/>
      <c r="BF63" s="35">
        <f t="shared" si="7"/>
        <v>360</v>
      </c>
      <c r="BG63" s="6"/>
      <c r="BH63" s="6"/>
      <c r="BI63" s="35"/>
      <c r="BJ63" s="6">
        <v>1080</v>
      </c>
      <c r="BK63" s="35"/>
      <c r="BL63" s="6">
        <f t="shared" si="8"/>
        <v>376</v>
      </c>
      <c r="BM63" s="6">
        <v>288</v>
      </c>
      <c r="BN63" s="6">
        <v>1083</v>
      </c>
      <c r="BO63" s="6">
        <f t="shared" si="9"/>
        <v>291</v>
      </c>
      <c r="BP63" s="6">
        <v>633</v>
      </c>
      <c r="BQ63" s="6"/>
      <c r="BR63" s="35">
        <f t="shared" si="10"/>
        <v>345</v>
      </c>
      <c r="BS63" s="6">
        <v>977</v>
      </c>
      <c r="BT63" s="6"/>
      <c r="BU63" s="6">
        <f t="shared" si="11"/>
        <v>344</v>
      </c>
      <c r="BV63" s="6">
        <v>47</v>
      </c>
      <c r="BW63" s="6">
        <v>1270</v>
      </c>
      <c r="BX63" s="35">
        <f t="shared" si="12"/>
        <v>340</v>
      </c>
      <c r="BY63" s="6">
        <v>377</v>
      </c>
      <c r="BZ63" s="35"/>
      <c r="CA63" s="6">
        <f t="shared" si="13"/>
        <v>330</v>
      </c>
      <c r="CB63" s="6"/>
      <c r="CC63" s="6"/>
      <c r="CD63" s="35"/>
      <c r="CE63" s="6">
        <v>343</v>
      </c>
      <c r="CF63" s="35">
        <v>379</v>
      </c>
      <c r="CG63" s="6">
        <f t="shared" si="14"/>
        <v>345</v>
      </c>
      <c r="CH63" s="6">
        <v>693</v>
      </c>
      <c r="CI63" s="6"/>
      <c r="CJ63" s="6">
        <f t="shared" si="15"/>
        <v>350</v>
      </c>
      <c r="CK63" s="6">
        <v>1040</v>
      </c>
      <c r="CL63" s="6"/>
      <c r="CM63" s="6">
        <f t="shared" si="16"/>
        <v>347</v>
      </c>
      <c r="CN63" s="6">
        <v>0</v>
      </c>
      <c r="CO63" s="6">
        <v>1243</v>
      </c>
      <c r="CP63" s="6">
        <f t="shared" si="17"/>
        <v>203</v>
      </c>
      <c r="CQ63" s="6">
        <v>0</v>
      </c>
      <c r="CR63" s="6"/>
      <c r="CS63" s="6">
        <f t="shared" si="18"/>
        <v>0</v>
      </c>
      <c r="CT63" s="6">
        <v>298</v>
      </c>
      <c r="CU63" s="6"/>
      <c r="CV63" s="6">
        <f t="shared" si="19"/>
        <v>298</v>
      </c>
      <c r="CW63" s="6"/>
      <c r="CX63" s="6"/>
      <c r="CY63" s="6"/>
      <c r="CZ63" s="6">
        <v>645</v>
      </c>
      <c r="DA63" s="6"/>
      <c r="DB63" s="6">
        <f t="shared" si="20"/>
        <v>347</v>
      </c>
      <c r="DC63" s="6">
        <v>988</v>
      </c>
      <c r="DD63" s="6"/>
      <c r="DE63" s="6">
        <f t="shared" si="21"/>
        <v>343</v>
      </c>
      <c r="DF63" s="6">
        <v>134</v>
      </c>
      <c r="DG63" s="6">
        <v>1200</v>
      </c>
      <c r="DH63" s="6">
        <f t="shared" si="22"/>
        <v>346</v>
      </c>
      <c r="DI63" s="6">
        <v>477</v>
      </c>
      <c r="DJ63" s="6"/>
      <c r="DK63" s="6">
        <f t="shared" si="23"/>
        <v>343</v>
      </c>
      <c r="DL63" s="4">
        <v>820</v>
      </c>
      <c r="DM63" s="6"/>
      <c r="DN63" s="6">
        <f t="shared" si="24"/>
        <v>343</v>
      </c>
      <c r="DO63" s="6">
        <v>1137</v>
      </c>
      <c r="DP63" s="6"/>
      <c r="DQ63" s="6">
        <f t="shared" si="25"/>
        <v>317</v>
      </c>
    </row>
    <row r="64" spans="1:121">
      <c r="A64" s="6">
        <v>60</v>
      </c>
      <c r="B64" s="6">
        <v>275</v>
      </c>
      <c r="C64" s="8">
        <v>1560</v>
      </c>
      <c r="D64" s="8">
        <v>356</v>
      </c>
      <c r="E64" s="33" t="s">
        <v>69</v>
      </c>
      <c r="F64" s="33" t="s">
        <v>69</v>
      </c>
      <c r="G64" s="33" t="s">
        <v>69</v>
      </c>
      <c r="H64" s="33" t="s">
        <v>69</v>
      </c>
      <c r="I64" s="33" t="s">
        <v>69</v>
      </c>
      <c r="J64" s="33" t="s">
        <v>69</v>
      </c>
      <c r="K64" s="33" t="s">
        <v>69</v>
      </c>
      <c r="L64" s="33" t="s">
        <v>69</v>
      </c>
      <c r="M64" s="33" t="s">
        <v>69</v>
      </c>
      <c r="N64" s="33" t="s">
        <v>69</v>
      </c>
      <c r="O64" s="33" t="s">
        <v>69</v>
      </c>
      <c r="P64" s="33" t="s">
        <v>69</v>
      </c>
      <c r="Q64" s="33" t="s">
        <v>69</v>
      </c>
      <c r="R64" s="33" t="s">
        <v>69</v>
      </c>
      <c r="S64" s="33" t="s">
        <v>69</v>
      </c>
      <c r="T64" s="33" t="s">
        <v>69</v>
      </c>
      <c r="U64" s="33" t="s">
        <v>69</v>
      </c>
      <c r="V64" s="33" t="s">
        <v>69</v>
      </c>
      <c r="W64" s="148" t="s">
        <v>37</v>
      </c>
      <c r="X64" s="33" t="s">
        <v>37</v>
      </c>
      <c r="Y64" s="33" t="s">
        <v>37</v>
      </c>
      <c r="Z64" s="33" t="s">
        <v>37</v>
      </c>
      <c r="AA64" s="33" t="s">
        <v>37</v>
      </c>
      <c r="AB64" s="148" t="s">
        <v>130</v>
      </c>
      <c r="AC64" s="33" t="s">
        <v>130</v>
      </c>
      <c r="AD64" s="33" t="s">
        <v>130</v>
      </c>
      <c r="AE64" s="33" t="s">
        <v>130</v>
      </c>
      <c r="AF64" s="6">
        <v>653</v>
      </c>
      <c r="AG64" s="6"/>
      <c r="AH64" s="35">
        <f t="shared" si="0"/>
        <v>378</v>
      </c>
      <c r="AI64" s="35">
        <v>1013</v>
      </c>
      <c r="AJ64" s="35"/>
      <c r="AK64" s="35">
        <f t="shared" si="1"/>
        <v>360</v>
      </c>
      <c r="AL64" s="6"/>
      <c r="AM64" s="6"/>
      <c r="AN64" s="35"/>
      <c r="AO64" s="6">
        <v>1387</v>
      </c>
      <c r="AP64" s="6"/>
      <c r="AQ64" s="34">
        <f t="shared" si="2"/>
        <v>374</v>
      </c>
      <c r="AR64" s="35">
        <v>189</v>
      </c>
      <c r="AS64" s="35">
        <v>1560</v>
      </c>
      <c r="AT64" s="35">
        <f t="shared" si="3"/>
        <v>362</v>
      </c>
      <c r="AU64" s="6">
        <v>555</v>
      </c>
      <c r="AV64" s="6"/>
      <c r="AW64" s="35">
        <f t="shared" si="4"/>
        <v>366</v>
      </c>
      <c r="AX64" s="6">
        <v>930</v>
      </c>
      <c r="AY64" s="6"/>
      <c r="AZ64" s="35">
        <f t="shared" si="5"/>
        <v>375</v>
      </c>
      <c r="BA64" s="35">
        <v>1302</v>
      </c>
      <c r="BB64" s="35"/>
      <c r="BC64" s="35">
        <f t="shared" si="6"/>
        <v>372</v>
      </c>
      <c r="BD64" s="6">
        <v>104</v>
      </c>
      <c r="BE64" s="6">
        <v>1560</v>
      </c>
      <c r="BF64" s="35">
        <f t="shared" si="7"/>
        <v>362</v>
      </c>
      <c r="BG64" s="6"/>
      <c r="BH64" s="6"/>
      <c r="BI64" s="6"/>
      <c r="BJ64" s="6">
        <v>481</v>
      </c>
      <c r="BK64" s="6"/>
      <c r="BL64" s="6">
        <f t="shared" si="8"/>
        <v>377</v>
      </c>
      <c r="BM64" s="6">
        <v>852</v>
      </c>
      <c r="BN64" s="6"/>
      <c r="BO64" s="6">
        <f t="shared" si="9"/>
        <v>371</v>
      </c>
      <c r="BP64" s="6">
        <v>1229</v>
      </c>
      <c r="BQ64" s="6"/>
      <c r="BR64" s="35">
        <f t="shared" si="10"/>
        <v>377</v>
      </c>
      <c r="BS64" s="6">
        <v>44</v>
      </c>
      <c r="BT64" s="6">
        <v>1560</v>
      </c>
      <c r="BU64" s="6">
        <f t="shared" si="11"/>
        <v>375</v>
      </c>
      <c r="BV64" s="6">
        <f>319+98</f>
        <v>417</v>
      </c>
      <c r="BW64" s="6"/>
      <c r="BX64" s="35">
        <f t="shared" si="12"/>
        <v>373</v>
      </c>
      <c r="BY64" s="6">
        <f>675+98</f>
        <v>773</v>
      </c>
      <c r="BZ64" s="6"/>
      <c r="CA64" s="6">
        <f t="shared" si="13"/>
        <v>356</v>
      </c>
      <c r="CB64" s="6"/>
      <c r="CC64" s="6"/>
      <c r="CD64" s="6"/>
      <c r="CE64" s="6">
        <f>1045+98</f>
        <v>1143</v>
      </c>
      <c r="CF64" s="6"/>
      <c r="CG64" s="6">
        <f t="shared" si="14"/>
        <v>370</v>
      </c>
      <c r="CH64" s="6">
        <f>1428+98</f>
        <v>1526</v>
      </c>
      <c r="CI64" s="6"/>
      <c r="CJ64" s="6">
        <f t="shared" si="15"/>
        <v>383</v>
      </c>
      <c r="CK64" s="6">
        <f>1787+98</f>
        <v>1885</v>
      </c>
      <c r="CL64" s="6"/>
      <c r="CM64" s="6">
        <f t="shared" si="16"/>
        <v>359</v>
      </c>
      <c r="CN64" s="6">
        <v>5</v>
      </c>
      <c r="CO64" s="6">
        <v>1910</v>
      </c>
      <c r="CP64" s="6">
        <f t="shared" si="17"/>
        <v>30</v>
      </c>
      <c r="CQ64" s="6">
        <v>375</v>
      </c>
      <c r="CR64" s="6"/>
      <c r="CS64" s="6">
        <f t="shared" si="18"/>
        <v>370</v>
      </c>
      <c r="CT64" s="6">
        <v>732</v>
      </c>
      <c r="CU64" s="6"/>
      <c r="CV64" s="6">
        <f t="shared" si="19"/>
        <v>357</v>
      </c>
      <c r="CW64" s="6"/>
      <c r="CX64" s="6"/>
      <c r="CY64" s="6"/>
      <c r="CZ64" s="6">
        <v>1092</v>
      </c>
      <c r="DA64" s="6"/>
      <c r="DB64" s="6">
        <f t="shared" si="20"/>
        <v>360</v>
      </c>
      <c r="DC64" s="6">
        <v>0</v>
      </c>
      <c r="DD64" s="6">
        <v>1167</v>
      </c>
      <c r="DE64" s="6">
        <f t="shared" si="21"/>
        <v>75</v>
      </c>
      <c r="DF64" s="6">
        <v>251</v>
      </c>
      <c r="DG64" s="6"/>
      <c r="DH64" s="6">
        <f t="shared" si="22"/>
        <v>251</v>
      </c>
      <c r="DI64" s="6">
        <v>598</v>
      </c>
      <c r="DJ64" s="6"/>
      <c r="DK64" s="6">
        <f t="shared" si="23"/>
        <v>347</v>
      </c>
      <c r="DL64" s="6">
        <v>946</v>
      </c>
      <c r="DM64" s="6"/>
      <c r="DN64" s="6">
        <f t="shared" si="24"/>
        <v>348</v>
      </c>
      <c r="DO64" s="6">
        <v>53</v>
      </c>
      <c r="DP64" s="6">
        <v>1210</v>
      </c>
      <c r="DQ64" s="6">
        <f t="shared" si="25"/>
        <v>317</v>
      </c>
    </row>
    <row r="65" spans="1:121">
      <c r="A65" s="6">
        <v>61</v>
      </c>
      <c r="B65" s="6">
        <v>1118</v>
      </c>
      <c r="C65" s="6"/>
      <c r="D65" s="6">
        <v>362</v>
      </c>
      <c r="E65" s="33" t="s">
        <v>37</v>
      </c>
      <c r="F65" s="33" t="s">
        <v>37</v>
      </c>
      <c r="G65" s="33" t="s">
        <v>37</v>
      </c>
      <c r="H65" s="33" t="s">
        <v>37</v>
      </c>
      <c r="I65" s="33" t="s">
        <v>37</v>
      </c>
      <c r="J65" s="33" t="s">
        <v>37</v>
      </c>
      <c r="K65" s="33" t="s">
        <v>37</v>
      </c>
      <c r="L65" s="33" t="s">
        <v>37</v>
      </c>
      <c r="M65" s="33" t="s">
        <v>37</v>
      </c>
      <c r="N65" s="33" t="s">
        <v>37</v>
      </c>
      <c r="O65" s="33" t="s">
        <v>37</v>
      </c>
      <c r="P65" s="33" t="s">
        <v>37</v>
      </c>
      <c r="Q65" s="33" t="s">
        <v>37</v>
      </c>
      <c r="R65" s="33" t="s">
        <v>37</v>
      </c>
      <c r="S65" s="33" t="s">
        <v>37</v>
      </c>
      <c r="T65" s="148" t="s">
        <v>130</v>
      </c>
      <c r="U65" s="33" t="s">
        <v>130</v>
      </c>
      <c r="V65" s="33" t="s">
        <v>130</v>
      </c>
      <c r="W65" s="33" t="s">
        <v>130</v>
      </c>
      <c r="X65" s="33" t="s">
        <v>130</v>
      </c>
      <c r="Y65" s="33" t="s">
        <v>130</v>
      </c>
      <c r="Z65" s="33" t="s">
        <v>130</v>
      </c>
      <c r="AA65" s="33" t="s">
        <v>130</v>
      </c>
      <c r="AB65" s="33" t="s">
        <v>130</v>
      </c>
      <c r="AC65" s="33" t="s">
        <v>130</v>
      </c>
      <c r="AD65" s="33" t="s">
        <v>130</v>
      </c>
      <c r="AE65" s="33" t="s">
        <v>130</v>
      </c>
      <c r="AF65" s="6">
        <v>1498</v>
      </c>
      <c r="AG65" s="6"/>
      <c r="AH65" s="35">
        <f t="shared" si="0"/>
        <v>380</v>
      </c>
      <c r="AI65" s="35">
        <v>292</v>
      </c>
      <c r="AJ65" s="35">
        <v>1560</v>
      </c>
      <c r="AK65" s="35">
        <f t="shared" si="1"/>
        <v>354</v>
      </c>
      <c r="AL65" s="6"/>
      <c r="AM65" s="6"/>
      <c r="AN65" s="35"/>
      <c r="AO65" s="6">
        <v>672</v>
      </c>
      <c r="AP65" s="6"/>
      <c r="AQ65" s="34">
        <f t="shared" si="2"/>
        <v>380</v>
      </c>
      <c r="AR65" s="35">
        <v>1050</v>
      </c>
      <c r="AS65" s="35"/>
      <c r="AT65" s="35">
        <f t="shared" si="3"/>
        <v>378</v>
      </c>
      <c r="AU65" s="6">
        <v>1425</v>
      </c>
      <c r="AV65" s="6"/>
      <c r="AW65" s="35">
        <f t="shared" si="4"/>
        <v>375</v>
      </c>
      <c r="AX65" s="6">
        <v>243</v>
      </c>
      <c r="AY65" s="6">
        <v>1560</v>
      </c>
      <c r="AZ65" s="35">
        <f t="shared" si="5"/>
        <v>378</v>
      </c>
      <c r="BA65" s="35">
        <v>620</v>
      </c>
      <c r="BB65" s="35"/>
      <c r="BC65" s="35">
        <f t="shared" si="6"/>
        <v>377</v>
      </c>
      <c r="BD65" s="6">
        <v>986</v>
      </c>
      <c r="BE65" s="6"/>
      <c r="BF65" s="35">
        <f t="shared" si="7"/>
        <v>366</v>
      </c>
      <c r="BG65" s="6"/>
      <c r="BH65" s="6"/>
      <c r="BI65" s="6"/>
      <c r="BJ65" s="6">
        <v>1365</v>
      </c>
      <c r="BK65" s="6"/>
      <c r="BL65" s="6">
        <f t="shared" si="8"/>
        <v>379</v>
      </c>
      <c r="BM65" s="6">
        <v>180</v>
      </c>
      <c r="BN65" s="6">
        <v>1560</v>
      </c>
      <c r="BO65" s="6">
        <f t="shared" si="9"/>
        <v>375</v>
      </c>
      <c r="BP65" s="6">
        <v>560</v>
      </c>
      <c r="BQ65" s="6"/>
      <c r="BR65" s="35">
        <f t="shared" si="10"/>
        <v>380</v>
      </c>
      <c r="BS65" s="6">
        <v>938</v>
      </c>
      <c r="BT65" s="6"/>
      <c r="BU65" s="6">
        <f t="shared" si="11"/>
        <v>378</v>
      </c>
      <c r="BV65" s="6">
        <v>1315</v>
      </c>
      <c r="BW65" s="6"/>
      <c r="BX65" s="35">
        <f t="shared" si="12"/>
        <v>377</v>
      </c>
      <c r="BY65" s="6">
        <v>0</v>
      </c>
      <c r="BZ65" s="6">
        <v>1611</v>
      </c>
      <c r="CA65" s="6">
        <f t="shared" si="13"/>
        <v>296</v>
      </c>
      <c r="CB65" s="6"/>
      <c r="CC65" s="6"/>
      <c r="CD65" s="6"/>
      <c r="CE65" s="6">
        <v>80</v>
      </c>
      <c r="CF65" s="6">
        <v>188</v>
      </c>
      <c r="CG65" s="6">
        <f t="shared" si="14"/>
        <v>268</v>
      </c>
      <c r="CH65" s="6">
        <v>425</v>
      </c>
      <c r="CI65" s="6"/>
      <c r="CJ65" s="6">
        <f t="shared" si="15"/>
        <v>345</v>
      </c>
      <c r="CK65" s="6">
        <v>754</v>
      </c>
      <c r="CL65" s="6"/>
      <c r="CM65" s="6">
        <f t="shared" si="16"/>
        <v>329</v>
      </c>
      <c r="CN65" s="6">
        <v>1104</v>
      </c>
      <c r="CO65" s="6"/>
      <c r="CP65" s="6">
        <f t="shared" si="17"/>
        <v>350</v>
      </c>
      <c r="CQ65" s="6">
        <v>252</v>
      </c>
      <c r="CR65" s="6">
        <v>1200</v>
      </c>
      <c r="CS65" s="6">
        <f t="shared" si="18"/>
        <v>348</v>
      </c>
      <c r="CT65" s="6">
        <v>575</v>
      </c>
      <c r="CU65" s="6"/>
      <c r="CV65" s="6">
        <f t="shared" si="19"/>
        <v>323</v>
      </c>
      <c r="CW65" s="6"/>
      <c r="CX65" s="6"/>
      <c r="CY65" s="6"/>
      <c r="CZ65" s="6">
        <v>912</v>
      </c>
      <c r="DA65" s="6"/>
      <c r="DB65" s="6">
        <f t="shared" si="20"/>
        <v>337</v>
      </c>
      <c r="DC65" s="6">
        <v>123</v>
      </c>
      <c r="DD65" s="6">
        <v>1131</v>
      </c>
      <c r="DE65" s="6">
        <f t="shared" si="21"/>
        <v>342</v>
      </c>
      <c r="DF65" s="6">
        <v>148</v>
      </c>
      <c r="DG65" s="6">
        <v>260</v>
      </c>
      <c r="DH65" s="6">
        <f t="shared" si="22"/>
        <v>285</v>
      </c>
      <c r="DI65" s="6">
        <v>483</v>
      </c>
      <c r="DJ65" s="6"/>
      <c r="DK65" s="6">
        <f t="shared" si="23"/>
        <v>335</v>
      </c>
      <c r="DL65" s="6">
        <v>828</v>
      </c>
      <c r="DM65" s="6"/>
      <c r="DN65" s="6">
        <f t="shared" si="24"/>
        <v>345</v>
      </c>
      <c r="DO65" s="6">
        <v>1135</v>
      </c>
      <c r="DP65" s="6"/>
      <c r="DQ65" s="6">
        <f t="shared" si="25"/>
        <v>307</v>
      </c>
    </row>
    <row r="66" spans="1:121">
      <c r="A66" s="6">
        <v>62</v>
      </c>
      <c r="B66" s="6">
        <v>672</v>
      </c>
      <c r="C66" s="6"/>
      <c r="D66" s="6">
        <v>368</v>
      </c>
      <c r="E66" s="33" t="s">
        <v>37</v>
      </c>
      <c r="F66" s="33" t="s">
        <v>37</v>
      </c>
      <c r="G66" s="33" t="s">
        <v>37</v>
      </c>
      <c r="H66" s="33" t="s">
        <v>37</v>
      </c>
      <c r="I66" s="33" t="s">
        <v>37</v>
      </c>
      <c r="J66" s="33" t="s">
        <v>37</v>
      </c>
      <c r="K66" s="33" t="s">
        <v>37</v>
      </c>
      <c r="L66" s="33" t="s">
        <v>37</v>
      </c>
      <c r="M66" s="33" t="s">
        <v>37</v>
      </c>
      <c r="N66" s="33" t="s">
        <v>37</v>
      </c>
      <c r="O66" s="148" t="s">
        <v>98</v>
      </c>
      <c r="P66" s="33" t="s">
        <v>98</v>
      </c>
      <c r="Q66" s="33" t="s">
        <v>98</v>
      </c>
      <c r="R66" s="33" t="s">
        <v>98</v>
      </c>
      <c r="S66" s="33" t="s">
        <v>98</v>
      </c>
      <c r="T66" s="33" t="s">
        <v>98</v>
      </c>
      <c r="U66" s="33" t="s">
        <v>98</v>
      </c>
      <c r="V66" s="33" t="s">
        <v>98</v>
      </c>
      <c r="W66" s="33" t="s">
        <v>98</v>
      </c>
      <c r="X66" s="33" t="s">
        <v>98</v>
      </c>
      <c r="Y66" s="33" t="s">
        <v>98</v>
      </c>
      <c r="Z66" s="33" t="s">
        <v>98</v>
      </c>
      <c r="AA66" s="148" t="s">
        <v>130</v>
      </c>
      <c r="AB66" s="33" t="s">
        <v>130</v>
      </c>
      <c r="AC66" s="33" t="s">
        <v>130</v>
      </c>
      <c r="AD66" s="33" t="s">
        <v>130</v>
      </c>
      <c r="AE66" s="33" t="s">
        <v>130</v>
      </c>
      <c r="AF66" s="35">
        <v>982</v>
      </c>
      <c r="AG66" s="35"/>
      <c r="AH66" s="35">
        <f t="shared" si="0"/>
        <v>310</v>
      </c>
      <c r="AI66" s="35">
        <v>1342</v>
      </c>
      <c r="AJ66" s="35"/>
      <c r="AK66" s="35">
        <f t="shared" si="1"/>
        <v>360</v>
      </c>
      <c r="AL66" s="35"/>
      <c r="AM66" s="35"/>
      <c r="AN66" s="35"/>
      <c r="AO66" s="6">
        <v>158</v>
      </c>
      <c r="AP66" s="35">
        <v>1561</v>
      </c>
      <c r="AQ66" s="34">
        <f t="shared" si="2"/>
        <v>377</v>
      </c>
      <c r="AR66" s="35">
        <v>522</v>
      </c>
      <c r="AS66" s="35"/>
      <c r="AT66" s="35">
        <f t="shared" si="3"/>
        <v>364</v>
      </c>
      <c r="AU66" s="6">
        <v>878</v>
      </c>
      <c r="AV66" s="6"/>
      <c r="AW66" s="35">
        <f t="shared" si="4"/>
        <v>356</v>
      </c>
      <c r="AX66" s="6">
        <v>1240</v>
      </c>
      <c r="AY66" s="6"/>
      <c r="AZ66" s="35">
        <f t="shared" si="5"/>
        <v>362</v>
      </c>
      <c r="BA66" s="6">
        <v>34</v>
      </c>
      <c r="BB66" s="6">
        <v>1560</v>
      </c>
      <c r="BC66" s="35">
        <f t="shared" si="6"/>
        <v>354</v>
      </c>
      <c r="BD66" s="6">
        <v>380</v>
      </c>
      <c r="BE66" s="6"/>
      <c r="BF66" s="35">
        <f t="shared" si="7"/>
        <v>346</v>
      </c>
      <c r="BG66" s="6"/>
      <c r="BH66" s="6"/>
      <c r="BI66" s="35"/>
      <c r="BJ66" s="6">
        <v>739</v>
      </c>
      <c r="BK66" s="35"/>
      <c r="BL66" s="6">
        <f t="shared" si="8"/>
        <v>359</v>
      </c>
      <c r="BM66" s="6">
        <v>90</v>
      </c>
      <c r="BN66" s="6">
        <f>742+196</f>
        <v>938</v>
      </c>
      <c r="BO66" s="6">
        <f t="shared" si="9"/>
        <v>289</v>
      </c>
      <c r="BP66" s="6">
        <v>424</v>
      </c>
      <c r="BQ66" s="6"/>
      <c r="BR66" s="35">
        <f t="shared" si="10"/>
        <v>334</v>
      </c>
      <c r="BS66" s="6">
        <v>771</v>
      </c>
      <c r="BT66" s="6"/>
      <c r="BU66" s="6">
        <f t="shared" si="11"/>
        <v>347</v>
      </c>
      <c r="BV66" s="6">
        <v>1120</v>
      </c>
      <c r="BW66" s="6"/>
      <c r="BX66" s="35">
        <f t="shared" si="12"/>
        <v>349</v>
      </c>
      <c r="BY66" s="6">
        <v>251</v>
      </c>
      <c r="BZ66" s="35">
        <v>1200</v>
      </c>
      <c r="CA66" s="6">
        <f t="shared" si="13"/>
        <v>331</v>
      </c>
      <c r="CB66" s="6"/>
      <c r="CC66" s="6"/>
      <c r="CD66" s="35"/>
      <c r="CE66" s="6">
        <v>598</v>
      </c>
      <c r="CF66" s="35"/>
      <c r="CG66" s="6">
        <f t="shared" si="14"/>
        <v>347</v>
      </c>
      <c r="CH66" s="6">
        <v>948</v>
      </c>
      <c r="CI66" s="6"/>
      <c r="CJ66" s="6">
        <f t="shared" si="15"/>
        <v>350</v>
      </c>
      <c r="CK66" s="6">
        <v>89</v>
      </c>
      <c r="CL66" s="6">
        <v>1200</v>
      </c>
      <c r="CM66" s="6">
        <f t="shared" si="16"/>
        <v>341</v>
      </c>
      <c r="CN66" s="6">
        <v>438</v>
      </c>
      <c r="CO66" s="6"/>
      <c r="CP66" s="6">
        <f t="shared" si="17"/>
        <v>349</v>
      </c>
      <c r="CQ66" s="6">
        <v>773</v>
      </c>
      <c r="CR66" s="6"/>
      <c r="CS66" s="6">
        <f t="shared" si="18"/>
        <v>335</v>
      </c>
      <c r="CT66" s="6">
        <v>1106</v>
      </c>
      <c r="CU66" s="6"/>
      <c r="CV66" s="6">
        <f t="shared" si="19"/>
        <v>333</v>
      </c>
      <c r="CW66" s="6"/>
      <c r="CX66" s="6"/>
      <c r="CY66" s="6"/>
      <c r="CZ66" s="6">
        <v>0</v>
      </c>
      <c r="DA66" s="6">
        <v>1249</v>
      </c>
      <c r="DB66" s="6">
        <f t="shared" si="20"/>
        <v>143</v>
      </c>
      <c r="DC66" s="6">
        <v>267</v>
      </c>
      <c r="DD66" s="6"/>
      <c r="DE66" s="6">
        <f t="shared" si="21"/>
        <v>267</v>
      </c>
      <c r="DF66" s="6">
        <v>614</v>
      </c>
      <c r="DG66" s="6"/>
      <c r="DH66" s="6">
        <f t="shared" si="22"/>
        <v>347</v>
      </c>
      <c r="DI66" s="6">
        <v>965</v>
      </c>
      <c r="DJ66" s="6"/>
      <c r="DK66" s="6">
        <f t="shared" si="23"/>
        <v>351</v>
      </c>
      <c r="DL66" s="6">
        <v>111</v>
      </c>
      <c r="DM66" s="6">
        <v>1200</v>
      </c>
      <c r="DN66" s="6">
        <f t="shared" si="24"/>
        <v>346</v>
      </c>
      <c r="DO66" s="6">
        <v>428</v>
      </c>
      <c r="DP66" s="6"/>
      <c r="DQ66" s="6">
        <f t="shared" si="25"/>
        <v>317</v>
      </c>
    </row>
    <row r="67" spans="1:121">
      <c r="A67" s="6">
        <v>63</v>
      </c>
      <c r="B67" s="6">
        <v>681</v>
      </c>
      <c r="C67" s="6"/>
      <c r="D67" s="6">
        <v>373</v>
      </c>
      <c r="E67" s="33" t="s">
        <v>37</v>
      </c>
      <c r="F67" s="33" t="s">
        <v>37</v>
      </c>
      <c r="G67" s="33" t="s">
        <v>37</v>
      </c>
      <c r="H67" s="33" t="s">
        <v>37</v>
      </c>
      <c r="I67" s="33" t="s">
        <v>37</v>
      </c>
      <c r="J67" s="33" t="s">
        <v>37</v>
      </c>
      <c r="K67" s="33" t="s">
        <v>37</v>
      </c>
      <c r="L67" s="33" t="s">
        <v>37</v>
      </c>
      <c r="M67" s="33" t="s">
        <v>37</v>
      </c>
      <c r="N67" s="148" t="s">
        <v>98</v>
      </c>
      <c r="O67" s="33" t="s">
        <v>98</v>
      </c>
      <c r="P67" s="33" t="s">
        <v>98</v>
      </c>
      <c r="Q67" s="33" t="s">
        <v>98</v>
      </c>
      <c r="R67" s="33" t="s">
        <v>98</v>
      </c>
      <c r="S67" s="33" t="s">
        <v>98</v>
      </c>
      <c r="T67" s="33" t="s">
        <v>98</v>
      </c>
      <c r="U67" s="33" t="s">
        <v>98</v>
      </c>
      <c r="V67" s="33" t="s">
        <v>98</v>
      </c>
      <c r="W67" s="33" t="s">
        <v>98</v>
      </c>
      <c r="X67" s="33" t="s">
        <v>98</v>
      </c>
      <c r="Y67" s="33" t="s">
        <v>98</v>
      </c>
      <c r="Z67" s="148" t="s">
        <v>130</v>
      </c>
      <c r="AA67" s="33" t="s">
        <v>130</v>
      </c>
      <c r="AB67" s="33" t="s">
        <v>130</v>
      </c>
      <c r="AC67" s="33" t="s">
        <v>130</v>
      </c>
      <c r="AD67" s="33" t="s">
        <v>130</v>
      </c>
      <c r="AE67" s="33" t="s">
        <v>130</v>
      </c>
      <c r="AF67" s="35">
        <v>1053</v>
      </c>
      <c r="AG67" s="35"/>
      <c r="AH67" s="35">
        <f t="shared" si="0"/>
        <v>372</v>
      </c>
      <c r="AI67" s="35">
        <v>1402</v>
      </c>
      <c r="AJ67" s="35"/>
      <c r="AK67" s="35">
        <f t="shared" si="1"/>
        <v>349</v>
      </c>
      <c r="AL67" s="35"/>
      <c r="AM67" s="35"/>
      <c r="AN67" s="35"/>
      <c r="AO67" s="6">
        <v>203</v>
      </c>
      <c r="AP67" s="35">
        <v>1561</v>
      </c>
      <c r="AQ67" s="34">
        <f t="shared" si="2"/>
        <v>362</v>
      </c>
      <c r="AR67" s="35">
        <v>570</v>
      </c>
      <c r="AS67" s="35"/>
      <c r="AT67" s="35">
        <f t="shared" si="3"/>
        <v>367</v>
      </c>
      <c r="AU67" s="6">
        <v>350</v>
      </c>
      <c r="AV67" s="6">
        <v>572</v>
      </c>
      <c r="AW67" s="35">
        <f t="shared" si="4"/>
        <v>352</v>
      </c>
      <c r="AX67" s="6">
        <v>716</v>
      </c>
      <c r="AY67" s="6"/>
      <c r="AZ67" s="35">
        <f t="shared" si="5"/>
        <v>366</v>
      </c>
      <c r="BA67" s="6">
        <v>1077</v>
      </c>
      <c r="BB67" s="6"/>
      <c r="BC67" s="35">
        <f t="shared" si="6"/>
        <v>361</v>
      </c>
      <c r="BD67" s="6">
        <v>1092</v>
      </c>
      <c r="BE67" s="6"/>
      <c r="BF67" s="35">
        <f t="shared" si="7"/>
        <v>15</v>
      </c>
      <c r="BG67" s="6"/>
      <c r="BH67" s="6"/>
      <c r="BI67" s="35"/>
      <c r="BJ67" s="6">
        <v>263</v>
      </c>
      <c r="BK67" s="35">
        <v>1092</v>
      </c>
      <c r="BL67" s="6">
        <f t="shared" si="8"/>
        <v>263</v>
      </c>
      <c r="BM67" s="6">
        <v>611</v>
      </c>
      <c r="BN67" s="6"/>
      <c r="BO67" s="6">
        <f t="shared" si="9"/>
        <v>348</v>
      </c>
      <c r="BP67" s="6">
        <v>962</v>
      </c>
      <c r="BQ67" s="6"/>
      <c r="BR67" s="35">
        <f t="shared" si="10"/>
        <v>351</v>
      </c>
      <c r="BS67" s="6">
        <v>30</v>
      </c>
      <c r="BT67" s="6">
        <v>1280</v>
      </c>
      <c r="BU67" s="6">
        <f t="shared" si="11"/>
        <v>348</v>
      </c>
      <c r="BV67" s="6">
        <v>379</v>
      </c>
      <c r="BW67" s="6"/>
      <c r="BX67" s="35">
        <f t="shared" si="12"/>
        <v>349</v>
      </c>
      <c r="BY67" s="6">
        <v>712</v>
      </c>
      <c r="BZ67" s="35"/>
      <c r="CA67" s="6">
        <f t="shared" si="13"/>
        <v>333</v>
      </c>
      <c r="CB67" s="6"/>
      <c r="CC67" s="6"/>
      <c r="CD67" s="35"/>
      <c r="CE67" s="6">
        <v>342</v>
      </c>
      <c r="CF67" s="35">
        <v>718</v>
      </c>
      <c r="CG67" s="6">
        <f t="shared" si="14"/>
        <v>348</v>
      </c>
      <c r="CH67" s="6">
        <v>690</v>
      </c>
      <c r="CI67" s="6"/>
      <c r="CJ67" s="6">
        <f t="shared" si="15"/>
        <v>348</v>
      </c>
      <c r="CK67" s="6">
        <v>1025</v>
      </c>
      <c r="CL67" s="6"/>
      <c r="CM67" s="6">
        <f t="shared" si="16"/>
        <v>335</v>
      </c>
      <c r="CN67" s="6">
        <v>176</v>
      </c>
      <c r="CO67" s="6">
        <v>1200</v>
      </c>
      <c r="CP67" s="6">
        <f t="shared" si="17"/>
        <v>351</v>
      </c>
      <c r="CQ67" s="6">
        <v>524</v>
      </c>
      <c r="CR67" s="6"/>
      <c r="CS67" s="6">
        <f t="shared" si="18"/>
        <v>348</v>
      </c>
      <c r="CT67" s="6">
        <v>851</v>
      </c>
      <c r="CU67" s="6"/>
      <c r="CV67" s="6">
        <f t="shared" si="19"/>
        <v>327</v>
      </c>
      <c r="CW67" s="6"/>
      <c r="CX67" s="6"/>
      <c r="CY67" s="6"/>
      <c r="CZ67" s="6">
        <v>294</v>
      </c>
      <c r="DA67" s="6">
        <v>880</v>
      </c>
      <c r="DB67" s="6">
        <f t="shared" si="20"/>
        <v>323</v>
      </c>
      <c r="DC67" s="6">
        <v>637</v>
      </c>
      <c r="DD67" s="6"/>
      <c r="DE67" s="6">
        <f t="shared" si="21"/>
        <v>343</v>
      </c>
      <c r="DF67" s="6">
        <v>981</v>
      </c>
      <c r="DG67" s="6"/>
      <c r="DH67" s="6">
        <f t="shared" si="22"/>
        <v>344</v>
      </c>
      <c r="DI67" s="6">
        <v>126</v>
      </c>
      <c r="DJ67" s="6">
        <v>1200</v>
      </c>
      <c r="DK67" s="6">
        <f t="shared" si="23"/>
        <v>345</v>
      </c>
      <c r="DL67" s="6">
        <v>468</v>
      </c>
      <c r="DM67" s="6"/>
      <c r="DN67" s="6">
        <f t="shared" si="24"/>
        <v>342</v>
      </c>
      <c r="DO67" s="6">
        <v>779</v>
      </c>
      <c r="DP67" s="6"/>
      <c r="DQ67" s="6">
        <f t="shared" si="25"/>
        <v>311</v>
      </c>
    </row>
    <row r="68" spans="1:121">
      <c r="A68" s="6">
        <v>64</v>
      </c>
      <c r="B68" s="6">
        <v>703</v>
      </c>
      <c r="C68" s="6"/>
      <c r="D68" s="6">
        <v>345</v>
      </c>
      <c r="E68" s="33" t="s">
        <v>37</v>
      </c>
      <c r="F68" s="33" t="s">
        <v>37</v>
      </c>
      <c r="G68" s="33" t="s">
        <v>37</v>
      </c>
      <c r="H68" s="33" t="s">
        <v>37</v>
      </c>
      <c r="I68" s="33" t="s">
        <v>37</v>
      </c>
      <c r="J68" s="33" t="s">
        <v>37</v>
      </c>
      <c r="K68" s="33" t="s">
        <v>37</v>
      </c>
      <c r="L68" s="33" t="s">
        <v>37</v>
      </c>
      <c r="M68" s="33" t="s">
        <v>37</v>
      </c>
      <c r="N68" s="33" t="s">
        <v>37</v>
      </c>
      <c r="O68" s="33" t="s">
        <v>37</v>
      </c>
      <c r="P68" s="33" t="s">
        <v>37</v>
      </c>
      <c r="Q68" s="148" t="s">
        <v>130</v>
      </c>
      <c r="R68" s="33" t="s">
        <v>130</v>
      </c>
      <c r="S68" s="33" t="s">
        <v>130</v>
      </c>
      <c r="T68" s="33" t="s">
        <v>130</v>
      </c>
      <c r="U68" s="33" t="s">
        <v>130</v>
      </c>
      <c r="V68" s="33" t="s">
        <v>130</v>
      </c>
      <c r="W68" s="33" t="s">
        <v>130</v>
      </c>
      <c r="X68" s="33" t="s">
        <v>130</v>
      </c>
      <c r="Y68" s="33" t="s">
        <v>130</v>
      </c>
      <c r="Z68" s="33" t="s">
        <v>130</v>
      </c>
      <c r="AA68" s="33" t="s">
        <v>130</v>
      </c>
      <c r="AB68" s="33" t="s">
        <v>130</v>
      </c>
      <c r="AC68" s="33" t="s">
        <v>130</v>
      </c>
      <c r="AD68" s="33" t="s">
        <v>130</v>
      </c>
      <c r="AE68" s="33" t="s">
        <v>130</v>
      </c>
      <c r="AF68" s="6">
        <v>1071</v>
      </c>
      <c r="AG68" s="6"/>
      <c r="AH68" s="35">
        <f t="shared" si="0"/>
        <v>368</v>
      </c>
      <c r="AI68" s="35">
        <v>1418</v>
      </c>
      <c r="AJ68" s="35"/>
      <c r="AK68" s="35">
        <f t="shared" si="1"/>
        <v>347</v>
      </c>
      <c r="AL68" s="6"/>
      <c r="AM68" s="6"/>
      <c r="AN68" s="35"/>
      <c r="AO68" s="6">
        <v>222</v>
      </c>
      <c r="AP68" s="6">
        <v>1561</v>
      </c>
      <c r="AQ68" s="34">
        <f t="shared" si="2"/>
        <v>365</v>
      </c>
      <c r="AR68" s="35">
        <v>592</v>
      </c>
      <c r="AS68" s="35"/>
      <c r="AT68" s="35">
        <f t="shared" si="3"/>
        <v>370</v>
      </c>
      <c r="AU68" s="6">
        <v>963</v>
      </c>
      <c r="AV68" s="6"/>
      <c r="AW68" s="35">
        <f t="shared" si="4"/>
        <v>371</v>
      </c>
      <c r="AX68" s="6">
        <v>1340</v>
      </c>
      <c r="AY68" s="6"/>
      <c r="AZ68" s="35">
        <f t="shared" si="5"/>
        <v>377</v>
      </c>
      <c r="BA68" s="6">
        <v>153</v>
      </c>
      <c r="BB68" s="6">
        <v>1560</v>
      </c>
      <c r="BC68" s="35">
        <f t="shared" si="6"/>
        <v>373</v>
      </c>
      <c r="BD68" s="6">
        <v>515</v>
      </c>
      <c r="BE68" s="6"/>
      <c r="BF68" s="35">
        <f t="shared" si="7"/>
        <v>362</v>
      </c>
      <c r="BG68" s="6"/>
      <c r="BH68" s="6"/>
      <c r="BI68" s="35"/>
      <c r="BJ68" s="6">
        <v>890</v>
      </c>
      <c r="BK68" s="35"/>
      <c r="BL68" s="6">
        <f t="shared" si="8"/>
        <v>375</v>
      </c>
      <c r="BM68" s="6">
        <v>1257</v>
      </c>
      <c r="BN68" s="6"/>
      <c r="BO68" s="6">
        <f t="shared" si="9"/>
        <v>367</v>
      </c>
      <c r="BP68" s="6">
        <v>0</v>
      </c>
      <c r="BQ68" s="6">
        <v>1343</v>
      </c>
      <c r="BR68" s="35">
        <f t="shared" si="10"/>
        <v>86</v>
      </c>
      <c r="BS68" s="6">
        <v>310</v>
      </c>
      <c r="BT68" s="6"/>
      <c r="BU68" s="6">
        <f t="shared" si="11"/>
        <v>310</v>
      </c>
      <c r="BV68" s="6">
        <v>655</v>
      </c>
      <c r="BW68" s="6"/>
      <c r="BX68" s="35">
        <f t="shared" si="12"/>
        <v>345</v>
      </c>
      <c r="BY68" s="6">
        <v>984</v>
      </c>
      <c r="BZ68" s="35"/>
      <c r="CA68" s="6">
        <f t="shared" si="13"/>
        <v>329</v>
      </c>
      <c r="CB68" s="6"/>
      <c r="CC68" s="6"/>
      <c r="CD68" s="35"/>
      <c r="CE68" s="6">
        <v>103</v>
      </c>
      <c r="CF68" s="35">
        <v>1200</v>
      </c>
      <c r="CG68" s="6">
        <f t="shared" si="14"/>
        <v>319</v>
      </c>
      <c r="CH68" s="6">
        <v>451</v>
      </c>
      <c r="CI68" s="6"/>
      <c r="CJ68" s="6">
        <f t="shared" si="15"/>
        <v>348</v>
      </c>
      <c r="CK68" s="6">
        <v>44</v>
      </c>
      <c r="CL68" s="6">
        <f>556+169</f>
        <v>725</v>
      </c>
      <c r="CM68" s="6">
        <f t="shared" si="16"/>
        <v>318</v>
      </c>
      <c r="CN68" s="6">
        <v>392</v>
      </c>
      <c r="CO68" s="6"/>
      <c r="CP68" s="6">
        <f t="shared" si="17"/>
        <v>348</v>
      </c>
      <c r="CQ68" s="6">
        <v>742</v>
      </c>
      <c r="CR68" s="6"/>
      <c r="CS68" s="6">
        <f t="shared" si="18"/>
        <v>350</v>
      </c>
      <c r="CT68" s="6">
        <v>1075</v>
      </c>
      <c r="CU68" s="6"/>
      <c r="CV68" s="6">
        <f t="shared" si="19"/>
        <v>333</v>
      </c>
      <c r="CW68" s="6"/>
      <c r="CX68" s="6"/>
      <c r="CY68" s="6"/>
      <c r="CZ68" s="6">
        <v>221</v>
      </c>
      <c r="DA68" s="6">
        <v>1200</v>
      </c>
      <c r="DB68" s="6">
        <f t="shared" si="20"/>
        <v>346</v>
      </c>
      <c r="DC68" s="6">
        <v>567</v>
      </c>
      <c r="DD68" s="6"/>
      <c r="DE68" s="6">
        <f t="shared" si="21"/>
        <v>346</v>
      </c>
      <c r="DF68" s="6">
        <v>916</v>
      </c>
      <c r="DG68" s="35"/>
      <c r="DH68" s="6">
        <f t="shared" si="22"/>
        <v>349</v>
      </c>
      <c r="DI68" s="6">
        <v>66</v>
      </c>
      <c r="DJ68" s="6">
        <v>1200</v>
      </c>
      <c r="DK68" s="6">
        <f t="shared" si="23"/>
        <v>350</v>
      </c>
      <c r="DL68" s="6">
        <v>211</v>
      </c>
      <c r="DM68" s="6">
        <v>186</v>
      </c>
      <c r="DN68" s="6">
        <f t="shared" si="24"/>
        <v>331</v>
      </c>
      <c r="DO68" s="6">
        <v>528</v>
      </c>
      <c r="DP68" s="6"/>
      <c r="DQ68" s="6">
        <f t="shared" si="25"/>
        <v>317</v>
      </c>
    </row>
    <row r="69" spans="1:121">
      <c r="A69" s="6">
        <v>65</v>
      </c>
      <c r="B69" s="6">
        <v>145</v>
      </c>
      <c r="C69" s="6">
        <v>1193</v>
      </c>
      <c r="D69" s="6">
        <v>328</v>
      </c>
      <c r="E69" s="33" t="s">
        <v>98</v>
      </c>
      <c r="F69" s="33" t="s">
        <v>98</v>
      </c>
      <c r="G69" s="33" t="s">
        <v>98</v>
      </c>
      <c r="H69" s="33" t="s">
        <v>98</v>
      </c>
      <c r="I69" s="33" t="s">
        <v>98</v>
      </c>
      <c r="J69" s="33" t="s">
        <v>98</v>
      </c>
      <c r="K69" s="33" t="s">
        <v>98</v>
      </c>
      <c r="L69" s="33" t="s">
        <v>98</v>
      </c>
      <c r="M69" s="33" t="s">
        <v>98</v>
      </c>
      <c r="N69" s="33" t="s">
        <v>98</v>
      </c>
      <c r="O69" s="33" t="s">
        <v>98</v>
      </c>
      <c r="P69" s="33" t="s">
        <v>98</v>
      </c>
      <c r="Q69" s="33" t="s">
        <v>98</v>
      </c>
      <c r="R69" s="33" t="s">
        <v>98</v>
      </c>
      <c r="S69" s="148" t="s">
        <v>130</v>
      </c>
      <c r="T69" s="33" t="s">
        <v>130</v>
      </c>
      <c r="U69" s="33" t="s">
        <v>130</v>
      </c>
      <c r="V69" s="33" t="s">
        <v>130</v>
      </c>
      <c r="W69" s="33" t="s">
        <v>130</v>
      </c>
      <c r="X69" s="33" t="s">
        <v>130</v>
      </c>
      <c r="Y69" s="33" t="s">
        <v>130</v>
      </c>
      <c r="Z69" s="33" t="s">
        <v>130</v>
      </c>
      <c r="AA69" s="33" t="s">
        <v>130</v>
      </c>
      <c r="AB69" s="33" t="s">
        <v>130</v>
      </c>
      <c r="AC69" s="33" t="s">
        <v>130</v>
      </c>
      <c r="AD69" s="33" t="s">
        <v>130</v>
      </c>
      <c r="AE69" s="33" t="s">
        <v>130</v>
      </c>
      <c r="AF69" s="6">
        <v>492</v>
      </c>
      <c r="AG69" s="6"/>
      <c r="AH69" s="35">
        <f t="shared" si="0"/>
        <v>347</v>
      </c>
      <c r="AI69" s="35">
        <v>828</v>
      </c>
      <c r="AJ69" s="35"/>
      <c r="AK69" s="35">
        <f t="shared" si="1"/>
        <v>336</v>
      </c>
      <c r="AL69" s="6"/>
      <c r="AM69" s="6"/>
      <c r="AN69" s="35"/>
      <c r="AO69" s="6">
        <v>239</v>
      </c>
      <c r="AP69" s="6">
        <v>937</v>
      </c>
      <c r="AQ69" s="34">
        <f t="shared" si="2"/>
        <v>348</v>
      </c>
      <c r="AR69" s="35">
        <v>591</v>
      </c>
      <c r="AS69" s="35"/>
      <c r="AT69" s="35">
        <f t="shared" si="3"/>
        <v>352</v>
      </c>
      <c r="AU69" s="6">
        <v>937</v>
      </c>
      <c r="AV69" s="6"/>
      <c r="AW69" s="35">
        <f t="shared" si="4"/>
        <v>346</v>
      </c>
      <c r="AX69" s="6">
        <v>87</v>
      </c>
      <c r="AY69" s="6">
        <v>1200</v>
      </c>
      <c r="AZ69" s="35">
        <f t="shared" si="5"/>
        <v>350</v>
      </c>
      <c r="BA69" s="35">
        <v>430</v>
      </c>
      <c r="BB69" s="35"/>
      <c r="BC69" s="35">
        <f t="shared" si="6"/>
        <v>343</v>
      </c>
      <c r="BD69" s="6">
        <v>768</v>
      </c>
      <c r="BE69" s="6"/>
      <c r="BF69" s="35">
        <f t="shared" si="7"/>
        <v>338</v>
      </c>
      <c r="BG69" s="6"/>
      <c r="BH69" s="6"/>
      <c r="BI69" s="6"/>
      <c r="BJ69" s="6">
        <v>1118</v>
      </c>
      <c r="BK69" s="6"/>
      <c r="BL69" s="6">
        <f t="shared" si="8"/>
        <v>350</v>
      </c>
      <c r="BM69" s="6">
        <v>263</v>
      </c>
      <c r="BN69" s="6">
        <v>1200</v>
      </c>
      <c r="BO69" s="6">
        <f t="shared" si="9"/>
        <v>345</v>
      </c>
      <c r="BP69" s="6">
        <v>614</v>
      </c>
      <c r="BQ69" s="6"/>
      <c r="BR69" s="35">
        <f t="shared" si="10"/>
        <v>351</v>
      </c>
      <c r="BS69" s="6">
        <v>943</v>
      </c>
      <c r="BT69" s="6"/>
      <c r="BU69" s="6">
        <f t="shared" si="11"/>
        <v>329</v>
      </c>
      <c r="BV69" s="6">
        <v>1300</v>
      </c>
      <c r="BW69" s="6"/>
      <c r="BX69" s="35">
        <f t="shared" si="12"/>
        <v>357</v>
      </c>
      <c r="BY69" s="6">
        <v>254</v>
      </c>
      <c r="BZ69" s="6">
        <v>1363</v>
      </c>
      <c r="CA69" s="6">
        <f t="shared" si="13"/>
        <v>317</v>
      </c>
      <c r="CB69" s="6"/>
      <c r="CC69" s="6"/>
      <c r="CD69" s="6"/>
      <c r="CE69" s="6">
        <v>603</v>
      </c>
      <c r="CF69" s="6"/>
      <c r="CG69" s="6">
        <f t="shared" si="14"/>
        <v>349</v>
      </c>
      <c r="CH69" s="6">
        <v>952</v>
      </c>
      <c r="CI69" s="6"/>
      <c r="CJ69" s="6">
        <f t="shared" si="15"/>
        <v>349</v>
      </c>
      <c r="CK69" s="6">
        <v>100</v>
      </c>
      <c r="CL69" s="6">
        <v>1200</v>
      </c>
      <c r="CM69" s="6">
        <f t="shared" si="16"/>
        <v>348</v>
      </c>
      <c r="CN69" s="6">
        <v>451</v>
      </c>
      <c r="CO69" s="6"/>
      <c r="CP69" s="6">
        <f t="shared" si="17"/>
        <v>351</v>
      </c>
      <c r="CQ69" s="6">
        <v>798</v>
      </c>
      <c r="CR69" s="6"/>
      <c r="CS69" s="6">
        <f t="shared" si="18"/>
        <v>347</v>
      </c>
      <c r="CT69" s="6">
        <v>11</v>
      </c>
      <c r="CU69" s="6">
        <v>1115</v>
      </c>
      <c r="CV69" s="6">
        <f t="shared" si="19"/>
        <v>328</v>
      </c>
      <c r="CW69" s="6"/>
      <c r="CX69" s="6"/>
      <c r="CY69" s="6"/>
      <c r="CZ69" s="6">
        <v>358</v>
      </c>
      <c r="DA69" s="6"/>
      <c r="DB69" s="6">
        <f t="shared" si="20"/>
        <v>347</v>
      </c>
      <c r="DC69" s="6">
        <v>704</v>
      </c>
      <c r="DD69" s="6"/>
      <c r="DE69" s="6">
        <f t="shared" si="21"/>
        <v>346</v>
      </c>
      <c r="DF69" s="6">
        <v>1053</v>
      </c>
      <c r="DG69" s="6"/>
      <c r="DH69" s="6">
        <f t="shared" si="22"/>
        <v>349</v>
      </c>
      <c r="DI69" s="6">
        <v>198</v>
      </c>
      <c r="DJ69" s="6">
        <v>1200</v>
      </c>
      <c r="DK69" s="6">
        <f t="shared" si="23"/>
        <v>345</v>
      </c>
      <c r="DL69" s="6">
        <v>547</v>
      </c>
      <c r="DM69" s="6"/>
      <c r="DN69" s="6">
        <f t="shared" si="24"/>
        <v>349</v>
      </c>
      <c r="DO69" s="6">
        <v>864</v>
      </c>
      <c r="DP69" s="6"/>
      <c r="DQ69" s="6">
        <f t="shared" si="25"/>
        <v>317</v>
      </c>
    </row>
    <row r="70" spans="1:121">
      <c r="A70" s="6">
        <v>66</v>
      </c>
      <c r="B70" s="6">
        <v>965</v>
      </c>
      <c r="C70" s="6"/>
      <c r="D70" s="6">
        <v>332</v>
      </c>
      <c r="E70" s="33" t="s">
        <v>98</v>
      </c>
      <c r="F70" s="33" t="s">
        <v>98</v>
      </c>
      <c r="G70" s="33" t="s">
        <v>98</v>
      </c>
      <c r="H70" s="33" t="s">
        <v>98</v>
      </c>
      <c r="I70" s="33" t="s">
        <v>98</v>
      </c>
      <c r="J70" s="33" t="s">
        <v>98</v>
      </c>
      <c r="K70" s="33" t="s">
        <v>98</v>
      </c>
      <c r="L70" s="33" t="s">
        <v>98</v>
      </c>
      <c r="M70" s="33" t="s">
        <v>98</v>
      </c>
      <c r="N70" s="148" t="s">
        <v>98</v>
      </c>
      <c r="O70" s="33" t="s">
        <v>98</v>
      </c>
      <c r="P70" s="33" t="s">
        <v>98</v>
      </c>
      <c r="Q70" s="33" t="s">
        <v>98</v>
      </c>
      <c r="R70" s="33" t="s">
        <v>98</v>
      </c>
      <c r="S70" s="33" t="s">
        <v>98</v>
      </c>
      <c r="T70" s="33" t="s">
        <v>98</v>
      </c>
      <c r="U70" s="33" t="s">
        <v>98</v>
      </c>
      <c r="V70" s="33" t="s">
        <v>98</v>
      </c>
      <c r="W70" s="33" t="s">
        <v>98</v>
      </c>
      <c r="X70" s="33" t="s">
        <v>98</v>
      </c>
      <c r="Y70" s="148" t="s">
        <v>130</v>
      </c>
      <c r="Z70" s="33" t="s">
        <v>130</v>
      </c>
      <c r="AA70" s="33" t="s">
        <v>130</v>
      </c>
      <c r="AB70" s="33" t="s">
        <v>130</v>
      </c>
      <c r="AC70" s="33" t="s">
        <v>130</v>
      </c>
      <c r="AD70" s="33" t="s">
        <v>130</v>
      </c>
      <c r="AE70" s="33" t="s">
        <v>130</v>
      </c>
      <c r="AF70" s="6">
        <v>85</v>
      </c>
      <c r="AG70" s="6">
        <v>1200</v>
      </c>
      <c r="AH70" s="35">
        <f t="shared" ref="AH70:AH133" si="26">AG70+AF70-B70</f>
        <v>320</v>
      </c>
      <c r="AI70" s="35">
        <v>414</v>
      </c>
      <c r="AJ70" s="35"/>
      <c r="AK70" s="35">
        <f t="shared" ref="AK70:AK133" si="27">AJ70+AI70-AF70</f>
        <v>329</v>
      </c>
      <c r="AL70" s="6"/>
      <c r="AM70" s="6"/>
      <c r="AN70" s="35"/>
      <c r="AO70" s="6">
        <v>761</v>
      </c>
      <c r="AP70" s="6"/>
      <c r="AQ70" s="34">
        <f t="shared" ref="AQ70:AQ133" si="28">AP70+AO70-AI70</f>
        <v>347</v>
      </c>
      <c r="AR70" s="35">
        <v>1108</v>
      </c>
      <c r="AS70" s="35"/>
      <c r="AT70" s="35">
        <f t="shared" ref="AT70:AT133" si="29">AS70+AR70-AO70</f>
        <v>347</v>
      </c>
      <c r="AU70" s="6">
        <v>255</v>
      </c>
      <c r="AV70" s="6">
        <v>1200</v>
      </c>
      <c r="AW70" s="35">
        <f t="shared" ref="AW70:AW133" si="30">AV70+AU70-AR70</f>
        <v>347</v>
      </c>
      <c r="AX70" s="6">
        <v>605</v>
      </c>
      <c r="AY70" s="6"/>
      <c r="AZ70" s="35">
        <f t="shared" ref="AZ70:AZ133" si="31">AY70+AX70-AU70</f>
        <v>350</v>
      </c>
      <c r="BA70" s="35">
        <v>947</v>
      </c>
      <c r="BB70" s="35"/>
      <c r="BC70" s="35">
        <f t="shared" ref="BC70:BC133" si="32">BB70+BA70-AX70</f>
        <v>342</v>
      </c>
      <c r="BD70" s="6">
        <v>0</v>
      </c>
      <c r="BE70" s="6">
        <v>1054</v>
      </c>
      <c r="BF70" s="35">
        <f t="shared" ref="BF70:BF133" si="33">BE70+BD70-BA70</f>
        <v>107</v>
      </c>
      <c r="BG70" s="6"/>
      <c r="BH70" s="6"/>
      <c r="BI70" s="6"/>
      <c r="BJ70" s="6">
        <v>323</v>
      </c>
      <c r="BK70" s="6"/>
      <c r="BL70" s="6">
        <f t="shared" ref="BL70:BL133" si="34">BK70+BJ70-BD70</f>
        <v>323</v>
      </c>
      <c r="BM70" s="6">
        <v>668</v>
      </c>
      <c r="BN70" s="6"/>
      <c r="BO70" s="6">
        <f t="shared" ref="BO70:BO133" si="35">BN70+BM70-BJ70</f>
        <v>345</v>
      </c>
      <c r="BP70" s="6">
        <v>1016</v>
      </c>
      <c r="BQ70" s="6"/>
      <c r="BR70" s="35">
        <f t="shared" ref="BR70:BR133" si="36">BQ70+BP70-BM70</f>
        <v>348</v>
      </c>
      <c r="BS70" s="6">
        <v>165</v>
      </c>
      <c r="BT70" s="6">
        <v>1200</v>
      </c>
      <c r="BU70" s="6">
        <f t="shared" ref="BU70:BU133" si="37">BT70+BS70-BP70</f>
        <v>349</v>
      </c>
      <c r="BV70" s="6">
        <v>516</v>
      </c>
      <c r="BW70" s="6"/>
      <c r="BX70" s="35">
        <f t="shared" ref="BX70:BX133" si="38">BW70+BV70-BS70</f>
        <v>351</v>
      </c>
      <c r="BY70" s="6">
        <v>849</v>
      </c>
      <c r="BZ70" s="6"/>
      <c r="CA70" s="6">
        <f t="shared" ref="CA70:CA133" si="39">BZ70+BY70-BV70</f>
        <v>333</v>
      </c>
      <c r="CB70" s="6"/>
      <c r="CC70" s="6"/>
      <c r="CD70" s="6"/>
      <c r="CE70" s="6">
        <v>1198</v>
      </c>
      <c r="CF70" s="6"/>
      <c r="CG70" s="6">
        <f t="shared" ref="CG70:CG133" si="40">CF70+CE70-BY70</f>
        <v>349</v>
      </c>
      <c r="CH70" s="6">
        <v>343</v>
      </c>
      <c r="CI70" s="6">
        <v>1200</v>
      </c>
      <c r="CJ70" s="6">
        <f t="shared" ref="CJ70:CJ133" si="41">CI70+CH70-CE70</f>
        <v>345</v>
      </c>
      <c r="CK70" s="6">
        <v>691</v>
      </c>
      <c r="CL70" s="6"/>
      <c r="CM70" s="6">
        <f t="shared" ref="CM70:CM133" si="42">CL70+CK70-CH70</f>
        <v>348</v>
      </c>
      <c r="CN70" s="6">
        <v>231</v>
      </c>
      <c r="CO70" s="6">
        <v>808</v>
      </c>
      <c r="CP70" s="6">
        <f t="shared" ref="CP70:CP133" si="43">CO70+CN70-CK70</f>
        <v>348</v>
      </c>
      <c r="CQ70" s="6">
        <v>576</v>
      </c>
      <c r="CR70" s="6"/>
      <c r="CS70" s="6">
        <f t="shared" ref="CS70:CS133" si="44">CR70+CQ70-CN70</f>
        <v>345</v>
      </c>
      <c r="CT70" s="6">
        <v>249</v>
      </c>
      <c r="CU70" s="6">
        <v>637</v>
      </c>
      <c r="CV70" s="6">
        <f t="shared" ref="CV70:CV133" si="45">CU70+CT70-CQ70</f>
        <v>310</v>
      </c>
      <c r="CW70" s="6"/>
      <c r="CX70" s="6"/>
      <c r="CY70" s="6"/>
      <c r="CZ70" s="6">
        <v>597</v>
      </c>
      <c r="DA70" s="6"/>
      <c r="DB70" s="6">
        <f t="shared" ref="DB70:DB133" si="46">DA70+CZ70-CT70</f>
        <v>348</v>
      </c>
      <c r="DC70" s="6">
        <v>936</v>
      </c>
      <c r="DD70" s="6"/>
      <c r="DE70" s="6">
        <f t="shared" ref="DE70:DE133" si="47">DD70+DC70-CZ70</f>
        <v>339</v>
      </c>
      <c r="DF70" s="6">
        <v>80</v>
      </c>
      <c r="DG70" s="6">
        <v>1200</v>
      </c>
      <c r="DH70" s="6">
        <f t="shared" ref="DH70:DH133" si="48">DG70+DF70-DC70</f>
        <v>344</v>
      </c>
      <c r="DI70" s="6">
        <v>426</v>
      </c>
      <c r="DJ70" s="6"/>
      <c r="DK70" s="6">
        <f t="shared" ref="DK70:DK133" si="49">DJ70+DI70-DF70</f>
        <v>346</v>
      </c>
      <c r="DL70" s="6">
        <v>773</v>
      </c>
      <c r="DM70" s="6"/>
      <c r="DN70" s="6">
        <f t="shared" ref="DN70:DN133" si="50">DM70+DL70-DI70</f>
        <v>347</v>
      </c>
      <c r="DO70" s="6">
        <v>1086</v>
      </c>
      <c r="DP70" s="6"/>
      <c r="DQ70" s="6">
        <f t="shared" ref="DQ70:DQ133" si="51">DP70+DO70-DL70</f>
        <v>313</v>
      </c>
    </row>
    <row r="71" spans="1:121">
      <c r="A71" s="6">
        <v>67</v>
      </c>
      <c r="B71" s="6">
        <v>0</v>
      </c>
      <c r="C71" s="6"/>
      <c r="D71" s="6">
        <v>0</v>
      </c>
      <c r="E71" s="33" t="s">
        <v>108</v>
      </c>
      <c r="F71" s="33" t="s">
        <v>108</v>
      </c>
      <c r="G71" s="33" t="s">
        <v>108</v>
      </c>
      <c r="H71" s="33" t="s">
        <v>108</v>
      </c>
      <c r="I71" s="33" t="s">
        <v>108</v>
      </c>
      <c r="J71" s="33" t="s">
        <v>108</v>
      </c>
      <c r="K71" s="33" t="s">
        <v>108</v>
      </c>
      <c r="L71" s="148" t="s">
        <v>98</v>
      </c>
      <c r="M71" s="33" t="s">
        <v>98</v>
      </c>
      <c r="N71" s="33" t="s">
        <v>98</v>
      </c>
      <c r="O71" s="33" t="s">
        <v>98</v>
      </c>
      <c r="P71" s="33" t="s">
        <v>98</v>
      </c>
      <c r="Q71" s="33" t="s">
        <v>98</v>
      </c>
      <c r="R71" s="33" t="s">
        <v>98</v>
      </c>
      <c r="S71" s="33" t="s">
        <v>98</v>
      </c>
      <c r="T71" s="33" t="s">
        <v>98</v>
      </c>
      <c r="U71" s="33" t="s">
        <v>98</v>
      </c>
      <c r="V71" s="33" t="s">
        <v>98</v>
      </c>
      <c r="W71" s="148" t="s">
        <v>130</v>
      </c>
      <c r="X71" s="33" t="s">
        <v>130</v>
      </c>
      <c r="Y71" s="33" t="s">
        <v>130</v>
      </c>
      <c r="Z71" s="33" t="s">
        <v>130</v>
      </c>
      <c r="AA71" s="33" t="s">
        <v>130</v>
      </c>
      <c r="AB71" s="33" t="s">
        <v>130</v>
      </c>
      <c r="AC71" s="33" t="s">
        <v>130</v>
      </c>
      <c r="AD71" s="33" t="s">
        <v>130</v>
      </c>
      <c r="AE71" s="33" t="s">
        <v>130</v>
      </c>
      <c r="AF71" s="6">
        <v>0</v>
      </c>
      <c r="AG71" s="6"/>
      <c r="AH71" s="35">
        <f t="shared" si="26"/>
        <v>0</v>
      </c>
      <c r="AI71" s="35">
        <v>0</v>
      </c>
      <c r="AJ71" s="35"/>
      <c r="AK71" s="35">
        <f t="shared" si="27"/>
        <v>0</v>
      </c>
      <c r="AL71" s="6"/>
      <c r="AM71" s="6"/>
      <c r="AN71" s="35"/>
      <c r="AO71" s="6">
        <v>0</v>
      </c>
      <c r="AP71" s="6"/>
      <c r="AQ71" s="34">
        <f t="shared" si="28"/>
        <v>0</v>
      </c>
      <c r="AR71" s="35">
        <v>0</v>
      </c>
      <c r="AS71" s="35"/>
      <c r="AT71" s="35">
        <f t="shared" si="29"/>
        <v>0</v>
      </c>
      <c r="AU71" s="6">
        <v>0</v>
      </c>
      <c r="AV71" s="6"/>
      <c r="AW71" s="35">
        <f t="shared" si="30"/>
        <v>0</v>
      </c>
      <c r="AX71" s="6">
        <v>0</v>
      </c>
      <c r="AY71" s="6"/>
      <c r="AZ71" s="35">
        <f t="shared" si="31"/>
        <v>0</v>
      </c>
      <c r="BA71" s="35">
        <v>251</v>
      </c>
      <c r="BB71" s="35"/>
      <c r="BC71" s="35">
        <f t="shared" si="32"/>
        <v>251</v>
      </c>
      <c r="BD71" s="6">
        <v>577</v>
      </c>
      <c r="BE71" s="6"/>
      <c r="BF71" s="35">
        <f t="shared" si="33"/>
        <v>326</v>
      </c>
      <c r="BG71" s="6"/>
      <c r="BH71" s="6"/>
      <c r="BI71" s="6"/>
      <c r="BJ71" s="6">
        <v>90</v>
      </c>
      <c r="BK71" s="6">
        <v>832</v>
      </c>
      <c r="BL71" s="6">
        <f t="shared" si="34"/>
        <v>345</v>
      </c>
      <c r="BM71" s="6">
        <v>432</v>
      </c>
      <c r="BN71" s="6"/>
      <c r="BO71" s="6">
        <f t="shared" si="35"/>
        <v>342</v>
      </c>
      <c r="BP71" s="6">
        <v>770</v>
      </c>
      <c r="BQ71" s="6"/>
      <c r="BR71" s="35">
        <f t="shared" si="36"/>
        <v>338</v>
      </c>
      <c r="BS71" s="6">
        <v>226</v>
      </c>
      <c r="BT71" s="6">
        <v>885</v>
      </c>
      <c r="BU71" s="6">
        <f t="shared" si="37"/>
        <v>341</v>
      </c>
      <c r="BV71" s="6">
        <v>39</v>
      </c>
      <c r="BW71" s="6">
        <v>500</v>
      </c>
      <c r="BX71" s="35">
        <f t="shared" si="38"/>
        <v>313</v>
      </c>
      <c r="BY71" s="6">
        <v>371</v>
      </c>
      <c r="BZ71" s="6"/>
      <c r="CA71" s="6">
        <f t="shared" si="39"/>
        <v>332</v>
      </c>
      <c r="CB71" s="6"/>
      <c r="CC71" s="6"/>
      <c r="CD71" s="6"/>
      <c r="CE71" s="6">
        <v>715</v>
      </c>
      <c r="CF71" s="6"/>
      <c r="CG71" s="6">
        <f t="shared" si="40"/>
        <v>344</v>
      </c>
      <c r="CH71" s="6">
        <v>1060</v>
      </c>
      <c r="CI71" s="6"/>
      <c r="CJ71" s="6">
        <f t="shared" si="41"/>
        <v>345</v>
      </c>
      <c r="CK71" s="6">
        <v>0</v>
      </c>
      <c r="CL71" s="6">
        <v>1279</v>
      </c>
      <c r="CM71" s="6">
        <f t="shared" si="42"/>
        <v>219</v>
      </c>
      <c r="CN71" s="6">
        <v>326</v>
      </c>
      <c r="CO71" s="6"/>
      <c r="CP71" s="6">
        <f t="shared" si="43"/>
        <v>326</v>
      </c>
      <c r="CQ71" s="35">
        <v>672</v>
      </c>
      <c r="CR71" s="6"/>
      <c r="CS71" s="6">
        <f t="shared" si="44"/>
        <v>346</v>
      </c>
      <c r="CT71" s="6">
        <v>242</v>
      </c>
      <c r="CU71" s="6">
        <v>758</v>
      </c>
      <c r="CV71" s="6">
        <f t="shared" si="45"/>
        <v>328</v>
      </c>
      <c r="CW71" s="6"/>
      <c r="CX71" s="6"/>
      <c r="CY71" s="6"/>
      <c r="CZ71" s="6">
        <v>588</v>
      </c>
      <c r="DA71" s="6"/>
      <c r="DB71" s="6">
        <f t="shared" si="46"/>
        <v>346</v>
      </c>
      <c r="DC71" s="6">
        <v>288</v>
      </c>
      <c r="DD71" s="6">
        <v>626</v>
      </c>
      <c r="DE71" s="6">
        <f t="shared" si="47"/>
        <v>326</v>
      </c>
      <c r="DF71" s="6">
        <v>627</v>
      </c>
      <c r="DG71" s="6"/>
      <c r="DH71" s="6">
        <f t="shared" si="48"/>
        <v>339</v>
      </c>
      <c r="DI71" s="6">
        <v>967</v>
      </c>
      <c r="DJ71" s="6"/>
      <c r="DK71" s="6">
        <f t="shared" si="49"/>
        <v>340</v>
      </c>
      <c r="DL71" s="6">
        <v>110</v>
      </c>
      <c r="DM71" s="6">
        <v>1200</v>
      </c>
      <c r="DN71" s="6">
        <f t="shared" si="50"/>
        <v>343</v>
      </c>
      <c r="DO71" s="6">
        <v>417</v>
      </c>
      <c r="DP71" s="6"/>
      <c r="DQ71" s="6">
        <f t="shared" si="51"/>
        <v>307</v>
      </c>
    </row>
    <row r="72" spans="1:121">
      <c r="A72" s="6">
        <v>68</v>
      </c>
      <c r="B72" s="6">
        <v>229</v>
      </c>
      <c r="C72" s="6">
        <v>1586</v>
      </c>
      <c r="D72" s="6">
        <v>359</v>
      </c>
      <c r="E72" s="33" t="s">
        <v>37</v>
      </c>
      <c r="F72" s="33" t="s">
        <v>37</v>
      </c>
      <c r="G72" s="33" t="s">
        <v>37</v>
      </c>
      <c r="H72" s="33" t="s">
        <v>37</v>
      </c>
      <c r="I72" s="33" t="s">
        <v>37</v>
      </c>
      <c r="J72" s="33" t="s">
        <v>37</v>
      </c>
      <c r="K72" s="33" t="s">
        <v>37</v>
      </c>
      <c r="L72" s="33" t="s">
        <v>37</v>
      </c>
      <c r="M72" s="33" t="s">
        <v>37</v>
      </c>
      <c r="N72" s="148" t="s">
        <v>98</v>
      </c>
      <c r="O72" s="33" t="s">
        <v>98</v>
      </c>
      <c r="P72" s="33" t="s">
        <v>98</v>
      </c>
      <c r="Q72" s="33" t="s">
        <v>98</v>
      </c>
      <c r="R72" s="33" t="s">
        <v>98</v>
      </c>
      <c r="S72" s="33" t="s">
        <v>98</v>
      </c>
      <c r="T72" s="33" t="s">
        <v>98</v>
      </c>
      <c r="U72" s="33" t="s">
        <v>98</v>
      </c>
      <c r="V72" s="33" t="s">
        <v>98</v>
      </c>
      <c r="W72" s="33" t="s">
        <v>98</v>
      </c>
      <c r="X72" s="33" t="s">
        <v>98</v>
      </c>
      <c r="Y72" s="33" t="s">
        <v>98</v>
      </c>
      <c r="Z72" s="33" t="s">
        <v>98</v>
      </c>
      <c r="AA72" s="33" t="s">
        <v>98</v>
      </c>
      <c r="AB72" s="148" t="s">
        <v>130</v>
      </c>
      <c r="AC72" s="33" t="s">
        <v>130</v>
      </c>
      <c r="AD72" s="33" t="s">
        <v>130</v>
      </c>
      <c r="AE72" s="33" t="s">
        <v>130</v>
      </c>
      <c r="AF72" s="6">
        <v>600</v>
      </c>
      <c r="AG72" s="6"/>
      <c r="AH72" s="35">
        <f t="shared" si="26"/>
        <v>371</v>
      </c>
      <c r="AI72" s="35">
        <v>949</v>
      </c>
      <c r="AJ72" s="35"/>
      <c r="AK72" s="35">
        <f t="shared" si="27"/>
        <v>349</v>
      </c>
      <c r="AL72" s="6"/>
      <c r="AM72" s="6"/>
      <c r="AN72" s="35"/>
      <c r="AO72" s="6">
        <v>1324</v>
      </c>
      <c r="AP72" s="6"/>
      <c r="AQ72" s="34">
        <f t="shared" si="28"/>
        <v>375</v>
      </c>
      <c r="AR72" s="35">
        <v>140</v>
      </c>
      <c r="AS72" s="35">
        <v>1560</v>
      </c>
      <c r="AT72" s="35">
        <f t="shared" si="29"/>
        <v>376</v>
      </c>
      <c r="AU72" s="6">
        <v>503</v>
      </c>
      <c r="AV72" s="6"/>
      <c r="AW72" s="35">
        <f t="shared" si="30"/>
        <v>363</v>
      </c>
      <c r="AX72" s="6">
        <v>873</v>
      </c>
      <c r="AY72" s="6"/>
      <c r="AZ72" s="35">
        <f t="shared" si="31"/>
        <v>370</v>
      </c>
      <c r="BA72" s="35">
        <v>0</v>
      </c>
      <c r="BB72" s="35">
        <v>1245</v>
      </c>
      <c r="BC72" s="35">
        <f t="shared" si="32"/>
        <v>372</v>
      </c>
      <c r="BD72" s="6">
        <v>0</v>
      </c>
      <c r="BE72" s="6"/>
      <c r="BF72" s="35">
        <f t="shared" si="33"/>
        <v>0</v>
      </c>
      <c r="BG72" s="6"/>
      <c r="BH72" s="6"/>
      <c r="BI72" s="6"/>
      <c r="BJ72" s="6">
        <v>318</v>
      </c>
      <c r="BK72" s="6"/>
      <c r="BL72" s="6">
        <f t="shared" si="34"/>
        <v>318</v>
      </c>
      <c r="BM72" s="6">
        <v>336</v>
      </c>
      <c r="BN72" s="6">
        <v>322</v>
      </c>
      <c r="BO72" s="6">
        <f t="shared" si="35"/>
        <v>340</v>
      </c>
      <c r="BP72" s="6">
        <v>684</v>
      </c>
      <c r="BQ72" s="6"/>
      <c r="BR72" s="35">
        <f t="shared" si="36"/>
        <v>348</v>
      </c>
      <c r="BS72" s="6">
        <v>1034</v>
      </c>
      <c r="BT72" s="6"/>
      <c r="BU72" s="6">
        <f t="shared" si="37"/>
        <v>350</v>
      </c>
      <c r="BV72" s="6">
        <v>182</v>
      </c>
      <c r="BW72" s="6">
        <v>1200</v>
      </c>
      <c r="BX72" s="35">
        <f t="shared" si="38"/>
        <v>348</v>
      </c>
      <c r="BY72" s="6">
        <v>513</v>
      </c>
      <c r="BZ72" s="6"/>
      <c r="CA72" s="6">
        <f t="shared" si="39"/>
        <v>331</v>
      </c>
      <c r="CB72" s="6"/>
      <c r="CC72" s="6"/>
      <c r="CD72" s="6"/>
      <c r="CE72" s="6">
        <v>858</v>
      </c>
      <c r="CF72" s="6"/>
      <c r="CG72" s="6">
        <f t="shared" si="40"/>
        <v>345</v>
      </c>
      <c r="CH72" s="6">
        <v>0</v>
      </c>
      <c r="CI72" s="6">
        <v>1200</v>
      </c>
      <c r="CJ72" s="6">
        <f t="shared" si="41"/>
        <v>342</v>
      </c>
      <c r="CK72" s="6">
        <v>340</v>
      </c>
      <c r="CL72" s="6"/>
      <c r="CM72" s="6">
        <f t="shared" si="42"/>
        <v>340</v>
      </c>
      <c r="CN72" s="6">
        <v>691</v>
      </c>
      <c r="CO72" s="6"/>
      <c r="CP72" s="6">
        <f t="shared" si="43"/>
        <v>351</v>
      </c>
      <c r="CQ72" s="6">
        <v>1040</v>
      </c>
      <c r="CR72" s="6"/>
      <c r="CS72" s="6">
        <f t="shared" si="44"/>
        <v>349</v>
      </c>
      <c r="CT72" s="6">
        <v>159</v>
      </c>
      <c r="CU72" s="6">
        <v>1200</v>
      </c>
      <c r="CV72" s="6">
        <f t="shared" si="45"/>
        <v>319</v>
      </c>
      <c r="CW72" s="6"/>
      <c r="CX72" s="6"/>
      <c r="CY72" s="6"/>
      <c r="CZ72" s="6">
        <v>508</v>
      </c>
      <c r="DA72" s="6"/>
      <c r="DB72" s="6">
        <f t="shared" si="46"/>
        <v>349</v>
      </c>
      <c r="DC72" s="6">
        <v>850</v>
      </c>
      <c r="DD72" s="6"/>
      <c r="DE72" s="6">
        <f t="shared" si="47"/>
        <v>342</v>
      </c>
      <c r="DF72" s="6">
        <v>267</v>
      </c>
      <c r="DG72" s="6">
        <v>886</v>
      </c>
      <c r="DH72" s="6">
        <f t="shared" si="48"/>
        <v>303</v>
      </c>
      <c r="DI72" s="6">
        <v>614</v>
      </c>
      <c r="DJ72" s="6"/>
      <c r="DK72" s="6">
        <f t="shared" si="49"/>
        <v>347</v>
      </c>
      <c r="DL72" s="6">
        <v>962</v>
      </c>
      <c r="DM72" s="6"/>
      <c r="DN72" s="6">
        <f t="shared" si="50"/>
        <v>348</v>
      </c>
      <c r="DO72" s="6">
        <v>70</v>
      </c>
      <c r="DP72" s="6">
        <v>1200</v>
      </c>
      <c r="DQ72" s="6">
        <f t="shared" si="51"/>
        <v>308</v>
      </c>
    </row>
    <row r="73" spans="1:121">
      <c r="A73" s="6">
        <v>69</v>
      </c>
      <c r="B73" s="6">
        <v>1020</v>
      </c>
      <c r="C73" s="6"/>
      <c r="D73" s="6">
        <v>387</v>
      </c>
      <c r="E73" s="33" t="s">
        <v>97</v>
      </c>
      <c r="F73" s="33" t="s">
        <v>97</v>
      </c>
      <c r="G73" s="148" t="s">
        <v>37</v>
      </c>
      <c r="H73" s="33" t="s">
        <v>37</v>
      </c>
      <c r="I73" s="33" t="s">
        <v>37</v>
      </c>
      <c r="J73" s="33" t="s">
        <v>37</v>
      </c>
      <c r="K73" s="33" t="s">
        <v>37</v>
      </c>
      <c r="L73" s="33" t="s">
        <v>37</v>
      </c>
      <c r="M73" s="33" t="s">
        <v>37</v>
      </c>
      <c r="N73" s="33" t="s">
        <v>37</v>
      </c>
      <c r="O73" s="33" t="s">
        <v>37</v>
      </c>
      <c r="P73" s="33" t="s">
        <v>37</v>
      </c>
      <c r="Q73" s="33" t="s">
        <v>37</v>
      </c>
      <c r="R73" s="33" t="s">
        <v>37</v>
      </c>
      <c r="S73" s="33" t="s">
        <v>37</v>
      </c>
      <c r="T73" s="33" t="s">
        <v>37</v>
      </c>
      <c r="U73" s="148" t="s">
        <v>130</v>
      </c>
      <c r="V73" s="33" t="s">
        <v>130</v>
      </c>
      <c r="W73" s="33" t="s">
        <v>130</v>
      </c>
      <c r="X73" s="33" t="s">
        <v>130</v>
      </c>
      <c r="Y73" s="33" t="s">
        <v>130</v>
      </c>
      <c r="Z73" s="33" t="s">
        <v>130</v>
      </c>
      <c r="AA73" s="33" t="s">
        <v>130</v>
      </c>
      <c r="AB73" s="33" t="s">
        <v>130</v>
      </c>
      <c r="AC73" s="33" t="s">
        <v>130</v>
      </c>
      <c r="AD73" s="33" t="s">
        <v>130</v>
      </c>
      <c r="AE73" s="33" t="s">
        <v>130</v>
      </c>
      <c r="AF73" s="6">
        <v>0</v>
      </c>
      <c r="AG73" s="6">
        <v>1275</v>
      </c>
      <c r="AH73" s="35">
        <f t="shared" si="26"/>
        <v>255</v>
      </c>
      <c r="AI73" s="35">
        <v>331</v>
      </c>
      <c r="AJ73" s="35"/>
      <c r="AK73" s="35">
        <f t="shared" si="27"/>
        <v>331</v>
      </c>
      <c r="AL73" s="6"/>
      <c r="AM73" s="6"/>
      <c r="AN73" s="35"/>
      <c r="AO73" s="6">
        <v>740</v>
      </c>
      <c r="AP73" s="6"/>
      <c r="AQ73" s="34">
        <f t="shared" si="28"/>
        <v>409</v>
      </c>
      <c r="AR73" s="35">
        <f>1140*0.9144</f>
        <v>1042.4159999999999</v>
      </c>
      <c r="AS73" s="35"/>
      <c r="AT73" s="35">
        <f t="shared" si="29"/>
        <v>302.41599999999994</v>
      </c>
      <c r="AU73" s="6">
        <v>1415</v>
      </c>
      <c r="AV73" s="6"/>
      <c r="AW73" s="35">
        <f t="shared" si="30"/>
        <v>372.58400000000006</v>
      </c>
      <c r="AX73" s="6">
        <v>227</v>
      </c>
      <c r="AY73" s="6">
        <v>1577</v>
      </c>
      <c r="AZ73" s="35">
        <f t="shared" si="31"/>
        <v>389</v>
      </c>
      <c r="BA73" s="6">
        <v>602</v>
      </c>
      <c r="BB73" s="6"/>
      <c r="BC73" s="35">
        <f t="shared" si="32"/>
        <v>375</v>
      </c>
      <c r="BD73" s="6">
        <v>963</v>
      </c>
      <c r="BE73" s="6"/>
      <c r="BF73" s="35">
        <f t="shared" si="33"/>
        <v>361</v>
      </c>
      <c r="BG73" s="6"/>
      <c r="BH73" s="6"/>
      <c r="BI73" s="35"/>
      <c r="BJ73" s="6">
        <v>1338</v>
      </c>
      <c r="BK73" s="6"/>
      <c r="BL73" s="6">
        <f t="shared" si="34"/>
        <v>375</v>
      </c>
      <c r="BM73" s="6">
        <v>145</v>
      </c>
      <c r="BN73" s="6">
        <v>1560</v>
      </c>
      <c r="BO73" s="6">
        <f t="shared" si="35"/>
        <v>367</v>
      </c>
      <c r="BP73" s="6">
        <v>504</v>
      </c>
      <c r="BQ73" s="6"/>
      <c r="BR73" s="35">
        <f t="shared" si="36"/>
        <v>359</v>
      </c>
      <c r="BS73" s="6">
        <v>866</v>
      </c>
      <c r="BT73" s="6"/>
      <c r="BU73" s="6">
        <f t="shared" si="37"/>
        <v>362</v>
      </c>
      <c r="BV73" s="6">
        <v>293</v>
      </c>
      <c r="BW73" s="6">
        <v>945</v>
      </c>
      <c r="BX73" s="35">
        <f t="shared" si="38"/>
        <v>372</v>
      </c>
      <c r="BY73" s="6">
        <v>648</v>
      </c>
      <c r="BZ73" s="6"/>
      <c r="CA73" s="6">
        <f t="shared" si="39"/>
        <v>355</v>
      </c>
      <c r="CB73" s="6"/>
      <c r="CC73" s="6"/>
      <c r="CD73" s="6"/>
      <c r="CE73" s="6">
        <v>0</v>
      </c>
      <c r="CF73" s="6">
        <v>886</v>
      </c>
      <c r="CG73" s="6">
        <f t="shared" si="40"/>
        <v>238</v>
      </c>
      <c r="CH73" s="6">
        <v>270</v>
      </c>
      <c r="CI73" s="6"/>
      <c r="CJ73" s="6">
        <f t="shared" si="41"/>
        <v>270</v>
      </c>
      <c r="CK73" s="6">
        <v>598</v>
      </c>
      <c r="CL73" s="6"/>
      <c r="CM73" s="6">
        <f t="shared" si="42"/>
        <v>328</v>
      </c>
      <c r="CN73" s="6">
        <v>947</v>
      </c>
      <c r="CO73" s="6"/>
      <c r="CP73" s="6">
        <f t="shared" si="43"/>
        <v>349</v>
      </c>
      <c r="CQ73" s="35">
        <v>96</v>
      </c>
      <c r="CR73" s="6">
        <v>1200</v>
      </c>
      <c r="CS73" s="6">
        <f t="shared" si="44"/>
        <v>349</v>
      </c>
      <c r="CT73" s="6">
        <v>421</v>
      </c>
      <c r="CU73" s="6"/>
      <c r="CV73" s="6">
        <f t="shared" si="45"/>
        <v>325</v>
      </c>
      <c r="CW73" s="6"/>
      <c r="CX73" s="35"/>
      <c r="CY73" s="6"/>
      <c r="CZ73" s="6">
        <v>770</v>
      </c>
      <c r="DA73" s="6"/>
      <c r="DB73" s="6">
        <f t="shared" si="46"/>
        <v>349</v>
      </c>
      <c r="DC73" s="6">
        <v>1114</v>
      </c>
      <c r="DD73" s="35"/>
      <c r="DE73" s="6">
        <f t="shared" si="47"/>
        <v>344</v>
      </c>
      <c r="DF73" s="6">
        <v>257</v>
      </c>
      <c r="DG73" s="6">
        <v>1200</v>
      </c>
      <c r="DH73" s="6">
        <f t="shared" si="48"/>
        <v>343</v>
      </c>
      <c r="DI73" s="6">
        <v>604</v>
      </c>
      <c r="DJ73" s="6"/>
      <c r="DK73" s="6">
        <f t="shared" si="49"/>
        <v>347</v>
      </c>
      <c r="DL73" s="6">
        <v>951</v>
      </c>
      <c r="DM73" s="6"/>
      <c r="DN73" s="6">
        <f t="shared" si="50"/>
        <v>347</v>
      </c>
      <c r="DO73" s="6">
        <v>68</v>
      </c>
      <c r="DP73" s="6">
        <v>1200</v>
      </c>
      <c r="DQ73" s="6">
        <f t="shared" si="51"/>
        <v>317</v>
      </c>
    </row>
    <row r="74" spans="1:121">
      <c r="A74" s="6">
        <v>70</v>
      </c>
      <c r="B74" s="6">
        <v>675</v>
      </c>
      <c r="C74" s="6"/>
      <c r="D74" s="6">
        <v>367</v>
      </c>
      <c r="E74" s="33" t="s">
        <v>37</v>
      </c>
      <c r="F74" s="33" t="s">
        <v>37</v>
      </c>
      <c r="G74" s="33" t="s">
        <v>37</v>
      </c>
      <c r="H74" s="33" t="s">
        <v>37</v>
      </c>
      <c r="I74" s="33" t="s">
        <v>37</v>
      </c>
      <c r="J74" s="33" t="s">
        <v>37</v>
      </c>
      <c r="K74" s="33" t="s">
        <v>37</v>
      </c>
      <c r="L74" s="33" t="s">
        <v>37</v>
      </c>
      <c r="M74" s="33" t="s">
        <v>37</v>
      </c>
      <c r="N74" s="33" t="s">
        <v>37</v>
      </c>
      <c r="O74" s="33" t="s">
        <v>37</v>
      </c>
      <c r="P74" s="33" t="s">
        <v>37</v>
      </c>
      <c r="Q74" s="148" t="s">
        <v>130</v>
      </c>
      <c r="R74" s="33" t="s">
        <v>130</v>
      </c>
      <c r="S74" s="33" t="s">
        <v>130</v>
      </c>
      <c r="T74" s="33" t="s">
        <v>130</v>
      </c>
      <c r="U74" s="33" t="s">
        <v>130</v>
      </c>
      <c r="V74" s="33" t="s">
        <v>130</v>
      </c>
      <c r="W74" s="33" t="s">
        <v>130</v>
      </c>
      <c r="X74" s="33" t="s">
        <v>130</v>
      </c>
      <c r="Y74" s="33" t="s">
        <v>130</v>
      </c>
      <c r="Z74" s="33" t="s">
        <v>130</v>
      </c>
      <c r="AA74" s="33" t="s">
        <v>130</v>
      </c>
      <c r="AB74" s="33" t="s">
        <v>130</v>
      </c>
      <c r="AC74" s="33" t="s">
        <v>130</v>
      </c>
      <c r="AD74" s="33" t="s">
        <v>130</v>
      </c>
      <c r="AE74" s="33" t="s">
        <v>130</v>
      </c>
      <c r="AF74" s="6">
        <v>1052</v>
      </c>
      <c r="AG74" s="6"/>
      <c r="AH74" s="35">
        <f t="shared" si="26"/>
        <v>377</v>
      </c>
      <c r="AI74" s="35">
        <v>1412</v>
      </c>
      <c r="AJ74" s="35"/>
      <c r="AK74" s="35">
        <f t="shared" si="27"/>
        <v>360</v>
      </c>
      <c r="AL74" s="6"/>
      <c r="AM74" s="6"/>
      <c r="AN74" s="35"/>
      <c r="AO74" s="6">
        <v>225</v>
      </c>
      <c r="AP74" s="6">
        <v>1561</v>
      </c>
      <c r="AQ74" s="34">
        <f t="shared" si="28"/>
        <v>374</v>
      </c>
      <c r="AR74" s="35">
        <v>601</v>
      </c>
      <c r="AS74" s="35"/>
      <c r="AT74" s="35">
        <f t="shared" si="29"/>
        <v>376</v>
      </c>
      <c r="AU74" s="6">
        <v>971</v>
      </c>
      <c r="AV74" s="6"/>
      <c r="AW74" s="35">
        <f t="shared" si="30"/>
        <v>370</v>
      </c>
      <c r="AX74" s="6">
        <v>1347</v>
      </c>
      <c r="AY74" s="6"/>
      <c r="AZ74" s="35">
        <f t="shared" si="31"/>
        <v>376</v>
      </c>
      <c r="BA74" s="35">
        <v>286</v>
      </c>
      <c r="BB74" s="35">
        <v>1436</v>
      </c>
      <c r="BC74" s="35">
        <f t="shared" si="32"/>
        <v>375</v>
      </c>
      <c r="BD74" s="6">
        <v>650</v>
      </c>
      <c r="BE74" s="6"/>
      <c r="BF74" s="35">
        <f t="shared" si="33"/>
        <v>364</v>
      </c>
      <c r="BG74" s="6"/>
      <c r="BH74" s="6"/>
      <c r="BI74" s="6"/>
      <c r="BJ74" s="6">
        <v>1028</v>
      </c>
      <c r="BK74" s="6"/>
      <c r="BL74" s="6">
        <f t="shared" si="34"/>
        <v>378</v>
      </c>
      <c r="BM74" s="6">
        <v>1401</v>
      </c>
      <c r="BN74" s="6"/>
      <c r="BO74" s="6">
        <f t="shared" si="35"/>
        <v>373</v>
      </c>
      <c r="BP74" s="6">
        <v>0</v>
      </c>
      <c r="BQ74" s="6">
        <v>1508</v>
      </c>
      <c r="BR74" s="35">
        <f t="shared" si="36"/>
        <v>107</v>
      </c>
      <c r="BS74" s="6">
        <v>281</v>
      </c>
      <c r="BT74" s="6"/>
      <c r="BU74" s="6">
        <f t="shared" si="37"/>
        <v>281</v>
      </c>
      <c r="BV74" s="6">
        <v>618</v>
      </c>
      <c r="BW74" s="6"/>
      <c r="BX74" s="35">
        <f t="shared" si="38"/>
        <v>337</v>
      </c>
      <c r="BY74" s="6">
        <v>948</v>
      </c>
      <c r="BZ74" s="6"/>
      <c r="CA74" s="6">
        <f t="shared" si="39"/>
        <v>330</v>
      </c>
      <c r="CB74" s="6"/>
      <c r="CC74" s="6"/>
      <c r="CD74" s="6"/>
      <c r="CE74" s="6">
        <v>88</v>
      </c>
      <c r="CF74" s="6">
        <v>1200</v>
      </c>
      <c r="CG74" s="6">
        <f t="shared" si="40"/>
        <v>340</v>
      </c>
      <c r="CH74" s="6">
        <v>414</v>
      </c>
      <c r="CI74" s="6"/>
      <c r="CJ74" s="6">
        <f t="shared" si="41"/>
        <v>326</v>
      </c>
      <c r="CK74" s="6">
        <v>268</v>
      </c>
      <c r="CL74" s="6">
        <v>484</v>
      </c>
      <c r="CM74" s="6">
        <f t="shared" si="42"/>
        <v>338</v>
      </c>
      <c r="CN74" s="6">
        <v>614</v>
      </c>
      <c r="CO74" s="6"/>
      <c r="CP74" s="6">
        <f t="shared" si="43"/>
        <v>346</v>
      </c>
      <c r="CQ74" s="6">
        <v>957</v>
      </c>
      <c r="CR74" s="6"/>
      <c r="CS74" s="6">
        <f t="shared" si="44"/>
        <v>343</v>
      </c>
      <c r="CT74" s="6">
        <v>83</v>
      </c>
      <c r="CU74" s="6">
        <v>1200</v>
      </c>
      <c r="CV74" s="6">
        <f t="shared" si="45"/>
        <v>326</v>
      </c>
      <c r="CW74" s="35"/>
      <c r="CX74" s="6"/>
      <c r="CY74" s="6"/>
      <c r="CZ74" s="6">
        <v>426</v>
      </c>
      <c r="DA74" s="6"/>
      <c r="DB74" s="6">
        <f t="shared" si="46"/>
        <v>343</v>
      </c>
      <c r="DC74" s="6">
        <v>766</v>
      </c>
      <c r="DD74" s="6"/>
      <c r="DE74" s="6">
        <f t="shared" si="47"/>
        <v>340</v>
      </c>
      <c r="DF74" s="6">
        <v>1108</v>
      </c>
      <c r="DG74" s="6"/>
      <c r="DH74" s="6">
        <f t="shared" si="48"/>
        <v>342</v>
      </c>
      <c r="DI74" s="6">
        <v>241</v>
      </c>
      <c r="DJ74" s="6">
        <v>1200</v>
      </c>
      <c r="DK74" s="6">
        <f t="shared" si="49"/>
        <v>333</v>
      </c>
      <c r="DL74" s="6">
        <v>578</v>
      </c>
      <c r="DM74" s="6"/>
      <c r="DN74" s="6">
        <f t="shared" si="50"/>
        <v>337</v>
      </c>
      <c r="DO74" s="6">
        <v>886</v>
      </c>
      <c r="DP74" s="6"/>
      <c r="DQ74" s="6">
        <f t="shared" si="51"/>
        <v>308</v>
      </c>
    </row>
    <row r="75" spans="1:121">
      <c r="A75" s="6">
        <v>71</v>
      </c>
      <c r="B75" s="6">
        <v>870</v>
      </c>
      <c r="C75" s="6"/>
      <c r="D75" s="6">
        <v>409</v>
      </c>
      <c r="E75" s="33" t="s">
        <v>97</v>
      </c>
      <c r="F75" s="148" t="s">
        <v>69</v>
      </c>
      <c r="G75" s="33" t="s">
        <v>69</v>
      </c>
      <c r="H75" s="33" t="s">
        <v>69</v>
      </c>
      <c r="I75" s="33" t="s">
        <v>69</v>
      </c>
      <c r="J75" s="33" t="s">
        <v>69</v>
      </c>
      <c r="K75" s="33" t="s">
        <v>69</v>
      </c>
      <c r="L75" s="148" t="s">
        <v>98</v>
      </c>
      <c r="M75" s="33" t="s">
        <v>98</v>
      </c>
      <c r="N75" s="33" t="s">
        <v>98</v>
      </c>
      <c r="O75" s="33" t="s">
        <v>98</v>
      </c>
      <c r="P75" s="33" t="s">
        <v>98</v>
      </c>
      <c r="Q75" s="33" t="s">
        <v>98</v>
      </c>
      <c r="R75" s="33" t="s">
        <v>98</v>
      </c>
      <c r="S75" s="33" t="s">
        <v>98</v>
      </c>
      <c r="T75" s="33" t="s">
        <v>98</v>
      </c>
      <c r="U75" s="33" t="s">
        <v>98</v>
      </c>
      <c r="V75" s="33" t="s">
        <v>98</v>
      </c>
      <c r="W75" s="148" t="s">
        <v>130</v>
      </c>
      <c r="X75" s="33" t="s">
        <v>130</v>
      </c>
      <c r="Y75" s="33" t="s">
        <v>130</v>
      </c>
      <c r="Z75" s="33" t="s">
        <v>130</v>
      </c>
      <c r="AA75" s="33" t="s">
        <v>130</v>
      </c>
      <c r="AB75" s="33" t="s">
        <v>130</v>
      </c>
      <c r="AC75" s="33" t="s">
        <v>130</v>
      </c>
      <c r="AD75" s="33" t="s">
        <v>130</v>
      </c>
      <c r="AE75" s="33" t="s">
        <v>130</v>
      </c>
      <c r="AF75" s="6">
        <v>350</v>
      </c>
      <c r="AG75" s="6">
        <v>901</v>
      </c>
      <c r="AH75" s="35">
        <f t="shared" si="26"/>
        <v>381</v>
      </c>
      <c r="AI75" s="35">
        <v>371</v>
      </c>
      <c r="AJ75" s="35">
        <v>364</v>
      </c>
      <c r="AK75" s="35">
        <f t="shared" si="27"/>
        <v>385</v>
      </c>
      <c r="AL75" s="6"/>
      <c r="AM75" s="6"/>
      <c r="AN75" s="35"/>
      <c r="AO75" s="6">
        <v>777</v>
      </c>
      <c r="AP75" s="6"/>
      <c r="AQ75" s="34">
        <f t="shared" si="28"/>
        <v>406</v>
      </c>
      <c r="AR75" s="35">
        <f>1186*0.9144</f>
        <v>1084.4784</v>
      </c>
      <c r="AS75" s="35"/>
      <c r="AT75" s="35">
        <f t="shared" si="29"/>
        <v>307.47839999999997</v>
      </c>
      <c r="AU75" s="6">
        <v>1453</v>
      </c>
      <c r="AV75" s="6"/>
      <c r="AW75" s="35">
        <f t="shared" si="30"/>
        <v>368.52160000000003</v>
      </c>
      <c r="AX75" s="6">
        <v>265</v>
      </c>
      <c r="AY75" s="6">
        <v>1560</v>
      </c>
      <c r="AZ75" s="35">
        <f t="shared" si="31"/>
        <v>372</v>
      </c>
      <c r="BA75" s="6">
        <v>221</v>
      </c>
      <c r="BB75" s="6">
        <v>360</v>
      </c>
      <c r="BC75" s="35">
        <f t="shared" si="32"/>
        <v>316</v>
      </c>
      <c r="BD75" s="35">
        <v>554</v>
      </c>
      <c r="BE75" s="6"/>
      <c r="BF75" s="35">
        <f t="shared" si="33"/>
        <v>333</v>
      </c>
      <c r="BG75" s="6"/>
      <c r="BH75" s="6"/>
      <c r="BI75" s="35"/>
      <c r="BJ75" s="6">
        <v>903</v>
      </c>
      <c r="BK75" s="6"/>
      <c r="BL75" s="6">
        <f t="shared" si="34"/>
        <v>349</v>
      </c>
      <c r="BM75" s="6">
        <v>47</v>
      </c>
      <c r="BN75" s="6">
        <v>1200</v>
      </c>
      <c r="BO75" s="6">
        <f t="shared" si="35"/>
        <v>344</v>
      </c>
      <c r="BP75" s="6">
        <v>393</v>
      </c>
      <c r="BQ75" s="6"/>
      <c r="BR75" s="35">
        <f t="shared" si="36"/>
        <v>346</v>
      </c>
      <c r="BS75" s="6">
        <v>742</v>
      </c>
      <c r="BT75" s="6"/>
      <c r="BU75" s="6">
        <f t="shared" si="37"/>
        <v>349</v>
      </c>
      <c r="BV75" s="6">
        <v>1089</v>
      </c>
      <c r="BW75" s="6"/>
      <c r="BX75" s="35">
        <f t="shared" si="38"/>
        <v>347</v>
      </c>
      <c r="BY75" s="6">
        <v>223</v>
      </c>
      <c r="BZ75" s="6">
        <v>1200</v>
      </c>
      <c r="CA75" s="6">
        <f t="shared" si="39"/>
        <v>334</v>
      </c>
      <c r="CB75" s="6"/>
      <c r="CC75" s="6"/>
      <c r="CD75" s="6"/>
      <c r="CE75" s="6">
        <v>566</v>
      </c>
      <c r="CF75" s="6"/>
      <c r="CG75" s="6">
        <f t="shared" si="40"/>
        <v>343</v>
      </c>
      <c r="CH75" s="6">
        <v>914</v>
      </c>
      <c r="CI75" s="6"/>
      <c r="CJ75" s="6">
        <f t="shared" si="41"/>
        <v>348</v>
      </c>
      <c r="CK75" s="6">
        <v>0</v>
      </c>
      <c r="CL75" s="6">
        <v>1028</v>
      </c>
      <c r="CM75" s="6">
        <f t="shared" si="42"/>
        <v>114</v>
      </c>
      <c r="CN75" s="6">
        <v>323</v>
      </c>
      <c r="CO75" s="6"/>
      <c r="CP75" s="6">
        <f t="shared" si="43"/>
        <v>323</v>
      </c>
      <c r="CQ75" s="6">
        <v>665</v>
      </c>
      <c r="CR75" s="6"/>
      <c r="CS75" s="6">
        <f t="shared" si="44"/>
        <v>342</v>
      </c>
      <c r="CT75" s="6">
        <v>995</v>
      </c>
      <c r="CU75" s="6"/>
      <c r="CV75" s="6">
        <f t="shared" si="45"/>
        <v>330</v>
      </c>
      <c r="CW75" s="6"/>
      <c r="CX75" s="6"/>
      <c r="CY75" s="6"/>
      <c r="CZ75" s="6">
        <v>137</v>
      </c>
      <c r="DA75" s="6">
        <v>1200</v>
      </c>
      <c r="DB75" s="6">
        <f t="shared" si="46"/>
        <v>342</v>
      </c>
      <c r="DC75" s="6">
        <v>77</v>
      </c>
      <c r="DD75" s="6">
        <v>402</v>
      </c>
      <c r="DE75" s="6">
        <f t="shared" si="47"/>
        <v>342</v>
      </c>
      <c r="DF75" s="6">
        <v>426</v>
      </c>
      <c r="DG75" s="6"/>
      <c r="DH75" s="6">
        <f t="shared" si="48"/>
        <v>349</v>
      </c>
      <c r="DI75" s="6">
        <v>775</v>
      </c>
      <c r="DJ75" s="35"/>
      <c r="DK75" s="6">
        <f t="shared" si="49"/>
        <v>349</v>
      </c>
      <c r="DL75" s="6">
        <v>1122</v>
      </c>
      <c r="DM75" s="6"/>
      <c r="DN75" s="6">
        <f t="shared" si="50"/>
        <v>347</v>
      </c>
      <c r="DO75" s="6">
        <v>235</v>
      </c>
      <c r="DP75" s="6">
        <v>1200</v>
      </c>
      <c r="DQ75" s="6">
        <f t="shared" si="51"/>
        <v>313</v>
      </c>
    </row>
    <row r="76" spans="1:121">
      <c r="A76" s="6">
        <v>72</v>
      </c>
      <c r="B76" s="6">
        <v>1027</v>
      </c>
      <c r="C76" s="6"/>
      <c r="D76" s="6">
        <v>394</v>
      </c>
      <c r="E76" s="33" t="s">
        <v>97</v>
      </c>
      <c r="F76" s="33" t="s">
        <v>97</v>
      </c>
      <c r="G76" s="33" t="s">
        <v>97</v>
      </c>
      <c r="H76" s="148" t="s">
        <v>124</v>
      </c>
      <c r="I76" s="33" t="s">
        <v>124</v>
      </c>
      <c r="J76" s="33" t="s">
        <v>124</v>
      </c>
      <c r="K76" s="33" t="s">
        <v>124</v>
      </c>
      <c r="L76" s="33" t="s">
        <v>124</v>
      </c>
      <c r="M76" s="33" t="s">
        <v>124</v>
      </c>
      <c r="N76" s="33" t="s">
        <v>124</v>
      </c>
      <c r="O76" s="33" t="s">
        <v>124</v>
      </c>
      <c r="P76" s="148" t="s">
        <v>130</v>
      </c>
      <c r="Q76" s="33" t="s">
        <v>130</v>
      </c>
      <c r="R76" s="33" t="s">
        <v>130</v>
      </c>
      <c r="S76" s="33" t="s">
        <v>130</v>
      </c>
      <c r="T76" s="33" t="s">
        <v>130</v>
      </c>
      <c r="U76" s="33" t="s">
        <v>130</v>
      </c>
      <c r="V76" s="33" t="s">
        <v>130</v>
      </c>
      <c r="W76" s="33" t="s">
        <v>130</v>
      </c>
      <c r="X76" s="33" t="s">
        <v>130</v>
      </c>
      <c r="Y76" s="33" t="s">
        <v>130</v>
      </c>
      <c r="Z76" s="33" t="s">
        <v>130</v>
      </c>
      <c r="AA76" s="33" t="s">
        <v>130</v>
      </c>
      <c r="AB76" s="33" t="s">
        <v>130</v>
      </c>
      <c r="AC76" s="33" t="s">
        <v>130</v>
      </c>
      <c r="AD76" s="33" t="s">
        <v>130</v>
      </c>
      <c r="AE76" s="33" t="s">
        <v>130</v>
      </c>
      <c r="AF76" s="6">
        <v>1434</v>
      </c>
      <c r="AG76" s="6"/>
      <c r="AH76" s="35">
        <f t="shared" si="26"/>
        <v>407</v>
      </c>
      <c r="AI76" s="35">
        <v>0</v>
      </c>
      <c r="AJ76" s="35">
        <v>1556</v>
      </c>
      <c r="AK76" s="35">
        <f t="shared" si="27"/>
        <v>122</v>
      </c>
      <c r="AL76" s="6"/>
      <c r="AM76" s="6"/>
      <c r="AN76" s="35"/>
      <c r="AO76" s="6">
        <v>174</v>
      </c>
      <c r="AP76" s="6"/>
      <c r="AQ76" s="34">
        <f t="shared" si="28"/>
        <v>174</v>
      </c>
      <c r="AR76" s="35">
        <v>424</v>
      </c>
      <c r="AS76" s="35"/>
      <c r="AT76" s="35">
        <f t="shared" si="29"/>
        <v>250</v>
      </c>
      <c r="AU76" s="6">
        <v>164</v>
      </c>
      <c r="AV76" s="6">
        <v>500</v>
      </c>
      <c r="AW76" s="35">
        <f t="shared" si="30"/>
        <v>240</v>
      </c>
      <c r="AX76" s="6">
        <v>411</v>
      </c>
      <c r="AY76" s="6"/>
      <c r="AZ76" s="35">
        <f t="shared" si="31"/>
        <v>247</v>
      </c>
      <c r="BA76" s="6">
        <v>656</v>
      </c>
      <c r="BB76" s="6"/>
      <c r="BC76" s="35">
        <f t="shared" si="32"/>
        <v>245</v>
      </c>
      <c r="BD76" s="6">
        <v>895</v>
      </c>
      <c r="BE76" s="6"/>
      <c r="BF76" s="35">
        <f t="shared" si="33"/>
        <v>239</v>
      </c>
      <c r="BG76" s="6"/>
      <c r="BH76" s="6"/>
      <c r="BI76" s="6"/>
      <c r="BJ76" s="6">
        <v>1140</v>
      </c>
      <c r="BK76" s="6"/>
      <c r="BL76" s="6">
        <f t="shared" si="34"/>
        <v>245</v>
      </c>
      <c r="BM76" s="6">
        <v>1387</v>
      </c>
      <c r="BN76" s="6"/>
      <c r="BO76" s="6">
        <f t="shared" si="35"/>
        <v>247</v>
      </c>
      <c r="BP76" s="6">
        <v>303</v>
      </c>
      <c r="BQ76" s="6">
        <v>1391</v>
      </c>
      <c r="BR76" s="35">
        <f t="shared" si="36"/>
        <v>307</v>
      </c>
      <c r="BS76" s="35">
        <v>646</v>
      </c>
      <c r="BT76" s="6"/>
      <c r="BU76" s="6">
        <f t="shared" si="37"/>
        <v>343</v>
      </c>
      <c r="BV76" s="6">
        <v>997</v>
      </c>
      <c r="BW76" s="6"/>
      <c r="BX76" s="35">
        <f t="shared" si="38"/>
        <v>351</v>
      </c>
      <c r="BY76" s="6">
        <v>130</v>
      </c>
      <c r="BZ76" s="6">
        <v>1200</v>
      </c>
      <c r="CA76" s="6">
        <f t="shared" si="39"/>
        <v>333</v>
      </c>
      <c r="CB76" s="6"/>
      <c r="CC76" s="6"/>
      <c r="CD76" s="6"/>
      <c r="CE76" s="6">
        <v>469</v>
      </c>
      <c r="CF76" s="6"/>
      <c r="CG76" s="6">
        <f t="shared" si="40"/>
        <v>339</v>
      </c>
      <c r="CH76" s="6">
        <v>819</v>
      </c>
      <c r="CI76" s="6"/>
      <c r="CJ76" s="6">
        <f t="shared" si="41"/>
        <v>350</v>
      </c>
      <c r="CK76" s="6">
        <v>1165</v>
      </c>
      <c r="CL76" s="6"/>
      <c r="CM76" s="6">
        <f t="shared" si="42"/>
        <v>346</v>
      </c>
      <c r="CN76" s="6">
        <v>314</v>
      </c>
      <c r="CO76" s="6">
        <v>1200</v>
      </c>
      <c r="CP76" s="6">
        <f t="shared" si="43"/>
        <v>349</v>
      </c>
      <c r="CQ76" s="6">
        <v>661</v>
      </c>
      <c r="CR76" s="6"/>
      <c r="CS76" s="6">
        <f t="shared" si="44"/>
        <v>347</v>
      </c>
      <c r="CT76" s="6">
        <v>985</v>
      </c>
      <c r="CU76" s="6"/>
      <c r="CV76" s="6">
        <f t="shared" si="45"/>
        <v>324</v>
      </c>
      <c r="CW76" s="6"/>
      <c r="CX76" s="6"/>
      <c r="CY76" s="6"/>
      <c r="CZ76" s="6">
        <v>133</v>
      </c>
      <c r="DA76" s="6">
        <v>1200</v>
      </c>
      <c r="DB76" s="6">
        <f t="shared" si="46"/>
        <v>348</v>
      </c>
      <c r="DC76" s="6">
        <v>481</v>
      </c>
      <c r="DD76" s="6"/>
      <c r="DE76" s="6">
        <f t="shared" si="47"/>
        <v>348</v>
      </c>
      <c r="DF76" s="6">
        <v>831</v>
      </c>
      <c r="DG76" s="6"/>
      <c r="DH76" s="6">
        <f t="shared" si="48"/>
        <v>350</v>
      </c>
      <c r="DI76" s="6">
        <v>1178</v>
      </c>
      <c r="DJ76" s="35"/>
      <c r="DK76" s="6">
        <f t="shared" si="49"/>
        <v>347</v>
      </c>
      <c r="DL76" s="6">
        <v>319</v>
      </c>
      <c r="DM76" s="6">
        <v>1205</v>
      </c>
      <c r="DN76" s="6">
        <f t="shared" si="50"/>
        <v>346</v>
      </c>
      <c r="DO76" s="6">
        <v>633</v>
      </c>
      <c r="DP76" s="6"/>
      <c r="DQ76" s="6">
        <f t="shared" si="51"/>
        <v>314</v>
      </c>
    </row>
    <row r="77" spans="1:121">
      <c r="A77" s="6">
        <v>73</v>
      </c>
      <c r="B77" s="6">
        <v>289</v>
      </c>
      <c r="C77" s="6">
        <v>1190</v>
      </c>
      <c r="D77" s="6">
        <v>318</v>
      </c>
      <c r="E77" s="148" t="s">
        <v>98</v>
      </c>
      <c r="F77" s="33" t="s">
        <v>98</v>
      </c>
      <c r="G77" s="33" t="s">
        <v>98</v>
      </c>
      <c r="H77" s="33" t="s">
        <v>98</v>
      </c>
      <c r="I77" s="33" t="s">
        <v>98</v>
      </c>
      <c r="J77" s="33" t="s">
        <v>98</v>
      </c>
      <c r="K77" s="33" t="s">
        <v>98</v>
      </c>
      <c r="L77" s="33" t="s">
        <v>98</v>
      </c>
      <c r="M77" s="33" t="s">
        <v>98</v>
      </c>
      <c r="N77" s="33" t="s">
        <v>98</v>
      </c>
      <c r="O77" s="33" t="s">
        <v>98</v>
      </c>
      <c r="P77" s="33" t="s">
        <v>98</v>
      </c>
      <c r="Q77" s="33" t="s">
        <v>98</v>
      </c>
      <c r="R77" s="33" t="s">
        <v>98</v>
      </c>
      <c r="S77" s="33" t="s">
        <v>98</v>
      </c>
      <c r="T77" s="33" t="s">
        <v>98</v>
      </c>
      <c r="U77" s="33" t="s">
        <v>98</v>
      </c>
      <c r="V77" s="33" t="s">
        <v>98</v>
      </c>
      <c r="W77" s="148" t="s">
        <v>37</v>
      </c>
      <c r="X77" s="33" t="s">
        <v>37</v>
      </c>
      <c r="Y77" s="33" t="s">
        <v>37</v>
      </c>
      <c r="Z77" s="33" t="s">
        <v>37</v>
      </c>
      <c r="AA77" s="33" t="s">
        <v>37</v>
      </c>
      <c r="AB77" s="33" t="s">
        <v>37</v>
      </c>
      <c r="AC77" s="33" t="s">
        <v>37</v>
      </c>
      <c r="AD77" s="33" t="s">
        <v>37</v>
      </c>
      <c r="AE77" s="33" t="s">
        <v>37</v>
      </c>
      <c r="AF77" s="6">
        <v>632</v>
      </c>
      <c r="AG77" s="6"/>
      <c r="AH77" s="35">
        <f t="shared" si="26"/>
        <v>343</v>
      </c>
      <c r="AI77" s="35">
        <v>948</v>
      </c>
      <c r="AJ77" s="35"/>
      <c r="AK77" s="35">
        <f t="shared" si="27"/>
        <v>316</v>
      </c>
      <c r="AL77" s="6"/>
      <c r="AM77" s="6"/>
      <c r="AN77" s="35"/>
      <c r="AO77" s="6">
        <v>90</v>
      </c>
      <c r="AP77" s="6">
        <v>1200</v>
      </c>
      <c r="AQ77" s="34">
        <f t="shared" si="28"/>
        <v>342</v>
      </c>
      <c r="AR77" s="35">
        <v>434</v>
      </c>
      <c r="AS77" s="35"/>
      <c r="AT77" s="35">
        <f t="shared" si="29"/>
        <v>344</v>
      </c>
      <c r="AU77" s="6">
        <v>776</v>
      </c>
      <c r="AV77" s="6"/>
      <c r="AW77" s="35">
        <f t="shared" si="30"/>
        <v>342</v>
      </c>
      <c r="AX77" s="6">
        <v>1122</v>
      </c>
      <c r="AY77" s="6"/>
      <c r="AZ77" s="35">
        <f t="shared" si="31"/>
        <v>346</v>
      </c>
      <c r="BA77" s="35">
        <v>263</v>
      </c>
      <c r="BB77" s="35">
        <v>1200</v>
      </c>
      <c r="BC77" s="35">
        <f t="shared" si="32"/>
        <v>341</v>
      </c>
      <c r="BD77" s="6">
        <v>598</v>
      </c>
      <c r="BE77" s="6"/>
      <c r="BF77" s="35">
        <f t="shared" si="33"/>
        <v>335</v>
      </c>
      <c r="BG77" s="35"/>
      <c r="BH77" s="6"/>
      <c r="BI77" s="6"/>
      <c r="BJ77" s="6">
        <v>943</v>
      </c>
      <c r="BK77" s="6"/>
      <c r="BL77" s="6">
        <f t="shared" si="34"/>
        <v>345</v>
      </c>
      <c r="BM77" s="6">
        <v>58</v>
      </c>
      <c r="BN77" s="6">
        <v>1200</v>
      </c>
      <c r="BO77" s="6">
        <f t="shared" si="35"/>
        <v>315</v>
      </c>
      <c r="BP77" s="6">
        <v>404</v>
      </c>
      <c r="BQ77" s="6"/>
      <c r="BR77" s="35">
        <f t="shared" si="36"/>
        <v>346</v>
      </c>
      <c r="BS77" s="6">
        <v>750</v>
      </c>
      <c r="BT77" s="6"/>
      <c r="BU77" s="6">
        <f t="shared" si="37"/>
        <v>346</v>
      </c>
      <c r="BV77" s="6">
        <v>1098</v>
      </c>
      <c r="BW77" s="6"/>
      <c r="BX77" s="35">
        <f t="shared" si="38"/>
        <v>348</v>
      </c>
      <c r="BY77" s="6">
        <v>224</v>
      </c>
      <c r="BZ77" s="6">
        <v>1200</v>
      </c>
      <c r="CA77" s="6">
        <f t="shared" si="39"/>
        <v>326</v>
      </c>
      <c r="CB77" s="6"/>
      <c r="CC77" s="6"/>
      <c r="CD77" s="6"/>
      <c r="CE77" s="6">
        <v>570</v>
      </c>
      <c r="CF77" s="6"/>
      <c r="CG77" s="6">
        <f t="shared" si="40"/>
        <v>346</v>
      </c>
      <c r="CH77" s="6">
        <v>905</v>
      </c>
      <c r="CI77" s="6"/>
      <c r="CJ77" s="6">
        <f t="shared" si="41"/>
        <v>335</v>
      </c>
      <c r="CK77" s="6">
        <v>0</v>
      </c>
      <c r="CL77" s="6">
        <v>1078</v>
      </c>
      <c r="CM77" s="6">
        <f t="shared" si="42"/>
        <v>173</v>
      </c>
      <c r="CN77" s="6">
        <v>320</v>
      </c>
      <c r="CO77" s="6"/>
      <c r="CP77" s="6">
        <f t="shared" si="43"/>
        <v>320</v>
      </c>
      <c r="CQ77" s="6">
        <v>687</v>
      </c>
      <c r="CR77" s="6"/>
      <c r="CS77" s="6">
        <f t="shared" si="44"/>
        <v>367</v>
      </c>
      <c r="CT77" s="6">
        <v>1039</v>
      </c>
      <c r="CU77" s="6"/>
      <c r="CV77" s="6">
        <f t="shared" si="45"/>
        <v>352</v>
      </c>
      <c r="CW77" s="6"/>
      <c r="CX77" s="6"/>
      <c r="CY77" s="6"/>
      <c r="CZ77" s="6">
        <v>1401</v>
      </c>
      <c r="DA77" s="6"/>
      <c r="DB77" s="6">
        <f t="shared" si="46"/>
        <v>362</v>
      </c>
      <c r="DC77" s="6">
        <v>357</v>
      </c>
      <c r="DD77" s="6">
        <v>1407</v>
      </c>
      <c r="DE77" s="6">
        <f t="shared" si="47"/>
        <v>363</v>
      </c>
      <c r="DF77" s="6">
        <v>724</v>
      </c>
      <c r="DG77" s="6"/>
      <c r="DH77" s="6">
        <f t="shared" si="48"/>
        <v>367</v>
      </c>
      <c r="DI77" s="6">
        <v>1089</v>
      </c>
      <c r="DJ77" s="6"/>
      <c r="DK77" s="6">
        <f t="shared" si="49"/>
        <v>365</v>
      </c>
      <c r="DL77" s="6">
        <v>1454</v>
      </c>
      <c r="DM77" s="6"/>
      <c r="DN77" s="6">
        <f t="shared" si="50"/>
        <v>365</v>
      </c>
      <c r="DO77" s="6">
        <v>230</v>
      </c>
      <c r="DP77" s="6">
        <v>1560</v>
      </c>
      <c r="DQ77" s="6">
        <f t="shared" si="51"/>
        <v>336</v>
      </c>
    </row>
    <row r="78" spans="1:121">
      <c r="A78" s="6">
        <v>74</v>
      </c>
      <c r="B78" s="6">
        <v>1018</v>
      </c>
      <c r="C78" s="6"/>
      <c r="D78" s="6">
        <v>373</v>
      </c>
      <c r="E78" s="33" t="s">
        <v>37</v>
      </c>
      <c r="F78" s="33" t="s">
        <v>37</v>
      </c>
      <c r="G78" s="33" t="s">
        <v>37</v>
      </c>
      <c r="H78" s="33" t="s">
        <v>37</v>
      </c>
      <c r="I78" s="33" t="s">
        <v>37</v>
      </c>
      <c r="J78" s="33" t="s">
        <v>37</v>
      </c>
      <c r="K78" s="33" t="s">
        <v>37</v>
      </c>
      <c r="L78" s="33" t="s">
        <v>37</v>
      </c>
      <c r="M78" s="33" t="s">
        <v>37</v>
      </c>
      <c r="N78" s="33" t="s">
        <v>37</v>
      </c>
      <c r="O78" s="33" t="s">
        <v>37</v>
      </c>
      <c r="P78" s="33" t="s">
        <v>37</v>
      </c>
      <c r="Q78" s="33" t="s">
        <v>37</v>
      </c>
      <c r="R78" s="33" t="s">
        <v>37</v>
      </c>
      <c r="S78" s="33" t="s">
        <v>37</v>
      </c>
      <c r="T78" s="33" t="s">
        <v>37</v>
      </c>
      <c r="U78" s="33" t="s">
        <v>37</v>
      </c>
      <c r="V78" s="33" t="s">
        <v>37</v>
      </c>
      <c r="W78" s="33" t="s">
        <v>37</v>
      </c>
      <c r="X78" s="33" t="s">
        <v>37</v>
      </c>
      <c r="Y78" s="148" t="s">
        <v>37</v>
      </c>
      <c r="Z78" s="33" t="s">
        <v>37</v>
      </c>
      <c r="AA78" s="33" t="s">
        <v>37</v>
      </c>
      <c r="AB78" s="33" t="s">
        <v>37</v>
      </c>
      <c r="AC78" s="33" t="s">
        <v>37</v>
      </c>
      <c r="AD78" s="33" t="s">
        <v>37</v>
      </c>
      <c r="AE78" s="33" t="s">
        <v>37</v>
      </c>
      <c r="AF78" s="35">
        <v>1395</v>
      </c>
      <c r="AG78" s="35"/>
      <c r="AH78" s="35">
        <f t="shared" si="26"/>
        <v>377</v>
      </c>
      <c r="AI78" s="35">
        <v>217</v>
      </c>
      <c r="AJ78" s="35">
        <v>1521</v>
      </c>
      <c r="AK78" s="35">
        <f t="shared" si="27"/>
        <v>343</v>
      </c>
      <c r="AL78" s="35"/>
      <c r="AM78" s="35"/>
      <c r="AN78" s="35"/>
      <c r="AO78" s="6">
        <v>597</v>
      </c>
      <c r="AP78" s="6"/>
      <c r="AQ78" s="34">
        <f t="shared" si="28"/>
        <v>380</v>
      </c>
      <c r="AR78" s="35">
        <v>981</v>
      </c>
      <c r="AS78" s="35"/>
      <c r="AT78" s="35">
        <f t="shared" si="29"/>
        <v>384</v>
      </c>
      <c r="AU78" s="6">
        <v>1357</v>
      </c>
      <c r="AV78" s="6"/>
      <c r="AW78" s="35">
        <f t="shared" si="30"/>
        <v>376</v>
      </c>
      <c r="AX78" s="6">
        <v>171</v>
      </c>
      <c r="AY78" s="6">
        <v>1560</v>
      </c>
      <c r="AZ78" s="35">
        <f t="shared" si="31"/>
        <v>374</v>
      </c>
      <c r="BA78" s="6">
        <v>545</v>
      </c>
      <c r="BB78" s="6"/>
      <c r="BC78" s="35">
        <f t="shared" si="32"/>
        <v>374</v>
      </c>
      <c r="BD78" s="6">
        <v>912</v>
      </c>
      <c r="BE78" s="6"/>
      <c r="BF78" s="35">
        <f t="shared" si="33"/>
        <v>367</v>
      </c>
      <c r="BG78" s="6"/>
      <c r="BH78" s="6"/>
      <c r="BI78" s="35"/>
      <c r="BJ78" s="6">
        <v>1294</v>
      </c>
      <c r="BK78" s="35"/>
      <c r="BL78" s="6">
        <f t="shared" si="34"/>
        <v>382</v>
      </c>
      <c r="BM78" s="6">
        <v>102</v>
      </c>
      <c r="BN78" s="6">
        <v>1560</v>
      </c>
      <c r="BO78" s="6">
        <f t="shared" si="35"/>
        <v>368</v>
      </c>
      <c r="BP78" s="6">
        <v>483</v>
      </c>
      <c r="BQ78" s="6"/>
      <c r="BR78" s="35">
        <f t="shared" si="36"/>
        <v>381</v>
      </c>
      <c r="BS78" s="6">
        <v>275</v>
      </c>
      <c r="BT78" s="6">
        <v>583</v>
      </c>
      <c r="BU78" s="6">
        <f t="shared" si="37"/>
        <v>375</v>
      </c>
      <c r="BV78" s="6">
        <v>659</v>
      </c>
      <c r="BW78" s="6"/>
      <c r="BX78" s="35">
        <f t="shared" si="38"/>
        <v>384</v>
      </c>
      <c r="BY78" s="6">
        <v>1025</v>
      </c>
      <c r="BZ78" s="35"/>
      <c r="CA78" s="6">
        <f t="shared" si="39"/>
        <v>366</v>
      </c>
      <c r="CB78" s="6"/>
      <c r="CC78" s="6"/>
      <c r="CD78" s="35"/>
      <c r="CE78" s="6">
        <v>1406</v>
      </c>
      <c r="CF78" s="35"/>
      <c r="CG78" s="6">
        <f t="shared" si="40"/>
        <v>381</v>
      </c>
      <c r="CH78" s="6">
        <v>227</v>
      </c>
      <c r="CI78" s="6">
        <v>1560</v>
      </c>
      <c r="CJ78" s="6">
        <f t="shared" si="41"/>
        <v>381</v>
      </c>
      <c r="CK78" s="6">
        <v>596</v>
      </c>
      <c r="CL78" s="6"/>
      <c r="CM78" s="6">
        <f t="shared" si="42"/>
        <v>369</v>
      </c>
      <c r="CN78" s="6">
        <v>977</v>
      </c>
      <c r="CO78" s="6"/>
      <c r="CP78" s="6">
        <f t="shared" si="43"/>
        <v>381</v>
      </c>
      <c r="CQ78" s="6">
        <v>0</v>
      </c>
      <c r="CR78" s="6">
        <v>1081</v>
      </c>
      <c r="CS78" s="6">
        <f t="shared" si="44"/>
        <v>104</v>
      </c>
      <c r="CT78" s="6">
        <v>303</v>
      </c>
      <c r="CU78" s="6"/>
      <c r="CV78" s="6">
        <f t="shared" si="45"/>
        <v>303</v>
      </c>
      <c r="CW78" s="6"/>
      <c r="CX78" s="6"/>
      <c r="CY78" s="6"/>
      <c r="CZ78" s="6">
        <v>672</v>
      </c>
      <c r="DA78" s="6"/>
      <c r="DB78" s="6">
        <f t="shared" si="46"/>
        <v>369</v>
      </c>
      <c r="DC78" s="6">
        <v>1034</v>
      </c>
      <c r="DD78" s="6"/>
      <c r="DE78" s="6">
        <f t="shared" si="47"/>
        <v>362</v>
      </c>
      <c r="DF78" s="6">
        <v>1398</v>
      </c>
      <c r="DG78" s="6"/>
      <c r="DH78" s="6">
        <f t="shared" si="48"/>
        <v>364</v>
      </c>
      <c r="DI78" s="6">
        <v>204</v>
      </c>
      <c r="DJ78" s="6">
        <v>1560</v>
      </c>
      <c r="DK78" s="6">
        <f t="shared" si="49"/>
        <v>366</v>
      </c>
      <c r="DL78" s="6">
        <v>573</v>
      </c>
      <c r="DM78" s="6"/>
      <c r="DN78" s="6">
        <f t="shared" si="50"/>
        <v>369</v>
      </c>
      <c r="DO78" s="6">
        <v>907</v>
      </c>
      <c r="DP78" s="6"/>
      <c r="DQ78" s="6">
        <f t="shared" si="51"/>
        <v>334</v>
      </c>
    </row>
    <row r="79" spans="1:121">
      <c r="A79" s="6">
        <v>75</v>
      </c>
      <c r="B79" s="6">
        <v>932</v>
      </c>
      <c r="C79" s="6"/>
      <c r="D79" s="6">
        <v>360</v>
      </c>
      <c r="E79" s="33" t="s">
        <v>37</v>
      </c>
      <c r="F79" s="33" t="s">
        <v>37</v>
      </c>
      <c r="G79" s="33" t="s">
        <v>37</v>
      </c>
      <c r="H79" s="33" t="s">
        <v>37</v>
      </c>
      <c r="I79" s="33" t="s">
        <v>37</v>
      </c>
      <c r="J79" s="33" t="s">
        <v>37</v>
      </c>
      <c r="K79" s="33" t="s">
        <v>37</v>
      </c>
      <c r="L79" s="33" t="s">
        <v>37</v>
      </c>
      <c r="M79" s="33" t="s">
        <v>37</v>
      </c>
      <c r="N79" s="33" t="s">
        <v>37</v>
      </c>
      <c r="O79" s="33" t="s">
        <v>37</v>
      </c>
      <c r="P79" s="33" t="s">
        <v>37</v>
      </c>
      <c r="Q79" s="33" t="s">
        <v>37</v>
      </c>
      <c r="R79" s="33" t="s">
        <v>37</v>
      </c>
      <c r="S79" s="33" t="s">
        <v>37</v>
      </c>
      <c r="T79" s="33" t="s">
        <v>37</v>
      </c>
      <c r="U79" s="33" t="s">
        <v>37</v>
      </c>
      <c r="V79" s="33" t="s">
        <v>37</v>
      </c>
      <c r="W79" s="148" t="s">
        <v>37</v>
      </c>
      <c r="X79" s="33" t="s">
        <v>37</v>
      </c>
      <c r="Y79" s="33" t="s">
        <v>37</v>
      </c>
      <c r="Z79" s="33" t="s">
        <v>37</v>
      </c>
      <c r="AA79" s="33" t="s">
        <v>37</v>
      </c>
      <c r="AB79" s="33" t="s">
        <v>37</v>
      </c>
      <c r="AC79" s="33" t="s">
        <v>37</v>
      </c>
      <c r="AD79" s="33" t="s">
        <v>37</v>
      </c>
      <c r="AE79" s="33" t="s">
        <v>37</v>
      </c>
      <c r="AF79" s="6">
        <v>1318</v>
      </c>
      <c r="AG79" s="6"/>
      <c r="AH79" s="35">
        <f t="shared" si="26"/>
        <v>386</v>
      </c>
      <c r="AI79" s="35">
        <v>127</v>
      </c>
      <c r="AJ79" s="35">
        <v>1542</v>
      </c>
      <c r="AK79" s="35">
        <f t="shared" si="27"/>
        <v>351</v>
      </c>
      <c r="AL79" s="6"/>
      <c r="AM79" s="6"/>
      <c r="AN79" s="35"/>
      <c r="AO79" s="6">
        <v>483</v>
      </c>
      <c r="AP79" s="6"/>
      <c r="AQ79" s="34">
        <f t="shared" si="28"/>
        <v>356</v>
      </c>
      <c r="AR79" s="35">
        <v>839</v>
      </c>
      <c r="AS79" s="35"/>
      <c r="AT79" s="35">
        <f t="shared" si="29"/>
        <v>356</v>
      </c>
      <c r="AU79" s="6">
        <v>1194</v>
      </c>
      <c r="AV79" s="6"/>
      <c r="AW79" s="35">
        <f t="shared" si="30"/>
        <v>355</v>
      </c>
      <c r="AX79" s="6">
        <v>1549</v>
      </c>
      <c r="AY79" s="6"/>
      <c r="AZ79" s="35">
        <f t="shared" si="31"/>
        <v>355</v>
      </c>
      <c r="BA79" s="35">
        <v>347</v>
      </c>
      <c r="BB79" s="35">
        <v>1560</v>
      </c>
      <c r="BC79" s="35">
        <f t="shared" si="32"/>
        <v>358</v>
      </c>
      <c r="BD79" s="6">
        <v>694</v>
      </c>
      <c r="BE79" s="6"/>
      <c r="BF79" s="35">
        <f t="shared" si="33"/>
        <v>347</v>
      </c>
      <c r="BG79" s="6"/>
      <c r="BH79" s="6"/>
      <c r="BI79" s="6"/>
      <c r="BJ79" s="6">
        <v>1052</v>
      </c>
      <c r="BK79" s="6"/>
      <c r="BL79" s="6">
        <f t="shared" si="34"/>
        <v>358</v>
      </c>
      <c r="BM79" s="6">
        <v>1404</v>
      </c>
      <c r="BN79" s="6"/>
      <c r="BO79" s="6">
        <f t="shared" si="35"/>
        <v>352</v>
      </c>
      <c r="BP79" s="6">
        <v>326</v>
      </c>
      <c r="BQ79" s="6">
        <v>1433</v>
      </c>
      <c r="BR79" s="35">
        <f t="shared" si="36"/>
        <v>355</v>
      </c>
      <c r="BS79" s="6">
        <v>680</v>
      </c>
      <c r="BT79" s="6"/>
      <c r="BU79" s="6">
        <f t="shared" si="37"/>
        <v>354</v>
      </c>
      <c r="BV79" s="6">
        <v>1038</v>
      </c>
      <c r="BW79" s="6"/>
      <c r="BX79" s="35">
        <f t="shared" si="38"/>
        <v>358</v>
      </c>
      <c r="BY79" s="6">
        <v>1377</v>
      </c>
      <c r="BZ79" s="6"/>
      <c r="CA79" s="6">
        <f t="shared" si="39"/>
        <v>339</v>
      </c>
      <c r="CB79" s="6"/>
      <c r="CC79" s="6"/>
      <c r="CD79" s="6"/>
      <c r="CE79" s="6">
        <v>178</v>
      </c>
      <c r="CF79" s="6">
        <v>1560</v>
      </c>
      <c r="CG79" s="6">
        <f t="shared" si="40"/>
        <v>361</v>
      </c>
      <c r="CH79" s="6">
        <v>254</v>
      </c>
      <c r="CI79" s="6"/>
      <c r="CJ79" s="6">
        <f t="shared" si="41"/>
        <v>76</v>
      </c>
      <c r="CK79" s="6">
        <v>494</v>
      </c>
      <c r="CL79" s="6"/>
      <c r="CM79" s="6">
        <f t="shared" si="42"/>
        <v>240</v>
      </c>
      <c r="CN79" s="6">
        <v>6</v>
      </c>
      <c r="CO79" s="6">
        <v>550</v>
      </c>
      <c r="CP79" s="6">
        <f t="shared" si="43"/>
        <v>62</v>
      </c>
      <c r="CQ79" s="6">
        <v>372</v>
      </c>
      <c r="CR79" s="6"/>
      <c r="CS79" s="6">
        <f t="shared" si="44"/>
        <v>366</v>
      </c>
      <c r="CT79" s="6">
        <v>708</v>
      </c>
      <c r="CU79" s="6"/>
      <c r="CV79" s="6">
        <f t="shared" si="45"/>
        <v>336</v>
      </c>
      <c r="CW79" s="6"/>
      <c r="CX79" s="6"/>
      <c r="CY79" s="6"/>
      <c r="CZ79" s="6">
        <v>1064</v>
      </c>
      <c r="DA79" s="6"/>
      <c r="DB79" s="6">
        <f t="shared" si="46"/>
        <v>356</v>
      </c>
      <c r="DC79" s="6">
        <v>1431</v>
      </c>
      <c r="DD79" s="6"/>
      <c r="DE79" s="6">
        <f t="shared" si="47"/>
        <v>367</v>
      </c>
      <c r="DF79" s="6">
        <v>238</v>
      </c>
      <c r="DG79" s="6">
        <v>1560</v>
      </c>
      <c r="DH79" s="6">
        <f t="shared" si="48"/>
        <v>367</v>
      </c>
      <c r="DI79" s="6">
        <v>604</v>
      </c>
      <c r="DJ79" s="6"/>
      <c r="DK79" s="6">
        <f t="shared" si="49"/>
        <v>366</v>
      </c>
      <c r="DL79" s="6">
        <v>973</v>
      </c>
      <c r="DM79" s="6"/>
      <c r="DN79" s="6">
        <f t="shared" si="50"/>
        <v>369</v>
      </c>
      <c r="DO79" s="6">
        <v>1307</v>
      </c>
      <c r="DP79" s="6"/>
      <c r="DQ79" s="6">
        <f t="shared" si="51"/>
        <v>334</v>
      </c>
    </row>
    <row r="80" spans="1:121">
      <c r="A80" s="6">
        <v>76</v>
      </c>
      <c r="B80" s="6">
        <v>308</v>
      </c>
      <c r="C80" s="6">
        <v>1560</v>
      </c>
      <c r="D80" s="6">
        <v>366</v>
      </c>
      <c r="E80" s="33" t="s">
        <v>37</v>
      </c>
      <c r="F80" s="33" t="s">
        <v>37</v>
      </c>
      <c r="G80" s="33" t="s">
        <v>37</v>
      </c>
      <c r="H80" s="33" t="s">
        <v>37</v>
      </c>
      <c r="I80" s="33" t="s">
        <v>37</v>
      </c>
      <c r="J80" s="33" t="s">
        <v>37</v>
      </c>
      <c r="K80" s="33" t="s">
        <v>37</v>
      </c>
      <c r="L80" s="33" t="s">
        <v>37</v>
      </c>
      <c r="M80" s="33" t="s">
        <v>37</v>
      </c>
      <c r="N80" s="33" t="s">
        <v>37</v>
      </c>
      <c r="O80" s="33" t="s">
        <v>37</v>
      </c>
      <c r="P80" s="33" t="s">
        <v>37</v>
      </c>
      <c r="Q80" s="33" t="s">
        <v>37</v>
      </c>
      <c r="R80" s="33" t="s">
        <v>37</v>
      </c>
      <c r="S80" s="33" t="s">
        <v>37</v>
      </c>
      <c r="T80" s="33" t="s">
        <v>37</v>
      </c>
      <c r="U80" s="33" t="s">
        <v>37</v>
      </c>
      <c r="V80" s="33" t="s">
        <v>37</v>
      </c>
      <c r="W80" s="148" t="s">
        <v>128</v>
      </c>
      <c r="X80" s="33" t="s">
        <v>128</v>
      </c>
      <c r="Y80" s="33" t="s">
        <v>128</v>
      </c>
      <c r="Z80" s="33" t="s">
        <v>128</v>
      </c>
      <c r="AA80" s="33" t="s">
        <v>128</v>
      </c>
      <c r="AB80" s="33" t="s">
        <v>128</v>
      </c>
      <c r="AC80" s="33" t="s">
        <v>128</v>
      </c>
      <c r="AD80" s="33" t="s">
        <v>128</v>
      </c>
      <c r="AE80" s="33" t="s">
        <v>128</v>
      </c>
      <c r="AF80" s="6">
        <v>701</v>
      </c>
      <c r="AG80" s="6"/>
      <c r="AH80" s="35">
        <f t="shared" si="26"/>
        <v>393</v>
      </c>
      <c r="AI80" s="35">
        <v>1059</v>
      </c>
      <c r="AJ80" s="35"/>
      <c r="AK80" s="35">
        <f t="shared" si="27"/>
        <v>358</v>
      </c>
      <c r="AL80" s="6"/>
      <c r="AM80" s="6"/>
      <c r="AN80" s="35"/>
      <c r="AO80" s="6">
        <v>1436</v>
      </c>
      <c r="AP80" s="6"/>
      <c r="AQ80" s="34">
        <f t="shared" si="28"/>
        <v>377</v>
      </c>
      <c r="AR80" s="35">
        <v>251</v>
      </c>
      <c r="AS80" s="35">
        <v>1560</v>
      </c>
      <c r="AT80" s="35">
        <f t="shared" si="29"/>
        <v>375</v>
      </c>
      <c r="AU80" s="6">
        <v>623</v>
      </c>
      <c r="AV80" s="6"/>
      <c r="AW80" s="35">
        <f t="shared" si="30"/>
        <v>372</v>
      </c>
      <c r="AX80" s="6">
        <v>999</v>
      </c>
      <c r="AY80" s="6"/>
      <c r="AZ80" s="35">
        <f t="shared" si="31"/>
        <v>376</v>
      </c>
      <c r="BA80" s="35">
        <v>1375</v>
      </c>
      <c r="BB80" s="35"/>
      <c r="BC80" s="35">
        <f t="shared" si="32"/>
        <v>376</v>
      </c>
      <c r="BD80" s="6">
        <v>175</v>
      </c>
      <c r="BE80" s="6">
        <v>1560</v>
      </c>
      <c r="BF80" s="35">
        <f t="shared" si="33"/>
        <v>360</v>
      </c>
      <c r="BG80" s="6"/>
      <c r="BH80" s="6"/>
      <c r="BI80" s="6"/>
      <c r="BJ80" s="6">
        <v>552</v>
      </c>
      <c r="BK80" s="6"/>
      <c r="BL80" s="6">
        <f t="shared" si="34"/>
        <v>377</v>
      </c>
      <c r="BM80" s="6">
        <v>926</v>
      </c>
      <c r="BN80" s="6"/>
      <c r="BO80" s="6">
        <f t="shared" si="35"/>
        <v>374</v>
      </c>
      <c r="BP80" s="6">
        <v>1300</v>
      </c>
      <c r="BQ80" s="6"/>
      <c r="BR80" s="35">
        <f t="shared" si="36"/>
        <v>374</v>
      </c>
      <c r="BS80" s="6">
        <v>156</v>
      </c>
      <c r="BT80" s="6">
        <v>1510</v>
      </c>
      <c r="BU80" s="6">
        <f t="shared" si="37"/>
        <v>366</v>
      </c>
      <c r="BV80" s="6">
        <v>529</v>
      </c>
      <c r="BW80" s="6"/>
      <c r="BX80" s="35">
        <f t="shared" si="38"/>
        <v>373</v>
      </c>
      <c r="BY80" s="6">
        <v>878</v>
      </c>
      <c r="BZ80" s="6"/>
      <c r="CA80" s="6">
        <f t="shared" si="39"/>
        <v>349</v>
      </c>
      <c r="CB80" s="6"/>
      <c r="CC80" s="6"/>
      <c r="CD80" s="6"/>
      <c r="CE80" s="6">
        <v>1246</v>
      </c>
      <c r="CF80" s="6"/>
      <c r="CG80" s="6">
        <f t="shared" si="40"/>
        <v>368</v>
      </c>
      <c r="CH80" s="6">
        <v>1322</v>
      </c>
      <c r="CI80" s="6"/>
      <c r="CJ80" s="6">
        <f t="shared" si="41"/>
        <v>76</v>
      </c>
      <c r="CK80" s="6">
        <v>1592</v>
      </c>
      <c r="CL80" s="6"/>
      <c r="CM80" s="6">
        <f t="shared" si="42"/>
        <v>270</v>
      </c>
      <c r="CN80" s="6">
        <v>5</v>
      </c>
      <c r="CO80" s="6">
        <v>1651</v>
      </c>
      <c r="CP80" s="6">
        <f t="shared" si="43"/>
        <v>64</v>
      </c>
      <c r="CQ80" s="6">
        <v>369</v>
      </c>
      <c r="CR80" s="6"/>
      <c r="CS80" s="6">
        <f t="shared" si="44"/>
        <v>364</v>
      </c>
      <c r="CT80" s="6">
        <v>712</v>
      </c>
      <c r="CU80" s="6"/>
      <c r="CV80" s="6">
        <f t="shared" si="45"/>
        <v>343</v>
      </c>
      <c r="CW80" s="6"/>
      <c r="CX80" s="6"/>
      <c r="CY80" s="6"/>
      <c r="CZ80" s="6">
        <v>1085</v>
      </c>
      <c r="DA80" s="6"/>
      <c r="DB80" s="6">
        <f t="shared" si="46"/>
        <v>373</v>
      </c>
      <c r="DC80" s="6">
        <v>1449</v>
      </c>
      <c r="DD80" s="6"/>
      <c r="DE80" s="6">
        <f t="shared" si="47"/>
        <v>364</v>
      </c>
      <c r="DF80" s="6">
        <v>261</v>
      </c>
      <c r="DG80" s="6">
        <v>1560</v>
      </c>
      <c r="DH80" s="6">
        <f t="shared" si="48"/>
        <v>372</v>
      </c>
      <c r="DI80" s="6">
        <v>638</v>
      </c>
      <c r="DJ80" s="6"/>
      <c r="DK80" s="6">
        <f t="shared" si="49"/>
        <v>377</v>
      </c>
      <c r="DL80" s="6">
        <v>1009</v>
      </c>
      <c r="DM80" s="6"/>
      <c r="DN80" s="6">
        <f t="shared" si="50"/>
        <v>371</v>
      </c>
      <c r="DO80" s="6">
        <v>1349</v>
      </c>
      <c r="DP80" s="6"/>
      <c r="DQ80" s="6">
        <f t="shared" si="51"/>
        <v>340</v>
      </c>
    </row>
    <row r="81" spans="1:121">
      <c r="A81" s="6">
        <v>77</v>
      </c>
      <c r="B81" s="6">
        <v>1096</v>
      </c>
      <c r="C81" s="6"/>
      <c r="D81" s="6">
        <v>345</v>
      </c>
      <c r="E81" s="33" t="s">
        <v>37</v>
      </c>
      <c r="F81" s="33" t="s">
        <v>37</v>
      </c>
      <c r="G81" s="33" t="s">
        <v>37</v>
      </c>
      <c r="H81" s="33" t="s">
        <v>37</v>
      </c>
      <c r="I81" s="33" t="s">
        <v>37</v>
      </c>
      <c r="J81" s="33" t="s">
        <v>37</v>
      </c>
      <c r="K81" s="33" t="s">
        <v>37</v>
      </c>
      <c r="L81" s="33" t="s">
        <v>37</v>
      </c>
      <c r="M81" s="33" t="s">
        <v>37</v>
      </c>
      <c r="N81" s="33" t="s">
        <v>37</v>
      </c>
      <c r="O81" s="33" t="s">
        <v>37</v>
      </c>
      <c r="P81" s="33" t="s">
        <v>37</v>
      </c>
      <c r="Q81" s="33" t="s">
        <v>37</v>
      </c>
      <c r="R81" s="33" t="s">
        <v>37</v>
      </c>
      <c r="S81" s="33" t="s">
        <v>37</v>
      </c>
      <c r="T81" s="33" t="s">
        <v>37</v>
      </c>
      <c r="U81" s="33" t="s">
        <v>37</v>
      </c>
      <c r="V81" s="33" t="s">
        <v>37</v>
      </c>
      <c r="W81" s="33" t="s">
        <v>37</v>
      </c>
      <c r="X81" s="148" t="s">
        <v>37</v>
      </c>
      <c r="Y81" s="33" t="s">
        <v>37</v>
      </c>
      <c r="Z81" s="33" t="s">
        <v>37</v>
      </c>
      <c r="AA81" s="33" t="s">
        <v>37</v>
      </c>
      <c r="AB81" s="33" t="s">
        <v>37</v>
      </c>
      <c r="AC81" s="33" t="s">
        <v>37</v>
      </c>
      <c r="AD81" s="33" t="s">
        <v>37</v>
      </c>
      <c r="AE81" s="33" t="s">
        <v>37</v>
      </c>
      <c r="AF81" s="6">
        <v>1467</v>
      </c>
      <c r="AG81" s="6"/>
      <c r="AH81" s="35">
        <f t="shared" si="26"/>
        <v>371</v>
      </c>
      <c r="AI81" s="35">
        <v>268</v>
      </c>
      <c r="AJ81" s="35">
        <v>1560</v>
      </c>
      <c r="AK81" s="35">
        <f t="shared" si="27"/>
        <v>361</v>
      </c>
      <c r="AL81" s="35"/>
      <c r="AM81" s="6"/>
      <c r="AN81" s="35"/>
      <c r="AO81" s="6">
        <v>649</v>
      </c>
      <c r="AP81" s="6"/>
      <c r="AQ81" s="34">
        <f t="shared" si="28"/>
        <v>381</v>
      </c>
      <c r="AR81" s="35">
        <v>1030</v>
      </c>
      <c r="AS81" s="35"/>
      <c r="AT81" s="35">
        <f t="shared" si="29"/>
        <v>381</v>
      </c>
      <c r="AU81" s="6">
        <v>1407</v>
      </c>
      <c r="AV81" s="6"/>
      <c r="AW81" s="35">
        <f t="shared" si="30"/>
        <v>377</v>
      </c>
      <c r="AX81" s="6">
        <v>224</v>
      </c>
      <c r="AY81" s="6">
        <v>1560</v>
      </c>
      <c r="AZ81" s="35">
        <f t="shared" si="31"/>
        <v>377</v>
      </c>
      <c r="BA81" s="6">
        <v>605</v>
      </c>
      <c r="BB81" s="6"/>
      <c r="BC81" s="35">
        <f t="shared" si="32"/>
        <v>381</v>
      </c>
      <c r="BD81" s="6">
        <v>970</v>
      </c>
      <c r="BE81" s="6"/>
      <c r="BF81" s="35">
        <f t="shared" si="33"/>
        <v>365</v>
      </c>
      <c r="BG81" s="6"/>
      <c r="BH81" s="6"/>
      <c r="BI81" s="35"/>
      <c r="BJ81" s="6">
        <v>1343</v>
      </c>
      <c r="BK81" s="35"/>
      <c r="BL81" s="6">
        <f t="shared" si="34"/>
        <v>373</v>
      </c>
      <c r="BM81" s="6">
        <v>146</v>
      </c>
      <c r="BN81" s="6">
        <v>1560</v>
      </c>
      <c r="BO81" s="6">
        <f t="shared" si="35"/>
        <v>363</v>
      </c>
      <c r="BP81" s="6">
        <v>527</v>
      </c>
      <c r="BQ81" s="6"/>
      <c r="BR81" s="35">
        <f t="shared" si="36"/>
        <v>381</v>
      </c>
      <c r="BS81" s="6">
        <v>901</v>
      </c>
      <c r="BT81" s="6"/>
      <c r="BU81" s="6">
        <f t="shared" si="37"/>
        <v>374</v>
      </c>
      <c r="BV81" s="6">
        <v>1284</v>
      </c>
      <c r="BW81" s="6"/>
      <c r="BX81" s="35">
        <f t="shared" si="38"/>
        <v>383</v>
      </c>
      <c r="BY81" s="6">
        <v>75</v>
      </c>
      <c r="BZ81" s="35">
        <v>1560</v>
      </c>
      <c r="CA81" s="6">
        <f t="shared" si="39"/>
        <v>351</v>
      </c>
      <c r="CB81" s="6"/>
      <c r="CC81" s="6"/>
      <c r="CD81" s="35"/>
      <c r="CE81" s="6">
        <v>453</v>
      </c>
      <c r="CF81" s="35"/>
      <c r="CG81" s="6">
        <f t="shared" si="40"/>
        <v>378</v>
      </c>
      <c r="CH81" s="6">
        <v>835</v>
      </c>
      <c r="CI81" s="6"/>
      <c r="CJ81" s="6">
        <f t="shared" si="41"/>
        <v>382</v>
      </c>
      <c r="CK81" s="6">
        <v>1199</v>
      </c>
      <c r="CL81" s="6"/>
      <c r="CM81" s="6">
        <f t="shared" si="42"/>
        <v>364</v>
      </c>
      <c r="CN81" s="6">
        <v>0</v>
      </c>
      <c r="CO81" s="6">
        <v>1329</v>
      </c>
      <c r="CP81" s="6">
        <f t="shared" si="43"/>
        <v>130</v>
      </c>
      <c r="CQ81" s="6">
        <v>308</v>
      </c>
      <c r="CR81" s="6"/>
      <c r="CS81" s="6">
        <f t="shared" si="44"/>
        <v>308</v>
      </c>
      <c r="CT81" s="6">
        <v>643</v>
      </c>
      <c r="CU81" s="6"/>
      <c r="CV81" s="6">
        <f t="shared" si="45"/>
        <v>335</v>
      </c>
      <c r="CW81" s="6"/>
      <c r="CX81" s="6"/>
      <c r="CY81" s="6"/>
      <c r="CZ81" s="6">
        <v>1009</v>
      </c>
      <c r="DA81" s="6"/>
      <c r="DB81" s="6">
        <f t="shared" si="46"/>
        <v>366</v>
      </c>
      <c r="DC81" s="6">
        <v>1371</v>
      </c>
      <c r="DD81" s="6"/>
      <c r="DE81" s="6">
        <f t="shared" si="47"/>
        <v>362</v>
      </c>
      <c r="DF81" s="6">
        <v>178</v>
      </c>
      <c r="DG81" s="6">
        <v>1560</v>
      </c>
      <c r="DH81" s="6">
        <f t="shared" si="48"/>
        <v>367</v>
      </c>
      <c r="DI81" s="6">
        <v>533</v>
      </c>
      <c r="DJ81" s="6"/>
      <c r="DK81" s="6">
        <f t="shared" si="49"/>
        <v>355</v>
      </c>
      <c r="DL81" s="6">
        <v>892</v>
      </c>
      <c r="DM81" s="6"/>
      <c r="DN81" s="6">
        <f t="shared" si="50"/>
        <v>359</v>
      </c>
      <c r="DO81" s="6">
        <v>1220</v>
      </c>
      <c r="DP81" s="6"/>
      <c r="DQ81" s="6">
        <f t="shared" si="51"/>
        <v>328</v>
      </c>
    </row>
    <row r="82" spans="1:121">
      <c r="A82" s="6">
        <v>78</v>
      </c>
      <c r="B82" s="6">
        <v>650</v>
      </c>
      <c r="C82" s="6"/>
      <c r="D82" s="8">
        <v>362</v>
      </c>
      <c r="E82" s="33" t="s">
        <v>69</v>
      </c>
      <c r="F82" s="33" t="s">
        <v>69</v>
      </c>
      <c r="G82" s="33" t="s">
        <v>69</v>
      </c>
      <c r="H82" s="33" t="s">
        <v>69</v>
      </c>
      <c r="I82" s="33" t="s">
        <v>69</v>
      </c>
      <c r="J82" s="33" t="s">
        <v>69</v>
      </c>
      <c r="K82" s="33" t="s">
        <v>69</v>
      </c>
      <c r="L82" s="33" t="s">
        <v>69</v>
      </c>
      <c r="M82" s="33" t="s">
        <v>69</v>
      </c>
      <c r="N82" s="33" t="s">
        <v>69</v>
      </c>
      <c r="O82" s="33" t="s">
        <v>69</v>
      </c>
      <c r="P82" s="33" t="s">
        <v>69</v>
      </c>
      <c r="Q82" s="33" t="s">
        <v>69</v>
      </c>
      <c r="R82" s="33" t="s">
        <v>69</v>
      </c>
      <c r="S82" s="33" t="s">
        <v>69</v>
      </c>
      <c r="T82" s="33" t="s">
        <v>69</v>
      </c>
      <c r="U82" s="148" t="s">
        <v>128</v>
      </c>
      <c r="V82" s="33" t="s">
        <v>128</v>
      </c>
      <c r="W82" s="33" t="s">
        <v>128</v>
      </c>
      <c r="X82" s="33" t="s">
        <v>128</v>
      </c>
      <c r="Y82" s="33" t="s">
        <v>128</v>
      </c>
      <c r="Z82" s="33" t="s">
        <v>128</v>
      </c>
      <c r="AA82" s="33" t="s">
        <v>128</v>
      </c>
      <c r="AB82" s="33" t="s">
        <v>128</v>
      </c>
      <c r="AC82" s="33" t="s">
        <v>128</v>
      </c>
      <c r="AD82" s="33" t="s">
        <v>128</v>
      </c>
      <c r="AE82" s="33" t="s">
        <v>128</v>
      </c>
      <c r="AF82" s="6">
        <v>1035</v>
      </c>
      <c r="AG82" s="6"/>
      <c r="AH82" s="35">
        <f t="shared" si="26"/>
        <v>385</v>
      </c>
      <c r="AI82" s="35">
        <v>1394</v>
      </c>
      <c r="AJ82" s="35"/>
      <c r="AK82" s="35">
        <f t="shared" si="27"/>
        <v>359</v>
      </c>
      <c r="AL82" s="6"/>
      <c r="AM82" s="6"/>
      <c r="AN82" s="35"/>
      <c r="AO82" s="6">
        <v>207</v>
      </c>
      <c r="AP82" s="6">
        <v>1561</v>
      </c>
      <c r="AQ82" s="34">
        <f t="shared" si="28"/>
        <v>374</v>
      </c>
      <c r="AR82" s="35">
        <v>583</v>
      </c>
      <c r="AS82" s="35"/>
      <c r="AT82" s="35">
        <f t="shared" si="29"/>
        <v>376</v>
      </c>
      <c r="AU82" s="6">
        <v>953</v>
      </c>
      <c r="AV82" s="6"/>
      <c r="AW82" s="35">
        <f t="shared" si="30"/>
        <v>370</v>
      </c>
      <c r="AX82" s="6">
        <v>1327</v>
      </c>
      <c r="AY82" s="6"/>
      <c r="AZ82" s="35">
        <f t="shared" si="31"/>
        <v>374</v>
      </c>
      <c r="BA82" s="35">
        <v>140</v>
      </c>
      <c r="BB82" s="35">
        <v>1560</v>
      </c>
      <c r="BC82" s="35">
        <f t="shared" si="32"/>
        <v>373</v>
      </c>
      <c r="BD82" s="6">
        <v>503</v>
      </c>
      <c r="BE82" s="6"/>
      <c r="BF82" s="35">
        <f t="shared" si="33"/>
        <v>363</v>
      </c>
      <c r="BG82" s="6"/>
      <c r="BH82" s="6"/>
      <c r="BI82" s="6"/>
      <c r="BJ82" s="6">
        <v>878</v>
      </c>
      <c r="BK82" s="6"/>
      <c r="BL82" s="6">
        <f t="shared" si="34"/>
        <v>375</v>
      </c>
      <c r="BM82" s="6">
        <v>243</v>
      </c>
      <c r="BN82" s="6">
        <v>1005</v>
      </c>
      <c r="BO82" s="6">
        <f t="shared" si="35"/>
        <v>370</v>
      </c>
      <c r="BP82" s="6">
        <v>620</v>
      </c>
      <c r="BQ82" s="6"/>
      <c r="BR82" s="35">
        <f t="shared" si="36"/>
        <v>377</v>
      </c>
      <c r="BS82" s="6">
        <v>996</v>
      </c>
      <c r="BT82" s="6"/>
      <c r="BU82" s="6">
        <f t="shared" si="37"/>
        <v>376</v>
      </c>
      <c r="BV82" s="6">
        <v>1372</v>
      </c>
      <c r="BW82" s="6"/>
      <c r="BX82" s="35">
        <f t="shared" si="38"/>
        <v>376</v>
      </c>
      <c r="BY82" s="6">
        <v>1730</v>
      </c>
      <c r="BZ82" s="6"/>
      <c r="CA82" s="6">
        <f t="shared" si="39"/>
        <v>358</v>
      </c>
      <c r="CB82" s="6"/>
      <c r="CC82" s="6"/>
      <c r="CD82" s="6"/>
      <c r="CE82" s="6">
        <v>0</v>
      </c>
      <c r="CF82" s="6">
        <v>1763</v>
      </c>
      <c r="CG82" s="6">
        <f t="shared" si="40"/>
        <v>33</v>
      </c>
      <c r="CH82" s="6">
        <v>305</v>
      </c>
      <c r="CI82" s="6"/>
      <c r="CJ82" s="6">
        <f t="shared" si="41"/>
        <v>305</v>
      </c>
      <c r="CK82" s="6">
        <v>662</v>
      </c>
      <c r="CL82" s="6"/>
      <c r="CM82" s="6">
        <f t="shared" si="42"/>
        <v>357</v>
      </c>
      <c r="CN82" s="6">
        <v>1018</v>
      </c>
      <c r="CO82" s="6"/>
      <c r="CP82" s="6">
        <f t="shared" si="43"/>
        <v>356</v>
      </c>
      <c r="CQ82" s="6">
        <v>1384</v>
      </c>
      <c r="CR82" s="6"/>
      <c r="CS82" s="6">
        <f t="shared" si="44"/>
        <v>366</v>
      </c>
      <c r="CT82" s="6">
        <v>172</v>
      </c>
      <c r="CU82" s="6">
        <v>1557</v>
      </c>
      <c r="CV82" s="6">
        <f t="shared" si="45"/>
        <v>345</v>
      </c>
      <c r="CW82" s="6"/>
      <c r="CX82" s="6"/>
      <c r="CY82" s="6"/>
      <c r="CZ82" s="6">
        <v>541</v>
      </c>
      <c r="DA82" s="6"/>
      <c r="DB82" s="6">
        <f t="shared" si="46"/>
        <v>369</v>
      </c>
      <c r="DC82" s="6">
        <v>907</v>
      </c>
      <c r="DD82" s="6"/>
      <c r="DE82" s="6">
        <f t="shared" si="47"/>
        <v>366</v>
      </c>
      <c r="DF82" s="6">
        <v>1273</v>
      </c>
      <c r="DG82" s="6"/>
      <c r="DH82" s="6">
        <f t="shared" si="48"/>
        <v>366</v>
      </c>
      <c r="DI82" s="6">
        <v>77</v>
      </c>
      <c r="DJ82" s="6">
        <v>1560</v>
      </c>
      <c r="DK82" s="6">
        <f t="shared" si="49"/>
        <v>364</v>
      </c>
      <c r="DL82" s="6">
        <v>441</v>
      </c>
      <c r="DM82" s="6"/>
      <c r="DN82" s="6">
        <f t="shared" si="50"/>
        <v>364</v>
      </c>
      <c r="DO82" s="6">
        <v>770</v>
      </c>
      <c r="DP82" s="6"/>
      <c r="DQ82" s="6">
        <f t="shared" si="51"/>
        <v>329</v>
      </c>
    </row>
    <row r="83" spans="1:121">
      <c r="A83" s="6">
        <v>79</v>
      </c>
      <c r="B83" s="6">
        <v>679</v>
      </c>
      <c r="C83" s="6"/>
      <c r="D83" s="8">
        <v>368</v>
      </c>
      <c r="E83" s="33" t="s">
        <v>69</v>
      </c>
      <c r="F83" s="33" t="s">
        <v>69</v>
      </c>
      <c r="G83" s="33" t="s">
        <v>69</v>
      </c>
      <c r="H83" s="33" t="s">
        <v>69</v>
      </c>
      <c r="I83" s="33" t="s">
        <v>69</v>
      </c>
      <c r="J83" s="33" t="s">
        <v>69</v>
      </c>
      <c r="K83" s="33" t="s">
        <v>69</v>
      </c>
      <c r="L83" s="33" t="s">
        <v>69</v>
      </c>
      <c r="M83" s="33" t="s">
        <v>69</v>
      </c>
      <c r="N83" s="33" t="s">
        <v>69</v>
      </c>
      <c r="O83" s="33" t="s">
        <v>69</v>
      </c>
      <c r="P83" s="33" t="s">
        <v>69</v>
      </c>
      <c r="Q83" s="33" t="s">
        <v>69</v>
      </c>
      <c r="R83" s="33" t="s">
        <v>69</v>
      </c>
      <c r="S83" s="33" t="s">
        <v>69</v>
      </c>
      <c r="T83" s="33" t="s">
        <v>69</v>
      </c>
      <c r="U83" s="33" t="s">
        <v>69</v>
      </c>
      <c r="V83" s="33" t="s">
        <v>69</v>
      </c>
      <c r="W83" s="148" t="s">
        <v>37</v>
      </c>
      <c r="X83" s="33" t="s">
        <v>37</v>
      </c>
      <c r="Y83" s="33" t="s">
        <v>37</v>
      </c>
      <c r="Z83" s="33" t="s">
        <v>37</v>
      </c>
      <c r="AA83" s="33" t="s">
        <v>37</v>
      </c>
      <c r="AB83" s="33" t="s">
        <v>37</v>
      </c>
      <c r="AC83" s="33" t="s">
        <v>37</v>
      </c>
      <c r="AD83" s="33" t="s">
        <v>37</v>
      </c>
      <c r="AE83" s="33" t="s">
        <v>37</v>
      </c>
      <c r="AF83" s="6">
        <v>1068</v>
      </c>
      <c r="AG83" s="6"/>
      <c r="AH83" s="35">
        <f t="shared" si="26"/>
        <v>389</v>
      </c>
      <c r="AI83" s="35">
        <v>1428</v>
      </c>
      <c r="AJ83" s="35"/>
      <c r="AK83" s="35">
        <f t="shared" si="27"/>
        <v>360</v>
      </c>
      <c r="AL83" s="6"/>
      <c r="AM83" s="6"/>
      <c r="AN83" s="35"/>
      <c r="AO83" s="6">
        <v>243</v>
      </c>
      <c r="AP83" s="6">
        <v>1561</v>
      </c>
      <c r="AQ83" s="34">
        <f t="shared" si="28"/>
        <v>376</v>
      </c>
      <c r="AR83" s="35">
        <v>622</v>
      </c>
      <c r="AS83" s="35"/>
      <c r="AT83" s="35">
        <f t="shared" si="29"/>
        <v>379</v>
      </c>
      <c r="AU83" s="6">
        <v>994</v>
      </c>
      <c r="AV83" s="6"/>
      <c r="AW83" s="35">
        <f t="shared" si="30"/>
        <v>372</v>
      </c>
      <c r="AX83" s="6">
        <v>1368</v>
      </c>
      <c r="AY83" s="6"/>
      <c r="AZ83" s="35">
        <f t="shared" si="31"/>
        <v>374</v>
      </c>
      <c r="BA83" s="35">
        <v>178</v>
      </c>
      <c r="BB83" s="35">
        <v>1560</v>
      </c>
      <c r="BC83" s="35">
        <f t="shared" si="32"/>
        <v>370</v>
      </c>
      <c r="BD83" s="6">
        <v>536</v>
      </c>
      <c r="BE83" s="6"/>
      <c r="BF83" s="35">
        <f t="shared" si="33"/>
        <v>358</v>
      </c>
      <c r="BG83" s="6"/>
      <c r="BH83" s="6"/>
      <c r="BI83" s="6"/>
      <c r="BJ83" s="6">
        <v>914</v>
      </c>
      <c r="BK83" s="107"/>
      <c r="BL83" s="6">
        <f t="shared" si="34"/>
        <v>378</v>
      </c>
      <c r="BM83" s="6">
        <v>1285</v>
      </c>
      <c r="BN83" s="6"/>
      <c r="BO83" s="6">
        <f t="shared" si="35"/>
        <v>371</v>
      </c>
      <c r="BP83" s="6">
        <v>101</v>
      </c>
      <c r="BQ83" s="6">
        <v>1560</v>
      </c>
      <c r="BR83" s="35">
        <f t="shared" si="36"/>
        <v>376</v>
      </c>
      <c r="BS83" s="6">
        <v>104</v>
      </c>
      <c r="BT83" s="6">
        <v>369</v>
      </c>
      <c r="BU83" s="6">
        <f t="shared" si="37"/>
        <v>372</v>
      </c>
      <c r="BV83" s="6">
        <v>475</v>
      </c>
      <c r="BW83" s="6"/>
      <c r="BX83" s="35">
        <f t="shared" si="38"/>
        <v>371</v>
      </c>
      <c r="BY83" s="6">
        <v>824</v>
      </c>
      <c r="BZ83" s="6"/>
      <c r="CA83" s="6">
        <f t="shared" si="39"/>
        <v>349</v>
      </c>
      <c r="CB83" s="6"/>
      <c r="CC83" s="6"/>
      <c r="CD83" s="6"/>
      <c r="CE83" s="6">
        <v>1193</v>
      </c>
      <c r="CF83" s="6"/>
      <c r="CG83" s="6">
        <f t="shared" si="40"/>
        <v>369</v>
      </c>
      <c r="CH83" s="6">
        <v>1270</v>
      </c>
      <c r="CI83" s="6"/>
      <c r="CJ83" s="6">
        <f t="shared" si="41"/>
        <v>77</v>
      </c>
      <c r="CK83" s="6">
        <v>0</v>
      </c>
      <c r="CL83" s="6">
        <v>1500</v>
      </c>
      <c r="CM83" s="6">
        <f t="shared" si="42"/>
        <v>230</v>
      </c>
      <c r="CN83" s="6">
        <v>327</v>
      </c>
      <c r="CO83" s="6"/>
      <c r="CP83" s="6">
        <f t="shared" si="43"/>
        <v>327</v>
      </c>
      <c r="CQ83" s="6">
        <v>696</v>
      </c>
      <c r="CR83" s="6"/>
      <c r="CS83" s="6">
        <f t="shared" si="44"/>
        <v>369</v>
      </c>
      <c r="CT83" s="6">
        <v>1040</v>
      </c>
      <c r="CU83" s="6"/>
      <c r="CV83" s="6">
        <f t="shared" si="45"/>
        <v>344</v>
      </c>
      <c r="CW83" s="6"/>
      <c r="CX83" s="6"/>
      <c r="CY83" s="6"/>
      <c r="CZ83" s="6">
        <v>1413</v>
      </c>
      <c r="DA83" s="6"/>
      <c r="DB83" s="6">
        <f t="shared" si="46"/>
        <v>373</v>
      </c>
      <c r="DC83" s="6">
        <v>218</v>
      </c>
      <c r="DD83" s="6">
        <v>1560</v>
      </c>
      <c r="DE83" s="6">
        <f t="shared" si="47"/>
        <v>365</v>
      </c>
      <c r="DF83" s="6">
        <v>593</v>
      </c>
      <c r="DG83" s="6"/>
      <c r="DH83" s="6">
        <f t="shared" si="48"/>
        <v>375</v>
      </c>
      <c r="DI83" s="6">
        <v>954</v>
      </c>
      <c r="DJ83" s="6"/>
      <c r="DK83" s="6">
        <f t="shared" si="49"/>
        <v>361</v>
      </c>
      <c r="DL83" s="6">
        <v>1321</v>
      </c>
      <c r="DM83" s="6"/>
      <c r="DN83" s="6">
        <f t="shared" si="50"/>
        <v>367</v>
      </c>
      <c r="DO83" s="6">
        <v>230</v>
      </c>
      <c r="DP83" s="6">
        <v>1416</v>
      </c>
      <c r="DQ83" s="6">
        <f t="shared" si="51"/>
        <v>325</v>
      </c>
    </row>
    <row r="84" spans="1:121">
      <c r="A84" s="6">
        <v>80</v>
      </c>
      <c r="B84" s="6">
        <v>896</v>
      </c>
      <c r="C84" s="6"/>
      <c r="D84" s="6">
        <v>330</v>
      </c>
      <c r="E84" s="33" t="s">
        <v>95</v>
      </c>
      <c r="F84" s="33" t="s">
        <v>95</v>
      </c>
      <c r="G84" s="33" t="s">
        <v>95</v>
      </c>
      <c r="H84" s="33" t="s">
        <v>95</v>
      </c>
      <c r="I84" s="33" t="s">
        <v>95</v>
      </c>
      <c r="J84" s="33" t="s">
        <v>95</v>
      </c>
      <c r="K84" s="167" t="s">
        <v>37</v>
      </c>
      <c r="L84" s="169" t="s">
        <v>37</v>
      </c>
      <c r="M84" s="169" t="s">
        <v>37</v>
      </c>
      <c r="N84" s="169" t="s">
        <v>37</v>
      </c>
      <c r="O84" s="169" t="s">
        <v>37</v>
      </c>
      <c r="P84" s="169" t="s">
        <v>37</v>
      </c>
      <c r="Q84" s="169" t="s">
        <v>37</v>
      </c>
      <c r="R84" s="169" t="s">
        <v>37</v>
      </c>
      <c r="S84" s="169" t="s">
        <v>37</v>
      </c>
      <c r="T84" s="169" t="s">
        <v>37</v>
      </c>
      <c r="U84" s="169" t="s">
        <v>37</v>
      </c>
      <c r="V84" s="169" t="s">
        <v>37</v>
      </c>
      <c r="W84" s="169" t="s">
        <v>37</v>
      </c>
      <c r="X84" s="169" t="s">
        <v>37</v>
      </c>
      <c r="Y84" s="169" t="s">
        <v>37</v>
      </c>
      <c r="Z84" s="169" t="s">
        <v>37</v>
      </c>
      <c r="AA84" s="169" t="s">
        <v>37</v>
      </c>
      <c r="AB84" s="167" t="s">
        <v>37</v>
      </c>
      <c r="AC84" s="169" t="s">
        <v>37</v>
      </c>
      <c r="AD84" s="169" t="s">
        <v>37</v>
      </c>
      <c r="AE84" s="169" t="s">
        <v>37</v>
      </c>
      <c r="AF84" s="6">
        <v>35</v>
      </c>
      <c r="AG84" s="6">
        <v>1200</v>
      </c>
      <c r="AH84" s="35">
        <f t="shared" si="26"/>
        <v>339</v>
      </c>
      <c r="AI84" s="35">
        <v>364</v>
      </c>
      <c r="AJ84" s="35"/>
      <c r="AK84" s="35">
        <f t="shared" si="27"/>
        <v>329</v>
      </c>
      <c r="AL84" s="6"/>
      <c r="AM84" s="6"/>
      <c r="AN84" s="35"/>
      <c r="AO84" s="6">
        <v>713</v>
      </c>
      <c r="AP84" s="6"/>
      <c r="AQ84" s="34">
        <f t="shared" si="28"/>
        <v>349</v>
      </c>
      <c r="AR84" s="35">
        <v>1056</v>
      </c>
      <c r="AS84" s="35"/>
      <c r="AT84" s="35">
        <f t="shared" si="29"/>
        <v>343</v>
      </c>
      <c r="AU84" s="6">
        <v>0</v>
      </c>
      <c r="AV84" s="6">
        <v>1360</v>
      </c>
      <c r="AW84" s="35">
        <f t="shared" si="30"/>
        <v>304</v>
      </c>
      <c r="AX84" s="6">
        <v>70</v>
      </c>
      <c r="AY84" s="6">
        <v>286</v>
      </c>
      <c r="AZ84" s="35">
        <f t="shared" si="31"/>
        <v>356</v>
      </c>
      <c r="BA84" s="35">
        <v>446</v>
      </c>
      <c r="BB84" s="35"/>
      <c r="BC84" s="35">
        <f t="shared" si="32"/>
        <v>376</v>
      </c>
      <c r="BD84" s="6">
        <v>796</v>
      </c>
      <c r="BE84" s="6"/>
      <c r="BF84" s="35">
        <f t="shared" si="33"/>
        <v>350</v>
      </c>
      <c r="BG84" s="6"/>
      <c r="BH84" s="6"/>
      <c r="BI84" s="6"/>
      <c r="BJ84" s="6">
        <v>1172</v>
      </c>
      <c r="BK84" s="107"/>
      <c r="BL84" s="6">
        <f t="shared" si="34"/>
        <v>376</v>
      </c>
      <c r="BM84" s="6">
        <v>1545</v>
      </c>
      <c r="BN84" s="6"/>
      <c r="BO84" s="6">
        <f t="shared" si="35"/>
        <v>373</v>
      </c>
      <c r="BP84" s="6">
        <v>360</v>
      </c>
      <c r="BQ84" s="6">
        <v>1560</v>
      </c>
      <c r="BR84" s="35">
        <f t="shared" si="36"/>
        <v>375</v>
      </c>
      <c r="BS84" s="6">
        <v>725</v>
      </c>
      <c r="BT84" s="6"/>
      <c r="BU84" s="6">
        <f t="shared" si="37"/>
        <v>365</v>
      </c>
      <c r="BV84" s="6">
        <v>1095</v>
      </c>
      <c r="BW84" s="6"/>
      <c r="BX84" s="35">
        <f t="shared" si="38"/>
        <v>370</v>
      </c>
      <c r="BY84" s="6">
        <v>274</v>
      </c>
      <c r="BZ84" s="6">
        <v>1146</v>
      </c>
      <c r="CA84" s="6">
        <f t="shared" si="39"/>
        <v>325</v>
      </c>
      <c r="CB84" s="6"/>
      <c r="CC84" s="6"/>
      <c r="CD84" s="6"/>
      <c r="CE84" s="6">
        <v>636</v>
      </c>
      <c r="CF84" s="6"/>
      <c r="CG84" s="6">
        <f t="shared" si="40"/>
        <v>362</v>
      </c>
      <c r="CH84" s="6">
        <v>996</v>
      </c>
      <c r="CI84" s="6"/>
      <c r="CJ84" s="6">
        <f t="shared" si="41"/>
        <v>360</v>
      </c>
      <c r="CK84" s="6">
        <v>1356</v>
      </c>
      <c r="CL84" s="6"/>
      <c r="CM84" s="6">
        <f t="shared" si="42"/>
        <v>360</v>
      </c>
      <c r="CN84" s="6">
        <v>166</v>
      </c>
      <c r="CO84" s="6">
        <v>1550</v>
      </c>
      <c r="CP84" s="6">
        <f t="shared" si="43"/>
        <v>360</v>
      </c>
      <c r="CQ84" s="6">
        <v>529</v>
      </c>
      <c r="CR84" s="6"/>
      <c r="CS84" s="6">
        <f t="shared" si="44"/>
        <v>363</v>
      </c>
      <c r="CT84" s="6">
        <v>0</v>
      </c>
      <c r="CU84" s="6">
        <v>795</v>
      </c>
      <c r="CV84" s="6">
        <f t="shared" si="45"/>
        <v>266</v>
      </c>
      <c r="CW84" s="6"/>
      <c r="CX84" s="6"/>
      <c r="CY84" s="6"/>
      <c r="CZ84" s="6">
        <v>0</v>
      </c>
      <c r="DA84" s="6"/>
      <c r="DB84" s="6">
        <f t="shared" si="46"/>
        <v>0</v>
      </c>
      <c r="DC84" s="6">
        <v>0</v>
      </c>
      <c r="DD84" s="6"/>
      <c r="DE84" s="6">
        <f t="shared" si="47"/>
        <v>0</v>
      </c>
      <c r="DF84" s="6">
        <v>273</v>
      </c>
      <c r="DG84" s="6"/>
      <c r="DH84" s="6">
        <f t="shared" si="48"/>
        <v>273</v>
      </c>
      <c r="DI84" s="6">
        <v>655</v>
      </c>
      <c r="DJ84" s="6"/>
      <c r="DK84" s="6">
        <f t="shared" si="49"/>
        <v>382</v>
      </c>
      <c r="DL84" s="6">
        <v>1037</v>
      </c>
      <c r="DM84" s="6"/>
      <c r="DN84" s="6">
        <f t="shared" si="50"/>
        <v>382</v>
      </c>
      <c r="DO84" s="6">
        <v>1383</v>
      </c>
      <c r="DP84" s="6"/>
      <c r="DQ84" s="6">
        <f t="shared" si="51"/>
        <v>346</v>
      </c>
    </row>
    <row r="85" spans="1:121">
      <c r="A85" s="6">
        <v>81</v>
      </c>
      <c r="B85" s="6">
        <v>0</v>
      </c>
      <c r="C85" s="6">
        <v>1068</v>
      </c>
      <c r="D85" s="6">
        <v>177</v>
      </c>
      <c r="E85" s="33" t="s">
        <v>37</v>
      </c>
      <c r="F85" s="148" t="s">
        <v>69</v>
      </c>
      <c r="G85" s="33" t="s">
        <v>69</v>
      </c>
      <c r="H85" s="33" t="s">
        <v>69</v>
      </c>
      <c r="I85" s="33" t="s">
        <v>69</v>
      </c>
      <c r="J85" s="33" t="s">
        <v>69</v>
      </c>
      <c r="K85" s="33" t="s">
        <v>69</v>
      </c>
      <c r="L85" s="33" t="s">
        <v>69</v>
      </c>
      <c r="M85" s="33" t="s">
        <v>69</v>
      </c>
      <c r="N85" s="33" t="s">
        <v>69</v>
      </c>
      <c r="O85" s="33" t="s">
        <v>69</v>
      </c>
      <c r="P85" s="33" t="s">
        <v>69</v>
      </c>
      <c r="Q85" s="33" t="s">
        <v>69</v>
      </c>
      <c r="R85" s="33" t="s">
        <v>69</v>
      </c>
      <c r="S85" s="33" t="s">
        <v>69</v>
      </c>
      <c r="T85" s="33" t="s">
        <v>69</v>
      </c>
      <c r="U85" s="33" t="s">
        <v>69</v>
      </c>
      <c r="V85" s="33" t="s">
        <v>69</v>
      </c>
      <c r="W85" s="33" t="s">
        <v>69</v>
      </c>
      <c r="X85" s="33" t="s">
        <v>69</v>
      </c>
      <c r="Y85" s="33" t="s">
        <v>69</v>
      </c>
      <c r="Z85" s="33" t="s">
        <v>69</v>
      </c>
      <c r="AA85" s="33" t="s">
        <v>69</v>
      </c>
      <c r="AB85" s="148" t="s">
        <v>37</v>
      </c>
      <c r="AC85" s="33" t="s">
        <v>37</v>
      </c>
      <c r="AD85" s="33" t="s">
        <v>37</v>
      </c>
      <c r="AE85" s="33" t="s">
        <v>37</v>
      </c>
      <c r="AF85" s="35">
        <v>333</v>
      </c>
      <c r="AG85" s="35"/>
      <c r="AH85" s="35">
        <f t="shared" si="26"/>
        <v>333</v>
      </c>
      <c r="AI85" s="35">
        <v>691</v>
      </c>
      <c r="AJ85" s="35"/>
      <c r="AK85" s="35">
        <f t="shared" si="27"/>
        <v>358</v>
      </c>
      <c r="AL85" s="35"/>
      <c r="AM85" s="35"/>
      <c r="AN85" s="35"/>
      <c r="AO85" s="35">
        <v>1061</v>
      </c>
      <c r="AP85" s="35"/>
      <c r="AQ85" s="34">
        <f t="shared" si="28"/>
        <v>370</v>
      </c>
      <c r="AR85" s="35">
        <v>1438</v>
      </c>
      <c r="AS85" s="35"/>
      <c r="AT85" s="35">
        <f t="shared" si="29"/>
        <v>377</v>
      </c>
      <c r="AU85" s="6">
        <v>246</v>
      </c>
      <c r="AV85" s="6">
        <v>1560</v>
      </c>
      <c r="AW85" s="35">
        <f t="shared" si="30"/>
        <v>368</v>
      </c>
      <c r="AX85" s="6">
        <v>622</v>
      </c>
      <c r="AY85" s="6"/>
      <c r="AZ85" s="35">
        <f t="shared" si="31"/>
        <v>376</v>
      </c>
      <c r="BA85" s="6">
        <v>47</v>
      </c>
      <c r="BB85" s="6">
        <v>933</v>
      </c>
      <c r="BC85" s="35">
        <f t="shared" si="32"/>
        <v>358</v>
      </c>
      <c r="BD85" s="6">
        <v>406</v>
      </c>
      <c r="BE85" s="6"/>
      <c r="BF85" s="35">
        <f t="shared" si="33"/>
        <v>359</v>
      </c>
      <c r="BG85" s="6"/>
      <c r="BH85" s="6"/>
      <c r="BI85" s="35"/>
      <c r="BJ85" s="6">
        <v>783</v>
      </c>
      <c r="BK85" s="35"/>
      <c r="BL85" s="6">
        <f t="shared" si="34"/>
        <v>377</v>
      </c>
      <c r="BM85" s="6">
        <v>1145</v>
      </c>
      <c r="BN85" s="6"/>
      <c r="BO85" s="6">
        <f t="shared" si="35"/>
        <v>362</v>
      </c>
      <c r="BP85" s="6">
        <v>1497</v>
      </c>
      <c r="BQ85" s="6"/>
      <c r="BR85" s="35">
        <f t="shared" si="36"/>
        <v>352</v>
      </c>
      <c r="BS85" s="6">
        <v>291</v>
      </c>
      <c r="BT85" s="6">
        <v>1560</v>
      </c>
      <c r="BU85" s="6">
        <f t="shared" si="37"/>
        <v>354</v>
      </c>
      <c r="BV85" s="6">
        <v>650</v>
      </c>
      <c r="BW85" s="6"/>
      <c r="BX85" s="35">
        <f t="shared" si="38"/>
        <v>359</v>
      </c>
      <c r="BY85" s="6">
        <v>981</v>
      </c>
      <c r="BZ85" s="35"/>
      <c r="CA85" s="6">
        <f t="shared" si="39"/>
        <v>331</v>
      </c>
      <c r="CB85" s="6"/>
      <c r="CC85" s="6"/>
      <c r="CD85" s="35"/>
      <c r="CE85" s="6">
        <v>1335</v>
      </c>
      <c r="CF85" s="35"/>
      <c r="CG85" s="6">
        <f t="shared" si="40"/>
        <v>354</v>
      </c>
      <c r="CH85" s="6">
        <v>181</v>
      </c>
      <c r="CI85" s="6">
        <v>1507</v>
      </c>
      <c r="CJ85" s="6">
        <f t="shared" si="41"/>
        <v>353</v>
      </c>
      <c r="CK85" s="6">
        <v>525</v>
      </c>
      <c r="CL85" s="6"/>
      <c r="CM85" s="6">
        <f t="shared" si="42"/>
        <v>344</v>
      </c>
      <c r="CN85" s="6">
        <v>882</v>
      </c>
      <c r="CO85" s="6"/>
      <c r="CP85" s="6">
        <f t="shared" si="43"/>
        <v>357</v>
      </c>
      <c r="CQ85" s="6">
        <v>1237</v>
      </c>
      <c r="CR85" s="6"/>
      <c r="CS85" s="6">
        <f t="shared" si="44"/>
        <v>355</v>
      </c>
      <c r="CT85" s="6">
        <v>8</v>
      </c>
      <c r="CU85" s="6">
        <v>1560</v>
      </c>
      <c r="CV85" s="6">
        <f t="shared" si="45"/>
        <v>331</v>
      </c>
      <c r="CW85" s="6"/>
      <c r="CX85" s="6"/>
      <c r="CY85" s="6"/>
      <c r="CZ85" s="6">
        <v>372</v>
      </c>
      <c r="DA85" s="6"/>
      <c r="DB85" s="6">
        <f t="shared" si="46"/>
        <v>364</v>
      </c>
      <c r="DC85" s="6">
        <v>0</v>
      </c>
      <c r="DD85" s="6">
        <v>690</v>
      </c>
      <c r="DE85" s="6">
        <f t="shared" si="47"/>
        <v>318</v>
      </c>
      <c r="DF85" s="6">
        <v>277</v>
      </c>
      <c r="DG85" s="6"/>
      <c r="DH85" s="6">
        <f t="shared" si="48"/>
        <v>277</v>
      </c>
      <c r="DI85" s="6">
        <v>642</v>
      </c>
      <c r="DJ85" s="6"/>
      <c r="DK85" s="6">
        <f t="shared" si="49"/>
        <v>365</v>
      </c>
      <c r="DL85" s="6">
        <v>1007</v>
      </c>
      <c r="DM85" s="6"/>
      <c r="DN85" s="6">
        <f t="shared" si="50"/>
        <v>365</v>
      </c>
      <c r="DO85" s="6">
        <v>1337</v>
      </c>
      <c r="DP85" s="6"/>
      <c r="DQ85" s="6">
        <f t="shared" si="51"/>
        <v>330</v>
      </c>
    </row>
    <row r="86" spans="1:121">
      <c r="A86" s="6">
        <v>82</v>
      </c>
      <c r="B86" s="6">
        <v>937</v>
      </c>
      <c r="C86" s="6"/>
      <c r="D86" s="6">
        <v>322</v>
      </c>
      <c r="E86" s="33" t="s">
        <v>98</v>
      </c>
      <c r="F86" s="33" t="s">
        <v>98</v>
      </c>
      <c r="G86" s="33" t="s">
        <v>98</v>
      </c>
      <c r="H86" s="33" t="s">
        <v>98</v>
      </c>
      <c r="I86" s="33" t="s">
        <v>98</v>
      </c>
      <c r="J86" s="33" t="s">
        <v>98</v>
      </c>
      <c r="K86" s="33" t="s">
        <v>98</v>
      </c>
      <c r="L86" s="33" t="s">
        <v>98</v>
      </c>
      <c r="M86" s="33" t="s">
        <v>98</v>
      </c>
      <c r="N86" s="148" t="s">
        <v>69</v>
      </c>
      <c r="O86" s="33" t="s">
        <v>69</v>
      </c>
      <c r="P86" s="33" t="s">
        <v>69</v>
      </c>
      <c r="Q86" s="33" t="s">
        <v>69</v>
      </c>
      <c r="R86" s="33" t="s">
        <v>69</v>
      </c>
      <c r="S86" s="33" t="s">
        <v>69</v>
      </c>
      <c r="T86" s="33" t="s">
        <v>69</v>
      </c>
      <c r="U86" s="33" t="s">
        <v>69</v>
      </c>
      <c r="V86" s="33" t="s">
        <v>69</v>
      </c>
      <c r="W86" s="33" t="s">
        <v>69</v>
      </c>
      <c r="X86" s="33" t="s">
        <v>69</v>
      </c>
      <c r="Y86" s="33" t="s">
        <v>69</v>
      </c>
      <c r="Z86" s="33" t="s">
        <v>69</v>
      </c>
      <c r="AA86" s="33" t="s">
        <v>69</v>
      </c>
      <c r="AB86" s="33" t="s">
        <v>69</v>
      </c>
      <c r="AC86" s="33" t="s">
        <v>69</v>
      </c>
      <c r="AD86" s="33" t="s">
        <v>69</v>
      </c>
      <c r="AE86" s="33" t="s">
        <v>69</v>
      </c>
      <c r="AF86" s="6">
        <v>222</v>
      </c>
      <c r="AG86" s="6">
        <v>1057</v>
      </c>
      <c r="AH86" s="35">
        <f t="shared" si="26"/>
        <v>342</v>
      </c>
      <c r="AI86" s="35">
        <v>547</v>
      </c>
      <c r="AJ86" s="35"/>
      <c r="AK86" s="35">
        <f t="shared" si="27"/>
        <v>325</v>
      </c>
      <c r="AL86" s="6"/>
      <c r="AM86" s="6"/>
      <c r="AN86" s="35"/>
      <c r="AO86" s="6">
        <v>895</v>
      </c>
      <c r="AP86" s="6"/>
      <c r="AQ86" s="34">
        <f t="shared" si="28"/>
        <v>348</v>
      </c>
      <c r="AR86" s="35">
        <v>38</v>
      </c>
      <c r="AS86" s="35">
        <v>1200</v>
      </c>
      <c r="AT86" s="35">
        <f t="shared" si="29"/>
        <v>343</v>
      </c>
      <c r="AU86" s="6">
        <v>381</v>
      </c>
      <c r="AV86" s="6"/>
      <c r="AW86" s="35">
        <f t="shared" si="30"/>
        <v>343</v>
      </c>
      <c r="AX86" s="6">
        <v>204</v>
      </c>
      <c r="AY86" s="6">
        <v>499</v>
      </c>
      <c r="AZ86" s="35">
        <f t="shared" si="31"/>
        <v>322</v>
      </c>
      <c r="BA86" s="35">
        <v>552</v>
      </c>
      <c r="BB86" s="35"/>
      <c r="BC86" s="35">
        <f t="shared" si="32"/>
        <v>348</v>
      </c>
      <c r="BD86" s="6">
        <v>0</v>
      </c>
      <c r="BE86" s="6">
        <v>749</v>
      </c>
      <c r="BF86" s="35">
        <f t="shared" si="33"/>
        <v>197</v>
      </c>
      <c r="BG86" s="6"/>
      <c r="BH86" s="6"/>
      <c r="BI86" s="6"/>
      <c r="BJ86" s="6">
        <v>0</v>
      </c>
      <c r="BK86" s="6"/>
      <c r="BL86" s="6">
        <f t="shared" si="34"/>
        <v>0</v>
      </c>
      <c r="BM86" s="6">
        <v>0</v>
      </c>
      <c r="BN86" s="6"/>
      <c r="BO86" s="6">
        <f t="shared" si="35"/>
        <v>0</v>
      </c>
      <c r="BP86" s="6">
        <v>0</v>
      </c>
      <c r="BQ86" s="6"/>
      <c r="BR86" s="35">
        <f t="shared" si="36"/>
        <v>0</v>
      </c>
      <c r="BS86" s="6">
        <v>0</v>
      </c>
      <c r="BT86" s="6"/>
      <c r="BU86" s="6">
        <f t="shared" si="37"/>
        <v>0</v>
      </c>
      <c r="BV86" s="6">
        <v>0</v>
      </c>
      <c r="BW86" s="6"/>
      <c r="BX86" s="35">
        <f t="shared" si="38"/>
        <v>0</v>
      </c>
      <c r="BY86" s="6">
        <v>0</v>
      </c>
      <c r="BZ86" s="6"/>
      <c r="CA86" s="6">
        <f t="shared" si="39"/>
        <v>0</v>
      </c>
      <c r="CB86" s="6"/>
      <c r="CC86" s="6"/>
      <c r="CD86" s="6"/>
      <c r="CE86" s="6">
        <v>221</v>
      </c>
      <c r="CF86" s="6"/>
      <c r="CG86" s="6">
        <f t="shared" si="40"/>
        <v>221</v>
      </c>
      <c r="CH86" s="6">
        <v>582</v>
      </c>
      <c r="CI86" s="6"/>
      <c r="CJ86" s="6">
        <f t="shared" si="41"/>
        <v>361</v>
      </c>
      <c r="CK86" s="6">
        <v>944</v>
      </c>
      <c r="CL86" s="6"/>
      <c r="CM86" s="6">
        <f t="shared" si="42"/>
        <v>362</v>
      </c>
      <c r="CN86" s="6">
        <v>1308</v>
      </c>
      <c r="CO86" s="6"/>
      <c r="CP86" s="6">
        <f t="shared" si="43"/>
        <v>364</v>
      </c>
      <c r="CQ86" s="6">
        <v>111</v>
      </c>
      <c r="CR86" s="6">
        <v>1560</v>
      </c>
      <c r="CS86" s="6">
        <f t="shared" si="44"/>
        <v>363</v>
      </c>
      <c r="CT86" s="6">
        <v>456</v>
      </c>
      <c r="CU86" s="6"/>
      <c r="CV86" s="6">
        <f t="shared" si="45"/>
        <v>345</v>
      </c>
      <c r="CW86" s="6"/>
      <c r="CX86" s="6"/>
      <c r="CY86" s="6"/>
      <c r="CZ86" s="6">
        <v>819</v>
      </c>
      <c r="DA86" s="6"/>
      <c r="DB86" s="6">
        <f t="shared" si="46"/>
        <v>363</v>
      </c>
      <c r="DC86" s="6">
        <v>1181</v>
      </c>
      <c r="DD86" s="6"/>
      <c r="DE86" s="6">
        <f t="shared" si="47"/>
        <v>362</v>
      </c>
      <c r="DF86" s="6">
        <v>1545</v>
      </c>
      <c r="DG86" s="6"/>
      <c r="DH86" s="6">
        <f t="shared" si="48"/>
        <v>364</v>
      </c>
      <c r="DI86" s="6">
        <v>342</v>
      </c>
      <c r="DJ86" s="6">
        <v>1560</v>
      </c>
      <c r="DK86" s="6">
        <f t="shared" si="49"/>
        <v>357</v>
      </c>
      <c r="DL86" s="6">
        <v>692</v>
      </c>
      <c r="DM86" s="6"/>
      <c r="DN86" s="6">
        <f t="shared" si="50"/>
        <v>350</v>
      </c>
      <c r="DO86" s="6">
        <v>1015</v>
      </c>
      <c r="DP86" s="6"/>
      <c r="DQ86" s="6">
        <f t="shared" si="51"/>
        <v>323</v>
      </c>
    </row>
    <row r="87" spans="1:121">
      <c r="A87" s="6">
        <v>83</v>
      </c>
      <c r="B87" s="6">
        <v>767</v>
      </c>
      <c r="C87" s="6"/>
      <c r="D87" s="6">
        <v>331</v>
      </c>
      <c r="E87" s="33" t="s">
        <v>95</v>
      </c>
      <c r="F87" s="33" t="s">
        <v>95</v>
      </c>
      <c r="G87" s="148" t="s">
        <v>98</v>
      </c>
      <c r="H87" s="33" t="s">
        <v>98</v>
      </c>
      <c r="I87" s="33" t="s">
        <v>98</v>
      </c>
      <c r="J87" s="33" t="s">
        <v>98</v>
      </c>
      <c r="K87" s="33" t="s">
        <v>98</v>
      </c>
      <c r="L87" s="33" t="s">
        <v>98</v>
      </c>
      <c r="M87" s="33" t="s">
        <v>98</v>
      </c>
      <c r="N87" s="148" t="s">
        <v>128</v>
      </c>
      <c r="O87" s="33" t="s">
        <v>128</v>
      </c>
      <c r="P87" s="33" t="s">
        <v>128</v>
      </c>
      <c r="Q87" s="33" t="s">
        <v>128</v>
      </c>
      <c r="R87" s="33" t="s">
        <v>128</v>
      </c>
      <c r="S87" s="33" t="s">
        <v>128</v>
      </c>
      <c r="T87" s="33" t="s">
        <v>128</v>
      </c>
      <c r="U87" s="33" t="s">
        <v>128</v>
      </c>
      <c r="V87" s="33" t="s">
        <v>128</v>
      </c>
      <c r="W87" s="33" t="s">
        <v>128</v>
      </c>
      <c r="X87" s="33" t="s">
        <v>128</v>
      </c>
      <c r="Y87" s="33" t="s">
        <v>128</v>
      </c>
      <c r="Z87" s="33" t="s">
        <v>128</v>
      </c>
      <c r="AA87" s="33" t="s">
        <v>128</v>
      </c>
      <c r="AB87" s="33" t="s">
        <v>128</v>
      </c>
      <c r="AC87" s="33" t="s">
        <v>128</v>
      </c>
      <c r="AD87" s="33" t="s">
        <v>128</v>
      </c>
      <c r="AE87" s="33" t="s">
        <v>128</v>
      </c>
      <c r="AF87" s="6">
        <v>1114</v>
      </c>
      <c r="AG87" s="6"/>
      <c r="AH87" s="35">
        <f t="shared" si="26"/>
        <v>347</v>
      </c>
      <c r="AI87" s="35">
        <v>227</v>
      </c>
      <c r="AJ87" s="35">
        <v>1200</v>
      </c>
      <c r="AK87" s="35">
        <f t="shared" si="27"/>
        <v>313</v>
      </c>
      <c r="AL87" s="35"/>
      <c r="AM87" s="6"/>
      <c r="AN87" s="35"/>
      <c r="AO87" s="6">
        <v>573</v>
      </c>
      <c r="AP87" s="6"/>
      <c r="AQ87" s="34">
        <f t="shared" si="28"/>
        <v>346</v>
      </c>
      <c r="AR87" s="35">
        <v>925</v>
      </c>
      <c r="AS87" s="35"/>
      <c r="AT87" s="35">
        <f t="shared" si="29"/>
        <v>352</v>
      </c>
      <c r="AU87" s="6">
        <v>72</v>
      </c>
      <c r="AV87" s="6">
        <v>1200</v>
      </c>
      <c r="AW87" s="35">
        <f t="shared" si="30"/>
        <v>347</v>
      </c>
      <c r="AX87" s="6">
        <v>423</v>
      </c>
      <c r="AY87" s="6"/>
      <c r="AZ87" s="35">
        <f t="shared" si="31"/>
        <v>351</v>
      </c>
      <c r="BA87" s="35">
        <v>770</v>
      </c>
      <c r="BB87" s="35"/>
      <c r="BC87" s="35">
        <f t="shared" si="32"/>
        <v>347</v>
      </c>
      <c r="BD87" s="6">
        <v>0</v>
      </c>
      <c r="BE87" s="6">
        <v>862</v>
      </c>
      <c r="BF87" s="35">
        <f t="shared" si="33"/>
        <v>92</v>
      </c>
      <c r="BG87" s="6"/>
      <c r="BH87" s="6"/>
      <c r="BI87" s="6"/>
      <c r="BJ87" s="6">
        <v>0</v>
      </c>
      <c r="BK87" s="6"/>
      <c r="BL87" s="6">
        <f t="shared" si="34"/>
        <v>0</v>
      </c>
      <c r="BM87" s="6">
        <v>0</v>
      </c>
      <c r="BN87" s="6"/>
      <c r="BO87" s="6">
        <f t="shared" si="35"/>
        <v>0</v>
      </c>
      <c r="BP87" s="6">
        <v>0</v>
      </c>
      <c r="BQ87" s="6"/>
      <c r="BR87" s="35">
        <f t="shared" si="36"/>
        <v>0</v>
      </c>
      <c r="BS87" s="6">
        <v>0</v>
      </c>
      <c r="BT87" s="6"/>
      <c r="BU87" s="6">
        <f t="shared" si="37"/>
        <v>0</v>
      </c>
      <c r="BV87" s="6">
        <v>0</v>
      </c>
      <c r="BW87" s="6"/>
      <c r="BX87" s="35">
        <f t="shared" si="38"/>
        <v>0</v>
      </c>
      <c r="BY87" s="6">
        <v>0</v>
      </c>
      <c r="BZ87" s="6"/>
      <c r="CA87" s="6">
        <f t="shared" si="39"/>
        <v>0</v>
      </c>
      <c r="CB87" s="6"/>
      <c r="CC87" s="6"/>
      <c r="CD87" s="6"/>
      <c r="CE87" s="6">
        <v>0</v>
      </c>
      <c r="CF87" s="6"/>
      <c r="CG87" s="6">
        <f t="shared" si="40"/>
        <v>0</v>
      </c>
      <c r="CH87" s="6">
        <v>367</v>
      </c>
      <c r="CI87" s="6"/>
      <c r="CJ87" s="6">
        <f t="shared" si="41"/>
        <v>367</v>
      </c>
      <c r="CK87" s="6">
        <v>723</v>
      </c>
      <c r="CL87" s="6"/>
      <c r="CM87" s="6">
        <f t="shared" si="42"/>
        <v>356</v>
      </c>
      <c r="CN87" s="6">
        <v>1089</v>
      </c>
      <c r="CO87" s="6"/>
      <c r="CP87" s="6">
        <f t="shared" si="43"/>
        <v>366</v>
      </c>
      <c r="CQ87" s="6">
        <v>1448</v>
      </c>
      <c r="CR87" s="6"/>
      <c r="CS87" s="6">
        <f t="shared" si="44"/>
        <v>359</v>
      </c>
      <c r="CT87" s="6">
        <v>242</v>
      </c>
      <c r="CU87" s="6">
        <v>1544</v>
      </c>
      <c r="CV87" s="6">
        <f t="shared" si="45"/>
        <v>338</v>
      </c>
      <c r="CW87" s="6"/>
      <c r="CX87" s="6"/>
      <c r="CY87" s="6"/>
      <c r="CZ87" s="6">
        <v>612</v>
      </c>
      <c r="DA87" s="6"/>
      <c r="DB87" s="6">
        <f t="shared" si="46"/>
        <v>370</v>
      </c>
      <c r="DC87" s="6">
        <v>981</v>
      </c>
      <c r="DD87" s="6"/>
      <c r="DE87" s="6">
        <f t="shared" si="47"/>
        <v>369</v>
      </c>
      <c r="DF87" s="6">
        <v>1348</v>
      </c>
      <c r="DG87" s="6"/>
      <c r="DH87" s="6">
        <f t="shared" si="48"/>
        <v>367</v>
      </c>
      <c r="DI87" s="6">
        <v>155</v>
      </c>
      <c r="DJ87" s="6">
        <v>1560</v>
      </c>
      <c r="DK87" s="6">
        <f t="shared" si="49"/>
        <v>367</v>
      </c>
      <c r="DL87" s="6">
        <v>521</v>
      </c>
      <c r="DM87" s="6"/>
      <c r="DN87" s="6">
        <f t="shared" si="50"/>
        <v>366</v>
      </c>
      <c r="DO87" s="6">
        <v>856</v>
      </c>
      <c r="DP87" s="6"/>
      <c r="DQ87" s="6">
        <f t="shared" si="51"/>
        <v>335</v>
      </c>
    </row>
    <row r="88" spans="1:121">
      <c r="A88" s="6">
        <v>84</v>
      </c>
      <c r="B88" s="6">
        <v>330</v>
      </c>
      <c r="C88" s="6"/>
      <c r="D88" s="6">
        <v>330</v>
      </c>
      <c r="E88" s="148" t="s">
        <v>37</v>
      </c>
      <c r="F88" s="33" t="s">
        <v>37</v>
      </c>
      <c r="G88" s="33" t="s">
        <v>37</v>
      </c>
      <c r="H88" s="33" t="s">
        <v>37</v>
      </c>
      <c r="I88" s="33" t="s">
        <v>37</v>
      </c>
      <c r="J88" s="33" t="s">
        <v>37</v>
      </c>
      <c r="K88" s="33" t="s">
        <v>37</v>
      </c>
      <c r="L88" s="33" t="s">
        <v>37</v>
      </c>
      <c r="M88" s="33" t="s">
        <v>37</v>
      </c>
      <c r="N88" s="33" t="s">
        <v>37</v>
      </c>
      <c r="O88" s="33" t="s">
        <v>37</v>
      </c>
      <c r="P88" s="33" t="s">
        <v>37</v>
      </c>
      <c r="Q88" s="33" t="s">
        <v>37</v>
      </c>
      <c r="R88" s="33" t="s">
        <v>37</v>
      </c>
      <c r="S88" s="33" t="s">
        <v>37</v>
      </c>
      <c r="T88" s="33" t="s">
        <v>37</v>
      </c>
      <c r="U88" s="33" t="s">
        <v>37</v>
      </c>
      <c r="V88" s="33" t="s">
        <v>37</v>
      </c>
      <c r="W88" s="33" t="s">
        <v>37</v>
      </c>
      <c r="X88" s="33" t="s">
        <v>37</v>
      </c>
      <c r="Y88" s="33" t="s">
        <v>37</v>
      </c>
      <c r="Z88" s="33" t="s">
        <v>37</v>
      </c>
      <c r="AA88" s="148" t="s">
        <v>37</v>
      </c>
      <c r="AB88" s="33" t="s">
        <v>37</v>
      </c>
      <c r="AC88" s="33" t="s">
        <v>37</v>
      </c>
      <c r="AD88" s="33" t="s">
        <v>37</v>
      </c>
      <c r="AE88" s="33" t="s">
        <v>37</v>
      </c>
      <c r="AF88" s="35">
        <v>704</v>
      </c>
      <c r="AG88" s="35"/>
      <c r="AH88" s="35">
        <f t="shared" si="26"/>
        <v>374</v>
      </c>
      <c r="AI88" s="35">
        <v>1069</v>
      </c>
      <c r="AJ88" s="35"/>
      <c r="AK88" s="35">
        <f t="shared" si="27"/>
        <v>365</v>
      </c>
      <c r="AL88" s="35"/>
      <c r="AM88" s="35"/>
      <c r="AN88" s="35"/>
      <c r="AO88" s="6">
        <v>1452</v>
      </c>
      <c r="AP88" s="6"/>
      <c r="AQ88" s="34">
        <f t="shared" si="28"/>
        <v>383</v>
      </c>
      <c r="AR88" s="35">
        <v>273</v>
      </c>
      <c r="AS88" s="35">
        <v>1560</v>
      </c>
      <c r="AT88" s="35">
        <f t="shared" si="29"/>
        <v>381</v>
      </c>
      <c r="AU88" s="6">
        <v>649</v>
      </c>
      <c r="AV88" s="6"/>
      <c r="AW88" s="35">
        <f t="shared" si="30"/>
        <v>376</v>
      </c>
      <c r="AX88" s="6">
        <v>1031</v>
      </c>
      <c r="AY88" s="6"/>
      <c r="AZ88" s="35">
        <f t="shared" si="31"/>
        <v>382</v>
      </c>
      <c r="BA88" s="6">
        <v>35</v>
      </c>
      <c r="BB88" s="6">
        <v>1369</v>
      </c>
      <c r="BC88" s="35">
        <f t="shared" si="32"/>
        <v>373</v>
      </c>
      <c r="BD88" s="6">
        <v>391</v>
      </c>
      <c r="BE88" s="6"/>
      <c r="BF88" s="35">
        <f t="shared" si="33"/>
        <v>356</v>
      </c>
      <c r="BG88" s="6"/>
      <c r="BH88" s="6"/>
      <c r="BI88" s="35"/>
      <c r="BJ88" s="6">
        <v>774</v>
      </c>
      <c r="BK88" s="35"/>
      <c r="BL88" s="6">
        <f t="shared" si="34"/>
        <v>383</v>
      </c>
      <c r="BM88" s="6">
        <v>1155</v>
      </c>
      <c r="BN88" s="6"/>
      <c r="BO88" s="6">
        <f t="shared" si="35"/>
        <v>381</v>
      </c>
      <c r="BP88" s="6">
        <v>1523</v>
      </c>
      <c r="BQ88" s="6"/>
      <c r="BR88" s="35">
        <f t="shared" si="36"/>
        <v>368</v>
      </c>
      <c r="BS88" s="6">
        <v>330</v>
      </c>
      <c r="BT88" s="6">
        <v>1560</v>
      </c>
      <c r="BU88" s="6">
        <f t="shared" si="37"/>
        <v>367</v>
      </c>
      <c r="BV88" s="6">
        <v>706</v>
      </c>
      <c r="BW88" s="6"/>
      <c r="BX88" s="35">
        <f t="shared" si="38"/>
        <v>376</v>
      </c>
      <c r="BY88" s="6">
        <v>15</v>
      </c>
      <c r="BZ88" s="35">
        <v>1041</v>
      </c>
      <c r="CA88" s="6">
        <f t="shared" si="39"/>
        <v>350</v>
      </c>
      <c r="CB88" s="6"/>
      <c r="CC88" s="6"/>
      <c r="CD88" s="35"/>
      <c r="CE88" s="6">
        <v>390</v>
      </c>
      <c r="CF88" s="35"/>
      <c r="CG88" s="6">
        <f t="shared" si="40"/>
        <v>375</v>
      </c>
      <c r="CH88" s="6">
        <v>764</v>
      </c>
      <c r="CI88" s="6"/>
      <c r="CJ88" s="6">
        <f t="shared" si="41"/>
        <v>374</v>
      </c>
      <c r="CK88" s="6">
        <v>1110</v>
      </c>
      <c r="CL88" s="6"/>
      <c r="CM88" s="6">
        <f t="shared" si="42"/>
        <v>346</v>
      </c>
      <c r="CN88" s="6">
        <v>1450</v>
      </c>
      <c r="CO88" s="6"/>
      <c r="CP88" s="6">
        <f t="shared" si="43"/>
        <v>340</v>
      </c>
      <c r="CQ88" s="6">
        <v>230</v>
      </c>
      <c r="CR88" s="6">
        <v>1560</v>
      </c>
      <c r="CS88" s="6">
        <f t="shared" si="44"/>
        <v>340</v>
      </c>
      <c r="CT88" s="6">
        <v>563</v>
      </c>
      <c r="CU88" s="6"/>
      <c r="CV88" s="6">
        <f t="shared" si="45"/>
        <v>333</v>
      </c>
      <c r="CW88" s="6"/>
      <c r="CX88" s="6"/>
      <c r="CY88" s="6"/>
      <c r="CZ88" s="6">
        <v>0</v>
      </c>
      <c r="DA88" s="6">
        <v>664</v>
      </c>
      <c r="DB88" s="6">
        <f t="shared" si="46"/>
        <v>101</v>
      </c>
      <c r="DC88" s="6">
        <v>237</v>
      </c>
      <c r="DD88" s="6"/>
      <c r="DE88" s="6">
        <f t="shared" si="47"/>
        <v>237</v>
      </c>
      <c r="DF88" s="6">
        <v>608</v>
      </c>
      <c r="DG88" s="6"/>
      <c r="DH88" s="6">
        <f t="shared" si="48"/>
        <v>371</v>
      </c>
      <c r="DI88" s="6">
        <v>976</v>
      </c>
      <c r="DJ88" s="6"/>
      <c r="DK88" s="6">
        <f t="shared" si="49"/>
        <v>368</v>
      </c>
      <c r="DL88" s="6">
        <v>1345</v>
      </c>
      <c r="DM88" s="6"/>
      <c r="DN88" s="6">
        <f t="shared" si="50"/>
        <v>369</v>
      </c>
      <c r="DO88" s="6">
        <v>119</v>
      </c>
      <c r="DP88" s="6">
        <v>1560</v>
      </c>
      <c r="DQ88" s="6">
        <f t="shared" si="51"/>
        <v>334</v>
      </c>
    </row>
    <row r="89" spans="1:121">
      <c r="A89" s="6">
        <v>85</v>
      </c>
      <c r="B89" s="6">
        <v>940</v>
      </c>
      <c r="C89" s="6"/>
      <c r="D89" s="6">
        <v>331</v>
      </c>
      <c r="E89" s="33" t="s">
        <v>95</v>
      </c>
      <c r="F89" s="33" t="s">
        <v>95</v>
      </c>
      <c r="G89" s="33" t="s">
        <v>95</v>
      </c>
      <c r="H89" s="33" t="s">
        <v>95</v>
      </c>
      <c r="I89" s="148" t="s">
        <v>98</v>
      </c>
      <c r="J89" s="33" t="s">
        <v>98</v>
      </c>
      <c r="K89" s="33" t="s">
        <v>98</v>
      </c>
      <c r="L89" s="33" t="s">
        <v>98</v>
      </c>
      <c r="M89" s="33" t="s">
        <v>98</v>
      </c>
      <c r="N89" s="33" t="s">
        <v>98</v>
      </c>
      <c r="O89" s="33" t="s">
        <v>98</v>
      </c>
      <c r="P89" s="33" t="s">
        <v>98</v>
      </c>
      <c r="Q89" s="33" t="s">
        <v>98</v>
      </c>
      <c r="R89" s="33" t="s">
        <v>98</v>
      </c>
      <c r="S89" s="148" t="s">
        <v>37</v>
      </c>
      <c r="T89" s="33" t="s">
        <v>37</v>
      </c>
      <c r="U89" s="33" t="s">
        <v>37</v>
      </c>
      <c r="V89" s="33" t="s">
        <v>37</v>
      </c>
      <c r="W89" s="33" t="s">
        <v>37</v>
      </c>
      <c r="X89" s="33" t="s">
        <v>37</v>
      </c>
      <c r="Y89" s="33" t="s">
        <v>37</v>
      </c>
      <c r="Z89" s="33" t="s">
        <v>37</v>
      </c>
      <c r="AA89" s="33" t="s">
        <v>37</v>
      </c>
      <c r="AB89" s="33" t="s">
        <v>37</v>
      </c>
      <c r="AC89" s="33" t="s">
        <v>37</v>
      </c>
      <c r="AD89" s="33" t="s">
        <v>37</v>
      </c>
      <c r="AE89" s="33" t="s">
        <v>37</v>
      </c>
      <c r="AF89" s="6">
        <v>88</v>
      </c>
      <c r="AG89" s="6">
        <v>1200</v>
      </c>
      <c r="AH89" s="35">
        <f t="shared" si="26"/>
        <v>348</v>
      </c>
      <c r="AI89" s="35">
        <v>415</v>
      </c>
      <c r="AJ89" s="35"/>
      <c r="AK89" s="35">
        <f t="shared" si="27"/>
        <v>327</v>
      </c>
      <c r="AL89" s="6"/>
      <c r="AM89" s="6"/>
      <c r="AN89" s="35"/>
      <c r="AO89" s="6">
        <v>0</v>
      </c>
      <c r="AP89" s="6">
        <v>633</v>
      </c>
      <c r="AQ89" s="34">
        <f t="shared" si="28"/>
        <v>218</v>
      </c>
      <c r="AR89" s="35">
        <v>338</v>
      </c>
      <c r="AS89" s="35"/>
      <c r="AT89" s="35">
        <f t="shared" si="29"/>
        <v>338</v>
      </c>
      <c r="AU89" s="6">
        <v>682</v>
      </c>
      <c r="AV89" s="6"/>
      <c r="AW89" s="35">
        <f t="shared" si="30"/>
        <v>344</v>
      </c>
      <c r="AX89" s="6">
        <v>1031</v>
      </c>
      <c r="AY89" s="6"/>
      <c r="AZ89" s="35">
        <f t="shared" si="31"/>
        <v>349</v>
      </c>
      <c r="BA89" s="35">
        <v>176</v>
      </c>
      <c r="BB89" s="35">
        <v>1200</v>
      </c>
      <c r="BC89" s="35">
        <f t="shared" si="32"/>
        <v>345</v>
      </c>
      <c r="BD89" s="6">
        <v>506</v>
      </c>
      <c r="BE89" s="6"/>
      <c r="BF89" s="35">
        <f t="shared" si="33"/>
        <v>330</v>
      </c>
      <c r="BG89" s="6"/>
      <c r="BH89" s="6"/>
      <c r="BI89" s="6"/>
      <c r="BJ89" s="6">
        <v>852</v>
      </c>
      <c r="BK89" s="6"/>
      <c r="BL89" s="6">
        <f t="shared" si="34"/>
        <v>346</v>
      </c>
      <c r="BM89" s="6">
        <v>0</v>
      </c>
      <c r="BN89" s="6">
        <v>855</v>
      </c>
      <c r="BO89" s="6">
        <f t="shared" si="35"/>
        <v>3</v>
      </c>
      <c r="BP89" s="6">
        <v>0</v>
      </c>
      <c r="BQ89" s="6"/>
      <c r="BR89" s="35">
        <f t="shared" si="36"/>
        <v>0</v>
      </c>
      <c r="BS89" s="6">
        <v>0</v>
      </c>
      <c r="BT89" s="6"/>
      <c r="BU89" s="6">
        <f t="shared" si="37"/>
        <v>0</v>
      </c>
      <c r="BV89" s="6">
        <v>0</v>
      </c>
      <c r="BW89" s="6"/>
      <c r="BX89" s="35">
        <f t="shared" si="38"/>
        <v>0</v>
      </c>
      <c r="BY89" s="6">
        <v>0</v>
      </c>
      <c r="BZ89" s="6"/>
      <c r="CA89" s="6">
        <f t="shared" si="39"/>
        <v>0</v>
      </c>
      <c r="CB89" s="6"/>
      <c r="CC89" s="6"/>
      <c r="CD89" s="6"/>
      <c r="CE89" s="6">
        <v>0</v>
      </c>
      <c r="CF89" s="6"/>
      <c r="CG89" s="6">
        <f t="shared" si="40"/>
        <v>0</v>
      </c>
      <c r="CH89" s="6">
        <v>292</v>
      </c>
      <c r="CI89" s="6"/>
      <c r="CJ89" s="6">
        <f t="shared" si="41"/>
        <v>292</v>
      </c>
      <c r="CK89" s="6">
        <v>664</v>
      </c>
      <c r="CL89" s="6"/>
      <c r="CM89" s="6">
        <f t="shared" si="42"/>
        <v>372</v>
      </c>
      <c r="CN89" s="6">
        <v>1027</v>
      </c>
      <c r="CO89" s="6"/>
      <c r="CP89" s="6">
        <f t="shared" si="43"/>
        <v>363</v>
      </c>
      <c r="CQ89" s="6">
        <v>1388</v>
      </c>
      <c r="CR89" s="6"/>
      <c r="CS89" s="6">
        <f t="shared" si="44"/>
        <v>361</v>
      </c>
      <c r="CT89" s="6">
        <v>158</v>
      </c>
      <c r="CU89" s="6">
        <v>1565</v>
      </c>
      <c r="CV89" s="6">
        <f t="shared" si="45"/>
        <v>335</v>
      </c>
      <c r="CW89" s="6"/>
      <c r="CX89" s="6"/>
      <c r="CY89" s="6"/>
      <c r="CZ89" s="6">
        <v>527</v>
      </c>
      <c r="DA89" s="6"/>
      <c r="DB89" s="6">
        <f t="shared" si="46"/>
        <v>369</v>
      </c>
      <c r="DC89" s="6">
        <v>896</v>
      </c>
      <c r="DD89" s="6"/>
      <c r="DE89" s="6">
        <f t="shared" si="47"/>
        <v>369</v>
      </c>
      <c r="DF89" s="6">
        <v>1259</v>
      </c>
      <c r="DG89" s="6"/>
      <c r="DH89" s="6">
        <f t="shared" si="48"/>
        <v>363</v>
      </c>
      <c r="DI89" s="6">
        <v>68</v>
      </c>
      <c r="DJ89" s="6">
        <v>1560</v>
      </c>
      <c r="DK89" s="6">
        <f t="shared" si="49"/>
        <v>369</v>
      </c>
      <c r="DL89" s="6">
        <v>443</v>
      </c>
      <c r="DM89" s="6"/>
      <c r="DN89" s="6">
        <f t="shared" si="50"/>
        <v>375</v>
      </c>
      <c r="DO89" s="6">
        <v>759</v>
      </c>
      <c r="DP89" s="6"/>
      <c r="DQ89" s="6">
        <f t="shared" si="51"/>
        <v>316</v>
      </c>
    </row>
    <row r="90" spans="1:121">
      <c r="A90" s="6">
        <v>86</v>
      </c>
      <c r="B90" s="6">
        <v>189</v>
      </c>
      <c r="C90" s="8">
        <v>1560</v>
      </c>
      <c r="D90" s="8">
        <v>367</v>
      </c>
      <c r="E90" s="33" t="s">
        <v>69</v>
      </c>
      <c r="F90" s="33" t="s">
        <v>69</v>
      </c>
      <c r="G90" s="33" t="s">
        <v>69</v>
      </c>
      <c r="H90" s="33" t="s">
        <v>69</v>
      </c>
      <c r="I90" s="33" t="s">
        <v>69</v>
      </c>
      <c r="J90" s="33" t="s">
        <v>69</v>
      </c>
      <c r="K90" s="33" t="s">
        <v>69</v>
      </c>
      <c r="L90" s="33" t="s">
        <v>69</v>
      </c>
      <c r="M90" s="33" t="s">
        <v>69</v>
      </c>
      <c r="N90" s="33" t="s">
        <v>69</v>
      </c>
      <c r="O90" s="33" t="s">
        <v>69</v>
      </c>
      <c r="P90" s="33" t="s">
        <v>69</v>
      </c>
      <c r="Q90" s="33" t="s">
        <v>69</v>
      </c>
      <c r="R90" s="33" t="s">
        <v>69</v>
      </c>
      <c r="S90" s="33" t="s">
        <v>69</v>
      </c>
      <c r="T90" s="33" t="s">
        <v>69</v>
      </c>
      <c r="U90" s="33" t="s">
        <v>69</v>
      </c>
      <c r="V90" s="33" t="s">
        <v>69</v>
      </c>
      <c r="W90" s="33" t="s">
        <v>69</v>
      </c>
      <c r="X90" s="148" t="s">
        <v>37</v>
      </c>
      <c r="Y90" s="33" t="s">
        <v>37</v>
      </c>
      <c r="Z90" s="33" t="s">
        <v>37</v>
      </c>
      <c r="AA90" s="33" t="s">
        <v>37</v>
      </c>
      <c r="AB90" s="33" t="s">
        <v>37</v>
      </c>
      <c r="AC90" s="33" t="s">
        <v>37</v>
      </c>
      <c r="AD90" s="33" t="s">
        <v>37</v>
      </c>
      <c r="AE90" s="33" t="s">
        <v>37</v>
      </c>
      <c r="AF90" s="6">
        <v>166</v>
      </c>
      <c r="AG90" s="6">
        <v>395</v>
      </c>
      <c r="AH90" s="35">
        <f t="shared" si="26"/>
        <v>372</v>
      </c>
      <c r="AI90" s="35">
        <v>517</v>
      </c>
      <c r="AJ90" s="35"/>
      <c r="AK90" s="35">
        <f t="shared" si="27"/>
        <v>351</v>
      </c>
      <c r="AL90" s="6"/>
      <c r="AM90" s="6"/>
      <c r="AN90" s="35"/>
      <c r="AO90" s="6">
        <v>882</v>
      </c>
      <c r="AP90" s="6"/>
      <c r="AQ90" s="34">
        <f t="shared" si="28"/>
        <v>365</v>
      </c>
      <c r="AR90" s="35">
        <v>1255</v>
      </c>
      <c r="AS90" s="35"/>
      <c r="AT90" s="35">
        <f t="shared" si="29"/>
        <v>373</v>
      </c>
      <c r="AU90" s="6">
        <v>322</v>
      </c>
      <c r="AV90" s="6">
        <v>1299</v>
      </c>
      <c r="AW90" s="35">
        <f t="shared" si="30"/>
        <v>366</v>
      </c>
      <c r="AX90" s="6">
        <v>698</v>
      </c>
      <c r="AY90" s="6"/>
      <c r="AZ90" s="35">
        <f t="shared" si="31"/>
        <v>376</v>
      </c>
      <c r="BA90" s="35">
        <v>1074</v>
      </c>
      <c r="BB90" s="35"/>
      <c r="BC90" s="35">
        <f t="shared" si="32"/>
        <v>376</v>
      </c>
      <c r="BD90" s="6">
        <v>327</v>
      </c>
      <c r="BE90" s="6">
        <v>1103</v>
      </c>
      <c r="BF90" s="35">
        <f t="shared" si="33"/>
        <v>356</v>
      </c>
      <c r="BG90" s="6"/>
      <c r="BH90" s="6"/>
      <c r="BI90" s="6"/>
      <c r="BJ90" s="6">
        <v>670</v>
      </c>
      <c r="BK90" s="6"/>
      <c r="BL90" s="6">
        <f t="shared" si="34"/>
        <v>343</v>
      </c>
      <c r="BM90" s="6">
        <v>1044</v>
      </c>
      <c r="BN90" s="6"/>
      <c r="BO90" s="6">
        <f t="shared" si="35"/>
        <v>374</v>
      </c>
      <c r="BP90" s="6">
        <v>1419</v>
      </c>
      <c r="BQ90" s="6"/>
      <c r="BR90" s="35">
        <f t="shared" si="36"/>
        <v>375</v>
      </c>
      <c r="BS90" s="6">
        <v>227</v>
      </c>
      <c r="BT90" s="6">
        <v>1560</v>
      </c>
      <c r="BU90" s="6">
        <f t="shared" si="37"/>
        <v>368</v>
      </c>
      <c r="BV90" s="6">
        <v>595</v>
      </c>
      <c r="BW90" s="6"/>
      <c r="BX90" s="35">
        <f t="shared" si="38"/>
        <v>368</v>
      </c>
      <c r="BY90" s="6">
        <v>319</v>
      </c>
      <c r="BZ90" s="6">
        <v>620</v>
      </c>
      <c r="CA90" s="6">
        <f t="shared" si="39"/>
        <v>344</v>
      </c>
      <c r="CB90" s="6"/>
      <c r="CC90" s="6"/>
      <c r="CD90" s="6"/>
      <c r="CE90" s="6">
        <v>682</v>
      </c>
      <c r="CF90" s="6"/>
      <c r="CG90" s="6">
        <f t="shared" si="40"/>
        <v>363</v>
      </c>
      <c r="CH90" s="6">
        <v>343</v>
      </c>
      <c r="CI90" s="6">
        <v>700</v>
      </c>
      <c r="CJ90" s="6">
        <f t="shared" si="41"/>
        <v>361</v>
      </c>
      <c r="CK90" s="6">
        <v>319</v>
      </c>
      <c r="CL90" s="6">
        <v>367</v>
      </c>
      <c r="CM90" s="6">
        <f t="shared" si="42"/>
        <v>343</v>
      </c>
      <c r="CN90" s="6">
        <v>0</v>
      </c>
      <c r="CO90" s="6">
        <v>520</v>
      </c>
      <c r="CP90" s="6">
        <f t="shared" si="43"/>
        <v>201</v>
      </c>
      <c r="CQ90" s="6">
        <v>237</v>
      </c>
      <c r="CR90" s="6"/>
      <c r="CS90" s="6">
        <f t="shared" si="44"/>
        <v>237</v>
      </c>
      <c r="CT90" s="6">
        <v>583</v>
      </c>
      <c r="CU90" s="6"/>
      <c r="CV90" s="6">
        <f t="shared" si="45"/>
        <v>346</v>
      </c>
      <c r="CW90" s="6"/>
      <c r="CX90" s="6"/>
      <c r="CY90" s="6"/>
      <c r="CZ90" s="6">
        <v>944</v>
      </c>
      <c r="DA90" s="6"/>
      <c r="DB90" s="6">
        <f t="shared" si="46"/>
        <v>361</v>
      </c>
      <c r="DC90" s="6">
        <v>1309</v>
      </c>
      <c r="DD90" s="6"/>
      <c r="DE90" s="6">
        <f t="shared" si="47"/>
        <v>365</v>
      </c>
      <c r="DF90" s="6">
        <v>236</v>
      </c>
      <c r="DG90" s="6">
        <v>1423</v>
      </c>
      <c r="DH90" s="6">
        <f t="shared" si="48"/>
        <v>350</v>
      </c>
      <c r="DI90" s="6">
        <v>28</v>
      </c>
      <c r="DJ90" s="6">
        <v>560</v>
      </c>
      <c r="DK90" s="6">
        <f t="shared" si="49"/>
        <v>352</v>
      </c>
      <c r="DL90" s="6">
        <v>100</v>
      </c>
      <c r="DM90" s="6">
        <v>291</v>
      </c>
      <c r="DN90" s="6">
        <f t="shared" si="50"/>
        <v>363</v>
      </c>
      <c r="DO90" s="6">
        <v>432</v>
      </c>
      <c r="DP90" s="6"/>
      <c r="DQ90" s="6">
        <f t="shared" si="51"/>
        <v>332</v>
      </c>
    </row>
    <row r="91" spans="1:121">
      <c r="A91" s="6">
        <v>87</v>
      </c>
      <c r="B91" s="6">
        <v>741</v>
      </c>
      <c r="C91" s="6"/>
      <c r="D91" s="6">
        <v>311</v>
      </c>
      <c r="E91" s="33" t="s">
        <v>98</v>
      </c>
      <c r="F91" s="33" t="s">
        <v>98</v>
      </c>
      <c r="G91" s="33" t="s">
        <v>98</v>
      </c>
      <c r="H91" s="33" t="s">
        <v>98</v>
      </c>
      <c r="I91" s="33" t="s">
        <v>98</v>
      </c>
      <c r="J91" s="33" t="s">
        <v>98</v>
      </c>
      <c r="K91" s="33" t="s">
        <v>98</v>
      </c>
      <c r="L91" s="33" t="s">
        <v>98</v>
      </c>
      <c r="M91" s="33" t="s">
        <v>98</v>
      </c>
      <c r="N91" s="33" t="s">
        <v>98</v>
      </c>
      <c r="O91" s="33" t="s">
        <v>98</v>
      </c>
      <c r="P91" s="33" t="s">
        <v>98</v>
      </c>
      <c r="Q91" s="33" t="s">
        <v>98</v>
      </c>
      <c r="R91" s="33" t="s">
        <v>98</v>
      </c>
      <c r="S91" s="148" t="s">
        <v>37</v>
      </c>
      <c r="T91" s="33" t="s">
        <v>37</v>
      </c>
      <c r="U91" s="33" t="s">
        <v>37</v>
      </c>
      <c r="V91" s="33" t="s">
        <v>37</v>
      </c>
      <c r="W91" s="33" t="s">
        <v>37</v>
      </c>
      <c r="X91" s="33" t="s">
        <v>37</v>
      </c>
      <c r="Y91" s="33" t="s">
        <v>37</v>
      </c>
      <c r="Z91" s="33" t="s">
        <v>37</v>
      </c>
      <c r="AA91" s="33" t="s">
        <v>37</v>
      </c>
      <c r="AB91" s="33" t="s">
        <v>37</v>
      </c>
      <c r="AC91" s="33" t="s">
        <v>37</v>
      </c>
      <c r="AD91" s="33" t="s">
        <v>37</v>
      </c>
      <c r="AE91" s="33" t="s">
        <v>37</v>
      </c>
      <c r="AF91" s="6">
        <v>1078</v>
      </c>
      <c r="AG91" s="6"/>
      <c r="AH91" s="35">
        <f t="shared" si="26"/>
        <v>337</v>
      </c>
      <c r="AI91" s="35">
        <v>321</v>
      </c>
      <c r="AJ91" s="35">
        <v>1091</v>
      </c>
      <c r="AK91" s="35">
        <f t="shared" si="27"/>
        <v>334</v>
      </c>
      <c r="AL91" s="6"/>
      <c r="AM91" s="6"/>
      <c r="AN91" s="35"/>
      <c r="AO91" s="6">
        <v>670</v>
      </c>
      <c r="AP91" s="6"/>
      <c r="AQ91" s="34">
        <f t="shared" si="28"/>
        <v>349</v>
      </c>
      <c r="AR91" s="35">
        <v>1016</v>
      </c>
      <c r="AS91" s="35"/>
      <c r="AT91" s="35">
        <f t="shared" si="29"/>
        <v>346</v>
      </c>
      <c r="AU91" s="6">
        <v>164</v>
      </c>
      <c r="AV91" s="6">
        <v>1200</v>
      </c>
      <c r="AW91" s="35">
        <f t="shared" si="30"/>
        <v>348</v>
      </c>
      <c r="AX91" s="6">
        <v>508</v>
      </c>
      <c r="AY91" s="6"/>
      <c r="AZ91" s="35">
        <f t="shared" si="31"/>
        <v>344</v>
      </c>
      <c r="BA91" s="35">
        <v>858</v>
      </c>
      <c r="BB91" s="35"/>
      <c r="BC91" s="35">
        <f t="shared" si="32"/>
        <v>350</v>
      </c>
      <c r="BD91" s="6">
        <v>242</v>
      </c>
      <c r="BE91" s="6">
        <v>948</v>
      </c>
      <c r="BF91" s="35">
        <f t="shared" si="33"/>
        <v>332</v>
      </c>
      <c r="BG91" s="6"/>
      <c r="BH91" s="6"/>
      <c r="BI91" s="6"/>
      <c r="BJ91" s="6">
        <v>592</v>
      </c>
      <c r="BK91" s="6"/>
      <c r="BL91" s="6">
        <f t="shared" si="34"/>
        <v>350</v>
      </c>
      <c r="BM91" s="6">
        <v>939</v>
      </c>
      <c r="BN91" s="6"/>
      <c r="BO91" s="6">
        <f t="shared" si="35"/>
        <v>347</v>
      </c>
      <c r="BP91" s="6">
        <v>116</v>
      </c>
      <c r="BQ91" s="6">
        <v>1171</v>
      </c>
      <c r="BR91" s="35">
        <f t="shared" si="36"/>
        <v>348</v>
      </c>
      <c r="BS91" s="6">
        <v>0</v>
      </c>
      <c r="BT91" s="6">
        <v>295</v>
      </c>
      <c r="BU91" s="6">
        <f t="shared" si="37"/>
        <v>179</v>
      </c>
      <c r="BV91" s="6">
        <v>0</v>
      </c>
      <c r="BW91" s="6"/>
      <c r="BX91" s="35">
        <f t="shared" si="38"/>
        <v>0</v>
      </c>
      <c r="BY91" s="6">
        <v>0</v>
      </c>
      <c r="BZ91" s="6"/>
      <c r="CA91" s="6">
        <f t="shared" si="39"/>
        <v>0</v>
      </c>
      <c r="CB91" s="6"/>
      <c r="CC91" s="6"/>
      <c r="CD91" s="6"/>
      <c r="CE91" s="6">
        <v>0</v>
      </c>
      <c r="CF91" s="6"/>
      <c r="CG91" s="6">
        <f t="shared" si="40"/>
        <v>0</v>
      </c>
      <c r="CH91" s="6">
        <v>283</v>
      </c>
      <c r="CI91" s="6"/>
      <c r="CJ91" s="6">
        <f t="shared" si="41"/>
        <v>283</v>
      </c>
      <c r="CK91" s="6">
        <v>636</v>
      </c>
      <c r="CL91" s="6"/>
      <c r="CM91" s="6">
        <f t="shared" si="42"/>
        <v>353</v>
      </c>
      <c r="CN91" s="6">
        <v>990</v>
      </c>
      <c r="CO91" s="6"/>
      <c r="CP91" s="6">
        <f t="shared" si="43"/>
        <v>354</v>
      </c>
      <c r="CQ91" s="6">
        <v>1360</v>
      </c>
      <c r="CR91" s="6"/>
      <c r="CS91" s="6">
        <f t="shared" si="44"/>
        <v>370</v>
      </c>
      <c r="CT91" s="6">
        <v>132</v>
      </c>
      <c r="CU91" s="6">
        <v>1560</v>
      </c>
      <c r="CV91" s="6">
        <f t="shared" si="45"/>
        <v>332</v>
      </c>
      <c r="CW91" s="6"/>
      <c r="CX91" s="6"/>
      <c r="CY91" s="6"/>
      <c r="CZ91" s="6">
        <v>496</v>
      </c>
      <c r="DA91" s="6"/>
      <c r="DB91" s="6">
        <f t="shared" si="46"/>
        <v>364</v>
      </c>
      <c r="DC91" s="6">
        <v>852</v>
      </c>
      <c r="DD91" s="6"/>
      <c r="DE91" s="6">
        <f t="shared" si="47"/>
        <v>356</v>
      </c>
      <c r="DF91" s="6">
        <v>1209</v>
      </c>
      <c r="DG91" s="6"/>
      <c r="DH91" s="6">
        <f t="shared" si="48"/>
        <v>357</v>
      </c>
      <c r="DI91" s="6">
        <v>6</v>
      </c>
      <c r="DJ91" s="6">
        <v>1560</v>
      </c>
      <c r="DK91" s="6">
        <f t="shared" si="49"/>
        <v>357</v>
      </c>
      <c r="DL91" s="6">
        <v>364</v>
      </c>
      <c r="DM91" s="6"/>
      <c r="DN91" s="6">
        <f t="shared" si="50"/>
        <v>358</v>
      </c>
      <c r="DO91" s="6">
        <v>686</v>
      </c>
      <c r="DP91" s="6"/>
      <c r="DQ91" s="6">
        <f t="shared" si="51"/>
        <v>322</v>
      </c>
    </row>
    <row r="92" spans="1:121">
      <c r="A92" s="6">
        <v>88</v>
      </c>
      <c r="B92" s="6">
        <v>12</v>
      </c>
      <c r="C92" s="6">
        <v>1560</v>
      </c>
      <c r="D92" s="6">
        <v>369</v>
      </c>
      <c r="E92" s="33" t="s">
        <v>37</v>
      </c>
      <c r="F92" s="33" t="s">
        <v>37</v>
      </c>
      <c r="G92" s="33" t="s">
        <v>37</v>
      </c>
      <c r="H92" s="33" t="s">
        <v>37</v>
      </c>
      <c r="I92" s="33" t="s">
        <v>37</v>
      </c>
      <c r="J92" s="33" t="s">
        <v>37</v>
      </c>
      <c r="K92" s="33" t="s">
        <v>37</v>
      </c>
      <c r="L92" s="33" t="s">
        <v>37</v>
      </c>
      <c r="M92" s="33" t="s">
        <v>37</v>
      </c>
      <c r="N92" s="33" t="s">
        <v>37</v>
      </c>
      <c r="O92" s="33" t="s">
        <v>37</v>
      </c>
      <c r="P92" s="33" t="s">
        <v>37</v>
      </c>
      <c r="Q92" s="33" t="s">
        <v>37</v>
      </c>
      <c r="R92" s="33" t="s">
        <v>37</v>
      </c>
      <c r="S92" s="148" t="s">
        <v>128</v>
      </c>
      <c r="T92" s="33" t="s">
        <v>128</v>
      </c>
      <c r="U92" s="33" t="s">
        <v>128</v>
      </c>
      <c r="V92" s="33" t="s">
        <v>128</v>
      </c>
      <c r="W92" s="33" t="s">
        <v>128</v>
      </c>
      <c r="X92" s="33" t="s">
        <v>128</v>
      </c>
      <c r="Y92" s="33" t="s">
        <v>128</v>
      </c>
      <c r="Z92" s="33" t="s">
        <v>128</v>
      </c>
      <c r="AA92" s="33" t="s">
        <v>128</v>
      </c>
      <c r="AB92" s="33" t="s">
        <v>128</v>
      </c>
      <c r="AC92" s="33" t="s">
        <v>128</v>
      </c>
      <c r="AD92" s="33" t="s">
        <v>128</v>
      </c>
      <c r="AE92" s="33" t="s">
        <v>128</v>
      </c>
      <c r="AF92" s="6">
        <v>400</v>
      </c>
      <c r="AG92" s="6"/>
      <c r="AH92" s="35">
        <f t="shared" si="26"/>
        <v>388</v>
      </c>
      <c r="AI92" s="35">
        <v>758</v>
      </c>
      <c r="AJ92" s="35"/>
      <c r="AK92" s="35">
        <f t="shared" si="27"/>
        <v>358</v>
      </c>
      <c r="AL92" s="6"/>
      <c r="AM92" s="6"/>
      <c r="AN92" s="35"/>
      <c r="AO92" s="6">
        <v>1127</v>
      </c>
      <c r="AP92" s="6"/>
      <c r="AQ92" s="34">
        <f t="shared" si="28"/>
        <v>369</v>
      </c>
      <c r="AR92" s="35">
        <v>1504</v>
      </c>
      <c r="AS92" s="35"/>
      <c r="AT92" s="35">
        <f t="shared" si="29"/>
        <v>377</v>
      </c>
      <c r="AU92" s="6">
        <v>318</v>
      </c>
      <c r="AV92" s="6">
        <v>1560</v>
      </c>
      <c r="AW92" s="35">
        <f t="shared" si="30"/>
        <v>374</v>
      </c>
      <c r="AX92" s="6">
        <v>693</v>
      </c>
      <c r="AY92" s="6"/>
      <c r="AZ92" s="35">
        <f t="shared" si="31"/>
        <v>375</v>
      </c>
      <c r="BA92" s="35">
        <v>1068</v>
      </c>
      <c r="BB92" s="35"/>
      <c r="BC92" s="35">
        <f t="shared" si="32"/>
        <v>375</v>
      </c>
      <c r="BD92" s="6">
        <v>1425</v>
      </c>
      <c r="BE92" s="6"/>
      <c r="BF92" s="35">
        <f t="shared" si="33"/>
        <v>357</v>
      </c>
      <c r="BG92" s="6"/>
      <c r="BH92" s="6"/>
      <c r="BI92" s="6"/>
      <c r="BJ92" s="6">
        <v>239</v>
      </c>
      <c r="BK92" s="6">
        <v>1560</v>
      </c>
      <c r="BL92" s="6">
        <f t="shared" si="34"/>
        <v>374</v>
      </c>
      <c r="BM92" s="6">
        <v>614</v>
      </c>
      <c r="BN92" s="6"/>
      <c r="BO92" s="6">
        <f t="shared" si="35"/>
        <v>375</v>
      </c>
      <c r="BP92" s="6">
        <v>990</v>
      </c>
      <c r="BQ92" s="6"/>
      <c r="BR92" s="35">
        <f t="shared" si="36"/>
        <v>376</v>
      </c>
      <c r="BS92" s="6">
        <v>1362</v>
      </c>
      <c r="BT92" s="6"/>
      <c r="BU92" s="6">
        <f t="shared" si="37"/>
        <v>372</v>
      </c>
      <c r="BV92" s="6">
        <v>0</v>
      </c>
      <c r="BW92" s="6">
        <v>1373</v>
      </c>
      <c r="BX92" s="35">
        <f t="shared" si="38"/>
        <v>11</v>
      </c>
      <c r="BY92" s="6">
        <v>0</v>
      </c>
      <c r="BZ92" s="6"/>
      <c r="CA92" s="6">
        <f t="shared" si="39"/>
        <v>0</v>
      </c>
      <c r="CB92" s="6"/>
      <c r="CC92" s="6"/>
      <c r="CD92" s="6"/>
      <c r="CE92" s="6">
        <v>236</v>
      </c>
      <c r="CF92" s="6"/>
      <c r="CG92" s="6">
        <f t="shared" si="40"/>
        <v>236</v>
      </c>
      <c r="CH92" s="6">
        <v>619</v>
      </c>
      <c r="CI92" s="6"/>
      <c r="CJ92" s="6">
        <f t="shared" si="41"/>
        <v>383</v>
      </c>
      <c r="CK92" s="6">
        <v>1000</v>
      </c>
      <c r="CL92" s="6"/>
      <c r="CM92" s="6">
        <f t="shared" si="42"/>
        <v>381</v>
      </c>
      <c r="CN92" s="6">
        <v>1379</v>
      </c>
      <c r="CO92" s="6"/>
      <c r="CP92" s="6">
        <f t="shared" si="43"/>
        <v>379</v>
      </c>
      <c r="CQ92" s="6">
        <v>293</v>
      </c>
      <c r="CR92" s="6">
        <v>1461</v>
      </c>
      <c r="CS92" s="6">
        <f t="shared" si="44"/>
        <v>375</v>
      </c>
      <c r="CT92" s="6">
        <v>652</v>
      </c>
      <c r="CU92" s="6"/>
      <c r="CV92" s="6">
        <f t="shared" si="45"/>
        <v>359</v>
      </c>
      <c r="CW92" s="6"/>
      <c r="CX92" s="6"/>
      <c r="CY92" s="6"/>
      <c r="CZ92" s="6">
        <v>1034</v>
      </c>
      <c r="DA92" s="6"/>
      <c r="DB92" s="6">
        <f t="shared" si="46"/>
        <v>382</v>
      </c>
      <c r="DC92" s="6">
        <v>1413</v>
      </c>
      <c r="DD92" s="6"/>
      <c r="DE92" s="6">
        <f t="shared" si="47"/>
        <v>379</v>
      </c>
      <c r="DF92" s="6">
        <v>225</v>
      </c>
      <c r="DG92" s="6">
        <v>1560</v>
      </c>
      <c r="DH92" s="6">
        <f t="shared" si="48"/>
        <v>372</v>
      </c>
      <c r="DI92" s="6">
        <v>593</v>
      </c>
      <c r="DJ92" s="6"/>
      <c r="DK92" s="6">
        <f t="shared" si="49"/>
        <v>368</v>
      </c>
      <c r="DL92" s="6">
        <v>972</v>
      </c>
      <c r="DM92" s="6"/>
      <c r="DN92" s="6">
        <f t="shared" si="50"/>
        <v>379</v>
      </c>
      <c r="DO92" s="6">
        <v>1318</v>
      </c>
      <c r="DP92" s="6"/>
      <c r="DQ92" s="6">
        <f t="shared" si="51"/>
        <v>346</v>
      </c>
    </row>
    <row r="93" spans="1:121">
      <c r="A93" s="6">
        <v>89</v>
      </c>
      <c r="B93" s="6">
        <v>641</v>
      </c>
      <c r="C93" s="6"/>
      <c r="D93" s="6">
        <v>364</v>
      </c>
      <c r="E93" s="33" t="s">
        <v>37</v>
      </c>
      <c r="F93" s="33" t="s">
        <v>37</v>
      </c>
      <c r="G93" s="33" t="s">
        <v>37</v>
      </c>
      <c r="H93" s="33" t="s">
        <v>37</v>
      </c>
      <c r="I93" s="33" t="s">
        <v>37</v>
      </c>
      <c r="J93" s="33" t="s">
        <v>37</v>
      </c>
      <c r="K93" s="33" t="s">
        <v>37</v>
      </c>
      <c r="L93" s="33" t="s">
        <v>37</v>
      </c>
      <c r="M93" s="33" t="s">
        <v>37</v>
      </c>
      <c r="N93" s="33" t="s">
        <v>37</v>
      </c>
      <c r="O93" s="33" t="s">
        <v>37</v>
      </c>
      <c r="P93" s="33" t="s">
        <v>37</v>
      </c>
      <c r="Q93" s="33" t="s">
        <v>37</v>
      </c>
      <c r="R93" s="33" t="s">
        <v>37</v>
      </c>
      <c r="S93" s="33" t="s">
        <v>37</v>
      </c>
      <c r="T93" s="33" t="s">
        <v>37</v>
      </c>
      <c r="U93" s="33" t="s">
        <v>37</v>
      </c>
      <c r="V93" s="33" t="s">
        <v>37</v>
      </c>
      <c r="W93" s="33" t="s">
        <v>37</v>
      </c>
      <c r="X93" s="148" t="s">
        <v>37</v>
      </c>
      <c r="Y93" s="33" t="s">
        <v>37</v>
      </c>
      <c r="Z93" s="33" t="s">
        <v>37</v>
      </c>
      <c r="AA93" s="33" t="s">
        <v>37</v>
      </c>
      <c r="AB93" s="33" t="s">
        <v>37</v>
      </c>
      <c r="AC93" s="33" t="s">
        <v>37</v>
      </c>
      <c r="AD93" s="33" t="s">
        <v>37</v>
      </c>
      <c r="AE93" s="33" t="s">
        <v>37</v>
      </c>
      <c r="AF93" s="6">
        <v>1020</v>
      </c>
      <c r="AG93" s="6"/>
      <c r="AH93" s="35">
        <f t="shared" si="26"/>
        <v>379</v>
      </c>
      <c r="AI93" s="35">
        <v>13</v>
      </c>
      <c r="AJ93" s="35">
        <v>1354</v>
      </c>
      <c r="AK93" s="35">
        <f t="shared" si="27"/>
        <v>347</v>
      </c>
      <c r="AL93" s="6"/>
      <c r="AM93" s="6"/>
      <c r="AN93" s="35"/>
      <c r="AO93" s="6">
        <v>383</v>
      </c>
      <c r="AP93" s="6"/>
      <c r="AQ93" s="34">
        <f t="shared" si="28"/>
        <v>370</v>
      </c>
      <c r="AR93" s="35">
        <v>739</v>
      </c>
      <c r="AS93" s="35"/>
      <c r="AT93" s="35">
        <f t="shared" si="29"/>
        <v>356</v>
      </c>
      <c r="AU93" s="6">
        <v>1092</v>
      </c>
      <c r="AV93" s="6"/>
      <c r="AW93" s="35">
        <f t="shared" si="30"/>
        <v>353</v>
      </c>
      <c r="AX93" s="6">
        <v>1465</v>
      </c>
      <c r="AY93" s="6"/>
      <c r="AZ93" s="35">
        <f t="shared" si="31"/>
        <v>373</v>
      </c>
      <c r="BA93" s="35">
        <v>273</v>
      </c>
      <c r="BB93" s="35">
        <v>1560</v>
      </c>
      <c r="BC93" s="35">
        <f t="shared" si="32"/>
        <v>368</v>
      </c>
      <c r="BD93" s="6">
        <v>633</v>
      </c>
      <c r="BE93" s="6"/>
      <c r="BF93" s="35">
        <f t="shared" si="33"/>
        <v>360</v>
      </c>
      <c r="BG93" s="6"/>
      <c r="BH93" s="6"/>
      <c r="BI93" s="6"/>
      <c r="BJ93" s="6">
        <v>1004</v>
      </c>
      <c r="BK93" s="6"/>
      <c r="BL93" s="6">
        <f t="shared" si="34"/>
        <v>371</v>
      </c>
      <c r="BM93" s="6">
        <v>1362</v>
      </c>
      <c r="BN93" s="6"/>
      <c r="BO93" s="6">
        <f t="shared" si="35"/>
        <v>358</v>
      </c>
      <c r="BP93" s="6">
        <v>165</v>
      </c>
      <c r="BQ93" s="6">
        <v>1560</v>
      </c>
      <c r="BR93" s="35">
        <f t="shared" si="36"/>
        <v>363</v>
      </c>
      <c r="BS93" s="6">
        <v>530</v>
      </c>
      <c r="BT93" s="6"/>
      <c r="BU93" s="6">
        <f t="shared" si="37"/>
        <v>365</v>
      </c>
      <c r="BV93" s="6">
        <v>887</v>
      </c>
      <c r="BW93" s="6"/>
      <c r="BX93" s="35">
        <f t="shared" si="38"/>
        <v>357</v>
      </c>
      <c r="BY93" s="6">
        <v>1235</v>
      </c>
      <c r="BZ93" s="6"/>
      <c r="CA93" s="6">
        <f t="shared" si="39"/>
        <v>348</v>
      </c>
      <c r="CB93" s="6"/>
      <c r="CC93" s="6"/>
      <c r="CD93" s="6"/>
      <c r="CE93" s="6">
        <v>1584</v>
      </c>
      <c r="CF93" s="6"/>
      <c r="CG93" s="6">
        <f t="shared" si="40"/>
        <v>349</v>
      </c>
      <c r="CH93" s="6">
        <v>1661</v>
      </c>
      <c r="CI93" s="6"/>
      <c r="CJ93" s="6">
        <f t="shared" si="41"/>
        <v>77</v>
      </c>
      <c r="CK93" s="6">
        <v>1661</v>
      </c>
      <c r="CL93" s="6"/>
      <c r="CM93" s="6">
        <f t="shared" si="42"/>
        <v>0</v>
      </c>
      <c r="CN93" s="6">
        <v>0</v>
      </c>
      <c r="CO93" s="6">
        <v>1825</v>
      </c>
      <c r="CP93" s="6">
        <f t="shared" si="43"/>
        <v>164</v>
      </c>
      <c r="CQ93" s="6">
        <v>317</v>
      </c>
      <c r="CR93" s="6"/>
      <c r="CS93" s="6">
        <f t="shared" si="44"/>
        <v>317</v>
      </c>
      <c r="CT93" s="6">
        <v>643</v>
      </c>
      <c r="CU93" s="6"/>
      <c r="CV93" s="6">
        <f t="shared" si="45"/>
        <v>326</v>
      </c>
      <c r="CW93" s="6"/>
      <c r="CX93" s="6"/>
      <c r="CY93" s="6"/>
      <c r="CZ93" s="6">
        <v>1008</v>
      </c>
      <c r="DA93" s="6"/>
      <c r="DB93" s="6">
        <f t="shared" si="46"/>
        <v>365</v>
      </c>
      <c r="DC93" s="6">
        <v>1367</v>
      </c>
      <c r="DD93" s="6"/>
      <c r="DE93" s="6">
        <f t="shared" si="47"/>
        <v>359</v>
      </c>
      <c r="DF93" s="6">
        <v>166</v>
      </c>
      <c r="DG93" s="6">
        <v>1560</v>
      </c>
      <c r="DH93" s="6">
        <f t="shared" si="48"/>
        <v>359</v>
      </c>
      <c r="DI93" s="6">
        <v>526</v>
      </c>
      <c r="DJ93" s="6"/>
      <c r="DK93" s="6">
        <f t="shared" si="49"/>
        <v>360</v>
      </c>
      <c r="DL93" s="6">
        <v>885</v>
      </c>
      <c r="DM93" s="6"/>
      <c r="DN93" s="6">
        <f t="shared" si="50"/>
        <v>359</v>
      </c>
      <c r="DO93" s="6">
        <v>1211</v>
      </c>
      <c r="DP93" s="6"/>
      <c r="DQ93" s="6">
        <f t="shared" si="51"/>
        <v>326</v>
      </c>
    </row>
    <row r="94" spans="1:121">
      <c r="A94" s="6">
        <v>90</v>
      </c>
      <c r="B94" s="6">
        <v>953</v>
      </c>
      <c r="C94" s="6"/>
      <c r="D94" s="6">
        <v>368</v>
      </c>
      <c r="E94" s="33" t="s">
        <v>37</v>
      </c>
      <c r="F94" s="33" t="s">
        <v>37</v>
      </c>
      <c r="G94" s="33" t="s">
        <v>37</v>
      </c>
      <c r="H94" s="33" t="s">
        <v>37</v>
      </c>
      <c r="I94" s="33" t="s">
        <v>37</v>
      </c>
      <c r="J94" s="33" t="s">
        <v>37</v>
      </c>
      <c r="K94" s="33" t="s">
        <v>37</v>
      </c>
      <c r="L94" s="33" t="s">
        <v>37</v>
      </c>
      <c r="M94" s="33" t="s">
        <v>37</v>
      </c>
      <c r="N94" s="33" t="s">
        <v>37</v>
      </c>
      <c r="O94" s="33" t="s">
        <v>37</v>
      </c>
      <c r="P94" s="33" t="s">
        <v>37</v>
      </c>
      <c r="Q94" s="33" t="s">
        <v>37</v>
      </c>
      <c r="R94" s="33" t="s">
        <v>37</v>
      </c>
      <c r="S94" s="33" t="s">
        <v>37</v>
      </c>
      <c r="T94" s="33" t="s">
        <v>37</v>
      </c>
      <c r="U94" s="148" t="s">
        <v>128</v>
      </c>
      <c r="V94" s="33" t="s">
        <v>128</v>
      </c>
      <c r="W94" s="33" t="s">
        <v>128</v>
      </c>
      <c r="X94" s="33" t="s">
        <v>128</v>
      </c>
      <c r="Y94" s="33" t="s">
        <v>128</v>
      </c>
      <c r="Z94" s="33" t="s">
        <v>128</v>
      </c>
      <c r="AA94" s="33" t="s">
        <v>128</v>
      </c>
      <c r="AB94" s="33" t="s">
        <v>128</v>
      </c>
      <c r="AC94" s="33" t="s">
        <v>128</v>
      </c>
      <c r="AD94" s="33" t="s">
        <v>128</v>
      </c>
      <c r="AE94" s="33" t="s">
        <v>128</v>
      </c>
      <c r="AF94" s="6">
        <v>1340</v>
      </c>
      <c r="AG94" s="6"/>
      <c r="AH94" s="35">
        <f t="shared" si="26"/>
        <v>387</v>
      </c>
      <c r="AI94" s="35">
        <v>136</v>
      </c>
      <c r="AJ94" s="35">
        <v>1560</v>
      </c>
      <c r="AK94" s="35">
        <f t="shared" si="27"/>
        <v>356</v>
      </c>
      <c r="AL94" s="6"/>
      <c r="AM94" s="6"/>
      <c r="AN94" s="35"/>
      <c r="AO94" s="6">
        <v>512</v>
      </c>
      <c r="AP94" s="6"/>
      <c r="AQ94" s="34">
        <f t="shared" si="28"/>
        <v>376</v>
      </c>
      <c r="AR94" s="35">
        <v>885</v>
      </c>
      <c r="AS94" s="35"/>
      <c r="AT94" s="35">
        <f t="shared" si="29"/>
        <v>373</v>
      </c>
      <c r="AU94" s="6">
        <v>1251</v>
      </c>
      <c r="AV94" s="6"/>
      <c r="AW94" s="35">
        <f t="shared" si="30"/>
        <v>366</v>
      </c>
      <c r="AX94" s="6">
        <v>64</v>
      </c>
      <c r="AY94" s="6">
        <v>1560</v>
      </c>
      <c r="AZ94" s="35">
        <f t="shared" si="31"/>
        <v>373</v>
      </c>
      <c r="BA94" s="35">
        <v>433</v>
      </c>
      <c r="BB94" s="35"/>
      <c r="BC94" s="35">
        <f t="shared" si="32"/>
        <v>369</v>
      </c>
      <c r="BD94" s="6">
        <v>794</v>
      </c>
      <c r="BE94" s="6"/>
      <c r="BF94" s="35">
        <f t="shared" si="33"/>
        <v>361</v>
      </c>
      <c r="BG94" s="6"/>
      <c r="BH94" s="6"/>
      <c r="BI94" s="6"/>
      <c r="BJ94" s="6">
        <v>1166</v>
      </c>
      <c r="BK94" s="6"/>
      <c r="BL94" s="6">
        <f t="shared" si="34"/>
        <v>372</v>
      </c>
      <c r="BM94" s="6">
        <v>1532</v>
      </c>
      <c r="BN94" s="6"/>
      <c r="BO94" s="6">
        <f t="shared" si="35"/>
        <v>366</v>
      </c>
      <c r="BP94" s="6">
        <v>341</v>
      </c>
      <c r="BQ94" s="6">
        <v>1560</v>
      </c>
      <c r="BR94" s="35">
        <f t="shared" si="36"/>
        <v>369</v>
      </c>
      <c r="BS94" s="6">
        <v>704</v>
      </c>
      <c r="BT94" s="6"/>
      <c r="BU94" s="6">
        <f t="shared" si="37"/>
        <v>363</v>
      </c>
      <c r="BV94" s="6">
        <v>1081</v>
      </c>
      <c r="BW94" s="6"/>
      <c r="BX94" s="35">
        <f t="shared" si="38"/>
        <v>377</v>
      </c>
      <c r="BY94" s="6">
        <v>1428</v>
      </c>
      <c r="BZ94" s="6"/>
      <c r="CA94" s="6">
        <f t="shared" si="39"/>
        <v>347</v>
      </c>
      <c r="CB94" s="6"/>
      <c r="CC94" s="6"/>
      <c r="CD94" s="6"/>
      <c r="CE94" s="6">
        <v>0</v>
      </c>
      <c r="CF94" s="6">
        <v>1629</v>
      </c>
      <c r="CG94" s="6">
        <f t="shared" si="40"/>
        <v>201</v>
      </c>
      <c r="CH94" s="6">
        <v>322</v>
      </c>
      <c r="CI94" s="6"/>
      <c r="CJ94" s="6">
        <f t="shared" si="41"/>
        <v>322</v>
      </c>
      <c r="CK94" s="6">
        <v>694</v>
      </c>
      <c r="CL94" s="6"/>
      <c r="CM94" s="6">
        <f t="shared" si="42"/>
        <v>372</v>
      </c>
      <c r="CN94" s="6">
        <v>1064</v>
      </c>
      <c r="CO94" s="6"/>
      <c r="CP94" s="6">
        <f t="shared" si="43"/>
        <v>370</v>
      </c>
      <c r="CQ94" s="6">
        <v>1433</v>
      </c>
      <c r="CR94" s="6"/>
      <c r="CS94" s="6">
        <f t="shared" si="44"/>
        <v>369</v>
      </c>
      <c r="CT94" s="6">
        <v>221</v>
      </c>
      <c r="CU94" s="6">
        <v>1560</v>
      </c>
      <c r="CV94" s="6">
        <f t="shared" si="45"/>
        <v>348</v>
      </c>
      <c r="CW94" s="6"/>
      <c r="CX94" s="6"/>
      <c r="CY94" s="6"/>
      <c r="CZ94" s="6">
        <v>586</v>
      </c>
      <c r="DA94" s="6"/>
      <c r="DB94" s="6">
        <f t="shared" si="46"/>
        <v>365</v>
      </c>
      <c r="DC94" s="6">
        <v>954</v>
      </c>
      <c r="DD94" s="6"/>
      <c r="DE94" s="6">
        <f t="shared" si="47"/>
        <v>368</v>
      </c>
      <c r="DF94" s="6">
        <v>1323</v>
      </c>
      <c r="DG94" s="6"/>
      <c r="DH94" s="6">
        <f t="shared" si="48"/>
        <v>369</v>
      </c>
      <c r="DI94" s="6">
        <v>133</v>
      </c>
      <c r="DJ94" s="6">
        <v>1537</v>
      </c>
      <c r="DK94" s="6">
        <f t="shared" si="49"/>
        <v>347</v>
      </c>
      <c r="DL94" s="6">
        <v>477</v>
      </c>
      <c r="DM94" s="6"/>
      <c r="DN94" s="6">
        <f t="shared" si="50"/>
        <v>344</v>
      </c>
      <c r="DO94" s="6">
        <v>306</v>
      </c>
      <c r="DP94" s="6">
        <v>488</v>
      </c>
      <c r="DQ94" s="6">
        <f t="shared" si="51"/>
        <v>317</v>
      </c>
    </row>
    <row r="95" spans="1:121">
      <c r="A95" s="6">
        <v>91</v>
      </c>
      <c r="B95" s="6">
        <v>286</v>
      </c>
      <c r="C95" s="8">
        <v>1560</v>
      </c>
      <c r="D95" s="8">
        <v>359</v>
      </c>
      <c r="E95" s="33" t="s">
        <v>69</v>
      </c>
      <c r="F95" s="33" t="s">
        <v>69</v>
      </c>
      <c r="G95" s="33" t="s">
        <v>69</v>
      </c>
      <c r="H95" s="33" t="s">
        <v>69</v>
      </c>
      <c r="I95" s="33" t="s">
        <v>69</v>
      </c>
      <c r="J95" s="33" t="s">
        <v>69</v>
      </c>
      <c r="K95" s="33" t="s">
        <v>69</v>
      </c>
      <c r="L95" s="33" t="s">
        <v>69</v>
      </c>
      <c r="M95" s="33" t="s">
        <v>69</v>
      </c>
      <c r="N95" s="33" t="s">
        <v>69</v>
      </c>
      <c r="O95" s="33" t="s">
        <v>69</v>
      </c>
      <c r="P95" s="33" t="s">
        <v>69</v>
      </c>
      <c r="Q95" s="33" t="s">
        <v>69</v>
      </c>
      <c r="R95" s="33" t="s">
        <v>69</v>
      </c>
      <c r="S95" s="33" t="s">
        <v>69</v>
      </c>
      <c r="T95" s="33" t="s">
        <v>69</v>
      </c>
      <c r="U95" s="33" t="s">
        <v>69</v>
      </c>
      <c r="V95" s="33" t="s">
        <v>69</v>
      </c>
      <c r="W95" s="33" t="s">
        <v>69</v>
      </c>
      <c r="X95" s="148" t="s">
        <v>37</v>
      </c>
      <c r="Y95" s="33" t="s">
        <v>37</v>
      </c>
      <c r="Z95" s="33" t="s">
        <v>37</v>
      </c>
      <c r="AA95" s="33" t="s">
        <v>37</v>
      </c>
      <c r="AB95" s="33" t="s">
        <v>37</v>
      </c>
      <c r="AC95" s="33" t="s">
        <v>37</v>
      </c>
      <c r="AD95" s="33" t="s">
        <v>37</v>
      </c>
      <c r="AE95" s="33" t="s">
        <v>37</v>
      </c>
      <c r="AF95" s="6">
        <v>668</v>
      </c>
      <c r="AG95" s="6"/>
      <c r="AH95" s="35">
        <f t="shared" si="26"/>
        <v>382</v>
      </c>
      <c r="AI95" s="35">
        <v>1018</v>
      </c>
      <c r="AJ95" s="35"/>
      <c r="AK95" s="35">
        <f t="shared" si="27"/>
        <v>350</v>
      </c>
      <c r="AL95" s="6"/>
      <c r="AM95" s="6"/>
      <c r="AN95" s="35"/>
      <c r="AO95" s="6">
        <v>298</v>
      </c>
      <c r="AP95" s="6">
        <v>1073</v>
      </c>
      <c r="AQ95" s="34">
        <f t="shared" si="28"/>
        <v>353</v>
      </c>
      <c r="AR95" s="35">
        <v>668</v>
      </c>
      <c r="AS95" s="35"/>
      <c r="AT95" s="35">
        <f t="shared" si="29"/>
        <v>370</v>
      </c>
      <c r="AU95" s="6">
        <v>1041</v>
      </c>
      <c r="AV95" s="6"/>
      <c r="AW95" s="35">
        <f t="shared" si="30"/>
        <v>373</v>
      </c>
      <c r="AX95" s="6">
        <v>1411</v>
      </c>
      <c r="AY95" s="6"/>
      <c r="AZ95" s="35">
        <f t="shared" si="31"/>
        <v>370</v>
      </c>
      <c r="BA95" s="35">
        <v>219</v>
      </c>
      <c r="BB95" s="35">
        <v>1560</v>
      </c>
      <c r="BC95" s="35">
        <f t="shared" si="32"/>
        <v>368</v>
      </c>
      <c r="BD95" s="6">
        <v>577</v>
      </c>
      <c r="BE95" s="6"/>
      <c r="BF95" s="35">
        <f t="shared" si="33"/>
        <v>358</v>
      </c>
      <c r="BG95" s="6"/>
      <c r="BH95" s="6"/>
      <c r="BI95" s="6"/>
      <c r="BJ95" s="6">
        <v>951</v>
      </c>
      <c r="BK95" s="6"/>
      <c r="BL95" s="6">
        <f t="shared" si="34"/>
        <v>374</v>
      </c>
      <c r="BM95" s="6">
        <v>1318</v>
      </c>
      <c r="BN95" s="6"/>
      <c r="BO95" s="6">
        <f t="shared" si="35"/>
        <v>367</v>
      </c>
      <c r="BP95" s="6">
        <v>129</v>
      </c>
      <c r="BQ95" s="6">
        <v>1560</v>
      </c>
      <c r="BR95" s="35">
        <f t="shared" si="36"/>
        <v>371</v>
      </c>
      <c r="BS95" s="6">
        <v>491</v>
      </c>
      <c r="BT95" s="6"/>
      <c r="BU95" s="6">
        <f t="shared" si="37"/>
        <v>362</v>
      </c>
      <c r="BV95" s="6">
        <v>869</v>
      </c>
      <c r="BW95" s="6"/>
      <c r="BX95" s="35">
        <f t="shared" si="38"/>
        <v>378</v>
      </c>
      <c r="BY95" s="6">
        <v>1206</v>
      </c>
      <c r="BZ95" s="6"/>
      <c r="CA95" s="6">
        <f t="shared" si="39"/>
        <v>337</v>
      </c>
      <c r="CB95" s="6"/>
      <c r="CC95" s="6"/>
      <c r="CD95" s="6"/>
      <c r="CE95" s="6">
        <v>16</v>
      </c>
      <c r="CF95" s="6">
        <v>1560</v>
      </c>
      <c r="CG95" s="6">
        <f t="shared" si="40"/>
        <v>370</v>
      </c>
      <c r="CH95" s="6">
        <v>379</v>
      </c>
      <c r="CI95" s="6"/>
      <c r="CJ95" s="6">
        <f t="shared" si="41"/>
        <v>363</v>
      </c>
      <c r="CK95" s="6">
        <v>726</v>
      </c>
      <c r="CL95" s="6"/>
      <c r="CM95" s="6">
        <f t="shared" si="42"/>
        <v>347</v>
      </c>
      <c r="CN95" s="6">
        <v>0</v>
      </c>
      <c r="CO95" s="6">
        <v>836</v>
      </c>
      <c r="CP95" s="6">
        <f t="shared" si="43"/>
        <v>110</v>
      </c>
      <c r="CQ95" s="6">
        <v>332</v>
      </c>
      <c r="CR95" s="6"/>
      <c r="CS95" s="6">
        <f t="shared" si="44"/>
        <v>332</v>
      </c>
      <c r="CT95" s="6">
        <v>672</v>
      </c>
      <c r="CU95" s="6"/>
      <c r="CV95" s="6">
        <f t="shared" si="45"/>
        <v>340</v>
      </c>
      <c r="CW95" s="6"/>
      <c r="CX95" s="6"/>
      <c r="CY95" s="6"/>
      <c r="CZ95" s="6">
        <v>1030</v>
      </c>
      <c r="DA95" s="6"/>
      <c r="DB95" s="6">
        <f t="shared" si="46"/>
        <v>358</v>
      </c>
      <c r="DC95" s="6">
        <v>1384</v>
      </c>
      <c r="DD95" s="6"/>
      <c r="DE95" s="6">
        <f t="shared" si="47"/>
        <v>354</v>
      </c>
      <c r="DF95" s="6">
        <v>179</v>
      </c>
      <c r="DG95" s="6">
        <v>1560</v>
      </c>
      <c r="DH95" s="6">
        <f t="shared" si="48"/>
        <v>355</v>
      </c>
      <c r="DI95" s="6">
        <v>537</v>
      </c>
      <c r="DJ95" s="6"/>
      <c r="DK95" s="6">
        <f t="shared" si="49"/>
        <v>358</v>
      </c>
      <c r="DL95" s="6">
        <v>888</v>
      </c>
      <c r="DM95" s="6"/>
      <c r="DN95" s="6">
        <f t="shared" si="50"/>
        <v>351</v>
      </c>
      <c r="DO95" s="6">
        <v>201</v>
      </c>
      <c r="DP95" s="6">
        <v>1006</v>
      </c>
      <c r="DQ95" s="6">
        <f t="shared" si="51"/>
        <v>319</v>
      </c>
    </row>
    <row r="96" spans="1:121" ht="15.75" customHeight="1">
      <c r="A96" s="6">
        <v>92</v>
      </c>
      <c r="B96" s="6">
        <v>719</v>
      </c>
      <c r="C96" s="6"/>
      <c r="D96" s="6">
        <v>331</v>
      </c>
      <c r="E96" s="33" t="s">
        <v>95</v>
      </c>
      <c r="F96" s="33" t="s">
        <v>95</v>
      </c>
      <c r="G96" s="33" t="s">
        <v>95</v>
      </c>
      <c r="H96" s="33" t="s">
        <v>95</v>
      </c>
      <c r="I96" s="33" t="s">
        <v>95</v>
      </c>
      <c r="J96" s="33" t="s">
        <v>95</v>
      </c>
      <c r="K96" s="167" t="s">
        <v>69</v>
      </c>
      <c r="L96" s="169" t="s">
        <v>69</v>
      </c>
      <c r="M96" s="169" t="s">
        <v>69</v>
      </c>
      <c r="N96" s="169" t="s">
        <v>69</v>
      </c>
      <c r="O96" s="169" t="s">
        <v>69</v>
      </c>
      <c r="P96" s="169" t="s">
        <v>69</v>
      </c>
      <c r="Q96" s="169" t="s">
        <v>69</v>
      </c>
      <c r="R96" s="169" t="s">
        <v>69</v>
      </c>
      <c r="S96" s="169" t="s">
        <v>69</v>
      </c>
      <c r="T96" s="169" t="s">
        <v>69</v>
      </c>
      <c r="U96" s="169" t="s">
        <v>69</v>
      </c>
      <c r="V96" s="169" t="s">
        <v>69</v>
      </c>
      <c r="W96" s="169" t="s">
        <v>69</v>
      </c>
      <c r="X96" s="169" t="s">
        <v>69</v>
      </c>
      <c r="Y96" s="169" t="s">
        <v>69</v>
      </c>
      <c r="Z96" s="169" t="s">
        <v>69</v>
      </c>
      <c r="AA96" s="169" t="s">
        <v>69</v>
      </c>
      <c r="AB96" s="198" t="s">
        <v>37</v>
      </c>
      <c r="AC96" s="199" t="s">
        <v>37</v>
      </c>
      <c r="AD96" s="199" t="s">
        <v>37</v>
      </c>
      <c r="AE96" s="199" t="s">
        <v>37</v>
      </c>
      <c r="AF96" s="6">
        <v>1068</v>
      </c>
      <c r="AG96" s="6"/>
      <c r="AH96" s="35">
        <f t="shared" si="26"/>
        <v>349</v>
      </c>
      <c r="AI96" s="35">
        <v>201</v>
      </c>
      <c r="AJ96" s="35">
        <v>1200</v>
      </c>
      <c r="AK96" s="35">
        <f t="shared" si="27"/>
        <v>333</v>
      </c>
      <c r="AL96" s="6"/>
      <c r="AM96" s="6"/>
      <c r="AN96" s="35"/>
      <c r="AO96" s="6">
        <v>550</v>
      </c>
      <c r="AP96" s="6"/>
      <c r="AQ96" s="34">
        <f t="shared" si="28"/>
        <v>349</v>
      </c>
      <c r="AR96" s="35">
        <v>899</v>
      </c>
      <c r="AS96" s="35"/>
      <c r="AT96" s="35">
        <f t="shared" si="29"/>
        <v>349</v>
      </c>
      <c r="AU96" s="6">
        <v>0</v>
      </c>
      <c r="AV96" s="6">
        <v>1187</v>
      </c>
      <c r="AW96" s="35">
        <f t="shared" si="30"/>
        <v>288</v>
      </c>
      <c r="AX96" s="6">
        <v>351</v>
      </c>
      <c r="AY96" s="6"/>
      <c r="AZ96" s="35">
        <f t="shared" si="31"/>
        <v>351</v>
      </c>
      <c r="BA96" s="35">
        <v>725</v>
      </c>
      <c r="BB96" s="35"/>
      <c r="BC96" s="35">
        <f t="shared" si="32"/>
        <v>374</v>
      </c>
      <c r="BD96" s="6">
        <v>1080</v>
      </c>
      <c r="BE96" s="6"/>
      <c r="BF96" s="35">
        <f t="shared" si="33"/>
        <v>355</v>
      </c>
      <c r="BG96" s="6"/>
      <c r="BH96" s="6"/>
      <c r="BI96" s="6"/>
      <c r="BJ96" s="6">
        <v>1450</v>
      </c>
      <c r="BK96" s="6"/>
      <c r="BL96" s="6">
        <f t="shared" si="34"/>
        <v>370</v>
      </c>
      <c r="BM96" s="6">
        <v>262</v>
      </c>
      <c r="BN96" s="6">
        <v>1560</v>
      </c>
      <c r="BO96" s="6">
        <f t="shared" si="35"/>
        <v>372</v>
      </c>
      <c r="BP96" s="6">
        <v>634</v>
      </c>
      <c r="BQ96" s="6"/>
      <c r="BR96" s="35">
        <f t="shared" si="36"/>
        <v>372</v>
      </c>
      <c r="BS96" s="6">
        <v>1007</v>
      </c>
      <c r="BT96" s="6"/>
      <c r="BU96" s="6">
        <f t="shared" si="37"/>
        <v>373</v>
      </c>
      <c r="BV96" s="6">
        <v>1376</v>
      </c>
      <c r="BW96" s="6"/>
      <c r="BX96" s="35">
        <f t="shared" si="38"/>
        <v>369</v>
      </c>
      <c r="BY96" s="6">
        <v>163</v>
      </c>
      <c r="BZ96" s="6">
        <v>1560</v>
      </c>
      <c r="CA96" s="6">
        <f t="shared" si="39"/>
        <v>347</v>
      </c>
      <c r="CB96" s="6"/>
      <c r="CC96" s="6"/>
      <c r="CD96" s="6"/>
      <c r="CE96" s="6">
        <v>533</v>
      </c>
      <c r="CF96" s="6"/>
      <c r="CG96" s="6">
        <f t="shared" si="40"/>
        <v>370</v>
      </c>
      <c r="CH96" s="6">
        <v>158</v>
      </c>
      <c r="CI96" s="6">
        <v>741</v>
      </c>
      <c r="CJ96" s="6">
        <f t="shared" si="41"/>
        <v>366</v>
      </c>
      <c r="CK96" s="6">
        <v>522</v>
      </c>
      <c r="CL96" s="6"/>
      <c r="CM96" s="6">
        <f t="shared" si="42"/>
        <v>364</v>
      </c>
      <c r="CN96" s="6">
        <v>889</v>
      </c>
      <c r="CO96" s="6"/>
      <c r="CP96" s="6">
        <f t="shared" si="43"/>
        <v>367</v>
      </c>
      <c r="CQ96" s="6">
        <v>1250</v>
      </c>
      <c r="CR96" s="6"/>
      <c r="CS96" s="6">
        <f t="shared" si="44"/>
        <v>361</v>
      </c>
      <c r="CT96" s="6">
        <v>33</v>
      </c>
      <c r="CU96" s="6">
        <v>1560</v>
      </c>
      <c r="CV96" s="6">
        <f t="shared" si="45"/>
        <v>343</v>
      </c>
      <c r="CW96" s="6"/>
      <c r="CX96" s="6"/>
      <c r="CY96" s="6"/>
      <c r="CZ96" s="6">
        <v>405</v>
      </c>
      <c r="DA96" s="6"/>
      <c r="DB96" s="6">
        <f t="shared" si="46"/>
        <v>372</v>
      </c>
      <c r="DC96" s="6">
        <v>0</v>
      </c>
      <c r="DD96" s="6">
        <v>515</v>
      </c>
      <c r="DE96" s="6">
        <f t="shared" si="47"/>
        <v>110</v>
      </c>
      <c r="DF96" s="6">
        <v>295</v>
      </c>
      <c r="DG96" s="6"/>
      <c r="DH96" s="6">
        <f t="shared" si="48"/>
        <v>295</v>
      </c>
      <c r="DI96" s="6">
        <v>681</v>
      </c>
      <c r="DJ96" s="6"/>
      <c r="DK96" s="6">
        <f t="shared" si="49"/>
        <v>386</v>
      </c>
      <c r="DL96" s="6">
        <v>1069</v>
      </c>
      <c r="DM96" s="6"/>
      <c r="DN96" s="6">
        <f t="shared" si="50"/>
        <v>388</v>
      </c>
      <c r="DO96" s="6">
        <v>1413</v>
      </c>
      <c r="DP96" s="6"/>
      <c r="DQ96" s="6">
        <f t="shared" si="51"/>
        <v>344</v>
      </c>
    </row>
    <row r="97" spans="1:121">
      <c r="A97" s="6">
        <v>93</v>
      </c>
      <c r="B97" s="6">
        <v>921</v>
      </c>
      <c r="C97" s="6"/>
      <c r="D97" s="6">
        <v>320</v>
      </c>
      <c r="E97" s="33" t="s">
        <v>95</v>
      </c>
      <c r="F97" s="33" t="s">
        <v>95</v>
      </c>
      <c r="G97" s="33" t="s">
        <v>95</v>
      </c>
      <c r="H97" s="33" t="s">
        <v>95</v>
      </c>
      <c r="I97" s="33" t="s">
        <v>95</v>
      </c>
      <c r="J97" s="148" t="s">
        <v>98</v>
      </c>
      <c r="K97" s="33" t="s">
        <v>98</v>
      </c>
      <c r="L97" s="33" t="s">
        <v>98</v>
      </c>
      <c r="M97" s="33" t="s">
        <v>98</v>
      </c>
      <c r="N97" s="148" t="s">
        <v>69</v>
      </c>
      <c r="O97" s="33" t="s">
        <v>69</v>
      </c>
      <c r="P97" s="33" t="s">
        <v>69</v>
      </c>
      <c r="Q97" s="33" t="s">
        <v>69</v>
      </c>
      <c r="R97" s="33" t="s">
        <v>69</v>
      </c>
      <c r="S97" s="33" t="s">
        <v>69</v>
      </c>
      <c r="T97" s="33" t="s">
        <v>69</v>
      </c>
      <c r="U97" s="33" t="s">
        <v>69</v>
      </c>
      <c r="V97" s="33" t="s">
        <v>69</v>
      </c>
      <c r="W97" s="33" t="s">
        <v>69</v>
      </c>
      <c r="X97" s="33" t="s">
        <v>69</v>
      </c>
      <c r="Y97" s="33" t="s">
        <v>69</v>
      </c>
      <c r="Z97" s="33" t="s">
        <v>69</v>
      </c>
      <c r="AA97" s="33" t="s">
        <v>69</v>
      </c>
      <c r="AB97" s="33" t="s">
        <v>69</v>
      </c>
      <c r="AC97" s="33" t="s">
        <v>69</v>
      </c>
      <c r="AD97" s="33" t="s">
        <v>69</v>
      </c>
      <c r="AE97" s="33" t="s">
        <v>69</v>
      </c>
      <c r="AF97" s="6">
        <v>62</v>
      </c>
      <c r="AG97" s="6">
        <v>1200</v>
      </c>
      <c r="AH97" s="35">
        <f t="shared" si="26"/>
        <v>341</v>
      </c>
      <c r="AI97" s="35">
        <v>388</v>
      </c>
      <c r="AJ97" s="35"/>
      <c r="AK97" s="35">
        <f t="shared" si="27"/>
        <v>326</v>
      </c>
      <c r="AL97" s="6"/>
      <c r="AM97" s="6"/>
      <c r="AN97" s="35"/>
      <c r="AO97" s="6">
        <v>731</v>
      </c>
      <c r="AP97" s="6"/>
      <c r="AQ97" s="34">
        <f t="shared" si="28"/>
        <v>343</v>
      </c>
      <c r="AR97" s="35">
        <v>0</v>
      </c>
      <c r="AS97" s="35">
        <v>1065</v>
      </c>
      <c r="AT97" s="35">
        <f t="shared" si="29"/>
        <v>334</v>
      </c>
      <c r="AU97" s="6">
        <v>335</v>
      </c>
      <c r="AV97" s="6"/>
      <c r="AW97" s="35">
        <f t="shared" si="30"/>
        <v>335</v>
      </c>
      <c r="AX97" s="6">
        <v>681</v>
      </c>
      <c r="AY97" s="6"/>
      <c r="AZ97" s="35">
        <f t="shared" si="31"/>
        <v>346</v>
      </c>
      <c r="BA97" s="35">
        <v>1026</v>
      </c>
      <c r="BB97" s="35"/>
      <c r="BC97" s="35">
        <f t="shared" si="32"/>
        <v>345</v>
      </c>
      <c r="BD97" s="6">
        <v>0</v>
      </c>
      <c r="BE97" s="6">
        <v>1103</v>
      </c>
      <c r="BF97" s="35">
        <f t="shared" si="33"/>
        <v>77</v>
      </c>
      <c r="BG97" s="6"/>
      <c r="BH97" s="6"/>
      <c r="BI97" s="6"/>
      <c r="BJ97" s="6">
        <v>262</v>
      </c>
      <c r="BK97" s="6"/>
      <c r="BL97" s="6">
        <f t="shared" si="34"/>
        <v>262</v>
      </c>
      <c r="BM97" s="6">
        <v>613</v>
      </c>
      <c r="BN97" s="6"/>
      <c r="BO97" s="6">
        <f t="shared" si="35"/>
        <v>351</v>
      </c>
      <c r="BP97" s="6">
        <v>960</v>
      </c>
      <c r="BQ97" s="6"/>
      <c r="BR97" s="35">
        <f t="shared" si="36"/>
        <v>347</v>
      </c>
      <c r="BS97" s="6">
        <v>1316</v>
      </c>
      <c r="BT97" s="6"/>
      <c r="BU97" s="6">
        <f t="shared" si="37"/>
        <v>356</v>
      </c>
      <c r="BV97" s="6">
        <v>106</v>
      </c>
      <c r="BW97" s="6">
        <v>1567</v>
      </c>
      <c r="BX97" s="35">
        <f t="shared" si="38"/>
        <v>357</v>
      </c>
      <c r="BY97" s="6">
        <v>440</v>
      </c>
      <c r="BZ97" s="6"/>
      <c r="CA97" s="6">
        <f t="shared" si="39"/>
        <v>334</v>
      </c>
      <c r="CB97" s="6"/>
      <c r="CC97" s="6"/>
      <c r="CD97" s="6"/>
      <c r="CE97" s="6">
        <v>785</v>
      </c>
      <c r="CF97" s="6"/>
      <c r="CG97" s="6">
        <f t="shared" si="40"/>
        <v>345</v>
      </c>
      <c r="CH97" s="6">
        <v>1139</v>
      </c>
      <c r="CI97" s="6"/>
      <c r="CJ97" s="6">
        <f t="shared" si="41"/>
        <v>354</v>
      </c>
      <c r="CK97" s="6">
        <v>1481</v>
      </c>
      <c r="CL97" s="6"/>
      <c r="CM97" s="6">
        <f t="shared" si="42"/>
        <v>342</v>
      </c>
      <c r="CN97" s="6">
        <v>283</v>
      </c>
      <c r="CO97" s="6">
        <v>1560</v>
      </c>
      <c r="CP97" s="6">
        <f t="shared" si="43"/>
        <v>362</v>
      </c>
      <c r="CQ97" s="6">
        <v>638</v>
      </c>
      <c r="CR97" s="6"/>
      <c r="CS97" s="6">
        <f t="shared" si="44"/>
        <v>355</v>
      </c>
      <c r="CT97" s="6">
        <v>977</v>
      </c>
      <c r="CU97" s="6"/>
      <c r="CV97" s="6">
        <f t="shared" si="45"/>
        <v>339</v>
      </c>
      <c r="CW97" s="6"/>
      <c r="CX97" s="6"/>
      <c r="CY97" s="6"/>
      <c r="CZ97" s="6">
        <v>1333</v>
      </c>
      <c r="DA97" s="6"/>
      <c r="DB97" s="6">
        <f t="shared" si="46"/>
        <v>356</v>
      </c>
      <c r="DC97" s="6">
        <v>308</v>
      </c>
      <c r="DD97" s="6">
        <v>1379</v>
      </c>
      <c r="DE97" s="6">
        <f t="shared" si="47"/>
        <v>354</v>
      </c>
      <c r="DF97" s="6">
        <v>670</v>
      </c>
      <c r="DG97" s="6"/>
      <c r="DH97" s="6">
        <f t="shared" si="48"/>
        <v>362</v>
      </c>
      <c r="DI97" s="6">
        <v>1033</v>
      </c>
      <c r="DJ97" s="6"/>
      <c r="DK97" s="6">
        <f t="shared" si="49"/>
        <v>363</v>
      </c>
      <c r="DL97" s="6">
        <v>1390</v>
      </c>
      <c r="DM97" s="6"/>
      <c r="DN97" s="6">
        <f t="shared" si="50"/>
        <v>357</v>
      </c>
      <c r="DO97" s="6">
        <v>157</v>
      </c>
      <c r="DP97" s="6">
        <v>1560</v>
      </c>
      <c r="DQ97" s="6">
        <f t="shared" si="51"/>
        <v>327</v>
      </c>
    </row>
    <row r="98" spans="1:121">
      <c r="A98" s="6">
        <v>94</v>
      </c>
      <c r="B98" s="6">
        <v>779</v>
      </c>
      <c r="C98" s="6"/>
      <c r="D98" s="6">
        <v>374</v>
      </c>
      <c r="E98" s="33" t="s">
        <v>37</v>
      </c>
      <c r="F98" s="33" t="s">
        <v>37</v>
      </c>
      <c r="G98" s="33" t="s">
        <v>37</v>
      </c>
      <c r="H98" s="33" t="s">
        <v>37</v>
      </c>
      <c r="I98" s="33" t="s">
        <v>37</v>
      </c>
      <c r="J98" s="33" t="s">
        <v>37</v>
      </c>
      <c r="K98" s="33" t="s">
        <v>37</v>
      </c>
      <c r="L98" s="33" t="s">
        <v>37</v>
      </c>
      <c r="M98" s="33" t="s">
        <v>37</v>
      </c>
      <c r="N98" s="33" t="s">
        <v>37</v>
      </c>
      <c r="O98" s="33" t="s">
        <v>37</v>
      </c>
      <c r="P98" s="33" t="s">
        <v>37</v>
      </c>
      <c r="Q98" s="33" t="s">
        <v>37</v>
      </c>
      <c r="R98" s="33" t="s">
        <v>37</v>
      </c>
      <c r="S98" s="33" t="s">
        <v>37</v>
      </c>
      <c r="T98" s="33" t="s">
        <v>37</v>
      </c>
      <c r="U98" s="33" t="s">
        <v>37</v>
      </c>
      <c r="V98" s="33" t="s">
        <v>37</v>
      </c>
      <c r="W98" s="33" t="s">
        <v>37</v>
      </c>
      <c r="X98" s="148" t="s">
        <v>37</v>
      </c>
      <c r="Y98" s="33" t="s">
        <v>37</v>
      </c>
      <c r="Z98" s="33" t="s">
        <v>37</v>
      </c>
      <c r="AA98" s="33" t="s">
        <v>37</v>
      </c>
      <c r="AB98" s="33" t="s">
        <v>37</v>
      </c>
      <c r="AC98" s="33" t="s">
        <v>37</v>
      </c>
      <c r="AD98" s="33" t="s">
        <v>37</v>
      </c>
      <c r="AE98" s="33" t="s">
        <v>37</v>
      </c>
      <c r="AF98" s="6">
        <v>1172</v>
      </c>
      <c r="AG98" s="6"/>
      <c r="AH98" s="35">
        <f t="shared" si="26"/>
        <v>393</v>
      </c>
      <c r="AI98" s="35">
        <v>1548</v>
      </c>
      <c r="AJ98" s="35"/>
      <c r="AK98" s="35">
        <f t="shared" si="27"/>
        <v>376</v>
      </c>
      <c r="AL98" s="6"/>
      <c r="AM98" s="6"/>
      <c r="AN98" s="35"/>
      <c r="AO98" s="6">
        <v>380</v>
      </c>
      <c r="AP98" s="6">
        <v>1560</v>
      </c>
      <c r="AQ98" s="34">
        <f t="shared" si="28"/>
        <v>392</v>
      </c>
      <c r="AR98" s="35">
        <v>777</v>
      </c>
      <c r="AS98" s="35"/>
      <c r="AT98" s="35">
        <f t="shared" si="29"/>
        <v>397</v>
      </c>
      <c r="AU98" s="6">
        <v>1168</v>
      </c>
      <c r="AV98" s="6"/>
      <c r="AW98" s="35">
        <f t="shared" si="30"/>
        <v>391</v>
      </c>
      <c r="AX98" s="6">
        <v>2</v>
      </c>
      <c r="AY98" s="6">
        <v>1560</v>
      </c>
      <c r="AZ98" s="35">
        <f t="shared" si="31"/>
        <v>394</v>
      </c>
      <c r="BA98" s="6">
        <v>391</v>
      </c>
      <c r="BB98" s="6"/>
      <c r="BC98" s="35">
        <f t="shared" si="32"/>
        <v>389</v>
      </c>
      <c r="BD98" s="6">
        <v>748</v>
      </c>
      <c r="BE98" s="6"/>
      <c r="BF98" s="35">
        <f t="shared" si="33"/>
        <v>357</v>
      </c>
      <c r="BG98" s="6"/>
      <c r="BH98" s="6"/>
      <c r="BI98" s="35"/>
      <c r="BJ98" s="6">
        <v>1128</v>
      </c>
      <c r="BK98" s="35"/>
      <c r="BL98" s="6">
        <f t="shared" si="34"/>
        <v>380</v>
      </c>
      <c r="BM98" s="6">
        <v>1501</v>
      </c>
      <c r="BN98" s="6"/>
      <c r="BO98" s="6">
        <f t="shared" si="35"/>
        <v>373</v>
      </c>
      <c r="BP98" s="6">
        <v>306</v>
      </c>
      <c r="BQ98" s="6">
        <v>1560</v>
      </c>
      <c r="BR98" s="35">
        <f t="shared" si="36"/>
        <v>365</v>
      </c>
      <c r="BS98" s="6">
        <v>683</v>
      </c>
      <c r="BT98" s="6"/>
      <c r="BU98" s="6">
        <f t="shared" si="37"/>
        <v>377</v>
      </c>
      <c r="BV98" s="6">
        <v>1062</v>
      </c>
      <c r="BW98" s="6"/>
      <c r="BX98" s="35">
        <f t="shared" si="38"/>
        <v>379</v>
      </c>
      <c r="BY98" s="6">
        <v>1422</v>
      </c>
      <c r="BZ98" s="35"/>
      <c r="CA98" s="6">
        <f t="shared" si="39"/>
        <v>360</v>
      </c>
      <c r="CB98" s="6"/>
      <c r="CC98" s="6"/>
      <c r="CD98" s="35"/>
      <c r="CE98" s="6">
        <v>232</v>
      </c>
      <c r="CF98" s="35">
        <v>1560</v>
      </c>
      <c r="CG98" s="6">
        <f t="shared" si="40"/>
        <v>370</v>
      </c>
      <c r="CH98" s="6">
        <v>245</v>
      </c>
      <c r="CI98" s="6">
        <v>351</v>
      </c>
      <c r="CJ98" s="6">
        <f t="shared" si="41"/>
        <v>364</v>
      </c>
      <c r="CK98" s="6">
        <v>621</v>
      </c>
      <c r="CL98" s="6"/>
      <c r="CM98" s="6">
        <f t="shared" si="42"/>
        <v>376</v>
      </c>
      <c r="CN98" s="6">
        <v>0</v>
      </c>
      <c r="CO98" s="6">
        <v>958</v>
      </c>
      <c r="CP98" s="6">
        <f t="shared" si="43"/>
        <v>337</v>
      </c>
      <c r="CQ98" s="6">
        <v>286</v>
      </c>
      <c r="CR98" s="6"/>
      <c r="CS98" s="6">
        <f t="shared" si="44"/>
        <v>286</v>
      </c>
      <c r="CT98" s="6">
        <v>639</v>
      </c>
      <c r="CU98" s="6"/>
      <c r="CV98" s="6">
        <f t="shared" si="45"/>
        <v>353</v>
      </c>
      <c r="CW98" s="6"/>
      <c r="CX98" s="6"/>
      <c r="CY98" s="6"/>
      <c r="CZ98" s="6">
        <v>1022</v>
      </c>
      <c r="DA98" s="6"/>
      <c r="DB98" s="6">
        <f t="shared" si="46"/>
        <v>383</v>
      </c>
      <c r="DC98" s="6">
        <v>1402</v>
      </c>
      <c r="DD98" s="6"/>
      <c r="DE98" s="6">
        <f t="shared" si="47"/>
        <v>380</v>
      </c>
      <c r="DF98" s="6">
        <v>222</v>
      </c>
      <c r="DG98" s="6">
        <v>1560</v>
      </c>
      <c r="DH98" s="6">
        <f t="shared" si="48"/>
        <v>380</v>
      </c>
      <c r="DI98" s="6">
        <v>597</v>
      </c>
      <c r="DJ98" s="6"/>
      <c r="DK98" s="6">
        <f t="shared" si="49"/>
        <v>375</v>
      </c>
      <c r="DL98" s="6">
        <v>163</v>
      </c>
      <c r="DM98" s="6">
        <v>802</v>
      </c>
      <c r="DN98" s="6">
        <f t="shared" si="50"/>
        <v>368</v>
      </c>
      <c r="DO98" s="6">
        <v>501</v>
      </c>
      <c r="DP98" s="6"/>
      <c r="DQ98" s="6">
        <f t="shared" si="51"/>
        <v>338</v>
      </c>
    </row>
    <row r="99" spans="1:121">
      <c r="A99" s="6">
        <v>95</v>
      </c>
      <c r="B99" s="6">
        <v>1085</v>
      </c>
      <c r="C99" s="6"/>
      <c r="D99" s="6">
        <v>331</v>
      </c>
      <c r="E99" s="33" t="s">
        <v>95</v>
      </c>
      <c r="F99" s="148" t="s">
        <v>98</v>
      </c>
      <c r="G99" s="33" t="s">
        <v>98</v>
      </c>
      <c r="H99" s="33" t="s">
        <v>98</v>
      </c>
      <c r="I99" s="33" t="s">
        <v>98</v>
      </c>
      <c r="J99" s="33" t="s">
        <v>98</v>
      </c>
      <c r="K99" s="33" t="s">
        <v>98</v>
      </c>
      <c r="L99" s="33" t="s">
        <v>98</v>
      </c>
      <c r="M99" s="33" t="s">
        <v>98</v>
      </c>
      <c r="N99" s="33" t="s">
        <v>98</v>
      </c>
      <c r="O99" s="33" t="s">
        <v>98</v>
      </c>
      <c r="P99" s="33" t="s">
        <v>98</v>
      </c>
      <c r="Q99" s="33" t="s">
        <v>98</v>
      </c>
      <c r="R99" s="33" t="s">
        <v>98</v>
      </c>
      <c r="S99" s="148" t="s">
        <v>37</v>
      </c>
      <c r="T99" s="33" t="s">
        <v>37</v>
      </c>
      <c r="U99" s="33" t="s">
        <v>37</v>
      </c>
      <c r="V99" s="33" t="s">
        <v>37</v>
      </c>
      <c r="W99" s="33" t="s">
        <v>37</v>
      </c>
      <c r="X99" s="33" t="s">
        <v>37</v>
      </c>
      <c r="Y99" s="33" t="s">
        <v>37</v>
      </c>
      <c r="Z99" s="33" t="s">
        <v>37</v>
      </c>
      <c r="AA99" s="33" t="s">
        <v>37</v>
      </c>
      <c r="AB99" s="33" t="s">
        <v>37</v>
      </c>
      <c r="AC99" s="33" t="s">
        <v>37</v>
      </c>
      <c r="AD99" s="33" t="s">
        <v>37</v>
      </c>
      <c r="AE99" s="33" t="s">
        <v>37</v>
      </c>
      <c r="AF99" s="6">
        <v>243</v>
      </c>
      <c r="AG99" s="6">
        <v>1164</v>
      </c>
      <c r="AH99" s="35">
        <f t="shared" si="26"/>
        <v>322</v>
      </c>
      <c r="AI99" s="35">
        <v>575</v>
      </c>
      <c r="AJ99" s="35"/>
      <c r="AK99" s="35">
        <f t="shared" si="27"/>
        <v>332</v>
      </c>
      <c r="AL99" s="6"/>
      <c r="AM99" s="6"/>
      <c r="AN99" s="35"/>
      <c r="AO99" s="6">
        <v>924</v>
      </c>
      <c r="AP99" s="6"/>
      <c r="AQ99" s="34">
        <f t="shared" si="28"/>
        <v>349</v>
      </c>
      <c r="AR99" s="35">
        <v>75</v>
      </c>
      <c r="AS99" s="35">
        <v>1200</v>
      </c>
      <c r="AT99" s="35">
        <f t="shared" si="29"/>
        <v>351</v>
      </c>
      <c r="AU99" s="6">
        <v>422</v>
      </c>
      <c r="AV99" s="6"/>
      <c r="AW99" s="35">
        <f t="shared" si="30"/>
        <v>347</v>
      </c>
      <c r="AX99" s="6">
        <v>773</v>
      </c>
      <c r="AY99" s="6"/>
      <c r="AZ99" s="35">
        <f t="shared" si="31"/>
        <v>351</v>
      </c>
      <c r="BA99" s="35">
        <v>1120</v>
      </c>
      <c r="BB99" s="35"/>
      <c r="BC99" s="35">
        <f t="shared" si="32"/>
        <v>347</v>
      </c>
      <c r="BD99" s="6">
        <v>274</v>
      </c>
      <c r="BE99" s="6">
        <v>1180</v>
      </c>
      <c r="BF99" s="35">
        <f t="shared" si="33"/>
        <v>334</v>
      </c>
      <c r="BG99" s="6"/>
      <c r="BH99" s="6"/>
      <c r="BI99" s="6"/>
      <c r="BJ99" s="6">
        <v>622</v>
      </c>
      <c r="BK99" s="6"/>
      <c r="BL99" s="6">
        <f t="shared" si="34"/>
        <v>348</v>
      </c>
      <c r="BM99" s="6">
        <v>0</v>
      </c>
      <c r="BN99" s="6">
        <v>625</v>
      </c>
      <c r="BO99" s="6">
        <f t="shared" si="35"/>
        <v>3</v>
      </c>
      <c r="BP99" s="6">
        <v>0</v>
      </c>
      <c r="BQ99" s="6"/>
      <c r="BR99" s="35">
        <f t="shared" si="36"/>
        <v>0</v>
      </c>
      <c r="BS99" s="6">
        <v>0</v>
      </c>
      <c r="BT99" s="6"/>
      <c r="BU99" s="6">
        <f t="shared" si="37"/>
        <v>0</v>
      </c>
      <c r="BV99" s="6">
        <v>0</v>
      </c>
      <c r="BW99" s="6"/>
      <c r="BX99" s="35">
        <f t="shared" si="38"/>
        <v>0</v>
      </c>
      <c r="BY99" s="6">
        <v>0</v>
      </c>
      <c r="BZ99" s="6"/>
      <c r="CA99" s="6">
        <f t="shared" si="39"/>
        <v>0</v>
      </c>
      <c r="CB99" s="6"/>
      <c r="CC99" s="6"/>
      <c r="CD99" s="6"/>
      <c r="CE99" s="6">
        <v>0</v>
      </c>
      <c r="CF99" s="6"/>
      <c r="CG99" s="6">
        <f t="shared" si="40"/>
        <v>0</v>
      </c>
      <c r="CH99" s="6">
        <v>303</v>
      </c>
      <c r="CI99" s="6"/>
      <c r="CJ99" s="6">
        <f t="shared" si="41"/>
        <v>303</v>
      </c>
      <c r="CK99" s="6">
        <v>679</v>
      </c>
      <c r="CL99" s="6"/>
      <c r="CM99" s="6">
        <f t="shared" si="42"/>
        <v>376</v>
      </c>
      <c r="CN99" s="6">
        <v>1048</v>
      </c>
      <c r="CO99" s="6"/>
      <c r="CP99" s="6">
        <f t="shared" si="43"/>
        <v>369</v>
      </c>
      <c r="CQ99" s="6">
        <v>1415</v>
      </c>
      <c r="CR99" s="6"/>
      <c r="CS99" s="6">
        <f t="shared" si="44"/>
        <v>367</v>
      </c>
      <c r="CT99" s="6">
        <v>253</v>
      </c>
      <c r="CU99" s="6">
        <v>1506</v>
      </c>
      <c r="CV99" s="6">
        <f t="shared" si="45"/>
        <v>344</v>
      </c>
      <c r="CW99" s="6"/>
      <c r="CX99" s="6"/>
      <c r="CY99" s="6"/>
      <c r="CZ99" s="6">
        <v>619</v>
      </c>
      <c r="DA99" s="6"/>
      <c r="DB99" s="6">
        <f t="shared" si="46"/>
        <v>366</v>
      </c>
      <c r="DC99" s="6">
        <v>988</v>
      </c>
      <c r="DD99" s="6"/>
      <c r="DE99" s="6">
        <f t="shared" si="47"/>
        <v>369</v>
      </c>
      <c r="DF99" s="6">
        <v>1358</v>
      </c>
      <c r="DG99" s="6"/>
      <c r="DH99" s="6">
        <f t="shared" si="48"/>
        <v>370</v>
      </c>
      <c r="DI99" s="6">
        <v>160</v>
      </c>
      <c r="DJ99" s="6">
        <v>1560</v>
      </c>
      <c r="DK99" s="6">
        <f t="shared" si="49"/>
        <v>362</v>
      </c>
      <c r="DL99" s="6">
        <v>528</v>
      </c>
      <c r="DM99" s="6"/>
      <c r="DN99" s="6">
        <f t="shared" si="50"/>
        <v>368</v>
      </c>
      <c r="DO99" s="6">
        <v>863</v>
      </c>
      <c r="DP99" s="6"/>
      <c r="DQ99" s="6">
        <f t="shared" si="51"/>
        <v>335</v>
      </c>
    </row>
    <row r="100" spans="1:121">
      <c r="A100" s="6">
        <v>96</v>
      </c>
      <c r="B100" s="6">
        <v>1388</v>
      </c>
      <c r="C100" s="6"/>
      <c r="D100" s="8">
        <v>343</v>
      </c>
      <c r="E100" s="33" t="s">
        <v>69</v>
      </c>
      <c r="F100" s="33" t="s">
        <v>69</v>
      </c>
      <c r="G100" s="33" t="s">
        <v>69</v>
      </c>
      <c r="H100" s="33" t="s">
        <v>69</v>
      </c>
      <c r="I100" s="33" t="s">
        <v>69</v>
      </c>
      <c r="J100" s="33" t="s">
        <v>69</v>
      </c>
      <c r="K100" s="33" t="s">
        <v>69</v>
      </c>
      <c r="L100" s="33" t="s">
        <v>69</v>
      </c>
      <c r="M100" s="33" t="s">
        <v>69</v>
      </c>
      <c r="N100" s="33" t="s">
        <v>69</v>
      </c>
      <c r="O100" s="33" t="s">
        <v>69</v>
      </c>
      <c r="P100" s="33" t="s">
        <v>69</v>
      </c>
      <c r="Q100" s="33" t="s">
        <v>69</v>
      </c>
      <c r="R100" s="33" t="s">
        <v>69</v>
      </c>
      <c r="S100" s="33" t="s">
        <v>69</v>
      </c>
      <c r="T100" s="33" t="s">
        <v>69</v>
      </c>
      <c r="U100" s="33" t="s">
        <v>69</v>
      </c>
      <c r="V100" s="33" t="s">
        <v>69</v>
      </c>
      <c r="W100" s="33" t="s">
        <v>69</v>
      </c>
      <c r="X100" s="33" t="s">
        <v>69</v>
      </c>
      <c r="Y100" s="148" t="s">
        <v>37</v>
      </c>
      <c r="Z100" s="33" t="s">
        <v>37</v>
      </c>
      <c r="AA100" s="33" t="s">
        <v>37</v>
      </c>
      <c r="AB100" s="33" t="s">
        <v>37</v>
      </c>
      <c r="AC100" s="33" t="s">
        <v>37</v>
      </c>
      <c r="AD100" s="33" t="s">
        <v>37</v>
      </c>
      <c r="AE100" s="33" t="s">
        <v>37</v>
      </c>
      <c r="AF100" s="6">
        <v>248</v>
      </c>
      <c r="AG100" s="6">
        <v>1515</v>
      </c>
      <c r="AH100" s="35">
        <f t="shared" si="26"/>
        <v>375</v>
      </c>
      <c r="AI100" s="35">
        <v>614</v>
      </c>
      <c r="AJ100" s="35"/>
      <c r="AK100" s="35">
        <f t="shared" si="27"/>
        <v>366</v>
      </c>
      <c r="AL100" s="6"/>
      <c r="AM100" s="6"/>
      <c r="AN100" s="35"/>
      <c r="AO100" s="6">
        <v>1001</v>
      </c>
      <c r="AP100" s="6"/>
      <c r="AQ100" s="34">
        <f t="shared" si="28"/>
        <v>387</v>
      </c>
      <c r="AR100" s="35">
        <v>1390</v>
      </c>
      <c r="AS100" s="35"/>
      <c r="AT100" s="35">
        <f t="shared" si="29"/>
        <v>389</v>
      </c>
      <c r="AU100" s="6">
        <v>163</v>
      </c>
      <c r="AV100" s="6">
        <v>1560</v>
      </c>
      <c r="AW100" s="35">
        <f t="shared" si="30"/>
        <v>333</v>
      </c>
      <c r="AX100" s="6">
        <v>538</v>
      </c>
      <c r="AY100" s="6"/>
      <c r="AZ100" s="35">
        <f t="shared" si="31"/>
        <v>375</v>
      </c>
      <c r="BA100" s="35">
        <v>913</v>
      </c>
      <c r="BB100" s="35"/>
      <c r="BC100" s="35">
        <f t="shared" si="32"/>
        <v>375</v>
      </c>
      <c r="BD100" s="6">
        <v>1276</v>
      </c>
      <c r="BE100" s="6"/>
      <c r="BF100" s="35">
        <f t="shared" si="33"/>
        <v>363</v>
      </c>
      <c r="BG100" s="6"/>
      <c r="BH100" s="6"/>
      <c r="BI100" s="6"/>
      <c r="BJ100" s="6">
        <v>80</v>
      </c>
      <c r="BK100" s="6">
        <v>1560</v>
      </c>
      <c r="BL100" s="6">
        <f t="shared" si="34"/>
        <v>364</v>
      </c>
      <c r="BM100" s="6">
        <v>101</v>
      </c>
      <c r="BN100" s="6">
        <v>334</v>
      </c>
      <c r="BO100" s="6">
        <f t="shared" si="35"/>
        <v>355</v>
      </c>
      <c r="BP100" s="6">
        <v>451</v>
      </c>
      <c r="BQ100" s="6"/>
      <c r="BR100" s="35">
        <f t="shared" si="36"/>
        <v>350</v>
      </c>
      <c r="BS100" s="6">
        <v>820</v>
      </c>
      <c r="BT100" s="6"/>
      <c r="BU100" s="6">
        <f t="shared" si="37"/>
        <v>369</v>
      </c>
      <c r="BV100" s="6">
        <v>1191</v>
      </c>
      <c r="BW100" s="6"/>
      <c r="BX100" s="35">
        <f t="shared" si="38"/>
        <v>371</v>
      </c>
      <c r="BY100" s="6">
        <v>1536</v>
      </c>
      <c r="BZ100" s="6"/>
      <c r="CA100" s="6">
        <f t="shared" si="39"/>
        <v>345</v>
      </c>
      <c r="CB100" s="6"/>
      <c r="CC100" s="6"/>
      <c r="CD100" s="6"/>
      <c r="CE100" s="6">
        <v>318</v>
      </c>
      <c r="CF100" s="6">
        <v>1560</v>
      </c>
      <c r="CG100" s="6">
        <f t="shared" si="40"/>
        <v>342</v>
      </c>
      <c r="CH100" s="6">
        <v>688</v>
      </c>
      <c r="CI100" s="6"/>
      <c r="CJ100" s="6">
        <f t="shared" si="41"/>
        <v>370</v>
      </c>
      <c r="CK100" s="6">
        <v>1054</v>
      </c>
      <c r="CL100" s="6"/>
      <c r="CM100" s="6">
        <f t="shared" si="42"/>
        <v>366</v>
      </c>
      <c r="CN100" s="6">
        <v>1424</v>
      </c>
      <c r="CO100" s="6"/>
      <c r="CP100" s="6">
        <f t="shared" si="43"/>
        <v>370</v>
      </c>
      <c r="CQ100" s="6">
        <v>0</v>
      </c>
      <c r="CR100" s="6">
        <v>1615</v>
      </c>
      <c r="CS100" s="6">
        <f t="shared" si="44"/>
        <v>191</v>
      </c>
      <c r="CT100" s="6">
        <v>317</v>
      </c>
      <c r="CU100" s="6"/>
      <c r="CV100" s="6">
        <f t="shared" si="45"/>
        <v>317</v>
      </c>
      <c r="CW100" s="6"/>
      <c r="CX100" s="6"/>
      <c r="CY100" s="6"/>
      <c r="CZ100" s="6">
        <v>692</v>
      </c>
      <c r="DA100" s="6"/>
      <c r="DB100" s="6">
        <f t="shared" si="46"/>
        <v>375</v>
      </c>
      <c r="DC100" s="6">
        <v>1066</v>
      </c>
      <c r="DD100" s="6"/>
      <c r="DE100" s="6">
        <f t="shared" si="47"/>
        <v>374</v>
      </c>
      <c r="DF100" s="6">
        <v>1439</v>
      </c>
      <c r="DG100" s="6"/>
      <c r="DH100" s="6">
        <f t="shared" si="48"/>
        <v>373</v>
      </c>
      <c r="DI100" s="6">
        <v>255</v>
      </c>
      <c r="DJ100" s="6">
        <v>1560</v>
      </c>
      <c r="DK100" s="6">
        <f t="shared" si="49"/>
        <v>376</v>
      </c>
      <c r="DL100" s="6">
        <v>628</v>
      </c>
      <c r="DM100" s="6"/>
      <c r="DN100" s="6">
        <f t="shared" si="50"/>
        <v>373</v>
      </c>
      <c r="DO100" s="6">
        <v>967</v>
      </c>
      <c r="DP100" s="6"/>
      <c r="DQ100" s="6">
        <f t="shared" si="51"/>
        <v>339</v>
      </c>
    </row>
    <row r="101" spans="1:121">
      <c r="A101" s="6">
        <v>97</v>
      </c>
      <c r="B101" s="6">
        <v>291</v>
      </c>
      <c r="C101" s="8">
        <v>1562</v>
      </c>
      <c r="D101" s="8">
        <v>363</v>
      </c>
      <c r="E101" s="33" t="s">
        <v>69</v>
      </c>
      <c r="F101" s="33" t="s">
        <v>69</v>
      </c>
      <c r="G101" s="33" t="s">
        <v>69</v>
      </c>
      <c r="H101" s="33" t="s">
        <v>69</v>
      </c>
      <c r="I101" s="33" t="s">
        <v>69</v>
      </c>
      <c r="J101" s="33" t="s">
        <v>69</v>
      </c>
      <c r="K101" s="33" t="s">
        <v>69</v>
      </c>
      <c r="L101" s="33" t="s">
        <v>69</v>
      </c>
      <c r="M101" s="33" t="s">
        <v>69</v>
      </c>
      <c r="N101" s="33" t="s">
        <v>69</v>
      </c>
      <c r="O101" s="33" t="s">
        <v>69</v>
      </c>
      <c r="P101" s="33" t="s">
        <v>69</v>
      </c>
      <c r="Q101" s="33" t="s">
        <v>69</v>
      </c>
      <c r="R101" s="33" t="s">
        <v>69</v>
      </c>
      <c r="S101" s="33" t="s">
        <v>69</v>
      </c>
      <c r="T101" s="33" t="s">
        <v>69</v>
      </c>
      <c r="U101" s="33" t="s">
        <v>69</v>
      </c>
      <c r="V101" s="33" t="s">
        <v>69</v>
      </c>
      <c r="W101" s="33" t="s">
        <v>69</v>
      </c>
      <c r="X101" s="148" t="s">
        <v>37</v>
      </c>
      <c r="Y101" s="33" t="s">
        <v>37</v>
      </c>
      <c r="Z101" s="33" t="s">
        <v>37</v>
      </c>
      <c r="AA101" s="33" t="s">
        <v>37</v>
      </c>
      <c r="AB101" s="33" t="s">
        <v>37</v>
      </c>
      <c r="AC101" s="33" t="s">
        <v>37</v>
      </c>
      <c r="AD101" s="33" t="s">
        <v>37</v>
      </c>
      <c r="AE101" s="33" t="s">
        <v>37</v>
      </c>
      <c r="AF101" s="6">
        <v>674</v>
      </c>
      <c r="AG101" s="6"/>
      <c r="AH101" s="35">
        <f t="shared" si="26"/>
        <v>383</v>
      </c>
      <c r="AI101" s="35">
        <v>1031</v>
      </c>
      <c r="AJ101" s="35"/>
      <c r="AK101" s="35">
        <f t="shared" si="27"/>
        <v>357</v>
      </c>
      <c r="AL101" s="6"/>
      <c r="AM101" s="6"/>
      <c r="AN101" s="35"/>
      <c r="AO101" s="6">
        <v>1407</v>
      </c>
      <c r="AP101" s="6"/>
      <c r="AQ101" s="34">
        <f t="shared" si="28"/>
        <v>376</v>
      </c>
      <c r="AR101" s="35">
        <v>223</v>
      </c>
      <c r="AS101" s="35">
        <v>1560</v>
      </c>
      <c r="AT101" s="35">
        <f t="shared" si="29"/>
        <v>376</v>
      </c>
      <c r="AU101" s="6">
        <v>579</v>
      </c>
      <c r="AV101" s="6"/>
      <c r="AW101" s="35">
        <f t="shared" si="30"/>
        <v>356</v>
      </c>
      <c r="AX101" s="6">
        <v>941</v>
      </c>
      <c r="AY101" s="6"/>
      <c r="AZ101" s="35">
        <f t="shared" si="31"/>
        <v>362</v>
      </c>
      <c r="BA101" s="35">
        <v>1304</v>
      </c>
      <c r="BB101" s="35"/>
      <c r="BC101" s="35">
        <f t="shared" si="32"/>
        <v>363</v>
      </c>
      <c r="BD101" s="6">
        <v>90</v>
      </c>
      <c r="BE101" s="6">
        <v>1560</v>
      </c>
      <c r="BF101" s="35">
        <f t="shared" si="33"/>
        <v>346</v>
      </c>
      <c r="BG101" s="6"/>
      <c r="BH101" s="6"/>
      <c r="BI101" s="6"/>
      <c r="BJ101" s="6">
        <v>455</v>
      </c>
      <c r="BK101" s="6"/>
      <c r="BL101" s="6">
        <f t="shared" si="34"/>
        <v>365</v>
      </c>
      <c r="BM101" s="6">
        <v>818</v>
      </c>
      <c r="BN101" s="6"/>
      <c r="BO101" s="6">
        <f t="shared" si="35"/>
        <v>363</v>
      </c>
      <c r="BP101" s="6">
        <v>1182</v>
      </c>
      <c r="BQ101" s="6"/>
      <c r="BR101" s="35">
        <f t="shared" si="36"/>
        <v>364</v>
      </c>
      <c r="BS101" s="6">
        <v>1546</v>
      </c>
      <c r="BT101" s="6"/>
      <c r="BU101" s="6">
        <f t="shared" si="37"/>
        <v>364</v>
      </c>
      <c r="BV101" s="6">
        <v>352</v>
      </c>
      <c r="BW101" s="6">
        <v>1560</v>
      </c>
      <c r="BX101" s="35">
        <f t="shared" si="38"/>
        <v>366</v>
      </c>
      <c r="BY101" s="6">
        <v>697</v>
      </c>
      <c r="BZ101" s="6"/>
      <c r="CA101" s="6">
        <f t="shared" si="39"/>
        <v>345</v>
      </c>
      <c r="CB101" s="6"/>
      <c r="CC101" s="6"/>
      <c r="CD101" s="6"/>
      <c r="CE101" s="6">
        <v>1060</v>
      </c>
      <c r="CF101" s="6"/>
      <c r="CG101" s="6">
        <f t="shared" si="40"/>
        <v>363</v>
      </c>
      <c r="CH101" s="6">
        <v>1426</v>
      </c>
      <c r="CI101" s="6"/>
      <c r="CJ101" s="6">
        <f t="shared" si="41"/>
        <v>366</v>
      </c>
      <c r="CK101" s="6">
        <v>332</v>
      </c>
      <c r="CL101" s="6">
        <v>1440</v>
      </c>
      <c r="CM101" s="6">
        <f t="shared" si="42"/>
        <v>346</v>
      </c>
      <c r="CN101" s="6">
        <v>0</v>
      </c>
      <c r="CO101" s="6">
        <v>464</v>
      </c>
      <c r="CP101" s="6">
        <f t="shared" si="43"/>
        <v>132</v>
      </c>
      <c r="CQ101" s="6">
        <v>260</v>
      </c>
      <c r="CR101" s="6"/>
      <c r="CS101" s="6">
        <f t="shared" si="44"/>
        <v>260</v>
      </c>
      <c r="CT101" s="6">
        <v>598</v>
      </c>
      <c r="CU101" s="6"/>
      <c r="CV101" s="6">
        <f t="shared" si="45"/>
        <v>338</v>
      </c>
      <c r="CW101" s="6"/>
      <c r="CX101" s="6"/>
      <c r="CY101" s="6"/>
      <c r="CZ101" s="6">
        <v>963</v>
      </c>
      <c r="DA101" s="6"/>
      <c r="DB101" s="6">
        <f t="shared" si="46"/>
        <v>365</v>
      </c>
      <c r="DC101" s="6">
        <v>1316</v>
      </c>
      <c r="DD101" s="6"/>
      <c r="DE101" s="6">
        <f t="shared" si="47"/>
        <v>353</v>
      </c>
      <c r="DF101" s="6">
        <v>115</v>
      </c>
      <c r="DG101" s="6">
        <v>1560</v>
      </c>
      <c r="DH101" s="6">
        <f t="shared" si="48"/>
        <v>359</v>
      </c>
      <c r="DI101" s="6">
        <v>480</v>
      </c>
      <c r="DJ101" s="6"/>
      <c r="DK101" s="6">
        <f t="shared" si="49"/>
        <v>365</v>
      </c>
      <c r="DL101" s="6">
        <v>831</v>
      </c>
      <c r="DM101" s="6"/>
      <c r="DN101" s="6">
        <f t="shared" si="50"/>
        <v>351</v>
      </c>
      <c r="DO101" s="6">
        <v>1156</v>
      </c>
      <c r="DP101" s="6"/>
      <c r="DQ101" s="6">
        <f t="shared" si="51"/>
        <v>325</v>
      </c>
    </row>
    <row r="102" spans="1:121">
      <c r="A102" s="6">
        <v>98</v>
      </c>
      <c r="B102" s="6">
        <v>1504</v>
      </c>
      <c r="C102" s="6"/>
      <c r="D102" s="6">
        <v>365</v>
      </c>
      <c r="E102" s="33" t="s">
        <v>37</v>
      </c>
      <c r="F102" s="33" t="s">
        <v>37</v>
      </c>
      <c r="G102" s="148" t="s">
        <v>124</v>
      </c>
      <c r="H102" s="33" t="s">
        <v>124</v>
      </c>
      <c r="I102" s="33" t="s">
        <v>124</v>
      </c>
      <c r="J102" s="33" t="s">
        <v>124</v>
      </c>
      <c r="K102" s="33" t="s">
        <v>124</v>
      </c>
      <c r="L102" s="33" t="s">
        <v>124</v>
      </c>
      <c r="M102" s="33" t="s">
        <v>124</v>
      </c>
      <c r="N102" s="33" t="s">
        <v>124</v>
      </c>
      <c r="O102" s="33" t="s">
        <v>124</v>
      </c>
      <c r="P102" s="33" t="s">
        <v>124</v>
      </c>
      <c r="Q102" s="33" t="s">
        <v>124</v>
      </c>
      <c r="R102" s="33" t="s">
        <v>124</v>
      </c>
      <c r="S102" s="33" t="s">
        <v>124</v>
      </c>
      <c r="T102" s="33" t="s">
        <v>124</v>
      </c>
      <c r="U102" s="33" t="s">
        <v>124</v>
      </c>
      <c r="V102" s="33" t="s">
        <v>124</v>
      </c>
      <c r="W102" s="33" t="s">
        <v>124</v>
      </c>
      <c r="X102" s="33" t="s">
        <v>124</v>
      </c>
      <c r="Y102" s="33" t="s">
        <v>124</v>
      </c>
      <c r="Z102" s="33" t="s">
        <v>124</v>
      </c>
      <c r="AA102" s="33" t="s">
        <v>124</v>
      </c>
      <c r="AB102" s="33" t="s">
        <v>124</v>
      </c>
      <c r="AC102" s="33" t="s">
        <v>124</v>
      </c>
      <c r="AD102" s="33" t="s">
        <v>124</v>
      </c>
      <c r="AE102" s="33" t="s">
        <v>124</v>
      </c>
      <c r="AF102" s="35">
        <v>135</v>
      </c>
      <c r="AG102" s="35">
        <v>1560</v>
      </c>
      <c r="AH102" s="35">
        <f t="shared" si="26"/>
        <v>191</v>
      </c>
      <c r="AI102" s="35">
        <v>0</v>
      </c>
      <c r="AJ102" s="35">
        <v>235</v>
      </c>
      <c r="AK102" s="35">
        <f t="shared" si="27"/>
        <v>100</v>
      </c>
      <c r="AL102" s="35"/>
      <c r="AM102" s="35"/>
      <c r="AN102" s="35"/>
      <c r="AO102" s="35">
        <v>176</v>
      </c>
      <c r="AP102" s="35"/>
      <c r="AQ102" s="34">
        <f t="shared" si="28"/>
        <v>176</v>
      </c>
      <c r="AR102" s="35">
        <v>418</v>
      </c>
      <c r="AS102" s="35"/>
      <c r="AT102" s="35">
        <f t="shared" si="29"/>
        <v>242</v>
      </c>
      <c r="AU102" s="6">
        <v>660</v>
      </c>
      <c r="AV102" s="6"/>
      <c r="AW102" s="35">
        <f t="shared" si="30"/>
        <v>242</v>
      </c>
      <c r="AX102" s="35">
        <v>904</v>
      </c>
      <c r="AY102" s="35"/>
      <c r="AZ102" s="35">
        <f t="shared" si="31"/>
        <v>244</v>
      </c>
      <c r="BA102" s="6">
        <v>1142</v>
      </c>
      <c r="BB102" s="6"/>
      <c r="BC102" s="35">
        <f t="shared" si="32"/>
        <v>238</v>
      </c>
      <c r="BD102" s="6">
        <v>1370</v>
      </c>
      <c r="BE102" s="6"/>
      <c r="BF102" s="35">
        <f t="shared" si="33"/>
        <v>228</v>
      </c>
      <c r="BG102" s="6"/>
      <c r="BH102" s="6"/>
      <c r="BI102" s="35"/>
      <c r="BJ102" s="6">
        <v>1629</v>
      </c>
      <c r="BK102" s="35"/>
      <c r="BL102" s="6">
        <f t="shared" si="34"/>
        <v>259</v>
      </c>
      <c r="BM102" s="6">
        <v>1887</v>
      </c>
      <c r="BN102" s="6"/>
      <c r="BO102" s="6">
        <f t="shared" si="35"/>
        <v>258</v>
      </c>
      <c r="BP102" s="6">
        <v>148</v>
      </c>
      <c r="BQ102" s="6">
        <v>2000</v>
      </c>
      <c r="BR102" s="35">
        <f t="shared" si="36"/>
        <v>261</v>
      </c>
      <c r="BS102" s="6">
        <v>409</v>
      </c>
      <c r="BT102" s="6"/>
      <c r="BU102" s="6">
        <f t="shared" si="37"/>
        <v>261</v>
      </c>
      <c r="BV102" s="6">
        <v>670</v>
      </c>
      <c r="BW102" s="6"/>
      <c r="BX102" s="35">
        <f t="shared" si="38"/>
        <v>261</v>
      </c>
      <c r="BY102" s="6">
        <v>917</v>
      </c>
      <c r="BZ102" s="35"/>
      <c r="CA102" s="6">
        <f t="shared" si="39"/>
        <v>247</v>
      </c>
      <c r="CB102" s="6"/>
      <c r="CC102" s="6"/>
      <c r="CD102" s="35"/>
      <c r="CE102" s="6">
        <v>1175</v>
      </c>
      <c r="CF102" s="35"/>
      <c r="CG102" s="6">
        <f t="shared" si="40"/>
        <v>258</v>
      </c>
      <c r="CH102" s="6">
        <v>1436</v>
      </c>
      <c r="CI102" s="6"/>
      <c r="CJ102" s="6">
        <f t="shared" si="41"/>
        <v>261</v>
      </c>
      <c r="CK102" s="6">
        <v>1693</v>
      </c>
      <c r="CL102" s="6"/>
      <c r="CM102" s="6">
        <f t="shared" si="42"/>
        <v>257</v>
      </c>
      <c r="CN102" s="6">
        <v>1953</v>
      </c>
      <c r="CO102" s="6"/>
      <c r="CP102" s="6">
        <f t="shared" si="43"/>
        <v>260</v>
      </c>
      <c r="CQ102" s="6">
        <v>210</v>
      </c>
      <c r="CR102" s="6">
        <v>2000</v>
      </c>
      <c r="CS102" s="6">
        <f t="shared" si="44"/>
        <v>257</v>
      </c>
      <c r="CT102" s="6">
        <v>457</v>
      </c>
      <c r="CU102" s="6"/>
      <c r="CV102" s="6">
        <f t="shared" si="45"/>
        <v>247</v>
      </c>
      <c r="CW102" s="6"/>
      <c r="CX102" s="6"/>
      <c r="CY102" s="6"/>
      <c r="CZ102" s="6">
        <v>195</v>
      </c>
      <c r="DA102" s="6">
        <v>521</v>
      </c>
      <c r="DB102" s="6">
        <f t="shared" si="46"/>
        <v>259</v>
      </c>
      <c r="DC102" s="6">
        <v>454</v>
      </c>
      <c r="DD102" s="6"/>
      <c r="DE102" s="6">
        <f t="shared" si="47"/>
        <v>259</v>
      </c>
      <c r="DF102" s="6">
        <v>711</v>
      </c>
      <c r="DG102" s="6"/>
      <c r="DH102" s="6">
        <f t="shared" si="48"/>
        <v>257</v>
      </c>
      <c r="DI102" s="6">
        <v>971</v>
      </c>
      <c r="DJ102" s="6"/>
      <c r="DK102" s="6">
        <f t="shared" si="49"/>
        <v>260</v>
      </c>
      <c r="DL102" s="6">
        <v>1230</v>
      </c>
      <c r="DM102" s="6"/>
      <c r="DN102" s="6">
        <f t="shared" si="50"/>
        <v>259</v>
      </c>
      <c r="DO102" s="6">
        <v>1466</v>
      </c>
      <c r="DP102" s="6"/>
      <c r="DQ102" s="6">
        <f t="shared" si="51"/>
        <v>236</v>
      </c>
    </row>
    <row r="103" spans="1:121">
      <c r="A103" s="6">
        <v>99</v>
      </c>
      <c r="B103" s="6">
        <v>1132</v>
      </c>
      <c r="C103" s="6"/>
      <c r="D103" s="8">
        <v>366</v>
      </c>
      <c r="E103" s="33" t="s">
        <v>69</v>
      </c>
      <c r="F103" s="33" t="s">
        <v>69</v>
      </c>
      <c r="G103" s="33" t="s">
        <v>69</v>
      </c>
      <c r="H103" s="33" t="s">
        <v>69</v>
      </c>
      <c r="I103" s="33" t="s">
        <v>69</v>
      </c>
      <c r="J103" s="33" t="s">
        <v>69</v>
      </c>
      <c r="K103" s="33" t="s">
        <v>69</v>
      </c>
      <c r="L103" s="33" t="s">
        <v>69</v>
      </c>
      <c r="M103" s="33" t="s">
        <v>69</v>
      </c>
      <c r="N103" s="33" t="s">
        <v>69</v>
      </c>
      <c r="O103" s="33" t="s">
        <v>69</v>
      </c>
      <c r="P103" s="33" t="s">
        <v>69</v>
      </c>
      <c r="Q103" s="33" t="s">
        <v>69</v>
      </c>
      <c r="R103" s="33" t="s">
        <v>69</v>
      </c>
      <c r="S103" s="33" t="s">
        <v>69</v>
      </c>
      <c r="T103" s="148" t="s">
        <v>37</v>
      </c>
      <c r="U103" s="33" t="s">
        <v>37</v>
      </c>
      <c r="V103" s="33" t="s">
        <v>37</v>
      </c>
      <c r="W103" s="33" t="s">
        <v>37</v>
      </c>
      <c r="X103" s="33" t="s">
        <v>37</v>
      </c>
      <c r="Y103" s="33" t="s">
        <v>37</v>
      </c>
      <c r="Z103" s="33" t="s">
        <v>37</v>
      </c>
      <c r="AA103" s="33" t="s">
        <v>37</v>
      </c>
      <c r="AB103" s="33" t="s">
        <v>37</v>
      </c>
      <c r="AC103" s="33" t="s">
        <v>37</v>
      </c>
      <c r="AD103" s="33" t="s">
        <v>37</v>
      </c>
      <c r="AE103" s="33" t="s">
        <v>37</v>
      </c>
      <c r="AF103" s="6">
        <v>1514</v>
      </c>
      <c r="AG103" s="6"/>
      <c r="AH103" s="35">
        <f t="shared" si="26"/>
        <v>382</v>
      </c>
      <c r="AI103" s="35">
        <v>304</v>
      </c>
      <c r="AJ103" s="35">
        <v>1560</v>
      </c>
      <c r="AK103" s="35">
        <f t="shared" si="27"/>
        <v>350</v>
      </c>
      <c r="AL103" s="6"/>
      <c r="AM103" s="6"/>
      <c r="AN103" s="35"/>
      <c r="AO103" s="6">
        <v>677</v>
      </c>
      <c r="AP103" s="6"/>
      <c r="AQ103" s="34">
        <f t="shared" si="28"/>
        <v>373</v>
      </c>
      <c r="AR103" s="35">
        <v>278</v>
      </c>
      <c r="AS103" s="35">
        <v>767</v>
      </c>
      <c r="AT103" s="35">
        <f t="shared" si="29"/>
        <v>368</v>
      </c>
      <c r="AU103" s="6">
        <v>93</v>
      </c>
      <c r="AV103" s="6">
        <v>548</v>
      </c>
      <c r="AW103" s="35">
        <f t="shared" si="30"/>
        <v>363</v>
      </c>
      <c r="AX103" s="6">
        <v>469</v>
      </c>
      <c r="AY103" s="6"/>
      <c r="AZ103" s="35">
        <f t="shared" si="31"/>
        <v>376</v>
      </c>
      <c r="BA103" s="35">
        <v>844</v>
      </c>
      <c r="BB103" s="35"/>
      <c r="BC103" s="35">
        <f t="shared" si="32"/>
        <v>375</v>
      </c>
      <c r="BD103" s="6">
        <v>68</v>
      </c>
      <c r="BE103" s="6">
        <v>1139</v>
      </c>
      <c r="BF103" s="35">
        <f t="shared" si="33"/>
        <v>363</v>
      </c>
      <c r="BG103" s="6"/>
      <c r="BH103" s="6"/>
      <c r="BI103" s="6"/>
      <c r="BJ103" s="6">
        <v>439</v>
      </c>
      <c r="BK103" s="6"/>
      <c r="BL103" s="6">
        <f t="shared" si="34"/>
        <v>371</v>
      </c>
      <c r="BM103" s="6">
        <v>814</v>
      </c>
      <c r="BN103" s="6"/>
      <c r="BO103" s="6">
        <f t="shared" si="35"/>
        <v>375</v>
      </c>
      <c r="BP103" s="6">
        <v>1</v>
      </c>
      <c r="BQ103" s="6">
        <v>851</v>
      </c>
      <c r="BR103" s="35">
        <f t="shared" si="36"/>
        <v>38</v>
      </c>
      <c r="BS103" s="6">
        <v>283</v>
      </c>
      <c r="BT103" s="6"/>
      <c r="BU103" s="6">
        <f t="shared" si="37"/>
        <v>282</v>
      </c>
      <c r="BV103" s="6">
        <v>653</v>
      </c>
      <c r="BW103" s="6"/>
      <c r="BX103" s="35">
        <f t="shared" si="38"/>
        <v>370</v>
      </c>
      <c r="BY103" s="6">
        <v>0</v>
      </c>
      <c r="BZ103" s="6">
        <v>808</v>
      </c>
      <c r="CA103" s="6">
        <f t="shared" si="39"/>
        <v>155</v>
      </c>
      <c r="CB103" s="6"/>
      <c r="CC103" s="6"/>
      <c r="CD103" s="6"/>
      <c r="CE103" s="6">
        <v>0</v>
      </c>
      <c r="CF103" s="6"/>
      <c r="CG103" s="6">
        <f t="shared" si="40"/>
        <v>0</v>
      </c>
      <c r="CH103" s="6">
        <v>291</v>
      </c>
      <c r="CI103" s="6"/>
      <c r="CJ103" s="6">
        <f t="shared" si="41"/>
        <v>291</v>
      </c>
      <c r="CK103" s="6">
        <v>655</v>
      </c>
      <c r="CL103" s="6"/>
      <c r="CM103" s="6">
        <f t="shared" si="42"/>
        <v>364</v>
      </c>
      <c r="CN103" s="6">
        <v>1025</v>
      </c>
      <c r="CO103" s="6"/>
      <c r="CP103" s="6">
        <f t="shared" si="43"/>
        <v>370</v>
      </c>
      <c r="CQ103" s="6">
        <v>1392</v>
      </c>
      <c r="CR103" s="6"/>
      <c r="CS103" s="6">
        <f t="shared" si="44"/>
        <v>367</v>
      </c>
      <c r="CT103" s="6">
        <v>205</v>
      </c>
      <c r="CU103" s="6">
        <v>1536</v>
      </c>
      <c r="CV103" s="6">
        <f t="shared" si="45"/>
        <v>349</v>
      </c>
      <c r="CW103" s="6"/>
      <c r="CX103" s="6"/>
      <c r="CY103" s="6"/>
      <c r="CZ103" s="6">
        <v>575</v>
      </c>
      <c r="DA103" s="6"/>
      <c r="DB103" s="6">
        <f t="shared" si="46"/>
        <v>370</v>
      </c>
      <c r="DC103" s="6">
        <v>940</v>
      </c>
      <c r="DD103" s="6"/>
      <c r="DE103" s="6">
        <f t="shared" si="47"/>
        <v>365</v>
      </c>
      <c r="DF103" s="6">
        <v>1308</v>
      </c>
      <c r="DG103" s="6"/>
      <c r="DH103" s="6">
        <f t="shared" si="48"/>
        <v>368</v>
      </c>
      <c r="DI103" s="6">
        <v>116</v>
      </c>
      <c r="DJ103" s="6">
        <v>1560</v>
      </c>
      <c r="DK103" s="6">
        <f t="shared" si="49"/>
        <v>368</v>
      </c>
      <c r="DL103" s="6">
        <v>480</v>
      </c>
      <c r="DM103" s="6"/>
      <c r="DN103" s="6">
        <f t="shared" si="50"/>
        <v>364</v>
      </c>
      <c r="DO103" s="6">
        <v>807</v>
      </c>
      <c r="DP103" s="6"/>
      <c r="DQ103" s="6">
        <f t="shared" si="51"/>
        <v>327</v>
      </c>
    </row>
    <row r="104" spans="1:121">
      <c r="A104" s="6">
        <v>100</v>
      </c>
      <c r="B104" s="6">
        <v>20</v>
      </c>
      <c r="C104" s="8">
        <v>1473</v>
      </c>
      <c r="D104" s="8">
        <v>366</v>
      </c>
      <c r="E104" s="33" t="s">
        <v>69</v>
      </c>
      <c r="F104" s="33" t="s">
        <v>69</v>
      </c>
      <c r="G104" s="33" t="s">
        <v>69</v>
      </c>
      <c r="H104" s="33" t="s">
        <v>69</v>
      </c>
      <c r="I104" s="33" t="s">
        <v>69</v>
      </c>
      <c r="J104" s="33" t="s">
        <v>69</v>
      </c>
      <c r="K104" s="33" t="s">
        <v>69</v>
      </c>
      <c r="L104" s="33" t="s">
        <v>69</v>
      </c>
      <c r="M104" s="33" t="s">
        <v>69</v>
      </c>
      <c r="N104" s="33" t="s">
        <v>69</v>
      </c>
      <c r="O104" s="33" t="s">
        <v>69</v>
      </c>
      <c r="P104" s="33" t="s">
        <v>69</v>
      </c>
      <c r="Q104" s="33" t="s">
        <v>69</v>
      </c>
      <c r="R104" s="33" t="s">
        <v>69</v>
      </c>
      <c r="S104" s="33" t="s">
        <v>69</v>
      </c>
      <c r="T104" s="33" t="s">
        <v>69</v>
      </c>
      <c r="U104" s="33" t="s">
        <v>69</v>
      </c>
      <c r="V104" s="33" t="s">
        <v>69</v>
      </c>
      <c r="W104" s="33" t="s">
        <v>69</v>
      </c>
      <c r="X104" s="33" t="s">
        <v>69</v>
      </c>
      <c r="Y104" s="148" t="s">
        <v>37</v>
      </c>
      <c r="Z104" s="33" t="s">
        <v>37</v>
      </c>
      <c r="AA104" s="33" t="s">
        <v>37</v>
      </c>
      <c r="AB104" s="33" t="s">
        <v>37</v>
      </c>
      <c r="AC104" s="33" t="s">
        <v>37</v>
      </c>
      <c r="AD104" s="33" t="s">
        <v>37</v>
      </c>
      <c r="AE104" s="33" t="s">
        <v>37</v>
      </c>
      <c r="AF104" s="35">
        <v>410</v>
      </c>
      <c r="AG104" s="35"/>
      <c r="AH104" s="35">
        <f t="shared" si="26"/>
        <v>390</v>
      </c>
      <c r="AI104" s="35">
        <v>781</v>
      </c>
      <c r="AJ104" s="35"/>
      <c r="AK104" s="35">
        <f t="shared" si="27"/>
        <v>371</v>
      </c>
      <c r="AL104" s="6"/>
      <c r="AM104" s="6"/>
      <c r="AN104" s="35"/>
      <c r="AO104" s="6">
        <v>1172</v>
      </c>
      <c r="AP104" s="6"/>
      <c r="AQ104" s="34">
        <f t="shared" si="28"/>
        <v>391</v>
      </c>
      <c r="AR104" s="35">
        <v>1</v>
      </c>
      <c r="AS104" s="35">
        <v>1560</v>
      </c>
      <c r="AT104" s="35">
        <f t="shared" si="29"/>
        <v>389</v>
      </c>
      <c r="AU104" s="6">
        <v>373</v>
      </c>
      <c r="AV104" s="6"/>
      <c r="AW104" s="35">
        <f t="shared" si="30"/>
        <v>372</v>
      </c>
      <c r="AX104" s="6">
        <v>735</v>
      </c>
      <c r="AY104" s="6"/>
      <c r="AZ104" s="35">
        <f t="shared" si="31"/>
        <v>362</v>
      </c>
      <c r="BA104" s="35">
        <v>1091</v>
      </c>
      <c r="BB104" s="35"/>
      <c r="BC104" s="35">
        <f t="shared" si="32"/>
        <v>356</v>
      </c>
      <c r="BD104" s="6">
        <v>1437</v>
      </c>
      <c r="BE104" s="6"/>
      <c r="BF104" s="35">
        <f t="shared" si="33"/>
        <v>346</v>
      </c>
      <c r="BG104" s="6"/>
      <c r="BH104" s="6"/>
      <c r="BI104" s="6"/>
      <c r="BJ104" s="6">
        <v>241</v>
      </c>
      <c r="BK104" s="6">
        <v>1560</v>
      </c>
      <c r="BL104" s="6">
        <f t="shared" si="34"/>
        <v>364</v>
      </c>
      <c r="BM104" s="6">
        <v>602</v>
      </c>
      <c r="BN104" s="6"/>
      <c r="BO104" s="6">
        <f t="shared" si="35"/>
        <v>361</v>
      </c>
      <c r="BP104" s="6">
        <v>966</v>
      </c>
      <c r="BQ104" s="6"/>
      <c r="BR104" s="35">
        <f t="shared" si="36"/>
        <v>364</v>
      </c>
      <c r="BS104" s="6">
        <v>1330</v>
      </c>
      <c r="BT104" s="6"/>
      <c r="BU104" s="6">
        <f t="shared" si="37"/>
        <v>364</v>
      </c>
      <c r="BV104" s="6">
        <v>135</v>
      </c>
      <c r="BW104" s="6">
        <v>1560</v>
      </c>
      <c r="BX104" s="35">
        <f t="shared" si="38"/>
        <v>365</v>
      </c>
      <c r="BY104" s="6">
        <v>472</v>
      </c>
      <c r="BZ104" s="6"/>
      <c r="CA104" s="6">
        <f t="shared" si="39"/>
        <v>337</v>
      </c>
      <c r="CB104" s="6"/>
      <c r="CC104" s="6"/>
      <c r="CD104" s="6"/>
      <c r="CE104" s="6">
        <v>829</v>
      </c>
      <c r="CF104" s="6"/>
      <c r="CG104" s="6">
        <f t="shared" si="40"/>
        <v>357</v>
      </c>
      <c r="CH104" s="6">
        <v>1167</v>
      </c>
      <c r="CI104" s="6"/>
      <c r="CJ104" s="6">
        <f t="shared" si="41"/>
        <v>338</v>
      </c>
      <c r="CK104" s="6">
        <v>1517</v>
      </c>
      <c r="CL104" s="6"/>
      <c r="CM104" s="6">
        <f t="shared" si="42"/>
        <v>350</v>
      </c>
      <c r="CN104" s="6">
        <v>314</v>
      </c>
      <c r="CO104" s="6">
        <v>1560</v>
      </c>
      <c r="CP104" s="6">
        <f t="shared" si="43"/>
        <v>357</v>
      </c>
      <c r="CQ104" s="6">
        <v>0</v>
      </c>
      <c r="CR104" s="6">
        <v>456</v>
      </c>
      <c r="CS104" s="6">
        <f t="shared" si="44"/>
        <v>142</v>
      </c>
      <c r="CT104" s="6">
        <v>318</v>
      </c>
      <c r="CU104" s="6"/>
      <c r="CV104" s="6">
        <f t="shared" si="45"/>
        <v>318</v>
      </c>
      <c r="CW104" s="6"/>
      <c r="CX104" s="6"/>
      <c r="CY104" s="6"/>
      <c r="CZ104" s="6">
        <v>696</v>
      </c>
      <c r="DA104" s="6"/>
      <c r="DB104" s="6">
        <f t="shared" si="46"/>
        <v>378</v>
      </c>
      <c r="DC104" s="6">
        <v>1070</v>
      </c>
      <c r="DD104" s="6"/>
      <c r="DE104" s="6">
        <f t="shared" si="47"/>
        <v>374</v>
      </c>
      <c r="DF104" s="6">
        <v>1447</v>
      </c>
      <c r="DG104" s="6"/>
      <c r="DH104" s="6">
        <f t="shared" si="48"/>
        <v>377</v>
      </c>
      <c r="DI104" s="6">
        <v>263</v>
      </c>
      <c r="DJ104" s="6">
        <v>1560</v>
      </c>
      <c r="DK104" s="6">
        <f t="shared" si="49"/>
        <v>376</v>
      </c>
      <c r="DL104" s="6">
        <v>635</v>
      </c>
      <c r="DM104" s="6"/>
      <c r="DN104" s="6">
        <f t="shared" si="50"/>
        <v>372</v>
      </c>
      <c r="DO104" s="6">
        <v>974</v>
      </c>
      <c r="DP104" s="6"/>
      <c r="DQ104" s="6">
        <f t="shared" si="51"/>
        <v>339</v>
      </c>
    </row>
    <row r="105" spans="1:121">
      <c r="A105" s="6">
        <v>101</v>
      </c>
      <c r="B105" s="6">
        <v>582</v>
      </c>
      <c r="C105" s="6"/>
      <c r="D105" s="6">
        <v>328</v>
      </c>
      <c r="E105" s="33" t="s">
        <v>98</v>
      </c>
      <c r="F105" s="33" t="s">
        <v>98</v>
      </c>
      <c r="G105" s="33" t="s">
        <v>98</v>
      </c>
      <c r="H105" s="33" t="s">
        <v>98</v>
      </c>
      <c r="I105" s="33" t="s">
        <v>98</v>
      </c>
      <c r="J105" s="33" t="s">
        <v>98</v>
      </c>
      <c r="K105" s="33" t="s">
        <v>98</v>
      </c>
      <c r="L105" s="33" t="s">
        <v>98</v>
      </c>
      <c r="M105" s="33" t="s">
        <v>98</v>
      </c>
      <c r="N105" s="33" t="s">
        <v>98</v>
      </c>
      <c r="O105" s="33" t="s">
        <v>98</v>
      </c>
      <c r="P105" s="33" t="s">
        <v>98</v>
      </c>
      <c r="Q105" s="33" t="s">
        <v>98</v>
      </c>
      <c r="R105" s="33" t="s">
        <v>98</v>
      </c>
      <c r="S105" s="33" t="s">
        <v>98</v>
      </c>
      <c r="T105" s="33" t="s">
        <v>98</v>
      </c>
      <c r="U105" s="33" t="s">
        <v>98</v>
      </c>
      <c r="V105" s="148" t="s">
        <v>37</v>
      </c>
      <c r="W105" s="33" t="s">
        <v>37</v>
      </c>
      <c r="X105" s="33" t="s">
        <v>37</v>
      </c>
      <c r="Y105" s="33" t="s">
        <v>37</v>
      </c>
      <c r="Z105" s="33" t="s">
        <v>37</v>
      </c>
      <c r="AA105" s="33" t="s">
        <v>37</v>
      </c>
      <c r="AB105" s="33" t="s">
        <v>37</v>
      </c>
      <c r="AC105" s="33" t="s">
        <v>37</v>
      </c>
      <c r="AD105" s="33" t="s">
        <v>37</v>
      </c>
      <c r="AE105" s="33" t="s">
        <v>37</v>
      </c>
      <c r="AF105" s="6">
        <v>917</v>
      </c>
      <c r="AG105" s="6"/>
      <c r="AH105" s="35">
        <f t="shared" si="26"/>
        <v>335</v>
      </c>
      <c r="AI105" s="35">
        <v>47</v>
      </c>
      <c r="AJ105" s="35">
        <v>1200</v>
      </c>
      <c r="AK105" s="35">
        <f t="shared" si="27"/>
        <v>330</v>
      </c>
      <c r="AL105" s="6"/>
      <c r="AM105" s="6"/>
      <c r="AN105" s="35"/>
      <c r="AO105" s="6">
        <v>398</v>
      </c>
      <c r="AP105" s="6"/>
      <c r="AQ105" s="34">
        <f t="shared" si="28"/>
        <v>351</v>
      </c>
      <c r="AR105" s="35">
        <v>744</v>
      </c>
      <c r="AS105" s="35"/>
      <c r="AT105" s="35">
        <f t="shared" si="29"/>
        <v>346</v>
      </c>
      <c r="AU105" s="6">
        <v>1088</v>
      </c>
      <c r="AV105" s="6"/>
      <c r="AW105" s="35">
        <f t="shared" si="30"/>
        <v>344</v>
      </c>
      <c r="AX105" s="6">
        <v>262</v>
      </c>
      <c r="AY105" s="6">
        <v>1175</v>
      </c>
      <c r="AZ105" s="35">
        <f t="shared" si="31"/>
        <v>349</v>
      </c>
      <c r="BA105" s="35">
        <v>609</v>
      </c>
      <c r="BB105" s="35"/>
      <c r="BC105" s="35">
        <f t="shared" si="32"/>
        <v>347</v>
      </c>
      <c r="BD105" s="6">
        <v>941</v>
      </c>
      <c r="BE105" s="6"/>
      <c r="BF105" s="35">
        <f t="shared" si="33"/>
        <v>332</v>
      </c>
      <c r="BG105" s="35"/>
      <c r="BH105" s="6"/>
      <c r="BI105" s="6"/>
      <c r="BJ105" s="6">
        <v>92</v>
      </c>
      <c r="BK105" s="6">
        <v>1200</v>
      </c>
      <c r="BL105" s="6">
        <f t="shared" si="34"/>
        <v>351</v>
      </c>
      <c r="BM105" s="6">
        <v>441</v>
      </c>
      <c r="BN105" s="6"/>
      <c r="BO105" s="6">
        <f t="shared" si="35"/>
        <v>349</v>
      </c>
      <c r="BP105" s="6">
        <v>789</v>
      </c>
      <c r="BQ105" s="6"/>
      <c r="BR105" s="35">
        <f t="shared" si="36"/>
        <v>348</v>
      </c>
      <c r="BS105" s="6">
        <v>1138</v>
      </c>
      <c r="BT105" s="6"/>
      <c r="BU105" s="6">
        <f t="shared" si="37"/>
        <v>349</v>
      </c>
      <c r="BV105" s="6">
        <v>289</v>
      </c>
      <c r="BW105" s="6">
        <v>1200</v>
      </c>
      <c r="BX105" s="35">
        <f t="shared" si="38"/>
        <v>351</v>
      </c>
      <c r="BY105" s="6">
        <v>621</v>
      </c>
      <c r="BZ105" s="6"/>
      <c r="CA105" s="6">
        <f t="shared" si="39"/>
        <v>332</v>
      </c>
      <c r="CB105" s="6"/>
      <c r="CC105" s="6"/>
      <c r="CD105" s="6"/>
      <c r="CE105" s="6">
        <v>968</v>
      </c>
      <c r="CF105" s="6"/>
      <c r="CG105" s="6">
        <f t="shared" si="40"/>
        <v>347</v>
      </c>
      <c r="CH105" s="6">
        <v>0</v>
      </c>
      <c r="CI105" s="6">
        <v>1114</v>
      </c>
      <c r="CJ105" s="6">
        <f t="shared" si="41"/>
        <v>146</v>
      </c>
      <c r="CK105" s="6">
        <v>300</v>
      </c>
      <c r="CL105" s="6"/>
      <c r="CM105" s="6">
        <f t="shared" si="42"/>
        <v>300</v>
      </c>
      <c r="CN105" s="6">
        <v>626</v>
      </c>
      <c r="CO105" s="6"/>
      <c r="CP105" s="6">
        <f t="shared" si="43"/>
        <v>326</v>
      </c>
      <c r="CQ105" s="6">
        <v>958</v>
      </c>
      <c r="CR105" s="6"/>
      <c r="CS105" s="6">
        <f t="shared" si="44"/>
        <v>332</v>
      </c>
      <c r="CT105" s="6">
        <v>1274</v>
      </c>
      <c r="CU105" s="6"/>
      <c r="CV105" s="6">
        <f t="shared" si="45"/>
        <v>316</v>
      </c>
      <c r="CW105" s="6"/>
      <c r="CX105" s="6"/>
      <c r="CY105" s="6"/>
      <c r="CZ105" s="6">
        <v>44</v>
      </c>
      <c r="DA105" s="6">
        <v>1560</v>
      </c>
      <c r="DB105" s="6">
        <f t="shared" si="46"/>
        <v>330</v>
      </c>
      <c r="DC105" s="6">
        <v>373</v>
      </c>
      <c r="DD105" s="6"/>
      <c r="DE105" s="6">
        <f t="shared" si="47"/>
        <v>329</v>
      </c>
      <c r="DF105" s="6">
        <v>705</v>
      </c>
      <c r="DG105" s="6"/>
      <c r="DH105" s="6">
        <f t="shared" si="48"/>
        <v>332</v>
      </c>
      <c r="DI105" s="6">
        <v>1036</v>
      </c>
      <c r="DJ105" s="6"/>
      <c r="DK105" s="6">
        <f t="shared" si="49"/>
        <v>331</v>
      </c>
      <c r="DL105" s="6">
        <v>1363</v>
      </c>
      <c r="DM105" s="6"/>
      <c r="DN105" s="6">
        <f t="shared" si="50"/>
        <v>327</v>
      </c>
      <c r="DO105" s="6">
        <v>118</v>
      </c>
      <c r="DP105" s="6">
        <v>1560</v>
      </c>
      <c r="DQ105" s="6">
        <f t="shared" si="51"/>
        <v>315</v>
      </c>
    </row>
    <row r="106" spans="1:121">
      <c r="A106" s="6">
        <v>102</v>
      </c>
      <c r="B106" s="6">
        <v>495</v>
      </c>
      <c r="C106" s="6"/>
      <c r="D106" s="6">
        <v>317</v>
      </c>
      <c r="E106" s="33" t="s">
        <v>95</v>
      </c>
      <c r="F106" s="33" t="s">
        <v>95</v>
      </c>
      <c r="G106" s="33" t="s">
        <v>95</v>
      </c>
      <c r="H106" s="33" t="s">
        <v>95</v>
      </c>
      <c r="I106" s="33" t="s">
        <v>95</v>
      </c>
      <c r="J106" s="33" t="s">
        <v>95</v>
      </c>
      <c r="K106" s="33" t="s">
        <v>95</v>
      </c>
      <c r="L106" s="33" t="s">
        <v>95</v>
      </c>
      <c r="M106" s="33" t="s">
        <v>95</v>
      </c>
      <c r="N106" s="148" t="s">
        <v>69</v>
      </c>
      <c r="O106" s="33" t="s">
        <v>69</v>
      </c>
      <c r="P106" s="33" t="s">
        <v>69</v>
      </c>
      <c r="Q106" s="33" t="s">
        <v>69</v>
      </c>
      <c r="R106" s="33" t="s">
        <v>69</v>
      </c>
      <c r="S106" s="33" t="s">
        <v>69</v>
      </c>
      <c r="T106" s="33" t="s">
        <v>69</v>
      </c>
      <c r="U106" s="33" t="s">
        <v>69</v>
      </c>
      <c r="V106" s="33" t="s">
        <v>69</v>
      </c>
      <c r="W106" s="33" t="s">
        <v>69</v>
      </c>
      <c r="X106" s="33" t="s">
        <v>69</v>
      </c>
      <c r="Y106" s="33" t="s">
        <v>69</v>
      </c>
      <c r="Z106" s="33" t="s">
        <v>69</v>
      </c>
      <c r="AA106" s="33" t="s">
        <v>69</v>
      </c>
      <c r="AB106" s="33" t="s">
        <v>69</v>
      </c>
      <c r="AC106" s="33" t="s">
        <v>69</v>
      </c>
      <c r="AD106" s="33" t="s">
        <v>69</v>
      </c>
      <c r="AE106" s="33" t="s">
        <v>69</v>
      </c>
      <c r="AF106" s="6">
        <v>831</v>
      </c>
      <c r="AG106" s="6"/>
      <c r="AH106" s="35">
        <f t="shared" si="26"/>
        <v>336</v>
      </c>
      <c r="AI106" s="35">
        <v>1153</v>
      </c>
      <c r="AJ106" s="35"/>
      <c r="AK106" s="35">
        <f t="shared" si="27"/>
        <v>322</v>
      </c>
      <c r="AL106" s="6"/>
      <c r="AM106" s="6"/>
      <c r="AN106" s="35"/>
      <c r="AO106" s="6">
        <v>297</v>
      </c>
      <c r="AP106" s="6">
        <v>1200</v>
      </c>
      <c r="AQ106" s="34">
        <f t="shared" si="28"/>
        <v>344</v>
      </c>
      <c r="AR106" s="35">
        <v>635</v>
      </c>
      <c r="AS106" s="35"/>
      <c r="AT106" s="35">
        <f t="shared" si="29"/>
        <v>338</v>
      </c>
      <c r="AU106" s="6">
        <v>964</v>
      </c>
      <c r="AV106" s="6"/>
      <c r="AW106" s="35">
        <f t="shared" si="30"/>
        <v>329</v>
      </c>
      <c r="AX106" s="6">
        <v>1153</v>
      </c>
      <c r="AY106" s="6"/>
      <c r="AZ106" s="35">
        <f t="shared" si="31"/>
        <v>189</v>
      </c>
      <c r="BA106" s="35">
        <v>0</v>
      </c>
      <c r="BB106" s="35">
        <v>1273</v>
      </c>
      <c r="BC106" s="35">
        <f t="shared" si="32"/>
        <v>120</v>
      </c>
      <c r="BD106" s="6">
        <v>0</v>
      </c>
      <c r="BE106" s="6"/>
      <c r="BF106" s="35">
        <f t="shared" si="33"/>
        <v>0</v>
      </c>
      <c r="BG106" s="6"/>
      <c r="BH106" s="6"/>
      <c r="BI106" s="6"/>
      <c r="BJ106" s="6">
        <v>0</v>
      </c>
      <c r="BK106" s="6"/>
      <c r="BL106" s="6">
        <f t="shared" si="34"/>
        <v>0</v>
      </c>
      <c r="BM106" s="6">
        <v>0</v>
      </c>
      <c r="BN106" s="6"/>
      <c r="BO106" s="6">
        <f t="shared" si="35"/>
        <v>0</v>
      </c>
      <c r="BP106" s="6">
        <v>322</v>
      </c>
      <c r="BQ106" s="6"/>
      <c r="BR106" s="35">
        <f t="shared" si="36"/>
        <v>322</v>
      </c>
      <c r="BS106" s="6">
        <v>691</v>
      </c>
      <c r="BT106" s="6"/>
      <c r="BU106" s="6">
        <f t="shared" si="37"/>
        <v>369</v>
      </c>
      <c r="BV106" s="6">
        <v>1063</v>
      </c>
      <c r="BW106" s="6"/>
      <c r="BX106" s="35">
        <f t="shared" si="38"/>
        <v>372</v>
      </c>
      <c r="BY106" s="6">
        <v>1414</v>
      </c>
      <c r="BZ106" s="6"/>
      <c r="CA106" s="6">
        <f t="shared" si="39"/>
        <v>351</v>
      </c>
      <c r="CB106" s="6"/>
      <c r="CC106" s="6"/>
      <c r="CD106" s="6"/>
      <c r="CE106" s="6">
        <v>219</v>
      </c>
      <c r="CF106" s="6">
        <v>1560</v>
      </c>
      <c r="CG106" s="6">
        <f t="shared" si="40"/>
        <v>365</v>
      </c>
      <c r="CH106" s="6">
        <v>589</v>
      </c>
      <c r="CI106" s="6"/>
      <c r="CJ106" s="6">
        <f t="shared" si="41"/>
        <v>370</v>
      </c>
      <c r="CK106" s="6">
        <v>957</v>
      </c>
      <c r="CL106" s="6"/>
      <c r="CM106" s="6">
        <f t="shared" si="42"/>
        <v>368</v>
      </c>
      <c r="CN106" s="6">
        <v>1328</v>
      </c>
      <c r="CO106" s="6"/>
      <c r="CP106" s="6">
        <f t="shared" si="43"/>
        <v>371</v>
      </c>
      <c r="CQ106" s="6">
        <v>226</v>
      </c>
      <c r="CR106" s="6">
        <v>1464</v>
      </c>
      <c r="CS106" s="6">
        <f t="shared" si="44"/>
        <v>362</v>
      </c>
      <c r="CT106" s="6">
        <v>580</v>
      </c>
      <c r="CU106" s="6"/>
      <c r="CV106" s="6">
        <f t="shared" si="45"/>
        <v>354</v>
      </c>
      <c r="CW106" s="6"/>
      <c r="CX106" s="6"/>
      <c r="CY106" s="6"/>
      <c r="CZ106" s="6">
        <v>950</v>
      </c>
      <c r="DA106" s="6"/>
      <c r="DB106" s="6">
        <f t="shared" si="46"/>
        <v>370</v>
      </c>
      <c r="DC106" s="6">
        <v>1316</v>
      </c>
      <c r="DD106" s="6"/>
      <c r="DE106" s="6">
        <f t="shared" si="47"/>
        <v>366</v>
      </c>
      <c r="DF106" s="6">
        <v>115</v>
      </c>
      <c r="DG106" s="6">
        <v>1560</v>
      </c>
      <c r="DH106" s="6">
        <f t="shared" si="48"/>
        <v>359</v>
      </c>
      <c r="DI106" s="6">
        <v>487</v>
      </c>
      <c r="DJ106" s="6"/>
      <c r="DK106" s="6">
        <f t="shared" si="49"/>
        <v>372</v>
      </c>
      <c r="DL106" s="6">
        <v>854</v>
      </c>
      <c r="DM106" s="6"/>
      <c r="DN106" s="6">
        <f t="shared" si="50"/>
        <v>367</v>
      </c>
      <c r="DO106" s="6">
        <v>1189</v>
      </c>
      <c r="DP106" s="6"/>
      <c r="DQ106" s="6">
        <f t="shared" si="51"/>
        <v>335</v>
      </c>
    </row>
    <row r="107" spans="1:121">
      <c r="A107" s="6">
        <v>103</v>
      </c>
      <c r="B107" s="6">
        <v>1384</v>
      </c>
      <c r="C107" s="6"/>
      <c r="D107" s="6">
        <v>361</v>
      </c>
      <c r="E107" s="33" t="s">
        <v>37</v>
      </c>
      <c r="F107" s="33" t="s">
        <v>37</v>
      </c>
      <c r="G107" s="33" t="s">
        <v>37</v>
      </c>
      <c r="H107" s="33" t="s">
        <v>37</v>
      </c>
      <c r="I107" s="33" t="s">
        <v>37</v>
      </c>
      <c r="J107" s="33" t="s">
        <v>37</v>
      </c>
      <c r="K107" s="33" t="s">
        <v>37</v>
      </c>
      <c r="L107" s="33" t="s">
        <v>37</v>
      </c>
      <c r="M107" s="33" t="s">
        <v>37</v>
      </c>
      <c r="N107" s="33" t="s">
        <v>37</v>
      </c>
      <c r="O107" s="33" t="s">
        <v>37</v>
      </c>
      <c r="P107" s="33" t="s">
        <v>37</v>
      </c>
      <c r="Q107" s="33" t="s">
        <v>37</v>
      </c>
      <c r="R107" s="33" t="s">
        <v>37</v>
      </c>
      <c r="S107" s="33" t="s">
        <v>37</v>
      </c>
      <c r="T107" s="33" t="s">
        <v>37</v>
      </c>
      <c r="U107" s="148" t="s">
        <v>37</v>
      </c>
      <c r="V107" s="33" t="s">
        <v>37</v>
      </c>
      <c r="W107" s="33" t="s">
        <v>37</v>
      </c>
      <c r="X107" s="33" t="s">
        <v>37</v>
      </c>
      <c r="Y107" s="33" t="s">
        <v>37</v>
      </c>
      <c r="Z107" s="33" t="s">
        <v>37</v>
      </c>
      <c r="AA107" s="33" t="s">
        <v>37</v>
      </c>
      <c r="AB107" s="33" t="s">
        <v>37</v>
      </c>
      <c r="AC107" s="33" t="s">
        <v>37</v>
      </c>
      <c r="AD107" s="33" t="s">
        <v>37</v>
      </c>
      <c r="AE107" s="33" t="s">
        <v>37</v>
      </c>
      <c r="AF107" s="6">
        <v>205</v>
      </c>
      <c r="AG107" s="6">
        <v>1560</v>
      </c>
      <c r="AH107" s="35">
        <f t="shared" si="26"/>
        <v>381</v>
      </c>
      <c r="AI107" s="35">
        <v>561</v>
      </c>
      <c r="AJ107" s="35"/>
      <c r="AK107" s="35">
        <f t="shared" si="27"/>
        <v>356</v>
      </c>
      <c r="AL107" s="6"/>
      <c r="AM107" s="6"/>
      <c r="AN107" s="35"/>
      <c r="AO107" s="6">
        <v>938</v>
      </c>
      <c r="AP107" s="6"/>
      <c r="AQ107" s="34">
        <f t="shared" si="28"/>
        <v>377</v>
      </c>
      <c r="AR107" s="35">
        <v>1315</v>
      </c>
      <c r="AS107" s="35"/>
      <c r="AT107" s="35">
        <f t="shared" si="29"/>
        <v>377</v>
      </c>
      <c r="AU107" s="6">
        <v>115</v>
      </c>
      <c r="AV107" s="6">
        <v>1560</v>
      </c>
      <c r="AW107" s="35">
        <f t="shared" si="30"/>
        <v>360</v>
      </c>
      <c r="AX107" s="6">
        <v>481</v>
      </c>
      <c r="AY107" s="6"/>
      <c r="AZ107" s="35">
        <f t="shared" si="31"/>
        <v>366</v>
      </c>
      <c r="BA107" s="35">
        <v>846</v>
      </c>
      <c r="BB107" s="35"/>
      <c r="BC107" s="35">
        <f t="shared" si="32"/>
        <v>365</v>
      </c>
      <c r="BD107" s="6">
        <v>1192</v>
      </c>
      <c r="BE107" s="6"/>
      <c r="BF107" s="35">
        <f t="shared" si="33"/>
        <v>346</v>
      </c>
      <c r="BG107" s="6"/>
      <c r="BH107" s="6"/>
      <c r="BI107" s="6"/>
      <c r="BJ107" s="6">
        <v>1</v>
      </c>
      <c r="BK107" s="6">
        <v>1560</v>
      </c>
      <c r="BL107" s="6">
        <f t="shared" si="34"/>
        <v>369</v>
      </c>
      <c r="BM107" s="6">
        <v>366</v>
      </c>
      <c r="BN107" s="6"/>
      <c r="BO107" s="6">
        <f t="shared" si="35"/>
        <v>365</v>
      </c>
      <c r="BP107" s="6">
        <v>742</v>
      </c>
      <c r="BQ107" s="6"/>
      <c r="BR107" s="35">
        <f t="shared" si="36"/>
        <v>376</v>
      </c>
      <c r="BS107" s="6">
        <v>1115</v>
      </c>
      <c r="BT107" s="6"/>
      <c r="BU107" s="6">
        <f t="shared" si="37"/>
        <v>373</v>
      </c>
      <c r="BV107" s="6">
        <v>1493</v>
      </c>
      <c r="BW107" s="6"/>
      <c r="BX107" s="35">
        <f t="shared" si="38"/>
        <v>378</v>
      </c>
      <c r="BY107" s="6">
        <v>287</v>
      </c>
      <c r="BZ107" s="6">
        <v>1560</v>
      </c>
      <c r="CA107" s="6">
        <f t="shared" si="39"/>
        <v>354</v>
      </c>
      <c r="CB107" s="6"/>
      <c r="CC107" s="6"/>
      <c r="CD107" s="6"/>
      <c r="CE107" s="6">
        <v>659</v>
      </c>
      <c r="CF107" s="6"/>
      <c r="CG107" s="6">
        <f t="shared" si="40"/>
        <v>372</v>
      </c>
      <c r="CH107" s="6">
        <v>217</v>
      </c>
      <c r="CI107" s="6">
        <v>770</v>
      </c>
      <c r="CJ107" s="6">
        <f t="shared" si="41"/>
        <v>328</v>
      </c>
      <c r="CK107" s="6">
        <v>589</v>
      </c>
      <c r="CL107" s="6"/>
      <c r="CM107" s="6">
        <f t="shared" si="42"/>
        <v>372</v>
      </c>
      <c r="CN107" s="6">
        <v>952</v>
      </c>
      <c r="CO107" s="6"/>
      <c r="CP107" s="6">
        <f t="shared" si="43"/>
        <v>363</v>
      </c>
      <c r="CQ107" s="6">
        <v>218</v>
      </c>
      <c r="CR107" s="6">
        <v>1100</v>
      </c>
      <c r="CS107" s="6">
        <f t="shared" si="44"/>
        <v>366</v>
      </c>
      <c r="CT107" s="6">
        <v>555</v>
      </c>
      <c r="CU107" s="6"/>
      <c r="CV107" s="6">
        <f t="shared" si="45"/>
        <v>337</v>
      </c>
      <c r="CW107" s="6"/>
      <c r="CX107" s="6"/>
      <c r="CY107" s="6"/>
      <c r="CZ107" s="6">
        <v>922</v>
      </c>
      <c r="DA107" s="6"/>
      <c r="DB107" s="6">
        <f t="shared" si="46"/>
        <v>367</v>
      </c>
      <c r="DC107" s="6">
        <v>2</v>
      </c>
      <c r="DD107" s="6">
        <v>1272</v>
      </c>
      <c r="DE107" s="6">
        <f t="shared" si="47"/>
        <v>352</v>
      </c>
      <c r="DF107" s="6">
        <v>363</v>
      </c>
      <c r="DG107" s="6"/>
      <c r="DH107" s="6">
        <f t="shared" si="48"/>
        <v>361</v>
      </c>
      <c r="DI107" s="6">
        <v>718</v>
      </c>
      <c r="DJ107" s="6"/>
      <c r="DK107" s="6">
        <f t="shared" si="49"/>
        <v>355</v>
      </c>
      <c r="DL107" s="6">
        <v>1083</v>
      </c>
      <c r="DM107" s="6"/>
      <c r="DN107" s="6">
        <f t="shared" si="50"/>
        <v>365</v>
      </c>
      <c r="DO107" s="6">
        <v>1424</v>
      </c>
      <c r="DP107" s="6"/>
      <c r="DQ107" s="6">
        <f t="shared" si="51"/>
        <v>341</v>
      </c>
    </row>
    <row r="108" spans="1:121">
      <c r="A108" s="6">
        <v>104</v>
      </c>
      <c r="B108" s="6">
        <v>608</v>
      </c>
      <c r="C108" s="6"/>
      <c r="D108" s="6">
        <v>319</v>
      </c>
      <c r="E108" s="33" t="s">
        <v>98</v>
      </c>
      <c r="F108" s="33" t="s">
        <v>98</v>
      </c>
      <c r="G108" s="33" t="s">
        <v>98</v>
      </c>
      <c r="H108" s="33" t="s">
        <v>98</v>
      </c>
      <c r="I108" s="33" t="s">
        <v>98</v>
      </c>
      <c r="J108" s="33" t="s">
        <v>98</v>
      </c>
      <c r="K108" s="33" t="s">
        <v>98</v>
      </c>
      <c r="L108" s="33" t="s">
        <v>98</v>
      </c>
      <c r="M108" s="33" t="s">
        <v>98</v>
      </c>
      <c r="N108" s="33" t="s">
        <v>98</v>
      </c>
      <c r="O108" s="33" t="s">
        <v>98</v>
      </c>
      <c r="P108" s="33" t="s">
        <v>98</v>
      </c>
      <c r="Q108" s="33" t="s">
        <v>98</v>
      </c>
      <c r="R108" s="33" t="s">
        <v>98</v>
      </c>
      <c r="S108" s="148" t="s">
        <v>128</v>
      </c>
      <c r="T108" s="33" t="s">
        <v>128</v>
      </c>
      <c r="U108" s="33" t="s">
        <v>128</v>
      </c>
      <c r="V108" s="33" t="s">
        <v>128</v>
      </c>
      <c r="W108" s="33" t="s">
        <v>128</v>
      </c>
      <c r="X108" s="33" t="s">
        <v>128</v>
      </c>
      <c r="Y108" s="33" t="s">
        <v>128</v>
      </c>
      <c r="Z108" s="33" t="s">
        <v>128</v>
      </c>
      <c r="AA108" s="33" t="s">
        <v>128</v>
      </c>
      <c r="AB108" s="33" t="s">
        <v>128</v>
      </c>
      <c r="AC108" s="33" t="s">
        <v>128</v>
      </c>
      <c r="AD108" s="33" t="s">
        <v>128</v>
      </c>
      <c r="AE108" s="33" t="s">
        <v>128</v>
      </c>
      <c r="AF108" s="6">
        <v>955</v>
      </c>
      <c r="AG108" s="6"/>
      <c r="AH108" s="35">
        <f t="shared" si="26"/>
        <v>347</v>
      </c>
      <c r="AI108" s="35">
        <v>73</v>
      </c>
      <c r="AJ108" s="35">
        <v>1200</v>
      </c>
      <c r="AK108" s="35">
        <f t="shared" si="27"/>
        <v>318</v>
      </c>
      <c r="AL108" s="6"/>
      <c r="AM108" s="6"/>
      <c r="AN108" s="35"/>
      <c r="AO108" s="6">
        <v>421</v>
      </c>
      <c r="AP108" s="6"/>
      <c r="AQ108" s="34">
        <f t="shared" si="28"/>
        <v>348</v>
      </c>
      <c r="AR108" s="35">
        <v>769</v>
      </c>
      <c r="AS108" s="35"/>
      <c r="AT108" s="35">
        <f t="shared" si="29"/>
        <v>348</v>
      </c>
      <c r="AU108" s="6">
        <v>1114</v>
      </c>
      <c r="AV108" s="6"/>
      <c r="AW108" s="35">
        <f t="shared" si="30"/>
        <v>345</v>
      </c>
      <c r="AX108" s="6">
        <v>263</v>
      </c>
      <c r="AY108" s="6">
        <v>1200</v>
      </c>
      <c r="AZ108" s="35">
        <f t="shared" si="31"/>
        <v>349</v>
      </c>
      <c r="BA108" s="35">
        <v>609</v>
      </c>
      <c r="BB108" s="35"/>
      <c r="BC108" s="35">
        <f t="shared" si="32"/>
        <v>346</v>
      </c>
      <c r="BD108" s="6">
        <v>946</v>
      </c>
      <c r="BE108" s="6"/>
      <c r="BF108" s="35">
        <f t="shared" si="33"/>
        <v>337</v>
      </c>
      <c r="BG108" s="6"/>
      <c r="BH108" s="6"/>
      <c r="BI108" s="6"/>
      <c r="BJ108" s="6">
        <v>0</v>
      </c>
      <c r="BK108" s="6">
        <v>1100</v>
      </c>
      <c r="BL108" s="6">
        <f t="shared" si="34"/>
        <v>154</v>
      </c>
      <c r="BM108" s="6">
        <v>0</v>
      </c>
      <c r="BN108" s="6"/>
      <c r="BO108" s="6">
        <f t="shared" si="35"/>
        <v>0</v>
      </c>
      <c r="BP108" s="6">
        <v>0</v>
      </c>
      <c r="BQ108" s="6"/>
      <c r="BR108" s="35">
        <f t="shared" si="36"/>
        <v>0</v>
      </c>
      <c r="BS108" s="6">
        <v>0</v>
      </c>
      <c r="BT108" s="6"/>
      <c r="BU108" s="6">
        <f t="shared" si="37"/>
        <v>0</v>
      </c>
      <c r="BV108" s="6">
        <v>0</v>
      </c>
      <c r="BW108" s="6"/>
      <c r="BX108" s="35">
        <f t="shared" si="38"/>
        <v>0</v>
      </c>
      <c r="BY108" s="6">
        <v>0</v>
      </c>
      <c r="BZ108" s="6"/>
      <c r="CA108" s="6">
        <f t="shared" si="39"/>
        <v>0</v>
      </c>
      <c r="CB108" s="6"/>
      <c r="CC108" s="6"/>
      <c r="CD108" s="6"/>
      <c r="CE108" s="6">
        <v>216</v>
      </c>
      <c r="CF108" s="6"/>
      <c r="CG108" s="6">
        <f t="shared" si="40"/>
        <v>216</v>
      </c>
      <c r="CH108" s="6">
        <v>589</v>
      </c>
      <c r="CI108" s="6"/>
      <c r="CJ108" s="6">
        <f t="shared" si="41"/>
        <v>373</v>
      </c>
      <c r="CK108" s="6">
        <v>2</v>
      </c>
      <c r="CL108" s="6">
        <v>787</v>
      </c>
      <c r="CM108" s="6">
        <f t="shared" si="42"/>
        <v>200</v>
      </c>
      <c r="CN108" s="6">
        <v>364</v>
      </c>
      <c r="CO108" s="6"/>
      <c r="CP108" s="6">
        <f t="shared" si="43"/>
        <v>362</v>
      </c>
      <c r="CQ108" s="6">
        <v>289</v>
      </c>
      <c r="CR108" s="6">
        <v>446</v>
      </c>
      <c r="CS108" s="6">
        <f t="shared" si="44"/>
        <v>371</v>
      </c>
      <c r="CT108" s="6">
        <v>646</v>
      </c>
      <c r="CU108" s="6"/>
      <c r="CV108" s="6">
        <f t="shared" si="45"/>
        <v>357</v>
      </c>
      <c r="CW108" s="6"/>
      <c r="CX108" s="6"/>
      <c r="CY108" s="6"/>
      <c r="CZ108" s="6">
        <v>1016</v>
      </c>
      <c r="DA108" s="6"/>
      <c r="DB108" s="6">
        <f t="shared" si="46"/>
        <v>370</v>
      </c>
      <c r="DC108" s="6">
        <v>1382</v>
      </c>
      <c r="DD108" s="6"/>
      <c r="DE108" s="6">
        <f t="shared" si="47"/>
        <v>366</v>
      </c>
      <c r="DF108" s="6">
        <v>150</v>
      </c>
      <c r="DG108" s="6">
        <v>1560</v>
      </c>
      <c r="DH108" s="6">
        <f t="shared" si="48"/>
        <v>328</v>
      </c>
      <c r="DI108" s="6">
        <v>507</v>
      </c>
      <c r="DJ108" s="6"/>
      <c r="DK108" s="6">
        <f t="shared" si="49"/>
        <v>357</v>
      </c>
      <c r="DL108" s="6">
        <v>879</v>
      </c>
      <c r="DM108" s="6"/>
      <c r="DN108" s="6">
        <f t="shared" si="50"/>
        <v>372</v>
      </c>
      <c r="DO108" s="6">
        <v>1219</v>
      </c>
      <c r="DP108" s="6"/>
      <c r="DQ108" s="6">
        <f t="shared" si="51"/>
        <v>340</v>
      </c>
    </row>
    <row r="109" spans="1:121">
      <c r="A109" s="6">
        <v>105</v>
      </c>
      <c r="B109" s="6">
        <v>774</v>
      </c>
      <c r="C109" s="6"/>
      <c r="D109" s="6">
        <v>324</v>
      </c>
      <c r="E109" s="33" t="s">
        <v>95</v>
      </c>
      <c r="F109" s="33" t="s">
        <v>95</v>
      </c>
      <c r="G109" s="148" t="s">
        <v>98</v>
      </c>
      <c r="H109" s="33" t="s">
        <v>98</v>
      </c>
      <c r="I109" s="33" t="s">
        <v>98</v>
      </c>
      <c r="J109" s="33" t="s">
        <v>98</v>
      </c>
      <c r="K109" s="33" t="s">
        <v>98</v>
      </c>
      <c r="L109" s="33" t="s">
        <v>98</v>
      </c>
      <c r="M109" s="33" t="s">
        <v>98</v>
      </c>
      <c r="N109" s="33" t="s">
        <v>98</v>
      </c>
      <c r="O109" s="33" t="s">
        <v>98</v>
      </c>
      <c r="P109" s="33" t="s">
        <v>98</v>
      </c>
      <c r="Q109" s="33" t="s">
        <v>98</v>
      </c>
      <c r="R109" s="33" t="s">
        <v>98</v>
      </c>
      <c r="S109" s="33" t="s">
        <v>98</v>
      </c>
      <c r="T109" s="33" t="s">
        <v>98</v>
      </c>
      <c r="U109" s="148" t="s">
        <v>37</v>
      </c>
      <c r="V109" s="33" t="s">
        <v>37</v>
      </c>
      <c r="W109" s="33" t="s">
        <v>37</v>
      </c>
      <c r="X109" s="33" t="s">
        <v>37</v>
      </c>
      <c r="Y109" s="33" t="s">
        <v>37</v>
      </c>
      <c r="Z109" s="33" t="s">
        <v>37</v>
      </c>
      <c r="AA109" s="33" t="s">
        <v>37</v>
      </c>
      <c r="AB109" s="33" t="s">
        <v>37</v>
      </c>
      <c r="AC109" s="33" t="s">
        <v>37</v>
      </c>
      <c r="AD109" s="33" t="s">
        <v>37</v>
      </c>
      <c r="AE109" s="33" t="s">
        <v>37</v>
      </c>
      <c r="AF109" s="6">
        <v>0</v>
      </c>
      <c r="AG109" s="6">
        <v>965</v>
      </c>
      <c r="AH109" s="35">
        <f t="shared" si="26"/>
        <v>191</v>
      </c>
      <c r="AI109" s="35">
        <v>309</v>
      </c>
      <c r="AJ109" s="35"/>
      <c r="AK109" s="35">
        <f t="shared" si="27"/>
        <v>309</v>
      </c>
      <c r="AL109" s="6"/>
      <c r="AM109" s="6"/>
      <c r="AN109" s="35"/>
      <c r="AO109" s="6">
        <v>651</v>
      </c>
      <c r="AP109" s="6"/>
      <c r="AQ109" s="34">
        <f t="shared" si="28"/>
        <v>342</v>
      </c>
      <c r="AR109" s="35">
        <v>987</v>
      </c>
      <c r="AS109" s="35"/>
      <c r="AT109" s="35">
        <f t="shared" si="29"/>
        <v>336</v>
      </c>
      <c r="AU109" s="6">
        <v>123</v>
      </c>
      <c r="AV109" s="6">
        <v>1200</v>
      </c>
      <c r="AW109" s="35">
        <f t="shared" si="30"/>
        <v>336</v>
      </c>
      <c r="AX109" s="6">
        <v>467</v>
      </c>
      <c r="AY109" s="6"/>
      <c r="AZ109" s="35">
        <f t="shared" si="31"/>
        <v>344</v>
      </c>
      <c r="BA109" s="35">
        <v>808</v>
      </c>
      <c r="BB109" s="35"/>
      <c r="BC109" s="35">
        <f t="shared" si="32"/>
        <v>341</v>
      </c>
      <c r="BD109" s="6">
        <v>1137</v>
      </c>
      <c r="BE109" s="6"/>
      <c r="BF109" s="35">
        <f t="shared" si="33"/>
        <v>329</v>
      </c>
      <c r="BG109" s="6"/>
      <c r="BH109" s="6"/>
      <c r="BI109" s="6"/>
      <c r="BJ109" s="6">
        <v>133</v>
      </c>
      <c r="BK109" s="6">
        <f>1200+149</f>
        <v>1349</v>
      </c>
      <c r="BL109" s="6">
        <f t="shared" si="34"/>
        <v>345</v>
      </c>
      <c r="BM109" s="6">
        <v>130</v>
      </c>
      <c r="BN109" s="6">
        <v>340</v>
      </c>
      <c r="BO109" s="6">
        <f t="shared" si="35"/>
        <v>337</v>
      </c>
      <c r="BP109" s="6">
        <v>474</v>
      </c>
      <c r="BQ109" s="6"/>
      <c r="BR109" s="35">
        <f t="shared" si="36"/>
        <v>344</v>
      </c>
      <c r="BS109" s="6">
        <v>820</v>
      </c>
      <c r="BT109" s="6"/>
      <c r="BU109" s="6">
        <f t="shared" si="37"/>
        <v>346</v>
      </c>
      <c r="BV109" s="6">
        <v>1167</v>
      </c>
      <c r="BW109" s="6"/>
      <c r="BX109" s="35">
        <f t="shared" si="38"/>
        <v>347</v>
      </c>
      <c r="BY109" s="6">
        <v>294</v>
      </c>
      <c r="BZ109" s="6">
        <v>1200</v>
      </c>
      <c r="CA109" s="6">
        <f t="shared" si="39"/>
        <v>327</v>
      </c>
      <c r="CB109" s="6"/>
      <c r="CC109" s="6"/>
      <c r="CD109" s="6"/>
      <c r="CE109" s="6">
        <v>639</v>
      </c>
      <c r="CF109" s="6"/>
      <c r="CG109" s="6">
        <f t="shared" si="40"/>
        <v>345</v>
      </c>
      <c r="CH109" s="6">
        <v>0</v>
      </c>
      <c r="CI109" s="6">
        <v>738</v>
      </c>
      <c r="CJ109" s="6">
        <f t="shared" si="41"/>
        <v>99</v>
      </c>
      <c r="CK109" s="6">
        <v>359</v>
      </c>
      <c r="CL109" s="6"/>
      <c r="CM109" s="6">
        <f t="shared" si="42"/>
        <v>359</v>
      </c>
      <c r="CN109" s="6">
        <v>740</v>
      </c>
      <c r="CO109" s="6"/>
      <c r="CP109" s="6">
        <f t="shared" si="43"/>
        <v>381</v>
      </c>
      <c r="CQ109" s="6">
        <v>1116</v>
      </c>
      <c r="CR109" s="6"/>
      <c r="CS109" s="6">
        <f t="shared" si="44"/>
        <v>376</v>
      </c>
      <c r="CT109" s="6">
        <v>1478</v>
      </c>
      <c r="CU109" s="6"/>
      <c r="CV109" s="6">
        <f t="shared" si="45"/>
        <v>362</v>
      </c>
      <c r="CW109" s="6"/>
      <c r="CX109" s="6"/>
      <c r="CY109" s="6"/>
      <c r="CZ109" s="6">
        <v>292</v>
      </c>
      <c r="DA109" s="6">
        <v>1560</v>
      </c>
      <c r="DB109" s="6">
        <f t="shared" si="46"/>
        <v>374</v>
      </c>
      <c r="DC109" s="6">
        <v>665</v>
      </c>
      <c r="DD109" s="6"/>
      <c r="DE109" s="6">
        <f t="shared" si="47"/>
        <v>373</v>
      </c>
      <c r="DF109" s="6">
        <v>1039</v>
      </c>
      <c r="DG109" s="6"/>
      <c r="DH109" s="6">
        <f t="shared" si="48"/>
        <v>374</v>
      </c>
      <c r="DI109" s="6">
        <v>1414</v>
      </c>
      <c r="DJ109" s="6"/>
      <c r="DK109" s="6">
        <f t="shared" si="49"/>
        <v>375</v>
      </c>
      <c r="DL109" s="6">
        <v>225</v>
      </c>
      <c r="DM109" s="6">
        <v>1560</v>
      </c>
      <c r="DN109" s="6">
        <f t="shared" si="50"/>
        <v>371</v>
      </c>
      <c r="DO109" s="6">
        <v>562</v>
      </c>
      <c r="DP109" s="6"/>
      <c r="DQ109" s="6">
        <f t="shared" si="51"/>
        <v>337</v>
      </c>
    </row>
    <row r="110" spans="1:121">
      <c r="A110" s="6">
        <v>106</v>
      </c>
      <c r="B110" s="6">
        <v>30</v>
      </c>
      <c r="C110" s="8">
        <v>1561</v>
      </c>
      <c r="D110" s="8">
        <v>358</v>
      </c>
      <c r="E110" s="33" t="s">
        <v>69</v>
      </c>
      <c r="F110" s="33" t="s">
        <v>69</v>
      </c>
      <c r="G110" s="33" t="s">
        <v>69</v>
      </c>
      <c r="H110" s="33" t="s">
        <v>69</v>
      </c>
      <c r="I110" s="33" t="s">
        <v>69</v>
      </c>
      <c r="J110" s="33" t="s">
        <v>69</v>
      </c>
      <c r="K110" s="33" t="s">
        <v>69</v>
      </c>
      <c r="L110" s="33" t="s">
        <v>69</v>
      </c>
      <c r="M110" s="33" t="s">
        <v>69</v>
      </c>
      <c r="N110" s="33" t="s">
        <v>69</v>
      </c>
      <c r="O110" s="33" t="s">
        <v>69</v>
      </c>
      <c r="P110" s="33" t="s">
        <v>69</v>
      </c>
      <c r="Q110" s="33" t="s">
        <v>69</v>
      </c>
      <c r="R110" s="148" t="s">
        <v>69</v>
      </c>
      <c r="S110" s="33" t="s">
        <v>69</v>
      </c>
      <c r="T110" s="33" t="s">
        <v>69</v>
      </c>
      <c r="U110" s="33" t="s">
        <v>69</v>
      </c>
      <c r="V110" s="33" t="s">
        <v>69</v>
      </c>
      <c r="W110" s="33" t="s">
        <v>69</v>
      </c>
      <c r="X110" s="33" t="s">
        <v>69</v>
      </c>
      <c r="Y110" s="33" t="s">
        <v>69</v>
      </c>
      <c r="Z110" s="33" t="s">
        <v>69</v>
      </c>
      <c r="AA110" s="33" t="s">
        <v>69</v>
      </c>
      <c r="AB110" s="33" t="s">
        <v>69</v>
      </c>
      <c r="AC110" s="33" t="s">
        <v>69</v>
      </c>
      <c r="AD110" s="33" t="s">
        <v>69</v>
      </c>
      <c r="AE110" s="33" t="s">
        <v>69</v>
      </c>
      <c r="AF110" s="6">
        <v>370</v>
      </c>
      <c r="AG110" s="6"/>
      <c r="AH110" s="35">
        <f t="shared" si="26"/>
        <v>340</v>
      </c>
      <c r="AI110" s="35">
        <v>738</v>
      </c>
      <c r="AJ110" s="35"/>
      <c r="AK110" s="35">
        <f t="shared" si="27"/>
        <v>368</v>
      </c>
      <c r="AL110" s="6"/>
      <c r="AM110" s="6"/>
      <c r="AN110" s="35"/>
      <c r="AO110" s="6">
        <v>1126</v>
      </c>
      <c r="AP110" s="6"/>
      <c r="AQ110" s="34">
        <f t="shared" si="28"/>
        <v>388</v>
      </c>
      <c r="AR110" s="35">
        <v>1516</v>
      </c>
      <c r="AS110" s="35"/>
      <c r="AT110" s="35">
        <f t="shared" si="29"/>
        <v>390</v>
      </c>
      <c r="AU110" s="6">
        <v>338</v>
      </c>
      <c r="AV110" s="6">
        <v>1560</v>
      </c>
      <c r="AW110" s="35">
        <f t="shared" si="30"/>
        <v>382</v>
      </c>
      <c r="AX110" s="6">
        <v>723</v>
      </c>
      <c r="AY110" s="6"/>
      <c r="AZ110" s="35">
        <f t="shared" si="31"/>
        <v>385</v>
      </c>
      <c r="BA110" s="35">
        <v>1111</v>
      </c>
      <c r="BB110" s="35"/>
      <c r="BC110" s="35">
        <f t="shared" si="32"/>
        <v>388</v>
      </c>
      <c r="BD110" s="6">
        <v>1485</v>
      </c>
      <c r="BE110" s="6"/>
      <c r="BF110" s="35">
        <f t="shared" si="33"/>
        <v>374</v>
      </c>
      <c r="BG110" s="6"/>
      <c r="BH110" s="6"/>
      <c r="BI110" s="6"/>
      <c r="BJ110" s="6">
        <v>313</v>
      </c>
      <c r="BK110" s="6">
        <v>1560</v>
      </c>
      <c r="BL110" s="6">
        <f t="shared" si="34"/>
        <v>388</v>
      </c>
      <c r="BM110" s="6">
        <v>699</v>
      </c>
      <c r="BN110" s="6"/>
      <c r="BO110" s="6">
        <f t="shared" si="35"/>
        <v>386</v>
      </c>
      <c r="BP110" s="6">
        <v>1082</v>
      </c>
      <c r="BQ110" s="6"/>
      <c r="BR110" s="35">
        <f t="shared" si="36"/>
        <v>383</v>
      </c>
      <c r="BS110" s="6">
        <v>0</v>
      </c>
      <c r="BT110" s="6">
        <v>1345</v>
      </c>
      <c r="BU110" s="6">
        <f t="shared" si="37"/>
        <v>263</v>
      </c>
      <c r="BV110" s="6">
        <v>330</v>
      </c>
      <c r="BW110" s="6"/>
      <c r="BX110" s="35">
        <f t="shared" si="38"/>
        <v>330</v>
      </c>
      <c r="BY110" s="6">
        <v>695</v>
      </c>
      <c r="BZ110" s="6"/>
      <c r="CA110" s="6">
        <f t="shared" si="39"/>
        <v>365</v>
      </c>
      <c r="CB110" s="6"/>
      <c r="CC110" s="6"/>
      <c r="CD110" s="6"/>
      <c r="CE110" s="6">
        <v>1075</v>
      </c>
      <c r="CF110" s="6"/>
      <c r="CG110" s="6">
        <f t="shared" si="40"/>
        <v>380</v>
      </c>
      <c r="CH110" s="6">
        <v>1457</v>
      </c>
      <c r="CI110" s="6"/>
      <c r="CJ110" s="6">
        <f t="shared" si="41"/>
        <v>382</v>
      </c>
      <c r="CK110" s="6">
        <v>275</v>
      </c>
      <c r="CL110" s="6">
        <v>1565</v>
      </c>
      <c r="CM110" s="6">
        <f t="shared" si="42"/>
        <v>383</v>
      </c>
      <c r="CN110" s="6">
        <v>665</v>
      </c>
      <c r="CO110" s="6"/>
      <c r="CP110" s="6">
        <f t="shared" si="43"/>
        <v>390</v>
      </c>
      <c r="CQ110" s="6">
        <v>1045</v>
      </c>
      <c r="CR110" s="6"/>
      <c r="CS110" s="6">
        <f t="shared" si="44"/>
        <v>380</v>
      </c>
      <c r="CT110" s="6">
        <v>1407</v>
      </c>
      <c r="CU110" s="6"/>
      <c r="CV110" s="6">
        <f t="shared" si="45"/>
        <v>362</v>
      </c>
      <c r="CW110" s="6"/>
      <c r="CX110" s="6"/>
      <c r="CY110" s="6"/>
      <c r="CZ110" s="6">
        <v>223</v>
      </c>
      <c r="DA110" s="6">
        <v>1560</v>
      </c>
      <c r="DB110" s="6">
        <f t="shared" si="46"/>
        <v>376</v>
      </c>
      <c r="DC110" s="6">
        <v>596</v>
      </c>
      <c r="DD110" s="6"/>
      <c r="DE110" s="6">
        <f t="shared" si="47"/>
        <v>373</v>
      </c>
      <c r="DF110" s="6">
        <v>964</v>
      </c>
      <c r="DG110" s="6"/>
      <c r="DH110" s="6">
        <f t="shared" si="48"/>
        <v>368</v>
      </c>
      <c r="DI110" s="6">
        <v>1341</v>
      </c>
      <c r="DJ110" s="6"/>
      <c r="DK110" s="6">
        <f t="shared" si="49"/>
        <v>377</v>
      </c>
      <c r="DL110" s="6">
        <v>154</v>
      </c>
      <c r="DM110" s="6">
        <v>1560</v>
      </c>
      <c r="DN110" s="6">
        <f t="shared" si="50"/>
        <v>373</v>
      </c>
      <c r="DO110" s="6">
        <v>491</v>
      </c>
      <c r="DP110" s="6"/>
      <c r="DQ110" s="6">
        <f t="shared" si="51"/>
        <v>337</v>
      </c>
    </row>
    <row r="111" spans="1:121">
      <c r="A111" s="6">
        <v>107</v>
      </c>
      <c r="B111" s="6">
        <v>649</v>
      </c>
      <c r="C111" s="6"/>
      <c r="D111" s="6">
        <v>327</v>
      </c>
      <c r="E111" s="33" t="s">
        <v>98</v>
      </c>
      <c r="F111" s="33" t="s">
        <v>98</v>
      </c>
      <c r="G111" s="33" t="s">
        <v>98</v>
      </c>
      <c r="H111" s="33" t="s">
        <v>98</v>
      </c>
      <c r="I111" s="33" t="s">
        <v>98</v>
      </c>
      <c r="J111" s="33" t="s">
        <v>98</v>
      </c>
      <c r="K111" s="33" t="s">
        <v>98</v>
      </c>
      <c r="L111" s="33" t="s">
        <v>98</v>
      </c>
      <c r="M111" s="33" t="s">
        <v>98</v>
      </c>
      <c r="N111" s="33" t="s">
        <v>98</v>
      </c>
      <c r="O111" s="33" t="s">
        <v>98</v>
      </c>
      <c r="P111" s="33" t="s">
        <v>98</v>
      </c>
      <c r="Q111" s="33" t="s">
        <v>98</v>
      </c>
      <c r="R111" s="148" t="s">
        <v>37</v>
      </c>
      <c r="S111" s="33" t="s">
        <v>37</v>
      </c>
      <c r="T111" s="33" t="s">
        <v>37</v>
      </c>
      <c r="U111" s="33" t="s">
        <v>37</v>
      </c>
      <c r="V111" s="33" t="s">
        <v>37</v>
      </c>
      <c r="W111" s="33" t="s">
        <v>37</v>
      </c>
      <c r="X111" s="33" t="s">
        <v>37</v>
      </c>
      <c r="Y111" s="33" t="s">
        <v>37</v>
      </c>
      <c r="Z111" s="33" t="s">
        <v>37</v>
      </c>
      <c r="AA111" s="33" t="s">
        <v>37</v>
      </c>
      <c r="AB111" s="33" t="s">
        <v>37</v>
      </c>
      <c r="AC111" s="33" t="s">
        <v>37</v>
      </c>
      <c r="AD111" s="33" t="s">
        <v>37</v>
      </c>
      <c r="AE111" s="33" t="s">
        <v>37</v>
      </c>
      <c r="AF111" s="6">
        <v>984</v>
      </c>
      <c r="AG111" s="6"/>
      <c r="AH111" s="35">
        <f t="shared" si="26"/>
        <v>335</v>
      </c>
      <c r="AI111" s="35">
        <v>105</v>
      </c>
      <c r="AJ111" s="35">
        <v>1200</v>
      </c>
      <c r="AK111" s="35">
        <f t="shared" si="27"/>
        <v>321</v>
      </c>
      <c r="AL111" s="6"/>
      <c r="AM111" s="6"/>
      <c r="AN111" s="35"/>
      <c r="AO111" s="6">
        <v>452</v>
      </c>
      <c r="AP111" s="6"/>
      <c r="AQ111" s="34">
        <f t="shared" si="28"/>
        <v>347</v>
      </c>
      <c r="AR111" s="35">
        <v>800</v>
      </c>
      <c r="AS111" s="35"/>
      <c r="AT111" s="35">
        <f t="shared" si="29"/>
        <v>348</v>
      </c>
      <c r="AU111" s="6">
        <v>1145</v>
      </c>
      <c r="AV111" s="6"/>
      <c r="AW111" s="35">
        <f t="shared" si="30"/>
        <v>345</v>
      </c>
      <c r="AX111" s="6">
        <v>286</v>
      </c>
      <c r="AY111" s="6">
        <v>1200</v>
      </c>
      <c r="AZ111" s="35">
        <f t="shared" si="31"/>
        <v>341</v>
      </c>
      <c r="BA111" s="35">
        <v>624</v>
      </c>
      <c r="BB111" s="35"/>
      <c r="BC111" s="35">
        <f t="shared" si="32"/>
        <v>338</v>
      </c>
      <c r="BD111" s="6">
        <v>958</v>
      </c>
      <c r="BE111" s="6"/>
      <c r="BF111" s="35">
        <f t="shared" si="33"/>
        <v>334</v>
      </c>
      <c r="BG111" s="6"/>
      <c r="BH111" s="6"/>
      <c r="BI111" s="6"/>
      <c r="BJ111" s="6">
        <v>112</v>
      </c>
      <c r="BK111" s="6">
        <v>1190</v>
      </c>
      <c r="BL111" s="6">
        <f t="shared" si="34"/>
        <v>344</v>
      </c>
      <c r="BM111" s="6">
        <v>451</v>
      </c>
      <c r="BN111" s="6"/>
      <c r="BO111" s="6">
        <f t="shared" si="35"/>
        <v>339</v>
      </c>
      <c r="BP111" s="6">
        <v>796</v>
      </c>
      <c r="BQ111" s="6"/>
      <c r="BR111" s="35">
        <f t="shared" si="36"/>
        <v>345</v>
      </c>
      <c r="BS111" s="6">
        <v>0</v>
      </c>
      <c r="BT111" s="6">
        <v>1135</v>
      </c>
      <c r="BU111" s="6">
        <f t="shared" si="37"/>
        <v>339</v>
      </c>
      <c r="BV111" s="6">
        <v>0</v>
      </c>
      <c r="BW111" s="6"/>
      <c r="BX111" s="35">
        <f t="shared" si="38"/>
        <v>0</v>
      </c>
      <c r="BY111" s="6">
        <v>332</v>
      </c>
      <c r="BZ111" s="6"/>
      <c r="CA111" s="6">
        <f t="shared" si="39"/>
        <v>332</v>
      </c>
      <c r="CB111" s="6"/>
      <c r="CC111" s="6"/>
      <c r="CD111" s="6"/>
      <c r="CE111" s="6">
        <v>692</v>
      </c>
      <c r="CF111" s="6"/>
      <c r="CG111" s="6">
        <f t="shared" si="40"/>
        <v>360</v>
      </c>
      <c r="CH111" s="6">
        <v>1056</v>
      </c>
      <c r="CI111" s="6"/>
      <c r="CJ111" s="6">
        <f t="shared" si="41"/>
        <v>364</v>
      </c>
      <c r="CK111" s="6">
        <v>1241</v>
      </c>
      <c r="CL111" s="6"/>
      <c r="CM111" s="6">
        <f t="shared" si="42"/>
        <v>185</v>
      </c>
      <c r="CN111" s="6">
        <v>1540</v>
      </c>
      <c r="CO111" s="6"/>
      <c r="CP111" s="6">
        <f t="shared" si="43"/>
        <v>299</v>
      </c>
      <c r="CQ111" s="6">
        <v>326</v>
      </c>
      <c r="CR111" s="6">
        <v>1560</v>
      </c>
      <c r="CS111" s="6">
        <f t="shared" si="44"/>
        <v>346</v>
      </c>
      <c r="CT111" s="6">
        <v>642</v>
      </c>
      <c r="CU111" s="6"/>
      <c r="CV111" s="6">
        <f t="shared" si="45"/>
        <v>316</v>
      </c>
      <c r="CW111" s="6"/>
      <c r="CX111" s="6"/>
      <c r="CY111" s="6"/>
      <c r="CZ111" s="6">
        <v>1002</v>
      </c>
      <c r="DA111" s="6"/>
      <c r="DB111" s="6">
        <f t="shared" si="46"/>
        <v>360</v>
      </c>
      <c r="DC111" s="6">
        <v>346</v>
      </c>
      <c r="DD111" s="6">
        <v>1011</v>
      </c>
      <c r="DE111" s="6">
        <f t="shared" si="47"/>
        <v>355</v>
      </c>
      <c r="DF111" s="6">
        <v>704</v>
      </c>
      <c r="DG111" s="6"/>
      <c r="DH111" s="6">
        <f t="shared" si="48"/>
        <v>358</v>
      </c>
      <c r="DI111" s="6">
        <v>1064</v>
      </c>
      <c r="DJ111" s="6"/>
      <c r="DK111" s="6">
        <f t="shared" si="49"/>
        <v>360</v>
      </c>
      <c r="DL111" s="6">
        <v>1423</v>
      </c>
      <c r="DM111" s="6"/>
      <c r="DN111" s="6">
        <f t="shared" si="50"/>
        <v>359</v>
      </c>
      <c r="DO111" s="6">
        <v>183</v>
      </c>
      <c r="DP111" s="6">
        <v>1560</v>
      </c>
      <c r="DQ111" s="6">
        <f t="shared" si="51"/>
        <v>320</v>
      </c>
    </row>
    <row r="112" spans="1:121">
      <c r="A112" s="6">
        <v>108</v>
      </c>
      <c r="B112" s="6">
        <v>372</v>
      </c>
      <c r="C112" s="6"/>
      <c r="D112" s="8">
        <v>367</v>
      </c>
      <c r="E112" s="33" t="s">
        <v>69</v>
      </c>
      <c r="F112" s="33" t="s">
        <v>69</v>
      </c>
      <c r="G112" s="33" t="s">
        <v>69</v>
      </c>
      <c r="H112" s="33" t="s">
        <v>69</v>
      </c>
      <c r="I112" s="33" t="s">
        <v>69</v>
      </c>
      <c r="J112" s="33" t="s">
        <v>69</v>
      </c>
      <c r="K112" s="33" t="s">
        <v>69</v>
      </c>
      <c r="L112" s="33" t="s">
        <v>69</v>
      </c>
      <c r="M112" s="33" t="s">
        <v>69</v>
      </c>
      <c r="N112" s="33" t="s">
        <v>69</v>
      </c>
      <c r="O112" s="33" t="s">
        <v>69</v>
      </c>
      <c r="P112" s="33" t="s">
        <v>69</v>
      </c>
      <c r="Q112" s="33" t="s">
        <v>69</v>
      </c>
      <c r="R112" s="33" t="s">
        <v>69</v>
      </c>
      <c r="S112" s="148" t="s">
        <v>128</v>
      </c>
      <c r="T112" s="33" t="s">
        <v>128</v>
      </c>
      <c r="U112" s="33" t="s">
        <v>128</v>
      </c>
      <c r="V112" s="33" t="s">
        <v>128</v>
      </c>
      <c r="W112" s="33" t="s">
        <v>128</v>
      </c>
      <c r="X112" s="33" t="s">
        <v>128</v>
      </c>
      <c r="Y112" s="33" t="s">
        <v>128</v>
      </c>
      <c r="Z112" s="33" t="s">
        <v>128</v>
      </c>
      <c r="AA112" s="33" t="s">
        <v>128</v>
      </c>
      <c r="AB112" s="33" t="s">
        <v>128</v>
      </c>
      <c r="AC112" s="33" t="s">
        <v>128</v>
      </c>
      <c r="AD112" s="33" t="s">
        <v>128</v>
      </c>
      <c r="AE112" s="33" t="s">
        <v>128</v>
      </c>
      <c r="AF112" s="6">
        <v>756</v>
      </c>
      <c r="AG112" s="6"/>
      <c r="AH112" s="35">
        <f t="shared" si="26"/>
        <v>384</v>
      </c>
      <c r="AI112" s="35">
        <v>1121</v>
      </c>
      <c r="AJ112" s="35"/>
      <c r="AK112" s="35">
        <f t="shared" si="27"/>
        <v>365</v>
      </c>
      <c r="AL112" s="6"/>
      <c r="AM112" s="6"/>
      <c r="AN112" s="35"/>
      <c r="AO112" s="6">
        <v>1504</v>
      </c>
      <c r="AP112" s="6"/>
      <c r="AQ112" s="34">
        <f t="shared" si="28"/>
        <v>383</v>
      </c>
      <c r="AR112" s="35">
        <v>329</v>
      </c>
      <c r="AS112" s="35">
        <v>1560</v>
      </c>
      <c r="AT112" s="35">
        <f t="shared" si="29"/>
        <v>385</v>
      </c>
      <c r="AU112" s="6">
        <v>690</v>
      </c>
      <c r="AV112" s="6"/>
      <c r="AW112" s="35">
        <f t="shared" si="30"/>
        <v>361</v>
      </c>
      <c r="AX112" s="6">
        <v>1076</v>
      </c>
      <c r="AY112" s="6"/>
      <c r="AZ112" s="35">
        <f t="shared" si="31"/>
        <v>386</v>
      </c>
      <c r="BA112" s="35">
        <v>1460</v>
      </c>
      <c r="BB112" s="35"/>
      <c r="BC112" s="35">
        <f t="shared" si="32"/>
        <v>384</v>
      </c>
      <c r="BD112" s="6">
        <v>276</v>
      </c>
      <c r="BE112" s="6">
        <v>1560</v>
      </c>
      <c r="BF112" s="35">
        <f t="shared" si="33"/>
        <v>376</v>
      </c>
      <c r="BG112" s="6"/>
      <c r="BH112" s="6"/>
      <c r="BI112" s="6"/>
      <c r="BJ112" s="6">
        <v>665</v>
      </c>
      <c r="BK112" s="6"/>
      <c r="BL112" s="6">
        <f t="shared" si="34"/>
        <v>389</v>
      </c>
      <c r="BM112" s="6">
        <v>1050</v>
      </c>
      <c r="BN112" s="6"/>
      <c r="BO112" s="6">
        <f t="shared" si="35"/>
        <v>385</v>
      </c>
      <c r="BP112" s="6">
        <v>1436</v>
      </c>
      <c r="BQ112" s="6"/>
      <c r="BR112" s="35">
        <f t="shared" si="36"/>
        <v>386</v>
      </c>
      <c r="BS112" s="6">
        <v>263</v>
      </c>
      <c r="BT112" s="6">
        <v>1560</v>
      </c>
      <c r="BU112" s="6">
        <f t="shared" si="37"/>
        <v>387</v>
      </c>
      <c r="BV112" s="6">
        <v>0</v>
      </c>
      <c r="BW112" s="6">
        <v>560</v>
      </c>
      <c r="BX112" s="35">
        <f t="shared" si="38"/>
        <v>297</v>
      </c>
      <c r="BY112" s="6">
        <v>0</v>
      </c>
      <c r="BZ112" s="6"/>
      <c r="CA112" s="6">
        <f t="shared" si="39"/>
        <v>0</v>
      </c>
      <c r="CB112" s="6"/>
      <c r="CC112" s="6"/>
      <c r="CD112" s="6"/>
      <c r="CE112" s="6">
        <v>230</v>
      </c>
      <c r="CF112" s="6"/>
      <c r="CG112" s="6">
        <f t="shared" si="40"/>
        <v>230</v>
      </c>
      <c r="CH112" s="6">
        <v>616</v>
      </c>
      <c r="CI112" s="6"/>
      <c r="CJ112" s="6">
        <f t="shared" si="41"/>
        <v>386</v>
      </c>
      <c r="CK112" s="6">
        <v>995</v>
      </c>
      <c r="CL112" s="6"/>
      <c r="CM112" s="6">
        <f t="shared" si="42"/>
        <v>379</v>
      </c>
      <c r="CN112" s="6">
        <v>1382</v>
      </c>
      <c r="CO112" s="6"/>
      <c r="CP112" s="6">
        <f t="shared" si="43"/>
        <v>387</v>
      </c>
      <c r="CQ112" s="6">
        <v>209</v>
      </c>
      <c r="CR112" s="6">
        <v>1560</v>
      </c>
      <c r="CS112" s="6">
        <f t="shared" si="44"/>
        <v>387</v>
      </c>
      <c r="CT112" s="6">
        <v>571</v>
      </c>
      <c r="CU112" s="6"/>
      <c r="CV112" s="6">
        <f t="shared" si="45"/>
        <v>362</v>
      </c>
      <c r="CW112" s="6"/>
      <c r="CX112" s="6"/>
      <c r="CY112" s="6"/>
      <c r="CZ112" s="6">
        <v>958</v>
      </c>
      <c r="DA112" s="6"/>
      <c r="DB112" s="6">
        <f t="shared" si="46"/>
        <v>387</v>
      </c>
      <c r="DC112" s="6">
        <v>1339</v>
      </c>
      <c r="DD112" s="6"/>
      <c r="DE112" s="6">
        <f t="shared" si="47"/>
        <v>381</v>
      </c>
      <c r="DF112" s="6">
        <v>166</v>
      </c>
      <c r="DG112" s="6">
        <v>1560</v>
      </c>
      <c r="DH112" s="6">
        <f t="shared" si="48"/>
        <v>387</v>
      </c>
      <c r="DI112" s="6">
        <v>553</v>
      </c>
      <c r="DJ112" s="6"/>
      <c r="DK112" s="6">
        <f t="shared" si="49"/>
        <v>387</v>
      </c>
      <c r="DL112" s="6">
        <v>941</v>
      </c>
      <c r="DM112" s="6"/>
      <c r="DN112" s="6">
        <f t="shared" si="50"/>
        <v>388</v>
      </c>
      <c r="DO112" s="6">
        <v>1291</v>
      </c>
      <c r="DP112" s="6"/>
      <c r="DQ112" s="6">
        <f t="shared" si="51"/>
        <v>350</v>
      </c>
    </row>
    <row r="113" spans="1:121">
      <c r="A113" s="6">
        <v>109</v>
      </c>
      <c r="B113" s="6">
        <v>222</v>
      </c>
      <c r="C113" s="8">
        <v>1600</v>
      </c>
      <c r="D113" s="8">
        <v>375</v>
      </c>
      <c r="E113" s="33" t="s">
        <v>69</v>
      </c>
      <c r="F113" s="33" t="s">
        <v>69</v>
      </c>
      <c r="G113" s="33" t="s">
        <v>69</v>
      </c>
      <c r="H113" s="33" t="s">
        <v>69</v>
      </c>
      <c r="I113" s="33" t="s">
        <v>69</v>
      </c>
      <c r="J113" s="33" t="s">
        <v>69</v>
      </c>
      <c r="K113" s="33" t="s">
        <v>69</v>
      </c>
      <c r="L113" s="33" t="s">
        <v>69</v>
      </c>
      <c r="M113" s="33" t="s">
        <v>69</v>
      </c>
      <c r="N113" s="33" t="s">
        <v>69</v>
      </c>
      <c r="O113" s="33" t="s">
        <v>69</v>
      </c>
      <c r="P113" s="33" t="s">
        <v>69</v>
      </c>
      <c r="Q113" s="33" t="s">
        <v>69</v>
      </c>
      <c r="R113" s="33" t="s">
        <v>69</v>
      </c>
      <c r="S113" s="33" t="s">
        <v>69</v>
      </c>
      <c r="T113" s="33" t="s">
        <v>69</v>
      </c>
      <c r="U113" s="33" t="s">
        <v>69</v>
      </c>
      <c r="V113" s="148" t="s">
        <v>128</v>
      </c>
      <c r="W113" s="33" t="s">
        <v>128</v>
      </c>
      <c r="X113" s="33" t="s">
        <v>128</v>
      </c>
      <c r="Y113" s="33" t="s">
        <v>128</v>
      </c>
      <c r="Z113" s="33" t="s">
        <v>128</v>
      </c>
      <c r="AA113" s="33" t="s">
        <v>128</v>
      </c>
      <c r="AB113" s="33" t="s">
        <v>128</v>
      </c>
      <c r="AC113" s="33" t="s">
        <v>128</v>
      </c>
      <c r="AD113" s="33" t="s">
        <v>128</v>
      </c>
      <c r="AE113" s="33" t="s">
        <v>128</v>
      </c>
      <c r="AF113" s="6">
        <v>367</v>
      </c>
      <c r="AG113" s="6"/>
      <c r="AH113" s="35">
        <f t="shared" si="26"/>
        <v>145</v>
      </c>
      <c r="AI113" s="35">
        <v>730</v>
      </c>
      <c r="AJ113" s="35"/>
      <c r="AK113" s="35">
        <f t="shared" si="27"/>
        <v>363</v>
      </c>
      <c r="AL113" s="6"/>
      <c r="AM113" s="35"/>
      <c r="AN113" s="35"/>
      <c r="AO113" s="6">
        <v>1108</v>
      </c>
      <c r="AP113" s="6"/>
      <c r="AQ113" s="34">
        <f t="shared" si="28"/>
        <v>378</v>
      </c>
      <c r="AR113" s="35">
        <v>1488</v>
      </c>
      <c r="AS113" s="35"/>
      <c r="AT113" s="35">
        <f t="shared" si="29"/>
        <v>380</v>
      </c>
      <c r="AU113" s="6">
        <v>302</v>
      </c>
      <c r="AV113" s="6">
        <v>1561</v>
      </c>
      <c r="AW113" s="35">
        <f t="shared" si="30"/>
        <v>375</v>
      </c>
      <c r="AX113" s="6">
        <v>681</v>
      </c>
      <c r="AY113" s="6"/>
      <c r="AZ113" s="35">
        <f t="shared" si="31"/>
        <v>379</v>
      </c>
      <c r="BA113" s="35">
        <v>1058</v>
      </c>
      <c r="BB113" s="35"/>
      <c r="BC113" s="35">
        <f t="shared" si="32"/>
        <v>377</v>
      </c>
      <c r="BD113" s="6">
        <v>1425</v>
      </c>
      <c r="BE113" s="6"/>
      <c r="BF113" s="35">
        <f t="shared" si="33"/>
        <v>367</v>
      </c>
      <c r="BG113" s="6"/>
      <c r="BH113" s="6"/>
      <c r="BI113" s="6"/>
      <c r="BJ113" s="6">
        <v>244</v>
      </c>
      <c r="BK113" s="6">
        <v>1560</v>
      </c>
      <c r="BL113" s="6">
        <f t="shared" si="34"/>
        <v>379</v>
      </c>
      <c r="BM113" s="6">
        <v>622</v>
      </c>
      <c r="BN113" s="6"/>
      <c r="BO113" s="6">
        <f t="shared" si="35"/>
        <v>378</v>
      </c>
      <c r="BP113" s="6">
        <v>999</v>
      </c>
      <c r="BQ113" s="6"/>
      <c r="BR113" s="35">
        <f t="shared" si="36"/>
        <v>377</v>
      </c>
      <c r="BS113" s="6">
        <v>1378</v>
      </c>
      <c r="BT113" s="6"/>
      <c r="BU113" s="6">
        <f t="shared" si="37"/>
        <v>379</v>
      </c>
      <c r="BV113" s="6">
        <v>195</v>
      </c>
      <c r="BW113" s="6">
        <v>1560</v>
      </c>
      <c r="BX113" s="35">
        <f t="shared" si="38"/>
        <v>377</v>
      </c>
      <c r="BY113" s="6">
        <v>556</v>
      </c>
      <c r="BZ113" s="6"/>
      <c r="CA113" s="6">
        <f t="shared" si="39"/>
        <v>361</v>
      </c>
      <c r="CB113" s="6"/>
      <c r="CC113" s="6"/>
      <c r="CD113" s="6"/>
      <c r="CE113" s="6">
        <v>932</v>
      </c>
      <c r="CF113" s="6"/>
      <c r="CG113" s="6">
        <f t="shared" si="40"/>
        <v>376</v>
      </c>
      <c r="CH113" s="6">
        <v>1310</v>
      </c>
      <c r="CI113" s="6"/>
      <c r="CJ113" s="6">
        <f t="shared" si="41"/>
        <v>378</v>
      </c>
      <c r="CK113" s="6">
        <v>333</v>
      </c>
      <c r="CL113" s="6">
        <v>1321</v>
      </c>
      <c r="CM113" s="6">
        <f t="shared" si="42"/>
        <v>344</v>
      </c>
      <c r="CN113" s="6">
        <v>327</v>
      </c>
      <c r="CO113" s="6">
        <v>374</v>
      </c>
      <c r="CP113" s="6">
        <f t="shared" si="43"/>
        <v>368</v>
      </c>
      <c r="CQ113" s="6">
        <v>700</v>
      </c>
      <c r="CR113" s="6"/>
      <c r="CS113" s="6">
        <f t="shared" si="44"/>
        <v>373</v>
      </c>
      <c r="CT113" s="6">
        <v>1057</v>
      </c>
      <c r="CU113" s="6"/>
      <c r="CV113" s="6">
        <f t="shared" si="45"/>
        <v>357</v>
      </c>
      <c r="CW113" s="6"/>
      <c r="CX113" s="6"/>
      <c r="CY113" s="6"/>
      <c r="CZ113" s="6">
        <v>1432</v>
      </c>
      <c r="DA113" s="6"/>
      <c r="DB113" s="6">
        <f t="shared" si="46"/>
        <v>375</v>
      </c>
      <c r="DC113" s="6">
        <v>234</v>
      </c>
      <c r="DD113" s="6">
        <v>1560</v>
      </c>
      <c r="DE113" s="6">
        <f t="shared" si="47"/>
        <v>362</v>
      </c>
      <c r="DF113" s="6">
        <v>605</v>
      </c>
      <c r="DG113" s="6"/>
      <c r="DH113" s="6">
        <f t="shared" si="48"/>
        <v>371</v>
      </c>
      <c r="DI113" s="6">
        <v>46</v>
      </c>
      <c r="DJ113" s="6">
        <v>918</v>
      </c>
      <c r="DK113" s="6">
        <f t="shared" si="49"/>
        <v>359</v>
      </c>
      <c r="DL113" s="6">
        <v>421</v>
      </c>
      <c r="DM113" s="6"/>
      <c r="DN113" s="6">
        <f t="shared" si="50"/>
        <v>375</v>
      </c>
      <c r="DO113" s="6">
        <v>759</v>
      </c>
      <c r="DP113" s="6"/>
      <c r="DQ113" s="6">
        <f t="shared" si="51"/>
        <v>338</v>
      </c>
    </row>
    <row r="114" spans="1:121">
      <c r="A114" s="6">
        <v>110</v>
      </c>
      <c r="B114" s="6">
        <v>934</v>
      </c>
      <c r="C114" s="6"/>
      <c r="D114" s="6">
        <v>337</v>
      </c>
      <c r="E114" s="33" t="s">
        <v>95</v>
      </c>
      <c r="F114" s="33" t="s">
        <v>95</v>
      </c>
      <c r="G114" s="148" t="s">
        <v>98</v>
      </c>
      <c r="H114" s="33" t="s">
        <v>98</v>
      </c>
      <c r="I114" s="33" t="s">
        <v>98</v>
      </c>
      <c r="J114" s="33" t="s">
        <v>98</v>
      </c>
      <c r="K114" s="33" t="s">
        <v>98</v>
      </c>
      <c r="L114" s="33" t="s">
        <v>98</v>
      </c>
      <c r="M114" s="33" t="s">
        <v>98</v>
      </c>
      <c r="N114" s="148" t="s">
        <v>69</v>
      </c>
      <c r="O114" s="33" t="s">
        <v>69</v>
      </c>
      <c r="P114" s="33" t="s">
        <v>69</v>
      </c>
      <c r="Q114" s="33" t="s">
        <v>69</v>
      </c>
      <c r="R114" s="33" t="s">
        <v>69</v>
      </c>
      <c r="S114" s="33" t="s">
        <v>69</v>
      </c>
      <c r="T114" s="33" t="s">
        <v>69</v>
      </c>
      <c r="U114" s="33" t="s">
        <v>69</v>
      </c>
      <c r="V114" s="33" t="s">
        <v>69</v>
      </c>
      <c r="W114" s="33" t="s">
        <v>69</v>
      </c>
      <c r="X114" s="33" t="s">
        <v>69</v>
      </c>
      <c r="Y114" s="33" t="s">
        <v>69</v>
      </c>
      <c r="Z114" s="33" t="s">
        <v>69</v>
      </c>
      <c r="AA114" s="33" t="s">
        <v>69</v>
      </c>
      <c r="AB114" s="33" t="s">
        <v>69</v>
      </c>
      <c r="AC114" s="33" t="s">
        <v>69</v>
      </c>
      <c r="AD114" s="33" t="s">
        <v>69</v>
      </c>
      <c r="AE114" s="33" t="s">
        <v>69</v>
      </c>
      <c r="AF114" s="6">
        <v>1282</v>
      </c>
      <c r="AG114" s="6"/>
      <c r="AH114" s="35">
        <f t="shared" si="26"/>
        <v>348</v>
      </c>
      <c r="AI114" s="35">
        <v>304</v>
      </c>
      <c r="AJ114" s="35">
        <v>1282</v>
      </c>
      <c r="AK114" s="35">
        <f t="shared" si="27"/>
        <v>304</v>
      </c>
      <c r="AL114" s="35"/>
      <c r="AM114" s="6"/>
      <c r="AN114" s="35"/>
      <c r="AO114" s="6">
        <v>652</v>
      </c>
      <c r="AP114" s="6"/>
      <c r="AQ114" s="34">
        <f t="shared" si="28"/>
        <v>348</v>
      </c>
      <c r="AR114" s="35">
        <v>1003</v>
      </c>
      <c r="AS114" s="35"/>
      <c r="AT114" s="35">
        <f t="shared" si="29"/>
        <v>351</v>
      </c>
      <c r="AU114" s="6">
        <v>149</v>
      </c>
      <c r="AV114" s="6">
        <v>1200</v>
      </c>
      <c r="AW114" s="35">
        <f t="shared" si="30"/>
        <v>346</v>
      </c>
      <c r="AX114" s="6">
        <v>500</v>
      </c>
      <c r="AY114" s="6"/>
      <c r="AZ114" s="35">
        <f t="shared" si="31"/>
        <v>351</v>
      </c>
      <c r="BA114" s="35">
        <v>604</v>
      </c>
      <c r="BB114" s="35"/>
      <c r="BC114" s="35">
        <f t="shared" si="32"/>
        <v>104</v>
      </c>
      <c r="BD114" s="6">
        <v>0</v>
      </c>
      <c r="BE114" s="6">
        <v>604</v>
      </c>
      <c r="BF114" s="35">
        <f t="shared" si="33"/>
        <v>0</v>
      </c>
      <c r="BG114" s="6"/>
      <c r="BH114" s="6"/>
      <c r="BI114" s="6"/>
      <c r="BJ114" s="6">
        <v>0</v>
      </c>
      <c r="BK114" s="6"/>
      <c r="BL114" s="6">
        <f t="shared" si="34"/>
        <v>0</v>
      </c>
      <c r="BM114" s="6">
        <v>0</v>
      </c>
      <c r="BN114" s="6"/>
      <c r="BO114" s="6">
        <f t="shared" si="35"/>
        <v>0</v>
      </c>
      <c r="BP114" s="6">
        <v>0</v>
      </c>
      <c r="BQ114" s="6"/>
      <c r="BR114" s="35">
        <f t="shared" si="36"/>
        <v>0</v>
      </c>
      <c r="BS114" s="6">
        <v>0</v>
      </c>
      <c r="BT114" s="6"/>
      <c r="BU114" s="6">
        <f t="shared" si="37"/>
        <v>0</v>
      </c>
      <c r="BV114" s="6">
        <v>0</v>
      </c>
      <c r="BW114" s="6"/>
      <c r="BX114" s="35">
        <f t="shared" si="38"/>
        <v>0</v>
      </c>
      <c r="BY114" s="6">
        <v>5</v>
      </c>
      <c r="BZ114" s="6"/>
      <c r="CA114" s="6">
        <f t="shared" si="39"/>
        <v>5</v>
      </c>
      <c r="CB114" s="6"/>
      <c r="CC114" s="6"/>
      <c r="CD114" s="6"/>
      <c r="CE114" s="6">
        <v>372</v>
      </c>
      <c r="CF114" s="6"/>
      <c r="CG114" s="6">
        <f t="shared" si="40"/>
        <v>367</v>
      </c>
      <c r="CH114" s="6">
        <v>749</v>
      </c>
      <c r="CI114" s="6"/>
      <c r="CJ114" s="6">
        <f t="shared" si="41"/>
        <v>377</v>
      </c>
      <c r="CK114" s="6">
        <v>1119</v>
      </c>
      <c r="CL114" s="6"/>
      <c r="CM114" s="6">
        <f t="shared" si="42"/>
        <v>370</v>
      </c>
      <c r="CN114" s="6">
        <v>1495</v>
      </c>
      <c r="CO114" s="6"/>
      <c r="CP114" s="6">
        <f t="shared" si="43"/>
        <v>376</v>
      </c>
      <c r="CQ114" s="6">
        <v>302</v>
      </c>
      <c r="CR114" s="6">
        <v>1560</v>
      </c>
      <c r="CS114" s="6">
        <f t="shared" si="44"/>
        <v>367</v>
      </c>
      <c r="CT114" s="6">
        <v>638</v>
      </c>
      <c r="CU114" s="6"/>
      <c r="CV114" s="6">
        <f t="shared" si="45"/>
        <v>336</v>
      </c>
      <c r="CW114" s="6"/>
      <c r="CX114" s="6"/>
      <c r="CY114" s="6"/>
      <c r="CZ114" s="6">
        <v>1013</v>
      </c>
      <c r="DA114" s="6"/>
      <c r="DB114" s="6">
        <f t="shared" si="46"/>
        <v>375</v>
      </c>
      <c r="DC114" s="6">
        <v>1372</v>
      </c>
      <c r="DD114" s="6"/>
      <c r="DE114" s="6">
        <f t="shared" si="47"/>
        <v>359</v>
      </c>
      <c r="DF114" s="6">
        <v>186</v>
      </c>
      <c r="DG114" s="6">
        <v>1560</v>
      </c>
      <c r="DH114" s="6">
        <f t="shared" si="48"/>
        <v>374</v>
      </c>
      <c r="DI114" s="6">
        <v>559</v>
      </c>
      <c r="DJ114" s="6"/>
      <c r="DK114" s="6">
        <f t="shared" si="49"/>
        <v>373</v>
      </c>
      <c r="DL114" s="6">
        <v>934</v>
      </c>
      <c r="DM114" s="6"/>
      <c r="DN114" s="6">
        <f t="shared" si="50"/>
        <v>375</v>
      </c>
      <c r="DO114" s="6">
        <v>1273</v>
      </c>
      <c r="DP114" s="6"/>
      <c r="DQ114" s="6">
        <f t="shared" si="51"/>
        <v>339</v>
      </c>
    </row>
    <row r="115" spans="1:121">
      <c r="A115" s="6">
        <v>111</v>
      </c>
      <c r="B115" s="6">
        <v>1472</v>
      </c>
      <c r="C115" s="6"/>
      <c r="D115" s="6">
        <v>376</v>
      </c>
      <c r="E115" s="33" t="s">
        <v>37</v>
      </c>
      <c r="F115" s="33" t="s">
        <v>37</v>
      </c>
      <c r="G115" s="33" t="s">
        <v>37</v>
      </c>
      <c r="H115" s="33" t="s">
        <v>37</v>
      </c>
      <c r="I115" s="33" t="s">
        <v>37</v>
      </c>
      <c r="J115" s="33" t="s">
        <v>37</v>
      </c>
      <c r="K115" s="33" t="s">
        <v>37</v>
      </c>
      <c r="L115" s="33" t="s">
        <v>37</v>
      </c>
      <c r="M115" s="33" t="s">
        <v>37</v>
      </c>
      <c r="N115" s="33" t="s">
        <v>37</v>
      </c>
      <c r="O115" s="33" t="s">
        <v>37</v>
      </c>
      <c r="P115" s="33" t="s">
        <v>37</v>
      </c>
      <c r="Q115" s="33" t="s">
        <v>37</v>
      </c>
      <c r="R115" s="33" t="s">
        <v>37</v>
      </c>
      <c r="S115" s="33" t="s">
        <v>37</v>
      </c>
      <c r="T115" s="33" t="s">
        <v>37</v>
      </c>
      <c r="U115" s="33" t="s">
        <v>37</v>
      </c>
      <c r="V115" s="33" t="s">
        <v>37</v>
      </c>
      <c r="W115" s="148" t="s">
        <v>37</v>
      </c>
      <c r="X115" s="33" t="s">
        <v>37</v>
      </c>
      <c r="Y115" s="33" t="s">
        <v>37</v>
      </c>
      <c r="Z115" s="33" t="s">
        <v>37</v>
      </c>
      <c r="AA115" s="33" t="s">
        <v>37</v>
      </c>
      <c r="AB115" s="33" t="s">
        <v>37</v>
      </c>
      <c r="AC115" s="33" t="s">
        <v>37</v>
      </c>
      <c r="AD115" s="33" t="s">
        <v>37</v>
      </c>
      <c r="AE115" s="33" t="s">
        <v>37</v>
      </c>
      <c r="AF115" s="35">
        <v>295</v>
      </c>
      <c r="AG115" s="35">
        <v>1560</v>
      </c>
      <c r="AH115" s="35">
        <f t="shared" si="26"/>
        <v>383</v>
      </c>
      <c r="AI115" s="35">
        <v>153</v>
      </c>
      <c r="AJ115" s="35">
        <v>502</v>
      </c>
      <c r="AK115" s="35">
        <f t="shared" si="27"/>
        <v>360</v>
      </c>
      <c r="AL115" s="6"/>
      <c r="AM115" s="6"/>
      <c r="AN115" s="35"/>
      <c r="AO115" s="6">
        <v>519</v>
      </c>
      <c r="AP115" s="6"/>
      <c r="AQ115" s="34">
        <f t="shared" si="28"/>
        <v>366</v>
      </c>
      <c r="AR115" s="35">
        <v>897</v>
      </c>
      <c r="AS115" s="35"/>
      <c r="AT115" s="35">
        <f t="shared" si="29"/>
        <v>378</v>
      </c>
      <c r="AU115" s="6">
        <v>1273</v>
      </c>
      <c r="AV115" s="6"/>
      <c r="AW115" s="35">
        <f t="shared" si="30"/>
        <v>376</v>
      </c>
      <c r="AX115" s="6">
        <v>330</v>
      </c>
      <c r="AY115" s="6">
        <v>1316</v>
      </c>
      <c r="AZ115" s="35">
        <f t="shared" si="31"/>
        <v>373</v>
      </c>
      <c r="BA115" s="35">
        <v>710</v>
      </c>
      <c r="BB115" s="35"/>
      <c r="BC115" s="35">
        <f t="shared" si="32"/>
        <v>380</v>
      </c>
      <c r="BD115" s="6">
        <v>1075</v>
      </c>
      <c r="BE115" s="6"/>
      <c r="BF115" s="35">
        <f t="shared" si="33"/>
        <v>365</v>
      </c>
      <c r="BG115" s="6"/>
      <c r="BH115" s="6"/>
      <c r="BI115" s="6"/>
      <c r="BJ115" s="6">
        <v>1456</v>
      </c>
      <c r="BK115" s="6"/>
      <c r="BL115" s="6">
        <f t="shared" si="34"/>
        <v>381</v>
      </c>
      <c r="BM115" s="6">
        <v>267</v>
      </c>
      <c r="BN115" s="6">
        <v>1560</v>
      </c>
      <c r="BO115" s="6">
        <f t="shared" si="35"/>
        <v>371</v>
      </c>
      <c r="BP115" s="6">
        <v>638</v>
      </c>
      <c r="BQ115" s="6"/>
      <c r="BR115" s="35">
        <f t="shared" si="36"/>
        <v>371</v>
      </c>
      <c r="BS115" s="6">
        <v>1010</v>
      </c>
      <c r="BT115" s="6"/>
      <c r="BU115" s="6">
        <f t="shared" si="37"/>
        <v>372</v>
      </c>
      <c r="BV115" s="6">
        <v>1383</v>
      </c>
      <c r="BW115" s="6"/>
      <c r="BX115" s="35">
        <f t="shared" si="38"/>
        <v>373</v>
      </c>
      <c r="BY115" s="6">
        <v>181</v>
      </c>
      <c r="BZ115" s="6">
        <v>1560</v>
      </c>
      <c r="CA115" s="6">
        <f t="shared" si="39"/>
        <v>358</v>
      </c>
      <c r="CB115" s="6"/>
      <c r="CC115" s="6"/>
      <c r="CD115" s="6"/>
      <c r="CE115" s="6">
        <v>549</v>
      </c>
      <c r="CF115" s="6"/>
      <c r="CG115" s="6">
        <f t="shared" si="40"/>
        <v>368</v>
      </c>
      <c r="CH115" s="6">
        <v>926</v>
      </c>
      <c r="CI115" s="6"/>
      <c r="CJ115" s="6">
        <f t="shared" si="41"/>
        <v>377</v>
      </c>
      <c r="CK115" s="6">
        <v>1303</v>
      </c>
      <c r="CL115" s="6"/>
      <c r="CM115" s="6">
        <f t="shared" si="42"/>
        <v>377</v>
      </c>
      <c r="CN115" s="6">
        <v>6</v>
      </c>
      <c r="CO115" s="6">
        <v>1392</v>
      </c>
      <c r="CP115" s="6">
        <f t="shared" si="43"/>
        <v>95</v>
      </c>
      <c r="CQ115" s="6">
        <v>375</v>
      </c>
      <c r="CR115" s="6"/>
      <c r="CS115" s="6">
        <f t="shared" si="44"/>
        <v>369</v>
      </c>
      <c r="CT115" s="6">
        <v>18</v>
      </c>
      <c r="CU115" s="6">
        <v>707</v>
      </c>
      <c r="CV115" s="6">
        <f t="shared" si="45"/>
        <v>350</v>
      </c>
      <c r="CW115" s="6"/>
      <c r="CX115" s="6"/>
      <c r="CY115" s="6"/>
      <c r="CZ115" s="6">
        <v>385</v>
      </c>
      <c r="DA115" s="6"/>
      <c r="DB115" s="6">
        <f t="shared" si="46"/>
        <v>367</v>
      </c>
      <c r="DC115" s="6">
        <f>734+18</f>
        <v>752</v>
      </c>
      <c r="DD115" s="6"/>
      <c r="DE115" s="6">
        <f t="shared" si="47"/>
        <v>367</v>
      </c>
      <c r="DF115" s="6">
        <v>152</v>
      </c>
      <c r="DG115" s="6">
        <v>962</v>
      </c>
      <c r="DH115" s="6">
        <f t="shared" si="48"/>
        <v>362</v>
      </c>
      <c r="DI115" s="6">
        <v>508</v>
      </c>
      <c r="DJ115" s="6"/>
      <c r="DK115" s="6">
        <f t="shared" si="49"/>
        <v>356</v>
      </c>
      <c r="DL115" s="6">
        <v>867</v>
      </c>
      <c r="DM115" s="6"/>
      <c r="DN115" s="6">
        <f t="shared" si="50"/>
        <v>359</v>
      </c>
      <c r="DO115" s="6">
        <v>1194</v>
      </c>
      <c r="DP115" s="6"/>
      <c r="DQ115" s="6">
        <f t="shared" si="51"/>
        <v>327</v>
      </c>
    </row>
    <row r="116" spans="1:121">
      <c r="A116" s="6">
        <v>112</v>
      </c>
      <c r="B116" s="6">
        <v>899</v>
      </c>
      <c r="C116" s="6"/>
      <c r="D116" s="8">
        <v>367</v>
      </c>
      <c r="E116" s="33" t="s">
        <v>69</v>
      </c>
      <c r="F116" s="33" t="s">
        <v>69</v>
      </c>
      <c r="G116" s="33" t="s">
        <v>69</v>
      </c>
      <c r="H116" s="33" t="s">
        <v>69</v>
      </c>
      <c r="I116" s="33" t="s">
        <v>69</v>
      </c>
      <c r="J116" s="33" t="s">
        <v>69</v>
      </c>
      <c r="K116" s="33" t="s">
        <v>69</v>
      </c>
      <c r="L116" s="33" t="s">
        <v>69</v>
      </c>
      <c r="M116" s="33" t="s">
        <v>69</v>
      </c>
      <c r="N116" s="33" t="s">
        <v>69</v>
      </c>
      <c r="O116" s="33" t="s">
        <v>69</v>
      </c>
      <c r="P116" s="33" t="s">
        <v>69</v>
      </c>
      <c r="Q116" s="33" t="s">
        <v>69</v>
      </c>
      <c r="R116" s="33" t="s">
        <v>69</v>
      </c>
      <c r="S116" s="33" t="s">
        <v>69</v>
      </c>
      <c r="T116" s="33" t="s">
        <v>69</v>
      </c>
      <c r="U116" s="148" t="s">
        <v>128</v>
      </c>
      <c r="V116" s="33" t="s">
        <v>128</v>
      </c>
      <c r="W116" s="33" t="s">
        <v>128</v>
      </c>
      <c r="X116" s="33" t="s">
        <v>128</v>
      </c>
      <c r="Y116" s="33" t="s">
        <v>128</v>
      </c>
      <c r="Z116" s="33" t="s">
        <v>128</v>
      </c>
      <c r="AA116" s="33" t="s">
        <v>128</v>
      </c>
      <c r="AB116" s="33" t="s">
        <v>128</v>
      </c>
      <c r="AC116" s="33" t="s">
        <v>128</v>
      </c>
      <c r="AD116" s="33" t="s">
        <v>128</v>
      </c>
      <c r="AE116" s="33" t="s">
        <v>128</v>
      </c>
      <c r="AF116" s="6">
        <v>1276</v>
      </c>
      <c r="AG116" s="6"/>
      <c r="AH116" s="35">
        <f t="shared" si="26"/>
        <v>377</v>
      </c>
      <c r="AI116" s="35">
        <v>73</v>
      </c>
      <c r="AJ116" s="35">
        <v>1560</v>
      </c>
      <c r="AK116" s="35">
        <f t="shared" si="27"/>
        <v>357</v>
      </c>
      <c r="AL116" s="6"/>
      <c r="AM116" s="6"/>
      <c r="AN116" s="35"/>
      <c r="AO116" s="6">
        <v>433</v>
      </c>
      <c r="AP116" s="6"/>
      <c r="AQ116" s="34">
        <f t="shared" si="28"/>
        <v>360</v>
      </c>
      <c r="AR116" s="35">
        <v>814</v>
      </c>
      <c r="AS116" s="35"/>
      <c r="AT116" s="35">
        <f t="shared" si="29"/>
        <v>381</v>
      </c>
      <c r="AU116" s="6">
        <v>1184</v>
      </c>
      <c r="AV116" s="6"/>
      <c r="AW116" s="35">
        <f t="shared" si="30"/>
        <v>370</v>
      </c>
      <c r="AX116" s="6">
        <v>1553</v>
      </c>
      <c r="AY116" s="6"/>
      <c r="AZ116" s="35">
        <f t="shared" si="31"/>
        <v>369</v>
      </c>
      <c r="BA116" s="35">
        <v>358</v>
      </c>
      <c r="BB116" s="35">
        <v>1560</v>
      </c>
      <c r="BC116" s="35">
        <f t="shared" si="32"/>
        <v>365</v>
      </c>
      <c r="BD116" s="6">
        <v>703</v>
      </c>
      <c r="BE116" s="6"/>
      <c r="BF116" s="35">
        <f t="shared" si="33"/>
        <v>345</v>
      </c>
      <c r="BG116" s="6"/>
      <c r="BH116" s="6"/>
      <c r="BI116" s="6"/>
      <c r="BJ116" s="6">
        <v>1055</v>
      </c>
      <c r="BK116" s="6"/>
      <c r="BL116" s="6">
        <f t="shared" si="34"/>
        <v>352</v>
      </c>
      <c r="BM116" s="6">
        <v>217</v>
      </c>
      <c r="BN116" s="6">
        <v>1179</v>
      </c>
      <c r="BO116" s="6">
        <f t="shared" si="35"/>
        <v>341</v>
      </c>
      <c r="BP116" s="6">
        <v>557</v>
      </c>
      <c r="BQ116" s="6"/>
      <c r="BR116" s="35">
        <f t="shared" si="36"/>
        <v>340</v>
      </c>
      <c r="BS116" s="6">
        <v>920</v>
      </c>
      <c r="BT116" s="6"/>
      <c r="BU116" s="6">
        <f t="shared" si="37"/>
        <v>363</v>
      </c>
      <c r="BV116" s="6">
        <v>1287</v>
      </c>
      <c r="BW116" s="6"/>
      <c r="BX116" s="35">
        <f t="shared" si="38"/>
        <v>367</v>
      </c>
      <c r="BY116" s="6">
        <v>248</v>
      </c>
      <c r="BZ116" s="6">
        <v>1391</v>
      </c>
      <c r="CA116" s="6">
        <f t="shared" si="39"/>
        <v>352</v>
      </c>
      <c r="CB116" s="6"/>
      <c r="CC116" s="6"/>
      <c r="CD116" s="6"/>
      <c r="CE116" s="6">
        <v>607</v>
      </c>
      <c r="CF116" s="6"/>
      <c r="CG116" s="6">
        <f t="shared" si="40"/>
        <v>359</v>
      </c>
      <c r="CH116" s="6">
        <v>307</v>
      </c>
      <c r="CI116" s="6">
        <v>617</v>
      </c>
      <c r="CJ116" s="6">
        <f t="shared" si="41"/>
        <v>317</v>
      </c>
      <c r="CK116" s="6">
        <v>666</v>
      </c>
      <c r="CL116" s="6"/>
      <c r="CM116" s="6">
        <f t="shared" si="42"/>
        <v>359</v>
      </c>
      <c r="CN116" s="6">
        <v>1029</v>
      </c>
      <c r="CO116" s="6"/>
      <c r="CP116" s="6">
        <f t="shared" si="43"/>
        <v>363</v>
      </c>
      <c r="CQ116" s="6">
        <v>57</v>
      </c>
      <c r="CR116" s="6">
        <v>1333</v>
      </c>
      <c r="CS116" s="6">
        <f t="shared" si="44"/>
        <v>361</v>
      </c>
      <c r="CT116" s="6">
        <v>398</v>
      </c>
      <c r="CU116" s="6"/>
      <c r="CV116" s="6">
        <f t="shared" si="45"/>
        <v>341</v>
      </c>
      <c r="CW116" s="6"/>
      <c r="CX116" s="6"/>
      <c r="CY116" s="6"/>
      <c r="CZ116" s="6">
        <v>759</v>
      </c>
      <c r="DA116" s="6"/>
      <c r="DB116" s="6">
        <f t="shared" si="46"/>
        <v>361</v>
      </c>
      <c r="DC116" s="6">
        <v>326</v>
      </c>
      <c r="DD116" s="6">
        <v>784</v>
      </c>
      <c r="DE116" s="6">
        <f t="shared" si="47"/>
        <v>351</v>
      </c>
      <c r="DF116" s="6">
        <v>685</v>
      </c>
      <c r="DG116" s="6"/>
      <c r="DH116" s="6">
        <f t="shared" si="48"/>
        <v>359</v>
      </c>
      <c r="DI116" s="6">
        <v>1043</v>
      </c>
      <c r="DJ116" s="6"/>
      <c r="DK116" s="6">
        <f t="shared" si="49"/>
        <v>358</v>
      </c>
      <c r="DL116" s="6">
        <v>1408</v>
      </c>
      <c r="DM116" s="6"/>
      <c r="DN116" s="6">
        <f t="shared" si="50"/>
        <v>365</v>
      </c>
      <c r="DO116" s="6">
        <v>167</v>
      </c>
      <c r="DP116" s="6">
        <v>1560</v>
      </c>
      <c r="DQ116" s="6">
        <f t="shared" si="51"/>
        <v>319</v>
      </c>
    </row>
    <row r="117" spans="1:121">
      <c r="A117" s="6">
        <v>113</v>
      </c>
      <c r="B117" s="6">
        <v>215</v>
      </c>
      <c r="C117" s="6">
        <v>1560</v>
      </c>
      <c r="D117" s="6">
        <v>380</v>
      </c>
      <c r="E117" s="33" t="s">
        <v>37</v>
      </c>
      <c r="F117" s="33" t="s">
        <v>37</v>
      </c>
      <c r="G117" s="33" t="s">
        <v>37</v>
      </c>
      <c r="H117" s="33" t="s">
        <v>37</v>
      </c>
      <c r="I117" s="33" t="s">
        <v>37</v>
      </c>
      <c r="J117" s="33" t="s">
        <v>37</v>
      </c>
      <c r="K117" s="33" t="s">
        <v>37</v>
      </c>
      <c r="L117" s="33" t="s">
        <v>37</v>
      </c>
      <c r="M117" s="33" t="s">
        <v>37</v>
      </c>
      <c r="N117" s="33" t="s">
        <v>37</v>
      </c>
      <c r="O117" s="33" t="s">
        <v>37</v>
      </c>
      <c r="P117" s="33" t="s">
        <v>37</v>
      </c>
      <c r="Q117" s="33" t="s">
        <v>37</v>
      </c>
      <c r="R117" s="33" t="s">
        <v>37</v>
      </c>
      <c r="S117" s="33" t="s">
        <v>37</v>
      </c>
      <c r="T117" s="33" t="s">
        <v>37</v>
      </c>
      <c r="U117" s="33" t="s">
        <v>37</v>
      </c>
      <c r="V117" s="33" t="s">
        <v>37</v>
      </c>
      <c r="W117" s="33" t="s">
        <v>37</v>
      </c>
      <c r="X117" s="148" t="s">
        <v>37</v>
      </c>
      <c r="Y117" s="33" t="s">
        <v>37</v>
      </c>
      <c r="Z117" s="33" t="s">
        <v>37</v>
      </c>
      <c r="AA117" s="33" t="s">
        <v>37</v>
      </c>
      <c r="AB117" s="33" t="s">
        <v>37</v>
      </c>
      <c r="AC117" s="33" t="s">
        <v>37</v>
      </c>
      <c r="AD117" s="33" t="s">
        <v>37</v>
      </c>
      <c r="AE117" s="33" t="s">
        <v>37</v>
      </c>
      <c r="AF117" s="35">
        <v>598</v>
      </c>
      <c r="AG117" s="35"/>
      <c r="AH117" s="35">
        <f t="shared" si="26"/>
        <v>383</v>
      </c>
      <c r="AI117" s="35">
        <v>7</v>
      </c>
      <c r="AJ117" s="35">
        <v>945</v>
      </c>
      <c r="AK117" s="35">
        <f t="shared" si="27"/>
        <v>354</v>
      </c>
      <c r="AL117" s="6"/>
      <c r="AM117" s="6"/>
      <c r="AN117" s="35"/>
      <c r="AO117" s="6">
        <v>385</v>
      </c>
      <c r="AP117" s="6"/>
      <c r="AQ117" s="34">
        <f t="shared" si="28"/>
        <v>378</v>
      </c>
      <c r="AR117" s="35">
        <v>764</v>
      </c>
      <c r="AS117" s="35"/>
      <c r="AT117" s="35">
        <f t="shared" si="29"/>
        <v>379</v>
      </c>
      <c r="AU117" s="6">
        <v>1137</v>
      </c>
      <c r="AV117" s="6"/>
      <c r="AW117" s="35">
        <f t="shared" si="30"/>
        <v>373</v>
      </c>
      <c r="AX117" s="6">
        <v>1516</v>
      </c>
      <c r="AY117" s="6"/>
      <c r="AZ117" s="35">
        <f t="shared" si="31"/>
        <v>379</v>
      </c>
      <c r="BA117" s="6">
        <v>310</v>
      </c>
      <c r="BB117" s="6">
        <v>1575</v>
      </c>
      <c r="BC117" s="35">
        <f t="shared" si="32"/>
        <v>369</v>
      </c>
      <c r="BD117" s="6">
        <v>307</v>
      </c>
      <c r="BE117" s="6">
        <v>365</v>
      </c>
      <c r="BF117" s="35">
        <f t="shared" si="33"/>
        <v>362</v>
      </c>
      <c r="BG117" s="6"/>
      <c r="BH117" s="6"/>
      <c r="BI117" s="35"/>
      <c r="BJ117" s="6">
        <v>349</v>
      </c>
      <c r="BK117" s="35">
        <v>336</v>
      </c>
      <c r="BL117" s="6">
        <f t="shared" si="34"/>
        <v>378</v>
      </c>
      <c r="BM117" s="6">
        <v>724</v>
      </c>
      <c r="BN117" s="6"/>
      <c r="BO117" s="6">
        <f t="shared" si="35"/>
        <v>375</v>
      </c>
      <c r="BP117" s="6">
        <v>1097</v>
      </c>
      <c r="BQ117" s="6"/>
      <c r="BR117" s="35">
        <f t="shared" si="36"/>
        <v>373</v>
      </c>
      <c r="BS117" s="6">
        <v>1469</v>
      </c>
      <c r="BT117" s="6"/>
      <c r="BU117" s="6">
        <f t="shared" si="37"/>
        <v>372</v>
      </c>
      <c r="BV117" s="6">
        <v>283</v>
      </c>
      <c r="BW117" s="6">
        <v>1560</v>
      </c>
      <c r="BX117" s="35">
        <f t="shared" si="38"/>
        <v>374</v>
      </c>
      <c r="BY117" s="6">
        <v>233</v>
      </c>
      <c r="BZ117" s="35">
        <v>393</v>
      </c>
      <c r="CA117" s="6">
        <f t="shared" si="39"/>
        <v>343</v>
      </c>
      <c r="CB117" s="6"/>
      <c r="CC117" s="6"/>
      <c r="CD117" s="35"/>
      <c r="CE117" s="6">
        <v>586</v>
      </c>
      <c r="CF117" s="35"/>
      <c r="CG117" s="6">
        <f t="shared" si="40"/>
        <v>353</v>
      </c>
      <c r="CH117" s="6">
        <v>658</v>
      </c>
      <c r="CI117" s="6"/>
      <c r="CJ117" s="6">
        <f t="shared" si="41"/>
        <v>72</v>
      </c>
      <c r="CK117" s="6">
        <v>658</v>
      </c>
      <c r="CL117" s="6"/>
      <c r="CM117" s="6">
        <f t="shared" si="42"/>
        <v>0</v>
      </c>
      <c r="CN117" s="6">
        <v>301</v>
      </c>
      <c r="CO117" s="6">
        <v>660</v>
      </c>
      <c r="CP117" s="6">
        <f t="shared" si="43"/>
        <v>303</v>
      </c>
      <c r="CQ117" s="6">
        <v>244</v>
      </c>
      <c r="CR117" s="6">
        <v>347</v>
      </c>
      <c r="CS117" s="6">
        <f t="shared" si="44"/>
        <v>290</v>
      </c>
      <c r="CT117" s="6">
        <v>13</v>
      </c>
      <c r="CU117" s="6">
        <v>570</v>
      </c>
      <c r="CV117" s="6">
        <f t="shared" si="45"/>
        <v>339</v>
      </c>
      <c r="CW117" s="6"/>
      <c r="CX117" s="6"/>
      <c r="CY117" s="6"/>
      <c r="CZ117" s="6">
        <v>375</v>
      </c>
      <c r="DA117" s="6"/>
      <c r="DB117" s="6">
        <f t="shared" si="46"/>
        <v>362</v>
      </c>
      <c r="DC117" s="6">
        <v>736</v>
      </c>
      <c r="DD117" s="6"/>
      <c r="DE117" s="6">
        <f t="shared" si="47"/>
        <v>361</v>
      </c>
      <c r="DF117" s="6">
        <v>1104</v>
      </c>
      <c r="DG117" s="6"/>
      <c r="DH117" s="6">
        <f t="shared" si="48"/>
        <v>368</v>
      </c>
      <c r="DI117" s="6">
        <v>1466</v>
      </c>
      <c r="DJ117" s="6"/>
      <c r="DK117" s="6">
        <f t="shared" si="49"/>
        <v>362</v>
      </c>
      <c r="DL117" s="6">
        <v>277</v>
      </c>
      <c r="DM117" s="6">
        <v>1558</v>
      </c>
      <c r="DN117" s="6">
        <f t="shared" si="50"/>
        <v>369</v>
      </c>
      <c r="DO117" s="6">
        <v>592</v>
      </c>
      <c r="DP117" s="6"/>
      <c r="DQ117" s="6">
        <f t="shared" si="51"/>
        <v>315</v>
      </c>
    </row>
    <row r="118" spans="1:121">
      <c r="A118" s="6">
        <v>114</v>
      </c>
      <c r="B118" s="6">
        <v>1278</v>
      </c>
      <c r="C118" s="6"/>
      <c r="D118" s="8">
        <v>378</v>
      </c>
      <c r="E118" s="33" t="s">
        <v>69</v>
      </c>
      <c r="F118" s="33" t="s">
        <v>69</v>
      </c>
      <c r="G118" s="33" t="s">
        <v>69</v>
      </c>
      <c r="H118" s="33" t="s">
        <v>69</v>
      </c>
      <c r="I118" s="33" t="s">
        <v>69</v>
      </c>
      <c r="J118" s="33" t="s">
        <v>69</v>
      </c>
      <c r="K118" s="33" t="s">
        <v>69</v>
      </c>
      <c r="L118" s="33" t="s">
        <v>69</v>
      </c>
      <c r="M118" s="33" t="s">
        <v>69</v>
      </c>
      <c r="N118" s="33" t="s">
        <v>69</v>
      </c>
      <c r="O118" s="33" t="s">
        <v>69</v>
      </c>
      <c r="P118" s="33" t="s">
        <v>69</v>
      </c>
      <c r="Q118" s="33" t="s">
        <v>69</v>
      </c>
      <c r="R118" s="33" t="s">
        <v>69</v>
      </c>
      <c r="S118" s="148" t="s">
        <v>128</v>
      </c>
      <c r="T118" s="33" t="s">
        <v>128</v>
      </c>
      <c r="U118" s="33" t="s">
        <v>128</v>
      </c>
      <c r="V118" s="33" t="s">
        <v>128</v>
      </c>
      <c r="W118" s="33" t="s">
        <v>128</v>
      </c>
      <c r="X118" s="33" t="s">
        <v>128</v>
      </c>
      <c r="Y118" s="33" t="s">
        <v>128</v>
      </c>
      <c r="Z118" s="33" t="s">
        <v>128</v>
      </c>
      <c r="AA118" s="33" t="s">
        <v>128</v>
      </c>
      <c r="AB118" s="33" t="s">
        <v>128</v>
      </c>
      <c r="AC118" s="33" t="s">
        <v>128</v>
      </c>
      <c r="AD118" s="33" t="s">
        <v>128</v>
      </c>
      <c r="AE118" s="33" t="s">
        <v>128</v>
      </c>
      <c r="AF118" s="6">
        <v>93</v>
      </c>
      <c r="AG118" s="6">
        <v>1561</v>
      </c>
      <c r="AH118" s="35">
        <f t="shared" si="26"/>
        <v>376</v>
      </c>
      <c r="AI118" s="35">
        <v>457</v>
      </c>
      <c r="AJ118" s="35"/>
      <c r="AK118" s="35">
        <f t="shared" si="27"/>
        <v>364</v>
      </c>
      <c r="AL118" s="6"/>
      <c r="AM118" s="6"/>
      <c r="AN118" s="35"/>
      <c r="AO118" s="6">
        <v>835</v>
      </c>
      <c r="AP118" s="6"/>
      <c r="AQ118" s="34">
        <f t="shared" si="28"/>
        <v>378</v>
      </c>
      <c r="AR118" s="35">
        <v>1217</v>
      </c>
      <c r="AS118" s="35"/>
      <c r="AT118" s="35">
        <f t="shared" si="29"/>
        <v>382</v>
      </c>
      <c r="AU118" s="6">
        <v>33</v>
      </c>
      <c r="AV118" s="6">
        <v>1560</v>
      </c>
      <c r="AW118" s="35">
        <f t="shared" si="30"/>
        <v>376</v>
      </c>
      <c r="AX118" s="6">
        <v>411</v>
      </c>
      <c r="AY118" s="6"/>
      <c r="AZ118" s="35">
        <f t="shared" si="31"/>
        <v>378</v>
      </c>
      <c r="BA118" s="35">
        <v>787</v>
      </c>
      <c r="BB118" s="35"/>
      <c r="BC118" s="35">
        <f t="shared" si="32"/>
        <v>376</v>
      </c>
      <c r="BD118" s="6">
        <v>1151</v>
      </c>
      <c r="BE118" s="6"/>
      <c r="BF118" s="35">
        <f t="shared" si="33"/>
        <v>364</v>
      </c>
      <c r="BG118" s="6"/>
      <c r="BH118" s="6"/>
      <c r="BI118" s="6"/>
      <c r="BJ118" s="6">
        <v>1530</v>
      </c>
      <c r="BK118" s="6"/>
      <c r="BL118" s="6">
        <f t="shared" si="34"/>
        <v>379</v>
      </c>
      <c r="BM118" s="6">
        <v>349</v>
      </c>
      <c r="BN118" s="6">
        <v>1560</v>
      </c>
      <c r="BO118" s="6">
        <f t="shared" si="35"/>
        <v>379</v>
      </c>
      <c r="BP118" s="6">
        <v>725</v>
      </c>
      <c r="BQ118" s="6"/>
      <c r="BR118" s="35">
        <f t="shared" si="36"/>
        <v>376</v>
      </c>
      <c r="BS118" s="6">
        <v>1103</v>
      </c>
      <c r="BT118" s="6"/>
      <c r="BU118" s="6">
        <f t="shared" si="37"/>
        <v>378</v>
      </c>
      <c r="BV118" s="6">
        <v>0</v>
      </c>
      <c r="BW118" s="6">
        <v>1398</v>
      </c>
      <c r="BX118" s="35">
        <f t="shared" si="38"/>
        <v>295</v>
      </c>
      <c r="BY118" s="6">
        <v>0</v>
      </c>
      <c r="BZ118" s="6"/>
      <c r="CA118" s="6">
        <f t="shared" si="39"/>
        <v>0</v>
      </c>
      <c r="CB118" s="6"/>
      <c r="CC118" s="6"/>
      <c r="CD118" s="6"/>
      <c r="CE118" s="6">
        <v>0</v>
      </c>
      <c r="CF118" s="6"/>
      <c r="CG118" s="6">
        <f t="shared" si="40"/>
        <v>0</v>
      </c>
      <c r="CH118" s="6">
        <v>362</v>
      </c>
      <c r="CI118" s="6"/>
      <c r="CJ118" s="6">
        <f t="shared" si="41"/>
        <v>362</v>
      </c>
      <c r="CK118" s="6">
        <v>144</v>
      </c>
      <c r="CL118" s="6">
        <v>584</v>
      </c>
      <c r="CM118" s="6">
        <f t="shared" si="42"/>
        <v>366</v>
      </c>
      <c r="CN118" s="6">
        <v>515</v>
      </c>
      <c r="CO118" s="6"/>
      <c r="CP118" s="6">
        <f t="shared" si="43"/>
        <v>371</v>
      </c>
      <c r="CQ118" s="6">
        <v>251</v>
      </c>
      <c r="CR118" s="6">
        <v>624</v>
      </c>
      <c r="CS118" s="6">
        <f t="shared" si="44"/>
        <v>360</v>
      </c>
      <c r="CT118" s="6">
        <v>598</v>
      </c>
      <c r="CU118" s="6"/>
      <c r="CV118" s="6">
        <f t="shared" si="45"/>
        <v>347</v>
      </c>
      <c r="CW118" s="6"/>
      <c r="CX118" s="6"/>
      <c r="CY118" s="6"/>
      <c r="CZ118" s="6">
        <v>960</v>
      </c>
      <c r="DA118" s="6"/>
      <c r="DB118" s="6">
        <f t="shared" si="46"/>
        <v>362</v>
      </c>
      <c r="DC118" s="6">
        <v>284</v>
      </c>
      <c r="DD118" s="6">
        <v>1039</v>
      </c>
      <c r="DE118" s="6">
        <f t="shared" si="47"/>
        <v>363</v>
      </c>
      <c r="DF118" s="6">
        <v>648</v>
      </c>
      <c r="DG118" s="6"/>
      <c r="DH118" s="6">
        <f t="shared" si="48"/>
        <v>364</v>
      </c>
      <c r="DI118" s="6">
        <v>234</v>
      </c>
      <c r="DJ118" s="6">
        <v>764</v>
      </c>
      <c r="DK118" s="6">
        <f t="shared" si="49"/>
        <v>350</v>
      </c>
      <c r="DL118" s="6">
        <v>596</v>
      </c>
      <c r="DM118" s="6"/>
      <c r="DN118" s="6">
        <f t="shared" si="50"/>
        <v>362</v>
      </c>
      <c r="DO118" s="6">
        <v>926</v>
      </c>
      <c r="DP118" s="6"/>
      <c r="DQ118" s="6">
        <f t="shared" si="51"/>
        <v>330</v>
      </c>
    </row>
    <row r="119" spans="1:121">
      <c r="A119" s="6">
        <v>115</v>
      </c>
      <c r="B119" s="6">
        <v>163</v>
      </c>
      <c r="C119" s="6">
        <v>1560</v>
      </c>
      <c r="D119" s="6">
        <v>362</v>
      </c>
      <c r="E119" s="33" t="s">
        <v>37</v>
      </c>
      <c r="F119" s="33" t="s">
        <v>37</v>
      </c>
      <c r="G119" s="33" t="s">
        <v>37</v>
      </c>
      <c r="H119" s="33" t="s">
        <v>37</v>
      </c>
      <c r="I119" s="33" t="s">
        <v>37</v>
      </c>
      <c r="J119" s="33" t="s">
        <v>37</v>
      </c>
      <c r="K119" s="33" t="s">
        <v>37</v>
      </c>
      <c r="L119" s="33" t="s">
        <v>37</v>
      </c>
      <c r="M119" s="33" t="s">
        <v>37</v>
      </c>
      <c r="N119" s="33" t="s">
        <v>37</v>
      </c>
      <c r="O119" s="33" t="s">
        <v>37</v>
      </c>
      <c r="P119" s="33" t="s">
        <v>37</v>
      </c>
      <c r="Q119" s="33" t="s">
        <v>37</v>
      </c>
      <c r="R119" s="33" t="s">
        <v>37</v>
      </c>
      <c r="S119" s="33" t="s">
        <v>37</v>
      </c>
      <c r="T119" s="33" t="s">
        <v>37</v>
      </c>
      <c r="U119" s="33" t="s">
        <v>37</v>
      </c>
      <c r="V119" s="33" t="s">
        <v>37</v>
      </c>
      <c r="W119" s="148" t="s">
        <v>37</v>
      </c>
      <c r="X119" s="33" t="s">
        <v>37</v>
      </c>
      <c r="Y119" s="33" t="s">
        <v>37</v>
      </c>
      <c r="Z119" s="33" t="s">
        <v>37</v>
      </c>
      <c r="AA119" s="33" t="s">
        <v>37</v>
      </c>
      <c r="AB119" s="33" t="s">
        <v>37</v>
      </c>
      <c r="AC119" s="33" t="s">
        <v>37</v>
      </c>
      <c r="AD119" s="33" t="s">
        <v>37</v>
      </c>
      <c r="AE119" s="33" t="s">
        <v>37</v>
      </c>
      <c r="AF119" s="6">
        <v>529</v>
      </c>
      <c r="AG119" s="6"/>
      <c r="AH119" s="35">
        <f t="shared" si="26"/>
        <v>366</v>
      </c>
      <c r="AI119" s="35">
        <v>881</v>
      </c>
      <c r="AJ119" s="35"/>
      <c r="AK119" s="35">
        <f t="shared" si="27"/>
        <v>352</v>
      </c>
      <c r="AL119" s="6"/>
      <c r="AM119" s="6"/>
      <c r="AN119" s="35"/>
      <c r="AO119" s="6">
        <v>1254</v>
      </c>
      <c r="AP119" s="6"/>
      <c r="AQ119" s="34">
        <f t="shared" si="28"/>
        <v>373</v>
      </c>
      <c r="AR119" s="35">
        <v>73</v>
      </c>
      <c r="AS119" s="35">
        <v>1560</v>
      </c>
      <c r="AT119" s="35">
        <f t="shared" si="29"/>
        <v>379</v>
      </c>
      <c r="AU119" s="6">
        <v>432</v>
      </c>
      <c r="AV119" s="6"/>
      <c r="AW119" s="35">
        <f t="shared" si="30"/>
        <v>359</v>
      </c>
      <c r="AX119" s="6">
        <v>798</v>
      </c>
      <c r="AY119" s="6"/>
      <c r="AZ119" s="35">
        <f t="shared" si="31"/>
        <v>366</v>
      </c>
      <c r="BA119" s="35">
        <v>1166</v>
      </c>
      <c r="BB119" s="35"/>
      <c r="BC119" s="35">
        <f t="shared" si="32"/>
        <v>368</v>
      </c>
      <c r="BD119" s="6">
        <v>1520</v>
      </c>
      <c r="BE119" s="6"/>
      <c r="BF119" s="35">
        <f t="shared" si="33"/>
        <v>354</v>
      </c>
      <c r="BG119" s="6"/>
      <c r="BH119" s="6"/>
      <c r="BI119" s="6"/>
      <c r="BJ119" s="6">
        <v>336</v>
      </c>
      <c r="BK119" s="6">
        <v>1560</v>
      </c>
      <c r="BL119" s="6">
        <f t="shared" si="34"/>
        <v>376</v>
      </c>
      <c r="BM119" s="6">
        <v>710</v>
      </c>
      <c r="BN119" s="6"/>
      <c r="BO119" s="6">
        <f t="shared" si="35"/>
        <v>374</v>
      </c>
      <c r="BP119" s="6">
        <v>1077</v>
      </c>
      <c r="BQ119" s="6"/>
      <c r="BR119" s="35">
        <f t="shared" si="36"/>
        <v>367</v>
      </c>
      <c r="BS119" s="6">
        <v>1452</v>
      </c>
      <c r="BT119" s="6"/>
      <c r="BU119" s="6">
        <f t="shared" si="37"/>
        <v>375</v>
      </c>
      <c r="BV119" s="6">
        <v>266</v>
      </c>
      <c r="BW119" s="6">
        <v>1560</v>
      </c>
      <c r="BX119" s="35">
        <f t="shared" si="38"/>
        <v>374</v>
      </c>
      <c r="BY119" s="6">
        <v>624</v>
      </c>
      <c r="BZ119" s="6"/>
      <c r="CA119" s="6">
        <f t="shared" si="39"/>
        <v>358</v>
      </c>
      <c r="CB119" s="6"/>
      <c r="CC119" s="6"/>
      <c r="CD119" s="6"/>
      <c r="CE119" s="6">
        <v>996</v>
      </c>
      <c r="CF119" s="6"/>
      <c r="CG119" s="6">
        <f t="shared" si="40"/>
        <v>372</v>
      </c>
      <c r="CH119" s="6">
        <v>1363</v>
      </c>
      <c r="CI119" s="6"/>
      <c r="CJ119" s="6">
        <f t="shared" si="41"/>
        <v>367</v>
      </c>
      <c r="CK119" s="6">
        <v>0</v>
      </c>
      <c r="CL119" s="6">
        <v>1624</v>
      </c>
      <c r="CM119" s="6">
        <f t="shared" si="42"/>
        <v>261</v>
      </c>
      <c r="CN119" s="6">
        <v>56</v>
      </c>
      <c r="CO119" s="6"/>
      <c r="CP119" s="6">
        <f t="shared" si="43"/>
        <v>56</v>
      </c>
      <c r="CQ119" s="6">
        <v>419</v>
      </c>
      <c r="CR119" s="6"/>
      <c r="CS119" s="6">
        <f t="shared" si="44"/>
        <v>363</v>
      </c>
      <c r="CT119" s="6">
        <v>19</v>
      </c>
      <c r="CU119" s="6">
        <v>751</v>
      </c>
      <c r="CV119" s="6">
        <f t="shared" si="45"/>
        <v>351</v>
      </c>
      <c r="CW119" s="6"/>
      <c r="CX119" s="6"/>
      <c r="CY119" s="6"/>
      <c r="CZ119" s="6">
        <v>389</v>
      </c>
      <c r="DA119" s="6"/>
      <c r="DB119" s="6">
        <f t="shared" si="46"/>
        <v>370</v>
      </c>
      <c r="DC119" s="6">
        <v>750</v>
      </c>
      <c r="DD119" s="6"/>
      <c r="DE119" s="6">
        <f t="shared" si="47"/>
        <v>361</v>
      </c>
      <c r="DF119" s="6">
        <v>1120</v>
      </c>
      <c r="DG119" s="6"/>
      <c r="DH119" s="6">
        <f t="shared" si="48"/>
        <v>370</v>
      </c>
      <c r="DI119" s="6">
        <v>1491</v>
      </c>
      <c r="DJ119" s="6"/>
      <c r="DK119" s="6">
        <f t="shared" si="49"/>
        <v>371</v>
      </c>
      <c r="DL119" s="6">
        <v>293</v>
      </c>
      <c r="DM119" s="6">
        <v>1566</v>
      </c>
      <c r="DN119" s="6">
        <f t="shared" si="50"/>
        <v>368</v>
      </c>
      <c r="DO119" s="6">
        <v>626</v>
      </c>
      <c r="DP119" s="6"/>
      <c r="DQ119" s="6">
        <f t="shared" si="51"/>
        <v>333</v>
      </c>
    </row>
    <row r="120" spans="1:121">
      <c r="A120" s="6">
        <v>116</v>
      </c>
      <c r="B120" s="6">
        <v>229</v>
      </c>
      <c r="C120" s="6">
        <v>1580</v>
      </c>
      <c r="D120" s="6">
        <v>363</v>
      </c>
      <c r="E120" s="33" t="s">
        <v>37</v>
      </c>
      <c r="F120" s="33" t="s">
        <v>37</v>
      </c>
      <c r="G120" s="33" t="s">
        <v>37</v>
      </c>
      <c r="H120" s="33" t="s">
        <v>37</v>
      </c>
      <c r="I120" s="33" t="s">
        <v>37</v>
      </c>
      <c r="J120" s="33" t="s">
        <v>37</v>
      </c>
      <c r="K120" s="33" t="s">
        <v>37</v>
      </c>
      <c r="L120" s="33" t="s">
        <v>37</v>
      </c>
      <c r="M120" s="33" t="s">
        <v>37</v>
      </c>
      <c r="N120" s="33" t="s">
        <v>37</v>
      </c>
      <c r="O120" s="33" t="s">
        <v>37</v>
      </c>
      <c r="P120" s="33" t="s">
        <v>37</v>
      </c>
      <c r="Q120" s="33" t="s">
        <v>37</v>
      </c>
      <c r="R120" s="33" t="s">
        <v>37</v>
      </c>
      <c r="S120" s="33" t="s">
        <v>37</v>
      </c>
      <c r="T120" s="33" t="s">
        <v>37</v>
      </c>
      <c r="U120" s="33" t="s">
        <v>37</v>
      </c>
      <c r="V120" s="33" t="s">
        <v>37</v>
      </c>
      <c r="W120" s="33" t="s">
        <v>37</v>
      </c>
      <c r="X120" s="33" t="s">
        <v>37</v>
      </c>
      <c r="Y120" s="33" t="s">
        <v>37</v>
      </c>
      <c r="Z120" s="33" t="s">
        <v>37</v>
      </c>
      <c r="AA120" s="33" t="s">
        <v>37</v>
      </c>
      <c r="AB120" s="33" t="s">
        <v>37</v>
      </c>
      <c r="AC120" s="148" t="s">
        <v>37</v>
      </c>
      <c r="AD120" s="33" t="s">
        <v>37</v>
      </c>
      <c r="AE120" s="33" t="s">
        <v>37</v>
      </c>
      <c r="AF120" s="6">
        <v>600</v>
      </c>
      <c r="AG120" s="6"/>
      <c r="AH120" s="35">
        <f t="shared" si="26"/>
        <v>371</v>
      </c>
      <c r="AI120" s="35">
        <v>287</v>
      </c>
      <c r="AJ120" s="35">
        <v>671</v>
      </c>
      <c r="AK120" s="35">
        <f t="shared" si="27"/>
        <v>358</v>
      </c>
      <c r="AL120" s="6"/>
      <c r="AM120" s="6"/>
      <c r="AN120" s="35"/>
      <c r="AO120" s="6">
        <v>665</v>
      </c>
      <c r="AP120" s="6"/>
      <c r="AQ120" s="34">
        <f t="shared" si="28"/>
        <v>378</v>
      </c>
      <c r="AR120" s="35">
        <v>1037</v>
      </c>
      <c r="AS120" s="35"/>
      <c r="AT120" s="35">
        <f t="shared" si="29"/>
        <v>372</v>
      </c>
      <c r="AU120" s="6">
        <v>1414</v>
      </c>
      <c r="AV120" s="6"/>
      <c r="AW120" s="35">
        <f t="shared" si="30"/>
        <v>377</v>
      </c>
      <c r="AX120" s="6">
        <v>235</v>
      </c>
      <c r="AY120" s="6">
        <v>1560</v>
      </c>
      <c r="AZ120" s="35">
        <f t="shared" si="31"/>
        <v>381</v>
      </c>
      <c r="BA120" s="35">
        <v>609</v>
      </c>
      <c r="BB120" s="35"/>
      <c r="BC120" s="35">
        <f t="shared" si="32"/>
        <v>374</v>
      </c>
      <c r="BD120" s="6">
        <v>16</v>
      </c>
      <c r="BE120" s="6">
        <v>953</v>
      </c>
      <c r="BF120" s="35">
        <f t="shared" si="33"/>
        <v>360</v>
      </c>
      <c r="BG120" s="6"/>
      <c r="BH120" s="6"/>
      <c r="BI120" s="6"/>
      <c r="BJ120" s="6">
        <v>382</v>
      </c>
      <c r="BK120" s="6"/>
      <c r="BL120" s="6">
        <f t="shared" si="34"/>
        <v>366</v>
      </c>
      <c r="BM120" s="6">
        <v>746</v>
      </c>
      <c r="BN120" s="6"/>
      <c r="BO120" s="6">
        <f t="shared" si="35"/>
        <v>364</v>
      </c>
      <c r="BP120" s="6">
        <v>1109</v>
      </c>
      <c r="BQ120" s="6"/>
      <c r="BR120" s="35">
        <f t="shared" si="36"/>
        <v>363</v>
      </c>
      <c r="BS120" s="6">
        <v>139</v>
      </c>
      <c r="BT120" s="6">
        <v>1320</v>
      </c>
      <c r="BU120" s="6">
        <f t="shared" si="37"/>
        <v>350</v>
      </c>
      <c r="BV120" s="6">
        <v>484</v>
      </c>
      <c r="BW120" s="6"/>
      <c r="BX120" s="35">
        <f t="shared" si="38"/>
        <v>345</v>
      </c>
      <c r="BY120" s="6">
        <v>838</v>
      </c>
      <c r="BZ120" s="6"/>
      <c r="CA120" s="6">
        <f t="shared" si="39"/>
        <v>354</v>
      </c>
      <c r="CB120" s="6"/>
      <c r="CC120" s="6"/>
      <c r="CD120" s="6"/>
      <c r="CE120" s="6">
        <v>1206</v>
      </c>
      <c r="CF120" s="6"/>
      <c r="CG120" s="6">
        <f t="shared" si="40"/>
        <v>368</v>
      </c>
      <c r="CH120" s="6">
        <v>1281</v>
      </c>
      <c r="CI120" s="6"/>
      <c r="CJ120" s="6">
        <f t="shared" si="41"/>
        <v>75</v>
      </c>
      <c r="CK120" s="6">
        <v>1281</v>
      </c>
      <c r="CL120" s="6"/>
      <c r="CM120" s="6">
        <f t="shared" si="42"/>
        <v>0</v>
      </c>
      <c r="CN120" s="6">
        <v>271</v>
      </c>
      <c r="CO120" s="6">
        <v>1283</v>
      </c>
      <c r="CP120" s="6">
        <f t="shared" si="43"/>
        <v>273</v>
      </c>
      <c r="CQ120" s="6">
        <v>0</v>
      </c>
      <c r="CR120" s="6">
        <v>464</v>
      </c>
      <c r="CS120" s="6">
        <f t="shared" si="44"/>
        <v>193</v>
      </c>
      <c r="CT120" s="6">
        <v>0</v>
      </c>
      <c r="CU120" s="6"/>
      <c r="CV120" s="6">
        <f t="shared" si="45"/>
        <v>0</v>
      </c>
      <c r="CW120" s="6"/>
      <c r="CX120" s="6"/>
      <c r="CY120" s="6"/>
      <c r="CZ120" s="6">
        <v>0</v>
      </c>
      <c r="DA120" s="6"/>
      <c r="DB120" s="6">
        <f t="shared" si="46"/>
        <v>0</v>
      </c>
      <c r="DC120" s="6">
        <v>0</v>
      </c>
      <c r="DD120" s="6"/>
      <c r="DE120" s="6">
        <f t="shared" si="47"/>
        <v>0</v>
      </c>
      <c r="DF120" s="35">
        <v>0</v>
      </c>
      <c r="DG120" s="6"/>
      <c r="DH120" s="6">
        <f t="shared" si="48"/>
        <v>0</v>
      </c>
      <c r="DI120" s="6">
        <v>336</v>
      </c>
      <c r="DJ120" s="6"/>
      <c r="DK120" s="6">
        <f t="shared" si="49"/>
        <v>336</v>
      </c>
      <c r="DL120" s="6">
        <v>702</v>
      </c>
      <c r="DM120" s="6"/>
      <c r="DN120" s="6">
        <f t="shared" si="50"/>
        <v>366</v>
      </c>
      <c r="DO120" s="6">
        <v>313</v>
      </c>
      <c r="DP120" s="6">
        <v>703</v>
      </c>
      <c r="DQ120" s="6">
        <f t="shared" si="51"/>
        <v>314</v>
      </c>
    </row>
    <row r="121" spans="1:121">
      <c r="A121" s="6">
        <v>117</v>
      </c>
      <c r="B121" s="6">
        <v>767</v>
      </c>
      <c r="C121" s="6"/>
      <c r="D121" s="6">
        <v>368</v>
      </c>
      <c r="E121" s="33" t="s">
        <v>37</v>
      </c>
      <c r="F121" s="33" t="s">
        <v>37</v>
      </c>
      <c r="G121" s="33" t="s">
        <v>37</v>
      </c>
      <c r="H121" s="33" t="s">
        <v>37</v>
      </c>
      <c r="I121" s="33" t="s">
        <v>37</v>
      </c>
      <c r="J121" s="33" t="s">
        <v>37</v>
      </c>
      <c r="K121" s="33" t="s">
        <v>37</v>
      </c>
      <c r="L121" s="33" t="s">
        <v>37</v>
      </c>
      <c r="M121" s="33" t="s">
        <v>37</v>
      </c>
      <c r="N121" s="33" t="s">
        <v>37</v>
      </c>
      <c r="O121" s="33" t="s">
        <v>37</v>
      </c>
      <c r="P121" s="33" t="s">
        <v>37</v>
      </c>
      <c r="Q121" s="33" t="s">
        <v>37</v>
      </c>
      <c r="R121" s="33" t="s">
        <v>37</v>
      </c>
      <c r="S121" s="33" t="s">
        <v>37</v>
      </c>
      <c r="T121" s="33" t="s">
        <v>37</v>
      </c>
      <c r="U121" s="33" t="s">
        <v>37</v>
      </c>
      <c r="V121" s="148" t="s">
        <v>37</v>
      </c>
      <c r="W121" s="33" t="s">
        <v>37</v>
      </c>
      <c r="X121" s="33" t="s">
        <v>37</v>
      </c>
      <c r="Y121" s="33" t="s">
        <v>37</v>
      </c>
      <c r="Z121" s="33" t="s">
        <v>37</v>
      </c>
      <c r="AA121" s="33" t="s">
        <v>37</v>
      </c>
      <c r="AB121" s="33" t="s">
        <v>37</v>
      </c>
      <c r="AC121" s="33" t="s">
        <v>37</v>
      </c>
      <c r="AD121" s="33" t="s">
        <v>37</v>
      </c>
      <c r="AE121" s="33" t="s">
        <v>37</v>
      </c>
      <c r="AF121" s="6">
        <v>1144</v>
      </c>
      <c r="AG121" s="6"/>
      <c r="AH121" s="35">
        <f t="shared" si="26"/>
        <v>377</v>
      </c>
      <c r="AI121" s="35">
        <v>1503</v>
      </c>
      <c r="AJ121" s="35"/>
      <c r="AK121" s="35">
        <f t="shared" si="27"/>
        <v>359</v>
      </c>
      <c r="AL121" s="6"/>
      <c r="AM121" s="6"/>
      <c r="AN121" s="35"/>
      <c r="AO121" s="6">
        <v>360</v>
      </c>
      <c r="AP121" s="6">
        <v>1518</v>
      </c>
      <c r="AQ121" s="34">
        <f t="shared" si="28"/>
        <v>375</v>
      </c>
      <c r="AR121" s="35">
        <v>727</v>
      </c>
      <c r="AS121" s="35"/>
      <c r="AT121" s="35">
        <f t="shared" si="29"/>
        <v>367</v>
      </c>
      <c r="AU121" s="6">
        <v>289</v>
      </c>
      <c r="AV121" s="6">
        <v>803</v>
      </c>
      <c r="AW121" s="35">
        <f t="shared" si="30"/>
        <v>365</v>
      </c>
      <c r="AX121" s="6">
        <v>651</v>
      </c>
      <c r="AY121" s="6"/>
      <c r="AZ121" s="35">
        <f t="shared" si="31"/>
        <v>362</v>
      </c>
      <c r="BA121" s="35">
        <v>24</v>
      </c>
      <c r="BB121" s="35">
        <v>993</v>
      </c>
      <c r="BC121" s="35">
        <f t="shared" si="32"/>
        <v>366</v>
      </c>
      <c r="BD121" s="6">
        <v>362</v>
      </c>
      <c r="BE121" s="6"/>
      <c r="BF121" s="35">
        <f t="shared" si="33"/>
        <v>338</v>
      </c>
      <c r="BG121" s="6"/>
      <c r="BH121" s="6"/>
      <c r="BI121" s="6"/>
      <c r="BJ121" s="6">
        <v>731</v>
      </c>
      <c r="BK121" s="6"/>
      <c r="BL121" s="6">
        <f t="shared" si="34"/>
        <v>369</v>
      </c>
      <c r="BM121" s="6">
        <v>1100</v>
      </c>
      <c r="BN121" s="6"/>
      <c r="BO121" s="6">
        <f t="shared" si="35"/>
        <v>369</v>
      </c>
      <c r="BP121" s="6">
        <v>1463</v>
      </c>
      <c r="BQ121" s="6"/>
      <c r="BR121" s="35">
        <f t="shared" si="36"/>
        <v>363</v>
      </c>
      <c r="BS121" s="6">
        <v>363</v>
      </c>
      <c r="BT121" s="6">
        <v>1471</v>
      </c>
      <c r="BU121" s="6">
        <f t="shared" si="37"/>
        <v>371</v>
      </c>
      <c r="BV121" s="6">
        <v>367</v>
      </c>
      <c r="BW121" s="6">
        <v>364</v>
      </c>
      <c r="BX121" s="35">
        <f t="shared" si="38"/>
        <v>368</v>
      </c>
      <c r="BY121" s="6">
        <v>712</v>
      </c>
      <c r="BZ121" s="6"/>
      <c r="CA121" s="6">
        <f t="shared" si="39"/>
        <v>345</v>
      </c>
      <c r="CB121" s="6"/>
      <c r="CC121" s="6"/>
      <c r="CD121" s="6"/>
      <c r="CE121" s="6">
        <v>1082</v>
      </c>
      <c r="CF121" s="6"/>
      <c r="CG121" s="6">
        <f t="shared" si="40"/>
        <v>370</v>
      </c>
      <c r="CH121" s="6">
        <v>0</v>
      </c>
      <c r="CI121" s="6">
        <v>1362</v>
      </c>
      <c r="CJ121" s="6">
        <f t="shared" si="41"/>
        <v>280</v>
      </c>
      <c r="CK121" s="6">
        <v>333</v>
      </c>
      <c r="CL121" s="6"/>
      <c r="CM121" s="6">
        <f t="shared" si="42"/>
        <v>333</v>
      </c>
      <c r="CN121" s="6">
        <v>704</v>
      </c>
      <c r="CO121" s="6"/>
      <c r="CP121" s="6">
        <f t="shared" si="43"/>
        <v>371</v>
      </c>
      <c r="CQ121" s="6">
        <v>1071</v>
      </c>
      <c r="CR121" s="6"/>
      <c r="CS121" s="6">
        <f t="shared" si="44"/>
        <v>367</v>
      </c>
      <c r="CT121" s="6">
        <v>1409</v>
      </c>
      <c r="CU121" s="6"/>
      <c r="CV121" s="6">
        <f t="shared" si="45"/>
        <v>338</v>
      </c>
      <c r="CW121" s="6"/>
      <c r="CX121" s="6"/>
      <c r="CY121" s="6"/>
      <c r="CZ121" s="6">
        <v>216</v>
      </c>
      <c r="DA121" s="6">
        <v>1560</v>
      </c>
      <c r="DB121" s="6">
        <f t="shared" si="46"/>
        <v>367</v>
      </c>
      <c r="DC121" s="6">
        <v>583</v>
      </c>
      <c r="DD121" s="6"/>
      <c r="DE121" s="6">
        <f t="shared" si="47"/>
        <v>367</v>
      </c>
      <c r="DF121" s="6">
        <v>952</v>
      </c>
      <c r="DG121" s="6"/>
      <c r="DH121" s="6">
        <f t="shared" si="48"/>
        <v>369</v>
      </c>
      <c r="DI121" s="6">
        <v>17</v>
      </c>
      <c r="DJ121" s="6">
        <v>1295</v>
      </c>
      <c r="DK121" s="6">
        <f t="shared" si="49"/>
        <v>360</v>
      </c>
      <c r="DL121" s="6">
        <v>380</v>
      </c>
      <c r="DM121" s="6"/>
      <c r="DN121" s="6">
        <f t="shared" si="50"/>
        <v>363</v>
      </c>
      <c r="DO121" s="6">
        <v>707</v>
      </c>
      <c r="DP121" s="6"/>
      <c r="DQ121" s="6">
        <f t="shared" si="51"/>
        <v>327</v>
      </c>
    </row>
    <row r="122" spans="1:121">
      <c r="A122" s="6">
        <v>118</v>
      </c>
      <c r="B122" s="6">
        <v>555</v>
      </c>
      <c r="C122" s="6"/>
      <c r="D122" s="6">
        <v>370</v>
      </c>
      <c r="E122" s="33" t="s">
        <v>37</v>
      </c>
      <c r="F122" s="33" t="s">
        <v>37</v>
      </c>
      <c r="G122" s="33" t="s">
        <v>37</v>
      </c>
      <c r="H122" s="33" t="s">
        <v>37</v>
      </c>
      <c r="I122" s="33" t="s">
        <v>37</v>
      </c>
      <c r="J122" s="33" t="s">
        <v>37</v>
      </c>
      <c r="K122" s="33" t="s">
        <v>37</v>
      </c>
      <c r="L122" s="33" t="s">
        <v>37</v>
      </c>
      <c r="M122" s="33" t="s">
        <v>37</v>
      </c>
      <c r="N122" s="33" t="s">
        <v>37</v>
      </c>
      <c r="O122" s="33" t="s">
        <v>37</v>
      </c>
      <c r="P122" s="33" t="s">
        <v>37</v>
      </c>
      <c r="Q122" s="33" t="s">
        <v>37</v>
      </c>
      <c r="R122" s="33" t="s">
        <v>37</v>
      </c>
      <c r="S122" s="33" t="s">
        <v>37</v>
      </c>
      <c r="T122" s="33" t="s">
        <v>37</v>
      </c>
      <c r="U122" s="33" t="s">
        <v>37</v>
      </c>
      <c r="V122" s="148" t="s">
        <v>37</v>
      </c>
      <c r="W122" s="33" t="s">
        <v>37</v>
      </c>
      <c r="X122" s="33" t="s">
        <v>37</v>
      </c>
      <c r="Y122" s="33" t="s">
        <v>37</v>
      </c>
      <c r="Z122" s="33" t="s">
        <v>37</v>
      </c>
      <c r="AA122" s="33" t="s">
        <v>37</v>
      </c>
      <c r="AB122" s="33" t="s">
        <v>37</v>
      </c>
      <c r="AC122" s="33" t="s">
        <v>37</v>
      </c>
      <c r="AD122" s="33" t="s">
        <v>37</v>
      </c>
      <c r="AE122" s="33" t="s">
        <v>37</v>
      </c>
      <c r="AF122" s="6">
        <v>934</v>
      </c>
      <c r="AG122" s="6"/>
      <c r="AH122" s="35">
        <f t="shared" si="26"/>
        <v>379</v>
      </c>
      <c r="AI122" s="35">
        <v>10</v>
      </c>
      <c r="AJ122" s="35">
        <v>1275</v>
      </c>
      <c r="AK122" s="35">
        <f t="shared" si="27"/>
        <v>351</v>
      </c>
      <c r="AL122" s="6"/>
      <c r="AM122" s="6"/>
      <c r="AN122" s="35"/>
      <c r="AO122" s="6">
        <v>387</v>
      </c>
      <c r="AP122" s="6"/>
      <c r="AQ122" s="34">
        <f t="shared" si="28"/>
        <v>377</v>
      </c>
      <c r="AR122" s="35">
        <v>753</v>
      </c>
      <c r="AS122" s="35"/>
      <c r="AT122" s="35">
        <f t="shared" si="29"/>
        <v>366</v>
      </c>
      <c r="AU122" s="6">
        <v>1125</v>
      </c>
      <c r="AV122" s="6"/>
      <c r="AW122" s="35">
        <f t="shared" si="30"/>
        <v>372</v>
      </c>
      <c r="AX122" s="6">
        <v>14</v>
      </c>
      <c r="AY122" s="6">
        <v>1477</v>
      </c>
      <c r="AZ122" s="35">
        <f t="shared" si="31"/>
        <v>366</v>
      </c>
      <c r="BA122" s="35">
        <v>373</v>
      </c>
      <c r="BB122" s="35"/>
      <c r="BC122" s="35">
        <f t="shared" si="32"/>
        <v>359</v>
      </c>
      <c r="BD122" s="6">
        <v>734</v>
      </c>
      <c r="BE122" s="6"/>
      <c r="BF122" s="35">
        <f t="shared" si="33"/>
        <v>361</v>
      </c>
      <c r="BG122" s="6"/>
      <c r="BH122" s="6"/>
      <c r="BI122" s="6"/>
      <c r="BJ122" s="6">
        <v>228</v>
      </c>
      <c r="BK122" s="6">
        <v>874</v>
      </c>
      <c r="BL122" s="6">
        <f t="shared" si="34"/>
        <v>368</v>
      </c>
      <c r="BM122" s="6">
        <v>604</v>
      </c>
      <c r="BN122" s="6"/>
      <c r="BO122" s="6">
        <f t="shared" si="35"/>
        <v>376</v>
      </c>
      <c r="BP122" s="6">
        <v>979</v>
      </c>
      <c r="BQ122" s="6"/>
      <c r="BR122" s="35">
        <f t="shared" si="36"/>
        <v>375</v>
      </c>
      <c r="BS122" s="6">
        <v>1354</v>
      </c>
      <c r="BT122" s="6"/>
      <c r="BU122" s="6">
        <f t="shared" si="37"/>
        <v>375</v>
      </c>
      <c r="BV122" s="6">
        <v>170</v>
      </c>
      <c r="BW122" s="6">
        <v>1560</v>
      </c>
      <c r="BX122" s="35">
        <f t="shared" si="38"/>
        <v>376</v>
      </c>
      <c r="BY122" s="6">
        <v>533</v>
      </c>
      <c r="BZ122" s="6"/>
      <c r="CA122" s="6">
        <f t="shared" si="39"/>
        <v>363</v>
      </c>
      <c r="CB122" s="6"/>
      <c r="CC122" s="6"/>
      <c r="CD122" s="6"/>
      <c r="CE122" s="6">
        <v>911</v>
      </c>
      <c r="CF122" s="6"/>
      <c r="CG122" s="6">
        <f t="shared" si="40"/>
        <v>378</v>
      </c>
      <c r="CH122" s="6">
        <v>0</v>
      </c>
      <c r="CI122" s="6">
        <v>1042</v>
      </c>
      <c r="CJ122" s="6">
        <f t="shared" si="41"/>
        <v>131</v>
      </c>
      <c r="CK122" s="6">
        <v>346</v>
      </c>
      <c r="CL122" s="6"/>
      <c r="CM122" s="6">
        <f t="shared" si="42"/>
        <v>346</v>
      </c>
      <c r="CN122" s="6">
        <v>720</v>
      </c>
      <c r="CO122" s="6"/>
      <c r="CP122" s="6">
        <f t="shared" si="43"/>
        <v>374</v>
      </c>
      <c r="CQ122" s="6">
        <v>1085</v>
      </c>
      <c r="CR122" s="6"/>
      <c r="CS122" s="6">
        <f t="shared" si="44"/>
        <v>365</v>
      </c>
      <c r="CT122" s="6">
        <v>1431</v>
      </c>
      <c r="CU122" s="6"/>
      <c r="CV122" s="6">
        <f t="shared" si="45"/>
        <v>346</v>
      </c>
      <c r="CW122" s="6"/>
      <c r="CX122" s="6"/>
      <c r="CY122" s="6"/>
      <c r="CZ122" s="6">
        <v>240</v>
      </c>
      <c r="DA122" s="6">
        <v>1560</v>
      </c>
      <c r="DB122" s="6">
        <f t="shared" si="46"/>
        <v>369</v>
      </c>
      <c r="DC122" s="6">
        <v>607</v>
      </c>
      <c r="DD122" s="6"/>
      <c r="DE122" s="6">
        <f t="shared" si="47"/>
        <v>367</v>
      </c>
      <c r="DF122" s="6">
        <v>975</v>
      </c>
      <c r="DG122" s="6"/>
      <c r="DH122" s="6">
        <f t="shared" si="48"/>
        <v>368</v>
      </c>
      <c r="DI122" s="6">
        <v>1343</v>
      </c>
      <c r="DJ122" s="6"/>
      <c r="DK122" s="6">
        <f t="shared" si="49"/>
        <v>368</v>
      </c>
      <c r="DL122" s="6">
        <v>149</v>
      </c>
      <c r="DM122" s="6">
        <v>1560</v>
      </c>
      <c r="DN122" s="6">
        <f t="shared" si="50"/>
        <v>366</v>
      </c>
      <c r="DO122" s="6">
        <v>481</v>
      </c>
      <c r="DP122" s="6"/>
      <c r="DQ122" s="6">
        <f t="shared" si="51"/>
        <v>332</v>
      </c>
    </row>
    <row r="123" spans="1:121">
      <c r="A123" s="6">
        <v>119</v>
      </c>
      <c r="B123" s="6">
        <v>647</v>
      </c>
      <c r="C123" s="6"/>
      <c r="D123" s="6">
        <v>368</v>
      </c>
      <c r="E123" s="33" t="s">
        <v>37</v>
      </c>
      <c r="F123" s="33" t="s">
        <v>37</v>
      </c>
      <c r="G123" s="33" t="s">
        <v>37</v>
      </c>
      <c r="H123" s="33" t="s">
        <v>37</v>
      </c>
      <c r="I123" s="33" t="s">
        <v>37</v>
      </c>
      <c r="J123" s="33" t="s">
        <v>37</v>
      </c>
      <c r="K123" s="33" t="s">
        <v>37</v>
      </c>
      <c r="L123" s="33" t="s">
        <v>37</v>
      </c>
      <c r="M123" s="33" t="s">
        <v>37</v>
      </c>
      <c r="N123" s="33" t="s">
        <v>37</v>
      </c>
      <c r="O123" s="33" t="s">
        <v>37</v>
      </c>
      <c r="P123" s="33" t="s">
        <v>37</v>
      </c>
      <c r="Q123" s="33" t="s">
        <v>37</v>
      </c>
      <c r="R123" s="33" t="s">
        <v>37</v>
      </c>
      <c r="S123" s="33" t="s">
        <v>37</v>
      </c>
      <c r="T123" s="33" t="s">
        <v>37</v>
      </c>
      <c r="U123" s="33" t="s">
        <v>37</v>
      </c>
      <c r="V123" s="33" t="s">
        <v>37</v>
      </c>
      <c r="W123" s="33" t="s">
        <v>37</v>
      </c>
      <c r="X123" s="33" t="s">
        <v>37</v>
      </c>
      <c r="Y123" s="33" t="s">
        <v>37</v>
      </c>
      <c r="Z123" s="33" t="s">
        <v>37</v>
      </c>
      <c r="AA123" s="33" t="s">
        <v>37</v>
      </c>
      <c r="AB123" s="148" t="s">
        <v>37</v>
      </c>
      <c r="AC123" s="33" t="s">
        <v>37</v>
      </c>
      <c r="AD123" s="33" t="s">
        <v>37</v>
      </c>
      <c r="AE123" s="33" t="s">
        <v>37</v>
      </c>
      <c r="AF123" s="35">
        <v>1025</v>
      </c>
      <c r="AG123" s="35"/>
      <c r="AH123" s="35">
        <f t="shared" si="26"/>
        <v>378</v>
      </c>
      <c r="AI123" s="35">
        <v>1361</v>
      </c>
      <c r="AJ123" s="35"/>
      <c r="AK123" s="35">
        <f t="shared" si="27"/>
        <v>336</v>
      </c>
      <c r="AL123" s="35"/>
      <c r="AM123" s="35"/>
      <c r="AN123" s="35"/>
      <c r="AO123" s="6">
        <v>165</v>
      </c>
      <c r="AP123" s="35">
        <v>1560</v>
      </c>
      <c r="AQ123" s="34">
        <f t="shared" si="28"/>
        <v>364</v>
      </c>
      <c r="AR123" s="35">
        <v>543</v>
      </c>
      <c r="AS123" s="35"/>
      <c r="AT123" s="35">
        <f t="shared" si="29"/>
        <v>378</v>
      </c>
      <c r="AU123" s="6">
        <v>916</v>
      </c>
      <c r="AV123" s="6"/>
      <c r="AW123" s="35">
        <f t="shared" si="30"/>
        <v>373</v>
      </c>
      <c r="AX123" s="6">
        <v>1287</v>
      </c>
      <c r="AY123" s="6"/>
      <c r="AZ123" s="35">
        <f t="shared" si="31"/>
        <v>371</v>
      </c>
      <c r="BA123" s="6">
        <v>95</v>
      </c>
      <c r="BB123" s="6">
        <v>1560</v>
      </c>
      <c r="BC123" s="35">
        <f t="shared" si="32"/>
        <v>368</v>
      </c>
      <c r="BD123" s="6">
        <v>456</v>
      </c>
      <c r="BE123" s="6"/>
      <c r="BF123" s="35">
        <f t="shared" si="33"/>
        <v>361</v>
      </c>
      <c r="BG123" s="6"/>
      <c r="BH123" s="6"/>
      <c r="BI123" s="35"/>
      <c r="BJ123" s="6">
        <v>831</v>
      </c>
      <c r="BK123" s="35"/>
      <c r="BL123" s="6">
        <f t="shared" si="34"/>
        <v>375</v>
      </c>
      <c r="BM123" s="6">
        <v>142</v>
      </c>
      <c r="BN123" s="6">
        <v>1058</v>
      </c>
      <c r="BO123" s="6">
        <f t="shared" si="35"/>
        <v>369</v>
      </c>
      <c r="BP123" s="6">
        <v>517</v>
      </c>
      <c r="BQ123" s="6"/>
      <c r="BR123" s="35">
        <f t="shared" si="36"/>
        <v>375</v>
      </c>
      <c r="BS123" s="6">
        <v>890</v>
      </c>
      <c r="BT123" s="6"/>
      <c r="BU123" s="6">
        <f t="shared" si="37"/>
        <v>373</v>
      </c>
      <c r="BV123" s="6">
        <v>1263</v>
      </c>
      <c r="BW123" s="6"/>
      <c r="BX123" s="35">
        <f t="shared" si="38"/>
        <v>373</v>
      </c>
      <c r="BY123" s="6">
        <v>14</v>
      </c>
      <c r="BZ123" s="35">
        <v>1585</v>
      </c>
      <c r="CA123" s="6">
        <f t="shared" si="39"/>
        <v>336</v>
      </c>
      <c r="CB123" s="6"/>
      <c r="CC123" s="6"/>
      <c r="CD123" s="35"/>
      <c r="CE123" s="6">
        <v>379</v>
      </c>
      <c r="CF123" s="35"/>
      <c r="CG123" s="6">
        <f t="shared" si="40"/>
        <v>365</v>
      </c>
      <c r="CH123" s="6">
        <v>755</v>
      </c>
      <c r="CI123" s="6"/>
      <c r="CJ123" s="6">
        <f t="shared" si="41"/>
        <v>376</v>
      </c>
      <c r="CK123" s="6">
        <v>1129</v>
      </c>
      <c r="CL123" s="6"/>
      <c r="CM123" s="6">
        <f t="shared" si="42"/>
        <v>374</v>
      </c>
      <c r="CN123" s="6">
        <v>1506</v>
      </c>
      <c r="CO123" s="6"/>
      <c r="CP123" s="6">
        <f t="shared" si="43"/>
        <v>377</v>
      </c>
      <c r="CQ123" s="6">
        <v>318</v>
      </c>
      <c r="CR123" s="6">
        <v>1560</v>
      </c>
      <c r="CS123" s="6">
        <f t="shared" si="44"/>
        <v>372</v>
      </c>
      <c r="CT123" s="6">
        <v>0</v>
      </c>
      <c r="CU123" s="6">
        <v>516</v>
      </c>
      <c r="CV123" s="6">
        <f t="shared" si="45"/>
        <v>198</v>
      </c>
      <c r="CW123" s="6"/>
      <c r="CX123" s="6"/>
      <c r="CY123" s="6"/>
      <c r="CZ123" s="6">
        <v>0</v>
      </c>
      <c r="DA123" s="6"/>
      <c r="DB123" s="6">
        <f t="shared" si="46"/>
        <v>0</v>
      </c>
      <c r="DC123" s="6">
        <v>0</v>
      </c>
      <c r="DD123" s="6"/>
      <c r="DE123" s="6">
        <f t="shared" si="47"/>
        <v>0</v>
      </c>
      <c r="DF123" s="6">
        <v>271</v>
      </c>
      <c r="DG123" s="6"/>
      <c r="DH123" s="6">
        <f t="shared" si="48"/>
        <v>271</v>
      </c>
      <c r="DI123" s="6">
        <v>635</v>
      </c>
      <c r="DJ123" s="6"/>
      <c r="DK123" s="6">
        <f t="shared" si="49"/>
        <v>364</v>
      </c>
      <c r="DL123" s="6">
        <v>1006</v>
      </c>
      <c r="DM123" s="6"/>
      <c r="DN123" s="6">
        <f t="shared" si="50"/>
        <v>371</v>
      </c>
      <c r="DO123" s="6">
        <v>1335</v>
      </c>
      <c r="DP123" s="6"/>
      <c r="DQ123" s="6">
        <f t="shared" si="51"/>
        <v>329</v>
      </c>
    </row>
    <row r="124" spans="1:121">
      <c r="A124" s="6">
        <v>120</v>
      </c>
      <c r="B124" s="6">
        <v>1463</v>
      </c>
      <c r="C124" s="6"/>
      <c r="D124" s="6">
        <v>377</v>
      </c>
      <c r="E124" s="33" t="s">
        <v>37</v>
      </c>
      <c r="F124" s="33" t="s">
        <v>37</v>
      </c>
      <c r="G124" s="33" t="s">
        <v>37</v>
      </c>
      <c r="H124" s="33" t="s">
        <v>37</v>
      </c>
      <c r="I124" s="33" t="s">
        <v>37</v>
      </c>
      <c r="J124" s="33" t="s">
        <v>37</v>
      </c>
      <c r="K124" s="33" t="s">
        <v>37</v>
      </c>
      <c r="L124" s="33" t="s">
        <v>37</v>
      </c>
      <c r="M124" s="33" t="s">
        <v>37</v>
      </c>
      <c r="N124" s="33" t="s">
        <v>37</v>
      </c>
      <c r="O124" s="33" t="s">
        <v>37</v>
      </c>
      <c r="P124" s="33" t="s">
        <v>37</v>
      </c>
      <c r="Q124" s="33" t="s">
        <v>37</v>
      </c>
      <c r="R124" s="33" t="s">
        <v>37</v>
      </c>
      <c r="S124" s="33" t="s">
        <v>37</v>
      </c>
      <c r="T124" s="33" t="s">
        <v>37</v>
      </c>
      <c r="U124" s="33" t="s">
        <v>37</v>
      </c>
      <c r="V124" s="33" t="s">
        <v>37</v>
      </c>
      <c r="W124" s="33" t="s">
        <v>37</v>
      </c>
      <c r="X124" s="148" t="s">
        <v>37</v>
      </c>
      <c r="Y124" s="33" t="s">
        <v>37</v>
      </c>
      <c r="Z124" s="33" t="s">
        <v>37</v>
      </c>
      <c r="AA124" s="33" t="s">
        <v>37</v>
      </c>
      <c r="AB124" s="33" t="s">
        <v>37</v>
      </c>
      <c r="AC124" s="33" t="s">
        <v>37</v>
      </c>
      <c r="AD124" s="33" t="s">
        <v>37</v>
      </c>
      <c r="AE124" s="33" t="s">
        <v>37</v>
      </c>
      <c r="AF124" s="6">
        <v>293</v>
      </c>
      <c r="AG124" s="6">
        <v>1560</v>
      </c>
      <c r="AH124" s="35">
        <f t="shared" si="26"/>
        <v>390</v>
      </c>
      <c r="AI124" s="35">
        <v>651</v>
      </c>
      <c r="AJ124" s="35"/>
      <c r="AK124" s="35">
        <f t="shared" si="27"/>
        <v>358</v>
      </c>
      <c r="AL124" s="6"/>
      <c r="AM124" s="6"/>
      <c r="AN124" s="35"/>
      <c r="AO124" s="6">
        <v>1025</v>
      </c>
      <c r="AP124" s="6"/>
      <c r="AQ124" s="34">
        <f t="shared" si="28"/>
        <v>374</v>
      </c>
      <c r="AR124" s="35">
        <v>1405</v>
      </c>
      <c r="AS124" s="35"/>
      <c r="AT124" s="35">
        <f t="shared" si="29"/>
        <v>380</v>
      </c>
      <c r="AU124" s="6">
        <v>217</v>
      </c>
      <c r="AV124" s="6">
        <v>1560</v>
      </c>
      <c r="AW124" s="35">
        <f t="shared" si="30"/>
        <v>372</v>
      </c>
      <c r="AX124" s="6">
        <v>593</v>
      </c>
      <c r="AY124" s="6"/>
      <c r="AZ124" s="35">
        <f t="shared" si="31"/>
        <v>376</v>
      </c>
      <c r="BA124" s="35">
        <v>967</v>
      </c>
      <c r="BB124" s="35"/>
      <c r="BC124" s="35">
        <f t="shared" si="32"/>
        <v>374</v>
      </c>
      <c r="BD124" s="6">
        <v>1323</v>
      </c>
      <c r="BE124" s="6"/>
      <c r="BF124" s="35">
        <f t="shared" si="33"/>
        <v>356</v>
      </c>
      <c r="BG124" s="6"/>
      <c r="BH124" s="6"/>
      <c r="BI124" s="6"/>
      <c r="BJ124" s="6">
        <v>134</v>
      </c>
      <c r="BK124" s="6">
        <v>1560</v>
      </c>
      <c r="BL124" s="6">
        <f t="shared" si="34"/>
        <v>371</v>
      </c>
      <c r="BM124" s="6">
        <v>508</v>
      </c>
      <c r="BN124" s="6"/>
      <c r="BO124" s="6">
        <f t="shared" si="35"/>
        <v>374</v>
      </c>
      <c r="BP124" s="6">
        <v>883</v>
      </c>
      <c r="BQ124" s="6"/>
      <c r="BR124" s="35">
        <f t="shared" si="36"/>
        <v>375</v>
      </c>
      <c r="BS124" s="6">
        <v>1258</v>
      </c>
      <c r="BT124" s="6"/>
      <c r="BU124" s="6">
        <f t="shared" si="37"/>
        <v>375</v>
      </c>
      <c r="BV124" s="6">
        <v>55</v>
      </c>
      <c r="BW124" s="6">
        <v>1560</v>
      </c>
      <c r="BX124" s="35">
        <f t="shared" si="38"/>
        <v>357</v>
      </c>
      <c r="BY124" s="6">
        <v>404</v>
      </c>
      <c r="BZ124" s="6"/>
      <c r="CA124" s="6">
        <f t="shared" si="39"/>
        <v>349</v>
      </c>
      <c r="CB124" s="6"/>
      <c r="CC124" s="6"/>
      <c r="CD124" s="6"/>
      <c r="CE124" s="6">
        <v>768</v>
      </c>
      <c r="CF124" s="6"/>
      <c r="CG124" s="6">
        <f t="shared" si="40"/>
        <v>364</v>
      </c>
      <c r="CH124" s="6">
        <v>1145</v>
      </c>
      <c r="CI124" s="6"/>
      <c r="CJ124" s="6">
        <f t="shared" si="41"/>
        <v>377</v>
      </c>
      <c r="CK124" s="6">
        <v>303</v>
      </c>
      <c r="CL124" s="6">
        <v>1186</v>
      </c>
      <c r="CM124" s="6">
        <f t="shared" si="42"/>
        <v>344</v>
      </c>
      <c r="CN124" s="6">
        <v>0</v>
      </c>
      <c r="CO124" s="6">
        <v>421</v>
      </c>
      <c r="CP124" s="6">
        <f t="shared" si="43"/>
        <v>118</v>
      </c>
      <c r="CQ124" s="6">
        <v>241</v>
      </c>
      <c r="CR124" s="6"/>
      <c r="CS124" s="6">
        <f t="shared" si="44"/>
        <v>241</v>
      </c>
      <c r="CT124" s="6">
        <v>32</v>
      </c>
      <c r="CU124" s="6">
        <v>547</v>
      </c>
      <c r="CV124" s="6">
        <f t="shared" si="45"/>
        <v>338</v>
      </c>
      <c r="CW124" s="6"/>
      <c r="CX124" s="6"/>
      <c r="CY124" s="6"/>
      <c r="CZ124" s="6">
        <v>397</v>
      </c>
      <c r="DA124" s="6"/>
      <c r="DB124" s="6">
        <f t="shared" si="46"/>
        <v>365</v>
      </c>
      <c r="DC124" s="6">
        <v>762</v>
      </c>
      <c r="DD124" s="6"/>
      <c r="DE124" s="6">
        <f t="shared" si="47"/>
        <v>365</v>
      </c>
      <c r="DF124" s="6">
        <v>1138</v>
      </c>
      <c r="DG124" s="6"/>
      <c r="DH124" s="6">
        <f t="shared" si="48"/>
        <v>376</v>
      </c>
      <c r="DI124" s="6">
        <v>1515</v>
      </c>
      <c r="DJ124" s="6"/>
      <c r="DK124" s="6">
        <f t="shared" si="49"/>
        <v>377</v>
      </c>
      <c r="DL124" s="6">
        <v>328</v>
      </c>
      <c r="DM124" s="6">
        <v>1560</v>
      </c>
      <c r="DN124" s="6">
        <f t="shared" si="50"/>
        <v>373</v>
      </c>
      <c r="DO124" s="6">
        <v>667</v>
      </c>
      <c r="DP124" s="6"/>
      <c r="DQ124" s="6">
        <f t="shared" si="51"/>
        <v>339</v>
      </c>
    </row>
    <row r="125" spans="1:121">
      <c r="A125" s="6">
        <v>121</v>
      </c>
      <c r="B125" s="6">
        <v>632</v>
      </c>
      <c r="C125" s="6"/>
      <c r="D125" s="6">
        <v>373</v>
      </c>
      <c r="E125" s="33" t="s">
        <v>37</v>
      </c>
      <c r="F125" s="33" t="s">
        <v>37</v>
      </c>
      <c r="G125" s="33" t="s">
        <v>37</v>
      </c>
      <c r="H125" s="33" t="s">
        <v>37</v>
      </c>
      <c r="I125" s="33" t="s">
        <v>37</v>
      </c>
      <c r="J125" s="33" t="s">
        <v>37</v>
      </c>
      <c r="K125" s="148" t="s">
        <v>69</v>
      </c>
      <c r="L125" s="33" t="s">
        <v>69</v>
      </c>
      <c r="M125" s="33" t="s">
        <v>69</v>
      </c>
      <c r="N125" s="33" t="s">
        <v>69</v>
      </c>
      <c r="O125" s="33" t="s">
        <v>69</v>
      </c>
      <c r="P125" s="33" t="s">
        <v>69</v>
      </c>
      <c r="Q125" s="33" t="s">
        <v>69</v>
      </c>
      <c r="R125" s="33" t="s">
        <v>69</v>
      </c>
      <c r="S125" s="33" t="s">
        <v>69</v>
      </c>
      <c r="T125" s="33" t="s">
        <v>69</v>
      </c>
      <c r="U125" s="33" t="s">
        <v>69</v>
      </c>
      <c r="V125" s="33" t="s">
        <v>69</v>
      </c>
      <c r="W125" s="33" t="s">
        <v>69</v>
      </c>
      <c r="X125" s="33" t="s">
        <v>69</v>
      </c>
      <c r="Y125" s="33" t="s">
        <v>69</v>
      </c>
      <c r="Z125" s="33" t="s">
        <v>69</v>
      </c>
      <c r="AA125" s="33" t="s">
        <v>69</v>
      </c>
      <c r="AB125" s="33" t="s">
        <v>69</v>
      </c>
      <c r="AC125" s="33" t="s">
        <v>69</v>
      </c>
      <c r="AD125" s="33" t="s">
        <v>69</v>
      </c>
      <c r="AE125" s="33" t="s">
        <v>69</v>
      </c>
      <c r="AF125" s="6">
        <v>1010</v>
      </c>
      <c r="AG125" s="6"/>
      <c r="AH125" s="35">
        <f t="shared" si="26"/>
        <v>378</v>
      </c>
      <c r="AI125" s="35">
        <v>1361</v>
      </c>
      <c r="AJ125" s="35"/>
      <c r="AK125" s="35">
        <f t="shared" si="27"/>
        <v>351</v>
      </c>
      <c r="AL125" s="6"/>
      <c r="AM125" s="6"/>
      <c r="AN125" s="35"/>
      <c r="AO125" s="6">
        <v>141</v>
      </c>
      <c r="AP125" s="6">
        <v>1594</v>
      </c>
      <c r="AQ125" s="34">
        <f t="shared" si="28"/>
        <v>374</v>
      </c>
      <c r="AR125" s="35">
        <v>508</v>
      </c>
      <c r="AS125" s="35"/>
      <c r="AT125" s="35">
        <f t="shared" si="29"/>
        <v>367</v>
      </c>
      <c r="AU125" s="6">
        <v>870</v>
      </c>
      <c r="AV125" s="6"/>
      <c r="AW125" s="35">
        <f t="shared" si="30"/>
        <v>362</v>
      </c>
      <c r="AX125" s="6">
        <v>298</v>
      </c>
      <c r="AY125" s="6">
        <v>916</v>
      </c>
      <c r="AZ125" s="35">
        <f t="shared" si="31"/>
        <v>344</v>
      </c>
      <c r="BA125" s="35">
        <v>677</v>
      </c>
      <c r="BB125" s="35"/>
      <c r="BC125" s="35">
        <f t="shared" si="32"/>
        <v>379</v>
      </c>
      <c r="BD125" s="6">
        <v>1042</v>
      </c>
      <c r="BE125" s="6"/>
      <c r="BF125" s="35">
        <f t="shared" si="33"/>
        <v>365</v>
      </c>
      <c r="BG125" s="6"/>
      <c r="BH125" s="6"/>
      <c r="BI125" s="6"/>
      <c r="BJ125" s="6">
        <v>1420</v>
      </c>
      <c r="BK125" s="6"/>
      <c r="BL125" s="6">
        <f t="shared" si="34"/>
        <v>378</v>
      </c>
      <c r="BM125" s="6">
        <v>236</v>
      </c>
      <c r="BN125" s="6">
        <v>1560</v>
      </c>
      <c r="BO125" s="6">
        <f t="shared" si="35"/>
        <v>376</v>
      </c>
      <c r="BP125" s="6">
        <v>612</v>
      </c>
      <c r="BQ125" s="6"/>
      <c r="BR125" s="35">
        <f t="shared" si="36"/>
        <v>376</v>
      </c>
      <c r="BS125" s="6">
        <v>972</v>
      </c>
      <c r="BT125" s="6"/>
      <c r="BU125" s="6">
        <f t="shared" si="37"/>
        <v>360</v>
      </c>
      <c r="BV125" s="6">
        <v>1353</v>
      </c>
      <c r="BW125" s="6"/>
      <c r="BX125" s="35">
        <f t="shared" si="38"/>
        <v>381</v>
      </c>
      <c r="BY125" s="6">
        <v>147</v>
      </c>
      <c r="BZ125" s="6">
        <v>1560</v>
      </c>
      <c r="CA125" s="6">
        <f t="shared" si="39"/>
        <v>354</v>
      </c>
      <c r="CB125" s="6"/>
      <c r="CC125" s="6"/>
      <c r="CD125" s="6"/>
      <c r="CE125" s="6">
        <v>515</v>
      </c>
      <c r="CF125" s="6"/>
      <c r="CG125" s="6">
        <f t="shared" si="40"/>
        <v>368</v>
      </c>
      <c r="CH125" s="6">
        <v>896</v>
      </c>
      <c r="CI125" s="6"/>
      <c r="CJ125" s="6">
        <f t="shared" si="41"/>
        <v>381</v>
      </c>
      <c r="CK125" s="6">
        <v>1272</v>
      </c>
      <c r="CL125" s="6"/>
      <c r="CM125" s="6">
        <f t="shared" si="42"/>
        <v>376</v>
      </c>
      <c r="CN125" s="6">
        <v>84</v>
      </c>
      <c r="CO125" s="6">
        <v>1560</v>
      </c>
      <c r="CP125" s="6">
        <f t="shared" si="43"/>
        <v>372</v>
      </c>
      <c r="CQ125" s="6">
        <v>434</v>
      </c>
      <c r="CR125" s="6"/>
      <c r="CS125" s="6">
        <f t="shared" si="44"/>
        <v>350</v>
      </c>
      <c r="CT125" s="6">
        <v>775</v>
      </c>
      <c r="CU125" s="6"/>
      <c r="CV125" s="6">
        <f t="shared" si="45"/>
        <v>341</v>
      </c>
      <c r="CW125" s="6"/>
      <c r="CX125" s="6"/>
      <c r="CY125" s="6"/>
      <c r="CZ125" s="6">
        <v>1143</v>
      </c>
      <c r="DA125" s="6"/>
      <c r="DB125" s="6">
        <f t="shared" si="46"/>
        <v>368</v>
      </c>
      <c r="DC125" s="6">
        <v>1511</v>
      </c>
      <c r="DD125" s="6"/>
      <c r="DE125" s="6">
        <f t="shared" si="47"/>
        <v>368</v>
      </c>
      <c r="DF125" s="6">
        <v>325</v>
      </c>
      <c r="DG125" s="6">
        <v>1560</v>
      </c>
      <c r="DH125" s="6">
        <f t="shared" si="48"/>
        <v>374</v>
      </c>
      <c r="DI125" s="6">
        <v>700</v>
      </c>
      <c r="DJ125" s="6"/>
      <c r="DK125" s="6">
        <f t="shared" si="49"/>
        <v>375</v>
      </c>
      <c r="DL125" s="6">
        <v>1074</v>
      </c>
      <c r="DM125" s="6"/>
      <c r="DN125" s="6">
        <f t="shared" si="50"/>
        <v>374</v>
      </c>
      <c r="DO125" s="6">
        <v>1412</v>
      </c>
      <c r="DP125" s="6"/>
      <c r="DQ125" s="6">
        <f t="shared" si="51"/>
        <v>338</v>
      </c>
    </row>
    <row r="126" spans="1:121">
      <c r="A126" s="6">
        <v>122</v>
      </c>
      <c r="B126" s="6">
        <v>44</v>
      </c>
      <c r="C126" s="6">
        <v>1200</v>
      </c>
      <c r="D126" s="6">
        <v>333</v>
      </c>
      <c r="E126" s="33" t="s">
        <v>98</v>
      </c>
      <c r="F126" s="33" t="s">
        <v>98</v>
      </c>
      <c r="G126" s="33" t="s">
        <v>98</v>
      </c>
      <c r="H126" s="33" t="s">
        <v>98</v>
      </c>
      <c r="I126" s="33" t="s">
        <v>98</v>
      </c>
      <c r="J126" s="33" t="s">
        <v>98</v>
      </c>
      <c r="K126" s="33" t="s">
        <v>98</v>
      </c>
      <c r="L126" s="33" t="s">
        <v>98</v>
      </c>
      <c r="M126" s="33" t="s">
        <v>98</v>
      </c>
      <c r="N126" s="33" t="s">
        <v>98</v>
      </c>
      <c r="O126" s="33" t="s">
        <v>98</v>
      </c>
      <c r="P126" s="33" t="s">
        <v>98</v>
      </c>
      <c r="Q126" s="33" t="s">
        <v>98</v>
      </c>
      <c r="R126" s="148" t="s">
        <v>69</v>
      </c>
      <c r="S126" s="33" t="s">
        <v>69</v>
      </c>
      <c r="T126" s="33" t="s">
        <v>69</v>
      </c>
      <c r="U126" s="33" t="s">
        <v>69</v>
      </c>
      <c r="V126" s="33" t="s">
        <v>69</v>
      </c>
      <c r="W126" s="33" t="s">
        <v>69</v>
      </c>
      <c r="X126" s="33" t="s">
        <v>69</v>
      </c>
      <c r="Y126" s="33" t="s">
        <v>69</v>
      </c>
      <c r="Z126" s="33" t="s">
        <v>69</v>
      </c>
      <c r="AA126" s="33" t="s">
        <v>69</v>
      </c>
      <c r="AB126" s="33" t="s">
        <v>69</v>
      </c>
      <c r="AC126" s="33" t="s">
        <v>69</v>
      </c>
      <c r="AD126" s="33" t="s">
        <v>69</v>
      </c>
      <c r="AE126" s="33" t="s">
        <v>69</v>
      </c>
      <c r="AF126" s="6">
        <v>393</v>
      </c>
      <c r="AG126" s="6"/>
      <c r="AH126" s="35">
        <f t="shared" si="26"/>
        <v>349</v>
      </c>
      <c r="AI126" s="35">
        <v>713</v>
      </c>
      <c r="AJ126" s="35"/>
      <c r="AK126" s="35">
        <f t="shared" si="27"/>
        <v>320</v>
      </c>
      <c r="AL126" s="6"/>
      <c r="AM126" s="6"/>
      <c r="AN126" s="35"/>
      <c r="AO126" s="6">
        <v>1061</v>
      </c>
      <c r="AP126" s="6"/>
      <c r="AQ126" s="34">
        <f t="shared" si="28"/>
        <v>348</v>
      </c>
      <c r="AR126" s="35">
        <v>209</v>
      </c>
      <c r="AS126" s="35">
        <v>1200</v>
      </c>
      <c r="AT126" s="35">
        <f t="shared" si="29"/>
        <v>348</v>
      </c>
      <c r="AU126" s="6">
        <v>556</v>
      </c>
      <c r="AV126" s="6"/>
      <c r="AW126" s="35">
        <f t="shared" si="30"/>
        <v>347</v>
      </c>
      <c r="AX126" s="6">
        <v>746</v>
      </c>
      <c r="AY126" s="6"/>
      <c r="AZ126" s="35">
        <f t="shared" si="31"/>
        <v>190</v>
      </c>
      <c r="BA126" s="35">
        <v>1095</v>
      </c>
      <c r="BB126" s="35"/>
      <c r="BC126" s="35">
        <f t="shared" si="32"/>
        <v>349</v>
      </c>
      <c r="BD126" s="6">
        <v>0</v>
      </c>
      <c r="BE126" s="6">
        <v>1121</v>
      </c>
      <c r="BF126" s="35">
        <f t="shared" si="33"/>
        <v>26</v>
      </c>
      <c r="BG126" s="6"/>
      <c r="BH126" s="6"/>
      <c r="BI126" s="6"/>
      <c r="BJ126" s="6">
        <v>0</v>
      </c>
      <c r="BK126" s="6"/>
      <c r="BL126" s="6">
        <f t="shared" si="34"/>
        <v>0</v>
      </c>
      <c r="BM126" s="6">
        <v>0</v>
      </c>
      <c r="BN126" s="6"/>
      <c r="BO126" s="6">
        <f t="shared" si="35"/>
        <v>0</v>
      </c>
      <c r="BP126" s="6">
        <v>0</v>
      </c>
      <c r="BQ126" s="6"/>
      <c r="BR126" s="35">
        <f t="shared" si="36"/>
        <v>0</v>
      </c>
      <c r="BS126" s="6">
        <v>0</v>
      </c>
      <c r="BT126" s="6"/>
      <c r="BU126" s="6">
        <f t="shared" si="37"/>
        <v>0</v>
      </c>
      <c r="BV126" s="6">
        <v>0</v>
      </c>
      <c r="BW126" s="6"/>
      <c r="BX126" s="35">
        <f t="shared" si="38"/>
        <v>0</v>
      </c>
      <c r="BY126" s="6">
        <v>0</v>
      </c>
      <c r="BZ126" s="6"/>
      <c r="CA126" s="6">
        <f t="shared" si="39"/>
        <v>0</v>
      </c>
      <c r="CB126" s="6"/>
      <c r="CC126" s="6"/>
      <c r="CD126" s="6"/>
      <c r="CE126" s="6">
        <v>219</v>
      </c>
      <c r="CF126" s="6"/>
      <c r="CG126" s="6">
        <f t="shared" si="40"/>
        <v>219</v>
      </c>
      <c r="CH126" s="6">
        <v>589</v>
      </c>
      <c r="CI126" s="6"/>
      <c r="CJ126" s="6">
        <f t="shared" si="41"/>
        <v>370</v>
      </c>
      <c r="CK126" s="6">
        <v>957</v>
      </c>
      <c r="CL126" s="6"/>
      <c r="CM126" s="6">
        <f t="shared" si="42"/>
        <v>368</v>
      </c>
      <c r="CN126" s="6">
        <v>1325</v>
      </c>
      <c r="CO126" s="6"/>
      <c r="CP126" s="6">
        <f t="shared" si="43"/>
        <v>368</v>
      </c>
      <c r="CQ126" s="6">
        <v>133</v>
      </c>
      <c r="CR126" s="6">
        <v>1560</v>
      </c>
      <c r="CS126" s="6">
        <f t="shared" si="44"/>
        <v>368</v>
      </c>
      <c r="CT126" s="6">
        <v>482</v>
      </c>
      <c r="CU126" s="6"/>
      <c r="CV126" s="6">
        <f t="shared" si="45"/>
        <v>349</v>
      </c>
      <c r="CW126" s="6"/>
      <c r="CX126" s="6"/>
      <c r="CY126" s="6"/>
      <c r="CZ126" s="6">
        <v>852</v>
      </c>
      <c r="DA126" s="6"/>
      <c r="DB126" s="6">
        <f t="shared" si="46"/>
        <v>370</v>
      </c>
      <c r="DC126" s="6">
        <v>1219</v>
      </c>
      <c r="DD126" s="6"/>
      <c r="DE126" s="6">
        <f t="shared" si="47"/>
        <v>367</v>
      </c>
      <c r="DF126" s="6">
        <v>21</v>
      </c>
      <c r="DG126" s="6">
        <v>1560</v>
      </c>
      <c r="DH126" s="6">
        <f t="shared" si="48"/>
        <v>362</v>
      </c>
      <c r="DI126" s="6">
        <v>392</v>
      </c>
      <c r="DJ126" s="6"/>
      <c r="DK126" s="6">
        <f t="shared" si="49"/>
        <v>371</v>
      </c>
      <c r="DL126" s="6">
        <v>763</v>
      </c>
      <c r="DM126" s="6"/>
      <c r="DN126" s="6">
        <f t="shared" si="50"/>
        <v>371</v>
      </c>
      <c r="DO126" s="6">
        <v>1096</v>
      </c>
      <c r="DP126" s="6"/>
      <c r="DQ126" s="6">
        <f t="shared" si="51"/>
        <v>333</v>
      </c>
    </row>
    <row r="127" spans="1:121">
      <c r="A127" s="6">
        <v>123</v>
      </c>
      <c r="B127" s="6">
        <v>237</v>
      </c>
      <c r="C127" s="6"/>
      <c r="D127" s="6">
        <v>0</v>
      </c>
      <c r="E127" s="33" t="s">
        <v>102</v>
      </c>
      <c r="F127" s="33" t="s">
        <v>102</v>
      </c>
      <c r="G127" s="33" t="s">
        <v>102</v>
      </c>
      <c r="H127" s="33" t="s">
        <v>102</v>
      </c>
      <c r="I127" s="33" t="s">
        <v>102</v>
      </c>
      <c r="J127" s="33" t="s">
        <v>102</v>
      </c>
      <c r="K127" s="33" t="s">
        <v>102</v>
      </c>
      <c r="L127" s="33" t="s">
        <v>102</v>
      </c>
      <c r="M127" s="33" t="s">
        <v>102</v>
      </c>
      <c r="N127" s="33" t="s">
        <v>102</v>
      </c>
      <c r="O127" s="33" t="s">
        <v>102</v>
      </c>
      <c r="P127" s="33" t="s">
        <v>102</v>
      </c>
      <c r="Q127" s="33" t="s">
        <v>102</v>
      </c>
      <c r="R127" s="33" t="s">
        <v>102</v>
      </c>
      <c r="S127" s="33" t="s">
        <v>102</v>
      </c>
      <c r="T127" s="33" t="s">
        <v>102</v>
      </c>
      <c r="U127" s="33" t="s">
        <v>102</v>
      </c>
      <c r="V127" s="33" t="s">
        <v>102</v>
      </c>
      <c r="W127" s="33" t="s">
        <v>102</v>
      </c>
      <c r="X127" s="33" t="s">
        <v>102</v>
      </c>
      <c r="Y127" s="33" t="s">
        <v>102</v>
      </c>
      <c r="Z127" s="33" t="s">
        <v>102</v>
      </c>
      <c r="AA127" s="33" t="s">
        <v>102</v>
      </c>
      <c r="AB127" s="33" t="s">
        <v>102</v>
      </c>
      <c r="AC127" s="33" t="s">
        <v>102</v>
      </c>
      <c r="AD127" s="33" t="s">
        <v>102</v>
      </c>
      <c r="AE127" s="33" t="s">
        <v>102</v>
      </c>
      <c r="AF127" s="6">
        <v>237</v>
      </c>
      <c r="AG127" s="6"/>
      <c r="AH127" s="35">
        <f t="shared" si="26"/>
        <v>0</v>
      </c>
      <c r="AI127" s="35">
        <v>237</v>
      </c>
      <c r="AJ127" s="35"/>
      <c r="AK127" s="35">
        <f t="shared" si="27"/>
        <v>0</v>
      </c>
      <c r="AL127" s="6"/>
      <c r="AM127" s="6"/>
      <c r="AN127" s="35"/>
      <c r="AO127" s="6">
        <v>237</v>
      </c>
      <c r="AP127" s="6"/>
      <c r="AQ127" s="34">
        <f t="shared" si="28"/>
        <v>0</v>
      </c>
      <c r="AR127" s="35">
        <v>237</v>
      </c>
      <c r="AS127" s="35"/>
      <c r="AT127" s="35">
        <f t="shared" si="29"/>
        <v>0</v>
      </c>
      <c r="AU127" s="6">
        <v>237</v>
      </c>
      <c r="AV127" s="6"/>
      <c r="AW127" s="35">
        <f t="shared" si="30"/>
        <v>0</v>
      </c>
      <c r="AX127" s="6">
        <v>237</v>
      </c>
      <c r="AY127" s="6"/>
      <c r="AZ127" s="35">
        <f t="shared" si="31"/>
        <v>0</v>
      </c>
      <c r="BA127" s="35">
        <v>237</v>
      </c>
      <c r="BB127" s="35"/>
      <c r="BC127" s="35">
        <f t="shared" si="32"/>
        <v>0</v>
      </c>
      <c r="BD127" s="6">
        <v>237</v>
      </c>
      <c r="BE127" s="6"/>
      <c r="BF127" s="35">
        <f t="shared" si="33"/>
        <v>0</v>
      </c>
      <c r="BG127" s="6"/>
      <c r="BH127" s="6"/>
      <c r="BI127" s="6"/>
      <c r="BJ127" s="6">
        <v>237</v>
      </c>
      <c r="BK127" s="6"/>
      <c r="BL127" s="6">
        <f t="shared" si="34"/>
        <v>0</v>
      </c>
      <c r="BM127" s="6">
        <v>237</v>
      </c>
      <c r="BN127" s="6"/>
      <c r="BO127" s="6">
        <f t="shared" si="35"/>
        <v>0</v>
      </c>
      <c r="BP127" s="6">
        <v>237</v>
      </c>
      <c r="BQ127" s="6"/>
      <c r="BR127" s="35">
        <f t="shared" si="36"/>
        <v>0</v>
      </c>
      <c r="BS127" s="6">
        <v>237</v>
      </c>
      <c r="BT127" s="6"/>
      <c r="BU127" s="6">
        <f t="shared" si="37"/>
        <v>0</v>
      </c>
      <c r="BV127" s="6">
        <v>237</v>
      </c>
      <c r="BW127" s="6"/>
      <c r="BX127" s="35">
        <f t="shared" si="38"/>
        <v>0</v>
      </c>
      <c r="BY127" s="6">
        <v>237</v>
      </c>
      <c r="BZ127" s="6"/>
      <c r="CA127" s="6">
        <f t="shared" si="39"/>
        <v>0</v>
      </c>
      <c r="CB127" s="6"/>
      <c r="CC127" s="6"/>
      <c r="CD127" s="6"/>
      <c r="CE127" s="6">
        <v>237</v>
      </c>
      <c r="CF127" s="6"/>
      <c r="CG127" s="6">
        <f t="shared" si="40"/>
        <v>0</v>
      </c>
      <c r="CH127" s="6">
        <v>237</v>
      </c>
      <c r="CI127" s="6"/>
      <c r="CJ127" s="6">
        <f t="shared" si="41"/>
        <v>0</v>
      </c>
      <c r="CK127" s="6">
        <v>237</v>
      </c>
      <c r="CL127" s="6"/>
      <c r="CM127" s="6">
        <f t="shared" si="42"/>
        <v>0</v>
      </c>
      <c r="CN127" s="6">
        <v>237</v>
      </c>
      <c r="CO127" s="6"/>
      <c r="CP127" s="6">
        <f t="shared" si="43"/>
        <v>0</v>
      </c>
      <c r="CQ127" s="6">
        <v>237</v>
      </c>
      <c r="CR127" s="6"/>
      <c r="CS127" s="6">
        <f t="shared" si="44"/>
        <v>0</v>
      </c>
      <c r="CT127" s="6">
        <v>237</v>
      </c>
      <c r="CU127" s="6"/>
      <c r="CV127" s="6">
        <f t="shared" si="45"/>
        <v>0</v>
      </c>
      <c r="CW127" s="6"/>
      <c r="CX127" s="6"/>
      <c r="CY127" s="6"/>
      <c r="CZ127" s="6">
        <v>237</v>
      </c>
      <c r="DA127" s="6"/>
      <c r="DB127" s="6">
        <f t="shared" si="46"/>
        <v>0</v>
      </c>
      <c r="DC127" s="6">
        <v>237</v>
      </c>
      <c r="DD127" s="6"/>
      <c r="DE127" s="6">
        <f t="shared" si="47"/>
        <v>0</v>
      </c>
      <c r="DF127" s="6">
        <v>237</v>
      </c>
      <c r="DG127" s="6"/>
      <c r="DH127" s="6">
        <f t="shared" si="48"/>
        <v>0</v>
      </c>
      <c r="DI127" s="6">
        <v>237</v>
      </c>
      <c r="DJ127" s="6"/>
      <c r="DK127" s="6">
        <f t="shared" si="49"/>
        <v>0</v>
      </c>
      <c r="DL127" s="6">
        <v>237</v>
      </c>
      <c r="DM127" s="6"/>
      <c r="DN127" s="6">
        <f t="shared" si="50"/>
        <v>0</v>
      </c>
      <c r="DO127" s="6">
        <v>237</v>
      </c>
      <c r="DP127" s="6"/>
      <c r="DQ127" s="6">
        <f t="shared" si="51"/>
        <v>0</v>
      </c>
    </row>
    <row r="128" spans="1:121">
      <c r="A128" s="6">
        <v>124</v>
      </c>
      <c r="B128" s="6">
        <v>905</v>
      </c>
      <c r="C128" s="6"/>
      <c r="D128" s="6">
        <v>290</v>
      </c>
      <c r="E128" s="33" t="s">
        <v>95</v>
      </c>
      <c r="F128" s="33" t="s">
        <v>95</v>
      </c>
      <c r="G128" s="33" t="s">
        <v>95</v>
      </c>
      <c r="H128" s="33" t="s">
        <v>95</v>
      </c>
      <c r="I128" s="33" t="s">
        <v>95</v>
      </c>
      <c r="J128" s="33" t="s">
        <v>95</v>
      </c>
      <c r="K128" s="33" t="s">
        <v>95</v>
      </c>
      <c r="L128" s="33" t="s">
        <v>95</v>
      </c>
      <c r="M128" s="33" t="s">
        <v>95</v>
      </c>
      <c r="N128" s="33" t="s">
        <v>95</v>
      </c>
      <c r="O128" s="33" t="s">
        <v>95</v>
      </c>
      <c r="P128" s="33" t="s">
        <v>95</v>
      </c>
      <c r="Q128" s="33" t="s">
        <v>95</v>
      </c>
      <c r="R128" s="148" t="s">
        <v>128</v>
      </c>
      <c r="S128" s="33" t="s">
        <v>128</v>
      </c>
      <c r="T128" s="33" t="s">
        <v>128</v>
      </c>
      <c r="U128" s="33" t="s">
        <v>128</v>
      </c>
      <c r="V128" s="33" t="s">
        <v>128</v>
      </c>
      <c r="W128" s="33" t="s">
        <v>128</v>
      </c>
      <c r="X128" s="33" t="s">
        <v>128</v>
      </c>
      <c r="Y128" s="33" t="s">
        <v>128</v>
      </c>
      <c r="Z128" s="33" t="s">
        <v>128</v>
      </c>
      <c r="AA128" s="33" t="s">
        <v>128</v>
      </c>
      <c r="AB128" s="33" t="s">
        <v>128</v>
      </c>
      <c r="AC128" s="33" t="s">
        <v>128</v>
      </c>
      <c r="AD128" s="33" t="s">
        <v>128</v>
      </c>
      <c r="AE128" s="33" t="s">
        <v>128</v>
      </c>
      <c r="AF128" s="6">
        <v>51</v>
      </c>
      <c r="AG128" s="6">
        <v>1200</v>
      </c>
      <c r="AH128" s="35">
        <f t="shared" si="26"/>
        <v>346</v>
      </c>
      <c r="AI128" s="35">
        <v>349</v>
      </c>
      <c r="AJ128" s="35"/>
      <c r="AK128" s="35">
        <f t="shared" si="27"/>
        <v>298</v>
      </c>
      <c r="AL128" s="6"/>
      <c r="AM128" s="6"/>
      <c r="AN128" s="35"/>
      <c r="AO128" s="6">
        <v>693</v>
      </c>
      <c r="AP128" s="6"/>
      <c r="AQ128" s="34">
        <f t="shared" si="28"/>
        <v>344</v>
      </c>
      <c r="AR128" s="35">
        <v>1046</v>
      </c>
      <c r="AS128" s="35"/>
      <c r="AT128" s="35">
        <f t="shared" si="29"/>
        <v>353</v>
      </c>
      <c r="AU128" s="6">
        <v>193</v>
      </c>
      <c r="AV128" s="6">
        <v>1200</v>
      </c>
      <c r="AW128" s="35">
        <f t="shared" si="30"/>
        <v>347</v>
      </c>
      <c r="AX128" s="6">
        <v>383</v>
      </c>
      <c r="AY128" s="6"/>
      <c r="AZ128" s="35">
        <f t="shared" si="31"/>
        <v>190</v>
      </c>
      <c r="BA128" s="35">
        <v>0</v>
      </c>
      <c r="BB128" s="35">
        <v>566</v>
      </c>
      <c r="BC128" s="35">
        <f t="shared" si="32"/>
        <v>183</v>
      </c>
      <c r="BD128" s="6">
        <v>0</v>
      </c>
      <c r="BE128" s="6"/>
      <c r="BF128" s="35">
        <f t="shared" si="33"/>
        <v>0</v>
      </c>
      <c r="BG128" s="6"/>
      <c r="BH128" s="6"/>
      <c r="BI128" s="6"/>
      <c r="BJ128" s="6">
        <v>0</v>
      </c>
      <c r="BK128" s="6"/>
      <c r="BL128" s="6">
        <f t="shared" si="34"/>
        <v>0</v>
      </c>
      <c r="BM128" s="6">
        <v>0</v>
      </c>
      <c r="BN128" s="6"/>
      <c r="BO128" s="6">
        <f t="shared" si="35"/>
        <v>0</v>
      </c>
      <c r="BP128" s="6">
        <v>0</v>
      </c>
      <c r="BQ128" s="6"/>
      <c r="BR128" s="35">
        <f t="shared" si="36"/>
        <v>0</v>
      </c>
      <c r="BS128" s="6">
        <v>0</v>
      </c>
      <c r="BT128" s="6"/>
      <c r="BU128" s="6">
        <f t="shared" si="37"/>
        <v>0</v>
      </c>
      <c r="BV128" s="6">
        <v>0</v>
      </c>
      <c r="BW128" s="6"/>
      <c r="BX128" s="35">
        <f t="shared" si="38"/>
        <v>0</v>
      </c>
      <c r="BY128" s="6">
        <v>0</v>
      </c>
      <c r="BZ128" s="6"/>
      <c r="CA128" s="6">
        <f t="shared" si="39"/>
        <v>0</v>
      </c>
      <c r="CB128" s="6"/>
      <c r="CC128" s="6"/>
      <c r="CD128" s="6"/>
      <c r="CE128" s="6">
        <v>225</v>
      </c>
      <c r="CF128" s="6"/>
      <c r="CG128" s="6">
        <f t="shared" si="40"/>
        <v>225</v>
      </c>
      <c r="CH128" s="6">
        <v>590</v>
      </c>
      <c r="CI128" s="6"/>
      <c r="CJ128" s="6">
        <f t="shared" si="41"/>
        <v>365</v>
      </c>
      <c r="CK128" s="6">
        <v>960</v>
      </c>
      <c r="CL128" s="6"/>
      <c r="CM128" s="6">
        <f t="shared" si="42"/>
        <v>370</v>
      </c>
      <c r="CN128" s="6">
        <v>1325</v>
      </c>
      <c r="CO128" s="6"/>
      <c r="CP128" s="6">
        <f t="shared" si="43"/>
        <v>365</v>
      </c>
      <c r="CQ128" s="6">
        <v>131</v>
      </c>
      <c r="CR128" s="6">
        <v>1560</v>
      </c>
      <c r="CS128" s="6">
        <f t="shared" si="44"/>
        <v>366</v>
      </c>
      <c r="CT128" s="6">
        <v>474</v>
      </c>
      <c r="CU128" s="6"/>
      <c r="CV128" s="6">
        <f t="shared" si="45"/>
        <v>343</v>
      </c>
      <c r="CW128" s="6"/>
      <c r="CX128" s="6"/>
      <c r="CY128" s="6"/>
      <c r="CZ128" s="6">
        <v>828</v>
      </c>
      <c r="DA128" s="6"/>
      <c r="DB128" s="6">
        <f t="shared" si="46"/>
        <v>354</v>
      </c>
      <c r="DC128" s="6">
        <v>263</v>
      </c>
      <c r="DD128" s="6">
        <v>851</v>
      </c>
      <c r="DE128" s="6">
        <f t="shared" si="47"/>
        <v>286</v>
      </c>
      <c r="DF128" s="6">
        <v>633</v>
      </c>
      <c r="DG128" s="6"/>
      <c r="DH128" s="6">
        <f t="shared" si="48"/>
        <v>370</v>
      </c>
      <c r="DI128" s="6">
        <v>990</v>
      </c>
      <c r="DJ128" s="6"/>
      <c r="DK128" s="6">
        <f t="shared" si="49"/>
        <v>357</v>
      </c>
      <c r="DL128" s="6">
        <v>1360</v>
      </c>
      <c r="DM128" s="6"/>
      <c r="DN128" s="6">
        <f t="shared" si="50"/>
        <v>370</v>
      </c>
      <c r="DO128" s="6">
        <v>133</v>
      </c>
      <c r="DP128" s="6">
        <v>1560</v>
      </c>
      <c r="DQ128" s="6">
        <f t="shared" si="51"/>
        <v>333</v>
      </c>
    </row>
    <row r="129" spans="1:121">
      <c r="A129" s="6">
        <v>125</v>
      </c>
      <c r="B129" s="6">
        <v>702</v>
      </c>
      <c r="C129" s="6"/>
      <c r="D129" s="6">
        <v>356</v>
      </c>
      <c r="E129" s="33" t="s">
        <v>37</v>
      </c>
      <c r="F129" s="33" t="s">
        <v>37</v>
      </c>
      <c r="G129" s="33" t="s">
        <v>37</v>
      </c>
      <c r="H129" s="33" t="s">
        <v>37</v>
      </c>
      <c r="I129" s="33" t="s">
        <v>37</v>
      </c>
      <c r="J129" s="33" t="s">
        <v>37</v>
      </c>
      <c r="K129" s="33" t="s">
        <v>37</v>
      </c>
      <c r="L129" s="33" t="s">
        <v>37</v>
      </c>
      <c r="M129" s="33" t="s">
        <v>37</v>
      </c>
      <c r="N129" s="33" t="s">
        <v>37</v>
      </c>
      <c r="O129" s="33" t="s">
        <v>37</v>
      </c>
      <c r="P129" s="33" t="s">
        <v>37</v>
      </c>
      <c r="Q129" s="33" t="s">
        <v>37</v>
      </c>
      <c r="R129" s="33" t="s">
        <v>37</v>
      </c>
      <c r="S129" s="33" t="s">
        <v>37</v>
      </c>
      <c r="T129" s="33" t="s">
        <v>37</v>
      </c>
      <c r="U129" s="148" t="s">
        <v>128</v>
      </c>
      <c r="V129" s="33" t="s">
        <v>128</v>
      </c>
      <c r="W129" s="33" t="s">
        <v>128</v>
      </c>
      <c r="X129" s="33" t="s">
        <v>128</v>
      </c>
      <c r="Y129" s="33" t="s">
        <v>128</v>
      </c>
      <c r="Z129" s="33" t="s">
        <v>128</v>
      </c>
      <c r="AA129" s="33" t="s">
        <v>128</v>
      </c>
      <c r="AB129" s="33" t="s">
        <v>128</v>
      </c>
      <c r="AC129" s="33" t="s">
        <v>128</v>
      </c>
      <c r="AD129" s="33" t="s">
        <v>128</v>
      </c>
      <c r="AE129" s="33" t="s">
        <v>128</v>
      </c>
      <c r="AF129" s="6">
        <v>1083</v>
      </c>
      <c r="AG129" s="6"/>
      <c r="AH129" s="35">
        <f t="shared" si="26"/>
        <v>381</v>
      </c>
      <c r="AI129" s="35">
        <v>1441</v>
      </c>
      <c r="AJ129" s="35"/>
      <c r="AK129" s="35">
        <f t="shared" si="27"/>
        <v>358</v>
      </c>
      <c r="AL129" s="6"/>
      <c r="AM129" s="6"/>
      <c r="AN129" s="35"/>
      <c r="AO129" s="6">
        <v>257</v>
      </c>
      <c r="AP129" s="6">
        <v>1560</v>
      </c>
      <c r="AQ129" s="34">
        <f t="shared" si="28"/>
        <v>376</v>
      </c>
      <c r="AR129" s="35">
        <v>636</v>
      </c>
      <c r="AS129" s="35"/>
      <c r="AT129" s="35">
        <f t="shared" si="29"/>
        <v>379</v>
      </c>
      <c r="AU129" s="6">
        <v>213</v>
      </c>
      <c r="AV129" s="6">
        <v>791</v>
      </c>
      <c r="AW129" s="35">
        <f t="shared" si="30"/>
        <v>368</v>
      </c>
      <c r="AX129" s="6">
        <f>377+213</f>
        <v>590</v>
      </c>
      <c r="AY129" s="6"/>
      <c r="AZ129" s="35">
        <f t="shared" si="31"/>
        <v>377</v>
      </c>
      <c r="BA129" s="6">
        <f>749+213</f>
        <v>962</v>
      </c>
      <c r="BB129" s="6"/>
      <c r="BC129" s="35">
        <f t="shared" si="32"/>
        <v>372</v>
      </c>
      <c r="BD129" s="6">
        <f>1110+213</f>
        <v>1323</v>
      </c>
      <c r="BE129" s="6"/>
      <c r="BF129" s="35">
        <f t="shared" si="33"/>
        <v>361</v>
      </c>
      <c r="BG129" s="6"/>
      <c r="BH129" s="6"/>
      <c r="BI129" s="35"/>
      <c r="BJ129" s="6">
        <v>21</v>
      </c>
      <c r="BK129" s="35">
        <v>1676</v>
      </c>
      <c r="BL129" s="6">
        <f t="shared" si="34"/>
        <v>374</v>
      </c>
      <c r="BM129" s="6">
        <v>397</v>
      </c>
      <c r="BN129" s="6"/>
      <c r="BO129" s="6">
        <f t="shared" si="35"/>
        <v>376</v>
      </c>
      <c r="BP129" s="6">
        <v>769</v>
      </c>
      <c r="BQ129" s="6"/>
      <c r="BR129" s="35">
        <f t="shared" si="36"/>
        <v>372</v>
      </c>
      <c r="BS129" s="6">
        <v>1145</v>
      </c>
      <c r="BT129" s="6"/>
      <c r="BU129" s="6">
        <f t="shared" si="37"/>
        <v>376</v>
      </c>
      <c r="BV129" s="6">
        <v>1516</v>
      </c>
      <c r="BW129" s="6"/>
      <c r="BX129" s="35">
        <f t="shared" si="38"/>
        <v>371</v>
      </c>
      <c r="BY129" s="6">
        <v>310</v>
      </c>
      <c r="BZ129" s="35">
        <v>1560</v>
      </c>
      <c r="CA129" s="6">
        <f t="shared" si="39"/>
        <v>354</v>
      </c>
      <c r="CB129" s="6"/>
      <c r="CC129" s="6"/>
      <c r="CD129" s="35"/>
      <c r="CE129" s="6">
        <v>684</v>
      </c>
      <c r="CF129" s="35"/>
      <c r="CG129" s="6">
        <f t="shared" si="40"/>
        <v>374</v>
      </c>
      <c r="CH129" s="6">
        <v>285</v>
      </c>
      <c r="CI129" s="6">
        <v>720</v>
      </c>
      <c r="CJ129" s="6">
        <f t="shared" si="41"/>
        <v>321</v>
      </c>
      <c r="CK129" s="6">
        <v>661</v>
      </c>
      <c r="CL129" s="6"/>
      <c r="CM129" s="6">
        <f t="shared" si="42"/>
        <v>376</v>
      </c>
      <c r="CN129" s="6">
        <v>1038</v>
      </c>
      <c r="CO129" s="6"/>
      <c r="CP129" s="6">
        <f t="shared" si="43"/>
        <v>377</v>
      </c>
      <c r="CQ129" s="6">
        <v>1410</v>
      </c>
      <c r="CR129" s="6"/>
      <c r="CS129" s="6">
        <f t="shared" si="44"/>
        <v>372</v>
      </c>
      <c r="CT129" s="6">
        <v>200</v>
      </c>
      <c r="CU129" s="6">
        <v>1560</v>
      </c>
      <c r="CV129" s="6">
        <f t="shared" si="45"/>
        <v>350</v>
      </c>
      <c r="CW129" s="6"/>
      <c r="CX129" s="6"/>
      <c r="CY129" s="6"/>
      <c r="CZ129" s="6">
        <v>564</v>
      </c>
      <c r="DA129" s="6"/>
      <c r="DB129" s="6">
        <f t="shared" si="46"/>
        <v>364</v>
      </c>
      <c r="DC129" s="6">
        <v>932</v>
      </c>
      <c r="DD129" s="6"/>
      <c r="DE129" s="6">
        <f t="shared" si="47"/>
        <v>368</v>
      </c>
      <c r="DF129" s="6">
        <v>222</v>
      </c>
      <c r="DG129" s="6">
        <v>1062</v>
      </c>
      <c r="DH129" s="6">
        <f t="shared" si="48"/>
        <v>352</v>
      </c>
      <c r="DI129" s="6">
        <v>576</v>
      </c>
      <c r="DJ129" s="6"/>
      <c r="DK129" s="6">
        <f t="shared" si="49"/>
        <v>354</v>
      </c>
      <c r="DL129" s="6">
        <v>932</v>
      </c>
      <c r="DM129" s="6"/>
      <c r="DN129" s="6">
        <f t="shared" si="50"/>
        <v>356</v>
      </c>
      <c r="DO129" s="6">
        <v>1255</v>
      </c>
      <c r="DP129" s="6"/>
      <c r="DQ129" s="6">
        <f t="shared" si="51"/>
        <v>323</v>
      </c>
    </row>
    <row r="130" spans="1:121">
      <c r="A130" s="6">
        <v>126</v>
      </c>
      <c r="B130" s="6">
        <v>1198</v>
      </c>
      <c r="C130" s="6"/>
      <c r="D130" s="6">
        <v>409</v>
      </c>
      <c r="E130" s="33" t="s">
        <v>97</v>
      </c>
      <c r="F130" s="33" t="s">
        <v>97</v>
      </c>
      <c r="G130" s="148" t="s">
        <v>116</v>
      </c>
      <c r="H130" s="33" t="s">
        <v>116</v>
      </c>
      <c r="I130" s="33" t="s">
        <v>116</v>
      </c>
      <c r="J130" s="33" t="s">
        <v>116</v>
      </c>
      <c r="K130" s="33" t="s">
        <v>116</v>
      </c>
      <c r="L130" s="33" t="s">
        <v>116</v>
      </c>
      <c r="M130" s="33" t="s">
        <v>116</v>
      </c>
      <c r="N130" s="33" t="s">
        <v>116</v>
      </c>
      <c r="O130" s="33" t="s">
        <v>116</v>
      </c>
      <c r="P130" s="33" t="s">
        <v>116</v>
      </c>
      <c r="Q130" s="33" t="s">
        <v>116</v>
      </c>
      <c r="R130" s="33" t="s">
        <v>116</v>
      </c>
      <c r="S130" s="33" t="s">
        <v>116</v>
      </c>
      <c r="T130" s="33" t="s">
        <v>116</v>
      </c>
      <c r="U130" s="33" t="s">
        <v>116</v>
      </c>
      <c r="V130" s="33" t="s">
        <v>116</v>
      </c>
      <c r="W130" s="148" t="s">
        <v>128</v>
      </c>
      <c r="X130" s="33" t="s">
        <v>128</v>
      </c>
      <c r="Y130" s="33" t="s">
        <v>128</v>
      </c>
      <c r="Z130" s="33" t="s">
        <v>128</v>
      </c>
      <c r="AA130" s="33" t="s">
        <v>128</v>
      </c>
      <c r="AB130" s="33" t="s">
        <v>128</v>
      </c>
      <c r="AC130" s="33" t="s">
        <v>128</v>
      </c>
      <c r="AD130" s="33" t="s">
        <v>128</v>
      </c>
      <c r="AE130" s="33" t="s">
        <v>128</v>
      </c>
      <c r="AF130" s="35">
        <v>1613</v>
      </c>
      <c r="AG130" s="35"/>
      <c r="AH130" s="35">
        <f t="shared" si="26"/>
        <v>415</v>
      </c>
      <c r="AI130" s="35">
        <v>357</v>
      </c>
      <c r="AJ130" s="35">
        <v>1616</v>
      </c>
      <c r="AK130" s="35">
        <f t="shared" si="27"/>
        <v>360</v>
      </c>
      <c r="AL130" s="35"/>
      <c r="AM130" s="35"/>
      <c r="AN130" s="35"/>
      <c r="AO130" s="35">
        <v>767</v>
      </c>
      <c r="AP130" s="35"/>
      <c r="AQ130" s="34">
        <f t="shared" si="28"/>
        <v>410</v>
      </c>
      <c r="AR130" s="35">
        <f>1171*0.9144</f>
        <v>1070.7624000000001</v>
      </c>
      <c r="AS130" s="35"/>
      <c r="AT130" s="35">
        <f t="shared" si="29"/>
        <v>303.76240000000007</v>
      </c>
      <c r="AU130" s="6">
        <v>1444</v>
      </c>
      <c r="AV130" s="6"/>
      <c r="AW130" s="35">
        <f t="shared" si="30"/>
        <v>373.23759999999993</v>
      </c>
      <c r="AX130" s="35">
        <v>257</v>
      </c>
      <c r="AY130" s="35">
        <v>1560</v>
      </c>
      <c r="AZ130" s="35">
        <f t="shared" si="31"/>
        <v>373</v>
      </c>
      <c r="BA130" s="35">
        <v>631</v>
      </c>
      <c r="BB130" s="35"/>
      <c r="BC130" s="35">
        <f t="shared" si="32"/>
        <v>374</v>
      </c>
      <c r="BD130" s="35">
        <v>991</v>
      </c>
      <c r="BE130" s="35"/>
      <c r="BF130" s="35">
        <f t="shared" si="33"/>
        <v>360</v>
      </c>
      <c r="BG130" s="35"/>
      <c r="BH130" s="35"/>
      <c r="BI130" s="35"/>
      <c r="BJ130" s="35">
        <v>1367</v>
      </c>
      <c r="BK130" s="35"/>
      <c r="BL130" s="6">
        <f t="shared" si="34"/>
        <v>376</v>
      </c>
      <c r="BM130" s="35">
        <v>178</v>
      </c>
      <c r="BN130" s="6">
        <v>1560</v>
      </c>
      <c r="BO130" s="6">
        <f t="shared" si="35"/>
        <v>371</v>
      </c>
      <c r="BP130" s="6">
        <v>542</v>
      </c>
      <c r="BQ130" s="6"/>
      <c r="BR130" s="35">
        <f t="shared" si="36"/>
        <v>364</v>
      </c>
      <c r="BS130" s="6">
        <v>907</v>
      </c>
      <c r="BT130" s="6"/>
      <c r="BU130" s="6">
        <f t="shared" si="37"/>
        <v>365</v>
      </c>
      <c r="BV130" s="6">
        <v>1271</v>
      </c>
      <c r="BW130" s="6"/>
      <c r="BX130" s="35">
        <f t="shared" si="38"/>
        <v>364</v>
      </c>
      <c r="BY130" s="6">
        <v>40</v>
      </c>
      <c r="BZ130" s="6">
        <v>1560</v>
      </c>
      <c r="CA130" s="6">
        <f t="shared" si="39"/>
        <v>329</v>
      </c>
      <c r="CB130" s="6"/>
      <c r="CC130" s="6"/>
      <c r="CD130" s="6"/>
      <c r="CE130" s="6">
        <v>391</v>
      </c>
      <c r="CF130" s="6"/>
      <c r="CG130" s="6">
        <f t="shared" si="40"/>
        <v>351</v>
      </c>
      <c r="CH130" s="6">
        <v>748</v>
      </c>
      <c r="CI130" s="6"/>
      <c r="CJ130" s="6">
        <f t="shared" si="41"/>
        <v>357</v>
      </c>
      <c r="CK130" s="6">
        <v>0</v>
      </c>
      <c r="CL130" s="6">
        <v>1017</v>
      </c>
      <c r="CM130" s="6">
        <f t="shared" si="42"/>
        <v>269</v>
      </c>
      <c r="CN130" s="6">
        <v>22</v>
      </c>
      <c r="CO130" s="6"/>
      <c r="CP130" s="6">
        <f t="shared" si="43"/>
        <v>22</v>
      </c>
      <c r="CQ130" s="6">
        <v>130</v>
      </c>
      <c r="CR130" s="6">
        <v>227</v>
      </c>
      <c r="CS130" s="6">
        <f t="shared" si="44"/>
        <v>335</v>
      </c>
      <c r="CT130" s="6">
        <v>459</v>
      </c>
      <c r="CU130" s="6"/>
      <c r="CV130" s="6">
        <f t="shared" si="45"/>
        <v>329</v>
      </c>
      <c r="CW130" s="6"/>
      <c r="CX130" s="6"/>
      <c r="CY130" s="6"/>
      <c r="CZ130" s="6">
        <v>816</v>
      </c>
      <c r="DA130" s="6"/>
      <c r="DB130" s="6">
        <f t="shared" si="46"/>
        <v>357</v>
      </c>
      <c r="DC130" s="6">
        <v>1168</v>
      </c>
      <c r="DD130" s="6"/>
      <c r="DE130" s="6">
        <f t="shared" si="47"/>
        <v>352</v>
      </c>
      <c r="DF130" s="6">
        <v>1522</v>
      </c>
      <c r="DG130" s="6"/>
      <c r="DH130" s="6">
        <f t="shared" si="48"/>
        <v>354</v>
      </c>
      <c r="DI130" s="6">
        <v>317</v>
      </c>
      <c r="DJ130" s="6">
        <v>1560</v>
      </c>
      <c r="DK130" s="6">
        <f t="shared" si="49"/>
        <v>355</v>
      </c>
      <c r="DL130" s="6">
        <v>670</v>
      </c>
      <c r="DM130" s="6"/>
      <c r="DN130" s="6">
        <f t="shared" si="50"/>
        <v>353</v>
      </c>
      <c r="DO130" s="6">
        <v>990</v>
      </c>
      <c r="DP130" s="6"/>
      <c r="DQ130" s="6">
        <f t="shared" si="51"/>
        <v>320</v>
      </c>
    </row>
    <row r="131" spans="1:121">
      <c r="A131" s="6">
        <v>127</v>
      </c>
      <c r="B131" s="6">
        <v>317</v>
      </c>
      <c r="C131" s="6">
        <v>209</v>
      </c>
      <c r="D131" s="6">
        <v>331</v>
      </c>
      <c r="E131" s="33" t="s">
        <v>95</v>
      </c>
      <c r="F131" s="33" t="s">
        <v>95</v>
      </c>
      <c r="G131" s="33" t="s">
        <v>95</v>
      </c>
      <c r="H131" s="148" t="s">
        <v>98</v>
      </c>
      <c r="I131" s="33" t="s">
        <v>98</v>
      </c>
      <c r="J131" s="33" t="s">
        <v>98</v>
      </c>
      <c r="K131" s="33" t="s">
        <v>98</v>
      </c>
      <c r="L131" s="33" t="s">
        <v>98</v>
      </c>
      <c r="M131" s="33" t="s">
        <v>98</v>
      </c>
      <c r="N131" s="33" t="s">
        <v>98</v>
      </c>
      <c r="O131" s="33" t="s">
        <v>98</v>
      </c>
      <c r="P131" s="33" t="s">
        <v>98</v>
      </c>
      <c r="Q131" s="33" t="s">
        <v>98</v>
      </c>
      <c r="R131" s="33" t="s">
        <v>98</v>
      </c>
      <c r="S131" s="33" t="s">
        <v>98</v>
      </c>
      <c r="T131" s="33" t="s">
        <v>98</v>
      </c>
      <c r="U131" s="33" t="s">
        <v>98</v>
      </c>
      <c r="V131" s="33" t="s">
        <v>98</v>
      </c>
      <c r="W131" s="33" t="s">
        <v>98</v>
      </c>
      <c r="X131" s="33" t="s">
        <v>98</v>
      </c>
      <c r="Y131" s="33" t="s">
        <v>98</v>
      </c>
      <c r="Z131" s="33" t="s">
        <v>98</v>
      </c>
      <c r="AA131" s="33" t="s">
        <v>98</v>
      </c>
      <c r="AB131" s="148" t="s">
        <v>128</v>
      </c>
      <c r="AC131" s="33" t="s">
        <v>128</v>
      </c>
      <c r="AD131" s="33" t="s">
        <v>128</v>
      </c>
      <c r="AE131" s="33" t="s">
        <v>128</v>
      </c>
      <c r="AF131" s="6">
        <v>49</v>
      </c>
      <c r="AG131" s="6">
        <f>437+146</f>
        <v>583</v>
      </c>
      <c r="AH131" s="35">
        <f t="shared" si="26"/>
        <v>315</v>
      </c>
      <c r="AI131" s="35">
        <v>249</v>
      </c>
      <c r="AJ131" s="35">
        <v>122</v>
      </c>
      <c r="AK131" s="35">
        <f t="shared" si="27"/>
        <v>322</v>
      </c>
      <c r="AL131" s="6"/>
      <c r="AM131" s="6"/>
      <c r="AN131" s="35"/>
      <c r="AO131" s="6">
        <v>257</v>
      </c>
      <c r="AP131" s="6">
        <v>289</v>
      </c>
      <c r="AQ131" s="34">
        <f t="shared" si="28"/>
        <v>297</v>
      </c>
      <c r="AR131" s="35">
        <v>597</v>
      </c>
      <c r="AS131" s="35"/>
      <c r="AT131" s="35">
        <f t="shared" si="29"/>
        <v>340</v>
      </c>
      <c r="AU131" s="6">
        <v>926</v>
      </c>
      <c r="AV131" s="6"/>
      <c r="AW131" s="35">
        <f t="shared" si="30"/>
        <v>329</v>
      </c>
      <c r="AX131" s="6">
        <v>279</v>
      </c>
      <c r="AY131" s="6">
        <v>995</v>
      </c>
      <c r="AZ131" s="35">
        <f t="shared" si="31"/>
        <v>348</v>
      </c>
      <c r="BA131" s="35">
        <v>222</v>
      </c>
      <c r="BB131" s="35">
        <v>292</v>
      </c>
      <c r="BC131" s="35">
        <f t="shared" si="32"/>
        <v>235</v>
      </c>
      <c r="BD131" s="6">
        <v>557</v>
      </c>
      <c r="BE131" s="6"/>
      <c r="BF131" s="35">
        <f t="shared" si="33"/>
        <v>335</v>
      </c>
      <c r="BG131" s="6"/>
      <c r="BH131" s="6"/>
      <c r="BI131" s="6"/>
      <c r="BJ131" s="6">
        <v>905</v>
      </c>
      <c r="BK131" s="6"/>
      <c r="BL131" s="6">
        <f t="shared" si="34"/>
        <v>348</v>
      </c>
      <c r="BM131" s="6">
        <v>236</v>
      </c>
      <c r="BN131" s="6">
        <v>1014</v>
      </c>
      <c r="BO131" s="6">
        <f t="shared" si="35"/>
        <v>345</v>
      </c>
      <c r="BP131" s="6">
        <v>585</v>
      </c>
      <c r="BQ131" s="6"/>
      <c r="BR131" s="35">
        <f t="shared" si="36"/>
        <v>349</v>
      </c>
      <c r="BS131" s="6">
        <v>933</v>
      </c>
      <c r="BT131" s="6"/>
      <c r="BU131" s="6">
        <f t="shared" si="37"/>
        <v>348</v>
      </c>
      <c r="BV131" s="6">
        <v>160</v>
      </c>
      <c r="BW131" s="6">
        <v>1123</v>
      </c>
      <c r="BX131" s="35">
        <f t="shared" si="38"/>
        <v>350</v>
      </c>
      <c r="BY131" s="6">
        <v>489</v>
      </c>
      <c r="BZ131" s="6"/>
      <c r="CA131" s="6">
        <f t="shared" si="39"/>
        <v>329</v>
      </c>
      <c r="CB131" s="6"/>
      <c r="CC131" s="6"/>
      <c r="CD131" s="6"/>
      <c r="CE131" s="6">
        <v>835</v>
      </c>
      <c r="CF131" s="6"/>
      <c r="CG131" s="6">
        <f t="shared" si="40"/>
        <v>346</v>
      </c>
      <c r="CH131" s="6">
        <v>1186</v>
      </c>
      <c r="CI131" s="6"/>
      <c r="CJ131" s="6">
        <f t="shared" si="41"/>
        <v>351</v>
      </c>
      <c r="CK131" s="6">
        <v>335</v>
      </c>
      <c r="CL131" s="6">
        <v>1200</v>
      </c>
      <c r="CM131" s="6">
        <f t="shared" si="42"/>
        <v>349</v>
      </c>
      <c r="CN131" s="6">
        <v>686</v>
      </c>
      <c r="CO131" s="6"/>
      <c r="CP131" s="6">
        <f t="shared" si="43"/>
        <v>351</v>
      </c>
      <c r="CQ131" s="6">
        <v>1035</v>
      </c>
      <c r="CR131" s="6"/>
      <c r="CS131" s="6">
        <f t="shared" si="44"/>
        <v>349</v>
      </c>
      <c r="CT131" s="6">
        <v>0</v>
      </c>
      <c r="CU131" s="6">
        <v>1175</v>
      </c>
      <c r="CV131" s="6">
        <f t="shared" si="45"/>
        <v>140</v>
      </c>
      <c r="CW131" s="6"/>
      <c r="CX131" s="6"/>
      <c r="CY131" s="6"/>
      <c r="CZ131" s="6">
        <v>0</v>
      </c>
      <c r="DA131" s="6"/>
      <c r="DB131" s="6">
        <f t="shared" si="46"/>
        <v>0</v>
      </c>
      <c r="DC131" s="6">
        <v>0</v>
      </c>
      <c r="DD131" s="6"/>
      <c r="DE131" s="6">
        <f t="shared" si="47"/>
        <v>0</v>
      </c>
      <c r="DF131" s="6">
        <v>157</v>
      </c>
      <c r="DG131" s="6"/>
      <c r="DH131" s="6">
        <f t="shared" si="48"/>
        <v>157</v>
      </c>
      <c r="DI131" s="6">
        <v>529</v>
      </c>
      <c r="DJ131" s="6"/>
      <c r="DK131" s="6">
        <f t="shared" si="49"/>
        <v>372</v>
      </c>
      <c r="DL131" s="6">
        <v>263</v>
      </c>
      <c r="DM131" s="6">
        <v>635</v>
      </c>
      <c r="DN131" s="6">
        <f t="shared" si="50"/>
        <v>369</v>
      </c>
      <c r="DO131" s="6">
        <v>216</v>
      </c>
      <c r="DP131" s="6">
        <v>373</v>
      </c>
      <c r="DQ131" s="6">
        <f t="shared" si="51"/>
        <v>326</v>
      </c>
    </row>
    <row r="132" spans="1:121">
      <c r="A132" s="6">
        <v>128</v>
      </c>
      <c r="B132" s="6">
        <v>1090</v>
      </c>
      <c r="C132" s="6"/>
      <c r="D132" s="6">
        <v>339</v>
      </c>
      <c r="E132" s="33" t="s">
        <v>37</v>
      </c>
      <c r="F132" s="33" t="s">
        <v>37</v>
      </c>
      <c r="G132" s="33" t="s">
        <v>37</v>
      </c>
      <c r="H132" s="33" t="s">
        <v>37</v>
      </c>
      <c r="I132" s="33" t="s">
        <v>37</v>
      </c>
      <c r="J132" s="33" t="s">
        <v>37</v>
      </c>
      <c r="K132" s="33" t="s">
        <v>37</v>
      </c>
      <c r="L132" s="33" t="s">
        <v>37</v>
      </c>
      <c r="M132" s="33" t="s">
        <v>37</v>
      </c>
      <c r="N132" s="33" t="s">
        <v>37</v>
      </c>
      <c r="O132" s="33" t="s">
        <v>37</v>
      </c>
      <c r="P132" s="33" t="s">
        <v>37</v>
      </c>
      <c r="Q132" s="33" t="s">
        <v>37</v>
      </c>
      <c r="R132" s="33" t="s">
        <v>37</v>
      </c>
      <c r="S132" s="33" t="s">
        <v>37</v>
      </c>
      <c r="T132" s="33" t="s">
        <v>37</v>
      </c>
      <c r="U132" s="33" t="s">
        <v>37</v>
      </c>
      <c r="V132" s="33" t="s">
        <v>37</v>
      </c>
      <c r="W132" s="33" t="s">
        <v>37</v>
      </c>
      <c r="X132" s="33" t="s">
        <v>37</v>
      </c>
      <c r="Y132" s="33" t="s">
        <v>37</v>
      </c>
      <c r="Z132" s="33" t="s">
        <v>37</v>
      </c>
      <c r="AA132" s="33" t="s">
        <v>37</v>
      </c>
      <c r="AB132" s="148" t="s">
        <v>37</v>
      </c>
      <c r="AC132" s="33" t="s">
        <v>37</v>
      </c>
      <c r="AD132" s="33" t="s">
        <v>37</v>
      </c>
      <c r="AE132" s="33" t="s">
        <v>37</v>
      </c>
      <c r="AF132" s="6">
        <v>1454</v>
      </c>
      <c r="AG132" s="6"/>
      <c r="AH132" s="35">
        <f t="shared" si="26"/>
        <v>364</v>
      </c>
      <c r="AI132" s="35">
        <v>239</v>
      </c>
      <c r="AJ132" s="35">
        <v>1560</v>
      </c>
      <c r="AK132" s="35">
        <f t="shared" si="27"/>
        <v>345</v>
      </c>
      <c r="AL132" s="6"/>
      <c r="AM132" s="6"/>
      <c r="AN132" s="35"/>
      <c r="AO132" s="6">
        <v>612</v>
      </c>
      <c r="AP132" s="6"/>
      <c r="AQ132" s="34">
        <f t="shared" si="28"/>
        <v>373</v>
      </c>
      <c r="AR132" s="35">
        <v>985</v>
      </c>
      <c r="AS132" s="35"/>
      <c r="AT132" s="35">
        <f t="shared" si="29"/>
        <v>373</v>
      </c>
      <c r="AU132" s="6">
        <v>1353</v>
      </c>
      <c r="AV132" s="6"/>
      <c r="AW132" s="35">
        <f t="shared" si="30"/>
        <v>368</v>
      </c>
      <c r="AX132" s="6">
        <v>168</v>
      </c>
      <c r="AY132" s="6">
        <v>1560</v>
      </c>
      <c r="AZ132" s="35">
        <f t="shared" si="31"/>
        <v>375</v>
      </c>
      <c r="BA132" s="6">
        <v>538</v>
      </c>
      <c r="BB132" s="6"/>
      <c r="BC132" s="35">
        <f t="shared" si="32"/>
        <v>370</v>
      </c>
      <c r="BD132" s="6">
        <v>898</v>
      </c>
      <c r="BE132" s="6"/>
      <c r="BF132" s="35">
        <f t="shared" si="33"/>
        <v>360</v>
      </c>
      <c r="BG132" s="6"/>
      <c r="BH132" s="6"/>
      <c r="BI132" s="35"/>
      <c r="BJ132" s="6">
        <v>1271</v>
      </c>
      <c r="BK132" s="35"/>
      <c r="BL132" s="6">
        <f t="shared" si="34"/>
        <v>373</v>
      </c>
      <c r="BM132" s="6">
        <v>84</v>
      </c>
      <c r="BN132" s="6">
        <v>1560</v>
      </c>
      <c r="BO132" s="6">
        <f t="shared" si="35"/>
        <v>373</v>
      </c>
      <c r="BP132" s="6">
        <v>451</v>
      </c>
      <c r="BQ132" s="6"/>
      <c r="BR132" s="35">
        <f t="shared" si="36"/>
        <v>367</v>
      </c>
      <c r="BS132" s="6">
        <v>820</v>
      </c>
      <c r="BT132" s="6"/>
      <c r="BU132" s="6">
        <f t="shared" si="37"/>
        <v>369</v>
      </c>
      <c r="BV132" s="6">
        <v>1184</v>
      </c>
      <c r="BW132" s="6"/>
      <c r="BX132" s="35">
        <f t="shared" si="38"/>
        <v>364</v>
      </c>
      <c r="BY132" s="6">
        <v>1528</v>
      </c>
      <c r="BZ132" s="35"/>
      <c r="CA132" s="6">
        <f t="shared" si="39"/>
        <v>344</v>
      </c>
      <c r="CB132" s="6"/>
      <c r="CC132" s="6"/>
      <c r="CD132" s="35"/>
      <c r="CE132" s="6">
        <v>343</v>
      </c>
      <c r="CF132" s="35">
        <v>1560</v>
      </c>
      <c r="CG132" s="6">
        <f t="shared" si="40"/>
        <v>375</v>
      </c>
      <c r="CH132" s="6">
        <v>712</v>
      </c>
      <c r="CI132" s="6"/>
      <c r="CJ132" s="6">
        <f t="shared" si="41"/>
        <v>369</v>
      </c>
      <c r="CK132" s="6">
        <v>1056</v>
      </c>
      <c r="CL132" s="6"/>
      <c r="CM132" s="6">
        <f t="shared" si="42"/>
        <v>344</v>
      </c>
      <c r="CN132" s="6">
        <v>1421</v>
      </c>
      <c r="CO132" s="6"/>
      <c r="CP132" s="6">
        <f t="shared" si="43"/>
        <v>365</v>
      </c>
      <c r="CQ132" s="6">
        <v>0</v>
      </c>
      <c r="CR132" s="6">
        <v>1653</v>
      </c>
      <c r="CS132" s="6">
        <f t="shared" si="44"/>
        <v>232</v>
      </c>
      <c r="CT132" s="6">
        <v>0</v>
      </c>
      <c r="CU132" s="6"/>
      <c r="CV132" s="6">
        <f t="shared" si="45"/>
        <v>0</v>
      </c>
      <c r="CW132" s="6"/>
      <c r="CX132" s="6"/>
      <c r="CY132" s="6"/>
      <c r="CZ132" s="6">
        <v>0</v>
      </c>
      <c r="DA132" s="6"/>
      <c r="DB132" s="6">
        <f t="shared" si="46"/>
        <v>0</v>
      </c>
      <c r="DC132" s="6">
        <v>0</v>
      </c>
      <c r="DD132" s="6"/>
      <c r="DE132" s="6">
        <f t="shared" si="47"/>
        <v>0</v>
      </c>
      <c r="DF132" s="6">
        <v>249</v>
      </c>
      <c r="DG132" s="6"/>
      <c r="DH132" s="6">
        <f t="shared" si="48"/>
        <v>249</v>
      </c>
      <c r="DI132" s="6">
        <v>621</v>
      </c>
      <c r="DJ132" s="6"/>
      <c r="DK132" s="6">
        <f t="shared" si="49"/>
        <v>372</v>
      </c>
      <c r="DL132" s="6">
        <v>985</v>
      </c>
      <c r="DM132" s="6"/>
      <c r="DN132" s="6">
        <f t="shared" si="50"/>
        <v>364</v>
      </c>
      <c r="DO132" s="6">
        <v>1318</v>
      </c>
      <c r="DP132" s="6"/>
      <c r="DQ132" s="6">
        <f t="shared" si="51"/>
        <v>333</v>
      </c>
    </row>
    <row r="133" spans="1:121">
      <c r="A133" s="6">
        <v>129</v>
      </c>
      <c r="B133" s="6">
        <v>1246</v>
      </c>
      <c r="C133" s="6"/>
      <c r="D133" s="8">
        <v>375</v>
      </c>
      <c r="E133" s="33" t="s">
        <v>69</v>
      </c>
      <c r="F133" s="33" t="s">
        <v>69</v>
      </c>
      <c r="G133" s="33" t="s">
        <v>69</v>
      </c>
      <c r="H133" s="33" t="s">
        <v>69</v>
      </c>
      <c r="I133" s="33" t="s">
        <v>69</v>
      </c>
      <c r="J133" s="33" t="s">
        <v>69</v>
      </c>
      <c r="K133" s="33" t="s">
        <v>69</v>
      </c>
      <c r="L133" s="33" t="s">
        <v>69</v>
      </c>
      <c r="M133" s="33" t="s">
        <v>69</v>
      </c>
      <c r="N133" s="33" t="s">
        <v>69</v>
      </c>
      <c r="O133" s="33" t="s">
        <v>69</v>
      </c>
      <c r="P133" s="33" t="s">
        <v>69</v>
      </c>
      <c r="Q133" s="33" t="s">
        <v>69</v>
      </c>
      <c r="R133" s="33" t="s">
        <v>69</v>
      </c>
      <c r="S133" s="148" t="s">
        <v>128</v>
      </c>
      <c r="T133" s="33" t="s">
        <v>128</v>
      </c>
      <c r="U133" s="33" t="s">
        <v>128</v>
      </c>
      <c r="V133" s="33" t="s">
        <v>128</v>
      </c>
      <c r="W133" s="33" t="s">
        <v>128</v>
      </c>
      <c r="X133" s="33" t="s">
        <v>128</v>
      </c>
      <c r="Y133" s="33" t="s">
        <v>128</v>
      </c>
      <c r="Z133" s="33" t="s">
        <v>128</v>
      </c>
      <c r="AA133" s="33" t="s">
        <v>128</v>
      </c>
      <c r="AB133" s="33" t="s">
        <v>128</v>
      </c>
      <c r="AC133" s="33" t="s">
        <v>128</v>
      </c>
      <c r="AD133" s="33" t="s">
        <v>128</v>
      </c>
      <c r="AE133" s="33" t="s">
        <v>128</v>
      </c>
      <c r="AF133" s="6">
        <v>53</v>
      </c>
      <c r="AG133" s="6">
        <v>1561</v>
      </c>
      <c r="AH133" s="35">
        <f t="shared" si="26"/>
        <v>368</v>
      </c>
      <c r="AI133" s="35">
        <v>410</v>
      </c>
      <c r="AJ133" s="35"/>
      <c r="AK133" s="35">
        <f t="shared" si="27"/>
        <v>357</v>
      </c>
      <c r="AL133" s="6"/>
      <c r="AM133" s="6"/>
      <c r="AN133" s="35"/>
      <c r="AO133" s="6">
        <v>786</v>
      </c>
      <c r="AP133" s="6"/>
      <c r="AQ133" s="34">
        <f t="shared" si="28"/>
        <v>376</v>
      </c>
      <c r="AR133" s="35">
        <v>1164</v>
      </c>
      <c r="AS133" s="35"/>
      <c r="AT133" s="35">
        <f t="shared" si="29"/>
        <v>378</v>
      </c>
      <c r="AU133" s="6">
        <v>1535</v>
      </c>
      <c r="AV133" s="6"/>
      <c r="AW133" s="35">
        <f t="shared" si="30"/>
        <v>371</v>
      </c>
      <c r="AX133" s="6">
        <v>351</v>
      </c>
      <c r="AY133" s="6">
        <v>1560</v>
      </c>
      <c r="AZ133" s="35">
        <f t="shared" si="31"/>
        <v>376</v>
      </c>
      <c r="BA133" s="35">
        <v>725</v>
      </c>
      <c r="BB133" s="35"/>
      <c r="BC133" s="35">
        <f t="shared" si="32"/>
        <v>374</v>
      </c>
      <c r="BD133" s="6">
        <v>1089</v>
      </c>
      <c r="BE133" s="6"/>
      <c r="BF133" s="35">
        <f t="shared" si="33"/>
        <v>364</v>
      </c>
      <c r="BG133" s="6"/>
      <c r="BH133" s="6"/>
      <c r="BI133" s="6"/>
      <c r="BJ133" s="6">
        <v>1466</v>
      </c>
      <c r="BK133" s="6"/>
      <c r="BL133" s="6">
        <f t="shared" si="34"/>
        <v>377</v>
      </c>
      <c r="BM133" s="6">
        <v>281</v>
      </c>
      <c r="BN133" s="6">
        <v>1560</v>
      </c>
      <c r="BO133" s="6">
        <f t="shared" si="35"/>
        <v>375</v>
      </c>
      <c r="BP133" s="6">
        <v>138</v>
      </c>
      <c r="BQ133" s="6">
        <v>481</v>
      </c>
      <c r="BR133" s="35">
        <f t="shared" si="36"/>
        <v>338</v>
      </c>
      <c r="BS133" s="6">
        <v>510</v>
      </c>
      <c r="BT133" s="6"/>
      <c r="BU133" s="6">
        <f t="shared" si="37"/>
        <v>372</v>
      </c>
      <c r="BV133" s="6">
        <v>853</v>
      </c>
      <c r="BW133" s="6"/>
      <c r="BX133" s="35">
        <f t="shared" si="38"/>
        <v>343</v>
      </c>
      <c r="BY133" s="6">
        <v>0</v>
      </c>
      <c r="BZ133" s="6">
        <v>889</v>
      </c>
      <c r="CA133" s="6">
        <f t="shared" si="39"/>
        <v>36</v>
      </c>
      <c r="CB133" s="6"/>
      <c r="CC133" s="6"/>
      <c r="CD133" s="6"/>
      <c r="CE133" s="6">
        <v>0</v>
      </c>
      <c r="CF133" s="6"/>
      <c r="CG133" s="6">
        <f t="shared" si="40"/>
        <v>0</v>
      </c>
      <c r="CH133" s="6">
        <v>339</v>
      </c>
      <c r="CI133" s="6"/>
      <c r="CJ133" s="6">
        <f t="shared" si="41"/>
        <v>339</v>
      </c>
      <c r="CK133" s="6">
        <v>706</v>
      </c>
      <c r="CL133" s="6"/>
      <c r="CM133" s="6">
        <f t="shared" si="42"/>
        <v>367</v>
      </c>
      <c r="CN133" s="6">
        <v>1063</v>
      </c>
      <c r="CO133" s="6"/>
      <c r="CP133" s="6">
        <f t="shared" si="43"/>
        <v>357</v>
      </c>
      <c r="CQ133" s="6">
        <v>1430</v>
      </c>
      <c r="CR133" s="6"/>
      <c r="CS133" s="6">
        <f t="shared" si="44"/>
        <v>367</v>
      </c>
      <c r="CT133" s="6">
        <v>269</v>
      </c>
      <c r="CU133" s="6">
        <v>1483</v>
      </c>
      <c r="CV133" s="6">
        <f t="shared" si="45"/>
        <v>322</v>
      </c>
      <c r="CW133" s="6"/>
      <c r="CX133" s="6"/>
      <c r="CY133" s="6"/>
      <c r="CZ133" s="6">
        <v>251</v>
      </c>
      <c r="DA133" s="6">
        <v>380</v>
      </c>
      <c r="DB133" s="6">
        <f t="shared" si="46"/>
        <v>362</v>
      </c>
      <c r="DC133" s="6">
        <v>615</v>
      </c>
      <c r="DD133" s="6"/>
      <c r="DE133" s="6">
        <f t="shared" si="47"/>
        <v>364</v>
      </c>
      <c r="DF133" s="6">
        <v>985</v>
      </c>
      <c r="DG133" s="6"/>
      <c r="DH133" s="6">
        <f t="shared" si="48"/>
        <v>370</v>
      </c>
      <c r="DI133" s="6">
        <v>1357</v>
      </c>
      <c r="DJ133" s="6"/>
      <c r="DK133" s="6">
        <f t="shared" si="49"/>
        <v>372</v>
      </c>
      <c r="DL133" s="6">
        <v>162</v>
      </c>
      <c r="DM133" s="6">
        <v>1560</v>
      </c>
      <c r="DN133" s="6">
        <f t="shared" si="50"/>
        <v>365</v>
      </c>
      <c r="DO133" s="6">
        <v>0</v>
      </c>
      <c r="DP133" s="6">
        <v>460</v>
      </c>
      <c r="DQ133" s="6">
        <f t="shared" si="51"/>
        <v>298</v>
      </c>
    </row>
    <row r="134" spans="1:121">
      <c r="A134" s="6">
        <v>130</v>
      </c>
      <c r="B134" s="6">
        <v>232</v>
      </c>
      <c r="C134" s="6">
        <v>1600</v>
      </c>
      <c r="D134" s="6">
        <v>373</v>
      </c>
      <c r="E134" s="33" t="s">
        <v>37</v>
      </c>
      <c r="F134" s="33" t="s">
        <v>37</v>
      </c>
      <c r="G134" s="33" t="s">
        <v>37</v>
      </c>
      <c r="H134" s="33" t="s">
        <v>37</v>
      </c>
      <c r="I134" s="33" t="s">
        <v>37</v>
      </c>
      <c r="J134" s="33" t="s">
        <v>37</v>
      </c>
      <c r="K134" s="33" t="s">
        <v>37</v>
      </c>
      <c r="L134" s="33" t="s">
        <v>37</v>
      </c>
      <c r="M134" s="33" t="s">
        <v>37</v>
      </c>
      <c r="N134" s="33" t="s">
        <v>37</v>
      </c>
      <c r="O134" s="33" t="s">
        <v>37</v>
      </c>
      <c r="P134" s="33" t="s">
        <v>37</v>
      </c>
      <c r="Q134" s="33" t="s">
        <v>37</v>
      </c>
      <c r="R134" s="33" t="s">
        <v>37</v>
      </c>
      <c r="S134" s="33" t="s">
        <v>37</v>
      </c>
      <c r="T134" s="33" t="s">
        <v>37</v>
      </c>
      <c r="U134" s="33" t="s">
        <v>37</v>
      </c>
      <c r="V134" s="33" t="s">
        <v>37</v>
      </c>
      <c r="W134" s="148" t="s">
        <v>37</v>
      </c>
      <c r="X134" s="33" t="s">
        <v>37</v>
      </c>
      <c r="Y134" s="33" t="s">
        <v>37</v>
      </c>
      <c r="Z134" s="33" t="s">
        <v>37</v>
      </c>
      <c r="AA134" s="33" t="s">
        <v>37</v>
      </c>
      <c r="AB134" s="33" t="s">
        <v>37</v>
      </c>
      <c r="AC134" s="33" t="s">
        <v>37</v>
      </c>
      <c r="AD134" s="33" t="s">
        <v>37</v>
      </c>
      <c r="AE134" s="33" t="s">
        <v>37</v>
      </c>
      <c r="AF134" s="6">
        <v>611</v>
      </c>
      <c r="AG134" s="6"/>
      <c r="AH134" s="35">
        <f t="shared" ref="AH134:AH197" si="52">AG134+AF134-B134</f>
        <v>379</v>
      </c>
      <c r="AI134" s="35">
        <v>965</v>
      </c>
      <c r="AJ134" s="35"/>
      <c r="AK134" s="35">
        <f t="shared" ref="AK134:AK197" si="53">AJ134+AI134-AF134</f>
        <v>354</v>
      </c>
      <c r="AL134" s="6"/>
      <c r="AM134" s="6"/>
      <c r="AN134" s="35"/>
      <c r="AO134" s="6">
        <v>1341</v>
      </c>
      <c r="AP134" s="6"/>
      <c r="AQ134" s="34">
        <f t="shared" ref="AQ134:AQ197" si="54">AP134+AO134-AI134</f>
        <v>376</v>
      </c>
      <c r="AR134" s="35">
        <v>293</v>
      </c>
      <c r="AS134" s="35">
        <v>1421</v>
      </c>
      <c r="AT134" s="35">
        <f t="shared" ref="AT134:AT197" si="55">AS134+AR134-AO134</f>
        <v>373</v>
      </c>
      <c r="AU134" s="6">
        <v>661</v>
      </c>
      <c r="AV134" s="6"/>
      <c r="AW134" s="35">
        <f t="shared" ref="AW134:AW197" si="56">AV134+AU134-AR134</f>
        <v>368</v>
      </c>
      <c r="AX134" s="6">
        <v>1029</v>
      </c>
      <c r="AY134" s="6"/>
      <c r="AZ134" s="35">
        <f t="shared" ref="AZ134:AZ197" si="57">AY134+AX134-AU134</f>
        <v>368</v>
      </c>
      <c r="BA134" s="6">
        <v>1401</v>
      </c>
      <c r="BB134" s="6"/>
      <c r="BC134" s="35">
        <f t="shared" ref="BC134:BC197" si="58">BB134+BA134-AX134</f>
        <v>372</v>
      </c>
      <c r="BD134" s="6">
        <v>203</v>
      </c>
      <c r="BE134" s="6">
        <v>1560</v>
      </c>
      <c r="BF134" s="35">
        <f t="shared" ref="BF134:BF197" si="59">BE134+BD134-BA134</f>
        <v>362</v>
      </c>
      <c r="BG134" s="6"/>
      <c r="BH134" s="6"/>
      <c r="BI134" s="35"/>
      <c r="BJ134" s="6">
        <v>581</v>
      </c>
      <c r="BK134" s="35"/>
      <c r="BL134" s="6">
        <f t="shared" ref="BL134:BL197" si="60">BK134+BJ134-BD134</f>
        <v>378</v>
      </c>
      <c r="BM134" s="6">
        <v>953</v>
      </c>
      <c r="BN134" s="6"/>
      <c r="BO134" s="6">
        <f t="shared" ref="BO134:BO197" si="61">BN134+BM134-BJ134</f>
        <v>372</v>
      </c>
      <c r="BP134" s="6">
        <v>1329</v>
      </c>
      <c r="BQ134" s="6"/>
      <c r="BR134" s="35">
        <f t="shared" ref="BR134:BR197" si="62">BQ134+BP134-BM134</f>
        <v>376</v>
      </c>
      <c r="BS134" s="6">
        <v>139</v>
      </c>
      <c r="BT134" s="6">
        <v>1560</v>
      </c>
      <c r="BU134" s="6">
        <f t="shared" ref="BU134:BU197" si="63">BT134+BS134-BP134</f>
        <v>370</v>
      </c>
      <c r="BV134" s="6">
        <v>505</v>
      </c>
      <c r="BW134" s="6"/>
      <c r="BX134" s="35">
        <f t="shared" ref="BX134:BX197" si="64">BW134+BV134-BS134</f>
        <v>366</v>
      </c>
      <c r="BY134" s="6">
        <v>855</v>
      </c>
      <c r="BZ134" s="35"/>
      <c r="CA134" s="6">
        <f t="shared" ref="CA134:CA197" si="65">BZ134+BY134-BV134</f>
        <v>350</v>
      </c>
      <c r="CB134" s="6"/>
      <c r="CC134" s="6"/>
      <c r="CD134" s="35"/>
      <c r="CE134" s="6">
        <v>1232</v>
      </c>
      <c r="CF134" s="35"/>
      <c r="CG134" s="6">
        <f t="shared" ref="CG134:CG197" si="66">CF134+CE134-BY134</f>
        <v>377</v>
      </c>
      <c r="CH134" s="6">
        <v>1532</v>
      </c>
      <c r="CI134" s="6"/>
      <c r="CJ134" s="6">
        <f t="shared" ref="CJ134:CJ197" si="67">CI134+CH134-CE134</f>
        <v>300</v>
      </c>
      <c r="CK134" s="6">
        <v>0</v>
      </c>
      <c r="CL134" s="6">
        <v>1729</v>
      </c>
      <c r="CM134" s="6">
        <f t="shared" ref="CM134:CM197" si="68">CL134+CK134-CH134</f>
        <v>197</v>
      </c>
      <c r="CN134" s="6">
        <v>52</v>
      </c>
      <c r="CO134" s="6"/>
      <c r="CP134" s="6">
        <f t="shared" ref="CP134:CP197" si="69">CO134+CN134-CK134</f>
        <v>52</v>
      </c>
      <c r="CQ134" s="6">
        <v>420</v>
      </c>
      <c r="CR134" s="6"/>
      <c r="CS134" s="6">
        <f t="shared" ref="CS134:CS197" si="70">CR134+CQ134-CN134</f>
        <v>368</v>
      </c>
      <c r="CT134" s="6">
        <v>769</v>
      </c>
      <c r="CU134" s="6"/>
      <c r="CV134" s="6">
        <f t="shared" ref="CV134:CV197" si="71">CU134+CT134-CQ134</f>
        <v>349</v>
      </c>
      <c r="CW134" s="6"/>
      <c r="CX134" s="6"/>
      <c r="CY134" s="6"/>
      <c r="CZ134" s="6">
        <v>1130</v>
      </c>
      <c r="DA134" s="6"/>
      <c r="DB134" s="6">
        <f t="shared" ref="DB134:DB197" si="72">DA134+CZ134-CT134</f>
        <v>361</v>
      </c>
      <c r="DC134" s="6">
        <v>1498</v>
      </c>
      <c r="DD134" s="6"/>
      <c r="DE134" s="6">
        <f t="shared" ref="DE134:DE197" si="73">DD134+DC134-CZ134</f>
        <v>368</v>
      </c>
      <c r="DF134" s="6">
        <v>300</v>
      </c>
      <c r="DG134" s="6">
        <v>1560</v>
      </c>
      <c r="DH134" s="6">
        <f t="shared" ref="DH134:DH197" si="74">DG134+DF134-DC134</f>
        <v>362</v>
      </c>
      <c r="DI134" s="6">
        <v>187</v>
      </c>
      <c r="DJ134" s="6">
        <v>457</v>
      </c>
      <c r="DK134" s="6">
        <f t="shared" ref="DK134:DK197" si="75">DJ134+DI134-DF134</f>
        <v>344</v>
      </c>
      <c r="DL134" s="6">
        <v>149</v>
      </c>
      <c r="DM134" s="6">
        <v>380</v>
      </c>
      <c r="DN134" s="6">
        <f t="shared" ref="DN134:DN197" si="76">DM134+DL134-DI134</f>
        <v>342</v>
      </c>
      <c r="DO134" s="6">
        <v>472</v>
      </c>
      <c r="DP134" s="6"/>
      <c r="DQ134" s="6">
        <f t="shared" ref="DQ134:DQ197" si="77">DP134+DO134-DL134</f>
        <v>323</v>
      </c>
    </row>
    <row r="135" spans="1:121">
      <c r="A135" s="6">
        <v>131</v>
      </c>
      <c r="B135" s="6">
        <v>206</v>
      </c>
      <c r="C135" s="6">
        <v>1200</v>
      </c>
      <c r="D135" s="6">
        <v>328</v>
      </c>
      <c r="E135" s="33" t="s">
        <v>98</v>
      </c>
      <c r="F135" s="33" t="s">
        <v>98</v>
      </c>
      <c r="G135" s="33" t="s">
        <v>98</v>
      </c>
      <c r="H135" s="33" t="s">
        <v>98</v>
      </c>
      <c r="I135" s="33" t="s">
        <v>98</v>
      </c>
      <c r="J135" s="33" t="s">
        <v>98</v>
      </c>
      <c r="K135" s="33" t="s">
        <v>98</v>
      </c>
      <c r="L135" s="148" t="s">
        <v>69</v>
      </c>
      <c r="M135" s="33" t="s">
        <v>69</v>
      </c>
      <c r="N135" s="33" t="s">
        <v>69</v>
      </c>
      <c r="O135" s="33" t="s">
        <v>69</v>
      </c>
      <c r="P135" s="33" t="s">
        <v>69</v>
      </c>
      <c r="Q135" s="33" t="s">
        <v>69</v>
      </c>
      <c r="R135" s="33" t="s">
        <v>69</v>
      </c>
      <c r="S135" s="33" t="s">
        <v>69</v>
      </c>
      <c r="T135" s="33" t="s">
        <v>69</v>
      </c>
      <c r="U135" s="33" t="s">
        <v>69</v>
      </c>
      <c r="V135" s="33" t="s">
        <v>69</v>
      </c>
      <c r="W135" s="33" t="s">
        <v>69</v>
      </c>
      <c r="X135" s="33" t="s">
        <v>69</v>
      </c>
      <c r="Y135" s="33" t="s">
        <v>69</v>
      </c>
      <c r="Z135" s="33" t="s">
        <v>69</v>
      </c>
      <c r="AA135" s="33" t="s">
        <v>69</v>
      </c>
      <c r="AB135" s="33" t="s">
        <v>69</v>
      </c>
      <c r="AC135" s="148" t="s">
        <v>128</v>
      </c>
      <c r="AD135" s="33" t="s">
        <v>128</v>
      </c>
      <c r="AE135" s="33" t="s">
        <v>128</v>
      </c>
      <c r="AF135" s="6">
        <v>549</v>
      </c>
      <c r="AG135" s="6"/>
      <c r="AH135" s="35">
        <f t="shared" si="52"/>
        <v>343</v>
      </c>
      <c r="AI135" s="35">
        <v>880</v>
      </c>
      <c r="AJ135" s="35"/>
      <c r="AK135" s="35">
        <f t="shared" si="53"/>
        <v>331</v>
      </c>
      <c r="AL135" s="6"/>
      <c r="AM135" s="6"/>
      <c r="AN135" s="35"/>
      <c r="AO135" s="6">
        <v>23</v>
      </c>
      <c r="AP135" s="6">
        <v>1200</v>
      </c>
      <c r="AQ135" s="34">
        <f t="shared" si="54"/>
        <v>343</v>
      </c>
      <c r="AR135" s="35">
        <v>369</v>
      </c>
      <c r="AS135" s="35"/>
      <c r="AT135" s="35">
        <f t="shared" si="55"/>
        <v>346</v>
      </c>
      <c r="AU135" s="6">
        <v>711</v>
      </c>
      <c r="AV135" s="6"/>
      <c r="AW135" s="35">
        <f t="shared" si="56"/>
        <v>342</v>
      </c>
      <c r="AX135" s="6">
        <v>899</v>
      </c>
      <c r="AY135" s="6"/>
      <c r="AZ135" s="35">
        <f t="shared" si="57"/>
        <v>188</v>
      </c>
      <c r="BA135" s="35">
        <v>223</v>
      </c>
      <c r="BB135" s="35">
        <v>920</v>
      </c>
      <c r="BC135" s="35">
        <f t="shared" si="58"/>
        <v>244</v>
      </c>
      <c r="BD135" s="35">
        <v>531</v>
      </c>
      <c r="BE135" s="6"/>
      <c r="BF135" s="35">
        <f t="shared" si="59"/>
        <v>308</v>
      </c>
      <c r="BG135" s="6"/>
      <c r="BH135" s="6"/>
      <c r="BI135" s="6"/>
      <c r="BJ135" s="6">
        <v>861</v>
      </c>
      <c r="BK135" s="6"/>
      <c r="BL135" s="6">
        <f t="shared" si="60"/>
        <v>330</v>
      </c>
      <c r="BM135" s="6">
        <v>1180</v>
      </c>
      <c r="BN135" s="6"/>
      <c r="BO135" s="6">
        <f t="shared" si="61"/>
        <v>319</v>
      </c>
      <c r="BP135" s="6">
        <v>1505</v>
      </c>
      <c r="BQ135" s="6"/>
      <c r="BR135" s="35">
        <f t="shared" si="62"/>
        <v>325</v>
      </c>
      <c r="BS135" s="6">
        <v>287</v>
      </c>
      <c r="BT135" s="6">
        <v>1560</v>
      </c>
      <c r="BU135" s="6">
        <f t="shared" si="63"/>
        <v>342</v>
      </c>
      <c r="BV135" s="6">
        <v>636</v>
      </c>
      <c r="BW135" s="6"/>
      <c r="BX135" s="35">
        <f t="shared" si="64"/>
        <v>349</v>
      </c>
      <c r="BY135" s="6">
        <v>972</v>
      </c>
      <c r="BZ135" s="6"/>
      <c r="CA135" s="6">
        <f t="shared" si="65"/>
        <v>336</v>
      </c>
      <c r="CB135" s="6"/>
      <c r="CC135" s="6"/>
      <c r="CD135" s="6"/>
      <c r="CE135" s="6">
        <v>1315</v>
      </c>
      <c r="CF135" s="6"/>
      <c r="CG135" s="6">
        <f t="shared" si="66"/>
        <v>343</v>
      </c>
      <c r="CH135" s="6">
        <v>184</v>
      </c>
      <c r="CI135" s="6">
        <v>1479</v>
      </c>
      <c r="CJ135" s="6">
        <f t="shared" si="67"/>
        <v>348</v>
      </c>
      <c r="CK135" s="6">
        <v>526</v>
      </c>
      <c r="CL135" s="6"/>
      <c r="CM135" s="6">
        <f t="shared" si="68"/>
        <v>342</v>
      </c>
      <c r="CN135" s="6">
        <v>875</v>
      </c>
      <c r="CO135" s="6"/>
      <c r="CP135" s="6">
        <f t="shared" si="69"/>
        <v>349</v>
      </c>
      <c r="CQ135" s="6">
        <v>1234</v>
      </c>
      <c r="CR135" s="6"/>
      <c r="CS135" s="6">
        <f t="shared" si="70"/>
        <v>359</v>
      </c>
      <c r="CT135" s="6">
        <v>44</v>
      </c>
      <c r="CU135" s="6">
        <v>1512</v>
      </c>
      <c r="CV135" s="6">
        <f t="shared" si="71"/>
        <v>322</v>
      </c>
      <c r="CW135" s="6"/>
      <c r="CX135" s="6"/>
      <c r="CY135" s="6"/>
      <c r="CZ135" s="6">
        <v>394</v>
      </c>
      <c r="DA135" s="6"/>
      <c r="DB135" s="6">
        <f t="shared" si="72"/>
        <v>350</v>
      </c>
      <c r="DC135" s="6">
        <v>737</v>
      </c>
      <c r="DD135" s="6"/>
      <c r="DE135" s="6">
        <f t="shared" si="73"/>
        <v>343</v>
      </c>
      <c r="DF135" s="6">
        <v>0</v>
      </c>
      <c r="DG135" s="6">
        <v>1039</v>
      </c>
      <c r="DH135" s="6">
        <f t="shared" si="74"/>
        <v>302</v>
      </c>
      <c r="DI135" s="6">
        <v>317</v>
      </c>
      <c r="DJ135" s="6"/>
      <c r="DK135" s="6">
        <f t="shared" si="75"/>
        <v>317</v>
      </c>
      <c r="DL135" s="6">
        <v>664</v>
      </c>
      <c r="DM135" s="6"/>
      <c r="DN135" s="6">
        <f t="shared" si="76"/>
        <v>347</v>
      </c>
      <c r="DO135" s="6">
        <v>993</v>
      </c>
      <c r="DP135" s="6"/>
      <c r="DQ135" s="6">
        <f t="shared" si="77"/>
        <v>329</v>
      </c>
    </row>
    <row r="136" spans="1:121">
      <c r="A136" s="6">
        <v>132</v>
      </c>
      <c r="B136" s="6">
        <v>337</v>
      </c>
      <c r="C136" s="6"/>
      <c r="D136" s="6">
        <v>337</v>
      </c>
      <c r="E136" s="148" t="s">
        <v>37</v>
      </c>
      <c r="F136" s="33" t="s">
        <v>37</v>
      </c>
      <c r="G136" s="33" t="s">
        <v>37</v>
      </c>
      <c r="H136" s="33" t="s">
        <v>37</v>
      </c>
      <c r="I136" s="33" t="s">
        <v>37</v>
      </c>
      <c r="J136" s="33" t="s">
        <v>37</v>
      </c>
      <c r="K136" s="33" t="s">
        <v>37</v>
      </c>
      <c r="L136" s="33" t="s">
        <v>37</v>
      </c>
      <c r="M136" s="33" t="s">
        <v>37</v>
      </c>
      <c r="N136" s="33" t="s">
        <v>37</v>
      </c>
      <c r="O136" s="33" t="s">
        <v>37</v>
      </c>
      <c r="P136" s="33" t="s">
        <v>37</v>
      </c>
      <c r="Q136" s="33" t="s">
        <v>37</v>
      </c>
      <c r="R136" s="33" t="s">
        <v>37</v>
      </c>
      <c r="S136" s="33" t="s">
        <v>37</v>
      </c>
      <c r="T136" s="33" t="s">
        <v>37</v>
      </c>
      <c r="U136" s="33" t="s">
        <v>37</v>
      </c>
      <c r="V136" s="33" t="s">
        <v>37</v>
      </c>
      <c r="W136" s="33" t="s">
        <v>37</v>
      </c>
      <c r="X136" s="33" t="s">
        <v>37</v>
      </c>
      <c r="Y136" s="33" t="s">
        <v>37</v>
      </c>
      <c r="Z136" s="33" t="s">
        <v>37</v>
      </c>
      <c r="AA136" s="33" t="s">
        <v>37</v>
      </c>
      <c r="AB136" s="148" t="s">
        <v>128</v>
      </c>
      <c r="AC136" s="33" t="s">
        <v>128</v>
      </c>
      <c r="AD136" s="33" t="s">
        <v>128</v>
      </c>
      <c r="AE136" s="33" t="s">
        <v>128</v>
      </c>
      <c r="AF136" s="35">
        <v>699</v>
      </c>
      <c r="AG136" s="35"/>
      <c r="AH136" s="35">
        <f t="shared" si="52"/>
        <v>362</v>
      </c>
      <c r="AI136" s="35">
        <v>1055</v>
      </c>
      <c r="AJ136" s="35"/>
      <c r="AK136" s="35">
        <f t="shared" si="53"/>
        <v>356</v>
      </c>
      <c r="AL136" s="35"/>
      <c r="AM136" s="35"/>
      <c r="AN136" s="35"/>
      <c r="AO136" s="6">
        <v>1431</v>
      </c>
      <c r="AP136" s="35"/>
      <c r="AQ136" s="34">
        <f t="shared" si="54"/>
        <v>376</v>
      </c>
      <c r="AR136" s="35">
        <v>236</v>
      </c>
      <c r="AS136" s="35">
        <v>1560</v>
      </c>
      <c r="AT136" s="35">
        <f t="shared" si="55"/>
        <v>365</v>
      </c>
      <c r="AU136" s="6">
        <v>609</v>
      </c>
      <c r="AV136" s="6"/>
      <c r="AW136" s="35">
        <f t="shared" si="56"/>
        <v>373</v>
      </c>
      <c r="AX136" s="6">
        <v>984</v>
      </c>
      <c r="AY136" s="6"/>
      <c r="AZ136" s="35">
        <f t="shared" si="57"/>
        <v>375</v>
      </c>
      <c r="BA136" s="6">
        <v>1355</v>
      </c>
      <c r="BB136" s="6"/>
      <c r="BC136" s="35">
        <f t="shared" si="58"/>
        <v>371</v>
      </c>
      <c r="BD136" s="6">
        <v>145</v>
      </c>
      <c r="BE136" s="6">
        <v>1560</v>
      </c>
      <c r="BF136" s="35">
        <f t="shared" si="59"/>
        <v>350</v>
      </c>
      <c r="BG136" s="6"/>
      <c r="BH136" s="6"/>
      <c r="BI136" s="35"/>
      <c r="BJ136" s="6">
        <v>521</v>
      </c>
      <c r="BK136" s="35"/>
      <c r="BL136" s="6">
        <f t="shared" si="60"/>
        <v>376</v>
      </c>
      <c r="BM136" s="6">
        <v>76</v>
      </c>
      <c r="BN136" s="6">
        <v>818</v>
      </c>
      <c r="BO136" s="6">
        <f t="shared" si="61"/>
        <v>373</v>
      </c>
      <c r="BP136" s="6">
        <v>446</v>
      </c>
      <c r="BQ136" s="6"/>
      <c r="BR136" s="35">
        <f t="shared" si="62"/>
        <v>370</v>
      </c>
      <c r="BS136" s="6">
        <v>821</v>
      </c>
      <c r="BT136" s="6"/>
      <c r="BU136" s="6">
        <f t="shared" si="63"/>
        <v>375</v>
      </c>
      <c r="BV136" s="6">
        <v>1197</v>
      </c>
      <c r="BW136" s="6"/>
      <c r="BX136" s="35">
        <f t="shared" si="64"/>
        <v>376</v>
      </c>
      <c r="BY136" s="6">
        <v>0</v>
      </c>
      <c r="BZ136" s="35">
        <v>1542</v>
      </c>
      <c r="CA136" s="6">
        <f t="shared" si="65"/>
        <v>345</v>
      </c>
      <c r="CB136" s="6"/>
      <c r="CC136" s="6"/>
      <c r="CD136" s="35"/>
      <c r="CE136" s="6">
        <v>371</v>
      </c>
      <c r="CF136" s="35"/>
      <c r="CG136" s="6">
        <f t="shared" si="66"/>
        <v>371</v>
      </c>
      <c r="CH136" s="6">
        <v>15</v>
      </c>
      <c r="CI136" s="6">
        <v>713</v>
      </c>
      <c r="CJ136" s="6">
        <f t="shared" si="67"/>
        <v>357</v>
      </c>
      <c r="CK136" s="6">
        <v>390</v>
      </c>
      <c r="CL136" s="6"/>
      <c r="CM136" s="6">
        <f t="shared" si="68"/>
        <v>375</v>
      </c>
      <c r="CN136" s="6">
        <v>767</v>
      </c>
      <c r="CO136" s="6"/>
      <c r="CP136" s="6">
        <f t="shared" si="69"/>
        <v>377</v>
      </c>
      <c r="CQ136" s="6">
        <v>1138</v>
      </c>
      <c r="CR136" s="6"/>
      <c r="CS136" s="6">
        <f t="shared" si="70"/>
        <v>371</v>
      </c>
      <c r="CT136" s="6">
        <v>1489</v>
      </c>
      <c r="CU136" s="6"/>
      <c r="CV136" s="6">
        <f t="shared" si="71"/>
        <v>351</v>
      </c>
      <c r="CW136" s="6"/>
      <c r="CX136" s="6"/>
      <c r="CY136" s="6"/>
      <c r="CZ136" s="6">
        <v>0</v>
      </c>
      <c r="DA136" s="6">
        <v>1656</v>
      </c>
      <c r="DB136" s="6">
        <f t="shared" si="72"/>
        <v>167</v>
      </c>
      <c r="DC136" s="6">
        <v>0</v>
      </c>
      <c r="DD136" s="6"/>
      <c r="DE136" s="6">
        <f t="shared" si="73"/>
        <v>0</v>
      </c>
      <c r="DF136" s="6">
        <v>264</v>
      </c>
      <c r="DG136" s="6"/>
      <c r="DH136" s="6">
        <f t="shared" si="74"/>
        <v>264</v>
      </c>
      <c r="DI136" s="6">
        <v>640</v>
      </c>
      <c r="DJ136" s="6"/>
      <c r="DK136" s="6">
        <f t="shared" si="75"/>
        <v>376</v>
      </c>
      <c r="DL136" s="6">
        <v>302</v>
      </c>
      <c r="DM136" s="6">
        <v>710</v>
      </c>
      <c r="DN136" s="6">
        <f t="shared" si="76"/>
        <v>372</v>
      </c>
      <c r="DO136" s="6">
        <v>101</v>
      </c>
      <c r="DP136" s="6">
        <v>525</v>
      </c>
      <c r="DQ136" s="6">
        <f t="shared" si="77"/>
        <v>324</v>
      </c>
    </row>
    <row r="137" spans="1:121">
      <c r="A137" s="6">
        <v>133</v>
      </c>
      <c r="B137" s="6">
        <v>707</v>
      </c>
      <c r="C137" s="6"/>
      <c r="D137" s="6">
        <v>370</v>
      </c>
      <c r="E137" s="33" t="s">
        <v>37</v>
      </c>
      <c r="F137" s="33" t="s">
        <v>37</v>
      </c>
      <c r="G137" s="33" t="s">
        <v>37</v>
      </c>
      <c r="H137" s="33" t="s">
        <v>37</v>
      </c>
      <c r="I137" s="33" t="s">
        <v>37</v>
      </c>
      <c r="J137" s="33" t="s">
        <v>37</v>
      </c>
      <c r="K137" s="33" t="s">
        <v>37</v>
      </c>
      <c r="L137" s="33" t="s">
        <v>37</v>
      </c>
      <c r="M137" s="33" t="s">
        <v>37</v>
      </c>
      <c r="N137" s="33" t="s">
        <v>37</v>
      </c>
      <c r="O137" s="33" t="s">
        <v>37</v>
      </c>
      <c r="P137" s="33" t="s">
        <v>37</v>
      </c>
      <c r="Q137" s="33" t="s">
        <v>37</v>
      </c>
      <c r="R137" s="33" t="s">
        <v>37</v>
      </c>
      <c r="S137" s="33" t="s">
        <v>37</v>
      </c>
      <c r="T137" s="33" t="s">
        <v>37</v>
      </c>
      <c r="U137" s="148" t="s">
        <v>128</v>
      </c>
      <c r="V137" s="33" t="s">
        <v>128</v>
      </c>
      <c r="W137" s="33" t="s">
        <v>128</v>
      </c>
      <c r="X137" s="33" t="s">
        <v>128</v>
      </c>
      <c r="Y137" s="33" t="s">
        <v>128</v>
      </c>
      <c r="Z137" s="33" t="s">
        <v>128</v>
      </c>
      <c r="AA137" s="33" t="s">
        <v>128</v>
      </c>
      <c r="AB137" s="33" t="s">
        <v>128</v>
      </c>
      <c r="AC137" s="33" t="s">
        <v>128</v>
      </c>
      <c r="AD137" s="33" t="s">
        <v>128</v>
      </c>
      <c r="AE137" s="33" t="s">
        <v>128</v>
      </c>
      <c r="AF137" s="6">
        <v>1085</v>
      </c>
      <c r="AG137" s="6"/>
      <c r="AH137" s="35">
        <f t="shared" si="52"/>
        <v>378</v>
      </c>
      <c r="AI137" s="35">
        <v>1437</v>
      </c>
      <c r="AJ137" s="35"/>
      <c r="AK137" s="35">
        <f t="shared" si="53"/>
        <v>352</v>
      </c>
      <c r="AL137" s="6"/>
      <c r="AM137" s="6"/>
      <c r="AN137" s="35"/>
      <c r="AO137" s="6">
        <v>253</v>
      </c>
      <c r="AP137" s="6">
        <v>1560</v>
      </c>
      <c r="AQ137" s="34">
        <f t="shared" si="54"/>
        <v>376</v>
      </c>
      <c r="AR137" s="35">
        <v>630</v>
      </c>
      <c r="AS137" s="35"/>
      <c r="AT137" s="35">
        <f t="shared" si="55"/>
        <v>377</v>
      </c>
      <c r="AU137" s="6">
        <v>1001</v>
      </c>
      <c r="AV137" s="6"/>
      <c r="AW137" s="35">
        <f t="shared" si="56"/>
        <v>371</v>
      </c>
      <c r="AX137" s="6">
        <v>1369</v>
      </c>
      <c r="AY137" s="6"/>
      <c r="AZ137" s="35">
        <f t="shared" si="57"/>
        <v>368</v>
      </c>
      <c r="BA137" s="6">
        <v>177</v>
      </c>
      <c r="BB137" s="6">
        <v>1560</v>
      </c>
      <c r="BC137" s="35">
        <f t="shared" si="58"/>
        <v>368</v>
      </c>
      <c r="BD137" s="6">
        <v>541</v>
      </c>
      <c r="BE137" s="6"/>
      <c r="BF137" s="35">
        <f t="shared" si="59"/>
        <v>364</v>
      </c>
      <c r="BG137" s="6"/>
      <c r="BH137" s="6"/>
      <c r="BI137" s="35"/>
      <c r="BJ137" s="6">
        <v>918</v>
      </c>
      <c r="BK137" s="35"/>
      <c r="BL137" s="6">
        <f t="shared" si="60"/>
        <v>377</v>
      </c>
      <c r="BM137" s="6">
        <v>1288</v>
      </c>
      <c r="BN137" s="6"/>
      <c r="BO137" s="6">
        <f t="shared" si="61"/>
        <v>370</v>
      </c>
      <c r="BP137" s="6">
        <v>103</v>
      </c>
      <c r="BQ137" s="6">
        <v>1560</v>
      </c>
      <c r="BR137" s="35">
        <f t="shared" si="62"/>
        <v>375</v>
      </c>
      <c r="BS137" s="6">
        <v>478</v>
      </c>
      <c r="BT137" s="6"/>
      <c r="BU137" s="6">
        <f t="shared" si="63"/>
        <v>375</v>
      </c>
      <c r="BV137" s="6">
        <v>847</v>
      </c>
      <c r="BW137" s="6"/>
      <c r="BX137" s="35">
        <f t="shared" si="64"/>
        <v>369</v>
      </c>
      <c r="BY137" s="6">
        <v>1202</v>
      </c>
      <c r="BZ137" s="35"/>
      <c r="CA137" s="6">
        <f t="shared" si="65"/>
        <v>355</v>
      </c>
      <c r="CB137" s="6"/>
      <c r="CC137" s="6"/>
      <c r="CD137" s="35"/>
      <c r="CE137" s="6">
        <v>1580</v>
      </c>
      <c r="CF137" s="35"/>
      <c r="CG137" s="6">
        <f t="shared" si="66"/>
        <v>378</v>
      </c>
      <c r="CH137" s="6">
        <v>301</v>
      </c>
      <c r="CI137" s="6">
        <v>1627</v>
      </c>
      <c r="CJ137" s="6">
        <f t="shared" si="67"/>
        <v>348</v>
      </c>
      <c r="CK137" s="6">
        <v>687</v>
      </c>
      <c r="CL137" s="6"/>
      <c r="CM137" s="6">
        <f t="shared" si="68"/>
        <v>386</v>
      </c>
      <c r="CN137" s="6">
        <v>1075</v>
      </c>
      <c r="CO137" s="6"/>
      <c r="CP137" s="6">
        <f t="shared" si="69"/>
        <v>388</v>
      </c>
      <c r="CQ137" s="35">
        <v>1448</v>
      </c>
      <c r="CR137" s="6"/>
      <c r="CS137" s="6">
        <f t="shared" si="70"/>
        <v>373</v>
      </c>
      <c r="CT137" s="6">
        <v>237</v>
      </c>
      <c r="CU137" s="6">
        <v>1560</v>
      </c>
      <c r="CV137" s="6">
        <f t="shared" si="71"/>
        <v>349</v>
      </c>
      <c r="CW137" s="6"/>
      <c r="CX137" s="6"/>
      <c r="CY137" s="6"/>
      <c r="CZ137" s="6">
        <v>603</v>
      </c>
      <c r="DA137" s="6"/>
      <c r="DB137" s="6">
        <f t="shared" si="72"/>
        <v>366</v>
      </c>
      <c r="DC137" s="6">
        <v>62</v>
      </c>
      <c r="DD137" s="6">
        <v>893</v>
      </c>
      <c r="DE137" s="6">
        <f t="shared" si="73"/>
        <v>352</v>
      </c>
      <c r="DF137" s="6">
        <v>427</v>
      </c>
      <c r="DG137" s="6"/>
      <c r="DH137" s="6">
        <f t="shared" si="74"/>
        <v>365</v>
      </c>
      <c r="DI137" s="6">
        <v>790</v>
      </c>
      <c r="DJ137" s="6"/>
      <c r="DK137" s="6">
        <f t="shared" si="75"/>
        <v>363</v>
      </c>
      <c r="DL137" s="6">
        <v>1139</v>
      </c>
      <c r="DM137" s="6"/>
      <c r="DN137" s="6">
        <f t="shared" si="76"/>
        <v>349</v>
      </c>
      <c r="DO137" s="6">
        <v>1467</v>
      </c>
      <c r="DP137" s="6"/>
      <c r="DQ137" s="6">
        <f t="shared" si="77"/>
        <v>328</v>
      </c>
    </row>
    <row r="138" spans="1:121" ht="15.75" customHeight="1">
      <c r="A138" s="6">
        <v>134</v>
      </c>
      <c r="B138" s="6">
        <v>631</v>
      </c>
      <c r="C138" s="6"/>
      <c r="D138" s="6">
        <v>367</v>
      </c>
      <c r="E138" s="33" t="s">
        <v>37</v>
      </c>
      <c r="F138" s="33" t="s">
        <v>37</v>
      </c>
      <c r="G138" s="33" t="s">
        <v>37</v>
      </c>
      <c r="H138" s="33" t="s">
        <v>37</v>
      </c>
      <c r="I138" s="33" t="s">
        <v>37</v>
      </c>
      <c r="J138" s="148" t="s">
        <v>124</v>
      </c>
      <c r="K138" s="33" t="s">
        <v>124</v>
      </c>
      <c r="L138" s="33" t="s">
        <v>124</v>
      </c>
      <c r="M138" s="33" t="s">
        <v>124</v>
      </c>
      <c r="N138" s="33" t="s">
        <v>124</v>
      </c>
      <c r="O138" s="33" t="s">
        <v>124</v>
      </c>
      <c r="P138" s="33" t="s">
        <v>124</v>
      </c>
      <c r="Q138" s="33" t="s">
        <v>124</v>
      </c>
      <c r="R138" s="33" t="s">
        <v>124</v>
      </c>
      <c r="S138" s="33" t="s">
        <v>124</v>
      </c>
      <c r="T138" s="33" t="s">
        <v>124</v>
      </c>
      <c r="U138" s="33" t="s">
        <v>124</v>
      </c>
      <c r="V138" s="33" t="s">
        <v>124</v>
      </c>
      <c r="W138" s="33" t="s">
        <v>124</v>
      </c>
      <c r="X138" s="33" t="s">
        <v>124</v>
      </c>
      <c r="Y138" s="33" t="s">
        <v>124</v>
      </c>
      <c r="Z138" s="33" t="s">
        <v>124</v>
      </c>
      <c r="AA138" s="33" t="s">
        <v>124</v>
      </c>
      <c r="AB138" s="33" t="s">
        <v>124</v>
      </c>
      <c r="AC138" s="33" t="s">
        <v>124</v>
      </c>
      <c r="AD138" s="33" t="s">
        <v>124</v>
      </c>
      <c r="AE138" s="33" t="s">
        <v>124</v>
      </c>
      <c r="AF138" s="6">
        <v>1019</v>
      </c>
      <c r="AG138" s="6"/>
      <c r="AH138" s="35">
        <f t="shared" si="52"/>
        <v>388</v>
      </c>
      <c r="AI138" s="35">
        <v>1373</v>
      </c>
      <c r="AJ138" s="35"/>
      <c r="AK138" s="35">
        <f t="shared" si="53"/>
        <v>354</v>
      </c>
      <c r="AL138" s="6"/>
      <c r="AM138" s="6"/>
      <c r="AN138" s="35"/>
      <c r="AO138" s="6">
        <v>150</v>
      </c>
      <c r="AP138" s="6">
        <v>1598</v>
      </c>
      <c r="AQ138" s="34">
        <f t="shared" si="54"/>
        <v>375</v>
      </c>
      <c r="AR138" s="35">
        <v>0</v>
      </c>
      <c r="AS138" s="35">
        <v>443</v>
      </c>
      <c r="AT138" s="35">
        <f t="shared" si="55"/>
        <v>293</v>
      </c>
      <c r="AU138" s="6">
        <v>221</v>
      </c>
      <c r="AV138" s="6"/>
      <c r="AW138" s="35">
        <f t="shared" si="56"/>
        <v>221</v>
      </c>
      <c r="AX138" s="6">
        <v>466</v>
      </c>
      <c r="AY138" s="6"/>
      <c r="AZ138" s="35">
        <f t="shared" si="57"/>
        <v>245</v>
      </c>
      <c r="BA138" s="35">
        <v>709</v>
      </c>
      <c r="BB138" s="35"/>
      <c r="BC138" s="35">
        <f t="shared" si="58"/>
        <v>243</v>
      </c>
      <c r="BD138" s="6">
        <v>943</v>
      </c>
      <c r="BE138" s="6"/>
      <c r="BF138" s="35">
        <f t="shared" si="59"/>
        <v>234</v>
      </c>
      <c r="BG138" s="6"/>
      <c r="BH138" s="6"/>
      <c r="BI138" s="6"/>
      <c r="BJ138" s="6">
        <v>1187</v>
      </c>
      <c r="BK138" s="6"/>
      <c r="BL138" s="6">
        <f t="shared" si="60"/>
        <v>244</v>
      </c>
      <c r="BM138" s="6">
        <v>1430</v>
      </c>
      <c r="BN138" s="6"/>
      <c r="BO138" s="6">
        <f t="shared" si="61"/>
        <v>243</v>
      </c>
      <c r="BP138" s="6">
        <v>1672</v>
      </c>
      <c r="BQ138" s="6"/>
      <c r="BR138" s="35">
        <f t="shared" si="62"/>
        <v>242</v>
      </c>
      <c r="BS138" s="6">
        <v>1914</v>
      </c>
      <c r="BT138" s="6"/>
      <c r="BU138" s="6">
        <f t="shared" si="63"/>
        <v>242</v>
      </c>
      <c r="BV138" s="6">
        <v>158</v>
      </c>
      <c r="BW138" s="6">
        <v>2000</v>
      </c>
      <c r="BX138" s="35">
        <f t="shared" si="64"/>
        <v>244</v>
      </c>
      <c r="BY138" s="6">
        <v>387</v>
      </c>
      <c r="BZ138" s="6"/>
      <c r="CA138" s="6">
        <f t="shared" si="65"/>
        <v>229</v>
      </c>
      <c r="CB138" s="6"/>
      <c r="CC138" s="6"/>
      <c r="CD138" s="6"/>
      <c r="CE138" s="6">
        <v>629</v>
      </c>
      <c r="CF138" s="6"/>
      <c r="CG138" s="6">
        <f t="shared" si="66"/>
        <v>242</v>
      </c>
      <c r="CH138" s="6">
        <v>872</v>
      </c>
      <c r="CI138" s="6"/>
      <c r="CJ138" s="6">
        <f t="shared" si="67"/>
        <v>243</v>
      </c>
      <c r="CK138" s="6">
        <v>1114</v>
      </c>
      <c r="CL138" s="6"/>
      <c r="CM138" s="6">
        <f t="shared" si="68"/>
        <v>242</v>
      </c>
      <c r="CN138" s="6">
        <v>1358</v>
      </c>
      <c r="CO138" s="6"/>
      <c r="CP138" s="6">
        <f t="shared" si="69"/>
        <v>244</v>
      </c>
      <c r="CQ138" s="6">
        <v>1589</v>
      </c>
      <c r="CR138" s="6"/>
      <c r="CS138" s="6">
        <f t="shared" si="70"/>
        <v>231</v>
      </c>
      <c r="CT138" s="6">
        <v>1811</v>
      </c>
      <c r="CU138" s="6"/>
      <c r="CV138" s="6">
        <f t="shared" si="71"/>
        <v>222</v>
      </c>
      <c r="CW138" s="6"/>
      <c r="CX138" s="6"/>
      <c r="CY138" s="6"/>
      <c r="CZ138" s="6">
        <v>44</v>
      </c>
      <c r="DA138" s="6">
        <v>2000</v>
      </c>
      <c r="DB138" s="6">
        <f t="shared" si="72"/>
        <v>233</v>
      </c>
      <c r="DC138" s="6">
        <v>273</v>
      </c>
      <c r="DD138" s="6"/>
      <c r="DE138" s="6">
        <f t="shared" si="73"/>
        <v>229</v>
      </c>
      <c r="DF138" s="6">
        <v>505</v>
      </c>
      <c r="DG138" s="6"/>
      <c r="DH138" s="6">
        <f t="shared" si="74"/>
        <v>232</v>
      </c>
      <c r="DI138" s="6">
        <v>738</v>
      </c>
      <c r="DJ138" s="6"/>
      <c r="DK138" s="6">
        <f t="shared" si="75"/>
        <v>233</v>
      </c>
      <c r="DL138" s="6">
        <v>970</v>
      </c>
      <c r="DM138" s="6"/>
      <c r="DN138" s="6">
        <f t="shared" si="76"/>
        <v>232</v>
      </c>
      <c r="DO138" s="6">
        <v>144</v>
      </c>
      <c r="DP138" s="6">
        <v>1034</v>
      </c>
      <c r="DQ138" s="6">
        <f t="shared" si="77"/>
        <v>208</v>
      </c>
    </row>
    <row r="139" spans="1:121">
      <c r="A139" s="6">
        <v>135</v>
      </c>
      <c r="B139" s="6">
        <v>339</v>
      </c>
      <c r="C139" s="6"/>
      <c r="D139" s="6">
        <v>339</v>
      </c>
      <c r="E139" s="148" t="s">
        <v>37</v>
      </c>
      <c r="F139" s="33" t="s">
        <v>37</v>
      </c>
      <c r="G139" s="33" t="s">
        <v>37</v>
      </c>
      <c r="H139" s="33" t="s">
        <v>37</v>
      </c>
      <c r="I139" s="33" t="s">
        <v>37</v>
      </c>
      <c r="J139" s="33" t="s">
        <v>37</v>
      </c>
      <c r="K139" s="33" t="s">
        <v>37</v>
      </c>
      <c r="L139" s="33" t="s">
        <v>37</v>
      </c>
      <c r="M139" s="33" t="s">
        <v>37</v>
      </c>
      <c r="N139" s="33" t="s">
        <v>37</v>
      </c>
      <c r="O139" s="33" t="s">
        <v>37</v>
      </c>
      <c r="P139" s="33" t="s">
        <v>37</v>
      </c>
      <c r="Q139" s="33" t="s">
        <v>37</v>
      </c>
      <c r="R139" s="33" t="s">
        <v>37</v>
      </c>
      <c r="S139" s="33" t="s">
        <v>37</v>
      </c>
      <c r="T139" s="33" t="s">
        <v>37</v>
      </c>
      <c r="U139" s="33" t="s">
        <v>37</v>
      </c>
      <c r="V139" s="33" t="s">
        <v>37</v>
      </c>
      <c r="W139" s="33" t="s">
        <v>37</v>
      </c>
      <c r="X139" s="33" t="s">
        <v>37</v>
      </c>
      <c r="Y139" s="33" t="s">
        <v>37</v>
      </c>
      <c r="Z139" s="33" t="s">
        <v>37</v>
      </c>
      <c r="AA139" s="33" t="s">
        <v>37</v>
      </c>
      <c r="AB139" s="148" t="s">
        <v>128</v>
      </c>
      <c r="AC139" s="33" t="s">
        <v>128</v>
      </c>
      <c r="AD139" s="33" t="s">
        <v>128</v>
      </c>
      <c r="AE139" s="33" t="s">
        <v>128</v>
      </c>
      <c r="AF139" s="35">
        <v>717</v>
      </c>
      <c r="AG139" s="35"/>
      <c r="AH139" s="35">
        <f t="shared" si="52"/>
        <v>378</v>
      </c>
      <c r="AI139" s="35">
        <v>1074</v>
      </c>
      <c r="AJ139" s="35"/>
      <c r="AK139" s="35">
        <f t="shared" si="53"/>
        <v>357</v>
      </c>
      <c r="AL139" s="35"/>
      <c r="AM139" s="35"/>
      <c r="AN139" s="35"/>
      <c r="AO139" s="35">
        <v>1451</v>
      </c>
      <c r="AP139" s="35"/>
      <c r="AQ139" s="34">
        <f t="shared" si="54"/>
        <v>377</v>
      </c>
      <c r="AR139" s="35">
        <v>268</v>
      </c>
      <c r="AS139" s="35">
        <v>1560</v>
      </c>
      <c r="AT139" s="35">
        <f t="shared" si="55"/>
        <v>377</v>
      </c>
      <c r="AU139" s="6">
        <v>632</v>
      </c>
      <c r="AV139" s="6"/>
      <c r="AW139" s="35">
        <f t="shared" si="56"/>
        <v>364</v>
      </c>
      <c r="AX139" s="6">
        <v>993</v>
      </c>
      <c r="AY139" s="6"/>
      <c r="AZ139" s="35">
        <f t="shared" si="57"/>
        <v>361</v>
      </c>
      <c r="BA139" s="6">
        <v>1363</v>
      </c>
      <c r="BB139" s="6"/>
      <c r="BC139" s="35">
        <f t="shared" si="58"/>
        <v>370</v>
      </c>
      <c r="BD139" s="6">
        <v>162</v>
      </c>
      <c r="BE139" s="6">
        <v>1560</v>
      </c>
      <c r="BF139" s="35">
        <f t="shared" si="59"/>
        <v>359</v>
      </c>
      <c r="BG139" s="6"/>
      <c r="BH139" s="6"/>
      <c r="BI139" s="35"/>
      <c r="BJ139" s="6">
        <v>522</v>
      </c>
      <c r="BK139" s="35"/>
      <c r="BL139" s="6">
        <f t="shared" si="60"/>
        <v>360</v>
      </c>
      <c r="BM139" s="6">
        <v>888</v>
      </c>
      <c r="BN139" s="6"/>
      <c r="BO139" s="6">
        <f t="shared" si="61"/>
        <v>366</v>
      </c>
      <c r="BP139" s="6">
        <v>1264</v>
      </c>
      <c r="BQ139" s="6"/>
      <c r="BR139" s="35">
        <f t="shared" si="62"/>
        <v>376</v>
      </c>
      <c r="BS139" s="6">
        <v>79</v>
      </c>
      <c r="BT139" s="6">
        <v>1560</v>
      </c>
      <c r="BU139" s="6">
        <f t="shared" si="63"/>
        <v>375</v>
      </c>
      <c r="BV139" s="6">
        <v>455</v>
      </c>
      <c r="BW139" s="6"/>
      <c r="BX139" s="35">
        <f t="shared" si="64"/>
        <v>376</v>
      </c>
      <c r="BY139" s="6">
        <v>800</v>
      </c>
      <c r="BZ139" s="35"/>
      <c r="CA139" s="6">
        <f t="shared" si="65"/>
        <v>345</v>
      </c>
      <c r="CB139" s="6"/>
      <c r="CC139" s="6"/>
      <c r="CD139" s="35"/>
      <c r="CE139" s="6">
        <v>1166</v>
      </c>
      <c r="CF139" s="35"/>
      <c r="CG139" s="6">
        <f t="shared" si="66"/>
        <v>366</v>
      </c>
      <c r="CH139" s="6">
        <v>1541</v>
      </c>
      <c r="CI139" s="6"/>
      <c r="CJ139" s="6">
        <f t="shared" si="67"/>
        <v>375</v>
      </c>
      <c r="CK139" s="6">
        <v>354</v>
      </c>
      <c r="CL139" s="6">
        <v>1560</v>
      </c>
      <c r="CM139" s="6">
        <f t="shared" si="68"/>
        <v>373</v>
      </c>
      <c r="CN139" s="6">
        <v>729</v>
      </c>
      <c r="CO139" s="6"/>
      <c r="CP139" s="6">
        <f t="shared" si="69"/>
        <v>375</v>
      </c>
      <c r="CQ139" s="6">
        <v>200</v>
      </c>
      <c r="CR139" s="6">
        <v>896</v>
      </c>
      <c r="CS139" s="6">
        <f t="shared" si="70"/>
        <v>367</v>
      </c>
      <c r="CT139" s="6">
        <v>548</v>
      </c>
      <c r="CU139" s="6"/>
      <c r="CV139" s="6">
        <f t="shared" si="71"/>
        <v>348</v>
      </c>
      <c r="CW139" s="6"/>
      <c r="CX139" s="6"/>
      <c r="CY139" s="6"/>
      <c r="CZ139" s="6">
        <v>0</v>
      </c>
      <c r="DA139" s="6">
        <v>656</v>
      </c>
      <c r="DB139" s="6">
        <f t="shared" si="72"/>
        <v>108</v>
      </c>
      <c r="DC139" s="6">
        <v>0</v>
      </c>
      <c r="DD139" s="6"/>
      <c r="DE139" s="6">
        <f t="shared" si="73"/>
        <v>0</v>
      </c>
      <c r="DF139" s="6">
        <v>254</v>
      </c>
      <c r="DG139" s="6"/>
      <c r="DH139" s="6">
        <f t="shared" si="74"/>
        <v>254</v>
      </c>
      <c r="DI139" s="6">
        <v>620</v>
      </c>
      <c r="DJ139" s="6"/>
      <c r="DK139" s="6">
        <f t="shared" si="75"/>
        <v>366</v>
      </c>
      <c r="DL139" s="6">
        <v>985</v>
      </c>
      <c r="DM139" s="6"/>
      <c r="DN139" s="6">
        <f t="shared" si="76"/>
        <v>365</v>
      </c>
      <c r="DO139" s="6">
        <v>1316</v>
      </c>
      <c r="DP139" s="6"/>
      <c r="DQ139" s="6">
        <f t="shared" si="77"/>
        <v>331</v>
      </c>
    </row>
    <row r="140" spans="1:121">
      <c r="A140" s="6">
        <v>136</v>
      </c>
      <c r="B140" s="6">
        <v>112</v>
      </c>
      <c r="C140" s="8">
        <v>1560</v>
      </c>
      <c r="D140" s="8">
        <v>371</v>
      </c>
      <c r="E140" s="33" t="s">
        <v>69</v>
      </c>
      <c r="F140" s="33" t="s">
        <v>69</v>
      </c>
      <c r="G140" s="33" t="s">
        <v>69</v>
      </c>
      <c r="H140" s="33" t="s">
        <v>69</v>
      </c>
      <c r="I140" s="33" t="s">
        <v>69</v>
      </c>
      <c r="J140" s="33" t="s">
        <v>69</v>
      </c>
      <c r="K140" s="33" t="s">
        <v>69</v>
      </c>
      <c r="L140" s="33" t="s">
        <v>69</v>
      </c>
      <c r="M140" s="33" t="s">
        <v>69</v>
      </c>
      <c r="N140" s="33" t="s">
        <v>69</v>
      </c>
      <c r="O140" s="33" t="s">
        <v>69</v>
      </c>
      <c r="P140" s="33" t="s">
        <v>69</v>
      </c>
      <c r="Q140" s="33" t="s">
        <v>69</v>
      </c>
      <c r="R140" s="33" t="s">
        <v>69</v>
      </c>
      <c r="S140" s="148" t="s">
        <v>128</v>
      </c>
      <c r="T140" s="33" t="s">
        <v>128</v>
      </c>
      <c r="U140" s="33" t="s">
        <v>128</v>
      </c>
      <c r="V140" s="33" t="s">
        <v>128</v>
      </c>
      <c r="W140" s="33" t="s">
        <v>128</v>
      </c>
      <c r="X140" s="33" t="s">
        <v>128</v>
      </c>
      <c r="Y140" s="33" t="s">
        <v>128</v>
      </c>
      <c r="Z140" s="33" t="s">
        <v>128</v>
      </c>
      <c r="AA140" s="33" t="s">
        <v>128</v>
      </c>
      <c r="AB140" s="33" t="s">
        <v>128</v>
      </c>
      <c r="AC140" s="33" t="s">
        <v>128</v>
      </c>
      <c r="AD140" s="33" t="s">
        <v>128</v>
      </c>
      <c r="AE140" s="33" t="s">
        <v>128</v>
      </c>
      <c r="AF140" s="6">
        <v>485</v>
      </c>
      <c r="AG140" s="6"/>
      <c r="AH140" s="35">
        <f t="shared" si="52"/>
        <v>373</v>
      </c>
      <c r="AI140" s="35">
        <v>847</v>
      </c>
      <c r="AJ140" s="35"/>
      <c r="AK140" s="35">
        <f t="shared" si="53"/>
        <v>362</v>
      </c>
      <c r="AL140" s="6"/>
      <c r="AM140" s="6"/>
      <c r="AN140" s="35"/>
      <c r="AO140" s="6">
        <v>1229</v>
      </c>
      <c r="AP140" s="6"/>
      <c r="AQ140" s="34">
        <f t="shared" si="54"/>
        <v>382</v>
      </c>
      <c r="AR140" s="35">
        <v>88</v>
      </c>
      <c r="AS140" s="35">
        <v>1512</v>
      </c>
      <c r="AT140" s="35">
        <f t="shared" si="55"/>
        <v>371</v>
      </c>
      <c r="AU140" s="6">
        <v>471</v>
      </c>
      <c r="AV140" s="6"/>
      <c r="AW140" s="35">
        <f t="shared" si="56"/>
        <v>383</v>
      </c>
      <c r="AX140" s="6">
        <v>857</v>
      </c>
      <c r="AY140" s="6"/>
      <c r="AZ140" s="35">
        <f t="shared" si="57"/>
        <v>386</v>
      </c>
      <c r="BA140" s="35">
        <v>1242</v>
      </c>
      <c r="BB140" s="35"/>
      <c r="BC140" s="35">
        <f t="shared" si="58"/>
        <v>385</v>
      </c>
      <c r="BD140" s="6">
        <v>57</v>
      </c>
      <c r="BE140" s="6">
        <v>1560</v>
      </c>
      <c r="BF140" s="35">
        <f t="shared" si="59"/>
        <v>375</v>
      </c>
      <c r="BG140" s="6"/>
      <c r="BH140" s="6"/>
      <c r="BI140" s="6"/>
      <c r="BJ140" s="6">
        <v>451</v>
      </c>
      <c r="BK140" s="6"/>
      <c r="BL140" s="6">
        <f t="shared" si="60"/>
        <v>394</v>
      </c>
      <c r="BM140" s="6">
        <v>834</v>
      </c>
      <c r="BN140" s="6"/>
      <c r="BO140" s="6">
        <f t="shared" si="61"/>
        <v>383</v>
      </c>
      <c r="BP140" s="6">
        <v>1209</v>
      </c>
      <c r="BQ140" s="6"/>
      <c r="BR140" s="35">
        <f t="shared" si="62"/>
        <v>375</v>
      </c>
      <c r="BS140" s="6">
        <v>1586</v>
      </c>
      <c r="BT140" s="6"/>
      <c r="BU140" s="6">
        <f t="shared" si="63"/>
        <v>377</v>
      </c>
      <c r="BV140" s="6">
        <v>0</v>
      </c>
      <c r="BW140" s="6">
        <v>1787</v>
      </c>
      <c r="BX140" s="35">
        <f t="shared" si="64"/>
        <v>201</v>
      </c>
      <c r="BY140" s="6">
        <v>0</v>
      </c>
      <c r="BZ140" s="6"/>
      <c r="CA140" s="6">
        <f t="shared" si="65"/>
        <v>0</v>
      </c>
      <c r="CB140" s="6"/>
      <c r="CC140" s="6"/>
      <c r="CD140" s="6"/>
      <c r="CE140" s="6">
        <v>0</v>
      </c>
      <c r="CF140" s="6"/>
      <c r="CG140" s="6">
        <f t="shared" si="66"/>
        <v>0</v>
      </c>
      <c r="CH140" s="6">
        <v>358</v>
      </c>
      <c r="CI140" s="6"/>
      <c r="CJ140" s="6">
        <f t="shared" si="67"/>
        <v>358</v>
      </c>
      <c r="CK140" s="6">
        <v>734</v>
      </c>
      <c r="CL140" s="6"/>
      <c r="CM140" s="6">
        <f t="shared" si="68"/>
        <v>376</v>
      </c>
      <c r="CN140" s="6">
        <v>1111</v>
      </c>
      <c r="CO140" s="6"/>
      <c r="CP140" s="6">
        <f t="shared" si="69"/>
        <v>377</v>
      </c>
      <c r="CQ140" s="6">
        <v>1482</v>
      </c>
      <c r="CR140" s="6"/>
      <c r="CS140" s="6">
        <f t="shared" si="70"/>
        <v>371</v>
      </c>
      <c r="CT140" s="6">
        <v>279</v>
      </c>
      <c r="CU140" s="6">
        <v>1560</v>
      </c>
      <c r="CV140" s="6">
        <f t="shared" si="71"/>
        <v>357</v>
      </c>
      <c r="CW140" s="6"/>
      <c r="CX140" s="6"/>
      <c r="CY140" s="6"/>
      <c r="CZ140" s="6">
        <v>651</v>
      </c>
      <c r="DA140" s="6"/>
      <c r="DB140" s="6">
        <f t="shared" si="72"/>
        <v>372</v>
      </c>
      <c r="DC140" s="6">
        <v>1021</v>
      </c>
      <c r="DD140" s="6"/>
      <c r="DE140" s="6">
        <f t="shared" si="73"/>
        <v>370</v>
      </c>
      <c r="DF140" s="6">
        <v>350</v>
      </c>
      <c r="DG140" s="6">
        <v>1031</v>
      </c>
      <c r="DH140" s="6">
        <f t="shared" si="74"/>
        <v>360</v>
      </c>
      <c r="DI140" s="6">
        <v>712</v>
      </c>
      <c r="DJ140" s="6"/>
      <c r="DK140" s="6">
        <f t="shared" si="75"/>
        <v>362</v>
      </c>
      <c r="DL140" s="6">
        <v>1074</v>
      </c>
      <c r="DM140" s="6"/>
      <c r="DN140" s="6">
        <f t="shared" si="76"/>
        <v>362</v>
      </c>
      <c r="DO140" s="6">
        <v>1402</v>
      </c>
      <c r="DP140" s="6"/>
      <c r="DQ140" s="6">
        <f t="shared" si="77"/>
        <v>328</v>
      </c>
    </row>
    <row r="141" spans="1:121">
      <c r="A141" s="6">
        <v>137</v>
      </c>
      <c r="B141" s="6">
        <v>1592</v>
      </c>
      <c r="C141" s="6"/>
      <c r="D141" s="8">
        <v>364</v>
      </c>
      <c r="E141" s="33" t="s">
        <v>69</v>
      </c>
      <c r="F141" s="148" t="s">
        <v>69</v>
      </c>
      <c r="G141" s="33" t="s">
        <v>69</v>
      </c>
      <c r="H141" s="33" t="s">
        <v>69</v>
      </c>
      <c r="I141" s="33" t="s">
        <v>69</v>
      </c>
      <c r="J141" s="33" t="s">
        <v>69</v>
      </c>
      <c r="K141" s="33" t="s">
        <v>69</v>
      </c>
      <c r="L141" s="33" t="s">
        <v>69</v>
      </c>
      <c r="M141" s="33" t="s">
        <v>69</v>
      </c>
      <c r="N141" s="33" t="s">
        <v>69</v>
      </c>
      <c r="O141" s="33" t="s">
        <v>69</v>
      </c>
      <c r="P141" s="33" t="s">
        <v>69</v>
      </c>
      <c r="Q141" s="33" t="s">
        <v>69</v>
      </c>
      <c r="R141" s="33" t="s">
        <v>69</v>
      </c>
      <c r="S141" s="33" t="s">
        <v>69</v>
      </c>
      <c r="T141" s="33" t="s">
        <v>69</v>
      </c>
      <c r="U141" s="33" t="s">
        <v>69</v>
      </c>
      <c r="V141" s="33" t="s">
        <v>69</v>
      </c>
      <c r="W141" s="33" t="s">
        <v>69</v>
      </c>
      <c r="X141" s="33" t="s">
        <v>69</v>
      </c>
      <c r="Y141" s="33" t="s">
        <v>69</v>
      </c>
      <c r="Z141" s="33" t="s">
        <v>69</v>
      </c>
      <c r="AA141" s="33" t="s">
        <v>69</v>
      </c>
      <c r="AB141" s="33" t="s">
        <v>69</v>
      </c>
      <c r="AC141" s="33" t="s">
        <v>69</v>
      </c>
      <c r="AD141" s="148" t="s">
        <v>128</v>
      </c>
      <c r="AE141" s="33" t="s">
        <v>128</v>
      </c>
      <c r="AF141" s="6">
        <v>285</v>
      </c>
      <c r="AG141" s="6">
        <v>1668</v>
      </c>
      <c r="AH141" s="35">
        <f t="shared" si="52"/>
        <v>361</v>
      </c>
      <c r="AI141" s="35">
        <v>640</v>
      </c>
      <c r="AJ141" s="35"/>
      <c r="AK141" s="35">
        <f t="shared" si="53"/>
        <v>355</v>
      </c>
      <c r="AL141" s="6"/>
      <c r="AM141" s="6"/>
      <c r="AN141" s="35"/>
      <c r="AO141" s="6">
        <v>986</v>
      </c>
      <c r="AP141" s="6"/>
      <c r="AQ141" s="34">
        <f t="shared" si="54"/>
        <v>346</v>
      </c>
      <c r="AR141" s="35">
        <v>1355</v>
      </c>
      <c r="AS141" s="35"/>
      <c r="AT141" s="35">
        <f t="shared" si="55"/>
        <v>369</v>
      </c>
      <c r="AU141" s="6">
        <v>143</v>
      </c>
      <c r="AV141" s="6">
        <v>1560</v>
      </c>
      <c r="AW141" s="35">
        <f t="shared" si="56"/>
        <v>348</v>
      </c>
      <c r="AX141" s="6">
        <v>533</v>
      </c>
      <c r="AY141" s="6"/>
      <c r="AZ141" s="35">
        <f t="shared" si="57"/>
        <v>390</v>
      </c>
      <c r="BA141" s="35">
        <v>915</v>
      </c>
      <c r="BB141" s="35"/>
      <c r="BC141" s="35">
        <f t="shared" si="58"/>
        <v>382</v>
      </c>
      <c r="BD141" s="6">
        <v>1103</v>
      </c>
      <c r="BE141" s="6"/>
      <c r="BF141" s="35">
        <f t="shared" si="59"/>
        <v>188</v>
      </c>
      <c r="BG141" s="6"/>
      <c r="BH141" s="6"/>
      <c r="BI141" s="6"/>
      <c r="BJ141" s="6">
        <v>1103</v>
      </c>
      <c r="BK141" s="6"/>
      <c r="BL141" s="6">
        <f t="shared" si="60"/>
        <v>0</v>
      </c>
      <c r="BM141" s="6">
        <v>1333</v>
      </c>
      <c r="BN141" s="6"/>
      <c r="BO141" s="6">
        <f t="shared" si="61"/>
        <v>230</v>
      </c>
      <c r="BP141" s="6">
        <v>136</v>
      </c>
      <c r="BQ141" s="6">
        <v>1560</v>
      </c>
      <c r="BR141" s="35">
        <f t="shared" si="62"/>
        <v>363</v>
      </c>
      <c r="BS141" s="6">
        <v>498</v>
      </c>
      <c r="BT141" s="6"/>
      <c r="BU141" s="6">
        <f t="shared" si="63"/>
        <v>362</v>
      </c>
      <c r="BV141" s="6">
        <v>863</v>
      </c>
      <c r="BW141" s="6"/>
      <c r="BX141" s="35">
        <f t="shared" si="64"/>
        <v>365</v>
      </c>
      <c r="BY141" s="6">
        <v>66</v>
      </c>
      <c r="BZ141" s="6">
        <v>1136</v>
      </c>
      <c r="CA141" s="6">
        <f t="shared" si="65"/>
        <v>339</v>
      </c>
      <c r="CB141" s="6"/>
      <c r="CC141" s="6"/>
      <c r="CD141" s="6"/>
      <c r="CE141" s="6">
        <v>428</v>
      </c>
      <c r="CF141" s="6"/>
      <c r="CG141" s="6">
        <f t="shared" si="66"/>
        <v>362</v>
      </c>
      <c r="CH141" s="6">
        <v>792</v>
      </c>
      <c r="CI141" s="6"/>
      <c r="CJ141" s="6">
        <f t="shared" si="67"/>
        <v>364</v>
      </c>
      <c r="CK141" s="6">
        <v>1154</v>
      </c>
      <c r="CL141" s="6"/>
      <c r="CM141" s="6">
        <f t="shared" si="68"/>
        <v>362</v>
      </c>
      <c r="CN141" s="6">
        <v>1509</v>
      </c>
      <c r="CO141" s="6"/>
      <c r="CP141" s="6">
        <f t="shared" si="69"/>
        <v>355</v>
      </c>
      <c r="CQ141" s="6">
        <v>311</v>
      </c>
      <c r="CR141" s="6">
        <v>1560</v>
      </c>
      <c r="CS141" s="6">
        <f t="shared" si="70"/>
        <v>362</v>
      </c>
      <c r="CT141" s="6">
        <v>655</v>
      </c>
      <c r="CU141" s="6"/>
      <c r="CV141" s="6">
        <f t="shared" si="71"/>
        <v>344</v>
      </c>
      <c r="CW141" s="6"/>
      <c r="CX141" s="6"/>
      <c r="CY141" s="6"/>
      <c r="CZ141" s="6">
        <v>1018</v>
      </c>
      <c r="DA141" s="6"/>
      <c r="DB141" s="6">
        <f t="shared" si="72"/>
        <v>363</v>
      </c>
      <c r="DC141" s="6">
        <v>1380</v>
      </c>
      <c r="DD141" s="6"/>
      <c r="DE141" s="6">
        <f t="shared" si="73"/>
        <v>362</v>
      </c>
      <c r="DF141" s="6">
        <v>1746</v>
      </c>
      <c r="DG141" s="6"/>
      <c r="DH141" s="6">
        <f t="shared" si="74"/>
        <v>366</v>
      </c>
      <c r="DI141" s="6">
        <v>0</v>
      </c>
      <c r="DJ141" s="6">
        <v>1987</v>
      </c>
      <c r="DK141" s="6">
        <f t="shared" si="75"/>
        <v>241</v>
      </c>
      <c r="DL141" s="6">
        <v>358</v>
      </c>
      <c r="DM141" s="6"/>
      <c r="DN141" s="6">
        <f t="shared" si="76"/>
        <v>358</v>
      </c>
      <c r="DO141" s="6">
        <v>696</v>
      </c>
      <c r="DP141" s="6"/>
      <c r="DQ141" s="6">
        <f t="shared" si="77"/>
        <v>338</v>
      </c>
    </row>
    <row r="142" spans="1:121">
      <c r="A142" s="6">
        <v>138</v>
      </c>
      <c r="B142" s="6">
        <v>47</v>
      </c>
      <c r="C142" s="6">
        <v>1560</v>
      </c>
      <c r="D142" s="6">
        <v>370</v>
      </c>
      <c r="E142" s="33" t="s">
        <v>37</v>
      </c>
      <c r="F142" s="33" t="s">
        <v>37</v>
      </c>
      <c r="G142" s="33" t="s">
        <v>37</v>
      </c>
      <c r="H142" s="33" t="s">
        <v>37</v>
      </c>
      <c r="I142" s="33" t="s">
        <v>37</v>
      </c>
      <c r="J142" s="33" t="s">
        <v>37</v>
      </c>
      <c r="K142" s="33" t="s">
        <v>37</v>
      </c>
      <c r="L142" s="33" t="s">
        <v>37</v>
      </c>
      <c r="M142" s="33" t="s">
        <v>37</v>
      </c>
      <c r="N142" s="33" t="s">
        <v>37</v>
      </c>
      <c r="O142" s="33" t="s">
        <v>37</v>
      </c>
      <c r="P142" s="33" t="s">
        <v>37</v>
      </c>
      <c r="Q142" s="33" t="s">
        <v>37</v>
      </c>
      <c r="R142" s="33" t="s">
        <v>37</v>
      </c>
      <c r="S142" s="33" t="s">
        <v>37</v>
      </c>
      <c r="T142" s="33" t="s">
        <v>37</v>
      </c>
      <c r="U142" s="33" t="s">
        <v>37</v>
      </c>
      <c r="V142" s="148" t="s">
        <v>37</v>
      </c>
      <c r="W142" s="33" t="s">
        <v>37</v>
      </c>
      <c r="X142" s="33" t="s">
        <v>37</v>
      </c>
      <c r="Y142" s="33" t="s">
        <v>37</v>
      </c>
      <c r="Z142" s="33" t="s">
        <v>37</v>
      </c>
      <c r="AA142" s="33" t="s">
        <v>37</v>
      </c>
      <c r="AB142" s="33" t="s">
        <v>37</v>
      </c>
      <c r="AC142" s="33" t="s">
        <v>37</v>
      </c>
      <c r="AD142" s="33" t="s">
        <v>37</v>
      </c>
      <c r="AE142" s="33" t="s">
        <v>37</v>
      </c>
      <c r="AF142" s="6">
        <v>425</v>
      </c>
      <c r="AG142" s="6"/>
      <c r="AH142" s="35">
        <f t="shared" si="52"/>
        <v>378</v>
      </c>
      <c r="AI142" s="35">
        <v>163</v>
      </c>
      <c r="AJ142" s="35">
        <v>591</v>
      </c>
      <c r="AK142" s="35">
        <f t="shared" si="53"/>
        <v>329</v>
      </c>
      <c r="AL142" s="6"/>
      <c r="AM142" s="6"/>
      <c r="AN142" s="35"/>
      <c r="AO142" s="6">
        <v>241</v>
      </c>
      <c r="AP142" s="6">
        <v>281</v>
      </c>
      <c r="AQ142" s="34">
        <f t="shared" si="54"/>
        <v>359</v>
      </c>
      <c r="AR142" s="35">
        <v>168</v>
      </c>
      <c r="AS142" s="35">
        <v>419</v>
      </c>
      <c r="AT142" s="35">
        <f t="shared" si="55"/>
        <v>346</v>
      </c>
      <c r="AU142" s="6">
        <v>245</v>
      </c>
      <c r="AV142" s="6">
        <v>275</v>
      </c>
      <c r="AW142" s="35">
        <f t="shared" si="56"/>
        <v>352</v>
      </c>
      <c r="AX142" s="6">
        <v>604</v>
      </c>
      <c r="AY142" s="6"/>
      <c r="AZ142" s="35">
        <f t="shared" si="57"/>
        <v>359</v>
      </c>
      <c r="BA142" s="6">
        <v>962</v>
      </c>
      <c r="BB142" s="6"/>
      <c r="BC142" s="35">
        <f t="shared" si="58"/>
        <v>358</v>
      </c>
      <c r="BD142" s="6">
        <v>216</v>
      </c>
      <c r="BE142" s="6">
        <v>1086</v>
      </c>
      <c r="BF142" s="35">
        <f t="shared" si="59"/>
        <v>340</v>
      </c>
      <c r="BG142" s="6"/>
      <c r="BH142" s="6"/>
      <c r="BI142" s="35"/>
      <c r="BJ142" s="6">
        <v>573</v>
      </c>
      <c r="BK142" s="35"/>
      <c r="BL142" s="6">
        <f t="shared" si="60"/>
        <v>357</v>
      </c>
      <c r="BM142" s="6">
        <v>231</v>
      </c>
      <c r="BN142" s="6">
        <v>700</v>
      </c>
      <c r="BO142" s="6">
        <f t="shared" si="61"/>
        <v>358</v>
      </c>
      <c r="BP142" s="6">
        <v>196</v>
      </c>
      <c r="BQ142" s="6">
        <v>379</v>
      </c>
      <c r="BR142" s="35">
        <f t="shared" si="62"/>
        <v>344</v>
      </c>
      <c r="BS142" s="6">
        <v>558</v>
      </c>
      <c r="BT142" s="6"/>
      <c r="BU142" s="6">
        <f t="shared" si="63"/>
        <v>362</v>
      </c>
      <c r="BV142" s="6">
        <v>312</v>
      </c>
      <c r="BW142" s="6">
        <v>590</v>
      </c>
      <c r="BX142" s="35">
        <f t="shared" si="64"/>
        <v>344</v>
      </c>
      <c r="BY142" s="6">
        <v>251</v>
      </c>
      <c r="BZ142" s="35">
        <v>390</v>
      </c>
      <c r="CA142" s="6">
        <f t="shared" si="65"/>
        <v>329</v>
      </c>
      <c r="CB142" s="6"/>
      <c r="CC142" s="6"/>
      <c r="CD142" s="35"/>
      <c r="CE142" s="6">
        <v>609</v>
      </c>
      <c r="CF142" s="35"/>
      <c r="CG142" s="6">
        <f t="shared" si="66"/>
        <v>358</v>
      </c>
      <c r="CH142" s="6">
        <v>0</v>
      </c>
      <c r="CI142" s="6">
        <v>821</v>
      </c>
      <c r="CJ142" s="6">
        <f t="shared" si="67"/>
        <v>212</v>
      </c>
      <c r="CK142" s="6">
        <v>329</v>
      </c>
      <c r="CL142" s="6"/>
      <c r="CM142" s="6">
        <f t="shared" si="68"/>
        <v>329</v>
      </c>
      <c r="CN142" s="6">
        <v>692</v>
      </c>
      <c r="CO142" s="6"/>
      <c r="CP142" s="6">
        <f t="shared" si="69"/>
        <v>363</v>
      </c>
      <c r="CQ142" s="6">
        <v>1052</v>
      </c>
      <c r="CR142" s="6"/>
      <c r="CS142" s="6">
        <f t="shared" si="70"/>
        <v>360</v>
      </c>
      <c r="CT142" s="6">
        <v>1391</v>
      </c>
      <c r="CU142" s="6"/>
      <c r="CV142" s="6">
        <f t="shared" si="71"/>
        <v>339</v>
      </c>
      <c r="CW142" s="6"/>
      <c r="CX142" s="6"/>
      <c r="CY142" s="6"/>
      <c r="CZ142" s="6">
        <v>192</v>
      </c>
      <c r="DA142" s="6">
        <v>1560</v>
      </c>
      <c r="DB142" s="6">
        <f t="shared" si="72"/>
        <v>361</v>
      </c>
      <c r="DC142" s="6">
        <v>552</v>
      </c>
      <c r="DD142" s="6"/>
      <c r="DE142" s="6">
        <f t="shared" si="73"/>
        <v>360</v>
      </c>
      <c r="DF142" s="6">
        <v>909</v>
      </c>
      <c r="DG142" s="6"/>
      <c r="DH142" s="6">
        <f t="shared" si="74"/>
        <v>357</v>
      </c>
      <c r="DI142" s="6">
        <v>1271</v>
      </c>
      <c r="DJ142" s="6"/>
      <c r="DK142" s="6">
        <f t="shared" si="75"/>
        <v>362</v>
      </c>
      <c r="DL142" s="6">
        <v>75</v>
      </c>
      <c r="DM142" s="6">
        <v>1560</v>
      </c>
      <c r="DN142" s="6">
        <f t="shared" si="76"/>
        <v>364</v>
      </c>
      <c r="DO142" s="6">
        <v>402</v>
      </c>
      <c r="DP142" s="6"/>
      <c r="DQ142" s="6">
        <f t="shared" si="77"/>
        <v>327</v>
      </c>
    </row>
    <row r="143" spans="1:121">
      <c r="A143" s="7">
        <v>139</v>
      </c>
      <c r="B143" s="6">
        <v>1492</v>
      </c>
      <c r="C143" s="6"/>
      <c r="D143" s="6">
        <v>345</v>
      </c>
      <c r="E143" s="33" t="s">
        <v>37</v>
      </c>
      <c r="F143" s="33" t="s">
        <v>37</v>
      </c>
      <c r="G143" s="33" t="s">
        <v>37</v>
      </c>
      <c r="H143" s="33" t="s">
        <v>37</v>
      </c>
      <c r="I143" s="33" t="s">
        <v>37</v>
      </c>
      <c r="J143" s="33" t="s">
        <v>37</v>
      </c>
      <c r="K143" s="33" t="s">
        <v>37</v>
      </c>
      <c r="L143" s="33" t="s">
        <v>37</v>
      </c>
      <c r="M143" s="33" t="s">
        <v>37</v>
      </c>
      <c r="N143" s="33" t="s">
        <v>37</v>
      </c>
      <c r="O143" s="33" t="s">
        <v>37</v>
      </c>
      <c r="P143" s="33" t="s">
        <v>37</v>
      </c>
      <c r="Q143" s="33" t="s">
        <v>37</v>
      </c>
      <c r="R143" s="33" t="s">
        <v>37</v>
      </c>
      <c r="S143" s="33" t="s">
        <v>37</v>
      </c>
      <c r="T143" s="33" t="s">
        <v>37</v>
      </c>
      <c r="U143" s="33" t="s">
        <v>37</v>
      </c>
      <c r="V143" s="33" t="s">
        <v>37</v>
      </c>
      <c r="W143" s="148" t="s">
        <v>37</v>
      </c>
      <c r="X143" s="33" t="s">
        <v>37</v>
      </c>
      <c r="Y143" s="33" t="s">
        <v>37</v>
      </c>
      <c r="Z143" s="33" t="s">
        <v>37</v>
      </c>
      <c r="AA143" s="33" t="s">
        <v>37</v>
      </c>
      <c r="AB143" s="33" t="s">
        <v>37</v>
      </c>
      <c r="AC143" s="33" t="s">
        <v>37</v>
      </c>
      <c r="AD143" s="33" t="s">
        <v>37</v>
      </c>
      <c r="AE143" s="33" t="s">
        <v>37</v>
      </c>
      <c r="AF143" s="35">
        <v>299</v>
      </c>
      <c r="AG143" s="35">
        <v>1560</v>
      </c>
      <c r="AH143" s="35">
        <f t="shared" si="52"/>
        <v>367</v>
      </c>
      <c r="AI143" s="35">
        <v>656</v>
      </c>
      <c r="AJ143" s="35"/>
      <c r="AK143" s="35">
        <f t="shared" si="53"/>
        <v>357</v>
      </c>
      <c r="AL143" s="6"/>
      <c r="AM143" s="6"/>
      <c r="AN143" s="35"/>
      <c r="AO143" s="6">
        <v>1020</v>
      </c>
      <c r="AP143" s="6"/>
      <c r="AQ143" s="34">
        <f t="shared" si="54"/>
        <v>364</v>
      </c>
      <c r="AR143" s="35">
        <v>1393</v>
      </c>
      <c r="AS143" s="35"/>
      <c r="AT143" s="35">
        <f t="shared" si="55"/>
        <v>373</v>
      </c>
      <c r="AU143" s="6">
        <v>211</v>
      </c>
      <c r="AV143" s="6">
        <v>1560</v>
      </c>
      <c r="AW143" s="35">
        <f t="shared" si="56"/>
        <v>378</v>
      </c>
      <c r="AX143" s="6">
        <v>599</v>
      </c>
      <c r="AY143" s="6"/>
      <c r="AZ143" s="35">
        <f t="shared" si="57"/>
        <v>388</v>
      </c>
      <c r="BA143" s="6">
        <v>965</v>
      </c>
      <c r="BB143" s="6"/>
      <c r="BC143" s="35">
        <f t="shared" si="58"/>
        <v>366</v>
      </c>
      <c r="BD143" s="6">
        <v>1328</v>
      </c>
      <c r="BE143" s="6"/>
      <c r="BF143" s="35">
        <f t="shared" si="59"/>
        <v>363</v>
      </c>
      <c r="BG143" s="6"/>
      <c r="BH143" s="6"/>
      <c r="BI143" s="35"/>
      <c r="BJ143" s="6">
        <v>146</v>
      </c>
      <c r="BK143" s="35">
        <v>1560</v>
      </c>
      <c r="BL143" s="6">
        <f t="shared" si="60"/>
        <v>378</v>
      </c>
      <c r="BM143" s="6">
        <v>522</v>
      </c>
      <c r="BN143" s="6"/>
      <c r="BO143" s="6">
        <f t="shared" si="61"/>
        <v>376</v>
      </c>
      <c r="BP143" s="6">
        <v>901</v>
      </c>
      <c r="BQ143" s="6"/>
      <c r="BR143" s="35">
        <f t="shared" si="62"/>
        <v>379</v>
      </c>
      <c r="BS143" s="6">
        <v>1277</v>
      </c>
      <c r="BT143" s="6"/>
      <c r="BU143" s="6">
        <f t="shared" si="63"/>
        <v>376</v>
      </c>
      <c r="BV143" s="6">
        <v>93</v>
      </c>
      <c r="BW143" s="6">
        <v>1560</v>
      </c>
      <c r="BX143" s="35">
        <f t="shared" si="64"/>
        <v>376</v>
      </c>
      <c r="BY143" s="6">
        <v>437</v>
      </c>
      <c r="BZ143" s="35"/>
      <c r="CA143" s="6">
        <f t="shared" si="65"/>
        <v>344</v>
      </c>
      <c r="CB143" s="6"/>
      <c r="CC143" s="6"/>
      <c r="CD143" s="35"/>
      <c r="CE143" s="6">
        <v>812</v>
      </c>
      <c r="CF143" s="35"/>
      <c r="CG143" s="6">
        <f t="shared" si="66"/>
        <v>375</v>
      </c>
      <c r="CH143" s="6">
        <v>1190</v>
      </c>
      <c r="CI143" s="6"/>
      <c r="CJ143" s="6">
        <f t="shared" si="67"/>
        <v>378</v>
      </c>
      <c r="CK143" s="6">
        <v>1557</v>
      </c>
      <c r="CL143" s="6"/>
      <c r="CM143" s="6">
        <f t="shared" si="68"/>
        <v>367</v>
      </c>
      <c r="CN143" s="6">
        <v>8</v>
      </c>
      <c r="CO143" s="6">
        <v>1632</v>
      </c>
      <c r="CP143" s="6">
        <f t="shared" si="69"/>
        <v>83</v>
      </c>
      <c r="CQ143" s="6">
        <v>3</v>
      </c>
      <c r="CR143" s="6">
        <v>371</v>
      </c>
      <c r="CS143" s="6">
        <f t="shared" si="70"/>
        <v>366</v>
      </c>
      <c r="CT143" s="6">
        <v>359</v>
      </c>
      <c r="CU143" s="6"/>
      <c r="CV143" s="6">
        <f t="shared" si="71"/>
        <v>356</v>
      </c>
      <c r="CW143" s="6"/>
      <c r="CX143" s="6"/>
      <c r="CY143" s="6"/>
      <c r="CZ143" s="6">
        <v>736</v>
      </c>
      <c r="DA143" s="6"/>
      <c r="DB143" s="6">
        <f t="shared" si="72"/>
        <v>377</v>
      </c>
      <c r="DC143" s="6">
        <v>1108</v>
      </c>
      <c r="DD143" s="6"/>
      <c r="DE143" s="6">
        <f t="shared" si="73"/>
        <v>372</v>
      </c>
      <c r="DF143" s="6">
        <v>229</v>
      </c>
      <c r="DG143" s="6">
        <v>1249</v>
      </c>
      <c r="DH143" s="6">
        <f t="shared" si="74"/>
        <v>370</v>
      </c>
      <c r="DI143" s="6">
        <v>599</v>
      </c>
      <c r="DJ143" s="6"/>
      <c r="DK143" s="6">
        <f t="shared" si="75"/>
        <v>370</v>
      </c>
      <c r="DL143" s="6">
        <v>966</v>
      </c>
      <c r="DM143" s="6"/>
      <c r="DN143" s="6">
        <f t="shared" si="76"/>
        <v>367</v>
      </c>
      <c r="DO143" s="6">
        <v>1298</v>
      </c>
      <c r="DP143" s="6"/>
      <c r="DQ143" s="6">
        <f t="shared" si="77"/>
        <v>332</v>
      </c>
    </row>
    <row r="144" spans="1:121">
      <c r="A144" s="7">
        <v>140</v>
      </c>
      <c r="B144" s="6">
        <v>1372</v>
      </c>
      <c r="C144" s="6"/>
      <c r="D144" s="6">
        <v>349</v>
      </c>
      <c r="E144" s="33" t="s">
        <v>37</v>
      </c>
      <c r="F144" s="33" t="s">
        <v>37</v>
      </c>
      <c r="G144" s="33" t="s">
        <v>37</v>
      </c>
      <c r="H144" s="33" t="s">
        <v>37</v>
      </c>
      <c r="I144" s="33" t="s">
        <v>37</v>
      </c>
      <c r="J144" s="33" t="s">
        <v>37</v>
      </c>
      <c r="K144" s="33" t="s">
        <v>37</v>
      </c>
      <c r="L144" s="33" t="s">
        <v>37</v>
      </c>
      <c r="M144" s="33" t="s">
        <v>37</v>
      </c>
      <c r="N144" s="33" t="s">
        <v>37</v>
      </c>
      <c r="O144" s="33" t="s">
        <v>37</v>
      </c>
      <c r="P144" s="33" t="s">
        <v>37</v>
      </c>
      <c r="Q144" s="33" t="s">
        <v>37</v>
      </c>
      <c r="R144" s="33" t="s">
        <v>37</v>
      </c>
      <c r="S144" s="33" t="s">
        <v>37</v>
      </c>
      <c r="T144" s="33" t="s">
        <v>37</v>
      </c>
      <c r="U144" s="33" t="s">
        <v>37</v>
      </c>
      <c r="V144" s="33" t="s">
        <v>37</v>
      </c>
      <c r="W144" s="33" t="s">
        <v>37</v>
      </c>
      <c r="X144" s="33" t="s">
        <v>37</v>
      </c>
      <c r="Y144" s="148" t="s">
        <v>128</v>
      </c>
      <c r="Z144" s="33" t="s">
        <v>128</v>
      </c>
      <c r="AA144" s="33" t="s">
        <v>128</v>
      </c>
      <c r="AB144" s="33" t="s">
        <v>128</v>
      </c>
      <c r="AC144" s="33" t="s">
        <v>128</v>
      </c>
      <c r="AD144" s="33" t="s">
        <v>128</v>
      </c>
      <c r="AE144" s="33" t="s">
        <v>128</v>
      </c>
      <c r="AF144" s="35">
        <v>172</v>
      </c>
      <c r="AG144" s="35">
        <v>1560</v>
      </c>
      <c r="AH144" s="35">
        <f t="shared" si="52"/>
        <v>360</v>
      </c>
      <c r="AI144" s="35">
        <v>525</v>
      </c>
      <c r="AJ144" s="35"/>
      <c r="AK144" s="35">
        <f t="shared" si="53"/>
        <v>353</v>
      </c>
      <c r="AL144" s="6"/>
      <c r="AM144" s="6"/>
      <c r="AN144" s="35"/>
      <c r="AO144" s="6">
        <v>897</v>
      </c>
      <c r="AP144" s="6"/>
      <c r="AQ144" s="34">
        <f t="shared" si="54"/>
        <v>372</v>
      </c>
      <c r="AR144" s="35">
        <v>1274</v>
      </c>
      <c r="AS144" s="35"/>
      <c r="AT144" s="35">
        <f t="shared" si="55"/>
        <v>377</v>
      </c>
      <c r="AU144" s="6">
        <v>83</v>
      </c>
      <c r="AV144" s="6">
        <v>1560</v>
      </c>
      <c r="AW144" s="35">
        <f t="shared" si="56"/>
        <v>369</v>
      </c>
      <c r="AX144" s="6">
        <v>454</v>
      </c>
      <c r="AY144" s="6"/>
      <c r="AZ144" s="35">
        <f t="shared" si="57"/>
        <v>371</v>
      </c>
      <c r="BA144" s="6">
        <v>825</v>
      </c>
      <c r="BB144" s="6"/>
      <c r="BC144" s="35">
        <f t="shared" si="58"/>
        <v>371</v>
      </c>
      <c r="BD144" s="6">
        <v>1172</v>
      </c>
      <c r="BE144" s="6"/>
      <c r="BF144" s="35">
        <f t="shared" si="59"/>
        <v>347</v>
      </c>
      <c r="BG144" s="6"/>
      <c r="BH144" s="6"/>
      <c r="BI144" s="35"/>
      <c r="BJ144" s="6">
        <v>1538</v>
      </c>
      <c r="BK144" s="35"/>
      <c r="BL144" s="6">
        <f t="shared" si="60"/>
        <v>366</v>
      </c>
      <c r="BM144" s="6">
        <v>344</v>
      </c>
      <c r="BN144" s="6">
        <v>1560</v>
      </c>
      <c r="BO144" s="6">
        <f t="shared" si="61"/>
        <v>366</v>
      </c>
      <c r="BP144" s="6">
        <v>717</v>
      </c>
      <c r="BQ144" s="6"/>
      <c r="BR144" s="35">
        <f t="shared" si="62"/>
        <v>373</v>
      </c>
      <c r="BS144" s="6">
        <v>1093</v>
      </c>
      <c r="BT144" s="6"/>
      <c r="BU144" s="6">
        <f t="shared" si="63"/>
        <v>376</v>
      </c>
      <c r="BV144" s="6">
        <v>1465</v>
      </c>
      <c r="BW144" s="6"/>
      <c r="BX144" s="35">
        <f t="shared" si="64"/>
        <v>372</v>
      </c>
      <c r="BY144" s="6">
        <v>254</v>
      </c>
      <c r="BZ144" s="35">
        <v>1560</v>
      </c>
      <c r="CA144" s="6">
        <f t="shared" si="65"/>
        <v>349</v>
      </c>
      <c r="CB144" s="6"/>
      <c r="CC144" s="6"/>
      <c r="CD144" s="35"/>
      <c r="CE144" s="6">
        <v>630</v>
      </c>
      <c r="CF144" s="35"/>
      <c r="CG144" s="6">
        <f t="shared" si="66"/>
        <v>376</v>
      </c>
      <c r="CH144" s="6">
        <v>1005</v>
      </c>
      <c r="CI144" s="6"/>
      <c r="CJ144" s="6">
        <f t="shared" si="67"/>
        <v>375</v>
      </c>
      <c r="CK144" s="6">
        <v>1209</v>
      </c>
      <c r="CL144" s="6"/>
      <c r="CM144" s="6">
        <f t="shared" si="68"/>
        <v>204</v>
      </c>
      <c r="CN144" s="6">
        <v>1534</v>
      </c>
      <c r="CO144" s="6"/>
      <c r="CP144" s="6">
        <f t="shared" si="69"/>
        <v>325</v>
      </c>
      <c r="CQ144" s="6">
        <v>0</v>
      </c>
      <c r="CR144" s="6">
        <v>1623</v>
      </c>
      <c r="CS144" s="6">
        <f t="shared" si="70"/>
        <v>89</v>
      </c>
      <c r="CT144" s="6">
        <v>336</v>
      </c>
      <c r="CU144" s="6"/>
      <c r="CV144" s="6">
        <f t="shared" si="71"/>
        <v>336</v>
      </c>
      <c r="CW144" s="6"/>
      <c r="CX144" s="6"/>
      <c r="CY144" s="6"/>
      <c r="CZ144" s="6">
        <v>700</v>
      </c>
      <c r="DA144" s="6"/>
      <c r="DB144" s="6">
        <f t="shared" si="72"/>
        <v>364</v>
      </c>
      <c r="DC144" s="6">
        <v>219</v>
      </c>
      <c r="DD144" s="6">
        <v>835</v>
      </c>
      <c r="DE144" s="6">
        <f t="shared" si="73"/>
        <v>354</v>
      </c>
      <c r="DF144" s="6">
        <v>584</v>
      </c>
      <c r="DG144" s="6"/>
      <c r="DH144" s="6">
        <f t="shared" si="74"/>
        <v>365</v>
      </c>
      <c r="DI144" s="6">
        <v>948</v>
      </c>
      <c r="DJ144" s="6"/>
      <c r="DK144" s="6">
        <f t="shared" si="75"/>
        <v>364</v>
      </c>
      <c r="DL144" s="6">
        <v>1293</v>
      </c>
      <c r="DM144" s="6"/>
      <c r="DN144" s="6">
        <f t="shared" si="76"/>
        <v>345</v>
      </c>
      <c r="DO144" s="6">
        <v>60</v>
      </c>
      <c r="DP144" s="6">
        <v>1560</v>
      </c>
      <c r="DQ144" s="6">
        <f t="shared" si="77"/>
        <v>327</v>
      </c>
    </row>
    <row r="145" spans="1:121">
      <c r="A145" s="6">
        <v>141</v>
      </c>
      <c r="B145" s="6">
        <v>0</v>
      </c>
      <c r="C145" s="6">
        <v>1447</v>
      </c>
      <c r="D145" s="6">
        <v>243</v>
      </c>
      <c r="E145" s="33" t="s">
        <v>37</v>
      </c>
      <c r="F145" s="148" t="s">
        <v>37</v>
      </c>
      <c r="G145" s="33" t="s">
        <v>37</v>
      </c>
      <c r="H145" s="33" t="s">
        <v>37</v>
      </c>
      <c r="I145" s="33" t="s">
        <v>37</v>
      </c>
      <c r="J145" s="33" t="s">
        <v>37</v>
      </c>
      <c r="K145" s="33" t="s">
        <v>37</v>
      </c>
      <c r="L145" s="33" t="s">
        <v>37</v>
      </c>
      <c r="M145" s="33" t="s">
        <v>37</v>
      </c>
      <c r="N145" s="33" t="s">
        <v>37</v>
      </c>
      <c r="O145" s="33" t="s">
        <v>37</v>
      </c>
      <c r="P145" s="33" t="s">
        <v>37</v>
      </c>
      <c r="Q145" s="33" t="s">
        <v>37</v>
      </c>
      <c r="R145" s="33" t="s">
        <v>37</v>
      </c>
      <c r="S145" s="33" t="s">
        <v>37</v>
      </c>
      <c r="T145" s="33" t="s">
        <v>37</v>
      </c>
      <c r="U145" s="33" t="s">
        <v>37</v>
      </c>
      <c r="V145" s="33" t="s">
        <v>37</v>
      </c>
      <c r="W145" s="33" t="s">
        <v>37</v>
      </c>
      <c r="X145" s="33" t="s">
        <v>37</v>
      </c>
      <c r="Y145" s="33" t="s">
        <v>37</v>
      </c>
      <c r="Z145" s="33" t="s">
        <v>37</v>
      </c>
      <c r="AA145" s="148" t="s">
        <v>37</v>
      </c>
      <c r="AB145" s="33" t="s">
        <v>37</v>
      </c>
      <c r="AC145" s="33" t="s">
        <v>37</v>
      </c>
      <c r="AD145" s="33" t="s">
        <v>37</v>
      </c>
      <c r="AE145" s="33" t="s">
        <v>37</v>
      </c>
      <c r="AF145" s="35">
        <v>355</v>
      </c>
      <c r="AG145" s="35"/>
      <c r="AH145" s="35">
        <f t="shared" si="52"/>
        <v>355</v>
      </c>
      <c r="AI145" s="35">
        <v>705</v>
      </c>
      <c r="AJ145" s="35"/>
      <c r="AK145" s="35">
        <f t="shared" si="53"/>
        <v>350</v>
      </c>
      <c r="AL145" s="35"/>
      <c r="AM145" s="35"/>
      <c r="AN145" s="35"/>
      <c r="AO145" s="35">
        <v>1079</v>
      </c>
      <c r="AP145" s="35"/>
      <c r="AQ145" s="34">
        <f t="shared" si="54"/>
        <v>374</v>
      </c>
      <c r="AR145" s="35">
        <v>1453</v>
      </c>
      <c r="AS145" s="35"/>
      <c r="AT145" s="35">
        <f t="shared" si="55"/>
        <v>374</v>
      </c>
      <c r="AU145" s="6">
        <v>269</v>
      </c>
      <c r="AV145" s="6">
        <v>1560</v>
      </c>
      <c r="AW145" s="35">
        <f t="shared" si="56"/>
        <v>376</v>
      </c>
      <c r="AX145" s="6">
        <v>652</v>
      </c>
      <c r="AY145" s="6"/>
      <c r="AZ145" s="35">
        <f t="shared" si="57"/>
        <v>383</v>
      </c>
      <c r="BA145" s="6">
        <v>1033</v>
      </c>
      <c r="BB145" s="6"/>
      <c r="BC145" s="35">
        <f t="shared" si="58"/>
        <v>381</v>
      </c>
      <c r="BD145" s="6">
        <v>1403</v>
      </c>
      <c r="BE145" s="6"/>
      <c r="BF145" s="35">
        <f t="shared" si="59"/>
        <v>370</v>
      </c>
      <c r="BG145" s="6"/>
      <c r="BH145" s="6"/>
      <c r="BI145" s="35"/>
      <c r="BJ145" s="6">
        <v>232</v>
      </c>
      <c r="BK145" s="35">
        <v>1560</v>
      </c>
      <c r="BL145" s="6">
        <f t="shared" si="60"/>
        <v>389</v>
      </c>
      <c r="BM145" s="6">
        <v>608</v>
      </c>
      <c r="BN145" s="6"/>
      <c r="BO145" s="6">
        <f t="shared" si="61"/>
        <v>376</v>
      </c>
      <c r="BP145" s="6">
        <v>269</v>
      </c>
      <c r="BQ145" s="6">
        <v>703</v>
      </c>
      <c r="BR145" s="35">
        <f t="shared" si="62"/>
        <v>364</v>
      </c>
      <c r="BS145" s="6">
        <v>645</v>
      </c>
      <c r="BT145" s="6"/>
      <c r="BU145" s="6">
        <f t="shared" si="63"/>
        <v>376</v>
      </c>
      <c r="BV145" s="6">
        <v>1017</v>
      </c>
      <c r="BW145" s="6"/>
      <c r="BX145" s="35">
        <f t="shared" si="64"/>
        <v>372</v>
      </c>
      <c r="BY145" s="6">
        <v>1365</v>
      </c>
      <c r="BZ145" s="35"/>
      <c r="CA145" s="6">
        <f t="shared" si="65"/>
        <v>348</v>
      </c>
      <c r="CB145" s="6"/>
      <c r="CC145" s="6"/>
      <c r="CD145" s="35"/>
      <c r="CE145" s="6">
        <v>177</v>
      </c>
      <c r="CF145" s="35">
        <v>1560</v>
      </c>
      <c r="CG145" s="6">
        <f t="shared" si="66"/>
        <v>372</v>
      </c>
      <c r="CH145" s="6">
        <v>540</v>
      </c>
      <c r="CI145" s="6"/>
      <c r="CJ145" s="6">
        <f t="shared" si="67"/>
        <v>363</v>
      </c>
      <c r="CK145" s="6">
        <v>911</v>
      </c>
      <c r="CL145" s="6"/>
      <c r="CM145" s="6">
        <f t="shared" si="68"/>
        <v>371</v>
      </c>
      <c r="CN145" s="6">
        <v>1284</v>
      </c>
      <c r="CO145" s="6"/>
      <c r="CP145" s="6">
        <f t="shared" si="69"/>
        <v>373</v>
      </c>
      <c r="CQ145" s="6">
        <v>95</v>
      </c>
      <c r="CR145" s="6">
        <v>1560</v>
      </c>
      <c r="CS145" s="6">
        <f t="shared" si="70"/>
        <v>371</v>
      </c>
      <c r="CT145" s="6">
        <v>436</v>
      </c>
      <c r="CU145" s="6"/>
      <c r="CV145" s="6">
        <f t="shared" si="71"/>
        <v>341</v>
      </c>
      <c r="CW145" s="6"/>
      <c r="CX145" s="6"/>
      <c r="CY145" s="6"/>
      <c r="CZ145" s="6">
        <v>793</v>
      </c>
      <c r="DA145" s="6"/>
      <c r="DB145" s="6">
        <f t="shared" si="72"/>
        <v>357</v>
      </c>
      <c r="DC145" s="6">
        <v>269</v>
      </c>
      <c r="DD145" s="6">
        <v>868</v>
      </c>
      <c r="DE145" s="6">
        <f t="shared" si="73"/>
        <v>344</v>
      </c>
      <c r="DF145" s="6">
        <v>644</v>
      </c>
      <c r="DG145" s="6"/>
      <c r="DH145" s="6">
        <f t="shared" si="74"/>
        <v>375</v>
      </c>
      <c r="DI145" s="6">
        <v>221</v>
      </c>
      <c r="DJ145" s="6">
        <v>776</v>
      </c>
      <c r="DK145" s="6">
        <f t="shared" si="75"/>
        <v>353</v>
      </c>
      <c r="DL145" s="6">
        <v>591</v>
      </c>
      <c r="DM145" s="6"/>
      <c r="DN145" s="6">
        <f t="shared" si="76"/>
        <v>370</v>
      </c>
      <c r="DO145" s="6">
        <v>128</v>
      </c>
      <c r="DP145" s="6">
        <v>781</v>
      </c>
      <c r="DQ145" s="6">
        <f t="shared" si="77"/>
        <v>318</v>
      </c>
    </row>
    <row r="146" spans="1:121">
      <c r="A146" s="6">
        <v>142</v>
      </c>
      <c r="B146" s="6">
        <v>896</v>
      </c>
      <c r="C146" s="6"/>
      <c r="D146" s="6">
        <v>331</v>
      </c>
      <c r="E146" s="33" t="s">
        <v>95</v>
      </c>
      <c r="F146" s="33" t="s">
        <v>95</v>
      </c>
      <c r="G146" s="148" t="s">
        <v>98</v>
      </c>
      <c r="H146" s="33" t="s">
        <v>98</v>
      </c>
      <c r="I146" s="33" t="s">
        <v>98</v>
      </c>
      <c r="J146" s="33" t="s">
        <v>98</v>
      </c>
      <c r="K146" s="33" t="s">
        <v>98</v>
      </c>
      <c r="L146" s="33" t="s">
        <v>98</v>
      </c>
      <c r="M146" s="33" t="s">
        <v>98</v>
      </c>
      <c r="N146" s="148" t="s">
        <v>69</v>
      </c>
      <c r="O146" s="33" t="s">
        <v>69</v>
      </c>
      <c r="P146" s="33" t="s">
        <v>69</v>
      </c>
      <c r="Q146" s="33" t="s">
        <v>69</v>
      </c>
      <c r="R146" s="33" t="s">
        <v>69</v>
      </c>
      <c r="S146" s="33" t="s">
        <v>69</v>
      </c>
      <c r="T146" s="33" t="s">
        <v>69</v>
      </c>
      <c r="U146" s="33" t="s">
        <v>69</v>
      </c>
      <c r="V146" s="33" t="s">
        <v>69</v>
      </c>
      <c r="W146" s="33" t="s">
        <v>69</v>
      </c>
      <c r="X146" s="33" t="s">
        <v>69</v>
      </c>
      <c r="Y146" s="33" t="s">
        <v>69</v>
      </c>
      <c r="Z146" s="33" t="s">
        <v>69</v>
      </c>
      <c r="AA146" s="33" t="s">
        <v>69</v>
      </c>
      <c r="AB146" s="33" t="s">
        <v>69</v>
      </c>
      <c r="AC146" s="33" t="s">
        <v>69</v>
      </c>
      <c r="AD146" s="33" t="s">
        <v>69</v>
      </c>
      <c r="AE146" s="33" t="s">
        <v>69</v>
      </c>
      <c r="AF146" s="6">
        <v>0</v>
      </c>
      <c r="AG146" s="6">
        <v>1173</v>
      </c>
      <c r="AH146" s="35">
        <f t="shared" si="52"/>
        <v>277</v>
      </c>
      <c r="AI146" s="35">
        <v>323</v>
      </c>
      <c r="AJ146" s="35"/>
      <c r="AK146" s="35">
        <f t="shared" si="53"/>
        <v>323</v>
      </c>
      <c r="AL146" s="6"/>
      <c r="AM146" s="6"/>
      <c r="AN146" s="35"/>
      <c r="AO146" s="6">
        <v>671</v>
      </c>
      <c r="AP146" s="6"/>
      <c r="AQ146" s="34">
        <f t="shared" si="54"/>
        <v>348</v>
      </c>
      <c r="AR146" s="35">
        <v>1022</v>
      </c>
      <c r="AS146" s="35"/>
      <c r="AT146" s="35">
        <f t="shared" si="55"/>
        <v>351</v>
      </c>
      <c r="AU146" s="6">
        <v>170</v>
      </c>
      <c r="AV146" s="6">
        <v>1200</v>
      </c>
      <c r="AW146" s="35">
        <f t="shared" si="56"/>
        <v>348</v>
      </c>
      <c r="AX146" s="6">
        <v>519</v>
      </c>
      <c r="AY146" s="6"/>
      <c r="AZ146" s="35">
        <f t="shared" si="57"/>
        <v>349</v>
      </c>
      <c r="BA146" s="35">
        <v>622</v>
      </c>
      <c r="BB146" s="35"/>
      <c r="BC146" s="35">
        <f t="shared" si="58"/>
        <v>103</v>
      </c>
      <c r="BD146" s="6">
        <v>0</v>
      </c>
      <c r="BE146" s="6">
        <v>622</v>
      </c>
      <c r="BF146" s="35">
        <f t="shared" si="59"/>
        <v>0</v>
      </c>
      <c r="BG146" s="6"/>
      <c r="BH146" s="6"/>
      <c r="BI146" s="6"/>
      <c r="BJ146" s="6">
        <v>0</v>
      </c>
      <c r="BK146" s="6"/>
      <c r="BL146" s="6">
        <f t="shared" si="60"/>
        <v>0</v>
      </c>
      <c r="BM146" s="6">
        <v>0</v>
      </c>
      <c r="BN146" s="6"/>
      <c r="BO146" s="6">
        <f t="shared" si="61"/>
        <v>0</v>
      </c>
      <c r="BP146" s="6">
        <v>0</v>
      </c>
      <c r="BQ146" s="6"/>
      <c r="BR146" s="35">
        <f t="shared" si="62"/>
        <v>0</v>
      </c>
      <c r="BS146" s="6">
        <v>0</v>
      </c>
      <c r="BT146" s="6"/>
      <c r="BU146" s="6">
        <f t="shared" si="63"/>
        <v>0</v>
      </c>
      <c r="BV146" s="6">
        <v>0</v>
      </c>
      <c r="BW146" s="6"/>
      <c r="BX146" s="35">
        <f t="shared" si="64"/>
        <v>0</v>
      </c>
      <c r="BY146" s="6">
        <v>318</v>
      </c>
      <c r="BZ146" s="6"/>
      <c r="CA146" s="6">
        <f t="shared" si="65"/>
        <v>318</v>
      </c>
      <c r="CB146" s="6"/>
      <c r="CC146" s="6"/>
      <c r="CD146" s="6"/>
      <c r="CE146" s="6">
        <v>675</v>
      </c>
      <c r="CF146" s="6"/>
      <c r="CG146" s="6">
        <f t="shared" si="66"/>
        <v>357</v>
      </c>
      <c r="CH146" s="6">
        <v>1024</v>
      </c>
      <c r="CI146" s="6"/>
      <c r="CJ146" s="6">
        <f t="shared" si="67"/>
        <v>349</v>
      </c>
      <c r="CK146" s="6">
        <v>1358</v>
      </c>
      <c r="CL146" s="6"/>
      <c r="CM146" s="6">
        <f t="shared" si="68"/>
        <v>334</v>
      </c>
      <c r="CN146" s="6">
        <v>158</v>
      </c>
      <c r="CO146" s="6">
        <v>1560</v>
      </c>
      <c r="CP146" s="6">
        <f t="shared" si="69"/>
        <v>360</v>
      </c>
      <c r="CQ146" s="6">
        <v>269</v>
      </c>
      <c r="CR146" s="6">
        <v>249</v>
      </c>
      <c r="CS146" s="6">
        <f t="shared" si="70"/>
        <v>360</v>
      </c>
      <c r="CT146" s="6">
        <v>616</v>
      </c>
      <c r="CU146" s="6"/>
      <c r="CV146" s="6">
        <f t="shared" si="71"/>
        <v>347</v>
      </c>
      <c r="CW146" s="6"/>
      <c r="CX146" s="6"/>
      <c r="CY146" s="6"/>
      <c r="CZ146" s="6">
        <v>981</v>
      </c>
      <c r="DA146" s="6"/>
      <c r="DB146" s="6">
        <f t="shared" si="72"/>
        <v>365</v>
      </c>
      <c r="DC146" s="6">
        <v>1341</v>
      </c>
      <c r="DD146" s="6"/>
      <c r="DE146" s="6">
        <f t="shared" si="73"/>
        <v>360</v>
      </c>
      <c r="DF146" s="6">
        <v>145</v>
      </c>
      <c r="DG146" s="6">
        <v>1560</v>
      </c>
      <c r="DH146" s="6">
        <f t="shared" si="74"/>
        <v>364</v>
      </c>
      <c r="DI146" s="6">
        <v>510</v>
      </c>
      <c r="DJ146" s="6"/>
      <c r="DK146" s="6">
        <f t="shared" si="75"/>
        <v>365</v>
      </c>
      <c r="DL146" s="6">
        <v>874</v>
      </c>
      <c r="DM146" s="6"/>
      <c r="DN146" s="6">
        <f t="shared" si="76"/>
        <v>364</v>
      </c>
      <c r="DO146" s="6">
        <v>1199</v>
      </c>
      <c r="DP146" s="6"/>
      <c r="DQ146" s="6">
        <f t="shared" si="77"/>
        <v>325</v>
      </c>
    </row>
    <row r="147" spans="1:121">
      <c r="A147" s="6">
        <v>143</v>
      </c>
      <c r="B147" s="6">
        <v>0</v>
      </c>
      <c r="C147" s="6">
        <v>1264</v>
      </c>
      <c r="D147" s="6">
        <v>322</v>
      </c>
      <c r="E147" s="33" t="s">
        <v>95</v>
      </c>
      <c r="F147" s="148" t="s">
        <v>98</v>
      </c>
      <c r="G147" s="33" t="s">
        <v>98</v>
      </c>
      <c r="H147" s="33" t="s">
        <v>98</v>
      </c>
      <c r="I147" s="33" t="s">
        <v>98</v>
      </c>
      <c r="J147" s="33" t="s">
        <v>98</v>
      </c>
      <c r="K147" s="33" t="s">
        <v>98</v>
      </c>
      <c r="L147" s="33" t="s">
        <v>98</v>
      </c>
      <c r="M147" s="33" t="s">
        <v>98</v>
      </c>
      <c r="N147" s="148" t="s">
        <v>69</v>
      </c>
      <c r="O147" s="33" t="s">
        <v>69</v>
      </c>
      <c r="P147" s="33" t="s">
        <v>69</v>
      </c>
      <c r="Q147" s="33" t="s">
        <v>69</v>
      </c>
      <c r="R147" s="33" t="s">
        <v>69</v>
      </c>
      <c r="S147" s="33" t="s">
        <v>69</v>
      </c>
      <c r="T147" s="33" t="s">
        <v>69</v>
      </c>
      <c r="U147" s="33" t="s">
        <v>69</v>
      </c>
      <c r="V147" s="33" t="s">
        <v>69</v>
      </c>
      <c r="W147" s="33" t="s">
        <v>69</v>
      </c>
      <c r="X147" s="33" t="s">
        <v>69</v>
      </c>
      <c r="Y147" s="33" t="s">
        <v>69</v>
      </c>
      <c r="Z147" s="33" t="s">
        <v>69</v>
      </c>
      <c r="AA147" s="33" t="s">
        <v>69</v>
      </c>
      <c r="AB147" s="33" t="s">
        <v>69</v>
      </c>
      <c r="AC147" s="33" t="s">
        <v>69</v>
      </c>
      <c r="AD147" s="33" t="s">
        <v>69</v>
      </c>
      <c r="AE147" s="33" t="s">
        <v>69</v>
      </c>
      <c r="AF147" s="6">
        <v>329</v>
      </c>
      <c r="AG147" s="6"/>
      <c r="AH147" s="35">
        <f t="shared" si="52"/>
        <v>329</v>
      </c>
      <c r="AI147" s="35">
        <v>657</v>
      </c>
      <c r="AJ147" s="35"/>
      <c r="AK147" s="35">
        <f t="shared" si="53"/>
        <v>328</v>
      </c>
      <c r="AL147" s="6"/>
      <c r="AM147" s="6"/>
      <c r="AN147" s="35"/>
      <c r="AO147" s="6">
        <v>1006</v>
      </c>
      <c r="AP147" s="6"/>
      <c r="AQ147" s="34">
        <f t="shared" si="54"/>
        <v>349</v>
      </c>
      <c r="AR147" s="35">
        <v>157</v>
      </c>
      <c r="AS147" s="35">
        <v>1200</v>
      </c>
      <c r="AT147" s="35">
        <f t="shared" si="55"/>
        <v>351</v>
      </c>
      <c r="AU147" s="6">
        <v>505</v>
      </c>
      <c r="AV147" s="6"/>
      <c r="AW147" s="35">
        <f t="shared" si="56"/>
        <v>348</v>
      </c>
      <c r="AX147" s="6">
        <v>856</v>
      </c>
      <c r="AY147" s="6"/>
      <c r="AZ147" s="35">
        <f t="shared" si="57"/>
        <v>351</v>
      </c>
      <c r="BA147" s="35">
        <v>959</v>
      </c>
      <c r="BB147" s="35"/>
      <c r="BC147" s="35">
        <f t="shared" si="58"/>
        <v>103</v>
      </c>
      <c r="BD147" s="6">
        <v>0</v>
      </c>
      <c r="BE147" s="6">
        <v>959</v>
      </c>
      <c r="BF147" s="35">
        <f t="shared" si="59"/>
        <v>0</v>
      </c>
      <c r="BG147" s="6"/>
      <c r="BH147" s="6"/>
      <c r="BI147" s="6"/>
      <c r="BJ147" s="6">
        <v>0</v>
      </c>
      <c r="BK147" s="6"/>
      <c r="BL147" s="6">
        <f t="shared" si="60"/>
        <v>0</v>
      </c>
      <c r="BM147" s="6">
        <v>0</v>
      </c>
      <c r="BN147" s="6"/>
      <c r="BO147" s="6">
        <f t="shared" si="61"/>
        <v>0</v>
      </c>
      <c r="BP147" s="6">
        <v>332</v>
      </c>
      <c r="BQ147" s="6"/>
      <c r="BR147" s="35">
        <f t="shared" si="62"/>
        <v>332</v>
      </c>
      <c r="BS147" s="6">
        <v>700</v>
      </c>
      <c r="BT147" s="6"/>
      <c r="BU147" s="6">
        <f t="shared" si="63"/>
        <v>368</v>
      </c>
      <c r="BV147" s="6">
        <v>1070</v>
      </c>
      <c r="BW147" s="6"/>
      <c r="BX147" s="35">
        <f t="shared" si="64"/>
        <v>370</v>
      </c>
      <c r="BY147" s="6">
        <v>1405</v>
      </c>
      <c r="BZ147" s="6"/>
      <c r="CA147" s="6">
        <f t="shared" si="65"/>
        <v>335</v>
      </c>
      <c r="CB147" s="6"/>
      <c r="CC147" s="6"/>
      <c r="CD147" s="6"/>
      <c r="CE147" s="6">
        <v>200</v>
      </c>
      <c r="CF147" s="6">
        <v>1561</v>
      </c>
      <c r="CG147" s="6">
        <f t="shared" si="66"/>
        <v>356</v>
      </c>
      <c r="CH147" s="6">
        <v>560</v>
      </c>
      <c r="CI147" s="6"/>
      <c r="CJ147" s="6">
        <f t="shared" si="67"/>
        <v>360</v>
      </c>
      <c r="CK147" s="6">
        <v>915</v>
      </c>
      <c r="CL147" s="6"/>
      <c r="CM147" s="6">
        <f t="shared" si="68"/>
        <v>355</v>
      </c>
      <c r="CN147" s="6">
        <v>1269</v>
      </c>
      <c r="CO147" s="6"/>
      <c r="CP147" s="6">
        <f t="shared" si="69"/>
        <v>354</v>
      </c>
      <c r="CQ147" s="6">
        <v>61</v>
      </c>
      <c r="CR147" s="6">
        <v>1560</v>
      </c>
      <c r="CS147" s="6">
        <f t="shared" si="70"/>
        <v>352</v>
      </c>
      <c r="CT147" s="6">
        <v>402</v>
      </c>
      <c r="CU147" s="6"/>
      <c r="CV147" s="6">
        <f t="shared" si="71"/>
        <v>341</v>
      </c>
      <c r="CW147" s="6"/>
      <c r="CX147" s="6"/>
      <c r="CY147" s="6"/>
      <c r="CZ147" s="6">
        <v>758</v>
      </c>
      <c r="DA147" s="6"/>
      <c r="DB147" s="6">
        <f t="shared" si="72"/>
        <v>356</v>
      </c>
      <c r="DC147" s="6">
        <v>1111</v>
      </c>
      <c r="DD147" s="6"/>
      <c r="DE147" s="6">
        <f t="shared" si="73"/>
        <v>353</v>
      </c>
      <c r="DF147" s="6">
        <v>1467</v>
      </c>
      <c r="DG147" s="6"/>
      <c r="DH147" s="6">
        <f t="shared" si="74"/>
        <v>356</v>
      </c>
      <c r="DI147" s="6">
        <v>238</v>
      </c>
      <c r="DJ147" s="6">
        <v>1561</v>
      </c>
      <c r="DK147" s="6">
        <f t="shared" si="75"/>
        <v>332</v>
      </c>
      <c r="DL147" s="6">
        <v>596</v>
      </c>
      <c r="DM147" s="6"/>
      <c r="DN147" s="6">
        <f t="shared" si="76"/>
        <v>358</v>
      </c>
      <c r="DO147" s="6">
        <v>911</v>
      </c>
      <c r="DP147" s="6"/>
      <c r="DQ147" s="6">
        <f t="shared" si="77"/>
        <v>315</v>
      </c>
    </row>
    <row r="148" spans="1:121" ht="15.75" customHeight="1">
      <c r="A148" s="6">
        <v>144</v>
      </c>
      <c r="B148" s="6">
        <v>773</v>
      </c>
      <c r="C148" s="6"/>
      <c r="D148" s="6">
        <v>372</v>
      </c>
      <c r="E148" s="33" t="s">
        <v>37</v>
      </c>
      <c r="F148" s="33" t="s">
        <v>37</v>
      </c>
      <c r="G148" s="33" t="s">
        <v>37</v>
      </c>
      <c r="H148" s="33" t="s">
        <v>37</v>
      </c>
      <c r="I148" s="33" t="s">
        <v>37</v>
      </c>
      <c r="J148" s="33" t="s">
        <v>37</v>
      </c>
      <c r="K148" s="33" t="s">
        <v>37</v>
      </c>
      <c r="L148" s="33" t="s">
        <v>37</v>
      </c>
      <c r="M148" s="33" t="s">
        <v>37</v>
      </c>
      <c r="N148" s="33" t="s">
        <v>37</v>
      </c>
      <c r="O148" s="33" t="s">
        <v>37</v>
      </c>
      <c r="P148" s="33" t="s">
        <v>37</v>
      </c>
      <c r="Q148" s="33" t="s">
        <v>37</v>
      </c>
      <c r="R148" s="33" t="s">
        <v>37</v>
      </c>
      <c r="S148" s="33" t="s">
        <v>37</v>
      </c>
      <c r="T148" s="33" t="s">
        <v>37</v>
      </c>
      <c r="U148" s="148" t="s">
        <v>37</v>
      </c>
      <c r="V148" s="33" t="s">
        <v>37</v>
      </c>
      <c r="W148" s="33" t="s">
        <v>37</v>
      </c>
      <c r="X148" s="33" t="s">
        <v>37</v>
      </c>
      <c r="Y148" s="33" t="s">
        <v>37</v>
      </c>
      <c r="Z148" s="33" t="s">
        <v>37</v>
      </c>
      <c r="AA148" s="33" t="s">
        <v>37</v>
      </c>
      <c r="AB148" s="33" t="s">
        <v>37</v>
      </c>
      <c r="AC148" s="33" t="s">
        <v>37</v>
      </c>
      <c r="AD148" s="33" t="s">
        <v>37</v>
      </c>
      <c r="AE148" s="33" t="s">
        <v>37</v>
      </c>
      <c r="AF148" s="6">
        <v>1125</v>
      </c>
      <c r="AG148" s="6"/>
      <c r="AH148" s="35">
        <f t="shared" si="52"/>
        <v>352</v>
      </c>
      <c r="AI148" s="35">
        <v>1485</v>
      </c>
      <c r="AJ148" s="35"/>
      <c r="AK148" s="35">
        <f t="shared" si="53"/>
        <v>360</v>
      </c>
      <c r="AL148" s="6"/>
      <c r="AM148" s="6"/>
      <c r="AN148" s="35"/>
      <c r="AO148" s="6">
        <v>297</v>
      </c>
      <c r="AP148" s="6">
        <v>1560</v>
      </c>
      <c r="AQ148" s="34">
        <f t="shared" si="54"/>
        <v>372</v>
      </c>
      <c r="AR148" s="35">
        <v>676</v>
      </c>
      <c r="AS148" s="35"/>
      <c r="AT148" s="35">
        <f t="shared" si="55"/>
        <v>379</v>
      </c>
      <c r="AU148" s="6">
        <v>1055</v>
      </c>
      <c r="AV148" s="6"/>
      <c r="AW148" s="35">
        <f t="shared" si="56"/>
        <v>379</v>
      </c>
      <c r="AX148" s="6">
        <v>1442</v>
      </c>
      <c r="AY148" s="6"/>
      <c r="AZ148" s="35">
        <f t="shared" si="57"/>
        <v>387</v>
      </c>
      <c r="BA148" s="6">
        <v>268</v>
      </c>
      <c r="BB148" s="6">
        <v>1560</v>
      </c>
      <c r="BC148" s="35">
        <f t="shared" si="58"/>
        <v>386</v>
      </c>
      <c r="BD148" s="6">
        <v>640</v>
      </c>
      <c r="BE148" s="6"/>
      <c r="BF148" s="35">
        <f t="shared" si="59"/>
        <v>372</v>
      </c>
      <c r="BG148" s="6"/>
      <c r="BH148" s="6"/>
      <c r="BI148" s="35"/>
      <c r="BJ148" s="6">
        <v>1027</v>
      </c>
      <c r="BK148" s="35"/>
      <c r="BL148" s="6">
        <f t="shared" si="60"/>
        <v>387</v>
      </c>
      <c r="BM148" s="6">
        <v>1414</v>
      </c>
      <c r="BN148" s="6"/>
      <c r="BO148" s="6">
        <f t="shared" si="61"/>
        <v>387</v>
      </c>
      <c r="BP148" s="6">
        <v>237</v>
      </c>
      <c r="BQ148" s="6">
        <v>1560</v>
      </c>
      <c r="BR148" s="35">
        <f t="shared" si="62"/>
        <v>383</v>
      </c>
      <c r="BS148" s="6">
        <v>619</v>
      </c>
      <c r="BT148" s="6"/>
      <c r="BU148" s="6">
        <f t="shared" si="63"/>
        <v>382</v>
      </c>
      <c r="BV148" s="6">
        <v>1006</v>
      </c>
      <c r="BW148" s="6"/>
      <c r="BX148" s="35">
        <f t="shared" si="64"/>
        <v>387</v>
      </c>
      <c r="BY148" s="6">
        <v>1371</v>
      </c>
      <c r="BZ148" s="35"/>
      <c r="CA148" s="6">
        <f t="shared" si="65"/>
        <v>365</v>
      </c>
      <c r="CB148" s="6"/>
      <c r="CC148" s="6"/>
      <c r="CD148" s="35"/>
      <c r="CE148" s="6">
        <v>0</v>
      </c>
      <c r="CF148" s="35">
        <v>1671</v>
      </c>
      <c r="CG148" s="6">
        <f t="shared" si="66"/>
        <v>300</v>
      </c>
      <c r="CH148" s="6">
        <v>292</v>
      </c>
      <c r="CI148" s="6"/>
      <c r="CJ148" s="6">
        <f t="shared" si="67"/>
        <v>292</v>
      </c>
      <c r="CK148" s="6">
        <v>677</v>
      </c>
      <c r="CL148" s="6"/>
      <c r="CM148" s="6">
        <f t="shared" si="68"/>
        <v>385</v>
      </c>
      <c r="CN148" s="6">
        <v>1063</v>
      </c>
      <c r="CO148" s="6"/>
      <c r="CP148" s="6">
        <f t="shared" si="69"/>
        <v>386</v>
      </c>
      <c r="CQ148" s="6">
        <v>1440</v>
      </c>
      <c r="CR148" s="6"/>
      <c r="CS148" s="6">
        <f t="shared" si="70"/>
        <v>377</v>
      </c>
      <c r="CT148" s="6">
        <v>235</v>
      </c>
      <c r="CU148" s="6">
        <v>1560</v>
      </c>
      <c r="CV148" s="6">
        <f t="shared" si="71"/>
        <v>355</v>
      </c>
      <c r="CW148" s="6"/>
      <c r="CX148" s="6"/>
      <c r="CY148" s="6"/>
      <c r="CZ148" s="6">
        <v>611</v>
      </c>
      <c r="DA148" s="6"/>
      <c r="DB148" s="6">
        <f t="shared" si="72"/>
        <v>376</v>
      </c>
      <c r="DC148" s="6">
        <v>985</v>
      </c>
      <c r="DD148" s="6"/>
      <c r="DE148" s="6">
        <f t="shared" si="73"/>
        <v>374</v>
      </c>
      <c r="DF148" s="6">
        <v>267</v>
      </c>
      <c r="DG148" s="6">
        <v>1081</v>
      </c>
      <c r="DH148" s="6">
        <f t="shared" si="74"/>
        <v>363</v>
      </c>
      <c r="DI148" s="6">
        <v>625</v>
      </c>
      <c r="DJ148" s="6"/>
      <c r="DK148" s="6">
        <f t="shared" si="75"/>
        <v>358</v>
      </c>
      <c r="DL148" s="6">
        <v>982</v>
      </c>
      <c r="DM148" s="6"/>
      <c r="DN148" s="6">
        <f t="shared" si="76"/>
        <v>357</v>
      </c>
      <c r="DO148" s="6">
        <v>1298</v>
      </c>
      <c r="DP148" s="6"/>
      <c r="DQ148" s="6">
        <f t="shared" si="77"/>
        <v>316</v>
      </c>
    </row>
    <row r="149" spans="1:121">
      <c r="A149" s="7">
        <v>145</v>
      </c>
      <c r="B149" s="6">
        <v>1422</v>
      </c>
      <c r="C149" s="6"/>
      <c r="D149" s="8">
        <v>364</v>
      </c>
      <c r="E149" s="33" t="s">
        <v>69</v>
      </c>
      <c r="F149" s="33" t="s">
        <v>69</v>
      </c>
      <c r="G149" s="33" t="s">
        <v>69</v>
      </c>
      <c r="H149" s="33" t="s">
        <v>69</v>
      </c>
      <c r="I149" s="33" t="s">
        <v>69</v>
      </c>
      <c r="J149" s="33" t="s">
        <v>69</v>
      </c>
      <c r="K149" s="33" t="s">
        <v>69</v>
      </c>
      <c r="L149" s="33" t="s">
        <v>69</v>
      </c>
      <c r="M149" s="33" t="s">
        <v>69</v>
      </c>
      <c r="N149" s="33" t="s">
        <v>69</v>
      </c>
      <c r="O149" s="33" t="s">
        <v>69</v>
      </c>
      <c r="P149" s="33" t="s">
        <v>69</v>
      </c>
      <c r="Q149" s="33" t="s">
        <v>69</v>
      </c>
      <c r="R149" s="33" t="s">
        <v>69</v>
      </c>
      <c r="S149" s="33" t="s">
        <v>69</v>
      </c>
      <c r="T149" s="33" t="s">
        <v>69</v>
      </c>
      <c r="U149" s="33" t="s">
        <v>69</v>
      </c>
      <c r="V149" s="33" t="s">
        <v>69</v>
      </c>
      <c r="W149" s="33" t="s">
        <v>69</v>
      </c>
      <c r="X149" s="148" t="s">
        <v>135</v>
      </c>
      <c r="Y149" s="33" t="s">
        <v>135</v>
      </c>
      <c r="Z149" s="33" t="s">
        <v>135</v>
      </c>
      <c r="AA149" s="33" t="s">
        <v>135</v>
      </c>
      <c r="AB149" s="33" t="s">
        <v>135</v>
      </c>
      <c r="AC149" s="33" t="s">
        <v>135</v>
      </c>
      <c r="AD149" s="33" t="s">
        <v>135</v>
      </c>
      <c r="AE149" s="33" t="s">
        <v>135</v>
      </c>
      <c r="AF149" s="35">
        <v>254</v>
      </c>
      <c r="AG149" s="35">
        <v>1560</v>
      </c>
      <c r="AH149" s="35">
        <f t="shared" si="52"/>
        <v>392</v>
      </c>
      <c r="AI149" s="35">
        <v>618</v>
      </c>
      <c r="AJ149" s="35"/>
      <c r="AK149" s="35">
        <f t="shared" si="53"/>
        <v>364</v>
      </c>
      <c r="AL149" s="6"/>
      <c r="AM149" s="6"/>
      <c r="AN149" s="35"/>
      <c r="AO149" s="6">
        <v>994</v>
      </c>
      <c r="AP149" s="6"/>
      <c r="AQ149" s="34">
        <f t="shared" si="54"/>
        <v>376</v>
      </c>
      <c r="AR149" s="35">
        <v>1372</v>
      </c>
      <c r="AS149" s="35"/>
      <c r="AT149" s="35">
        <f t="shared" si="55"/>
        <v>378</v>
      </c>
      <c r="AU149" s="6">
        <v>185</v>
      </c>
      <c r="AV149" s="6">
        <v>1560</v>
      </c>
      <c r="AW149" s="35">
        <f t="shared" si="56"/>
        <v>373</v>
      </c>
      <c r="AX149" s="6">
        <v>551</v>
      </c>
      <c r="AY149" s="6"/>
      <c r="AZ149" s="35">
        <f t="shared" si="57"/>
        <v>366</v>
      </c>
      <c r="BA149" s="35">
        <v>914</v>
      </c>
      <c r="BB149" s="35"/>
      <c r="BC149" s="35">
        <f t="shared" si="58"/>
        <v>363</v>
      </c>
      <c r="BD149" s="6">
        <v>1276</v>
      </c>
      <c r="BE149" s="6"/>
      <c r="BF149" s="35">
        <f t="shared" si="59"/>
        <v>362</v>
      </c>
      <c r="BG149" s="6"/>
      <c r="BH149" s="6"/>
      <c r="BI149" s="6"/>
      <c r="BJ149" s="6">
        <v>90</v>
      </c>
      <c r="BK149" s="6">
        <v>1560</v>
      </c>
      <c r="BL149" s="6">
        <f t="shared" si="60"/>
        <v>374</v>
      </c>
      <c r="BM149" s="6">
        <v>456</v>
      </c>
      <c r="BN149" s="6"/>
      <c r="BO149" s="6">
        <f t="shared" si="61"/>
        <v>366</v>
      </c>
      <c r="BP149" s="6">
        <v>832</v>
      </c>
      <c r="BQ149" s="6"/>
      <c r="BR149" s="35">
        <f t="shared" si="62"/>
        <v>376</v>
      </c>
      <c r="BS149" s="6">
        <v>1209</v>
      </c>
      <c r="BT149" s="6"/>
      <c r="BU149" s="6">
        <f t="shared" si="63"/>
        <v>377</v>
      </c>
      <c r="BV149" s="6">
        <v>24</v>
      </c>
      <c r="BW149" s="6">
        <v>1560</v>
      </c>
      <c r="BX149" s="35">
        <f t="shared" si="64"/>
        <v>375</v>
      </c>
      <c r="BY149" s="6">
        <v>372</v>
      </c>
      <c r="BZ149" s="6"/>
      <c r="CA149" s="6">
        <f t="shared" si="65"/>
        <v>348</v>
      </c>
      <c r="CB149" s="6"/>
      <c r="CC149" s="6"/>
      <c r="CD149" s="6"/>
      <c r="CE149" s="6">
        <v>727</v>
      </c>
      <c r="CF149" s="6"/>
      <c r="CG149" s="6">
        <f t="shared" si="66"/>
        <v>355</v>
      </c>
      <c r="CH149" s="6">
        <v>1104</v>
      </c>
      <c r="CI149" s="6"/>
      <c r="CJ149" s="6">
        <f t="shared" si="67"/>
        <v>377</v>
      </c>
      <c r="CK149" s="6">
        <v>1469</v>
      </c>
      <c r="CL149" s="6"/>
      <c r="CM149" s="6">
        <f t="shared" si="68"/>
        <v>365</v>
      </c>
      <c r="CN149" s="6">
        <v>0</v>
      </c>
      <c r="CO149" s="6">
        <v>1581</v>
      </c>
      <c r="CP149" s="6">
        <f t="shared" si="69"/>
        <v>112</v>
      </c>
      <c r="CQ149" s="6">
        <v>37</v>
      </c>
      <c r="CR149" s="6">
        <v>233</v>
      </c>
      <c r="CS149" s="6">
        <f t="shared" si="70"/>
        <v>270</v>
      </c>
      <c r="CT149" s="6">
        <v>204</v>
      </c>
      <c r="CU149" s="6">
        <v>104</v>
      </c>
      <c r="CV149" s="6">
        <f t="shared" si="71"/>
        <v>271</v>
      </c>
      <c r="CW149" s="6"/>
      <c r="CX149" s="6"/>
      <c r="CY149" s="6"/>
      <c r="CZ149" s="6">
        <v>491</v>
      </c>
      <c r="DA149" s="6"/>
      <c r="DB149" s="6">
        <f t="shared" si="72"/>
        <v>287</v>
      </c>
      <c r="DC149" s="6">
        <v>756</v>
      </c>
      <c r="DD149" s="6"/>
      <c r="DE149" s="6">
        <f t="shared" si="73"/>
        <v>265</v>
      </c>
      <c r="DF149" s="6">
        <v>1032</v>
      </c>
      <c r="DG149" s="6"/>
      <c r="DH149" s="6">
        <f t="shared" si="74"/>
        <v>276</v>
      </c>
      <c r="DI149" s="6">
        <v>205</v>
      </c>
      <c r="DJ149" s="6">
        <v>1103</v>
      </c>
      <c r="DK149" s="6">
        <f t="shared" si="75"/>
        <v>276</v>
      </c>
      <c r="DL149" s="6">
        <v>480</v>
      </c>
      <c r="DM149" s="6"/>
      <c r="DN149" s="6">
        <f t="shared" si="76"/>
        <v>275</v>
      </c>
      <c r="DO149" s="6">
        <v>138</v>
      </c>
      <c r="DP149" s="6">
        <v>581</v>
      </c>
      <c r="DQ149" s="6">
        <f t="shared" si="77"/>
        <v>239</v>
      </c>
    </row>
    <row r="150" spans="1:121">
      <c r="A150" s="6">
        <v>146</v>
      </c>
      <c r="B150" s="6">
        <v>232</v>
      </c>
      <c r="C150" s="6">
        <v>1586</v>
      </c>
      <c r="D150" s="6">
        <v>360</v>
      </c>
      <c r="E150" s="33" t="s">
        <v>37</v>
      </c>
      <c r="F150" s="33" t="s">
        <v>37</v>
      </c>
      <c r="G150" s="33" t="s">
        <v>37</v>
      </c>
      <c r="H150" s="33" t="s">
        <v>37</v>
      </c>
      <c r="I150" s="33" t="s">
        <v>37</v>
      </c>
      <c r="J150" s="33" t="s">
        <v>37</v>
      </c>
      <c r="K150" s="33" t="s">
        <v>37</v>
      </c>
      <c r="L150" s="33" t="s">
        <v>37</v>
      </c>
      <c r="M150" s="33" t="s">
        <v>37</v>
      </c>
      <c r="N150" s="33" t="s">
        <v>37</v>
      </c>
      <c r="O150" s="33" t="s">
        <v>37</v>
      </c>
      <c r="P150" s="33" t="s">
        <v>37</v>
      </c>
      <c r="Q150" s="33" t="s">
        <v>37</v>
      </c>
      <c r="R150" s="33" t="s">
        <v>37</v>
      </c>
      <c r="S150" s="33" t="s">
        <v>37</v>
      </c>
      <c r="T150" s="33" t="s">
        <v>37</v>
      </c>
      <c r="U150" s="33" t="s">
        <v>37</v>
      </c>
      <c r="V150" s="33" t="s">
        <v>37</v>
      </c>
      <c r="W150" s="148" t="s">
        <v>56</v>
      </c>
      <c r="X150" s="33" t="s">
        <v>56</v>
      </c>
      <c r="Y150" s="33" t="s">
        <v>56</v>
      </c>
      <c r="Z150" s="33" t="s">
        <v>56</v>
      </c>
      <c r="AA150" s="33" t="s">
        <v>56</v>
      </c>
      <c r="AB150" s="33" t="s">
        <v>56</v>
      </c>
      <c r="AC150" s="33" t="s">
        <v>56</v>
      </c>
      <c r="AD150" s="33" t="s">
        <v>56</v>
      </c>
      <c r="AE150" s="33" t="s">
        <v>56</v>
      </c>
      <c r="AF150" s="6">
        <v>611</v>
      </c>
      <c r="AG150" s="6"/>
      <c r="AH150" s="35">
        <f t="shared" si="52"/>
        <v>379</v>
      </c>
      <c r="AI150" s="35">
        <v>971</v>
      </c>
      <c r="AJ150" s="35"/>
      <c r="AK150" s="35">
        <f t="shared" si="53"/>
        <v>360</v>
      </c>
      <c r="AL150" s="6"/>
      <c r="AM150" s="6"/>
      <c r="AN150" s="35"/>
      <c r="AO150" s="6">
        <v>1345</v>
      </c>
      <c r="AP150" s="6"/>
      <c r="AQ150" s="34">
        <f t="shared" si="54"/>
        <v>374</v>
      </c>
      <c r="AR150" s="35">
        <v>160</v>
      </c>
      <c r="AS150" s="35">
        <v>1560</v>
      </c>
      <c r="AT150" s="35">
        <f t="shared" si="55"/>
        <v>375</v>
      </c>
      <c r="AU150" s="6">
        <v>534</v>
      </c>
      <c r="AV150" s="6"/>
      <c r="AW150" s="35">
        <f t="shared" si="56"/>
        <v>374</v>
      </c>
      <c r="AX150" s="6">
        <v>911</v>
      </c>
      <c r="AY150" s="6"/>
      <c r="AZ150" s="35">
        <f t="shared" si="57"/>
        <v>377</v>
      </c>
      <c r="BA150" s="6">
        <v>67</v>
      </c>
      <c r="BB150" s="6">
        <v>1215</v>
      </c>
      <c r="BC150" s="35">
        <f t="shared" si="58"/>
        <v>371</v>
      </c>
      <c r="BD150" s="6">
        <v>423</v>
      </c>
      <c r="BE150" s="6"/>
      <c r="BF150" s="35">
        <f t="shared" si="59"/>
        <v>356</v>
      </c>
      <c r="BG150" s="6"/>
      <c r="BH150" s="6"/>
      <c r="BI150" s="35"/>
      <c r="BJ150" s="6">
        <v>198</v>
      </c>
      <c r="BK150" s="35">
        <v>596</v>
      </c>
      <c r="BL150" s="6">
        <f t="shared" si="60"/>
        <v>371</v>
      </c>
      <c r="BM150" s="6">
        <v>558</v>
      </c>
      <c r="BN150" s="6"/>
      <c r="BO150" s="6">
        <f t="shared" si="61"/>
        <v>360</v>
      </c>
      <c r="BP150" s="6">
        <v>929</v>
      </c>
      <c r="BQ150" s="6"/>
      <c r="BR150" s="35">
        <f t="shared" si="62"/>
        <v>371</v>
      </c>
      <c r="BS150" s="6">
        <v>1305</v>
      </c>
      <c r="BT150" s="6"/>
      <c r="BU150" s="6">
        <f t="shared" si="63"/>
        <v>376</v>
      </c>
      <c r="BV150" s="6">
        <v>103</v>
      </c>
      <c r="BW150" s="6">
        <v>1560</v>
      </c>
      <c r="BX150" s="35">
        <f t="shared" si="64"/>
        <v>358</v>
      </c>
      <c r="BY150" s="6">
        <v>454</v>
      </c>
      <c r="BZ150" s="35"/>
      <c r="CA150" s="6">
        <f t="shared" si="65"/>
        <v>351</v>
      </c>
      <c r="CB150" s="6"/>
      <c r="CC150" s="6"/>
      <c r="CD150" s="35"/>
      <c r="CE150" s="6">
        <v>830</v>
      </c>
      <c r="CF150" s="35"/>
      <c r="CG150" s="6">
        <f t="shared" si="66"/>
        <v>376</v>
      </c>
      <c r="CH150" s="6">
        <v>1124</v>
      </c>
      <c r="CI150" s="6"/>
      <c r="CJ150" s="6">
        <f t="shared" si="67"/>
        <v>294</v>
      </c>
      <c r="CK150" s="6">
        <v>0</v>
      </c>
      <c r="CL150" s="6">
        <v>1358</v>
      </c>
      <c r="CM150" s="6">
        <f t="shared" si="68"/>
        <v>234</v>
      </c>
      <c r="CN150" s="6">
        <v>185</v>
      </c>
      <c r="CO150" s="6"/>
      <c r="CP150" s="6">
        <f t="shared" si="69"/>
        <v>185</v>
      </c>
      <c r="CQ150" s="6">
        <v>142</v>
      </c>
      <c r="CR150" s="6">
        <v>408</v>
      </c>
      <c r="CS150" s="6">
        <f t="shared" si="70"/>
        <v>365</v>
      </c>
      <c r="CT150" s="6">
        <v>457</v>
      </c>
      <c r="CU150" s="6"/>
      <c r="CV150" s="6">
        <f t="shared" si="71"/>
        <v>315</v>
      </c>
      <c r="CW150" s="6"/>
      <c r="CX150" s="6"/>
      <c r="CY150" s="6"/>
      <c r="CZ150" s="6">
        <v>206</v>
      </c>
      <c r="DA150" s="6">
        <v>600</v>
      </c>
      <c r="DB150" s="6">
        <f t="shared" si="72"/>
        <v>349</v>
      </c>
      <c r="DC150" s="6">
        <v>156</v>
      </c>
      <c r="DD150" s="6">
        <v>359</v>
      </c>
      <c r="DE150" s="6">
        <f t="shared" si="73"/>
        <v>309</v>
      </c>
      <c r="DF150" s="6">
        <v>508</v>
      </c>
      <c r="DG150" s="6"/>
      <c r="DH150" s="6">
        <f t="shared" si="74"/>
        <v>352</v>
      </c>
      <c r="DI150" s="6">
        <v>277</v>
      </c>
      <c r="DJ150" s="6">
        <v>559</v>
      </c>
      <c r="DK150" s="6">
        <f t="shared" si="75"/>
        <v>328</v>
      </c>
      <c r="DL150" s="6">
        <v>44</v>
      </c>
      <c r="DM150" s="6">
        <v>600</v>
      </c>
      <c r="DN150" s="6">
        <f t="shared" si="76"/>
        <v>367</v>
      </c>
      <c r="DO150" s="6">
        <v>0</v>
      </c>
      <c r="DP150" s="6">
        <v>295</v>
      </c>
      <c r="DQ150" s="6">
        <f t="shared" si="77"/>
        <v>251</v>
      </c>
    </row>
    <row r="151" spans="1:121">
      <c r="A151" s="6">
        <v>147</v>
      </c>
      <c r="B151" s="6">
        <v>245</v>
      </c>
      <c r="C151" s="6">
        <v>1560</v>
      </c>
      <c r="D151" s="6">
        <v>339</v>
      </c>
      <c r="E151" s="33" t="s">
        <v>37</v>
      </c>
      <c r="F151" s="33" t="s">
        <v>37</v>
      </c>
      <c r="G151" s="33" t="s">
        <v>37</v>
      </c>
      <c r="H151" s="33" t="s">
        <v>37</v>
      </c>
      <c r="I151" s="33" t="s">
        <v>37</v>
      </c>
      <c r="J151" s="33" t="s">
        <v>37</v>
      </c>
      <c r="K151" s="33" t="s">
        <v>37</v>
      </c>
      <c r="L151" s="33" t="s">
        <v>37</v>
      </c>
      <c r="M151" s="33" t="s">
        <v>37</v>
      </c>
      <c r="N151" s="33" t="s">
        <v>37</v>
      </c>
      <c r="O151" s="33" t="s">
        <v>37</v>
      </c>
      <c r="P151" s="33" t="s">
        <v>37</v>
      </c>
      <c r="Q151" s="33" t="s">
        <v>37</v>
      </c>
      <c r="R151" s="33" t="s">
        <v>37</v>
      </c>
      <c r="S151" s="33" t="s">
        <v>37</v>
      </c>
      <c r="T151" s="33" t="s">
        <v>37</v>
      </c>
      <c r="U151" s="33" t="s">
        <v>37</v>
      </c>
      <c r="V151" s="33" t="s">
        <v>37</v>
      </c>
      <c r="W151" s="33" t="s">
        <v>37</v>
      </c>
      <c r="X151" s="148" t="s">
        <v>135</v>
      </c>
      <c r="Y151" s="33" t="s">
        <v>135</v>
      </c>
      <c r="Z151" s="33" t="s">
        <v>135</v>
      </c>
      <c r="AA151" s="33" t="s">
        <v>135</v>
      </c>
      <c r="AB151" s="33" t="s">
        <v>135</v>
      </c>
      <c r="AC151" s="33" t="s">
        <v>135</v>
      </c>
      <c r="AD151" s="33" t="s">
        <v>135</v>
      </c>
      <c r="AE151" s="33" t="s">
        <v>135</v>
      </c>
      <c r="AF151" s="6">
        <v>594</v>
      </c>
      <c r="AG151" s="35"/>
      <c r="AH151" s="35">
        <f t="shared" si="52"/>
        <v>349</v>
      </c>
      <c r="AI151" s="35">
        <v>966</v>
      </c>
      <c r="AJ151" s="35"/>
      <c r="AK151" s="35">
        <f t="shared" si="53"/>
        <v>372</v>
      </c>
      <c r="AL151" s="6"/>
      <c r="AM151" s="6"/>
      <c r="AN151" s="35"/>
      <c r="AO151" s="6">
        <v>1342</v>
      </c>
      <c r="AP151" s="6"/>
      <c r="AQ151" s="34">
        <f t="shared" si="54"/>
        <v>376</v>
      </c>
      <c r="AR151" s="35">
        <v>159</v>
      </c>
      <c r="AS151" s="35">
        <v>1560</v>
      </c>
      <c r="AT151" s="35">
        <f t="shared" si="55"/>
        <v>377</v>
      </c>
      <c r="AU151" s="6">
        <v>529</v>
      </c>
      <c r="AV151" s="6"/>
      <c r="AW151" s="35">
        <f t="shared" si="56"/>
        <v>370</v>
      </c>
      <c r="AX151" s="6">
        <v>292</v>
      </c>
      <c r="AY151" s="6">
        <v>591</v>
      </c>
      <c r="AZ151" s="35">
        <f t="shared" si="57"/>
        <v>354</v>
      </c>
      <c r="BA151" s="6">
        <v>357</v>
      </c>
      <c r="BB151" s="6">
        <v>305</v>
      </c>
      <c r="BC151" s="35">
        <f t="shared" si="58"/>
        <v>370</v>
      </c>
      <c r="BD151" s="6">
        <v>708</v>
      </c>
      <c r="BE151" s="6"/>
      <c r="BF151" s="35">
        <f t="shared" si="59"/>
        <v>351</v>
      </c>
      <c r="BG151" s="6"/>
      <c r="BH151" s="6"/>
      <c r="BI151" s="35"/>
      <c r="BJ151" s="6">
        <v>199</v>
      </c>
      <c r="BK151" s="35">
        <v>881</v>
      </c>
      <c r="BL151" s="6">
        <f t="shared" si="60"/>
        <v>372</v>
      </c>
      <c r="BM151" s="6">
        <v>575</v>
      </c>
      <c r="BN151" s="6"/>
      <c r="BO151" s="6">
        <f t="shared" si="61"/>
        <v>376</v>
      </c>
      <c r="BP151" s="6">
        <v>956</v>
      </c>
      <c r="BQ151" s="6"/>
      <c r="BR151" s="35">
        <f t="shared" si="62"/>
        <v>381</v>
      </c>
      <c r="BS151" s="6">
        <v>1334</v>
      </c>
      <c r="BT151" s="6"/>
      <c r="BU151" s="6">
        <f t="shared" si="63"/>
        <v>378</v>
      </c>
      <c r="BV151" s="6">
        <v>139</v>
      </c>
      <c r="BW151" s="6">
        <v>1560</v>
      </c>
      <c r="BX151" s="35">
        <f t="shared" si="64"/>
        <v>365</v>
      </c>
      <c r="BY151" s="6">
        <v>480</v>
      </c>
      <c r="BZ151" s="35"/>
      <c r="CA151" s="6">
        <f t="shared" si="65"/>
        <v>341</v>
      </c>
      <c r="CB151" s="6"/>
      <c r="CC151" s="6"/>
      <c r="CD151" s="35"/>
      <c r="CE151" s="6">
        <v>850</v>
      </c>
      <c r="CF151" s="35"/>
      <c r="CG151" s="6">
        <f t="shared" si="66"/>
        <v>370</v>
      </c>
      <c r="CH151" s="6">
        <v>1221</v>
      </c>
      <c r="CI151" s="6"/>
      <c r="CJ151" s="6">
        <f t="shared" si="67"/>
        <v>371</v>
      </c>
      <c r="CK151" s="6">
        <v>0</v>
      </c>
      <c r="CL151" s="6">
        <v>1398</v>
      </c>
      <c r="CM151" s="6">
        <f t="shared" si="68"/>
        <v>177</v>
      </c>
      <c r="CN151" s="6">
        <v>0</v>
      </c>
      <c r="CO151" s="6"/>
      <c r="CP151" s="6">
        <f t="shared" si="69"/>
        <v>0</v>
      </c>
      <c r="CQ151" s="6">
        <v>278</v>
      </c>
      <c r="CR151" s="6"/>
      <c r="CS151" s="6">
        <f t="shared" si="70"/>
        <v>278</v>
      </c>
      <c r="CT151" s="6">
        <v>545</v>
      </c>
      <c r="CU151" s="6"/>
      <c r="CV151" s="6">
        <f t="shared" si="71"/>
        <v>267</v>
      </c>
      <c r="CW151" s="6"/>
      <c r="CX151" s="6"/>
      <c r="CY151" s="6"/>
      <c r="CZ151" s="6">
        <v>832</v>
      </c>
      <c r="DA151" s="6"/>
      <c r="DB151" s="6">
        <f t="shared" si="72"/>
        <v>287</v>
      </c>
      <c r="DC151" s="6">
        <v>1101</v>
      </c>
      <c r="DD151" s="6"/>
      <c r="DE151" s="6">
        <f t="shared" si="73"/>
        <v>269</v>
      </c>
      <c r="DF151" s="6">
        <v>1388</v>
      </c>
      <c r="DG151" s="6"/>
      <c r="DH151" s="6">
        <f t="shared" si="74"/>
        <v>287</v>
      </c>
      <c r="DI151" s="6">
        <v>1674</v>
      </c>
      <c r="DJ151" s="6"/>
      <c r="DK151" s="6">
        <f t="shared" si="75"/>
        <v>286</v>
      </c>
      <c r="DL151" s="6">
        <v>1957</v>
      </c>
      <c r="DM151" s="6"/>
      <c r="DN151" s="6">
        <f t="shared" si="76"/>
        <v>283</v>
      </c>
      <c r="DO151" s="6">
        <v>216</v>
      </c>
      <c r="DP151" s="6">
        <v>2000</v>
      </c>
      <c r="DQ151" s="6">
        <f t="shared" si="77"/>
        <v>259</v>
      </c>
    </row>
    <row r="152" spans="1:121">
      <c r="A152" s="6">
        <v>148</v>
      </c>
      <c r="B152" s="6">
        <v>559</v>
      </c>
      <c r="C152" s="6"/>
      <c r="D152" s="6">
        <v>368</v>
      </c>
      <c r="E152" s="33" t="s">
        <v>37</v>
      </c>
      <c r="F152" s="33" t="s">
        <v>37</v>
      </c>
      <c r="G152" s="33" t="s">
        <v>37</v>
      </c>
      <c r="H152" s="33" t="s">
        <v>37</v>
      </c>
      <c r="I152" s="33" t="s">
        <v>37</v>
      </c>
      <c r="J152" s="33" t="s">
        <v>37</v>
      </c>
      <c r="K152" s="33" t="s">
        <v>37</v>
      </c>
      <c r="L152" s="33" t="s">
        <v>37</v>
      </c>
      <c r="M152" s="33" t="s">
        <v>37</v>
      </c>
      <c r="N152" s="33" t="s">
        <v>37</v>
      </c>
      <c r="O152" s="33" t="s">
        <v>37</v>
      </c>
      <c r="P152" s="33" t="s">
        <v>37</v>
      </c>
      <c r="Q152" s="33" t="s">
        <v>37</v>
      </c>
      <c r="R152" s="33" t="s">
        <v>37</v>
      </c>
      <c r="S152" s="33" t="s">
        <v>37</v>
      </c>
      <c r="T152" s="33" t="s">
        <v>37</v>
      </c>
      <c r="U152" s="33" t="s">
        <v>37</v>
      </c>
      <c r="V152" s="148" t="s">
        <v>56</v>
      </c>
      <c r="W152" s="33" t="s">
        <v>56</v>
      </c>
      <c r="X152" s="33" t="s">
        <v>56</v>
      </c>
      <c r="Y152" s="33" t="s">
        <v>56</v>
      </c>
      <c r="Z152" s="33" t="s">
        <v>56</v>
      </c>
      <c r="AA152" s="33" t="s">
        <v>56</v>
      </c>
      <c r="AB152" s="33" t="s">
        <v>56</v>
      </c>
      <c r="AC152" s="148" t="s">
        <v>56</v>
      </c>
      <c r="AD152" s="33" t="s">
        <v>56</v>
      </c>
      <c r="AE152" s="33" t="s">
        <v>56</v>
      </c>
      <c r="AF152" s="6">
        <v>944</v>
      </c>
      <c r="AG152" s="6"/>
      <c r="AH152" s="35">
        <f t="shared" si="52"/>
        <v>385</v>
      </c>
      <c r="AI152" s="35">
        <v>1299</v>
      </c>
      <c r="AJ152" s="35"/>
      <c r="AK152" s="35">
        <f t="shared" si="53"/>
        <v>355</v>
      </c>
      <c r="AL152" s="6"/>
      <c r="AM152" s="6"/>
      <c r="AN152" s="35"/>
      <c r="AO152" s="6">
        <v>117</v>
      </c>
      <c r="AP152" s="6">
        <v>1560</v>
      </c>
      <c r="AQ152" s="34">
        <f t="shared" si="54"/>
        <v>378</v>
      </c>
      <c r="AR152" s="35">
        <v>494</v>
      </c>
      <c r="AS152" s="35"/>
      <c r="AT152" s="35">
        <f t="shared" si="55"/>
        <v>377</v>
      </c>
      <c r="AU152" s="6">
        <v>864</v>
      </c>
      <c r="AV152" s="6"/>
      <c r="AW152" s="35">
        <f t="shared" si="56"/>
        <v>370</v>
      </c>
      <c r="AX152" s="6">
        <v>254</v>
      </c>
      <c r="AY152" s="6">
        <v>983</v>
      </c>
      <c r="AZ152" s="35">
        <f t="shared" si="57"/>
        <v>373</v>
      </c>
      <c r="BA152" s="6">
        <v>340</v>
      </c>
      <c r="BB152" s="6">
        <v>279</v>
      </c>
      <c r="BC152" s="35">
        <f t="shared" si="58"/>
        <v>365</v>
      </c>
      <c r="BD152" s="6">
        <v>695</v>
      </c>
      <c r="BE152" s="6"/>
      <c r="BF152" s="35">
        <f t="shared" si="59"/>
        <v>355</v>
      </c>
      <c r="BG152" s="6"/>
      <c r="BH152" s="6"/>
      <c r="BI152" s="35"/>
      <c r="BJ152" s="6">
        <v>1064</v>
      </c>
      <c r="BK152" s="35"/>
      <c r="BL152" s="6">
        <f t="shared" si="60"/>
        <v>369</v>
      </c>
      <c r="BM152" s="6">
        <v>1434</v>
      </c>
      <c r="BN152" s="6"/>
      <c r="BO152" s="6">
        <f t="shared" si="61"/>
        <v>370</v>
      </c>
      <c r="BP152" s="6">
        <v>248</v>
      </c>
      <c r="BQ152" s="6">
        <v>1560</v>
      </c>
      <c r="BR152" s="35">
        <f t="shared" si="62"/>
        <v>374</v>
      </c>
      <c r="BS152" s="6">
        <v>622</v>
      </c>
      <c r="BT152" s="6"/>
      <c r="BU152" s="6">
        <f t="shared" si="63"/>
        <v>374</v>
      </c>
      <c r="BV152" s="6">
        <v>997</v>
      </c>
      <c r="BW152" s="6"/>
      <c r="BX152" s="35">
        <f t="shared" si="64"/>
        <v>375</v>
      </c>
      <c r="BY152" s="6">
        <v>1343</v>
      </c>
      <c r="BZ152" s="35"/>
      <c r="CA152" s="6">
        <f t="shared" si="65"/>
        <v>346</v>
      </c>
      <c r="CB152" s="6"/>
      <c r="CC152" s="6"/>
      <c r="CD152" s="35"/>
      <c r="CE152" s="6">
        <v>1707</v>
      </c>
      <c r="CF152" s="35"/>
      <c r="CG152" s="6">
        <f t="shared" si="66"/>
        <v>364</v>
      </c>
      <c r="CH152" s="6">
        <v>0</v>
      </c>
      <c r="CI152" s="6">
        <v>1931</v>
      </c>
      <c r="CJ152" s="6">
        <f t="shared" si="67"/>
        <v>224</v>
      </c>
      <c r="CK152" s="6">
        <v>0</v>
      </c>
      <c r="CL152" s="6"/>
      <c r="CM152" s="6">
        <f t="shared" si="68"/>
        <v>0</v>
      </c>
      <c r="CN152" s="6">
        <v>251</v>
      </c>
      <c r="CO152" s="6"/>
      <c r="CP152" s="6">
        <f t="shared" si="69"/>
        <v>251</v>
      </c>
      <c r="CQ152" s="6">
        <v>12</v>
      </c>
      <c r="CR152" s="6">
        <v>600</v>
      </c>
      <c r="CS152" s="6">
        <f t="shared" si="70"/>
        <v>361</v>
      </c>
      <c r="CT152" s="6">
        <v>353</v>
      </c>
      <c r="CU152" s="6"/>
      <c r="CV152" s="6">
        <f t="shared" si="71"/>
        <v>341</v>
      </c>
      <c r="CW152" s="6"/>
      <c r="CX152" s="6"/>
      <c r="CY152" s="6"/>
      <c r="CZ152" s="6">
        <v>104</v>
      </c>
      <c r="DA152" s="6">
        <v>600</v>
      </c>
      <c r="DB152" s="6">
        <f t="shared" si="72"/>
        <v>351</v>
      </c>
      <c r="DC152" s="6">
        <v>400</v>
      </c>
      <c r="DD152" s="6"/>
      <c r="DE152" s="6">
        <f t="shared" si="73"/>
        <v>296</v>
      </c>
      <c r="DF152" s="6">
        <v>0</v>
      </c>
      <c r="DG152" s="6">
        <v>682</v>
      </c>
      <c r="DH152" s="6">
        <f t="shared" si="74"/>
        <v>282</v>
      </c>
      <c r="DI152" s="6">
        <v>344</v>
      </c>
      <c r="DJ152" s="6"/>
      <c r="DK152" s="6">
        <f t="shared" si="75"/>
        <v>344</v>
      </c>
      <c r="DL152" s="6">
        <v>263</v>
      </c>
      <c r="DM152" s="6">
        <v>438</v>
      </c>
      <c r="DN152" s="6">
        <f t="shared" si="76"/>
        <v>357</v>
      </c>
      <c r="DO152" s="6">
        <v>218</v>
      </c>
      <c r="DP152" s="6">
        <v>363</v>
      </c>
      <c r="DQ152" s="6">
        <f t="shared" si="77"/>
        <v>318</v>
      </c>
    </row>
    <row r="153" spans="1:121">
      <c r="A153" s="6">
        <v>149</v>
      </c>
      <c r="B153" s="6">
        <v>57</v>
      </c>
      <c r="C153" s="6">
        <v>1560</v>
      </c>
      <c r="D153" s="6">
        <v>376</v>
      </c>
      <c r="E153" s="33" t="s">
        <v>37</v>
      </c>
      <c r="F153" s="33" t="s">
        <v>37</v>
      </c>
      <c r="G153" s="33" t="s">
        <v>37</v>
      </c>
      <c r="H153" s="33" t="s">
        <v>37</v>
      </c>
      <c r="I153" s="33" t="s">
        <v>37</v>
      </c>
      <c r="J153" s="33" t="s">
        <v>37</v>
      </c>
      <c r="K153" s="33" t="s">
        <v>37</v>
      </c>
      <c r="L153" s="33" t="s">
        <v>37</v>
      </c>
      <c r="M153" s="33" t="s">
        <v>37</v>
      </c>
      <c r="N153" s="33" t="s">
        <v>37</v>
      </c>
      <c r="O153" s="33" t="s">
        <v>37</v>
      </c>
      <c r="P153" s="33" t="s">
        <v>37</v>
      </c>
      <c r="Q153" s="33" t="s">
        <v>37</v>
      </c>
      <c r="R153" s="33" t="s">
        <v>37</v>
      </c>
      <c r="S153" s="33" t="s">
        <v>37</v>
      </c>
      <c r="T153" s="33" t="s">
        <v>37</v>
      </c>
      <c r="U153" s="33" t="s">
        <v>37</v>
      </c>
      <c r="V153" s="33" t="s">
        <v>37</v>
      </c>
      <c r="W153" s="33" t="s">
        <v>37</v>
      </c>
      <c r="X153" s="148" t="s">
        <v>135</v>
      </c>
      <c r="Y153" s="33" t="s">
        <v>135</v>
      </c>
      <c r="Z153" s="33" t="s">
        <v>135</v>
      </c>
      <c r="AA153" s="33" t="s">
        <v>135</v>
      </c>
      <c r="AB153" s="33" t="s">
        <v>135</v>
      </c>
      <c r="AC153" s="33" t="s">
        <v>135</v>
      </c>
      <c r="AD153" s="33" t="s">
        <v>135</v>
      </c>
      <c r="AE153" s="33" t="s">
        <v>135</v>
      </c>
      <c r="AF153" s="6">
        <v>455</v>
      </c>
      <c r="AG153" s="6"/>
      <c r="AH153" s="35">
        <f t="shared" si="52"/>
        <v>398</v>
      </c>
      <c r="AI153" s="35">
        <v>838</v>
      </c>
      <c r="AJ153" s="35"/>
      <c r="AK153" s="35">
        <f t="shared" si="53"/>
        <v>383</v>
      </c>
      <c r="AL153" s="6"/>
      <c r="AM153" s="6"/>
      <c r="AN153" s="35"/>
      <c r="AO153" s="6">
        <v>1231</v>
      </c>
      <c r="AP153" s="6"/>
      <c r="AQ153" s="34">
        <f t="shared" si="54"/>
        <v>393</v>
      </c>
      <c r="AR153" s="35">
        <v>68</v>
      </c>
      <c r="AS153" s="35">
        <v>1560</v>
      </c>
      <c r="AT153" s="35">
        <f t="shared" si="55"/>
        <v>397</v>
      </c>
      <c r="AU153" s="6">
        <v>461</v>
      </c>
      <c r="AV153" s="6"/>
      <c r="AW153" s="35">
        <f t="shared" si="56"/>
        <v>393</v>
      </c>
      <c r="AX153" s="6">
        <v>855</v>
      </c>
      <c r="AY153" s="6"/>
      <c r="AZ153" s="35">
        <f t="shared" si="57"/>
        <v>394</v>
      </c>
      <c r="BA153" s="6">
        <v>1252</v>
      </c>
      <c r="BB153" s="6"/>
      <c r="BC153" s="35">
        <f t="shared" si="58"/>
        <v>397</v>
      </c>
      <c r="BD153" s="6">
        <v>66</v>
      </c>
      <c r="BE153" s="6">
        <v>1560</v>
      </c>
      <c r="BF153" s="35">
        <f t="shared" si="59"/>
        <v>374</v>
      </c>
      <c r="BG153" s="6"/>
      <c r="BH153" s="6"/>
      <c r="BI153" s="35"/>
      <c r="BJ153" s="6">
        <v>465</v>
      </c>
      <c r="BK153" s="35"/>
      <c r="BL153" s="6">
        <f t="shared" si="60"/>
        <v>399</v>
      </c>
      <c r="BM153" s="6">
        <v>860</v>
      </c>
      <c r="BN153" s="6"/>
      <c r="BO153" s="6">
        <f t="shared" si="61"/>
        <v>395</v>
      </c>
      <c r="BP153" s="6">
        <v>1241</v>
      </c>
      <c r="BQ153" s="6"/>
      <c r="BR153" s="35">
        <f t="shared" si="62"/>
        <v>381</v>
      </c>
      <c r="BS153" s="6">
        <v>54</v>
      </c>
      <c r="BT153" s="6">
        <v>1560</v>
      </c>
      <c r="BU153" s="6">
        <f t="shared" si="63"/>
        <v>373</v>
      </c>
      <c r="BV153" s="6">
        <v>420</v>
      </c>
      <c r="BW153" s="6"/>
      <c r="BX153" s="35">
        <f t="shared" si="64"/>
        <v>366</v>
      </c>
      <c r="BY153" s="6">
        <v>311</v>
      </c>
      <c r="BZ153" s="35">
        <v>469</v>
      </c>
      <c r="CA153" s="6">
        <f t="shared" si="65"/>
        <v>360</v>
      </c>
      <c r="CB153" s="6"/>
      <c r="CC153" s="6"/>
      <c r="CD153" s="35"/>
      <c r="CE153" s="6">
        <v>692</v>
      </c>
      <c r="CF153" s="35"/>
      <c r="CG153" s="6">
        <f t="shared" si="66"/>
        <v>381</v>
      </c>
      <c r="CH153" s="6">
        <v>996</v>
      </c>
      <c r="CI153" s="6"/>
      <c r="CJ153" s="6">
        <f t="shared" si="67"/>
        <v>304</v>
      </c>
      <c r="CK153" s="6">
        <v>0</v>
      </c>
      <c r="CL153" s="6">
        <v>1189</v>
      </c>
      <c r="CM153" s="6">
        <f t="shared" si="68"/>
        <v>193</v>
      </c>
      <c r="CN153" s="6">
        <v>0</v>
      </c>
      <c r="CO153" s="6"/>
      <c r="CP153" s="6">
        <f t="shared" si="69"/>
        <v>0</v>
      </c>
      <c r="CQ153" s="6">
        <v>269</v>
      </c>
      <c r="CR153" s="6"/>
      <c r="CS153" s="6">
        <f t="shared" si="70"/>
        <v>269</v>
      </c>
      <c r="CT153" s="6">
        <v>536</v>
      </c>
      <c r="CU153" s="6"/>
      <c r="CV153" s="6">
        <f t="shared" si="71"/>
        <v>267</v>
      </c>
      <c r="CW153" s="6"/>
      <c r="CX153" s="6"/>
      <c r="CY153" s="6"/>
      <c r="CZ153" s="6">
        <v>139</v>
      </c>
      <c r="DA153" s="6">
        <v>678</v>
      </c>
      <c r="DB153" s="6">
        <f t="shared" si="72"/>
        <v>281</v>
      </c>
      <c r="DC153" s="6">
        <v>402</v>
      </c>
      <c r="DD153" s="6"/>
      <c r="DE153" s="6">
        <f t="shared" si="73"/>
        <v>263</v>
      </c>
      <c r="DF153" s="6">
        <v>685</v>
      </c>
      <c r="DG153" s="6"/>
      <c r="DH153" s="6">
        <f t="shared" si="74"/>
        <v>283</v>
      </c>
      <c r="DI153" s="6">
        <v>119</v>
      </c>
      <c r="DJ153" s="6">
        <v>848</v>
      </c>
      <c r="DK153" s="6">
        <f t="shared" si="75"/>
        <v>282</v>
      </c>
      <c r="DL153" s="6">
        <v>402</v>
      </c>
      <c r="DM153" s="6"/>
      <c r="DN153" s="6">
        <f t="shared" si="76"/>
        <v>283</v>
      </c>
      <c r="DO153" s="6">
        <v>651</v>
      </c>
      <c r="DP153" s="6"/>
      <c r="DQ153" s="6">
        <f t="shared" si="77"/>
        <v>249</v>
      </c>
    </row>
    <row r="154" spans="1:121">
      <c r="A154" s="6">
        <v>150</v>
      </c>
      <c r="B154" s="6">
        <v>1136</v>
      </c>
      <c r="C154" s="6"/>
      <c r="D154" s="6">
        <v>376</v>
      </c>
      <c r="E154" s="33" t="s">
        <v>37</v>
      </c>
      <c r="F154" s="33" t="s">
        <v>37</v>
      </c>
      <c r="G154" s="33" t="s">
        <v>37</v>
      </c>
      <c r="H154" s="33" t="s">
        <v>37</v>
      </c>
      <c r="I154" s="33" t="s">
        <v>37</v>
      </c>
      <c r="J154" s="33" t="s">
        <v>37</v>
      </c>
      <c r="K154" s="33" t="s">
        <v>37</v>
      </c>
      <c r="L154" s="33" t="s">
        <v>37</v>
      </c>
      <c r="M154" s="33" t="s">
        <v>37</v>
      </c>
      <c r="N154" s="33" t="s">
        <v>37</v>
      </c>
      <c r="O154" s="33" t="s">
        <v>37</v>
      </c>
      <c r="P154" s="33" t="s">
        <v>37</v>
      </c>
      <c r="Q154" s="33" t="s">
        <v>37</v>
      </c>
      <c r="R154" s="33" t="s">
        <v>37</v>
      </c>
      <c r="S154" s="33" t="s">
        <v>37</v>
      </c>
      <c r="T154" s="33" t="s">
        <v>37</v>
      </c>
      <c r="U154" s="33" t="s">
        <v>37</v>
      </c>
      <c r="V154" s="148" t="s">
        <v>56</v>
      </c>
      <c r="W154" s="33" t="s">
        <v>56</v>
      </c>
      <c r="X154" s="33" t="s">
        <v>56</v>
      </c>
      <c r="Y154" s="33" t="s">
        <v>56</v>
      </c>
      <c r="Z154" s="33" t="s">
        <v>56</v>
      </c>
      <c r="AA154" s="33" t="s">
        <v>56</v>
      </c>
      <c r="AB154" s="33" t="s">
        <v>56</v>
      </c>
      <c r="AC154" s="33" t="s">
        <v>56</v>
      </c>
      <c r="AD154" s="33" t="s">
        <v>56</v>
      </c>
      <c r="AE154" s="33" t="s">
        <v>56</v>
      </c>
      <c r="AF154" s="6">
        <v>1528</v>
      </c>
      <c r="AG154" s="6"/>
      <c r="AH154" s="35">
        <f t="shared" si="52"/>
        <v>392</v>
      </c>
      <c r="AI154" s="35">
        <v>348</v>
      </c>
      <c r="AJ154" s="35">
        <v>1561</v>
      </c>
      <c r="AK154" s="35">
        <f t="shared" si="53"/>
        <v>381</v>
      </c>
      <c r="AL154" s="6"/>
      <c r="AM154" s="6"/>
      <c r="AN154" s="35"/>
      <c r="AO154" s="6">
        <v>747</v>
      </c>
      <c r="AP154" s="6"/>
      <c r="AQ154" s="34">
        <f t="shared" si="54"/>
        <v>399</v>
      </c>
      <c r="AR154" s="35">
        <v>1124</v>
      </c>
      <c r="AS154" s="35"/>
      <c r="AT154" s="35">
        <f t="shared" si="55"/>
        <v>377</v>
      </c>
      <c r="AU154" s="6">
        <v>1500</v>
      </c>
      <c r="AV154" s="6"/>
      <c r="AW154" s="35">
        <f t="shared" si="56"/>
        <v>376</v>
      </c>
      <c r="AX154" s="6">
        <v>325</v>
      </c>
      <c r="AY154" s="6">
        <v>1560</v>
      </c>
      <c r="AZ154" s="35">
        <f t="shared" si="57"/>
        <v>385</v>
      </c>
      <c r="BA154" s="35">
        <v>714</v>
      </c>
      <c r="BB154" s="35"/>
      <c r="BC154" s="35">
        <f t="shared" si="58"/>
        <v>389</v>
      </c>
      <c r="BD154" s="6">
        <v>1078</v>
      </c>
      <c r="BE154" s="6"/>
      <c r="BF154" s="35">
        <f t="shared" si="59"/>
        <v>364</v>
      </c>
      <c r="BG154" s="6"/>
      <c r="BH154" s="6"/>
      <c r="BI154" s="6"/>
      <c r="BJ154" s="6">
        <v>1467</v>
      </c>
      <c r="BK154" s="6"/>
      <c r="BL154" s="6">
        <f t="shared" si="60"/>
        <v>389</v>
      </c>
      <c r="BM154" s="6">
        <v>295</v>
      </c>
      <c r="BN154" s="6">
        <v>1560</v>
      </c>
      <c r="BO154" s="6">
        <f t="shared" si="61"/>
        <v>388</v>
      </c>
      <c r="BP154" s="6">
        <v>676</v>
      </c>
      <c r="BQ154" s="6"/>
      <c r="BR154" s="35">
        <f t="shared" si="62"/>
        <v>381</v>
      </c>
      <c r="BS154" s="6">
        <v>1059</v>
      </c>
      <c r="BT154" s="6"/>
      <c r="BU154" s="6">
        <f t="shared" si="63"/>
        <v>383</v>
      </c>
      <c r="BV154" s="6">
        <v>1441</v>
      </c>
      <c r="BW154" s="6"/>
      <c r="BX154" s="35">
        <f t="shared" si="64"/>
        <v>382</v>
      </c>
      <c r="BY154" s="6">
        <v>0</v>
      </c>
      <c r="BZ154" s="6">
        <v>1640</v>
      </c>
      <c r="CA154" s="6">
        <f t="shared" si="65"/>
        <v>199</v>
      </c>
      <c r="CB154" s="6"/>
      <c r="CC154" s="6"/>
      <c r="CD154" s="6"/>
      <c r="CE154" s="6">
        <v>0</v>
      </c>
      <c r="CF154" s="6"/>
      <c r="CG154" s="6">
        <f t="shared" si="66"/>
        <v>0</v>
      </c>
      <c r="CH154" s="6">
        <v>0</v>
      </c>
      <c r="CI154" s="6"/>
      <c r="CJ154" s="6">
        <f t="shared" si="67"/>
        <v>0</v>
      </c>
      <c r="CK154" s="6">
        <v>0</v>
      </c>
      <c r="CL154" s="6"/>
      <c r="CM154" s="6">
        <f t="shared" si="68"/>
        <v>0</v>
      </c>
      <c r="CN154" s="6">
        <v>242</v>
      </c>
      <c r="CO154" s="6"/>
      <c r="CP154" s="6">
        <f t="shared" si="69"/>
        <v>242</v>
      </c>
      <c r="CQ154" s="6">
        <v>562</v>
      </c>
      <c r="CR154" s="6"/>
      <c r="CS154" s="6">
        <f t="shared" si="70"/>
        <v>320</v>
      </c>
      <c r="CT154" s="6">
        <v>55</v>
      </c>
      <c r="CU154" s="6">
        <f>600+211</f>
        <v>811</v>
      </c>
      <c r="CV154" s="6">
        <f t="shared" si="71"/>
        <v>304</v>
      </c>
      <c r="CW154" s="6"/>
      <c r="CX154" s="6"/>
      <c r="CY154" s="6"/>
      <c r="CZ154" s="6">
        <v>407</v>
      </c>
      <c r="DA154" s="6"/>
      <c r="DB154" s="6">
        <f t="shared" si="72"/>
        <v>352</v>
      </c>
      <c r="DC154" s="6">
        <v>144</v>
      </c>
      <c r="DD154" s="6">
        <v>600</v>
      </c>
      <c r="DE154" s="6">
        <f t="shared" si="73"/>
        <v>337</v>
      </c>
      <c r="DF154" s="6">
        <v>172</v>
      </c>
      <c r="DG154" s="6">
        <v>309</v>
      </c>
      <c r="DH154" s="6">
        <f t="shared" si="74"/>
        <v>337</v>
      </c>
      <c r="DI154" s="6">
        <v>514</v>
      </c>
      <c r="DJ154" s="6"/>
      <c r="DK154" s="6">
        <f t="shared" si="75"/>
        <v>342</v>
      </c>
      <c r="DL154" s="6">
        <v>265</v>
      </c>
      <c r="DM154" s="6">
        <v>600</v>
      </c>
      <c r="DN154" s="6">
        <f t="shared" si="76"/>
        <v>351</v>
      </c>
      <c r="DO154" s="6">
        <v>0</v>
      </c>
      <c r="DP154" s="6">
        <v>505</v>
      </c>
      <c r="DQ154" s="6">
        <f t="shared" si="77"/>
        <v>240</v>
      </c>
    </row>
    <row r="155" spans="1:121">
      <c r="A155" s="6">
        <v>151</v>
      </c>
      <c r="B155" s="6">
        <v>704</v>
      </c>
      <c r="C155" s="6"/>
      <c r="D155" s="6">
        <v>368</v>
      </c>
      <c r="E155" s="33" t="s">
        <v>37</v>
      </c>
      <c r="F155" s="33" t="s">
        <v>37</v>
      </c>
      <c r="G155" s="33" t="s">
        <v>37</v>
      </c>
      <c r="H155" s="33" t="s">
        <v>37</v>
      </c>
      <c r="I155" s="33" t="s">
        <v>37</v>
      </c>
      <c r="J155" s="33" t="s">
        <v>37</v>
      </c>
      <c r="K155" s="33" t="s">
        <v>37</v>
      </c>
      <c r="L155" s="33" t="s">
        <v>37</v>
      </c>
      <c r="M155" s="33" t="s">
        <v>37</v>
      </c>
      <c r="N155" s="33" t="s">
        <v>37</v>
      </c>
      <c r="O155" s="33" t="s">
        <v>37</v>
      </c>
      <c r="P155" s="33" t="s">
        <v>37</v>
      </c>
      <c r="Q155" s="33" t="s">
        <v>37</v>
      </c>
      <c r="R155" s="33" t="s">
        <v>37</v>
      </c>
      <c r="S155" s="33" t="s">
        <v>37</v>
      </c>
      <c r="T155" s="33" t="s">
        <v>37</v>
      </c>
      <c r="U155" s="33" t="s">
        <v>37</v>
      </c>
      <c r="V155" s="33" t="s">
        <v>37</v>
      </c>
      <c r="W155" s="33" t="s">
        <v>37</v>
      </c>
      <c r="X155" s="148" t="s">
        <v>135</v>
      </c>
      <c r="Y155" s="33" t="s">
        <v>135</v>
      </c>
      <c r="Z155" s="33" t="s">
        <v>135</v>
      </c>
      <c r="AA155" s="33" t="s">
        <v>135</v>
      </c>
      <c r="AB155" s="33" t="s">
        <v>135</v>
      </c>
      <c r="AC155" s="33" t="s">
        <v>135</v>
      </c>
      <c r="AD155" s="33" t="s">
        <v>135</v>
      </c>
      <c r="AE155" s="33" t="s">
        <v>135</v>
      </c>
      <c r="AF155" s="6">
        <v>1096</v>
      </c>
      <c r="AG155" s="6"/>
      <c r="AH155" s="35">
        <f t="shared" si="52"/>
        <v>392</v>
      </c>
      <c r="AI155" s="35">
        <v>1466</v>
      </c>
      <c r="AJ155" s="35"/>
      <c r="AK155" s="35">
        <f t="shared" si="53"/>
        <v>370</v>
      </c>
      <c r="AL155" s="6"/>
      <c r="AM155" s="6"/>
      <c r="AN155" s="35"/>
      <c r="AO155" s="6">
        <v>298</v>
      </c>
      <c r="AP155" s="6">
        <v>1560</v>
      </c>
      <c r="AQ155" s="34">
        <f t="shared" si="54"/>
        <v>392</v>
      </c>
      <c r="AR155" s="35">
        <v>694</v>
      </c>
      <c r="AS155" s="35"/>
      <c r="AT155" s="35">
        <f t="shared" si="55"/>
        <v>396</v>
      </c>
      <c r="AU155" s="6">
        <v>1082</v>
      </c>
      <c r="AV155" s="6"/>
      <c r="AW155" s="35">
        <f t="shared" si="56"/>
        <v>388</v>
      </c>
      <c r="AX155" s="6">
        <v>1477</v>
      </c>
      <c r="AY155" s="6"/>
      <c r="AZ155" s="35">
        <f t="shared" si="57"/>
        <v>395</v>
      </c>
      <c r="BA155" s="6">
        <v>303</v>
      </c>
      <c r="BB155" s="6">
        <v>1560</v>
      </c>
      <c r="BC155" s="35">
        <f t="shared" si="58"/>
        <v>386</v>
      </c>
      <c r="BD155" s="6">
        <v>672</v>
      </c>
      <c r="BE155" s="6"/>
      <c r="BF155" s="35">
        <f t="shared" si="59"/>
        <v>369</v>
      </c>
      <c r="BG155" s="6"/>
      <c r="BH155" s="6"/>
      <c r="BI155" s="35"/>
      <c r="BJ155" s="6">
        <v>1065</v>
      </c>
      <c r="BK155" s="35"/>
      <c r="BL155" s="6">
        <f t="shared" si="60"/>
        <v>393</v>
      </c>
      <c r="BM155" s="6">
        <v>1448</v>
      </c>
      <c r="BN155" s="6"/>
      <c r="BO155" s="6">
        <f t="shared" si="61"/>
        <v>383</v>
      </c>
      <c r="BP155" s="6">
        <v>259</v>
      </c>
      <c r="BQ155" s="6">
        <v>1560</v>
      </c>
      <c r="BR155" s="35">
        <f t="shared" si="62"/>
        <v>371</v>
      </c>
      <c r="BS155" s="6">
        <v>630</v>
      </c>
      <c r="BT155" s="6"/>
      <c r="BU155" s="6">
        <f t="shared" si="63"/>
        <v>371</v>
      </c>
      <c r="BV155" s="6">
        <v>1006</v>
      </c>
      <c r="BW155" s="6"/>
      <c r="BX155" s="35">
        <f t="shared" si="64"/>
        <v>376</v>
      </c>
      <c r="BY155" s="6">
        <v>293</v>
      </c>
      <c r="BZ155" s="35">
        <v>1053</v>
      </c>
      <c r="CA155" s="6">
        <f t="shared" si="65"/>
        <v>340</v>
      </c>
      <c r="CB155" s="6"/>
      <c r="CC155" s="6"/>
      <c r="CD155" s="35"/>
      <c r="CE155" s="6">
        <v>662</v>
      </c>
      <c r="CF155" s="35"/>
      <c r="CG155" s="6">
        <f t="shared" si="66"/>
        <v>369</v>
      </c>
      <c r="CH155" s="6">
        <v>959</v>
      </c>
      <c r="CI155" s="6"/>
      <c r="CJ155" s="6">
        <f t="shared" si="67"/>
        <v>297</v>
      </c>
      <c r="CK155" s="6">
        <v>0</v>
      </c>
      <c r="CL155" s="6">
        <v>1242</v>
      </c>
      <c r="CM155" s="6">
        <f t="shared" si="68"/>
        <v>283</v>
      </c>
      <c r="CN155" s="6">
        <v>0</v>
      </c>
      <c r="CO155" s="6"/>
      <c r="CP155" s="6">
        <f t="shared" si="69"/>
        <v>0</v>
      </c>
      <c r="CQ155" s="6">
        <v>201</v>
      </c>
      <c r="CR155" s="6"/>
      <c r="CS155" s="6">
        <f t="shared" si="70"/>
        <v>201</v>
      </c>
      <c r="CT155" s="35">
        <v>1</v>
      </c>
      <c r="CU155" s="6">
        <v>470</v>
      </c>
      <c r="CV155" s="6">
        <f t="shared" si="71"/>
        <v>270</v>
      </c>
      <c r="CW155" s="6"/>
      <c r="CX155" s="6"/>
      <c r="CY155" s="6"/>
      <c r="CZ155" s="6">
        <v>1</v>
      </c>
      <c r="DA155" s="6">
        <v>260</v>
      </c>
      <c r="DB155" s="6">
        <f t="shared" si="72"/>
        <v>260</v>
      </c>
      <c r="DC155" s="6">
        <v>222</v>
      </c>
      <c r="DD155" s="6"/>
      <c r="DE155" s="6">
        <f t="shared" si="73"/>
        <v>221</v>
      </c>
      <c r="DF155" s="6">
        <v>491</v>
      </c>
      <c r="DG155" s="6"/>
      <c r="DH155" s="6">
        <f t="shared" si="74"/>
        <v>269</v>
      </c>
      <c r="DI155" s="6">
        <v>189</v>
      </c>
      <c r="DJ155" s="6">
        <v>568</v>
      </c>
      <c r="DK155" s="6">
        <f t="shared" si="75"/>
        <v>266</v>
      </c>
      <c r="DL155" s="6">
        <v>461</v>
      </c>
      <c r="DM155" s="6"/>
      <c r="DN155" s="6">
        <f t="shared" si="76"/>
        <v>272</v>
      </c>
      <c r="DO155" s="6">
        <v>707</v>
      </c>
      <c r="DP155" s="6"/>
      <c r="DQ155" s="6">
        <f t="shared" si="77"/>
        <v>246</v>
      </c>
    </row>
    <row r="156" spans="1:121">
      <c r="A156" s="6">
        <v>152</v>
      </c>
      <c r="B156" s="6">
        <v>708</v>
      </c>
      <c r="C156" s="6"/>
      <c r="D156" s="6">
        <v>373</v>
      </c>
      <c r="E156" s="33" t="s">
        <v>37</v>
      </c>
      <c r="F156" s="33" t="s">
        <v>37</v>
      </c>
      <c r="G156" s="33" t="s">
        <v>37</v>
      </c>
      <c r="H156" s="33" t="s">
        <v>37</v>
      </c>
      <c r="I156" s="33" t="s">
        <v>37</v>
      </c>
      <c r="J156" s="33" t="s">
        <v>37</v>
      </c>
      <c r="K156" s="33" t="s">
        <v>37</v>
      </c>
      <c r="L156" s="33" t="s">
        <v>37</v>
      </c>
      <c r="M156" s="33" t="s">
        <v>37</v>
      </c>
      <c r="N156" s="33" t="s">
        <v>37</v>
      </c>
      <c r="O156" s="33" t="s">
        <v>37</v>
      </c>
      <c r="P156" s="33" t="s">
        <v>37</v>
      </c>
      <c r="Q156" s="148" t="s">
        <v>132</v>
      </c>
      <c r="R156" s="33" t="s">
        <v>132</v>
      </c>
      <c r="S156" s="33" t="s">
        <v>132</v>
      </c>
      <c r="T156" s="33" t="s">
        <v>132</v>
      </c>
      <c r="U156" s="33" t="s">
        <v>132</v>
      </c>
      <c r="V156" s="33" t="s">
        <v>132</v>
      </c>
      <c r="W156" s="33" t="s">
        <v>132</v>
      </c>
      <c r="X156" s="33" t="s">
        <v>132</v>
      </c>
      <c r="Y156" s="33" t="s">
        <v>132</v>
      </c>
      <c r="Z156" s="148" t="s">
        <v>56</v>
      </c>
      <c r="AA156" s="33" t="s">
        <v>56</v>
      </c>
      <c r="AB156" s="33" t="s">
        <v>56</v>
      </c>
      <c r="AC156" s="33" t="s">
        <v>56</v>
      </c>
      <c r="AD156" s="33" t="s">
        <v>56</v>
      </c>
      <c r="AE156" s="33" t="s">
        <v>56</v>
      </c>
      <c r="AF156" s="6">
        <v>1098</v>
      </c>
      <c r="AG156" s="6"/>
      <c r="AH156" s="35">
        <f t="shared" si="52"/>
        <v>390</v>
      </c>
      <c r="AI156" s="35">
        <v>1469</v>
      </c>
      <c r="AJ156" s="35"/>
      <c r="AK156" s="35">
        <f t="shared" si="53"/>
        <v>371</v>
      </c>
      <c r="AL156" s="6"/>
      <c r="AM156" s="6"/>
      <c r="AN156" s="35"/>
      <c r="AO156" s="6">
        <v>301</v>
      </c>
      <c r="AP156" s="6">
        <v>1560</v>
      </c>
      <c r="AQ156" s="34">
        <f t="shared" si="54"/>
        <v>392</v>
      </c>
      <c r="AR156" s="35">
        <v>697</v>
      </c>
      <c r="AS156" s="35"/>
      <c r="AT156" s="35">
        <f t="shared" si="55"/>
        <v>396</v>
      </c>
      <c r="AU156" s="6">
        <v>301</v>
      </c>
      <c r="AV156" s="6">
        <v>779</v>
      </c>
      <c r="AW156" s="35">
        <f t="shared" si="56"/>
        <v>383</v>
      </c>
      <c r="AX156" s="6">
        <v>694</v>
      </c>
      <c r="AY156" s="6"/>
      <c r="AZ156" s="35">
        <f t="shared" si="57"/>
        <v>393</v>
      </c>
      <c r="BA156" s="6">
        <v>1087</v>
      </c>
      <c r="BB156" s="6"/>
      <c r="BC156" s="35">
        <f t="shared" si="58"/>
        <v>393</v>
      </c>
      <c r="BD156" s="6">
        <v>21</v>
      </c>
      <c r="BE156" s="6">
        <v>1439</v>
      </c>
      <c r="BF156" s="35">
        <f t="shared" si="59"/>
        <v>373</v>
      </c>
      <c r="BG156" s="6"/>
      <c r="BH156" s="6"/>
      <c r="BI156" s="35"/>
      <c r="BJ156" s="6">
        <v>394</v>
      </c>
      <c r="BK156" s="35"/>
      <c r="BL156" s="6">
        <f t="shared" si="60"/>
        <v>373</v>
      </c>
      <c r="BM156" s="6">
        <v>0</v>
      </c>
      <c r="BN156" s="6">
        <v>558</v>
      </c>
      <c r="BO156" s="6">
        <f t="shared" si="61"/>
        <v>164</v>
      </c>
      <c r="BP156" s="6">
        <v>0</v>
      </c>
      <c r="BQ156" s="6"/>
      <c r="BR156" s="35">
        <f t="shared" si="62"/>
        <v>0</v>
      </c>
      <c r="BS156" s="6">
        <v>280</v>
      </c>
      <c r="BT156" s="6"/>
      <c r="BU156" s="6">
        <f t="shared" si="63"/>
        <v>280</v>
      </c>
      <c r="BV156" s="6">
        <v>0</v>
      </c>
      <c r="BW156" s="6">
        <v>300</v>
      </c>
      <c r="BX156" s="35">
        <f t="shared" si="64"/>
        <v>20</v>
      </c>
      <c r="BY156" s="6">
        <v>0</v>
      </c>
      <c r="BZ156" s="35"/>
      <c r="CA156" s="6">
        <f t="shared" si="65"/>
        <v>0</v>
      </c>
      <c r="CB156" s="6"/>
      <c r="CC156" s="6"/>
      <c r="CD156" s="35"/>
      <c r="CE156" s="6">
        <v>0</v>
      </c>
      <c r="CF156" s="35"/>
      <c r="CG156" s="6">
        <f t="shared" si="66"/>
        <v>0</v>
      </c>
      <c r="CH156" s="6">
        <v>0</v>
      </c>
      <c r="CI156" s="6"/>
      <c r="CJ156" s="6">
        <f t="shared" si="67"/>
        <v>0</v>
      </c>
      <c r="CK156" s="6">
        <v>0</v>
      </c>
      <c r="CL156" s="6"/>
      <c r="CM156" s="6">
        <f t="shared" si="68"/>
        <v>0</v>
      </c>
      <c r="CN156" s="6">
        <v>0</v>
      </c>
      <c r="CO156" s="6"/>
      <c r="CP156" s="6">
        <f t="shared" si="69"/>
        <v>0</v>
      </c>
      <c r="CQ156" s="6">
        <v>0</v>
      </c>
      <c r="CR156" s="6"/>
      <c r="CS156" s="6">
        <f t="shared" si="70"/>
        <v>0</v>
      </c>
      <c r="CT156" s="6">
        <v>0</v>
      </c>
      <c r="CU156" s="6"/>
      <c r="CV156" s="6">
        <f t="shared" si="71"/>
        <v>0</v>
      </c>
      <c r="CW156" s="6"/>
      <c r="CX156" s="6"/>
      <c r="CY156" s="6"/>
      <c r="CZ156" s="6">
        <v>0</v>
      </c>
      <c r="DA156" s="6"/>
      <c r="DB156" s="6">
        <f t="shared" si="72"/>
        <v>0</v>
      </c>
      <c r="DC156" s="6">
        <v>258</v>
      </c>
      <c r="DD156" s="6"/>
      <c r="DE156" s="6">
        <f t="shared" si="73"/>
        <v>258</v>
      </c>
      <c r="DF156" s="6">
        <v>599</v>
      </c>
      <c r="DG156" s="6"/>
      <c r="DH156" s="6">
        <f t="shared" si="74"/>
        <v>341</v>
      </c>
      <c r="DI156" s="6">
        <v>343</v>
      </c>
      <c r="DJ156" s="6">
        <v>600</v>
      </c>
      <c r="DK156" s="6">
        <f t="shared" si="75"/>
        <v>344</v>
      </c>
      <c r="DL156" s="6">
        <v>117</v>
      </c>
      <c r="DM156" s="6">
        <v>600</v>
      </c>
      <c r="DN156" s="6">
        <f t="shared" si="76"/>
        <v>374</v>
      </c>
      <c r="DO156" s="6">
        <v>456</v>
      </c>
      <c r="DP156" s="6"/>
      <c r="DQ156" s="6">
        <f t="shared" si="77"/>
        <v>339</v>
      </c>
    </row>
    <row r="157" spans="1:121">
      <c r="A157" s="6">
        <v>153</v>
      </c>
      <c r="B157" s="6">
        <v>1342</v>
      </c>
      <c r="C157" s="6"/>
      <c r="D157" s="6">
        <v>395</v>
      </c>
      <c r="E157" s="33" t="s">
        <v>97</v>
      </c>
      <c r="F157" s="33" t="s">
        <v>97</v>
      </c>
      <c r="G157" s="33" t="s">
        <v>97</v>
      </c>
      <c r="H157" s="148" t="s">
        <v>99</v>
      </c>
      <c r="I157" s="33" t="s">
        <v>99</v>
      </c>
      <c r="J157" s="33" t="s">
        <v>99</v>
      </c>
      <c r="K157" s="33" t="s">
        <v>99</v>
      </c>
      <c r="L157" s="33" t="s">
        <v>99</v>
      </c>
      <c r="M157" s="33" t="s">
        <v>99</v>
      </c>
      <c r="N157" s="33" t="s">
        <v>99</v>
      </c>
      <c r="O157" s="33" t="s">
        <v>99</v>
      </c>
      <c r="P157" s="33" t="s">
        <v>99</v>
      </c>
      <c r="Q157" s="33" t="s">
        <v>99</v>
      </c>
      <c r="R157" s="33" t="s">
        <v>99</v>
      </c>
      <c r="S157" s="33" t="s">
        <v>99</v>
      </c>
      <c r="T157" s="33" t="s">
        <v>99</v>
      </c>
      <c r="U157" s="33" t="s">
        <v>99</v>
      </c>
      <c r="V157" s="33" t="s">
        <v>99</v>
      </c>
      <c r="W157" s="33" t="s">
        <v>99</v>
      </c>
      <c r="X157" s="33" t="s">
        <v>99</v>
      </c>
      <c r="Y157" s="33" t="s">
        <v>99</v>
      </c>
      <c r="Z157" s="33" t="s">
        <v>99</v>
      </c>
      <c r="AA157" s="33" t="s">
        <v>99</v>
      </c>
      <c r="AB157" s="33" t="s">
        <v>99</v>
      </c>
      <c r="AC157" s="33" t="s">
        <v>99</v>
      </c>
      <c r="AD157" s="148" t="s">
        <v>135</v>
      </c>
      <c r="AE157" s="33" t="s">
        <v>135</v>
      </c>
      <c r="AF157" s="6">
        <v>200</v>
      </c>
      <c r="AG157" s="6">
        <v>1560</v>
      </c>
      <c r="AH157" s="35">
        <f t="shared" si="52"/>
        <v>418</v>
      </c>
      <c r="AI157" s="35">
        <v>0</v>
      </c>
      <c r="AJ157" s="35">
        <v>297</v>
      </c>
      <c r="AK157" s="35">
        <f t="shared" si="53"/>
        <v>97</v>
      </c>
      <c r="AL157" s="6"/>
      <c r="AM157" s="6"/>
      <c r="AN157" s="35"/>
      <c r="AO157" s="6">
        <v>235</v>
      </c>
      <c r="AP157" s="6"/>
      <c r="AQ157" s="34">
        <f t="shared" si="54"/>
        <v>235</v>
      </c>
      <c r="AR157" s="35">
        <v>535</v>
      </c>
      <c r="AS157" s="35"/>
      <c r="AT157" s="35">
        <f t="shared" si="55"/>
        <v>300</v>
      </c>
      <c r="AU157" s="6">
        <v>97</v>
      </c>
      <c r="AV157" s="6">
        <v>734</v>
      </c>
      <c r="AW157" s="35">
        <f t="shared" si="56"/>
        <v>296</v>
      </c>
      <c r="AX157" s="6">
        <v>397</v>
      </c>
      <c r="AY157" s="6"/>
      <c r="AZ157" s="35">
        <f t="shared" si="57"/>
        <v>300</v>
      </c>
      <c r="BA157" s="6">
        <v>694</v>
      </c>
      <c r="BB157" s="6"/>
      <c r="BC157" s="35">
        <f t="shared" si="58"/>
        <v>297</v>
      </c>
      <c r="BD157" s="6">
        <v>982</v>
      </c>
      <c r="BE157" s="6"/>
      <c r="BF157" s="35">
        <f t="shared" si="59"/>
        <v>288</v>
      </c>
      <c r="BG157" s="6"/>
      <c r="BH157" s="6"/>
      <c r="BI157" s="35"/>
      <c r="BJ157" s="6">
        <v>1283</v>
      </c>
      <c r="BK157" s="35"/>
      <c r="BL157" s="6">
        <f t="shared" si="60"/>
        <v>301</v>
      </c>
      <c r="BM157" s="6">
        <v>82</v>
      </c>
      <c r="BN157" s="6">
        <v>1500</v>
      </c>
      <c r="BO157" s="6">
        <f t="shared" si="61"/>
        <v>299</v>
      </c>
      <c r="BP157" s="6">
        <v>382</v>
      </c>
      <c r="BQ157" s="6"/>
      <c r="BR157" s="35">
        <f t="shared" si="62"/>
        <v>300</v>
      </c>
      <c r="BS157" s="6">
        <v>681</v>
      </c>
      <c r="BT157" s="6"/>
      <c r="BU157" s="6">
        <f t="shared" si="63"/>
        <v>299</v>
      </c>
      <c r="BV157" s="6">
        <v>984</v>
      </c>
      <c r="BW157" s="6"/>
      <c r="BX157" s="35">
        <f t="shared" si="64"/>
        <v>303</v>
      </c>
      <c r="BY157" s="6">
        <v>1267</v>
      </c>
      <c r="BZ157" s="6"/>
      <c r="CA157" s="6">
        <f t="shared" si="65"/>
        <v>283</v>
      </c>
      <c r="CB157" s="6"/>
      <c r="CC157" s="6"/>
      <c r="CD157" s="6"/>
      <c r="CE157" s="6">
        <v>64</v>
      </c>
      <c r="CF157" s="6">
        <v>1500</v>
      </c>
      <c r="CG157" s="6">
        <f t="shared" si="66"/>
        <v>297</v>
      </c>
      <c r="CH157" s="6">
        <v>365</v>
      </c>
      <c r="CI157" s="6"/>
      <c r="CJ157" s="6">
        <f t="shared" si="67"/>
        <v>301</v>
      </c>
      <c r="CK157" s="6">
        <v>664</v>
      </c>
      <c r="CL157" s="6"/>
      <c r="CM157" s="6">
        <f t="shared" si="68"/>
        <v>299</v>
      </c>
      <c r="CN157" s="6">
        <v>959</v>
      </c>
      <c r="CO157" s="6"/>
      <c r="CP157" s="6">
        <f t="shared" si="69"/>
        <v>295</v>
      </c>
      <c r="CQ157" s="6">
        <v>18</v>
      </c>
      <c r="CR157" s="6">
        <v>1238</v>
      </c>
      <c r="CS157" s="6">
        <f t="shared" si="70"/>
        <v>297</v>
      </c>
      <c r="CT157" s="6">
        <v>304</v>
      </c>
      <c r="CU157" s="6"/>
      <c r="CV157" s="6">
        <f t="shared" si="71"/>
        <v>286</v>
      </c>
      <c r="CW157" s="6"/>
      <c r="CX157" s="6"/>
      <c r="CY157" s="6"/>
      <c r="CZ157" s="6">
        <v>599</v>
      </c>
      <c r="DA157" s="6"/>
      <c r="DB157" s="6">
        <f t="shared" si="72"/>
        <v>295</v>
      </c>
      <c r="DC157" s="6">
        <v>891</v>
      </c>
      <c r="DD157" s="6"/>
      <c r="DE157" s="6">
        <f t="shared" si="73"/>
        <v>292</v>
      </c>
      <c r="DF157" s="6">
        <v>135</v>
      </c>
      <c r="DG157" s="6">
        <v>1045</v>
      </c>
      <c r="DH157" s="6">
        <f t="shared" si="74"/>
        <v>289</v>
      </c>
      <c r="DI157" s="6">
        <v>0</v>
      </c>
      <c r="DJ157" s="6">
        <v>379</v>
      </c>
      <c r="DK157" s="6">
        <f t="shared" si="75"/>
        <v>244</v>
      </c>
      <c r="DL157" s="6">
        <v>285</v>
      </c>
      <c r="DM157" s="6"/>
      <c r="DN157" s="6">
        <f t="shared" si="76"/>
        <v>285</v>
      </c>
      <c r="DO157" s="6">
        <v>555</v>
      </c>
      <c r="DP157" s="6"/>
      <c r="DQ157" s="6">
        <f t="shared" si="77"/>
        <v>270</v>
      </c>
    </row>
    <row r="158" spans="1:121">
      <c r="A158" s="6">
        <v>154</v>
      </c>
      <c r="B158" s="6">
        <v>636</v>
      </c>
      <c r="C158" s="6"/>
      <c r="D158" s="8">
        <v>371</v>
      </c>
      <c r="E158" s="33" t="s">
        <v>69</v>
      </c>
      <c r="F158" s="33" t="s">
        <v>69</v>
      </c>
      <c r="G158" s="33" t="s">
        <v>69</v>
      </c>
      <c r="H158" s="33" t="s">
        <v>69</v>
      </c>
      <c r="I158" s="33" t="s">
        <v>69</v>
      </c>
      <c r="J158" s="33" t="s">
        <v>69</v>
      </c>
      <c r="K158" s="33" t="s">
        <v>69</v>
      </c>
      <c r="L158" s="33" t="s">
        <v>69</v>
      </c>
      <c r="M158" s="33" t="s">
        <v>69</v>
      </c>
      <c r="N158" s="33" t="s">
        <v>69</v>
      </c>
      <c r="O158" s="33" t="s">
        <v>69</v>
      </c>
      <c r="P158" s="33" t="s">
        <v>69</v>
      </c>
      <c r="Q158" s="148" t="s">
        <v>99</v>
      </c>
      <c r="R158" s="33" t="s">
        <v>99</v>
      </c>
      <c r="S158" s="33" t="s">
        <v>99</v>
      </c>
      <c r="T158" s="33" t="s">
        <v>99</v>
      </c>
      <c r="U158" s="33" t="s">
        <v>99</v>
      </c>
      <c r="V158" s="33" t="s">
        <v>99</v>
      </c>
      <c r="W158" s="33" t="s">
        <v>99</v>
      </c>
      <c r="X158" s="33" t="s">
        <v>99</v>
      </c>
      <c r="Y158" s="33" t="s">
        <v>99</v>
      </c>
      <c r="Z158" s="33" t="s">
        <v>99</v>
      </c>
      <c r="AA158" s="33" t="s">
        <v>99</v>
      </c>
      <c r="AB158" s="33" t="s">
        <v>99</v>
      </c>
      <c r="AC158" s="33" t="s">
        <v>99</v>
      </c>
      <c r="AD158" s="33" t="s">
        <v>99</v>
      </c>
      <c r="AE158" s="33" t="s">
        <v>99</v>
      </c>
      <c r="AF158" s="6">
        <v>1018</v>
      </c>
      <c r="AG158" s="6"/>
      <c r="AH158" s="35">
        <f t="shared" si="52"/>
        <v>382</v>
      </c>
      <c r="AI158" s="35">
        <v>1393</v>
      </c>
      <c r="AJ158" s="35"/>
      <c r="AK158" s="35">
        <f t="shared" si="53"/>
        <v>375</v>
      </c>
      <c r="AL158" s="6"/>
      <c r="AM158" s="6"/>
      <c r="AN158" s="35"/>
      <c r="AO158" s="6">
        <v>220</v>
      </c>
      <c r="AP158" s="6">
        <v>1561</v>
      </c>
      <c r="AQ158" s="34">
        <f t="shared" si="54"/>
        <v>388</v>
      </c>
      <c r="AR158" s="35">
        <v>595</v>
      </c>
      <c r="AS158" s="35"/>
      <c r="AT158" s="35">
        <f t="shared" si="55"/>
        <v>375</v>
      </c>
      <c r="AU158" s="6">
        <v>950</v>
      </c>
      <c r="AV158" s="6"/>
      <c r="AW158" s="35">
        <f t="shared" si="56"/>
        <v>355</v>
      </c>
      <c r="AX158" s="6">
        <v>1322</v>
      </c>
      <c r="AY158" s="6"/>
      <c r="AZ158" s="35">
        <f t="shared" si="57"/>
        <v>372</v>
      </c>
      <c r="BA158" s="35">
        <v>137</v>
      </c>
      <c r="BB158" s="35">
        <v>1560</v>
      </c>
      <c r="BC158" s="35">
        <f t="shared" si="58"/>
        <v>375</v>
      </c>
      <c r="BD158" s="6">
        <v>473</v>
      </c>
      <c r="BE158" s="6"/>
      <c r="BF158" s="35">
        <f t="shared" si="59"/>
        <v>336</v>
      </c>
      <c r="BG158" s="6"/>
      <c r="BH158" s="6"/>
      <c r="BI158" s="6"/>
      <c r="BJ158" s="6">
        <v>843</v>
      </c>
      <c r="BK158" s="6"/>
      <c r="BL158" s="6">
        <f t="shared" si="60"/>
        <v>370</v>
      </c>
      <c r="BM158" s="6">
        <v>1216</v>
      </c>
      <c r="BN158" s="6"/>
      <c r="BO158" s="6">
        <f t="shared" si="61"/>
        <v>373</v>
      </c>
      <c r="BP158" s="6">
        <v>0</v>
      </c>
      <c r="BQ158" s="6">
        <v>1275</v>
      </c>
      <c r="BR158" s="35">
        <f t="shared" si="62"/>
        <v>59</v>
      </c>
      <c r="BS158" s="6">
        <v>238</v>
      </c>
      <c r="BT158" s="6"/>
      <c r="BU158" s="6">
        <f t="shared" si="63"/>
        <v>238</v>
      </c>
      <c r="BV158" s="6">
        <v>518</v>
      </c>
      <c r="BW158" s="6"/>
      <c r="BX158" s="35">
        <f t="shared" si="64"/>
        <v>280</v>
      </c>
      <c r="BY158" s="6">
        <v>774</v>
      </c>
      <c r="BZ158" s="6"/>
      <c r="CA158" s="6">
        <f t="shared" si="65"/>
        <v>256</v>
      </c>
      <c r="CB158" s="6"/>
      <c r="CC158" s="6"/>
      <c r="CD158" s="6"/>
      <c r="CE158" s="6">
        <v>1052</v>
      </c>
      <c r="CF158" s="6"/>
      <c r="CG158" s="6">
        <f t="shared" si="66"/>
        <v>278</v>
      </c>
      <c r="CH158" s="6">
        <v>190</v>
      </c>
      <c r="CI158" s="6">
        <v>1136</v>
      </c>
      <c r="CJ158" s="6">
        <f t="shared" si="67"/>
        <v>274</v>
      </c>
      <c r="CK158" s="6">
        <v>468</v>
      </c>
      <c r="CL158" s="6"/>
      <c r="CM158" s="6">
        <f t="shared" si="68"/>
        <v>278</v>
      </c>
      <c r="CN158" s="6">
        <v>741</v>
      </c>
      <c r="CO158" s="6"/>
      <c r="CP158" s="6">
        <f t="shared" si="69"/>
        <v>273</v>
      </c>
      <c r="CQ158" s="6">
        <v>1006</v>
      </c>
      <c r="CR158" s="6"/>
      <c r="CS158" s="6">
        <f t="shared" si="70"/>
        <v>265</v>
      </c>
      <c r="CT158" s="6">
        <v>1253</v>
      </c>
      <c r="CU158" s="6"/>
      <c r="CV158" s="6">
        <f t="shared" si="71"/>
        <v>247</v>
      </c>
      <c r="CW158" s="6"/>
      <c r="CX158" s="6"/>
      <c r="CY158" s="6"/>
      <c r="CZ158" s="6">
        <v>13</v>
      </c>
      <c r="DA158" s="6">
        <v>1500</v>
      </c>
      <c r="DB158" s="6">
        <f t="shared" si="72"/>
        <v>260</v>
      </c>
      <c r="DC158" s="6">
        <v>264</v>
      </c>
      <c r="DD158" s="6"/>
      <c r="DE158" s="6">
        <f t="shared" si="73"/>
        <v>251</v>
      </c>
      <c r="DF158" s="6">
        <v>527</v>
      </c>
      <c r="DG158" s="6"/>
      <c r="DH158" s="6">
        <f t="shared" si="74"/>
        <v>263</v>
      </c>
      <c r="DI158" s="6">
        <v>788</v>
      </c>
      <c r="DJ158" s="6"/>
      <c r="DK158" s="6">
        <f t="shared" si="75"/>
        <v>261</v>
      </c>
      <c r="DL158" s="6">
        <v>1053</v>
      </c>
      <c r="DM158" s="6"/>
      <c r="DN158" s="6">
        <f t="shared" si="76"/>
        <v>265</v>
      </c>
      <c r="DO158" s="6">
        <v>1292</v>
      </c>
      <c r="DP158" s="6"/>
      <c r="DQ158" s="6">
        <f t="shared" si="77"/>
        <v>239</v>
      </c>
    </row>
    <row r="159" spans="1:121">
      <c r="A159" s="6">
        <v>155</v>
      </c>
      <c r="B159" s="6">
        <v>370</v>
      </c>
      <c r="C159" s="6">
        <v>1560</v>
      </c>
      <c r="D159" s="6">
        <v>371</v>
      </c>
      <c r="E159" s="33" t="s">
        <v>37</v>
      </c>
      <c r="F159" s="33" t="s">
        <v>37</v>
      </c>
      <c r="G159" s="148" t="s">
        <v>69</v>
      </c>
      <c r="H159" s="33" t="s">
        <v>69</v>
      </c>
      <c r="I159" s="33" t="s">
        <v>69</v>
      </c>
      <c r="J159" s="33" t="s">
        <v>69</v>
      </c>
      <c r="K159" s="33" t="s">
        <v>69</v>
      </c>
      <c r="L159" s="33" t="s">
        <v>69</v>
      </c>
      <c r="M159" s="33" t="s">
        <v>69</v>
      </c>
      <c r="N159" s="33" t="s">
        <v>69</v>
      </c>
      <c r="O159" s="33" t="s">
        <v>69</v>
      </c>
      <c r="P159" s="33" t="s">
        <v>69</v>
      </c>
      <c r="Q159" s="33" t="s">
        <v>69</v>
      </c>
      <c r="R159" s="148" t="s">
        <v>56</v>
      </c>
      <c r="S159" s="33" t="s">
        <v>56</v>
      </c>
      <c r="T159" s="33" t="s">
        <v>56</v>
      </c>
      <c r="U159" s="33" t="s">
        <v>56</v>
      </c>
      <c r="V159" s="33" t="s">
        <v>56</v>
      </c>
      <c r="W159" s="33" t="s">
        <v>56</v>
      </c>
      <c r="X159" s="33" t="s">
        <v>56</v>
      </c>
      <c r="Y159" s="33" t="s">
        <v>56</v>
      </c>
      <c r="Z159" s="33" t="s">
        <v>56</v>
      </c>
      <c r="AA159" s="33" t="s">
        <v>56</v>
      </c>
      <c r="AB159" s="33" t="s">
        <v>56</v>
      </c>
      <c r="AC159" s="33" t="s">
        <v>56</v>
      </c>
      <c r="AD159" s="33" t="s">
        <v>56</v>
      </c>
      <c r="AE159" s="33" t="s">
        <v>56</v>
      </c>
      <c r="AF159" s="6">
        <v>0</v>
      </c>
      <c r="AG159" s="6">
        <v>655</v>
      </c>
      <c r="AH159" s="35">
        <f t="shared" si="52"/>
        <v>285</v>
      </c>
      <c r="AI159" s="35">
        <v>356</v>
      </c>
      <c r="AJ159" s="35"/>
      <c r="AK159" s="35">
        <f t="shared" si="53"/>
        <v>356</v>
      </c>
      <c r="AL159" s="6"/>
      <c r="AM159" s="6"/>
      <c r="AN159" s="35"/>
      <c r="AO159" s="6">
        <v>746</v>
      </c>
      <c r="AP159" s="6"/>
      <c r="AQ159" s="34">
        <f t="shared" si="54"/>
        <v>390</v>
      </c>
      <c r="AR159" s="35">
        <v>1138</v>
      </c>
      <c r="AS159" s="35"/>
      <c r="AT159" s="35">
        <f t="shared" si="55"/>
        <v>392</v>
      </c>
      <c r="AU159" s="6">
        <v>1524</v>
      </c>
      <c r="AV159" s="6"/>
      <c r="AW159" s="35">
        <f t="shared" si="56"/>
        <v>386</v>
      </c>
      <c r="AX159" s="6">
        <v>348</v>
      </c>
      <c r="AY159" s="6">
        <v>1560</v>
      </c>
      <c r="AZ159" s="35">
        <f t="shared" si="57"/>
        <v>384</v>
      </c>
      <c r="BA159" s="6">
        <v>731</v>
      </c>
      <c r="BB159" s="6"/>
      <c r="BC159" s="35">
        <f t="shared" si="58"/>
        <v>383</v>
      </c>
      <c r="BD159" s="6">
        <v>1108</v>
      </c>
      <c r="BE159" s="6"/>
      <c r="BF159" s="35">
        <f t="shared" si="59"/>
        <v>377</v>
      </c>
      <c r="BG159" s="6"/>
      <c r="BH159" s="6"/>
      <c r="BI159" s="35"/>
      <c r="BJ159" s="6">
        <v>1505</v>
      </c>
      <c r="BK159" s="35"/>
      <c r="BL159" s="6">
        <f t="shared" si="60"/>
        <v>397</v>
      </c>
      <c r="BM159" s="6">
        <v>331</v>
      </c>
      <c r="BN159" s="6">
        <v>1560</v>
      </c>
      <c r="BO159" s="6">
        <f t="shared" si="61"/>
        <v>386</v>
      </c>
      <c r="BP159" s="6">
        <v>723</v>
      </c>
      <c r="BQ159" s="6"/>
      <c r="BR159" s="35">
        <f t="shared" si="62"/>
        <v>392</v>
      </c>
      <c r="BS159" s="6">
        <v>0</v>
      </c>
      <c r="BT159" s="6">
        <v>944</v>
      </c>
      <c r="BU159" s="6">
        <f t="shared" si="63"/>
        <v>221</v>
      </c>
      <c r="BV159" s="6">
        <v>306</v>
      </c>
      <c r="BW159" s="6"/>
      <c r="BX159" s="35">
        <f t="shared" si="64"/>
        <v>306</v>
      </c>
      <c r="BY159" s="6">
        <v>400</v>
      </c>
      <c r="BZ159" s="35"/>
      <c r="CA159" s="6">
        <f t="shared" si="65"/>
        <v>94</v>
      </c>
      <c r="CB159" s="6"/>
      <c r="CC159" s="6"/>
      <c r="CD159" s="35"/>
      <c r="CE159" s="6">
        <v>400</v>
      </c>
      <c r="CF159" s="35"/>
      <c r="CG159" s="6">
        <f t="shared" si="66"/>
        <v>0</v>
      </c>
      <c r="CH159" s="6">
        <v>400</v>
      </c>
      <c r="CI159" s="6"/>
      <c r="CJ159" s="6">
        <f t="shared" si="67"/>
        <v>0</v>
      </c>
      <c r="CK159" s="6">
        <v>400</v>
      </c>
      <c r="CL159" s="6"/>
      <c r="CM159" s="6">
        <f t="shared" si="68"/>
        <v>0</v>
      </c>
      <c r="CN159" s="6">
        <v>400</v>
      </c>
      <c r="CO159" s="6"/>
      <c r="CP159" s="6">
        <f t="shared" si="69"/>
        <v>0</v>
      </c>
      <c r="CQ159" s="6">
        <v>400</v>
      </c>
      <c r="CR159" s="6"/>
      <c r="CS159" s="6">
        <f t="shared" si="70"/>
        <v>0</v>
      </c>
      <c r="CT159" s="6">
        <v>400</v>
      </c>
      <c r="CU159" s="6"/>
      <c r="CV159" s="6">
        <f t="shared" si="71"/>
        <v>0</v>
      </c>
      <c r="CW159" s="6"/>
      <c r="CX159" s="6"/>
      <c r="CY159" s="6"/>
      <c r="CZ159" s="6">
        <v>400</v>
      </c>
      <c r="DA159" s="6"/>
      <c r="DB159" s="6">
        <f t="shared" si="72"/>
        <v>0</v>
      </c>
      <c r="DC159" s="6">
        <v>400</v>
      </c>
      <c r="DD159" s="6"/>
      <c r="DE159" s="6">
        <f t="shared" si="73"/>
        <v>0</v>
      </c>
      <c r="DF159" s="6">
        <v>400</v>
      </c>
      <c r="DG159" s="6"/>
      <c r="DH159" s="6">
        <f t="shared" si="74"/>
        <v>0</v>
      </c>
      <c r="DI159" s="6">
        <v>406</v>
      </c>
      <c r="DJ159" s="6">
        <v>400</v>
      </c>
      <c r="DK159" s="6">
        <f t="shared" si="75"/>
        <v>406</v>
      </c>
      <c r="DL159" s="6">
        <v>0</v>
      </c>
      <c r="DM159" s="6">
        <v>500</v>
      </c>
      <c r="DN159" s="6">
        <f t="shared" si="76"/>
        <v>94</v>
      </c>
      <c r="DO159" s="6">
        <v>0</v>
      </c>
      <c r="DP159" s="6"/>
      <c r="DQ159" s="6">
        <f t="shared" si="77"/>
        <v>0</v>
      </c>
    </row>
    <row r="160" spans="1:121">
      <c r="A160" s="6">
        <v>156</v>
      </c>
      <c r="B160" s="6">
        <v>668</v>
      </c>
      <c r="C160" s="6"/>
      <c r="D160" s="6">
        <v>331</v>
      </c>
      <c r="E160" s="33" t="s">
        <v>98</v>
      </c>
      <c r="F160" s="33" t="s">
        <v>98</v>
      </c>
      <c r="G160" s="33" t="s">
        <v>98</v>
      </c>
      <c r="H160" s="33" t="s">
        <v>98</v>
      </c>
      <c r="I160" s="33" t="s">
        <v>98</v>
      </c>
      <c r="J160" s="33" t="s">
        <v>98</v>
      </c>
      <c r="K160" s="33" t="s">
        <v>98</v>
      </c>
      <c r="L160" s="33" t="s">
        <v>98</v>
      </c>
      <c r="M160" s="33" t="s">
        <v>98</v>
      </c>
      <c r="N160" s="148" t="s">
        <v>124</v>
      </c>
      <c r="O160" s="33" t="s">
        <v>124</v>
      </c>
      <c r="P160" s="33" t="s">
        <v>124</v>
      </c>
      <c r="Q160" s="33" t="s">
        <v>124</v>
      </c>
      <c r="R160" s="33" t="s">
        <v>124</v>
      </c>
      <c r="S160" s="33" t="s">
        <v>124</v>
      </c>
      <c r="T160" s="33" t="s">
        <v>124</v>
      </c>
      <c r="U160" s="33" t="s">
        <v>124</v>
      </c>
      <c r="V160" s="33" t="s">
        <v>124</v>
      </c>
      <c r="W160" s="33" t="s">
        <v>124</v>
      </c>
      <c r="X160" s="33" t="s">
        <v>124</v>
      </c>
      <c r="Y160" s="33" t="s">
        <v>124</v>
      </c>
      <c r="Z160" s="33" t="s">
        <v>124</v>
      </c>
      <c r="AA160" s="33" t="s">
        <v>124</v>
      </c>
      <c r="AB160" s="33" t="s">
        <v>124</v>
      </c>
      <c r="AC160" s="33" t="s">
        <v>124</v>
      </c>
      <c r="AD160" s="33" t="s">
        <v>124</v>
      </c>
      <c r="AE160" s="33" t="s">
        <v>124</v>
      </c>
      <c r="AF160" s="6">
        <v>1016</v>
      </c>
      <c r="AG160" s="6"/>
      <c r="AH160" s="35">
        <f t="shared" si="52"/>
        <v>348</v>
      </c>
      <c r="AI160" s="35">
        <v>228</v>
      </c>
      <c r="AJ160" s="35">
        <v>1110</v>
      </c>
      <c r="AK160" s="35">
        <f t="shared" si="53"/>
        <v>322</v>
      </c>
      <c r="AL160" s="6"/>
      <c r="AM160" s="6"/>
      <c r="AN160" s="35"/>
      <c r="AO160" s="6">
        <v>574</v>
      </c>
      <c r="AP160" s="6"/>
      <c r="AQ160" s="34">
        <f t="shared" si="54"/>
        <v>346</v>
      </c>
      <c r="AR160" s="35">
        <v>919</v>
      </c>
      <c r="AS160" s="35"/>
      <c r="AT160" s="35">
        <f t="shared" si="55"/>
        <v>345</v>
      </c>
      <c r="AU160" s="6">
        <v>62</v>
      </c>
      <c r="AV160" s="6">
        <v>1200</v>
      </c>
      <c r="AW160" s="35">
        <f t="shared" si="56"/>
        <v>343</v>
      </c>
      <c r="AX160" s="6">
        <v>405</v>
      </c>
      <c r="AY160" s="6"/>
      <c r="AZ160" s="35">
        <f t="shared" si="57"/>
        <v>343</v>
      </c>
      <c r="BA160" s="35">
        <v>483</v>
      </c>
      <c r="BB160" s="35"/>
      <c r="BC160" s="35">
        <f t="shared" si="58"/>
        <v>78</v>
      </c>
      <c r="BD160" s="6">
        <v>0</v>
      </c>
      <c r="BE160" s="6">
        <v>483</v>
      </c>
      <c r="BF160" s="35">
        <f t="shared" si="59"/>
        <v>0</v>
      </c>
      <c r="BG160" s="6"/>
      <c r="BH160" s="6"/>
      <c r="BI160" s="6"/>
      <c r="BJ160" s="6">
        <v>0</v>
      </c>
      <c r="BK160" s="6"/>
      <c r="BL160" s="6">
        <f t="shared" si="60"/>
        <v>0</v>
      </c>
      <c r="BM160" s="6">
        <v>0</v>
      </c>
      <c r="BN160" s="6"/>
      <c r="BO160" s="6">
        <f t="shared" si="61"/>
        <v>0</v>
      </c>
      <c r="BP160" s="6">
        <v>0</v>
      </c>
      <c r="BQ160" s="6"/>
      <c r="BR160" s="35">
        <f t="shared" si="62"/>
        <v>0</v>
      </c>
      <c r="BS160" s="6">
        <v>0</v>
      </c>
      <c r="BT160" s="6"/>
      <c r="BU160" s="6">
        <f t="shared" si="63"/>
        <v>0</v>
      </c>
      <c r="BV160" s="6">
        <v>143</v>
      </c>
      <c r="BW160" s="6"/>
      <c r="BX160" s="35">
        <f t="shared" si="64"/>
        <v>143</v>
      </c>
      <c r="BY160" s="6">
        <v>352</v>
      </c>
      <c r="BZ160" s="6"/>
      <c r="CA160" s="6">
        <f t="shared" si="65"/>
        <v>209</v>
      </c>
      <c r="CB160" s="6"/>
      <c r="CC160" s="6"/>
      <c r="CD160" s="6"/>
      <c r="CE160" s="6">
        <v>577</v>
      </c>
      <c r="CF160" s="6"/>
      <c r="CG160" s="6">
        <f t="shared" si="66"/>
        <v>225</v>
      </c>
      <c r="CH160" s="6">
        <v>807</v>
      </c>
      <c r="CI160" s="6"/>
      <c r="CJ160" s="6">
        <f t="shared" si="67"/>
        <v>230</v>
      </c>
      <c r="CK160" s="6">
        <v>1036</v>
      </c>
      <c r="CL160" s="6"/>
      <c r="CM160" s="6">
        <f t="shared" si="68"/>
        <v>229</v>
      </c>
      <c r="CN160" s="6">
        <v>1268</v>
      </c>
      <c r="CO160" s="6"/>
      <c r="CP160" s="6">
        <f t="shared" si="69"/>
        <v>232</v>
      </c>
      <c r="CQ160" s="6">
        <v>1497</v>
      </c>
      <c r="CR160" s="6"/>
      <c r="CS160" s="6">
        <f t="shared" si="70"/>
        <v>229</v>
      </c>
      <c r="CT160" s="6">
        <v>1698</v>
      </c>
      <c r="CU160" s="6"/>
      <c r="CV160" s="6">
        <f t="shared" si="71"/>
        <v>201</v>
      </c>
      <c r="CW160" s="6"/>
      <c r="CX160" s="6"/>
      <c r="CY160" s="6"/>
      <c r="CZ160" s="6">
        <v>1933</v>
      </c>
      <c r="DA160" s="6"/>
      <c r="DB160" s="6">
        <f t="shared" si="72"/>
        <v>235</v>
      </c>
      <c r="DC160" s="6">
        <v>165</v>
      </c>
      <c r="DD160" s="6">
        <v>2000</v>
      </c>
      <c r="DE160" s="6">
        <f t="shared" si="73"/>
        <v>232</v>
      </c>
      <c r="DF160" s="6">
        <v>399</v>
      </c>
      <c r="DG160" s="6"/>
      <c r="DH160" s="6">
        <f t="shared" si="74"/>
        <v>234</v>
      </c>
      <c r="DI160" s="6">
        <v>9</v>
      </c>
      <c r="DJ160" s="6">
        <v>618</v>
      </c>
      <c r="DK160" s="6">
        <f t="shared" si="75"/>
        <v>228</v>
      </c>
      <c r="DL160" s="6">
        <v>238</v>
      </c>
      <c r="DM160" s="6"/>
      <c r="DN160" s="6">
        <f t="shared" si="76"/>
        <v>229</v>
      </c>
      <c r="DO160" s="6">
        <v>450</v>
      </c>
      <c r="DP160" s="6"/>
      <c r="DQ160" s="6">
        <f t="shared" si="77"/>
        <v>212</v>
      </c>
    </row>
    <row r="161" spans="1:121">
      <c r="A161" s="6">
        <v>157</v>
      </c>
      <c r="B161" s="6">
        <v>1422</v>
      </c>
      <c r="C161" s="6"/>
      <c r="D161" s="6">
        <v>347</v>
      </c>
      <c r="E161" s="33" t="s">
        <v>97</v>
      </c>
      <c r="F161" s="33" t="s">
        <v>97</v>
      </c>
      <c r="G161" s="33" t="s">
        <v>97</v>
      </c>
      <c r="H161" s="148" t="s">
        <v>99</v>
      </c>
      <c r="I161" s="33" t="s">
        <v>99</v>
      </c>
      <c r="J161" s="33" t="s">
        <v>99</v>
      </c>
      <c r="K161" s="33" t="s">
        <v>99</v>
      </c>
      <c r="L161" s="33" t="s">
        <v>99</v>
      </c>
      <c r="M161" s="33" t="s">
        <v>99</v>
      </c>
      <c r="N161" s="33" t="s">
        <v>99</v>
      </c>
      <c r="O161" s="33" t="s">
        <v>99</v>
      </c>
      <c r="P161" s="33" t="s">
        <v>99</v>
      </c>
      <c r="Q161" s="33" t="s">
        <v>99</v>
      </c>
      <c r="R161" s="33" t="s">
        <v>99</v>
      </c>
      <c r="S161" s="33" t="s">
        <v>99</v>
      </c>
      <c r="T161" s="33" t="s">
        <v>99</v>
      </c>
      <c r="U161" s="33" t="s">
        <v>99</v>
      </c>
      <c r="V161" s="33" t="s">
        <v>99</v>
      </c>
      <c r="W161" s="33" t="s">
        <v>99</v>
      </c>
      <c r="X161" s="33" t="s">
        <v>99</v>
      </c>
      <c r="Y161" s="33" t="s">
        <v>99</v>
      </c>
      <c r="Z161" s="33" t="s">
        <v>99</v>
      </c>
      <c r="AA161" s="33" t="s">
        <v>99</v>
      </c>
      <c r="AB161" s="33" t="s">
        <v>99</v>
      </c>
      <c r="AC161" s="33" t="s">
        <v>99</v>
      </c>
      <c r="AD161" s="148" t="s">
        <v>99</v>
      </c>
      <c r="AE161" s="33" t="s">
        <v>99</v>
      </c>
      <c r="AF161" s="6">
        <v>282</v>
      </c>
      <c r="AG161" s="6">
        <v>1560</v>
      </c>
      <c r="AH161" s="35">
        <f t="shared" si="52"/>
        <v>420</v>
      </c>
      <c r="AI161" s="35">
        <v>0</v>
      </c>
      <c r="AJ161" s="35">
        <v>484</v>
      </c>
      <c r="AK161" s="35">
        <f t="shared" si="53"/>
        <v>202</v>
      </c>
      <c r="AL161" s="6"/>
      <c r="AM161" s="6"/>
      <c r="AN161" s="35"/>
      <c r="AO161" s="6">
        <v>228</v>
      </c>
      <c r="AP161" s="6"/>
      <c r="AQ161" s="34">
        <f t="shared" si="54"/>
        <v>228</v>
      </c>
      <c r="AR161" s="35">
        <v>494</v>
      </c>
      <c r="AS161" s="35"/>
      <c r="AT161" s="35">
        <f t="shared" si="55"/>
        <v>266</v>
      </c>
      <c r="AU161" s="6">
        <v>784</v>
      </c>
      <c r="AV161" s="6"/>
      <c r="AW161" s="35">
        <f t="shared" si="56"/>
        <v>290</v>
      </c>
      <c r="AX161" s="6">
        <v>1078</v>
      </c>
      <c r="AY161" s="6"/>
      <c r="AZ161" s="35">
        <f t="shared" si="57"/>
        <v>294</v>
      </c>
      <c r="BA161" s="6">
        <v>219</v>
      </c>
      <c r="BB161" s="6">
        <v>1144</v>
      </c>
      <c r="BC161" s="35">
        <f t="shared" si="58"/>
        <v>285</v>
      </c>
      <c r="BD161" s="6">
        <v>503</v>
      </c>
      <c r="BE161" s="6"/>
      <c r="BF161" s="35">
        <f t="shared" si="59"/>
        <v>284</v>
      </c>
      <c r="BG161" s="6"/>
      <c r="BH161" s="6"/>
      <c r="BI161" s="35"/>
      <c r="BJ161" s="6">
        <v>798</v>
      </c>
      <c r="BK161" s="35"/>
      <c r="BL161" s="6">
        <f t="shared" si="60"/>
        <v>295</v>
      </c>
      <c r="BM161" s="6">
        <v>1092</v>
      </c>
      <c r="BN161" s="6"/>
      <c r="BO161" s="6">
        <f t="shared" si="61"/>
        <v>294</v>
      </c>
      <c r="BP161" s="6">
        <v>1380</v>
      </c>
      <c r="BQ161" s="6"/>
      <c r="BR161" s="35">
        <f t="shared" si="62"/>
        <v>288</v>
      </c>
      <c r="BS161" s="6">
        <v>159</v>
      </c>
      <c r="BT161" s="6">
        <v>1500</v>
      </c>
      <c r="BU161" s="6">
        <f t="shared" si="63"/>
        <v>279</v>
      </c>
      <c r="BV161" s="6">
        <v>428</v>
      </c>
      <c r="BW161" s="6"/>
      <c r="BX161" s="35">
        <f t="shared" si="64"/>
        <v>269</v>
      </c>
      <c r="BY161" s="6">
        <v>680</v>
      </c>
      <c r="BZ161" s="6"/>
      <c r="CA161" s="6">
        <f t="shared" si="65"/>
        <v>252</v>
      </c>
      <c r="CB161" s="6"/>
      <c r="CC161" s="6"/>
      <c r="CD161" s="6"/>
      <c r="CE161" s="6">
        <v>948</v>
      </c>
      <c r="CF161" s="6"/>
      <c r="CG161" s="6">
        <f t="shared" si="66"/>
        <v>268</v>
      </c>
      <c r="CH161" s="6">
        <v>1219</v>
      </c>
      <c r="CI161" s="6"/>
      <c r="CJ161" s="6">
        <f t="shared" si="67"/>
        <v>271</v>
      </c>
      <c r="CK161" s="6">
        <v>1489</v>
      </c>
      <c r="CL161" s="6"/>
      <c r="CM161" s="6">
        <f t="shared" si="68"/>
        <v>270</v>
      </c>
      <c r="CN161" s="6">
        <v>258</v>
      </c>
      <c r="CO161" s="6">
        <v>1500</v>
      </c>
      <c r="CP161" s="6">
        <f t="shared" si="69"/>
        <v>269</v>
      </c>
      <c r="CQ161" s="6">
        <v>526</v>
      </c>
      <c r="CR161" s="6"/>
      <c r="CS161" s="6">
        <f t="shared" si="70"/>
        <v>268</v>
      </c>
      <c r="CT161" s="6">
        <v>217</v>
      </c>
      <c r="CU161" s="6">
        <v>562</v>
      </c>
      <c r="CV161" s="6">
        <f t="shared" si="71"/>
        <v>253</v>
      </c>
      <c r="CW161" s="6"/>
      <c r="CX161" s="6"/>
      <c r="CY161" s="6"/>
      <c r="CZ161" s="6">
        <v>24</v>
      </c>
      <c r="DA161" s="6">
        <v>453</v>
      </c>
      <c r="DB161" s="6">
        <f t="shared" si="72"/>
        <v>260</v>
      </c>
      <c r="DC161" s="6">
        <v>283</v>
      </c>
      <c r="DD161" s="6"/>
      <c r="DE161" s="6">
        <f t="shared" si="73"/>
        <v>259</v>
      </c>
      <c r="DF161" s="6">
        <v>545</v>
      </c>
      <c r="DG161" s="6"/>
      <c r="DH161" s="6">
        <f t="shared" si="74"/>
        <v>262</v>
      </c>
      <c r="DI161" s="6">
        <v>805</v>
      </c>
      <c r="DJ161" s="6"/>
      <c r="DK161" s="6">
        <f t="shared" si="75"/>
        <v>260</v>
      </c>
      <c r="DL161" s="6">
        <v>170</v>
      </c>
      <c r="DM161" s="6">
        <v>883</v>
      </c>
      <c r="DN161" s="6">
        <f t="shared" si="76"/>
        <v>248</v>
      </c>
      <c r="DO161" s="6">
        <v>408</v>
      </c>
      <c r="DP161" s="6"/>
      <c r="DQ161" s="6">
        <f t="shared" si="77"/>
        <v>238</v>
      </c>
    </row>
    <row r="162" spans="1:121">
      <c r="A162" s="6">
        <v>158</v>
      </c>
      <c r="B162" s="6">
        <v>709</v>
      </c>
      <c r="C162" s="6"/>
      <c r="D162" s="6">
        <v>366</v>
      </c>
      <c r="E162" s="33" t="s">
        <v>37</v>
      </c>
      <c r="F162" s="33" t="s">
        <v>37</v>
      </c>
      <c r="G162" s="33" t="s">
        <v>37</v>
      </c>
      <c r="H162" s="33" t="s">
        <v>37</v>
      </c>
      <c r="I162" s="33" t="s">
        <v>37</v>
      </c>
      <c r="J162" s="33" t="s">
        <v>37</v>
      </c>
      <c r="K162" s="33" t="s">
        <v>37</v>
      </c>
      <c r="L162" s="33" t="s">
        <v>37</v>
      </c>
      <c r="M162" s="33" t="s">
        <v>37</v>
      </c>
      <c r="N162" s="148" t="s">
        <v>56</v>
      </c>
      <c r="O162" s="33" t="s">
        <v>56</v>
      </c>
      <c r="P162" s="33" t="s">
        <v>56</v>
      </c>
      <c r="Q162" s="33" t="s">
        <v>56</v>
      </c>
      <c r="R162" s="148" t="s">
        <v>124</v>
      </c>
      <c r="S162" s="33" t="s">
        <v>124</v>
      </c>
      <c r="T162" s="33" t="s">
        <v>124</v>
      </c>
      <c r="U162" s="33" t="s">
        <v>124</v>
      </c>
      <c r="V162" s="33" t="s">
        <v>124</v>
      </c>
      <c r="W162" s="33" t="s">
        <v>124</v>
      </c>
      <c r="X162" s="33" t="s">
        <v>124</v>
      </c>
      <c r="Y162" s="33" t="s">
        <v>124</v>
      </c>
      <c r="Z162" s="33" t="s">
        <v>124</v>
      </c>
      <c r="AA162" s="33" t="s">
        <v>124</v>
      </c>
      <c r="AB162" s="33" t="s">
        <v>124</v>
      </c>
      <c r="AC162" s="33" t="s">
        <v>124</v>
      </c>
      <c r="AD162" s="33" t="s">
        <v>124</v>
      </c>
      <c r="AE162" s="33" t="s">
        <v>124</v>
      </c>
      <c r="AF162" s="6">
        <v>1097</v>
      </c>
      <c r="AG162" s="6"/>
      <c r="AH162" s="35">
        <f t="shared" si="52"/>
        <v>388</v>
      </c>
      <c r="AI162" s="35">
        <v>1465</v>
      </c>
      <c r="AJ162" s="35"/>
      <c r="AK162" s="35">
        <f t="shared" si="53"/>
        <v>368</v>
      </c>
      <c r="AL162" s="6"/>
      <c r="AM162" s="6"/>
      <c r="AN162" s="35"/>
      <c r="AO162" s="6">
        <v>294</v>
      </c>
      <c r="AP162" s="6">
        <v>1560</v>
      </c>
      <c r="AQ162" s="34">
        <f t="shared" si="54"/>
        <v>389</v>
      </c>
      <c r="AR162" s="35">
        <v>687</v>
      </c>
      <c r="AS162" s="35"/>
      <c r="AT162" s="35">
        <f t="shared" si="55"/>
        <v>393</v>
      </c>
      <c r="AU162" s="6">
        <v>1069</v>
      </c>
      <c r="AV162" s="6"/>
      <c r="AW162" s="35">
        <f t="shared" si="56"/>
        <v>382</v>
      </c>
      <c r="AX162" s="6">
        <v>1275</v>
      </c>
      <c r="AY162" s="6"/>
      <c r="AZ162" s="35">
        <f t="shared" si="57"/>
        <v>206</v>
      </c>
      <c r="BA162" s="35">
        <v>1663</v>
      </c>
      <c r="BB162" s="35"/>
      <c r="BC162" s="35">
        <f t="shared" si="58"/>
        <v>388</v>
      </c>
      <c r="BD162" s="6">
        <v>0</v>
      </c>
      <c r="BE162" s="6">
        <v>1738</v>
      </c>
      <c r="BF162" s="35">
        <f t="shared" si="59"/>
        <v>75</v>
      </c>
      <c r="BG162" s="6"/>
      <c r="BH162" s="6"/>
      <c r="BI162" s="6"/>
      <c r="BJ162" s="6">
        <v>294</v>
      </c>
      <c r="BK162" s="6"/>
      <c r="BL162" s="6">
        <f t="shared" si="60"/>
        <v>294</v>
      </c>
      <c r="BM162" s="6">
        <v>0</v>
      </c>
      <c r="BN162" s="6">
        <v>350</v>
      </c>
      <c r="BO162" s="6">
        <f t="shared" si="61"/>
        <v>56</v>
      </c>
      <c r="BP162" s="6">
        <v>332</v>
      </c>
      <c r="BQ162" s="6"/>
      <c r="BR162" s="35">
        <f t="shared" si="62"/>
        <v>332</v>
      </c>
      <c r="BS162" s="6">
        <v>0</v>
      </c>
      <c r="BT162" s="6">
        <v>361</v>
      </c>
      <c r="BU162" s="6">
        <f t="shared" si="63"/>
        <v>29</v>
      </c>
      <c r="BV162" s="6">
        <v>0</v>
      </c>
      <c r="BW162" s="6"/>
      <c r="BX162" s="35">
        <f t="shared" si="64"/>
        <v>0</v>
      </c>
      <c r="BY162" s="6">
        <v>214</v>
      </c>
      <c r="BZ162" s="6"/>
      <c r="CA162" s="6">
        <f t="shared" si="65"/>
        <v>214</v>
      </c>
      <c r="CB162" s="6"/>
      <c r="CC162" s="6"/>
      <c r="CD162" s="6"/>
      <c r="CE162" s="6">
        <v>446</v>
      </c>
      <c r="CF162" s="6"/>
      <c r="CG162" s="6">
        <f t="shared" si="66"/>
        <v>232</v>
      </c>
      <c r="CH162" s="6">
        <v>680</v>
      </c>
      <c r="CI162" s="6"/>
      <c r="CJ162" s="6">
        <f t="shared" si="67"/>
        <v>234</v>
      </c>
      <c r="CK162" s="6">
        <v>913</v>
      </c>
      <c r="CL162" s="6"/>
      <c r="CM162" s="6">
        <f t="shared" si="68"/>
        <v>233</v>
      </c>
      <c r="CN162" s="6">
        <v>1147</v>
      </c>
      <c r="CO162" s="6"/>
      <c r="CP162" s="6">
        <f t="shared" si="69"/>
        <v>234</v>
      </c>
      <c r="CQ162" s="6">
        <v>1378</v>
      </c>
      <c r="CR162" s="6"/>
      <c r="CS162" s="6">
        <f t="shared" si="70"/>
        <v>231</v>
      </c>
      <c r="CT162" s="6">
        <v>1589</v>
      </c>
      <c r="CU162" s="6"/>
      <c r="CV162" s="6">
        <f t="shared" si="71"/>
        <v>211</v>
      </c>
      <c r="CW162" s="6"/>
      <c r="CX162" s="6"/>
      <c r="CY162" s="6"/>
      <c r="CZ162" s="6">
        <v>1819</v>
      </c>
      <c r="DA162" s="6"/>
      <c r="DB162" s="6">
        <f t="shared" si="72"/>
        <v>230</v>
      </c>
      <c r="DC162" s="6">
        <v>165</v>
      </c>
      <c r="DD162" s="6">
        <v>1882</v>
      </c>
      <c r="DE162" s="6">
        <f t="shared" si="73"/>
        <v>228</v>
      </c>
      <c r="DF162" s="6">
        <v>394</v>
      </c>
      <c r="DG162" s="6"/>
      <c r="DH162" s="6">
        <f t="shared" si="74"/>
        <v>229</v>
      </c>
      <c r="DI162" s="6">
        <v>626</v>
      </c>
      <c r="DJ162" s="6"/>
      <c r="DK162" s="6">
        <f t="shared" si="75"/>
        <v>232</v>
      </c>
      <c r="DL162" s="6">
        <v>857</v>
      </c>
      <c r="DM162" s="6"/>
      <c r="DN162" s="6">
        <f t="shared" si="76"/>
        <v>231</v>
      </c>
      <c r="DO162" s="6">
        <v>1067</v>
      </c>
      <c r="DP162" s="6"/>
      <c r="DQ162" s="6">
        <f t="shared" si="77"/>
        <v>210</v>
      </c>
    </row>
    <row r="163" spans="1:121">
      <c r="A163" s="6">
        <v>159</v>
      </c>
      <c r="B163" s="6">
        <v>966</v>
      </c>
      <c r="C163" s="6"/>
      <c r="D163" s="6">
        <v>402</v>
      </c>
      <c r="E163" s="33" t="s">
        <v>97</v>
      </c>
      <c r="F163" s="33" t="s">
        <v>97</v>
      </c>
      <c r="G163" s="148" t="s">
        <v>124</v>
      </c>
      <c r="H163" s="33" t="s">
        <v>124</v>
      </c>
      <c r="I163" s="33" t="s">
        <v>124</v>
      </c>
      <c r="J163" s="33" t="s">
        <v>124</v>
      </c>
      <c r="K163" s="33" t="s">
        <v>124</v>
      </c>
      <c r="L163" s="33" t="s">
        <v>124</v>
      </c>
      <c r="M163" s="33" t="s">
        <v>124</v>
      </c>
      <c r="N163" s="33" t="s">
        <v>124</v>
      </c>
      <c r="O163" s="33" t="s">
        <v>124</v>
      </c>
      <c r="P163" s="33" t="s">
        <v>124</v>
      </c>
      <c r="Q163" s="33" t="s">
        <v>124</v>
      </c>
      <c r="R163" s="33" t="s">
        <v>124</v>
      </c>
      <c r="S163" s="33" t="s">
        <v>124</v>
      </c>
      <c r="T163" s="33" t="s">
        <v>124</v>
      </c>
      <c r="U163" s="33" t="s">
        <v>124</v>
      </c>
      <c r="V163" s="33" t="s">
        <v>124</v>
      </c>
      <c r="W163" s="33" t="s">
        <v>124</v>
      </c>
      <c r="X163" s="33" t="s">
        <v>124</v>
      </c>
      <c r="Y163" s="33" t="s">
        <v>124</v>
      </c>
      <c r="Z163" s="33" t="s">
        <v>124</v>
      </c>
      <c r="AA163" s="33" t="s">
        <v>124</v>
      </c>
      <c r="AB163" s="33" t="s">
        <v>124</v>
      </c>
      <c r="AC163" s="33" t="s">
        <v>124</v>
      </c>
      <c r="AD163" s="33" t="s">
        <v>124</v>
      </c>
      <c r="AE163" s="33" t="s">
        <v>124</v>
      </c>
      <c r="AF163" s="35">
        <v>1385</v>
      </c>
      <c r="AG163" s="35"/>
      <c r="AH163" s="35">
        <f t="shared" si="52"/>
        <v>419</v>
      </c>
      <c r="AI163" s="35">
        <v>0</v>
      </c>
      <c r="AJ163" s="35">
        <v>1467</v>
      </c>
      <c r="AK163" s="35">
        <f t="shared" si="53"/>
        <v>82</v>
      </c>
      <c r="AL163" s="6"/>
      <c r="AM163" s="6"/>
      <c r="AN163" s="35"/>
      <c r="AO163" s="6">
        <v>175</v>
      </c>
      <c r="AP163" s="6"/>
      <c r="AQ163" s="34">
        <f t="shared" si="54"/>
        <v>175</v>
      </c>
      <c r="AR163" s="35">
        <v>416</v>
      </c>
      <c r="AS163" s="35"/>
      <c r="AT163" s="35">
        <f t="shared" si="55"/>
        <v>241</v>
      </c>
      <c r="AU163" s="6">
        <v>157</v>
      </c>
      <c r="AV163" s="6">
        <v>500</v>
      </c>
      <c r="AW163" s="35">
        <f t="shared" si="56"/>
        <v>241</v>
      </c>
      <c r="AX163" s="6">
        <v>402</v>
      </c>
      <c r="AY163" s="6"/>
      <c r="AZ163" s="35">
        <f t="shared" si="57"/>
        <v>245</v>
      </c>
      <c r="BA163" s="6">
        <v>646</v>
      </c>
      <c r="BB163" s="6"/>
      <c r="BC163" s="35">
        <f t="shared" si="58"/>
        <v>244</v>
      </c>
      <c r="BD163" s="6">
        <v>876</v>
      </c>
      <c r="BE163" s="6"/>
      <c r="BF163" s="35">
        <f t="shared" si="59"/>
        <v>230</v>
      </c>
      <c r="BG163" s="6"/>
      <c r="BH163" s="6"/>
      <c r="BI163" s="35"/>
      <c r="BJ163" s="6">
        <v>1121</v>
      </c>
      <c r="BK163" s="35"/>
      <c r="BL163" s="6">
        <f t="shared" si="60"/>
        <v>245</v>
      </c>
      <c r="BM163" s="6">
        <v>1364</v>
      </c>
      <c r="BN163" s="6"/>
      <c r="BO163" s="6">
        <f t="shared" si="61"/>
        <v>243</v>
      </c>
      <c r="BP163" s="6">
        <v>1606</v>
      </c>
      <c r="BQ163" s="6"/>
      <c r="BR163" s="35">
        <f t="shared" si="62"/>
        <v>242</v>
      </c>
      <c r="BS163" s="6">
        <v>1850</v>
      </c>
      <c r="BT163" s="6"/>
      <c r="BU163" s="6">
        <f t="shared" si="63"/>
        <v>244</v>
      </c>
      <c r="BV163" s="6">
        <v>89</v>
      </c>
      <c r="BW163" s="6">
        <v>2000</v>
      </c>
      <c r="BX163" s="35">
        <f t="shared" si="64"/>
        <v>239</v>
      </c>
      <c r="BY163" s="6">
        <v>315</v>
      </c>
      <c r="BZ163" s="6"/>
      <c r="CA163" s="6">
        <f t="shared" si="65"/>
        <v>226</v>
      </c>
      <c r="CB163" s="6"/>
      <c r="CC163" s="6"/>
      <c r="CD163" s="6"/>
      <c r="CE163" s="6">
        <v>558</v>
      </c>
      <c r="CF163" s="6"/>
      <c r="CG163" s="6">
        <f t="shared" si="66"/>
        <v>243</v>
      </c>
      <c r="CH163" s="6">
        <v>799</v>
      </c>
      <c r="CI163" s="6"/>
      <c r="CJ163" s="6">
        <f t="shared" si="67"/>
        <v>241</v>
      </c>
      <c r="CK163" s="6">
        <v>1042</v>
      </c>
      <c r="CL163" s="6"/>
      <c r="CM163" s="6">
        <f t="shared" si="68"/>
        <v>243</v>
      </c>
      <c r="CN163" s="6">
        <v>1287</v>
      </c>
      <c r="CO163" s="6"/>
      <c r="CP163" s="6">
        <f t="shared" si="69"/>
        <v>245</v>
      </c>
      <c r="CQ163" s="6">
        <v>1520</v>
      </c>
      <c r="CR163" s="6"/>
      <c r="CS163" s="6">
        <f t="shared" si="70"/>
        <v>233</v>
      </c>
      <c r="CT163" s="6">
        <v>1733</v>
      </c>
      <c r="CU163" s="6"/>
      <c r="CV163" s="6">
        <f t="shared" si="71"/>
        <v>213</v>
      </c>
      <c r="CW163" s="6"/>
      <c r="CX163" s="6"/>
      <c r="CY163" s="6"/>
      <c r="CZ163" s="6">
        <v>1963</v>
      </c>
      <c r="DA163" s="6"/>
      <c r="DB163" s="6">
        <f t="shared" si="72"/>
        <v>230</v>
      </c>
      <c r="DC163" s="6">
        <v>191</v>
      </c>
      <c r="DD163" s="6">
        <v>2000</v>
      </c>
      <c r="DE163" s="6">
        <f t="shared" si="73"/>
        <v>228</v>
      </c>
      <c r="DF163" s="6">
        <v>422</v>
      </c>
      <c r="DG163" s="6"/>
      <c r="DH163" s="6">
        <f t="shared" si="74"/>
        <v>231</v>
      </c>
      <c r="DI163" s="6">
        <v>653</v>
      </c>
      <c r="DJ163" s="6"/>
      <c r="DK163" s="6">
        <f t="shared" si="75"/>
        <v>231</v>
      </c>
      <c r="DL163" s="6">
        <v>884</v>
      </c>
      <c r="DM163" s="6"/>
      <c r="DN163" s="6">
        <f t="shared" si="76"/>
        <v>231</v>
      </c>
      <c r="DO163" s="6">
        <v>1090</v>
      </c>
      <c r="DP163" s="6"/>
      <c r="DQ163" s="6">
        <f t="shared" si="77"/>
        <v>206</v>
      </c>
    </row>
    <row r="164" spans="1:121">
      <c r="A164" s="6">
        <v>160</v>
      </c>
      <c r="B164" s="6">
        <v>692</v>
      </c>
      <c r="C164" s="6"/>
      <c r="D164" s="6">
        <v>362</v>
      </c>
      <c r="E164" s="33" t="s">
        <v>37</v>
      </c>
      <c r="F164" s="33" t="s">
        <v>37</v>
      </c>
      <c r="G164" s="33" t="s">
        <v>37</v>
      </c>
      <c r="H164" s="33" t="s">
        <v>37</v>
      </c>
      <c r="I164" s="33" t="s">
        <v>37</v>
      </c>
      <c r="J164" s="33" t="s">
        <v>37</v>
      </c>
      <c r="K164" s="33" t="s">
        <v>37</v>
      </c>
      <c r="L164" s="33" t="s">
        <v>37</v>
      </c>
      <c r="M164" s="33" t="s">
        <v>37</v>
      </c>
      <c r="N164" s="33" t="s">
        <v>37</v>
      </c>
      <c r="O164" s="33" t="s">
        <v>37</v>
      </c>
      <c r="P164" s="33" t="s">
        <v>37</v>
      </c>
      <c r="Q164" s="33" t="s">
        <v>37</v>
      </c>
      <c r="R164" s="33" t="s">
        <v>37</v>
      </c>
      <c r="S164" s="33" t="s">
        <v>37</v>
      </c>
      <c r="T164" s="33" t="s">
        <v>37</v>
      </c>
      <c r="U164" s="33" t="s">
        <v>37</v>
      </c>
      <c r="V164" s="33" t="s">
        <v>37</v>
      </c>
      <c r="W164" s="33" t="s">
        <v>37</v>
      </c>
      <c r="X164" s="33" t="s">
        <v>37</v>
      </c>
      <c r="Y164" s="33" t="s">
        <v>37</v>
      </c>
      <c r="Z164" s="33" t="s">
        <v>37</v>
      </c>
      <c r="AA164" s="148" t="s">
        <v>99</v>
      </c>
      <c r="AB164" s="33" t="s">
        <v>99</v>
      </c>
      <c r="AC164" s="33" t="s">
        <v>99</v>
      </c>
      <c r="AD164" s="33" t="s">
        <v>99</v>
      </c>
      <c r="AE164" s="33" t="s">
        <v>99</v>
      </c>
      <c r="AF164" s="6">
        <v>1068</v>
      </c>
      <c r="AG164" s="6"/>
      <c r="AH164" s="35">
        <f t="shared" si="52"/>
        <v>376</v>
      </c>
      <c r="AI164" s="35">
        <v>1431</v>
      </c>
      <c r="AJ164" s="35"/>
      <c r="AK164" s="35">
        <f t="shared" si="53"/>
        <v>363</v>
      </c>
      <c r="AL164" s="6"/>
      <c r="AM164" s="6"/>
      <c r="AN164" s="35"/>
      <c r="AO164" s="6">
        <v>222</v>
      </c>
      <c r="AP164" s="6">
        <v>1560</v>
      </c>
      <c r="AQ164" s="34">
        <f t="shared" si="54"/>
        <v>351</v>
      </c>
      <c r="AR164" s="35">
        <v>547</v>
      </c>
      <c r="AS164" s="35"/>
      <c r="AT164" s="35">
        <f t="shared" si="55"/>
        <v>325</v>
      </c>
      <c r="AU164" s="6">
        <v>876</v>
      </c>
      <c r="AV164" s="6"/>
      <c r="AW164" s="35">
        <f t="shared" si="56"/>
        <v>329</v>
      </c>
      <c r="AX164" s="6">
        <v>1211</v>
      </c>
      <c r="AY164" s="6"/>
      <c r="AZ164" s="35">
        <f t="shared" si="57"/>
        <v>335</v>
      </c>
      <c r="BA164" s="35">
        <v>1545</v>
      </c>
      <c r="BB164" s="35"/>
      <c r="BC164" s="35">
        <f t="shared" si="58"/>
        <v>334</v>
      </c>
      <c r="BD164" s="6">
        <v>0</v>
      </c>
      <c r="BE164" s="6">
        <v>1560</v>
      </c>
      <c r="BF164" s="35">
        <f t="shared" si="59"/>
        <v>15</v>
      </c>
      <c r="BG164" s="6"/>
      <c r="BH164" s="6"/>
      <c r="BI164" s="6"/>
      <c r="BJ164" s="6">
        <v>0</v>
      </c>
      <c r="BK164" s="6"/>
      <c r="BL164" s="6">
        <f t="shared" si="60"/>
        <v>0</v>
      </c>
      <c r="BM164" s="6">
        <v>0</v>
      </c>
      <c r="BN164" s="6"/>
      <c r="BO164" s="6">
        <f t="shared" si="61"/>
        <v>0</v>
      </c>
      <c r="BP164" s="6">
        <v>0</v>
      </c>
      <c r="BQ164" s="6"/>
      <c r="BR164" s="35">
        <f t="shared" si="62"/>
        <v>0</v>
      </c>
      <c r="BS164" s="6">
        <v>0</v>
      </c>
      <c r="BT164" s="6"/>
      <c r="BU164" s="6">
        <f t="shared" si="63"/>
        <v>0</v>
      </c>
      <c r="BV164" s="6">
        <v>0</v>
      </c>
      <c r="BW164" s="6"/>
      <c r="BX164" s="35">
        <f t="shared" si="64"/>
        <v>0</v>
      </c>
      <c r="BY164" s="6">
        <v>0</v>
      </c>
      <c r="BZ164" s="6"/>
      <c r="CA164" s="6">
        <f t="shared" si="65"/>
        <v>0</v>
      </c>
      <c r="CB164" s="6"/>
      <c r="CC164" s="6"/>
      <c r="CD164" s="6"/>
      <c r="CE164" s="6">
        <v>0</v>
      </c>
      <c r="CF164" s="6"/>
      <c r="CG164" s="6">
        <f t="shared" si="66"/>
        <v>0</v>
      </c>
      <c r="CH164" s="6">
        <v>0</v>
      </c>
      <c r="CI164" s="6"/>
      <c r="CJ164" s="6">
        <f t="shared" si="67"/>
        <v>0</v>
      </c>
      <c r="CK164" s="6">
        <v>0</v>
      </c>
      <c r="CL164" s="6"/>
      <c r="CM164" s="6">
        <f t="shared" si="68"/>
        <v>0</v>
      </c>
      <c r="CN164" s="6">
        <v>315</v>
      </c>
      <c r="CO164" s="6"/>
      <c r="CP164" s="6">
        <f t="shared" si="69"/>
        <v>315</v>
      </c>
      <c r="CQ164" s="6">
        <v>677</v>
      </c>
      <c r="CR164" s="6"/>
      <c r="CS164" s="6">
        <f t="shared" si="70"/>
        <v>362</v>
      </c>
      <c r="CT164" s="6">
        <v>1025</v>
      </c>
      <c r="CU164" s="6"/>
      <c r="CV164" s="6">
        <f t="shared" si="71"/>
        <v>348</v>
      </c>
      <c r="CW164" s="6"/>
      <c r="CX164" s="6"/>
      <c r="CY164" s="6"/>
      <c r="CZ164" s="6">
        <v>1397</v>
      </c>
      <c r="DA164" s="6"/>
      <c r="DB164" s="6">
        <f t="shared" si="72"/>
        <v>372</v>
      </c>
      <c r="DC164" s="6">
        <v>241</v>
      </c>
      <c r="DD164" s="6">
        <v>1405</v>
      </c>
      <c r="DE164" s="6">
        <f t="shared" si="73"/>
        <v>249</v>
      </c>
      <c r="DF164" s="6">
        <v>503</v>
      </c>
      <c r="DG164" s="6"/>
      <c r="DH164" s="6">
        <f t="shared" si="74"/>
        <v>262</v>
      </c>
      <c r="DI164" s="6">
        <v>765</v>
      </c>
      <c r="DJ164" s="6"/>
      <c r="DK164" s="6">
        <f t="shared" si="75"/>
        <v>262</v>
      </c>
      <c r="DL164" s="6">
        <v>1028</v>
      </c>
      <c r="DM164" s="6"/>
      <c r="DN164" s="6">
        <f t="shared" si="76"/>
        <v>263</v>
      </c>
      <c r="DO164" s="6">
        <v>1262</v>
      </c>
      <c r="DP164" s="6"/>
      <c r="DQ164" s="6">
        <f t="shared" si="77"/>
        <v>234</v>
      </c>
    </row>
    <row r="165" spans="1:121">
      <c r="A165" s="6">
        <v>161</v>
      </c>
      <c r="B165" s="6">
        <v>0</v>
      </c>
      <c r="C165" s="6"/>
      <c r="D165" s="6">
        <v>0</v>
      </c>
      <c r="E165" s="33" t="s">
        <v>68</v>
      </c>
      <c r="F165" s="33" t="s">
        <v>68</v>
      </c>
      <c r="G165" s="33" t="s">
        <v>68</v>
      </c>
      <c r="H165" s="33" t="s">
        <v>68</v>
      </c>
      <c r="I165" s="33" t="s">
        <v>68</v>
      </c>
      <c r="J165" s="33" t="s">
        <v>68</v>
      </c>
      <c r="K165" s="33" t="s">
        <v>68</v>
      </c>
      <c r="L165" s="33" t="s">
        <v>68</v>
      </c>
      <c r="M165" s="33" t="s">
        <v>68</v>
      </c>
      <c r="N165" s="33" t="s">
        <v>68</v>
      </c>
      <c r="O165" s="33" t="s">
        <v>68</v>
      </c>
      <c r="P165" s="33" t="s">
        <v>68</v>
      </c>
      <c r="Q165" s="33" t="s">
        <v>68</v>
      </c>
      <c r="R165" s="33" t="s">
        <v>68</v>
      </c>
      <c r="S165" s="33" t="s">
        <v>68</v>
      </c>
      <c r="T165" s="33" t="s">
        <v>68</v>
      </c>
      <c r="U165" s="33" t="s">
        <v>68</v>
      </c>
      <c r="V165" s="33" t="s">
        <v>68</v>
      </c>
      <c r="W165" s="33" t="s">
        <v>68</v>
      </c>
      <c r="X165" s="33" t="s">
        <v>68</v>
      </c>
      <c r="Y165" s="33" t="s">
        <v>68</v>
      </c>
      <c r="Z165" s="33" t="s">
        <v>68</v>
      </c>
      <c r="AA165" s="33" t="s">
        <v>68</v>
      </c>
      <c r="AB165" s="33" t="s">
        <v>68</v>
      </c>
      <c r="AC165" s="33" t="s">
        <v>68</v>
      </c>
      <c r="AD165" s="33" t="s">
        <v>68</v>
      </c>
      <c r="AE165" s="33" t="s">
        <v>68</v>
      </c>
      <c r="AF165" s="6">
        <v>0</v>
      </c>
      <c r="AG165" s="6"/>
      <c r="AH165" s="35">
        <f t="shared" si="52"/>
        <v>0</v>
      </c>
      <c r="AI165" s="35">
        <v>0</v>
      </c>
      <c r="AJ165" s="35"/>
      <c r="AK165" s="35">
        <f t="shared" si="53"/>
        <v>0</v>
      </c>
      <c r="AL165" s="6"/>
      <c r="AM165" s="6"/>
      <c r="AN165" s="35"/>
      <c r="AO165" s="6">
        <v>0</v>
      </c>
      <c r="AP165" s="6"/>
      <c r="AQ165" s="34">
        <f t="shared" si="54"/>
        <v>0</v>
      </c>
      <c r="AR165" s="35">
        <v>0</v>
      </c>
      <c r="AS165" s="35"/>
      <c r="AT165" s="35">
        <f t="shared" si="55"/>
        <v>0</v>
      </c>
      <c r="AU165" s="6">
        <v>0</v>
      </c>
      <c r="AV165" s="6"/>
      <c r="AW165" s="35">
        <f t="shared" si="56"/>
        <v>0</v>
      </c>
      <c r="AX165" s="6">
        <v>0</v>
      </c>
      <c r="AY165" s="6"/>
      <c r="AZ165" s="35">
        <f t="shared" si="57"/>
        <v>0</v>
      </c>
      <c r="BA165" s="35">
        <v>0</v>
      </c>
      <c r="BB165" s="35"/>
      <c r="BC165" s="35">
        <f t="shared" si="58"/>
        <v>0</v>
      </c>
      <c r="BD165" s="6">
        <v>0</v>
      </c>
      <c r="BE165" s="6"/>
      <c r="BF165" s="35">
        <f t="shared" si="59"/>
        <v>0</v>
      </c>
      <c r="BG165" s="6"/>
      <c r="BH165" s="6"/>
      <c r="BI165" s="6"/>
      <c r="BJ165" s="6">
        <v>0</v>
      </c>
      <c r="BK165" s="6"/>
      <c r="BL165" s="6">
        <f t="shared" si="60"/>
        <v>0</v>
      </c>
      <c r="BM165" s="6">
        <v>0</v>
      </c>
      <c r="BN165" s="6"/>
      <c r="BO165" s="6">
        <f t="shared" si="61"/>
        <v>0</v>
      </c>
      <c r="BP165" s="6">
        <v>0</v>
      </c>
      <c r="BQ165" s="6"/>
      <c r="BR165" s="35">
        <f t="shared" si="62"/>
        <v>0</v>
      </c>
      <c r="BS165" s="6">
        <v>0</v>
      </c>
      <c r="BT165" s="6"/>
      <c r="BU165" s="6">
        <f t="shared" si="63"/>
        <v>0</v>
      </c>
      <c r="BV165" s="6">
        <v>0</v>
      </c>
      <c r="BW165" s="6"/>
      <c r="BX165" s="35">
        <f t="shared" si="64"/>
        <v>0</v>
      </c>
      <c r="BY165" s="6">
        <v>0</v>
      </c>
      <c r="BZ165" s="6"/>
      <c r="CA165" s="6">
        <f t="shared" si="65"/>
        <v>0</v>
      </c>
      <c r="CB165" s="6"/>
      <c r="CC165" s="6"/>
      <c r="CD165" s="6"/>
      <c r="CE165" s="6">
        <v>0</v>
      </c>
      <c r="CF165" s="6"/>
      <c r="CG165" s="6">
        <f t="shared" si="66"/>
        <v>0</v>
      </c>
      <c r="CH165" s="6">
        <v>0</v>
      </c>
      <c r="CI165" s="6"/>
      <c r="CJ165" s="6">
        <f t="shared" si="67"/>
        <v>0</v>
      </c>
      <c r="CK165" s="6">
        <v>0</v>
      </c>
      <c r="CL165" s="6"/>
      <c r="CM165" s="6">
        <f t="shared" si="68"/>
        <v>0</v>
      </c>
      <c r="CN165" s="6">
        <v>0</v>
      </c>
      <c r="CO165" s="6"/>
      <c r="CP165" s="6">
        <f t="shared" si="69"/>
        <v>0</v>
      </c>
      <c r="CQ165" s="6">
        <v>0</v>
      </c>
      <c r="CR165" s="6"/>
      <c r="CS165" s="6">
        <f t="shared" si="70"/>
        <v>0</v>
      </c>
      <c r="CT165" s="6">
        <v>196</v>
      </c>
      <c r="CU165" s="6"/>
      <c r="CV165" s="6">
        <f t="shared" si="71"/>
        <v>196</v>
      </c>
      <c r="CW165" s="6"/>
      <c r="CX165" s="6"/>
      <c r="CY165" s="6"/>
      <c r="CZ165" s="6">
        <v>12</v>
      </c>
      <c r="DA165" s="6">
        <v>500</v>
      </c>
      <c r="DB165" s="6">
        <f t="shared" si="72"/>
        <v>316</v>
      </c>
      <c r="DC165" s="6">
        <v>12</v>
      </c>
      <c r="DD165" s="6"/>
      <c r="DE165" s="6">
        <f t="shared" si="73"/>
        <v>0</v>
      </c>
      <c r="DF165" s="6">
        <v>12</v>
      </c>
      <c r="DG165" s="6"/>
      <c r="DH165" s="6">
        <f t="shared" si="74"/>
        <v>0</v>
      </c>
      <c r="DI165" s="6">
        <v>12</v>
      </c>
      <c r="DJ165" s="6"/>
      <c r="DK165" s="6">
        <f t="shared" si="75"/>
        <v>0</v>
      </c>
      <c r="DL165" s="6">
        <v>12</v>
      </c>
      <c r="DM165" s="6"/>
      <c r="DN165" s="6">
        <f t="shared" si="76"/>
        <v>0</v>
      </c>
      <c r="DO165" s="6">
        <v>12</v>
      </c>
      <c r="DP165" s="6"/>
      <c r="DQ165" s="6">
        <f t="shared" si="77"/>
        <v>0</v>
      </c>
    </row>
    <row r="166" spans="1:121">
      <c r="A166" s="7">
        <v>162</v>
      </c>
      <c r="B166" s="6">
        <v>324</v>
      </c>
      <c r="C166" s="6">
        <v>1096</v>
      </c>
      <c r="D166" s="6">
        <v>358</v>
      </c>
      <c r="E166" s="33" t="s">
        <v>37</v>
      </c>
      <c r="F166" s="33" t="s">
        <v>37</v>
      </c>
      <c r="G166" s="33" t="s">
        <v>37</v>
      </c>
      <c r="H166" s="33" t="s">
        <v>37</v>
      </c>
      <c r="I166" s="33" t="s">
        <v>37</v>
      </c>
      <c r="J166" s="33" t="s">
        <v>37</v>
      </c>
      <c r="K166" s="33" t="s">
        <v>37</v>
      </c>
      <c r="L166" s="33" t="s">
        <v>37</v>
      </c>
      <c r="M166" s="33" t="s">
        <v>37</v>
      </c>
      <c r="N166" s="33" t="s">
        <v>37</v>
      </c>
      <c r="O166" s="33" t="s">
        <v>37</v>
      </c>
      <c r="P166" s="33" t="s">
        <v>37</v>
      </c>
      <c r="Q166" s="33" t="s">
        <v>37</v>
      </c>
      <c r="R166" s="33" t="s">
        <v>37</v>
      </c>
      <c r="S166" s="33" t="s">
        <v>37</v>
      </c>
      <c r="T166" s="33" t="s">
        <v>37</v>
      </c>
      <c r="U166" s="33" t="s">
        <v>37</v>
      </c>
      <c r="V166" s="33" t="s">
        <v>37</v>
      </c>
      <c r="W166" s="33" t="s">
        <v>37</v>
      </c>
      <c r="X166" s="33" t="s">
        <v>37</v>
      </c>
      <c r="Y166" s="33" t="s">
        <v>37</v>
      </c>
      <c r="Z166" s="148" t="s">
        <v>99</v>
      </c>
      <c r="AA166" s="33" t="s">
        <v>99</v>
      </c>
      <c r="AB166" s="33" t="s">
        <v>99</v>
      </c>
      <c r="AC166" s="33" t="s">
        <v>99</v>
      </c>
      <c r="AD166" s="33" t="s">
        <v>99</v>
      </c>
      <c r="AE166" s="33" t="s">
        <v>99</v>
      </c>
      <c r="AF166" s="35">
        <v>716</v>
      </c>
      <c r="AG166" s="35"/>
      <c r="AH166" s="35">
        <f t="shared" si="52"/>
        <v>392</v>
      </c>
      <c r="AI166" s="35">
        <v>18</v>
      </c>
      <c r="AJ166" s="35">
        <v>1062</v>
      </c>
      <c r="AK166" s="35">
        <f t="shared" si="53"/>
        <v>364</v>
      </c>
      <c r="AL166" s="6"/>
      <c r="AM166" s="6"/>
      <c r="AN166" s="35"/>
      <c r="AO166" s="6">
        <v>413</v>
      </c>
      <c r="AP166" s="6"/>
      <c r="AQ166" s="34">
        <f t="shared" si="54"/>
        <v>395</v>
      </c>
      <c r="AR166" s="35">
        <v>810</v>
      </c>
      <c r="AS166" s="35"/>
      <c r="AT166" s="35">
        <f t="shared" si="55"/>
        <v>397</v>
      </c>
      <c r="AU166" s="6">
        <v>1197</v>
      </c>
      <c r="AV166" s="6"/>
      <c r="AW166" s="35">
        <f t="shared" si="56"/>
        <v>387</v>
      </c>
      <c r="AX166" s="6">
        <v>21</v>
      </c>
      <c r="AY166" s="6">
        <v>1565</v>
      </c>
      <c r="AZ166" s="35">
        <f t="shared" si="57"/>
        <v>389</v>
      </c>
      <c r="BA166" s="6">
        <v>395</v>
      </c>
      <c r="BB166" s="6"/>
      <c r="BC166" s="35">
        <f t="shared" si="58"/>
        <v>374</v>
      </c>
      <c r="BD166" s="6">
        <v>753</v>
      </c>
      <c r="BE166" s="6"/>
      <c r="BF166" s="35">
        <f t="shared" si="59"/>
        <v>358</v>
      </c>
      <c r="BG166" s="6"/>
      <c r="BH166" s="6"/>
      <c r="BI166" s="35"/>
      <c r="BJ166" s="6">
        <v>1138</v>
      </c>
      <c r="BK166" s="35"/>
      <c r="BL166" s="6">
        <f t="shared" si="60"/>
        <v>385</v>
      </c>
      <c r="BM166" s="6">
        <v>1507</v>
      </c>
      <c r="BN166" s="6"/>
      <c r="BO166" s="6">
        <f t="shared" si="61"/>
        <v>369</v>
      </c>
      <c r="BP166" s="6">
        <v>315</v>
      </c>
      <c r="BQ166" s="6">
        <v>1561</v>
      </c>
      <c r="BR166" s="35">
        <f t="shared" si="62"/>
        <v>369</v>
      </c>
      <c r="BS166" s="6">
        <v>117</v>
      </c>
      <c r="BT166" s="6">
        <v>542</v>
      </c>
      <c r="BU166" s="6">
        <f t="shared" si="63"/>
        <v>344</v>
      </c>
      <c r="BV166" s="6">
        <v>498</v>
      </c>
      <c r="BW166" s="6"/>
      <c r="BX166" s="35">
        <f t="shared" si="64"/>
        <v>381</v>
      </c>
      <c r="BY166" s="6">
        <v>835</v>
      </c>
      <c r="BZ166" s="35"/>
      <c r="CA166" s="6">
        <f t="shared" si="65"/>
        <v>337</v>
      </c>
      <c r="CB166" s="6"/>
      <c r="CC166" s="6"/>
      <c r="CD166" s="35"/>
      <c r="CE166" s="6">
        <v>1209</v>
      </c>
      <c r="CF166" s="35"/>
      <c r="CG166" s="6">
        <f t="shared" si="66"/>
        <v>374</v>
      </c>
      <c r="CH166" s="6">
        <v>26</v>
      </c>
      <c r="CI166" s="6">
        <v>1560</v>
      </c>
      <c r="CJ166" s="6">
        <f t="shared" si="67"/>
        <v>377</v>
      </c>
      <c r="CK166" s="6">
        <v>384</v>
      </c>
      <c r="CL166" s="6"/>
      <c r="CM166" s="6">
        <f t="shared" si="68"/>
        <v>358</v>
      </c>
      <c r="CN166" s="6">
        <v>0</v>
      </c>
      <c r="CO166" s="6">
        <v>447</v>
      </c>
      <c r="CP166" s="6">
        <f t="shared" si="69"/>
        <v>63</v>
      </c>
      <c r="CQ166" s="6">
        <v>0</v>
      </c>
      <c r="CR166" s="6"/>
      <c r="CS166" s="6">
        <f t="shared" si="70"/>
        <v>0</v>
      </c>
      <c r="CT166" s="6">
        <v>0</v>
      </c>
      <c r="CU166" s="6"/>
      <c r="CV166" s="6">
        <f t="shared" si="71"/>
        <v>0</v>
      </c>
      <c r="CW166" s="6"/>
      <c r="CX166" s="6"/>
      <c r="CY166" s="6"/>
      <c r="CZ166" s="6">
        <v>186</v>
      </c>
      <c r="DA166" s="6"/>
      <c r="DB166" s="6">
        <f t="shared" si="72"/>
        <v>186</v>
      </c>
      <c r="DC166" s="6">
        <v>440</v>
      </c>
      <c r="DD166" s="6"/>
      <c r="DE166" s="6">
        <f t="shared" si="73"/>
        <v>254</v>
      </c>
      <c r="DF166" s="6">
        <v>688</v>
      </c>
      <c r="DG166" s="6"/>
      <c r="DH166" s="6">
        <f t="shared" si="74"/>
        <v>248</v>
      </c>
      <c r="DI166" s="6">
        <v>937</v>
      </c>
      <c r="DJ166" s="6"/>
      <c r="DK166" s="6">
        <f t="shared" si="75"/>
        <v>249</v>
      </c>
      <c r="DL166" s="6">
        <v>4</v>
      </c>
      <c r="DM166" s="6">
        <v>1189</v>
      </c>
      <c r="DN166" s="6">
        <f t="shared" si="76"/>
        <v>256</v>
      </c>
      <c r="DO166" s="6">
        <v>240</v>
      </c>
      <c r="DP166" s="6"/>
      <c r="DQ166" s="6">
        <f t="shared" si="77"/>
        <v>236</v>
      </c>
    </row>
    <row r="167" spans="1:121">
      <c r="A167" s="6">
        <v>163</v>
      </c>
      <c r="B167" s="6">
        <v>1483</v>
      </c>
      <c r="C167" s="6"/>
      <c r="D167" s="6">
        <v>366</v>
      </c>
      <c r="E167" s="33" t="s">
        <v>37</v>
      </c>
      <c r="F167" s="33" t="s">
        <v>37</v>
      </c>
      <c r="G167" s="33" t="s">
        <v>37</v>
      </c>
      <c r="H167" s="33" t="s">
        <v>37</v>
      </c>
      <c r="I167" s="33" t="s">
        <v>37</v>
      </c>
      <c r="J167" s="33" t="s">
        <v>37</v>
      </c>
      <c r="K167" s="33" t="s">
        <v>37</v>
      </c>
      <c r="L167" s="33" t="s">
        <v>37</v>
      </c>
      <c r="M167" s="33" t="s">
        <v>37</v>
      </c>
      <c r="N167" s="33" t="s">
        <v>37</v>
      </c>
      <c r="O167" s="33" t="s">
        <v>37</v>
      </c>
      <c r="P167" s="33" t="s">
        <v>37</v>
      </c>
      <c r="Q167" s="33" t="s">
        <v>37</v>
      </c>
      <c r="R167" s="33" t="s">
        <v>37</v>
      </c>
      <c r="S167" s="33" t="s">
        <v>37</v>
      </c>
      <c r="T167" s="33" t="s">
        <v>37</v>
      </c>
      <c r="U167" s="33" t="s">
        <v>37</v>
      </c>
      <c r="V167" s="33" t="s">
        <v>37</v>
      </c>
      <c r="W167" s="33" t="s">
        <v>37</v>
      </c>
      <c r="X167" s="33" t="s">
        <v>37</v>
      </c>
      <c r="Y167" s="33" t="s">
        <v>37</v>
      </c>
      <c r="Z167" s="33" t="s">
        <v>37</v>
      </c>
      <c r="AA167" s="148" t="s">
        <v>138</v>
      </c>
      <c r="AB167" s="33" t="s">
        <v>138</v>
      </c>
      <c r="AC167" s="33" t="s">
        <v>138</v>
      </c>
      <c r="AD167" s="33" t="s">
        <v>138</v>
      </c>
      <c r="AE167" s="33" t="s">
        <v>138</v>
      </c>
      <c r="AF167" s="35">
        <v>301</v>
      </c>
      <c r="AG167" s="35">
        <v>1560</v>
      </c>
      <c r="AH167" s="35">
        <f t="shared" si="52"/>
        <v>378</v>
      </c>
      <c r="AI167" s="35">
        <v>665</v>
      </c>
      <c r="AJ167" s="35"/>
      <c r="AK167" s="35">
        <f t="shared" si="53"/>
        <v>364</v>
      </c>
      <c r="AL167" s="6"/>
      <c r="AM167" s="6"/>
      <c r="AN167" s="35"/>
      <c r="AO167" s="6">
        <v>360</v>
      </c>
      <c r="AP167" s="6">
        <v>685</v>
      </c>
      <c r="AQ167" s="34">
        <f t="shared" si="54"/>
        <v>380</v>
      </c>
      <c r="AR167" s="35">
        <v>741</v>
      </c>
      <c r="AS167" s="35"/>
      <c r="AT167" s="35">
        <f t="shared" si="55"/>
        <v>381</v>
      </c>
      <c r="AU167" s="6">
        <v>1103</v>
      </c>
      <c r="AV167" s="6"/>
      <c r="AW167" s="35">
        <f t="shared" si="56"/>
        <v>362</v>
      </c>
      <c r="AX167" s="6">
        <v>1473</v>
      </c>
      <c r="AY167" s="6"/>
      <c r="AZ167" s="35">
        <f t="shared" si="57"/>
        <v>370</v>
      </c>
      <c r="BA167" s="35">
        <v>357</v>
      </c>
      <c r="BB167" s="35">
        <v>1483</v>
      </c>
      <c r="BC167" s="35">
        <f t="shared" si="58"/>
        <v>367</v>
      </c>
      <c r="BD167" s="6">
        <v>707</v>
      </c>
      <c r="BE167" s="6"/>
      <c r="BF167" s="35">
        <f t="shared" si="59"/>
        <v>350</v>
      </c>
      <c r="BG167" s="6"/>
      <c r="BH167" s="6"/>
      <c r="BI167" s="6"/>
      <c r="BJ167" s="6">
        <v>1078</v>
      </c>
      <c r="BK167" s="6"/>
      <c r="BL167" s="6">
        <f t="shared" si="60"/>
        <v>371</v>
      </c>
      <c r="BM167" s="6">
        <v>1447</v>
      </c>
      <c r="BN167" s="6"/>
      <c r="BO167" s="6">
        <f t="shared" si="61"/>
        <v>369</v>
      </c>
      <c r="BP167" s="6">
        <v>255</v>
      </c>
      <c r="BQ167" s="6">
        <v>1560</v>
      </c>
      <c r="BR167" s="35">
        <f t="shared" si="62"/>
        <v>368</v>
      </c>
      <c r="BS167" s="6">
        <v>625</v>
      </c>
      <c r="BT167" s="6"/>
      <c r="BU167" s="6">
        <f t="shared" si="63"/>
        <v>370</v>
      </c>
      <c r="BV167" s="6">
        <v>996</v>
      </c>
      <c r="BW167" s="6"/>
      <c r="BX167" s="35">
        <f t="shared" si="64"/>
        <v>371</v>
      </c>
      <c r="BY167" s="6">
        <v>1334</v>
      </c>
      <c r="BZ167" s="6"/>
      <c r="CA167" s="6">
        <f t="shared" si="65"/>
        <v>338</v>
      </c>
      <c r="CB167" s="6"/>
      <c r="CC167" s="6"/>
      <c r="CD167" s="6"/>
      <c r="CE167" s="6">
        <v>179</v>
      </c>
      <c r="CF167" s="6">
        <v>1508</v>
      </c>
      <c r="CG167" s="6">
        <f t="shared" si="66"/>
        <v>353</v>
      </c>
      <c r="CH167" s="6">
        <v>533</v>
      </c>
      <c r="CI167" s="6"/>
      <c r="CJ167" s="6">
        <f t="shared" si="67"/>
        <v>354</v>
      </c>
      <c r="CK167" s="6">
        <v>263</v>
      </c>
      <c r="CL167" s="6">
        <v>660</v>
      </c>
      <c r="CM167" s="6">
        <f t="shared" si="68"/>
        <v>390</v>
      </c>
      <c r="CN167" s="6">
        <v>0</v>
      </c>
      <c r="CO167" s="6">
        <v>428</v>
      </c>
      <c r="CP167" s="6">
        <f t="shared" si="69"/>
        <v>165</v>
      </c>
      <c r="CQ167" s="6">
        <v>0</v>
      </c>
      <c r="CR167" s="6"/>
      <c r="CS167" s="6">
        <f t="shared" si="70"/>
        <v>0</v>
      </c>
      <c r="CT167" s="6">
        <v>0</v>
      </c>
      <c r="CU167" s="6"/>
      <c r="CV167" s="6">
        <f t="shared" si="71"/>
        <v>0</v>
      </c>
      <c r="CW167" s="6"/>
      <c r="CX167" s="6"/>
      <c r="CY167" s="6"/>
      <c r="CZ167" s="6">
        <v>0</v>
      </c>
      <c r="DA167" s="6"/>
      <c r="DB167" s="6">
        <f t="shared" si="72"/>
        <v>0</v>
      </c>
      <c r="DC167" s="6">
        <v>0</v>
      </c>
      <c r="DD167" s="6"/>
      <c r="DE167" s="6">
        <f t="shared" si="73"/>
        <v>0</v>
      </c>
      <c r="DF167" s="6">
        <v>0</v>
      </c>
      <c r="DG167" s="6"/>
      <c r="DH167" s="6">
        <f t="shared" si="74"/>
        <v>0</v>
      </c>
      <c r="DI167" s="6">
        <v>333</v>
      </c>
      <c r="DJ167" s="6"/>
      <c r="DK167" s="6">
        <f t="shared" si="75"/>
        <v>333</v>
      </c>
      <c r="DL167" s="6">
        <v>307</v>
      </c>
      <c r="DM167" s="6">
        <v>416</v>
      </c>
      <c r="DN167" s="6">
        <f t="shared" si="76"/>
        <v>390</v>
      </c>
      <c r="DO167" s="6">
        <v>52</v>
      </c>
      <c r="DP167" s="6">
        <v>600</v>
      </c>
      <c r="DQ167" s="6">
        <f t="shared" si="77"/>
        <v>345</v>
      </c>
    </row>
    <row r="168" spans="1:121">
      <c r="A168" s="6">
        <v>164</v>
      </c>
      <c r="B168" s="6">
        <v>504</v>
      </c>
      <c r="C168" s="6"/>
      <c r="D168" s="6">
        <v>334</v>
      </c>
      <c r="E168" s="33" t="s">
        <v>98</v>
      </c>
      <c r="F168" s="33" t="s">
        <v>98</v>
      </c>
      <c r="G168" s="33" t="s">
        <v>98</v>
      </c>
      <c r="H168" s="33" t="s">
        <v>98</v>
      </c>
      <c r="I168" s="33" t="s">
        <v>98</v>
      </c>
      <c r="J168" s="33" t="s">
        <v>98</v>
      </c>
      <c r="K168" s="33" t="s">
        <v>98</v>
      </c>
      <c r="L168" s="33" t="s">
        <v>98</v>
      </c>
      <c r="M168" s="33" t="s">
        <v>98</v>
      </c>
      <c r="N168" s="33" t="s">
        <v>98</v>
      </c>
      <c r="O168" s="33" t="s">
        <v>98</v>
      </c>
      <c r="P168" s="33" t="s">
        <v>98</v>
      </c>
      <c r="Q168" s="33" t="s">
        <v>98</v>
      </c>
      <c r="R168" s="33" t="s">
        <v>98</v>
      </c>
      <c r="S168" s="33" t="s">
        <v>98</v>
      </c>
      <c r="T168" s="33" t="s">
        <v>98</v>
      </c>
      <c r="U168" s="148" t="s">
        <v>99</v>
      </c>
      <c r="V168" s="33" t="s">
        <v>99</v>
      </c>
      <c r="W168" s="33" t="s">
        <v>99</v>
      </c>
      <c r="X168" s="33" t="s">
        <v>99</v>
      </c>
      <c r="Y168" s="33" t="s">
        <v>99</v>
      </c>
      <c r="Z168" s="33" t="s">
        <v>99</v>
      </c>
      <c r="AA168" s="33" t="s">
        <v>99</v>
      </c>
      <c r="AB168" s="33" t="s">
        <v>99</v>
      </c>
      <c r="AC168" s="33" t="s">
        <v>99</v>
      </c>
      <c r="AD168" s="33" t="s">
        <v>99</v>
      </c>
      <c r="AE168" s="33" t="s">
        <v>99</v>
      </c>
      <c r="AF168" s="6">
        <v>851</v>
      </c>
      <c r="AG168" s="6"/>
      <c r="AH168" s="35">
        <f t="shared" si="52"/>
        <v>347</v>
      </c>
      <c r="AI168" s="35">
        <v>1185</v>
      </c>
      <c r="AJ168" s="35"/>
      <c r="AK168" s="35">
        <f t="shared" si="53"/>
        <v>334</v>
      </c>
      <c r="AL168" s="6"/>
      <c r="AM168" s="6"/>
      <c r="AN168" s="35"/>
      <c r="AO168" s="6">
        <v>334</v>
      </c>
      <c r="AP168" s="6">
        <v>1200</v>
      </c>
      <c r="AQ168" s="34">
        <f t="shared" si="54"/>
        <v>349</v>
      </c>
      <c r="AR168" s="35">
        <v>686</v>
      </c>
      <c r="AS168" s="35"/>
      <c r="AT168" s="35">
        <f t="shared" si="55"/>
        <v>352</v>
      </c>
      <c r="AU168" s="6">
        <v>1026</v>
      </c>
      <c r="AV168" s="6"/>
      <c r="AW168" s="35">
        <f t="shared" si="56"/>
        <v>340</v>
      </c>
      <c r="AX168" s="6">
        <v>174</v>
      </c>
      <c r="AY168" s="6">
        <v>1200</v>
      </c>
      <c r="AZ168" s="35">
        <f t="shared" si="57"/>
        <v>348</v>
      </c>
      <c r="BA168" s="35">
        <v>523</v>
      </c>
      <c r="BB168" s="35"/>
      <c r="BC168" s="35">
        <f t="shared" si="58"/>
        <v>349</v>
      </c>
      <c r="BD168" s="6">
        <v>858</v>
      </c>
      <c r="BE168" s="6"/>
      <c r="BF168" s="35">
        <f t="shared" si="59"/>
        <v>335</v>
      </c>
      <c r="BG168" s="6"/>
      <c r="BH168" s="6"/>
      <c r="BI168" s="6"/>
      <c r="BJ168" s="6">
        <v>7</v>
      </c>
      <c r="BK168" s="6">
        <v>1200</v>
      </c>
      <c r="BL168" s="6">
        <f t="shared" si="60"/>
        <v>349</v>
      </c>
      <c r="BM168" s="6">
        <v>353</v>
      </c>
      <c r="BN168" s="6"/>
      <c r="BO168" s="6">
        <f t="shared" si="61"/>
        <v>346</v>
      </c>
      <c r="BP168" s="6">
        <v>699</v>
      </c>
      <c r="BQ168" s="6"/>
      <c r="BR168" s="35">
        <f t="shared" si="62"/>
        <v>346</v>
      </c>
      <c r="BS168" s="6">
        <v>1048</v>
      </c>
      <c r="BT168" s="6"/>
      <c r="BU168" s="6">
        <f t="shared" si="63"/>
        <v>349</v>
      </c>
      <c r="BV168" s="6">
        <v>0</v>
      </c>
      <c r="BW168" s="6">
        <v>1107</v>
      </c>
      <c r="BX168" s="35">
        <f t="shared" si="64"/>
        <v>59</v>
      </c>
      <c r="BY168" s="6">
        <v>0</v>
      </c>
      <c r="BZ168" s="6"/>
      <c r="CA168" s="6">
        <f t="shared" si="65"/>
        <v>0</v>
      </c>
      <c r="CB168" s="6"/>
      <c r="CC168" s="6"/>
      <c r="CD168" s="6"/>
      <c r="CE168" s="6">
        <v>0</v>
      </c>
      <c r="CF168" s="6"/>
      <c r="CG168" s="6">
        <f t="shared" si="66"/>
        <v>0</v>
      </c>
      <c r="CH168" s="6">
        <v>259</v>
      </c>
      <c r="CI168" s="6"/>
      <c r="CJ168" s="6">
        <f t="shared" si="67"/>
        <v>259</v>
      </c>
      <c r="CK168" s="6">
        <v>534</v>
      </c>
      <c r="CL168" s="6"/>
      <c r="CM168" s="6">
        <f t="shared" si="68"/>
        <v>275</v>
      </c>
      <c r="CN168" s="6">
        <v>781</v>
      </c>
      <c r="CO168" s="6"/>
      <c r="CP168" s="6">
        <f t="shared" si="69"/>
        <v>247</v>
      </c>
      <c r="CQ168" s="6">
        <v>105</v>
      </c>
      <c r="CR168" s="6">
        <v>931</v>
      </c>
      <c r="CS168" s="6">
        <f t="shared" si="70"/>
        <v>255</v>
      </c>
      <c r="CT168" s="6">
        <v>351</v>
      </c>
      <c r="CU168" s="6"/>
      <c r="CV168" s="6">
        <f t="shared" si="71"/>
        <v>246</v>
      </c>
      <c r="CW168" s="6"/>
      <c r="CX168" s="6"/>
      <c r="CY168" s="6"/>
      <c r="CZ168" s="6">
        <v>616</v>
      </c>
      <c r="DA168" s="6"/>
      <c r="DB168" s="6">
        <f t="shared" si="72"/>
        <v>265</v>
      </c>
      <c r="DC168" s="6">
        <v>877</v>
      </c>
      <c r="DD168" s="6"/>
      <c r="DE168" s="6">
        <f t="shared" si="73"/>
        <v>261</v>
      </c>
      <c r="DF168" s="35">
        <v>1140</v>
      </c>
      <c r="DG168" s="6"/>
      <c r="DH168" s="6">
        <f t="shared" si="74"/>
        <v>263</v>
      </c>
      <c r="DI168" s="6">
        <v>1404</v>
      </c>
      <c r="DJ168" s="6"/>
      <c r="DK168" s="6">
        <f t="shared" si="75"/>
        <v>264</v>
      </c>
      <c r="DL168" s="6">
        <v>167</v>
      </c>
      <c r="DM168" s="6">
        <v>1500</v>
      </c>
      <c r="DN168" s="6">
        <f t="shared" si="76"/>
        <v>263</v>
      </c>
      <c r="DO168" s="6">
        <v>398</v>
      </c>
      <c r="DP168" s="6"/>
      <c r="DQ168" s="6">
        <f t="shared" si="77"/>
        <v>231</v>
      </c>
    </row>
    <row r="169" spans="1:121">
      <c r="A169" s="6">
        <v>165</v>
      </c>
      <c r="B169" s="6">
        <v>184</v>
      </c>
      <c r="C169" s="6">
        <v>1560</v>
      </c>
      <c r="D169" s="6">
        <v>396</v>
      </c>
      <c r="E169" s="33" t="s">
        <v>97</v>
      </c>
      <c r="F169" s="33" t="s">
        <v>97</v>
      </c>
      <c r="G169" s="148" t="s">
        <v>37</v>
      </c>
      <c r="H169" s="33" t="s">
        <v>37</v>
      </c>
      <c r="I169" s="33" t="s">
        <v>37</v>
      </c>
      <c r="J169" s="33" t="s">
        <v>37</v>
      </c>
      <c r="K169" s="33" t="s">
        <v>37</v>
      </c>
      <c r="L169" s="33" t="s">
        <v>37</v>
      </c>
      <c r="M169" s="33" t="s">
        <v>37</v>
      </c>
      <c r="N169" s="33" t="s">
        <v>37</v>
      </c>
      <c r="O169" s="33" t="s">
        <v>37</v>
      </c>
      <c r="P169" s="33" t="s">
        <v>37</v>
      </c>
      <c r="Q169" s="33" t="s">
        <v>37</v>
      </c>
      <c r="R169" s="33" t="s">
        <v>37</v>
      </c>
      <c r="S169" s="33" t="s">
        <v>37</v>
      </c>
      <c r="T169" s="33" t="s">
        <v>37</v>
      </c>
      <c r="U169" s="33" t="s">
        <v>37</v>
      </c>
      <c r="V169" s="33" t="s">
        <v>37</v>
      </c>
      <c r="W169" s="33" t="s">
        <v>37</v>
      </c>
      <c r="X169" s="33" t="s">
        <v>37</v>
      </c>
      <c r="Y169" s="33" t="s">
        <v>37</v>
      </c>
      <c r="Z169" s="33" t="s">
        <v>37</v>
      </c>
      <c r="AA169" s="148" t="s">
        <v>138</v>
      </c>
      <c r="AB169" s="33" t="s">
        <v>138</v>
      </c>
      <c r="AC169" s="33" t="s">
        <v>138</v>
      </c>
      <c r="AD169" s="33" t="s">
        <v>138</v>
      </c>
      <c r="AE169" s="33" t="s">
        <v>138</v>
      </c>
      <c r="AF169" s="35">
        <v>601</v>
      </c>
      <c r="AG169" s="35"/>
      <c r="AH169" s="35">
        <f t="shared" si="52"/>
        <v>417</v>
      </c>
      <c r="AI169" s="35">
        <v>326</v>
      </c>
      <c r="AJ169" s="35">
        <v>692</v>
      </c>
      <c r="AK169" s="35">
        <f t="shared" si="53"/>
        <v>417</v>
      </c>
      <c r="AL169" s="35"/>
      <c r="AM169" s="35"/>
      <c r="AN169" s="35"/>
      <c r="AO169" s="6">
        <v>689</v>
      </c>
      <c r="AP169" s="35"/>
      <c r="AQ169" s="34">
        <f t="shared" si="54"/>
        <v>363</v>
      </c>
      <c r="AR169" s="35">
        <f>1145*0.9144</f>
        <v>1046.9880000000001</v>
      </c>
      <c r="AS169" s="35"/>
      <c r="AT169" s="35">
        <f t="shared" si="55"/>
        <v>357.98800000000006</v>
      </c>
      <c r="AU169" s="6">
        <v>1404</v>
      </c>
      <c r="AV169" s="6"/>
      <c r="AW169" s="35">
        <f t="shared" si="56"/>
        <v>357.01199999999994</v>
      </c>
      <c r="AX169" s="6">
        <v>194</v>
      </c>
      <c r="AY169" s="6">
        <v>1560</v>
      </c>
      <c r="AZ169" s="35">
        <f t="shared" si="57"/>
        <v>350</v>
      </c>
      <c r="BA169" s="6">
        <v>547</v>
      </c>
      <c r="BB169" s="6"/>
      <c r="BC169" s="35">
        <f t="shared" si="58"/>
        <v>353</v>
      </c>
      <c r="BD169" s="6">
        <v>563</v>
      </c>
      <c r="BE169" s="6"/>
      <c r="BF169" s="35">
        <f t="shared" si="59"/>
        <v>16</v>
      </c>
      <c r="BG169" s="6"/>
      <c r="BH169" s="6"/>
      <c r="BI169" s="35"/>
      <c r="BJ169" s="6">
        <v>563</v>
      </c>
      <c r="BK169" s="35"/>
      <c r="BL169" s="6">
        <f t="shared" si="60"/>
        <v>0</v>
      </c>
      <c r="BM169" s="6">
        <v>563</v>
      </c>
      <c r="BN169" s="6"/>
      <c r="BO169" s="6">
        <f t="shared" si="61"/>
        <v>0</v>
      </c>
      <c r="BP169" s="6">
        <v>563</v>
      </c>
      <c r="BQ169" s="6"/>
      <c r="BR169" s="35">
        <f t="shared" si="62"/>
        <v>0</v>
      </c>
      <c r="BS169" s="6">
        <v>563</v>
      </c>
      <c r="BT169" s="6"/>
      <c r="BU169" s="6">
        <f t="shared" si="63"/>
        <v>0</v>
      </c>
      <c r="BV169" s="6">
        <v>563</v>
      </c>
      <c r="BW169" s="6"/>
      <c r="BX169" s="35">
        <f t="shared" si="64"/>
        <v>0</v>
      </c>
      <c r="BY169" s="6">
        <v>563</v>
      </c>
      <c r="BZ169" s="6"/>
      <c r="CA169" s="6">
        <f t="shared" si="65"/>
        <v>0</v>
      </c>
      <c r="CB169" s="6"/>
      <c r="CC169" s="6"/>
      <c r="CD169" s="6"/>
      <c r="CE169" s="6">
        <v>563</v>
      </c>
      <c r="CF169" s="6"/>
      <c r="CG169" s="6">
        <f t="shared" si="66"/>
        <v>0</v>
      </c>
      <c r="CH169" s="6">
        <v>192</v>
      </c>
      <c r="CI169" s="6">
        <v>580</v>
      </c>
      <c r="CJ169" s="6">
        <f t="shared" si="67"/>
        <v>209</v>
      </c>
      <c r="CK169" s="6">
        <v>549</v>
      </c>
      <c r="CL169" s="6"/>
      <c r="CM169" s="6">
        <f t="shared" si="68"/>
        <v>357</v>
      </c>
      <c r="CN169" s="6">
        <v>906</v>
      </c>
      <c r="CO169" s="6"/>
      <c r="CP169" s="6">
        <f t="shared" si="69"/>
        <v>357</v>
      </c>
      <c r="CQ169" s="6">
        <v>1249</v>
      </c>
      <c r="CR169" s="6"/>
      <c r="CS169" s="6">
        <f t="shared" si="70"/>
        <v>343</v>
      </c>
      <c r="CT169" s="6">
        <v>15</v>
      </c>
      <c r="CU169" s="6">
        <v>1560</v>
      </c>
      <c r="CV169" s="6">
        <f t="shared" si="71"/>
        <v>326</v>
      </c>
      <c r="CW169" s="6"/>
      <c r="CX169" s="6"/>
      <c r="CY169" s="6"/>
      <c r="CZ169" s="6">
        <v>363</v>
      </c>
      <c r="DA169" s="6"/>
      <c r="DB169" s="6">
        <f t="shared" si="72"/>
        <v>348</v>
      </c>
      <c r="DC169" s="6">
        <v>0</v>
      </c>
      <c r="DD169" s="6">
        <v>394</v>
      </c>
      <c r="DE169" s="6">
        <f t="shared" si="73"/>
        <v>31</v>
      </c>
      <c r="DF169" s="6">
        <v>259</v>
      </c>
      <c r="DG169" s="6"/>
      <c r="DH169" s="6">
        <f t="shared" si="74"/>
        <v>259</v>
      </c>
      <c r="DI169" s="6">
        <v>597</v>
      </c>
      <c r="DJ169" s="6"/>
      <c r="DK169" s="6">
        <f t="shared" si="75"/>
        <v>338</v>
      </c>
      <c r="DL169" s="6">
        <v>377</v>
      </c>
      <c r="DM169" s="6">
        <v>600</v>
      </c>
      <c r="DN169" s="6">
        <f t="shared" si="76"/>
        <v>380</v>
      </c>
      <c r="DO169" s="6">
        <v>334</v>
      </c>
      <c r="DP169" s="6">
        <v>388</v>
      </c>
      <c r="DQ169" s="6">
        <f t="shared" si="77"/>
        <v>345</v>
      </c>
    </row>
    <row r="170" spans="1:121">
      <c r="A170" s="6">
        <v>166</v>
      </c>
      <c r="B170" s="6">
        <v>687</v>
      </c>
      <c r="C170" s="6"/>
      <c r="D170" s="8">
        <v>355</v>
      </c>
      <c r="E170" s="33" t="s">
        <v>69</v>
      </c>
      <c r="F170" s="33" t="s">
        <v>69</v>
      </c>
      <c r="G170" s="33" t="s">
        <v>69</v>
      </c>
      <c r="H170" s="33" t="s">
        <v>69</v>
      </c>
      <c r="I170" s="33" t="s">
        <v>69</v>
      </c>
      <c r="J170" s="33" t="s">
        <v>69</v>
      </c>
      <c r="K170" s="33" t="s">
        <v>69</v>
      </c>
      <c r="L170" s="33" t="s">
        <v>69</v>
      </c>
      <c r="M170" s="33" t="s">
        <v>69</v>
      </c>
      <c r="N170" s="33" t="s">
        <v>69</v>
      </c>
      <c r="O170" s="33" t="s">
        <v>69</v>
      </c>
      <c r="P170" s="33" t="s">
        <v>69</v>
      </c>
      <c r="Q170" s="33" t="s">
        <v>69</v>
      </c>
      <c r="R170" s="33" t="s">
        <v>69</v>
      </c>
      <c r="S170" s="33" t="s">
        <v>69</v>
      </c>
      <c r="T170" s="33" t="s">
        <v>69</v>
      </c>
      <c r="U170" s="148" t="s">
        <v>99</v>
      </c>
      <c r="V170" s="33" t="s">
        <v>99</v>
      </c>
      <c r="W170" s="33" t="s">
        <v>99</v>
      </c>
      <c r="X170" s="33" t="s">
        <v>99</v>
      </c>
      <c r="Y170" s="33" t="s">
        <v>99</v>
      </c>
      <c r="Z170" s="33" t="s">
        <v>99</v>
      </c>
      <c r="AA170" s="33" t="s">
        <v>99</v>
      </c>
      <c r="AB170" s="33" t="s">
        <v>99</v>
      </c>
      <c r="AC170" s="33" t="s">
        <v>99</v>
      </c>
      <c r="AD170" s="33" t="s">
        <v>99</v>
      </c>
      <c r="AE170" s="33" t="s">
        <v>99</v>
      </c>
      <c r="AF170" s="6">
        <v>1070</v>
      </c>
      <c r="AG170" s="6"/>
      <c r="AH170" s="35">
        <f t="shared" si="52"/>
        <v>383</v>
      </c>
      <c r="AI170" s="35">
        <v>1418</v>
      </c>
      <c r="AJ170" s="35"/>
      <c r="AK170" s="35">
        <f t="shared" si="53"/>
        <v>348</v>
      </c>
      <c r="AL170" s="6"/>
      <c r="AM170" s="6"/>
      <c r="AN170" s="35"/>
      <c r="AO170" s="6">
        <v>219</v>
      </c>
      <c r="AP170" s="6">
        <v>1560</v>
      </c>
      <c r="AQ170" s="34">
        <f t="shared" si="54"/>
        <v>361</v>
      </c>
      <c r="AR170" s="35">
        <v>563</v>
      </c>
      <c r="AS170" s="35"/>
      <c r="AT170" s="35">
        <f t="shared" si="55"/>
        <v>344</v>
      </c>
      <c r="AU170" s="6">
        <v>935</v>
      </c>
      <c r="AV170" s="6"/>
      <c r="AW170" s="35">
        <f t="shared" si="56"/>
        <v>372</v>
      </c>
      <c r="AX170" s="6">
        <v>1310</v>
      </c>
      <c r="AY170" s="6"/>
      <c r="AZ170" s="35">
        <f t="shared" si="57"/>
        <v>375</v>
      </c>
      <c r="BA170" s="35">
        <v>125</v>
      </c>
      <c r="BB170" s="35">
        <v>1560</v>
      </c>
      <c r="BC170" s="35">
        <f t="shared" si="58"/>
        <v>375</v>
      </c>
      <c r="BD170" s="6">
        <v>479</v>
      </c>
      <c r="BE170" s="6"/>
      <c r="BF170" s="35">
        <f t="shared" si="59"/>
        <v>354</v>
      </c>
      <c r="BG170" s="6"/>
      <c r="BH170" s="6"/>
      <c r="BI170" s="6"/>
      <c r="BJ170" s="6">
        <v>855</v>
      </c>
      <c r="BK170" s="6"/>
      <c r="BL170" s="6">
        <f t="shared" si="60"/>
        <v>376</v>
      </c>
      <c r="BM170" s="6">
        <v>1231</v>
      </c>
      <c r="BN170" s="6"/>
      <c r="BO170" s="6">
        <f t="shared" si="61"/>
        <v>376</v>
      </c>
      <c r="BP170" s="6">
        <v>45</v>
      </c>
      <c r="BQ170" s="6">
        <v>1560</v>
      </c>
      <c r="BR170" s="35">
        <f t="shared" si="62"/>
        <v>374</v>
      </c>
      <c r="BS170" s="6">
        <v>422</v>
      </c>
      <c r="BT170" s="6"/>
      <c r="BU170" s="6">
        <f t="shared" si="63"/>
        <v>377</v>
      </c>
      <c r="BV170" s="6">
        <v>799</v>
      </c>
      <c r="BW170" s="6"/>
      <c r="BX170" s="35">
        <f t="shared" si="64"/>
        <v>377</v>
      </c>
      <c r="BY170" s="6">
        <v>0</v>
      </c>
      <c r="BZ170" s="6">
        <v>1031</v>
      </c>
      <c r="CA170" s="6">
        <f t="shared" si="65"/>
        <v>232</v>
      </c>
      <c r="CB170" s="6"/>
      <c r="CC170" s="6"/>
      <c r="CD170" s="6"/>
      <c r="CE170" s="6">
        <v>0</v>
      </c>
      <c r="CF170" s="6"/>
      <c r="CG170" s="6">
        <f t="shared" si="66"/>
        <v>0</v>
      </c>
      <c r="CH170" s="6">
        <v>257</v>
      </c>
      <c r="CI170" s="6"/>
      <c r="CJ170" s="6">
        <f t="shared" si="67"/>
        <v>257</v>
      </c>
      <c r="CK170" s="6">
        <v>525</v>
      </c>
      <c r="CL170" s="6"/>
      <c r="CM170" s="6">
        <f t="shared" si="68"/>
        <v>268</v>
      </c>
      <c r="CN170" s="6">
        <v>795</v>
      </c>
      <c r="CO170" s="6"/>
      <c r="CP170" s="6">
        <f t="shared" si="69"/>
        <v>270</v>
      </c>
      <c r="CQ170" s="6">
        <v>1055</v>
      </c>
      <c r="CR170" s="6"/>
      <c r="CS170" s="6">
        <f t="shared" si="70"/>
        <v>260</v>
      </c>
      <c r="CT170" s="6">
        <v>1289</v>
      </c>
      <c r="CU170" s="6"/>
      <c r="CV170" s="6">
        <f t="shared" si="71"/>
        <v>234</v>
      </c>
      <c r="CW170" s="6"/>
      <c r="CX170" s="6"/>
      <c r="CY170" s="6"/>
      <c r="CZ170" s="6">
        <v>50</v>
      </c>
      <c r="DA170" s="6">
        <v>1500</v>
      </c>
      <c r="DB170" s="6">
        <f t="shared" si="72"/>
        <v>261</v>
      </c>
      <c r="DC170" s="6">
        <v>310</v>
      </c>
      <c r="DD170" s="6"/>
      <c r="DE170" s="6">
        <f t="shared" si="73"/>
        <v>260</v>
      </c>
      <c r="DF170" s="35">
        <v>575</v>
      </c>
      <c r="DG170" s="6"/>
      <c r="DH170" s="6">
        <f t="shared" si="74"/>
        <v>265</v>
      </c>
      <c r="DI170" s="6">
        <v>841</v>
      </c>
      <c r="DJ170" s="6"/>
      <c r="DK170" s="6">
        <f t="shared" si="75"/>
        <v>266</v>
      </c>
      <c r="DL170" s="6">
        <v>1104</v>
      </c>
      <c r="DM170" s="6"/>
      <c r="DN170" s="6">
        <f t="shared" si="76"/>
        <v>263</v>
      </c>
      <c r="DO170" s="6">
        <v>1342</v>
      </c>
      <c r="DP170" s="6"/>
      <c r="DQ170" s="6">
        <f t="shared" si="77"/>
        <v>238</v>
      </c>
    </row>
    <row r="171" spans="1:121">
      <c r="A171" s="6">
        <v>167</v>
      </c>
      <c r="B171" s="6">
        <v>499</v>
      </c>
      <c r="C171" s="6"/>
      <c r="D171" s="6">
        <v>331</v>
      </c>
      <c r="E171" s="33" t="s">
        <v>98</v>
      </c>
      <c r="F171" s="33" t="s">
        <v>98</v>
      </c>
      <c r="G171" s="33" t="s">
        <v>98</v>
      </c>
      <c r="H171" s="33" t="s">
        <v>98</v>
      </c>
      <c r="I171" s="33" t="s">
        <v>98</v>
      </c>
      <c r="J171" s="33" t="s">
        <v>98</v>
      </c>
      <c r="K171" s="33" t="s">
        <v>98</v>
      </c>
      <c r="L171" s="33" t="s">
        <v>98</v>
      </c>
      <c r="M171" s="33" t="s">
        <v>98</v>
      </c>
      <c r="N171" s="33" t="s">
        <v>98</v>
      </c>
      <c r="O171" s="33" t="s">
        <v>98</v>
      </c>
      <c r="P171" s="33" t="s">
        <v>98</v>
      </c>
      <c r="Q171" s="33" t="s">
        <v>98</v>
      </c>
      <c r="R171" s="33" t="s">
        <v>98</v>
      </c>
      <c r="S171" s="33" t="s">
        <v>98</v>
      </c>
      <c r="T171" s="33" t="s">
        <v>98</v>
      </c>
      <c r="U171" s="33" t="s">
        <v>98</v>
      </c>
      <c r="V171" s="33" t="s">
        <v>98</v>
      </c>
      <c r="W171" s="33" t="s">
        <v>98</v>
      </c>
      <c r="X171" s="33" t="s">
        <v>98</v>
      </c>
      <c r="Y171" s="33" t="s">
        <v>98</v>
      </c>
      <c r="Z171" s="33" t="s">
        <v>98</v>
      </c>
      <c r="AA171" s="148" t="s">
        <v>56</v>
      </c>
      <c r="AB171" s="33" t="s">
        <v>56</v>
      </c>
      <c r="AC171" s="33" t="s">
        <v>56</v>
      </c>
      <c r="AD171" s="33" t="s">
        <v>56</v>
      </c>
      <c r="AE171" s="33" t="s">
        <v>56</v>
      </c>
      <c r="AF171" s="6">
        <v>844</v>
      </c>
      <c r="AG171" s="6"/>
      <c r="AH171" s="35">
        <f t="shared" si="52"/>
        <v>345</v>
      </c>
      <c r="AI171" s="35">
        <v>1</v>
      </c>
      <c r="AJ171" s="35">
        <v>1175</v>
      </c>
      <c r="AK171" s="35">
        <f t="shared" si="53"/>
        <v>332</v>
      </c>
      <c r="AL171" s="6"/>
      <c r="AM171" s="6"/>
      <c r="AN171" s="35"/>
      <c r="AO171" s="6">
        <v>345</v>
      </c>
      <c r="AP171" s="6"/>
      <c r="AQ171" s="34">
        <f t="shared" si="54"/>
        <v>344</v>
      </c>
      <c r="AR171" s="35">
        <v>695</v>
      </c>
      <c r="AS171" s="35"/>
      <c r="AT171" s="35">
        <f t="shared" si="55"/>
        <v>350</v>
      </c>
      <c r="AU171" s="6">
        <v>6</v>
      </c>
      <c r="AV171" s="6">
        <v>1032</v>
      </c>
      <c r="AW171" s="35">
        <f t="shared" si="56"/>
        <v>343</v>
      </c>
      <c r="AX171" s="6">
        <v>1</v>
      </c>
      <c r="AY171" s="6">
        <v>347</v>
      </c>
      <c r="AZ171" s="35">
        <f t="shared" si="57"/>
        <v>342</v>
      </c>
      <c r="BA171" s="35">
        <v>349</v>
      </c>
      <c r="BB171" s="35"/>
      <c r="BC171" s="35">
        <f t="shared" si="58"/>
        <v>348</v>
      </c>
      <c r="BD171" s="6">
        <v>684</v>
      </c>
      <c r="BE171" s="6"/>
      <c r="BF171" s="35">
        <f t="shared" si="59"/>
        <v>335</v>
      </c>
      <c r="BG171" s="6"/>
      <c r="BH171" s="6"/>
      <c r="BI171" s="6"/>
      <c r="BJ171" s="6">
        <v>1033</v>
      </c>
      <c r="BK171" s="6"/>
      <c r="BL171" s="6">
        <f t="shared" si="60"/>
        <v>349</v>
      </c>
      <c r="BM171" s="6">
        <v>181</v>
      </c>
      <c r="BN171" s="6">
        <v>1200</v>
      </c>
      <c r="BO171" s="6">
        <f t="shared" si="61"/>
        <v>348</v>
      </c>
      <c r="BP171" s="6">
        <v>528</v>
      </c>
      <c r="BQ171" s="6"/>
      <c r="BR171" s="35">
        <f t="shared" si="62"/>
        <v>347</v>
      </c>
      <c r="BS171" s="6">
        <v>873</v>
      </c>
      <c r="BT171" s="6"/>
      <c r="BU171" s="6">
        <f t="shared" si="63"/>
        <v>345</v>
      </c>
      <c r="BV171" s="6">
        <v>0</v>
      </c>
      <c r="BW171" s="6">
        <v>970</v>
      </c>
      <c r="BX171" s="35">
        <f t="shared" si="64"/>
        <v>97</v>
      </c>
      <c r="BY171" s="6">
        <v>0</v>
      </c>
      <c r="BZ171" s="6"/>
      <c r="CA171" s="6">
        <f t="shared" si="65"/>
        <v>0</v>
      </c>
      <c r="CB171" s="6"/>
      <c r="CC171" s="6"/>
      <c r="CD171" s="6"/>
      <c r="CE171" s="6">
        <v>0</v>
      </c>
      <c r="CF171" s="6"/>
      <c r="CG171" s="6">
        <f t="shared" si="66"/>
        <v>0</v>
      </c>
      <c r="CH171" s="6">
        <v>0</v>
      </c>
      <c r="CI171" s="6"/>
      <c r="CJ171" s="6">
        <f t="shared" si="67"/>
        <v>0</v>
      </c>
      <c r="CK171" s="6">
        <v>0</v>
      </c>
      <c r="CL171" s="6"/>
      <c r="CM171" s="6">
        <f t="shared" si="68"/>
        <v>0</v>
      </c>
      <c r="CN171" s="6">
        <v>0</v>
      </c>
      <c r="CO171" s="6"/>
      <c r="CP171" s="6">
        <f t="shared" si="69"/>
        <v>0</v>
      </c>
      <c r="CQ171" s="6">
        <v>0</v>
      </c>
      <c r="CR171" s="6"/>
      <c r="CS171" s="6">
        <f t="shared" si="70"/>
        <v>0</v>
      </c>
      <c r="CT171" s="6">
        <v>0</v>
      </c>
      <c r="CU171" s="6"/>
      <c r="CV171" s="6">
        <f t="shared" si="71"/>
        <v>0</v>
      </c>
      <c r="CW171" s="6"/>
      <c r="CX171" s="6"/>
      <c r="CY171" s="6"/>
      <c r="CZ171" s="6">
        <v>0</v>
      </c>
      <c r="DA171" s="6"/>
      <c r="DB171" s="6">
        <f t="shared" si="72"/>
        <v>0</v>
      </c>
      <c r="DC171" s="6">
        <v>201</v>
      </c>
      <c r="DD171" s="6"/>
      <c r="DE171" s="6">
        <f t="shared" si="73"/>
        <v>201</v>
      </c>
      <c r="DF171" s="6">
        <v>490</v>
      </c>
      <c r="DG171" s="6"/>
      <c r="DH171" s="6">
        <f t="shared" si="74"/>
        <v>289</v>
      </c>
      <c r="DI171" s="6">
        <v>211</v>
      </c>
      <c r="DJ171" s="6">
        <v>570</v>
      </c>
      <c r="DK171" s="6">
        <f t="shared" si="75"/>
        <v>291</v>
      </c>
      <c r="DL171" s="6">
        <v>502</v>
      </c>
      <c r="DM171" s="6"/>
      <c r="DN171" s="6">
        <f t="shared" si="76"/>
        <v>291</v>
      </c>
      <c r="DO171" s="6">
        <v>162</v>
      </c>
      <c r="DP171" s="6">
        <v>600</v>
      </c>
      <c r="DQ171" s="6">
        <f t="shared" si="77"/>
        <v>260</v>
      </c>
    </row>
    <row r="172" spans="1:121">
      <c r="A172" s="6">
        <v>168</v>
      </c>
      <c r="B172" s="6">
        <v>11</v>
      </c>
      <c r="C172" s="6">
        <v>1688</v>
      </c>
      <c r="D172" s="6">
        <v>404</v>
      </c>
      <c r="E172" s="33" t="s">
        <v>97</v>
      </c>
      <c r="F172" s="33" t="s">
        <v>97</v>
      </c>
      <c r="G172" s="148" t="s">
        <v>69</v>
      </c>
      <c r="H172" s="33" t="s">
        <v>69</v>
      </c>
      <c r="I172" s="33" t="s">
        <v>69</v>
      </c>
      <c r="J172" s="33" t="s">
        <v>69</v>
      </c>
      <c r="K172" s="33" t="s">
        <v>69</v>
      </c>
      <c r="L172" s="33" t="s">
        <v>69</v>
      </c>
      <c r="M172" s="33" t="s">
        <v>69</v>
      </c>
      <c r="N172" s="33" t="s">
        <v>69</v>
      </c>
      <c r="O172" s="33" t="s">
        <v>69</v>
      </c>
      <c r="P172" s="33" t="s">
        <v>69</v>
      </c>
      <c r="Q172" s="33" t="s">
        <v>69</v>
      </c>
      <c r="R172" s="33" t="s">
        <v>69</v>
      </c>
      <c r="S172" s="33" t="s">
        <v>69</v>
      </c>
      <c r="T172" s="33" t="s">
        <v>69</v>
      </c>
      <c r="U172" s="33" t="s">
        <v>69</v>
      </c>
      <c r="V172" s="33" t="s">
        <v>69</v>
      </c>
      <c r="W172" s="33" t="s">
        <v>69</v>
      </c>
      <c r="X172" s="33" t="s">
        <v>69</v>
      </c>
      <c r="Y172" s="33" t="s">
        <v>69</v>
      </c>
      <c r="Z172" s="33" t="s">
        <v>69</v>
      </c>
      <c r="AA172" s="33" t="s">
        <v>69</v>
      </c>
      <c r="AB172" s="33" t="s">
        <v>69</v>
      </c>
      <c r="AC172" s="148" t="s">
        <v>99</v>
      </c>
      <c r="AD172" s="33" t="s">
        <v>99</v>
      </c>
      <c r="AE172" s="33" t="s">
        <v>99</v>
      </c>
      <c r="AF172" s="35">
        <v>440</v>
      </c>
      <c r="AG172" s="35"/>
      <c r="AH172" s="35">
        <f t="shared" si="52"/>
        <v>429</v>
      </c>
      <c r="AI172" s="35">
        <v>344</v>
      </c>
      <c r="AJ172" s="35">
        <v>470</v>
      </c>
      <c r="AK172" s="35">
        <f t="shared" si="53"/>
        <v>374</v>
      </c>
      <c r="AL172" s="35"/>
      <c r="AM172" s="35"/>
      <c r="AN172" s="35"/>
      <c r="AO172" s="35">
        <v>752</v>
      </c>
      <c r="AP172" s="35"/>
      <c r="AQ172" s="34">
        <f t="shared" si="54"/>
        <v>408</v>
      </c>
      <c r="AR172" s="35">
        <f>1164*0.9144</f>
        <v>1064.3616</v>
      </c>
      <c r="AS172" s="35"/>
      <c r="AT172" s="35">
        <f t="shared" si="55"/>
        <v>312.36159999999995</v>
      </c>
      <c r="AU172" s="6">
        <v>1433</v>
      </c>
      <c r="AV172" s="6"/>
      <c r="AW172" s="35">
        <f t="shared" si="56"/>
        <v>368.63840000000005</v>
      </c>
      <c r="AX172" s="6">
        <v>248</v>
      </c>
      <c r="AY172" s="6">
        <v>1560</v>
      </c>
      <c r="AZ172" s="35">
        <f t="shared" si="57"/>
        <v>375</v>
      </c>
      <c r="BA172" s="6">
        <v>620</v>
      </c>
      <c r="BB172" s="6"/>
      <c r="BC172" s="35">
        <f t="shared" si="58"/>
        <v>372</v>
      </c>
      <c r="BD172" s="6">
        <v>974</v>
      </c>
      <c r="BE172" s="6"/>
      <c r="BF172" s="35">
        <f t="shared" si="59"/>
        <v>354</v>
      </c>
      <c r="BG172" s="6"/>
      <c r="BH172" s="6"/>
      <c r="BI172" s="35"/>
      <c r="BJ172" s="6">
        <v>1351</v>
      </c>
      <c r="BK172" s="35"/>
      <c r="BL172" s="6">
        <f t="shared" si="60"/>
        <v>377</v>
      </c>
      <c r="BM172" s="6">
        <v>161</v>
      </c>
      <c r="BN172" s="6">
        <v>1560</v>
      </c>
      <c r="BO172" s="6">
        <f t="shared" si="61"/>
        <v>370</v>
      </c>
      <c r="BP172" s="6">
        <v>535</v>
      </c>
      <c r="BQ172" s="6"/>
      <c r="BR172" s="35">
        <f t="shared" si="62"/>
        <v>374</v>
      </c>
      <c r="BS172" s="6">
        <v>911</v>
      </c>
      <c r="BT172" s="6"/>
      <c r="BU172" s="6">
        <f t="shared" si="63"/>
        <v>376</v>
      </c>
      <c r="BV172" s="6">
        <v>1283</v>
      </c>
      <c r="BW172" s="6"/>
      <c r="BX172" s="35">
        <f t="shared" si="64"/>
        <v>372</v>
      </c>
      <c r="BY172" s="6">
        <v>73</v>
      </c>
      <c r="BZ172" s="6">
        <v>1560</v>
      </c>
      <c r="CA172" s="6">
        <f t="shared" si="65"/>
        <v>350</v>
      </c>
      <c r="CB172" s="6"/>
      <c r="CC172" s="6"/>
      <c r="CD172" s="6"/>
      <c r="CE172" s="6">
        <v>445</v>
      </c>
      <c r="CF172" s="6"/>
      <c r="CG172" s="6">
        <f t="shared" si="66"/>
        <v>372</v>
      </c>
      <c r="CH172" s="6">
        <v>821</v>
      </c>
      <c r="CI172" s="6"/>
      <c r="CJ172" s="6">
        <f t="shared" si="67"/>
        <v>376</v>
      </c>
      <c r="CK172" s="6">
        <v>148</v>
      </c>
      <c r="CL172" s="6">
        <v>1043</v>
      </c>
      <c r="CM172" s="6">
        <f t="shared" si="68"/>
        <v>370</v>
      </c>
      <c r="CN172" s="6">
        <v>521</v>
      </c>
      <c r="CO172" s="6"/>
      <c r="CP172" s="6">
        <f t="shared" si="69"/>
        <v>373</v>
      </c>
      <c r="CQ172" s="6">
        <v>882</v>
      </c>
      <c r="CR172" s="6"/>
      <c r="CS172" s="6">
        <f t="shared" si="70"/>
        <v>361</v>
      </c>
      <c r="CT172" s="6">
        <v>311</v>
      </c>
      <c r="CU172" s="6">
        <v>915</v>
      </c>
      <c r="CV172" s="6">
        <f t="shared" si="71"/>
        <v>344</v>
      </c>
      <c r="CW172" s="6"/>
      <c r="CX172" s="6"/>
      <c r="CY172" s="6"/>
      <c r="CZ172" s="6">
        <v>683</v>
      </c>
      <c r="DA172" s="6"/>
      <c r="DB172" s="6">
        <f t="shared" si="72"/>
        <v>372</v>
      </c>
      <c r="DC172" s="6">
        <v>1053</v>
      </c>
      <c r="DD172" s="6"/>
      <c r="DE172" s="6">
        <f t="shared" si="73"/>
        <v>370</v>
      </c>
      <c r="DF172" s="6">
        <v>0</v>
      </c>
      <c r="DG172" s="6">
        <v>1170</v>
      </c>
      <c r="DH172" s="6">
        <f t="shared" si="74"/>
        <v>117</v>
      </c>
      <c r="DI172" s="6">
        <v>233</v>
      </c>
      <c r="DJ172" s="6"/>
      <c r="DK172" s="6">
        <f t="shared" si="75"/>
        <v>233</v>
      </c>
      <c r="DL172" s="6">
        <v>494</v>
      </c>
      <c r="DM172" s="6"/>
      <c r="DN172" s="6">
        <f t="shared" si="76"/>
        <v>261</v>
      </c>
      <c r="DO172" s="6">
        <v>727</v>
      </c>
      <c r="DP172" s="6"/>
      <c r="DQ172" s="6">
        <f t="shared" si="77"/>
        <v>233</v>
      </c>
    </row>
    <row r="173" spans="1:121">
      <c r="A173" s="6">
        <v>169</v>
      </c>
      <c r="B173" s="6">
        <v>1089</v>
      </c>
      <c r="C173" s="6"/>
      <c r="D173" s="6">
        <v>361</v>
      </c>
      <c r="E173" s="33" t="s">
        <v>37</v>
      </c>
      <c r="F173" s="33" t="s">
        <v>37</v>
      </c>
      <c r="G173" s="33" t="s">
        <v>37</v>
      </c>
      <c r="H173" s="33" t="s">
        <v>37</v>
      </c>
      <c r="I173" s="33" t="s">
        <v>37</v>
      </c>
      <c r="J173" s="33" t="s">
        <v>37</v>
      </c>
      <c r="K173" s="33" t="s">
        <v>37</v>
      </c>
      <c r="L173" s="148" t="s">
        <v>108</v>
      </c>
      <c r="M173" s="33" t="s">
        <v>108</v>
      </c>
      <c r="N173" s="33" t="s">
        <v>108</v>
      </c>
      <c r="O173" s="33" t="s">
        <v>108</v>
      </c>
      <c r="P173" s="33" t="s">
        <v>108</v>
      </c>
      <c r="Q173" s="33" t="s">
        <v>108</v>
      </c>
      <c r="R173" s="33" t="s">
        <v>108</v>
      </c>
      <c r="S173" s="33" t="s">
        <v>108</v>
      </c>
      <c r="T173" s="33" t="s">
        <v>108</v>
      </c>
      <c r="U173" s="33" t="s">
        <v>108</v>
      </c>
      <c r="V173" s="33" t="s">
        <v>108</v>
      </c>
      <c r="W173" s="33" t="s">
        <v>108</v>
      </c>
      <c r="X173" s="33" t="s">
        <v>108</v>
      </c>
      <c r="Y173" s="33" t="s">
        <v>108</v>
      </c>
      <c r="Z173" s="33" t="s">
        <v>108</v>
      </c>
      <c r="AA173" s="33" t="s">
        <v>108</v>
      </c>
      <c r="AB173" s="33" t="s">
        <v>108</v>
      </c>
      <c r="AC173" s="33" t="s">
        <v>108</v>
      </c>
      <c r="AD173" s="33" t="s">
        <v>108</v>
      </c>
      <c r="AE173" s="33" t="s">
        <v>108</v>
      </c>
      <c r="AF173" s="6">
        <v>1470</v>
      </c>
      <c r="AG173" s="6"/>
      <c r="AH173" s="35">
        <f t="shared" si="52"/>
        <v>381</v>
      </c>
      <c r="AI173" s="35">
        <v>310</v>
      </c>
      <c r="AJ173" s="35">
        <v>1512</v>
      </c>
      <c r="AK173" s="35">
        <f t="shared" si="53"/>
        <v>352</v>
      </c>
      <c r="AL173" s="6"/>
      <c r="AM173" s="6"/>
      <c r="AN173" s="35"/>
      <c r="AO173" s="6">
        <v>129</v>
      </c>
      <c r="AP173" s="6">
        <v>536</v>
      </c>
      <c r="AQ173" s="34">
        <f t="shared" si="54"/>
        <v>355</v>
      </c>
      <c r="AR173" s="35">
        <v>506</v>
      </c>
      <c r="AS173" s="35"/>
      <c r="AT173" s="35">
        <f t="shared" si="55"/>
        <v>377</v>
      </c>
      <c r="AU173" s="6">
        <v>878</v>
      </c>
      <c r="AV173" s="6"/>
      <c r="AW173" s="35">
        <f t="shared" si="56"/>
        <v>372</v>
      </c>
      <c r="AX173" s="6">
        <v>1071</v>
      </c>
      <c r="AY173" s="6"/>
      <c r="AZ173" s="35">
        <f t="shared" si="57"/>
        <v>193</v>
      </c>
      <c r="BA173" s="35">
        <v>0</v>
      </c>
      <c r="BB173" s="35">
        <v>1101</v>
      </c>
      <c r="BC173" s="35">
        <f t="shared" si="58"/>
        <v>30</v>
      </c>
      <c r="BD173" s="6">
        <v>0</v>
      </c>
      <c r="BE173" s="6"/>
      <c r="BF173" s="35">
        <f t="shared" si="59"/>
        <v>0</v>
      </c>
      <c r="BG173" s="6"/>
      <c r="BH173" s="6"/>
      <c r="BI173" s="6"/>
      <c r="BJ173" s="6">
        <v>0</v>
      </c>
      <c r="BK173" s="6"/>
      <c r="BL173" s="6">
        <f t="shared" si="60"/>
        <v>0</v>
      </c>
      <c r="BM173" s="6">
        <v>0</v>
      </c>
      <c r="BN173" s="6"/>
      <c r="BO173" s="6">
        <f t="shared" si="61"/>
        <v>0</v>
      </c>
      <c r="BP173" s="6">
        <v>0</v>
      </c>
      <c r="BQ173" s="6"/>
      <c r="BR173" s="35">
        <f t="shared" si="62"/>
        <v>0</v>
      </c>
      <c r="BS173" s="6">
        <v>0</v>
      </c>
      <c r="BT173" s="6"/>
      <c r="BU173" s="6">
        <f t="shared" si="63"/>
        <v>0</v>
      </c>
      <c r="BV173" s="6">
        <v>0</v>
      </c>
      <c r="BW173" s="6"/>
      <c r="BX173" s="35">
        <f t="shared" si="64"/>
        <v>0</v>
      </c>
      <c r="BY173" s="6">
        <v>0</v>
      </c>
      <c r="BZ173" s="6"/>
      <c r="CA173" s="6">
        <f t="shared" si="65"/>
        <v>0</v>
      </c>
      <c r="CB173" s="6"/>
      <c r="CC173" s="6"/>
      <c r="CD173" s="6"/>
      <c r="CE173" s="6">
        <v>0</v>
      </c>
      <c r="CF173" s="6"/>
      <c r="CG173" s="6">
        <f t="shared" si="66"/>
        <v>0</v>
      </c>
      <c r="CH173" s="6">
        <v>0</v>
      </c>
      <c r="CI173" s="6"/>
      <c r="CJ173" s="6">
        <f t="shared" si="67"/>
        <v>0</v>
      </c>
      <c r="CK173" s="6">
        <v>0</v>
      </c>
      <c r="CL173" s="6"/>
      <c r="CM173" s="6">
        <f t="shared" si="68"/>
        <v>0</v>
      </c>
      <c r="CN173" s="6">
        <v>0</v>
      </c>
      <c r="CO173" s="6"/>
      <c r="CP173" s="6">
        <f t="shared" si="69"/>
        <v>0</v>
      </c>
      <c r="CQ173" s="6">
        <v>0</v>
      </c>
      <c r="CR173" s="6"/>
      <c r="CS173" s="6">
        <f t="shared" si="70"/>
        <v>0</v>
      </c>
      <c r="CT173" s="6">
        <v>0</v>
      </c>
      <c r="CU173" s="6"/>
      <c r="CV173" s="6">
        <f t="shared" si="71"/>
        <v>0</v>
      </c>
      <c r="CW173" s="6"/>
      <c r="CX173" s="6"/>
      <c r="CY173" s="6"/>
      <c r="CZ173" s="6">
        <v>0</v>
      </c>
      <c r="DA173" s="6"/>
      <c r="DB173" s="6">
        <f t="shared" si="72"/>
        <v>0</v>
      </c>
      <c r="DC173" s="6">
        <v>0</v>
      </c>
      <c r="DD173" s="6"/>
      <c r="DE173" s="6">
        <f t="shared" si="73"/>
        <v>0</v>
      </c>
      <c r="DF173" s="6">
        <v>0</v>
      </c>
      <c r="DG173" s="6"/>
      <c r="DH173" s="6">
        <f t="shared" si="74"/>
        <v>0</v>
      </c>
      <c r="DI173" s="6">
        <v>0</v>
      </c>
      <c r="DJ173" s="6"/>
      <c r="DK173" s="6">
        <f t="shared" si="75"/>
        <v>0</v>
      </c>
      <c r="DL173" s="6">
        <v>0</v>
      </c>
      <c r="DM173" s="6"/>
      <c r="DN173" s="6">
        <f t="shared" si="76"/>
        <v>0</v>
      </c>
      <c r="DO173" s="6">
        <v>0</v>
      </c>
      <c r="DP173" s="6"/>
      <c r="DQ173" s="6">
        <f t="shared" si="77"/>
        <v>0</v>
      </c>
    </row>
    <row r="174" spans="1:121">
      <c r="A174" s="6">
        <v>170</v>
      </c>
      <c r="B174" s="6">
        <v>965</v>
      </c>
      <c r="C174" s="6"/>
      <c r="D174" s="6">
        <v>406</v>
      </c>
      <c r="E174" s="33" t="s">
        <v>97</v>
      </c>
      <c r="F174" s="148" t="s">
        <v>116</v>
      </c>
      <c r="G174" s="33" t="s">
        <v>116</v>
      </c>
      <c r="H174" s="33" t="s">
        <v>116</v>
      </c>
      <c r="I174" s="33" t="s">
        <v>116</v>
      </c>
      <c r="J174" s="33" t="s">
        <v>116</v>
      </c>
      <c r="K174" s="33" t="s">
        <v>116</v>
      </c>
      <c r="L174" s="33" t="s">
        <v>116</v>
      </c>
      <c r="M174" s="33" t="s">
        <v>116</v>
      </c>
      <c r="N174" s="33" t="s">
        <v>116</v>
      </c>
      <c r="O174" s="33" t="s">
        <v>116</v>
      </c>
      <c r="P174" s="33" t="s">
        <v>116</v>
      </c>
      <c r="Q174" s="33" t="s">
        <v>116</v>
      </c>
      <c r="R174" s="33" t="s">
        <v>116</v>
      </c>
      <c r="S174" s="33" t="s">
        <v>116</v>
      </c>
      <c r="T174" s="33" t="s">
        <v>116</v>
      </c>
      <c r="U174" s="33" t="s">
        <v>116</v>
      </c>
      <c r="V174" s="33" t="s">
        <v>116</v>
      </c>
      <c r="W174" s="33" t="s">
        <v>116</v>
      </c>
      <c r="X174" s="33" t="s">
        <v>116</v>
      </c>
      <c r="Y174" s="33" t="s">
        <v>116</v>
      </c>
      <c r="Z174" s="33" t="s">
        <v>116</v>
      </c>
      <c r="AA174" s="148" t="s">
        <v>124</v>
      </c>
      <c r="AB174" s="33" t="s">
        <v>124</v>
      </c>
      <c r="AC174" s="33" t="s">
        <v>124</v>
      </c>
      <c r="AD174" s="33" t="s">
        <v>124</v>
      </c>
      <c r="AE174" s="33" t="s">
        <v>124</v>
      </c>
      <c r="AF174" s="6">
        <v>313</v>
      </c>
      <c r="AG174" s="6">
        <v>1035</v>
      </c>
      <c r="AH174" s="35">
        <f t="shared" si="52"/>
        <v>383</v>
      </c>
      <c r="AI174" s="35">
        <v>707</v>
      </c>
      <c r="AJ174" s="35"/>
      <c r="AK174" s="35">
        <f t="shared" si="53"/>
        <v>394</v>
      </c>
      <c r="AL174" s="6"/>
      <c r="AM174" s="6"/>
      <c r="AN174" s="35"/>
      <c r="AO174" s="6">
        <v>1116</v>
      </c>
      <c r="AP174" s="6"/>
      <c r="AQ174" s="34">
        <f t="shared" si="54"/>
        <v>409</v>
      </c>
      <c r="AR174" s="35">
        <f>1525*0.9144</f>
        <v>1394.46</v>
      </c>
      <c r="AS174" s="35"/>
      <c r="AT174" s="35">
        <f t="shared" si="55"/>
        <v>278.46000000000004</v>
      </c>
      <c r="AU174" s="6">
        <v>208</v>
      </c>
      <c r="AV174" s="6">
        <v>1560</v>
      </c>
      <c r="AW174" s="35">
        <f t="shared" si="56"/>
        <v>373.53999999999996</v>
      </c>
      <c r="AX174" s="6">
        <v>586</v>
      </c>
      <c r="AY174" s="6"/>
      <c r="AZ174" s="35">
        <f t="shared" si="57"/>
        <v>378</v>
      </c>
      <c r="BA174" s="6">
        <v>961</v>
      </c>
      <c r="BB174" s="6"/>
      <c r="BC174" s="35">
        <f t="shared" si="58"/>
        <v>375</v>
      </c>
      <c r="BD174" s="6">
        <v>1322</v>
      </c>
      <c r="BE174" s="6"/>
      <c r="BF174" s="35">
        <f t="shared" si="59"/>
        <v>361</v>
      </c>
      <c r="BG174" s="6"/>
      <c r="BH174" s="6"/>
      <c r="BI174" s="35"/>
      <c r="BJ174" s="6">
        <v>137</v>
      </c>
      <c r="BK174" s="6">
        <v>1560</v>
      </c>
      <c r="BL174" s="6">
        <f t="shared" si="60"/>
        <v>375</v>
      </c>
      <c r="BM174" s="6">
        <v>518</v>
      </c>
      <c r="BN174" s="6"/>
      <c r="BO174" s="6">
        <f t="shared" si="61"/>
        <v>381</v>
      </c>
      <c r="BP174" s="6">
        <v>897</v>
      </c>
      <c r="BQ174" s="6"/>
      <c r="BR174" s="35">
        <f t="shared" si="62"/>
        <v>379</v>
      </c>
      <c r="BS174" s="6">
        <v>1273</v>
      </c>
      <c r="BT174" s="6"/>
      <c r="BU174" s="6">
        <f t="shared" si="63"/>
        <v>376</v>
      </c>
      <c r="BV174" s="6">
        <v>49</v>
      </c>
      <c r="BW174" s="6">
        <v>1605</v>
      </c>
      <c r="BX174" s="35">
        <f t="shared" si="64"/>
        <v>381</v>
      </c>
      <c r="BY174" s="6">
        <v>406</v>
      </c>
      <c r="BZ174" s="6"/>
      <c r="CA174" s="6">
        <f t="shared" si="65"/>
        <v>357</v>
      </c>
      <c r="CB174" s="6"/>
      <c r="CC174" s="6"/>
      <c r="CD174" s="6"/>
      <c r="CE174" s="6">
        <v>785</v>
      </c>
      <c r="CF174" s="6"/>
      <c r="CG174" s="6">
        <f t="shared" si="66"/>
        <v>379</v>
      </c>
      <c r="CH174" s="6">
        <v>1167</v>
      </c>
      <c r="CI174" s="6"/>
      <c r="CJ174" s="6">
        <f t="shared" si="67"/>
        <v>382</v>
      </c>
      <c r="CK174" s="6">
        <v>1549</v>
      </c>
      <c r="CL174" s="6"/>
      <c r="CM174" s="6">
        <f t="shared" si="68"/>
        <v>382</v>
      </c>
      <c r="CN174" s="6">
        <v>369</v>
      </c>
      <c r="CO174" s="6">
        <v>1560</v>
      </c>
      <c r="CP174" s="6">
        <f t="shared" si="69"/>
        <v>380</v>
      </c>
      <c r="CQ174" s="6">
        <v>740</v>
      </c>
      <c r="CR174" s="6"/>
      <c r="CS174" s="6">
        <f t="shared" si="70"/>
        <v>371</v>
      </c>
      <c r="CT174" s="6">
        <v>1088</v>
      </c>
      <c r="CU174" s="6"/>
      <c r="CV174" s="6">
        <f t="shared" si="71"/>
        <v>348</v>
      </c>
      <c r="CW174" s="6"/>
      <c r="CX174" s="6"/>
      <c r="CY174" s="6"/>
      <c r="CZ174" s="6">
        <v>1454</v>
      </c>
      <c r="DA174" s="6"/>
      <c r="DB174" s="6">
        <f t="shared" si="72"/>
        <v>366</v>
      </c>
      <c r="DC174" s="6">
        <v>0</v>
      </c>
      <c r="DD174" s="6">
        <v>1520</v>
      </c>
      <c r="DE174" s="6">
        <f t="shared" si="73"/>
        <v>66</v>
      </c>
      <c r="DF174" s="6">
        <v>226</v>
      </c>
      <c r="DG174" s="6"/>
      <c r="DH174" s="6">
        <f t="shared" si="74"/>
        <v>226</v>
      </c>
      <c r="DI174" s="6">
        <v>453</v>
      </c>
      <c r="DJ174" s="6"/>
      <c r="DK174" s="6">
        <f t="shared" si="75"/>
        <v>227</v>
      </c>
      <c r="DL174" s="6">
        <v>686</v>
      </c>
      <c r="DM174" s="6"/>
      <c r="DN174" s="6">
        <f t="shared" si="76"/>
        <v>233</v>
      </c>
      <c r="DO174" s="6">
        <v>892</v>
      </c>
      <c r="DP174" s="6"/>
      <c r="DQ174" s="6">
        <f t="shared" si="77"/>
        <v>206</v>
      </c>
    </row>
    <row r="175" spans="1:121">
      <c r="A175" s="6">
        <v>171</v>
      </c>
      <c r="B175" s="6">
        <v>550</v>
      </c>
      <c r="C175" s="6"/>
      <c r="D175" s="6">
        <v>355</v>
      </c>
      <c r="E175" s="33" t="s">
        <v>37</v>
      </c>
      <c r="F175" s="33" t="s">
        <v>37</v>
      </c>
      <c r="G175" s="33" t="s">
        <v>37</v>
      </c>
      <c r="H175" s="33" t="s">
        <v>37</v>
      </c>
      <c r="I175" s="33" t="s">
        <v>37</v>
      </c>
      <c r="J175" s="33" t="s">
        <v>37</v>
      </c>
      <c r="K175" s="33" t="s">
        <v>37</v>
      </c>
      <c r="L175" s="33" t="s">
        <v>37</v>
      </c>
      <c r="M175" s="33" t="s">
        <v>37</v>
      </c>
      <c r="N175" s="148" t="s">
        <v>99</v>
      </c>
      <c r="O175" s="33" t="s">
        <v>99</v>
      </c>
      <c r="P175" s="33" t="s">
        <v>99</v>
      </c>
      <c r="Q175" s="33" t="s">
        <v>99</v>
      </c>
      <c r="R175" s="33" t="s">
        <v>99</v>
      </c>
      <c r="S175" s="33" t="s">
        <v>99</v>
      </c>
      <c r="T175" s="33" t="s">
        <v>99</v>
      </c>
      <c r="U175" s="33" t="s">
        <v>99</v>
      </c>
      <c r="V175" s="33" t="s">
        <v>99</v>
      </c>
      <c r="W175" s="33" t="s">
        <v>99</v>
      </c>
      <c r="X175" s="33" t="s">
        <v>99</v>
      </c>
      <c r="Y175" s="33" t="s">
        <v>99</v>
      </c>
      <c r="Z175" s="33" t="s">
        <v>99</v>
      </c>
      <c r="AA175" s="33" t="s">
        <v>99</v>
      </c>
      <c r="AB175" s="33" t="s">
        <v>99</v>
      </c>
      <c r="AC175" s="33" t="s">
        <v>99</v>
      </c>
      <c r="AD175" s="33" t="s">
        <v>99</v>
      </c>
      <c r="AE175" s="33" t="s">
        <v>99</v>
      </c>
      <c r="AF175" s="6">
        <v>924</v>
      </c>
      <c r="AG175" s="6"/>
      <c r="AH175" s="35">
        <f t="shared" si="52"/>
        <v>374</v>
      </c>
      <c r="AI175" s="35">
        <v>1267</v>
      </c>
      <c r="AJ175" s="35"/>
      <c r="AK175" s="35">
        <f t="shared" si="53"/>
        <v>343</v>
      </c>
      <c r="AL175" s="6"/>
      <c r="AM175" s="6"/>
      <c r="AN175" s="35"/>
      <c r="AO175" s="6">
        <v>71</v>
      </c>
      <c r="AP175" s="6">
        <v>1560</v>
      </c>
      <c r="AQ175" s="34">
        <f t="shared" si="54"/>
        <v>364</v>
      </c>
      <c r="AR175" s="35">
        <v>433</v>
      </c>
      <c r="AS175" s="35"/>
      <c r="AT175" s="35">
        <f t="shared" si="55"/>
        <v>362</v>
      </c>
      <c r="AU175" s="6">
        <v>803</v>
      </c>
      <c r="AV175" s="6"/>
      <c r="AW175" s="35">
        <f t="shared" si="56"/>
        <v>370</v>
      </c>
      <c r="AX175" s="6">
        <v>1179</v>
      </c>
      <c r="AY175" s="6"/>
      <c r="AZ175" s="35">
        <f t="shared" si="57"/>
        <v>376</v>
      </c>
      <c r="BA175" s="35">
        <v>1553</v>
      </c>
      <c r="BB175" s="35"/>
      <c r="BC175" s="35">
        <f t="shared" si="58"/>
        <v>374</v>
      </c>
      <c r="BD175" s="6">
        <v>346</v>
      </c>
      <c r="BE175" s="6">
        <v>1560</v>
      </c>
      <c r="BF175" s="35">
        <f t="shared" si="59"/>
        <v>353</v>
      </c>
      <c r="BG175" s="6"/>
      <c r="BH175" s="6"/>
      <c r="BI175" s="6"/>
      <c r="BJ175" s="6">
        <v>190</v>
      </c>
      <c r="BK175" s="6">
        <v>408</v>
      </c>
      <c r="BL175" s="6">
        <f t="shared" si="60"/>
        <v>252</v>
      </c>
      <c r="BM175" s="6">
        <v>470</v>
      </c>
      <c r="BN175" s="6"/>
      <c r="BO175" s="6">
        <f t="shared" si="61"/>
        <v>280</v>
      </c>
      <c r="BP175" s="6">
        <v>119</v>
      </c>
      <c r="BQ175" s="6">
        <v>606</v>
      </c>
      <c r="BR175" s="35">
        <f t="shared" si="62"/>
        <v>255</v>
      </c>
      <c r="BS175" s="6">
        <v>401</v>
      </c>
      <c r="BT175" s="6"/>
      <c r="BU175" s="6">
        <f t="shared" si="63"/>
        <v>282</v>
      </c>
      <c r="BV175" s="6">
        <v>682</v>
      </c>
      <c r="BW175" s="6"/>
      <c r="BX175" s="35">
        <f t="shared" si="64"/>
        <v>281</v>
      </c>
      <c r="BY175" s="6">
        <v>947</v>
      </c>
      <c r="BZ175" s="6"/>
      <c r="CA175" s="6">
        <f t="shared" si="65"/>
        <v>265</v>
      </c>
      <c r="CB175" s="6"/>
      <c r="CC175" s="6"/>
      <c r="CD175" s="6"/>
      <c r="CE175" s="6">
        <v>1230</v>
      </c>
      <c r="CF175" s="6"/>
      <c r="CG175" s="6">
        <f t="shared" si="66"/>
        <v>283</v>
      </c>
      <c r="CH175" s="6">
        <v>9</v>
      </c>
      <c r="CI175" s="6">
        <v>1500</v>
      </c>
      <c r="CJ175" s="6">
        <f t="shared" si="67"/>
        <v>279</v>
      </c>
      <c r="CK175" s="6">
        <v>277</v>
      </c>
      <c r="CL175" s="6"/>
      <c r="CM175" s="6">
        <f t="shared" si="68"/>
        <v>268</v>
      </c>
      <c r="CN175" s="6">
        <v>560</v>
      </c>
      <c r="CO175" s="6"/>
      <c r="CP175" s="6">
        <f t="shared" si="69"/>
        <v>283</v>
      </c>
      <c r="CQ175" s="6">
        <v>828</v>
      </c>
      <c r="CR175" s="6"/>
      <c r="CS175" s="6">
        <f t="shared" si="70"/>
        <v>268</v>
      </c>
      <c r="CT175" s="6">
        <v>1078</v>
      </c>
      <c r="CU175" s="6"/>
      <c r="CV175" s="6">
        <f t="shared" si="71"/>
        <v>250</v>
      </c>
      <c r="CW175" s="6"/>
      <c r="CX175" s="6"/>
      <c r="CY175" s="6"/>
      <c r="CZ175" s="6">
        <v>1342</v>
      </c>
      <c r="DA175" s="6"/>
      <c r="DB175" s="6">
        <f t="shared" si="72"/>
        <v>264</v>
      </c>
      <c r="DC175" s="6">
        <v>105</v>
      </c>
      <c r="DD175" s="6">
        <v>1500</v>
      </c>
      <c r="DE175" s="6">
        <f t="shared" si="73"/>
        <v>263</v>
      </c>
      <c r="DF175" s="6">
        <v>364</v>
      </c>
      <c r="DG175" s="6"/>
      <c r="DH175" s="6">
        <f t="shared" si="74"/>
        <v>259</v>
      </c>
      <c r="DI175" s="6">
        <v>625</v>
      </c>
      <c r="DJ175" s="6"/>
      <c r="DK175" s="6">
        <f t="shared" si="75"/>
        <v>261</v>
      </c>
      <c r="DL175" s="6">
        <v>889</v>
      </c>
      <c r="DM175" s="6"/>
      <c r="DN175" s="6">
        <f t="shared" si="76"/>
        <v>264</v>
      </c>
      <c r="DO175" s="6">
        <v>1128</v>
      </c>
      <c r="DP175" s="6"/>
      <c r="DQ175" s="6">
        <f t="shared" si="77"/>
        <v>239</v>
      </c>
    </row>
    <row r="176" spans="1:121">
      <c r="A176" s="6">
        <v>172</v>
      </c>
      <c r="B176" s="6">
        <v>705</v>
      </c>
      <c r="C176" s="6"/>
      <c r="D176" s="6">
        <v>366</v>
      </c>
      <c r="E176" s="33" t="s">
        <v>37</v>
      </c>
      <c r="F176" s="33" t="s">
        <v>37</v>
      </c>
      <c r="G176" s="33" t="s">
        <v>37</v>
      </c>
      <c r="H176" s="33" t="s">
        <v>37</v>
      </c>
      <c r="I176" s="33" t="s">
        <v>37</v>
      </c>
      <c r="J176" s="33" t="s">
        <v>37</v>
      </c>
      <c r="K176" s="33" t="s">
        <v>37</v>
      </c>
      <c r="L176" s="33" t="s">
        <v>37</v>
      </c>
      <c r="M176" s="33" t="s">
        <v>37</v>
      </c>
      <c r="N176" s="33" t="s">
        <v>37</v>
      </c>
      <c r="O176" s="33" t="s">
        <v>37</v>
      </c>
      <c r="P176" s="33" t="s">
        <v>37</v>
      </c>
      <c r="Q176" s="33" t="s">
        <v>37</v>
      </c>
      <c r="R176" s="33" t="s">
        <v>37</v>
      </c>
      <c r="S176" s="33" t="s">
        <v>37</v>
      </c>
      <c r="T176" s="33" t="s">
        <v>37</v>
      </c>
      <c r="U176" s="33" t="s">
        <v>37</v>
      </c>
      <c r="V176" s="33" t="s">
        <v>37</v>
      </c>
      <c r="W176" s="33" t="s">
        <v>37</v>
      </c>
      <c r="X176" s="33" t="s">
        <v>37</v>
      </c>
      <c r="Y176" s="33" t="s">
        <v>37</v>
      </c>
      <c r="Z176" s="148" t="s">
        <v>132</v>
      </c>
      <c r="AA176" s="33" t="s">
        <v>132</v>
      </c>
      <c r="AB176" s="33" t="s">
        <v>132</v>
      </c>
      <c r="AC176" s="33" t="s">
        <v>132</v>
      </c>
      <c r="AD176" s="33" t="s">
        <v>132</v>
      </c>
      <c r="AE176" s="33" t="s">
        <v>132</v>
      </c>
      <c r="AF176" s="35">
        <v>70</v>
      </c>
      <c r="AG176" s="35">
        <v>962</v>
      </c>
      <c r="AH176" s="35">
        <f t="shared" si="52"/>
        <v>327</v>
      </c>
      <c r="AI176" s="35">
        <v>421</v>
      </c>
      <c r="AJ176" s="35"/>
      <c r="AK176" s="35">
        <f t="shared" si="53"/>
        <v>351</v>
      </c>
      <c r="AL176" s="6"/>
      <c r="AM176" s="35"/>
      <c r="AN176" s="35"/>
      <c r="AO176" s="6">
        <v>795</v>
      </c>
      <c r="AP176" s="6"/>
      <c r="AQ176" s="34">
        <f t="shared" si="54"/>
        <v>374</v>
      </c>
      <c r="AR176" s="35">
        <v>1172</v>
      </c>
      <c r="AS176" s="35"/>
      <c r="AT176" s="35">
        <f t="shared" si="55"/>
        <v>377</v>
      </c>
      <c r="AU176" s="6">
        <v>1545</v>
      </c>
      <c r="AV176" s="6"/>
      <c r="AW176" s="35">
        <f t="shared" si="56"/>
        <v>373</v>
      </c>
      <c r="AX176" s="6">
        <v>358</v>
      </c>
      <c r="AY176" s="6">
        <v>1560</v>
      </c>
      <c r="AZ176" s="35">
        <f t="shared" si="57"/>
        <v>373</v>
      </c>
      <c r="BA176" s="6">
        <v>732</v>
      </c>
      <c r="BB176" s="6"/>
      <c r="BC176" s="35">
        <f t="shared" si="58"/>
        <v>374</v>
      </c>
      <c r="BD176" s="6">
        <v>1090</v>
      </c>
      <c r="BE176" s="6"/>
      <c r="BF176" s="35">
        <f t="shared" si="59"/>
        <v>358</v>
      </c>
      <c r="BG176" s="6"/>
      <c r="BH176" s="6"/>
      <c r="BI176" s="35"/>
      <c r="BJ176" s="6">
        <v>1465</v>
      </c>
      <c r="BK176" s="35"/>
      <c r="BL176" s="6">
        <f t="shared" si="60"/>
        <v>375</v>
      </c>
      <c r="BM176" s="6">
        <v>271</v>
      </c>
      <c r="BN176" s="6">
        <v>1560</v>
      </c>
      <c r="BO176" s="6">
        <f t="shared" si="61"/>
        <v>366</v>
      </c>
      <c r="BP176" s="6">
        <v>628</v>
      </c>
      <c r="BQ176" s="6"/>
      <c r="BR176" s="35">
        <f t="shared" si="62"/>
        <v>357</v>
      </c>
      <c r="BS176" s="6">
        <v>1005</v>
      </c>
      <c r="BT176" s="6"/>
      <c r="BU176" s="6">
        <f t="shared" si="63"/>
        <v>377</v>
      </c>
      <c r="BV176" s="6">
        <v>1377</v>
      </c>
      <c r="BW176" s="6"/>
      <c r="BX176" s="35">
        <f t="shared" si="64"/>
        <v>372</v>
      </c>
      <c r="BY176" s="6">
        <v>169</v>
      </c>
      <c r="BZ176" s="35">
        <v>1560</v>
      </c>
      <c r="CA176" s="6">
        <f t="shared" si="65"/>
        <v>352</v>
      </c>
      <c r="CB176" s="6"/>
      <c r="CC176" s="6"/>
      <c r="CD176" s="35"/>
      <c r="CE176" s="6">
        <v>544</v>
      </c>
      <c r="CF176" s="35"/>
      <c r="CG176" s="6">
        <f t="shared" si="66"/>
        <v>375</v>
      </c>
      <c r="CH176" s="6">
        <v>914</v>
      </c>
      <c r="CI176" s="6"/>
      <c r="CJ176" s="6">
        <f t="shared" si="67"/>
        <v>370</v>
      </c>
      <c r="CK176" s="6">
        <v>254</v>
      </c>
      <c r="CL176" s="6">
        <v>1029</v>
      </c>
      <c r="CM176" s="6">
        <f t="shared" si="68"/>
        <v>369</v>
      </c>
      <c r="CN176" s="6">
        <v>631</v>
      </c>
      <c r="CO176" s="6"/>
      <c r="CP176" s="6">
        <f t="shared" si="69"/>
        <v>377</v>
      </c>
      <c r="CQ176" s="6">
        <v>968</v>
      </c>
      <c r="CR176" s="6"/>
      <c r="CS176" s="6">
        <f t="shared" si="70"/>
        <v>337</v>
      </c>
      <c r="CT176" s="6">
        <v>0</v>
      </c>
      <c r="CU176" s="6">
        <v>1185</v>
      </c>
      <c r="CV176" s="6">
        <f t="shared" si="71"/>
        <v>217</v>
      </c>
      <c r="CW176" s="6"/>
      <c r="CX176" s="6"/>
      <c r="CY176" s="6"/>
      <c r="CZ176" s="6">
        <v>0</v>
      </c>
      <c r="DA176" s="6"/>
      <c r="DB176" s="6">
        <f t="shared" si="72"/>
        <v>0</v>
      </c>
      <c r="DC176" s="6">
        <v>0</v>
      </c>
      <c r="DD176" s="6"/>
      <c r="DE176" s="6">
        <f t="shared" si="73"/>
        <v>0</v>
      </c>
      <c r="DF176" s="6">
        <v>0</v>
      </c>
      <c r="DG176" s="6"/>
      <c r="DH176" s="6">
        <f t="shared" si="74"/>
        <v>0</v>
      </c>
      <c r="DI176" s="6">
        <v>0</v>
      </c>
      <c r="DJ176" s="6"/>
      <c r="DK176" s="6">
        <f t="shared" si="75"/>
        <v>0</v>
      </c>
      <c r="DL176" s="6">
        <v>0</v>
      </c>
      <c r="DM176" s="6"/>
      <c r="DN176" s="6">
        <f t="shared" si="76"/>
        <v>0</v>
      </c>
      <c r="DO176" s="6">
        <v>0</v>
      </c>
      <c r="DP176" s="6"/>
      <c r="DQ176" s="6">
        <f t="shared" si="77"/>
        <v>0</v>
      </c>
    </row>
    <row r="177" spans="1:121">
      <c r="A177" s="6">
        <v>173</v>
      </c>
      <c r="B177" s="6">
        <v>771</v>
      </c>
      <c r="C177" s="6"/>
      <c r="D177" s="6">
        <v>323</v>
      </c>
      <c r="E177" s="33" t="s">
        <v>98</v>
      </c>
      <c r="F177" s="33" t="s">
        <v>98</v>
      </c>
      <c r="G177" s="33" t="s">
        <v>98</v>
      </c>
      <c r="H177" s="33" t="s">
        <v>98</v>
      </c>
      <c r="I177" s="33" t="s">
        <v>98</v>
      </c>
      <c r="J177" s="33" t="s">
        <v>98</v>
      </c>
      <c r="K177" s="33" t="s">
        <v>98</v>
      </c>
      <c r="L177" s="33" t="s">
        <v>98</v>
      </c>
      <c r="M177" s="33" t="s">
        <v>98</v>
      </c>
      <c r="N177" s="33" t="s">
        <v>98</v>
      </c>
      <c r="O177" s="33" t="s">
        <v>98</v>
      </c>
      <c r="P177" s="33" t="s">
        <v>98</v>
      </c>
      <c r="Q177" s="33" t="s">
        <v>98</v>
      </c>
      <c r="R177" s="33" t="s">
        <v>98</v>
      </c>
      <c r="S177" s="33" t="s">
        <v>98</v>
      </c>
      <c r="T177" s="33" t="s">
        <v>98</v>
      </c>
      <c r="U177" s="33" t="s">
        <v>98</v>
      </c>
      <c r="V177" s="33" t="s">
        <v>98</v>
      </c>
      <c r="W177" s="33" t="s">
        <v>98</v>
      </c>
      <c r="X177" s="33" t="s">
        <v>98</v>
      </c>
      <c r="Y177" s="33" t="s">
        <v>98</v>
      </c>
      <c r="Z177" s="148" t="s">
        <v>56</v>
      </c>
      <c r="AA177" s="33" t="s">
        <v>56</v>
      </c>
      <c r="AB177" s="33" t="s">
        <v>56</v>
      </c>
      <c r="AC177" s="33" t="s">
        <v>56</v>
      </c>
      <c r="AD177" s="33" t="s">
        <v>56</v>
      </c>
      <c r="AE177" s="33" t="s">
        <v>56</v>
      </c>
      <c r="AF177" s="6">
        <v>210</v>
      </c>
      <c r="AG177" s="6">
        <v>899</v>
      </c>
      <c r="AH177" s="35">
        <f t="shared" si="52"/>
        <v>338</v>
      </c>
      <c r="AI177" s="35">
        <v>532</v>
      </c>
      <c r="AJ177" s="35"/>
      <c r="AK177" s="35">
        <f t="shared" si="53"/>
        <v>322</v>
      </c>
      <c r="AL177" s="6"/>
      <c r="AM177" s="6"/>
      <c r="AN177" s="35"/>
      <c r="AO177" s="6">
        <v>875</v>
      </c>
      <c r="AP177" s="6"/>
      <c r="AQ177" s="34">
        <f t="shared" si="54"/>
        <v>343</v>
      </c>
      <c r="AR177" s="35">
        <v>15</v>
      </c>
      <c r="AS177" s="35">
        <v>1200</v>
      </c>
      <c r="AT177" s="35">
        <f t="shared" si="55"/>
        <v>340</v>
      </c>
      <c r="AU177" s="6">
        <v>348</v>
      </c>
      <c r="AV177" s="6"/>
      <c r="AW177" s="35">
        <f t="shared" si="56"/>
        <v>333</v>
      </c>
      <c r="AX177" s="6">
        <v>698</v>
      </c>
      <c r="AY177" s="6"/>
      <c r="AZ177" s="35">
        <f t="shared" si="57"/>
        <v>350</v>
      </c>
      <c r="BA177" s="35">
        <v>1045</v>
      </c>
      <c r="BB177" s="35"/>
      <c r="BC177" s="35">
        <f t="shared" si="58"/>
        <v>347</v>
      </c>
      <c r="BD177" s="6">
        <v>169</v>
      </c>
      <c r="BE177" s="6">
        <v>1200</v>
      </c>
      <c r="BF177" s="35">
        <f t="shared" si="59"/>
        <v>324</v>
      </c>
      <c r="BG177" s="6"/>
      <c r="BH177" s="6"/>
      <c r="BI177" s="6"/>
      <c r="BJ177" s="6">
        <v>346</v>
      </c>
      <c r="BK177" s="6">
        <v>170</v>
      </c>
      <c r="BL177" s="6">
        <f t="shared" si="60"/>
        <v>347</v>
      </c>
      <c r="BM177" s="6">
        <v>695</v>
      </c>
      <c r="BN177" s="6"/>
      <c r="BO177" s="6">
        <f t="shared" si="61"/>
        <v>349</v>
      </c>
      <c r="BP177" s="6">
        <v>1043</v>
      </c>
      <c r="BQ177" s="6"/>
      <c r="BR177" s="35">
        <f t="shared" si="62"/>
        <v>348</v>
      </c>
      <c r="BS177" s="6">
        <v>0</v>
      </c>
      <c r="BT177" s="6">
        <v>1178</v>
      </c>
      <c r="BU177" s="6">
        <f t="shared" si="63"/>
        <v>135</v>
      </c>
      <c r="BV177" s="6">
        <v>0</v>
      </c>
      <c r="BW177" s="6"/>
      <c r="BX177" s="35">
        <f t="shared" si="64"/>
        <v>0</v>
      </c>
      <c r="BY177" s="6">
        <v>0</v>
      </c>
      <c r="BZ177" s="6"/>
      <c r="CA177" s="6">
        <f t="shared" si="65"/>
        <v>0</v>
      </c>
      <c r="CB177" s="6"/>
      <c r="CC177" s="6"/>
      <c r="CD177" s="6"/>
      <c r="CE177" s="6">
        <v>0</v>
      </c>
      <c r="CF177" s="6"/>
      <c r="CG177" s="6">
        <f t="shared" si="66"/>
        <v>0</v>
      </c>
      <c r="CH177" s="6">
        <v>0</v>
      </c>
      <c r="CI177" s="6"/>
      <c r="CJ177" s="6">
        <f t="shared" si="67"/>
        <v>0</v>
      </c>
      <c r="CK177" s="6">
        <v>0</v>
      </c>
      <c r="CL177" s="6"/>
      <c r="CM177" s="6">
        <f t="shared" si="68"/>
        <v>0</v>
      </c>
      <c r="CN177" s="6">
        <v>0</v>
      </c>
      <c r="CO177" s="6"/>
      <c r="CP177" s="6">
        <f t="shared" si="69"/>
        <v>0</v>
      </c>
      <c r="CQ177" s="6">
        <v>0</v>
      </c>
      <c r="CR177" s="6"/>
      <c r="CS177" s="6">
        <f t="shared" si="70"/>
        <v>0</v>
      </c>
      <c r="CT177" s="6">
        <v>0</v>
      </c>
      <c r="CU177" s="6"/>
      <c r="CV177" s="6">
        <f t="shared" si="71"/>
        <v>0</v>
      </c>
      <c r="CW177" s="6"/>
      <c r="CX177" s="6"/>
      <c r="CY177" s="6"/>
      <c r="CZ177" s="6">
        <v>0</v>
      </c>
      <c r="DA177" s="6"/>
      <c r="DB177" s="6">
        <f t="shared" si="72"/>
        <v>0</v>
      </c>
      <c r="DC177" s="6">
        <v>197</v>
      </c>
      <c r="DD177" s="6"/>
      <c r="DE177" s="6">
        <f t="shared" si="73"/>
        <v>197</v>
      </c>
      <c r="DF177" s="6">
        <v>480</v>
      </c>
      <c r="DG177" s="6"/>
      <c r="DH177" s="6">
        <f t="shared" si="74"/>
        <v>283</v>
      </c>
      <c r="DI177" s="6">
        <v>158</v>
      </c>
      <c r="DJ177" s="6">
        <v>600</v>
      </c>
      <c r="DK177" s="6">
        <f t="shared" si="75"/>
        <v>278</v>
      </c>
      <c r="DL177" s="6">
        <v>432</v>
      </c>
      <c r="DM177" s="6"/>
      <c r="DN177" s="6">
        <f t="shared" si="76"/>
        <v>274</v>
      </c>
      <c r="DO177" s="6">
        <v>86</v>
      </c>
      <c r="DP177" s="6">
        <v>600</v>
      </c>
      <c r="DQ177" s="6">
        <f t="shared" si="77"/>
        <v>254</v>
      </c>
    </row>
    <row r="178" spans="1:121">
      <c r="A178" s="6">
        <v>174</v>
      </c>
      <c r="B178" s="6">
        <v>301</v>
      </c>
      <c r="C178" s="6">
        <v>982</v>
      </c>
      <c r="D178" s="6">
        <v>306</v>
      </c>
      <c r="E178" s="148" t="s">
        <v>98</v>
      </c>
      <c r="F178" s="33" t="s">
        <v>98</v>
      </c>
      <c r="G178" s="33" t="s">
        <v>98</v>
      </c>
      <c r="H178" s="33" t="s">
        <v>98</v>
      </c>
      <c r="I178" s="33" t="s">
        <v>98</v>
      </c>
      <c r="J178" s="33" t="s">
        <v>98</v>
      </c>
      <c r="K178" s="33" t="s">
        <v>98</v>
      </c>
      <c r="L178" s="148" t="s">
        <v>124</v>
      </c>
      <c r="M178" s="33" t="s">
        <v>124</v>
      </c>
      <c r="N178" s="33" t="s">
        <v>124</v>
      </c>
      <c r="O178" s="33" t="s">
        <v>124</v>
      </c>
      <c r="P178" s="33" t="s">
        <v>124</v>
      </c>
      <c r="Q178" s="33" t="s">
        <v>124</v>
      </c>
      <c r="R178" s="33" t="s">
        <v>124</v>
      </c>
      <c r="S178" s="33" t="s">
        <v>124</v>
      </c>
      <c r="T178" s="33" t="s">
        <v>124</v>
      </c>
      <c r="U178" s="33" t="s">
        <v>124</v>
      </c>
      <c r="V178" s="33" t="s">
        <v>124</v>
      </c>
      <c r="W178" s="33" t="s">
        <v>124</v>
      </c>
      <c r="X178" s="33" t="s">
        <v>124</v>
      </c>
      <c r="Y178" s="33" t="s">
        <v>124</v>
      </c>
      <c r="Z178" s="33" t="s">
        <v>124</v>
      </c>
      <c r="AA178" s="33" t="s">
        <v>124</v>
      </c>
      <c r="AB178" s="33" t="s">
        <v>124</v>
      </c>
      <c r="AC178" s="33" t="s">
        <v>124</v>
      </c>
      <c r="AD178" s="33" t="s">
        <v>124</v>
      </c>
      <c r="AE178" s="33" t="s">
        <v>124</v>
      </c>
      <c r="AF178" s="6">
        <v>649</v>
      </c>
      <c r="AG178" s="6"/>
      <c r="AH178" s="35">
        <f t="shared" si="52"/>
        <v>348</v>
      </c>
      <c r="AI178" s="35">
        <v>980</v>
      </c>
      <c r="AJ178" s="35"/>
      <c r="AK178" s="35">
        <f t="shared" si="53"/>
        <v>331</v>
      </c>
      <c r="AL178" s="6"/>
      <c r="AM178" s="6"/>
      <c r="AN178" s="35"/>
      <c r="AO178" s="6">
        <v>127</v>
      </c>
      <c r="AP178" s="6">
        <v>1300</v>
      </c>
      <c r="AQ178" s="34">
        <f t="shared" si="54"/>
        <v>447</v>
      </c>
      <c r="AR178" s="35">
        <v>477</v>
      </c>
      <c r="AS178" s="35"/>
      <c r="AT178" s="35">
        <f t="shared" si="55"/>
        <v>350</v>
      </c>
      <c r="AU178" s="6">
        <v>812</v>
      </c>
      <c r="AV178" s="6"/>
      <c r="AW178" s="35">
        <f t="shared" si="56"/>
        <v>335</v>
      </c>
      <c r="AX178" s="6">
        <v>1159</v>
      </c>
      <c r="AY178" s="6"/>
      <c r="AZ178" s="35">
        <f t="shared" si="57"/>
        <v>347</v>
      </c>
      <c r="BA178" s="35">
        <v>3</v>
      </c>
      <c r="BB178" s="35">
        <v>1203</v>
      </c>
      <c r="BC178" s="35">
        <f t="shared" si="58"/>
        <v>47</v>
      </c>
      <c r="BD178" s="35">
        <v>202</v>
      </c>
      <c r="BE178" s="6"/>
      <c r="BF178" s="35">
        <f t="shared" si="59"/>
        <v>199</v>
      </c>
      <c r="BG178" s="6"/>
      <c r="BH178" s="6"/>
      <c r="BI178" s="6"/>
      <c r="BJ178" s="6">
        <v>425</v>
      </c>
      <c r="BK178" s="6"/>
      <c r="BL178" s="6">
        <f t="shared" si="60"/>
        <v>223</v>
      </c>
      <c r="BM178" s="6">
        <v>656</v>
      </c>
      <c r="BN178" s="6"/>
      <c r="BO178" s="6">
        <f t="shared" si="61"/>
        <v>231</v>
      </c>
      <c r="BP178" s="6">
        <v>888</v>
      </c>
      <c r="BQ178" s="6"/>
      <c r="BR178" s="35">
        <f t="shared" si="62"/>
        <v>232</v>
      </c>
      <c r="BS178" s="6">
        <v>1122</v>
      </c>
      <c r="BT178" s="6"/>
      <c r="BU178" s="6">
        <f t="shared" si="63"/>
        <v>234</v>
      </c>
      <c r="BV178" s="6">
        <v>1356</v>
      </c>
      <c r="BW178" s="6"/>
      <c r="BX178" s="35">
        <f t="shared" si="64"/>
        <v>234</v>
      </c>
      <c r="BY178" s="6">
        <v>1573</v>
      </c>
      <c r="BZ178" s="6"/>
      <c r="CA178" s="6">
        <f t="shared" si="65"/>
        <v>217</v>
      </c>
      <c r="CB178" s="6"/>
      <c r="CC178" s="6"/>
      <c r="CD178" s="6"/>
      <c r="CE178" s="6">
        <v>1803</v>
      </c>
      <c r="CF178" s="6"/>
      <c r="CG178" s="6">
        <f t="shared" si="66"/>
        <v>230</v>
      </c>
      <c r="CH178" s="6">
        <v>36</v>
      </c>
      <c r="CI178" s="6">
        <v>2000</v>
      </c>
      <c r="CJ178" s="6">
        <f t="shared" si="67"/>
        <v>233</v>
      </c>
      <c r="CK178" s="6">
        <v>267</v>
      </c>
      <c r="CL178" s="6"/>
      <c r="CM178" s="6">
        <f t="shared" si="68"/>
        <v>231</v>
      </c>
      <c r="CN178" s="6">
        <v>478</v>
      </c>
      <c r="CO178" s="6"/>
      <c r="CP178" s="6">
        <f t="shared" si="69"/>
        <v>211</v>
      </c>
      <c r="CQ178" s="6">
        <v>709</v>
      </c>
      <c r="CR178" s="6"/>
      <c r="CS178" s="6">
        <f t="shared" si="70"/>
        <v>231</v>
      </c>
      <c r="CT178" s="6">
        <v>921</v>
      </c>
      <c r="CU178" s="6"/>
      <c r="CV178" s="6">
        <f t="shared" si="71"/>
        <v>212</v>
      </c>
      <c r="CW178" s="6"/>
      <c r="CX178" s="6"/>
      <c r="CY178" s="6"/>
      <c r="CZ178" s="6">
        <v>185</v>
      </c>
      <c r="DA178" s="6">
        <v>967</v>
      </c>
      <c r="DB178" s="6">
        <f t="shared" si="72"/>
        <v>231</v>
      </c>
      <c r="DC178" s="6">
        <v>419</v>
      </c>
      <c r="DD178" s="6"/>
      <c r="DE178" s="6">
        <f t="shared" si="73"/>
        <v>234</v>
      </c>
      <c r="DF178" s="6">
        <v>650</v>
      </c>
      <c r="DG178" s="6"/>
      <c r="DH178" s="6">
        <f t="shared" si="74"/>
        <v>231</v>
      </c>
      <c r="DI178" s="6">
        <v>886</v>
      </c>
      <c r="DJ178" s="6"/>
      <c r="DK178" s="6">
        <f t="shared" si="75"/>
        <v>236</v>
      </c>
      <c r="DL178" s="6">
        <v>1118</v>
      </c>
      <c r="DM178" s="6"/>
      <c r="DN178" s="6">
        <f t="shared" si="76"/>
        <v>232</v>
      </c>
      <c r="DO178" s="6">
        <v>1330</v>
      </c>
      <c r="DP178" s="6"/>
      <c r="DQ178" s="6">
        <f t="shared" si="77"/>
        <v>212</v>
      </c>
    </row>
    <row r="179" spans="1:121" ht="14.25" customHeight="1">
      <c r="A179" s="6">
        <v>175</v>
      </c>
      <c r="B179" s="6">
        <v>330</v>
      </c>
      <c r="C179" s="6"/>
      <c r="D179" s="6">
        <v>330</v>
      </c>
      <c r="E179" s="148" t="s">
        <v>98</v>
      </c>
      <c r="F179" s="33" t="s">
        <v>98</v>
      </c>
      <c r="G179" s="33" t="s">
        <v>98</v>
      </c>
      <c r="H179" s="33" t="s">
        <v>98</v>
      </c>
      <c r="I179" s="33" t="s">
        <v>98</v>
      </c>
      <c r="J179" s="33" t="s">
        <v>98</v>
      </c>
      <c r="K179" s="33" t="s">
        <v>98</v>
      </c>
      <c r="L179" s="33" t="s">
        <v>98</v>
      </c>
      <c r="M179" s="33" t="s">
        <v>98</v>
      </c>
      <c r="N179" s="148" t="s">
        <v>124</v>
      </c>
      <c r="O179" s="33" t="s">
        <v>124</v>
      </c>
      <c r="P179" s="33" t="s">
        <v>124</v>
      </c>
      <c r="Q179" s="33" t="s">
        <v>124</v>
      </c>
      <c r="R179" s="33" t="s">
        <v>124</v>
      </c>
      <c r="S179" s="33" t="s">
        <v>124</v>
      </c>
      <c r="T179" s="33" t="s">
        <v>124</v>
      </c>
      <c r="U179" s="33" t="s">
        <v>124</v>
      </c>
      <c r="V179" s="33" t="s">
        <v>124</v>
      </c>
      <c r="W179" s="33" t="s">
        <v>124</v>
      </c>
      <c r="X179" s="33" t="s">
        <v>124</v>
      </c>
      <c r="Y179" s="33" t="s">
        <v>124</v>
      </c>
      <c r="Z179" s="33" t="s">
        <v>124</v>
      </c>
      <c r="AA179" s="33" t="s">
        <v>124</v>
      </c>
      <c r="AB179" s="33" t="s">
        <v>124</v>
      </c>
      <c r="AC179" s="33" t="s">
        <v>124</v>
      </c>
      <c r="AD179" s="33" t="s">
        <v>124</v>
      </c>
      <c r="AE179" s="33" t="s">
        <v>124</v>
      </c>
      <c r="AF179" s="6">
        <v>332</v>
      </c>
      <c r="AG179" s="6">
        <v>342</v>
      </c>
      <c r="AH179" s="35">
        <f t="shared" si="52"/>
        <v>344</v>
      </c>
      <c r="AI179" s="35">
        <v>660</v>
      </c>
      <c r="AJ179" s="35"/>
      <c r="AK179" s="35">
        <f t="shared" si="53"/>
        <v>328</v>
      </c>
      <c r="AL179" s="6"/>
      <c r="AM179" s="6"/>
      <c r="AN179" s="35"/>
      <c r="AO179" s="6">
        <v>1007</v>
      </c>
      <c r="AP179" s="6"/>
      <c r="AQ179" s="34">
        <f t="shared" si="54"/>
        <v>347</v>
      </c>
      <c r="AR179" s="35">
        <v>158</v>
      </c>
      <c r="AS179" s="35">
        <v>1200</v>
      </c>
      <c r="AT179" s="35">
        <f t="shared" si="55"/>
        <v>351</v>
      </c>
      <c r="AU179" s="6">
        <v>503</v>
      </c>
      <c r="AV179" s="6"/>
      <c r="AW179" s="35">
        <f t="shared" si="56"/>
        <v>345</v>
      </c>
      <c r="AX179" s="6">
        <v>850</v>
      </c>
      <c r="AY179" s="6"/>
      <c r="AZ179" s="35">
        <f t="shared" si="57"/>
        <v>347</v>
      </c>
      <c r="BA179" s="35">
        <v>0</v>
      </c>
      <c r="BB179" s="35">
        <v>927</v>
      </c>
      <c r="BC179" s="35">
        <f t="shared" si="58"/>
        <v>77</v>
      </c>
      <c r="BD179" s="6">
        <v>0</v>
      </c>
      <c r="BE179" s="6"/>
      <c r="BF179" s="35">
        <f t="shared" si="59"/>
        <v>0</v>
      </c>
      <c r="BG179" s="6"/>
      <c r="BH179" s="6"/>
      <c r="BI179" s="6"/>
      <c r="BJ179" s="6">
        <v>0</v>
      </c>
      <c r="BK179" s="6"/>
      <c r="BL179" s="6">
        <f t="shared" si="60"/>
        <v>0</v>
      </c>
      <c r="BM179" s="6">
        <v>0</v>
      </c>
      <c r="BN179" s="6"/>
      <c r="BO179" s="6">
        <f t="shared" si="61"/>
        <v>0</v>
      </c>
      <c r="BP179" s="6">
        <v>0</v>
      </c>
      <c r="BQ179" s="6"/>
      <c r="BR179" s="35">
        <f t="shared" si="62"/>
        <v>0</v>
      </c>
      <c r="BS179" s="6">
        <v>0</v>
      </c>
      <c r="BT179" s="6"/>
      <c r="BU179" s="6">
        <f t="shared" si="63"/>
        <v>0</v>
      </c>
      <c r="BV179" s="6">
        <v>0</v>
      </c>
      <c r="BW179" s="6"/>
      <c r="BX179" s="35">
        <f t="shared" si="64"/>
        <v>0</v>
      </c>
      <c r="BY179" s="6">
        <v>0</v>
      </c>
      <c r="BZ179" s="6"/>
      <c r="CA179" s="6">
        <f t="shared" si="65"/>
        <v>0</v>
      </c>
      <c r="CB179" s="6"/>
      <c r="CC179" s="6"/>
      <c r="CD179" s="6"/>
      <c r="CE179" s="6">
        <v>0</v>
      </c>
      <c r="CF179" s="6"/>
      <c r="CG179" s="6">
        <f t="shared" si="66"/>
        <v>0</v>
      </c>
      <c r="CH179" s="6">
        <v>167</v>
      </c>
      <c r="CI179" s="6"/>
      <c r="CJ179" s="6">
        <f t="shared" si="67"/>
        <v>167</v>
      </c>
      <c r="CK179" s="6">
        <v>393</v>
      </c>
      <c r="CL179" s="6"/>
      <c r="CM179" s="6">
        <f t="shared" si="68"/>
        <v>226</v>
      </c>
      <c r="CN179" s="6">
        <v>626</v>
      </c>
      <c r="CO179" s="6"/>
      <c r="CP179" s="6">
        <f t="shared" si="69"/>
        <v>233</v>
      </c>
      <c r="CQ179" s="6">
        <v>859</v>
      </c>
      <c r="CR179" s="6"/>
      <c r="CS179" s="6">
        <f t="shared" si="70"/>
        <v>233</v>
      </c>
      <c r="CT179" s="6">
        <v>1079</v>
      </c>
      <c r="CU179" s="6"/>
      <c r="CV179" s="6">
        <f t="shared" si="71"/>
        <v>220</v>
      </c>
      <c r="CW179" s="6"/>
      <c r="CX179" s="6"/>
      <c r="CY179" s="6"/>
      <c r="CZ179" s="6">
        <v>1313</v>
      </c>
      <c r="DA179" s="6"/>
      <c r="DB179" s="6">
        <f t="shared" si="72"/>
        <v>234</v>
      </c>
      <c r="DC179" s="6">
        <v>1542</v>
      </c>
      <c r="DD179" s="6"/>
      <c r="DE179" s="6">
        <f t="shared" si="73"/>
        <v>229</v>
      </c>
      <c r="DF179" s="6">
        <v>1774</v>
      </c>
      <c r="DG179" s="6"/>
      <c r="DH179" s="6">
        <f t="shared" si="74"/>
        <v>232</v>
      </c>
      <c r="DI179" s="6">
        <v>1998</v>
      </c>
      <c r="DJ179" s="6"/>
      <c r="DK179" s="6">
        <f t="shared" si="75"/>
        <v>224</v>
      </c>
      <c r="DL179" s="6">
        <v>229</v>
      </c>
      <c r="DM179" s="6">
        <v>2000</v>
      </c>
      <c r="DN179" s="6">
        <f t="shared" si="76"/>
        <v>231</v>
      </c>
      <c r="DO179" s="6">
        <v>437</v>
      </c>
      <c r="DP179" s="6"/>
      <c r="DQ179" s="6">
        <f t="shared" si="77"/>
        <v>208</v>
      </c>
    </row>
    <row r="180" spans="1:121">
      <c r="A180" s="6">
        <v>176</v>
      </c>
      <c r="B180" s="6">
        <v>738</v>
      </c>
      <c r="C180" s="6"/>
      <c r="D180" s="6">
        <v>411</v>
      </c>
      <c r="E180" s="33" t="s">
        <v>97</v>
      </c>
      <c r="F180" s="33" t="s">
        <v>97</v>
      </c>
      <c r="G180" s="148" t="s">
        <v>124</v>
      </c>
      <c r="H180" s="33" t="s">
        <v>124</v>
      </c>
      <c r="I180" s="33" t="s">
        <v>124</v>
      </c>
      <c r="J180" s="33" t="s">
        <v>124</v>
      </c>
      <c r="K180" s="33" t="s">
        <v>124</v>
      </c>
      <c r="L180" s="33" t="s">
        <v>124</v>
      </c>
      <c r="M180" s="33" t="s">
        <v>124</v>
      </c>
      <c r="N180" s="33" t="s">
        <v>124</v>
      </c>
      <c r="O180" s="33" t="s">
        <v>124</v>
      </c>
      <c r="P180" s="33" t="s">
        <v>124</v>
      </c>
      <c r="Q180" s="33" t="s">
        <v>124</v>
      </c>
      <c r="R180" s="33" t="s">
        <v>124</v>
      </c>
      <c r="S180" s="33" t="s">
        <v>124</v>
      </c>
      <c r="T180" s="33" t="s">
        <v>124</v>
      </c>
      <c r="U180" s="33" t="s">
        <v>124</v>
      </c>
      <c r="V180" s="33" t="s">
        <v>124</v>
      </c>
      <c r="W180" s="33" t="s">
        <v>124</v>
      </c>
      <c r="X180" s="33" t="s">
        <v>124</v>
      </c>
      <c r="Y180" s="33" t="s">
        <v>124</v>
      </c>
      <c r="Z180" s="33" t="s">
        <v>124</v>
      </c>
      <c r="AA180" s="33" t="s">
        <v>124</v>
      </c>
      <c r="AB180" s="33" t="s">
        <v>124</v>
      </c>
      <c r="AC180" s="33" t="s">
        <v>124</v>
      </c>
      <c r="AD180" s="33" t="s">
        <v>124</v>
      </c>
      <c r="AE180" s="33" t="s">
        <v>124</v>
      </c>
      <c r="AF180" s="35">
        <v>192</v>
      </c>
      <c r="AG180" s="35">
        <v>959</v>
      </c>
      <c r="AH180" s="35">
        <f t="shared" si="52"/>
        <v>413</v>
      </c>
      <c r="AI180" s="35">
        <v>0</v>
      </c>
      <c r="AJ180" s="35">
        <v>295</v>
      </c>
      <c r="AK180" s="35">
        <f t="shared" si="53"/>
        <v>103</v>
      </c>
      <c r="AL180" s="35"/>
      <c r="AM180" s="35"/>
      <c r="AN180" s="35"/>
      <c r="AO180" s="35">
        <v>178</v>
      </c>
      <c r="AP180" s="35"/>
      <c r="AQ180" s="34">
        <f t="shared" si="54"/>
        <v>178</v>
      </c>
      <c r="AR180" s="35">
        <v>439</v>
      </c>
      <c r="AS180" s="35"/>
      <c r="AT180" s="35">
        <f t="shared" si="55"/>
        <v>261</v>
      </c>
      <c r="AU180" s="6">
        <v>163</v>
      </c>
      <c r="AV180" s="6">
        <v>524</v>
      </c>
      <c r="AW180" s="35">
        <f t="shared" si="56"/>
        <v>248</v>
      </c>
      <c r="AX180" s="6">
        <v>421</v>
      </c>
      <c r="AY180" s="6"/>
      <c r="AZ180" s="35">
        <f t="shared" si="57"/>
        <v>258</v>
      </c>
      <c r="BA180" s="6">
        <v>677</v>
      </c>
      <c r="BB180" s="6"/>
      <c r="BC180" s="35">
        <f t="shared" si="58"/>
        <v>256</v>
      </c>
      <c r="BD180" s="6">
        <v>231</v>
      </c>
      <c r="BE180" s="6">
        <v>692</v>
      </c>
      <c r="BF180" s="35">
        <f t="shared" si="59"/>
        <v>246</v>
      </c>
      <c r="BG180" s="35"/>
      <c r="BH180" s="6"/>
      <c r="BI180" s="35"/>
      <c r="BJ180" s="6">
        <v>488</v>
      </c>
      <c r="BK180" s="35"/>
      <c r="BL180" s="6">
        <f t="shared" si="60"/>
        <v>257</v>
      </c>
      <c r="BM180" s="6">
        <v>745</v>
      </c>
      <c r="BN180" s="6"/>
      <c r="BO180" s="6">
        <f t="shared" si="61"/>
        <v>257</v>
      </c>
      <c r="BP180" s="6">
        <v>1000</v>
      </c>
      <c r="BQ180" s="6"/>
      <c r="BR180" s="35">
        <f t="shared" si="62"/>
        <v>255</v>
      </c>
      <c r="BS180" s="6">
        <v>1258</v>
      </c>
      <c r="BT180" s="6"/>
      <c r="BU180" s="6">
        <f t="shared" si="63"/>
        <v>258</v>
      </c>
      <c r="BV180" s="6">
        <v>1517</v>
      </c>
      <c r="BW180" s="6"/>
      <c r="BX180" s="35">
        <f t="shared" si="64"/>
        <v>259</v>
      </c>
      <c r="BY180" s="6">
        <v>1760</v>
      </c>
      <c r="BZ180" s="6"/>
      <c r="CA180" s="6">
        <f t="shared" si="65"/>
        <v>243</v>
      </c>
      <c r="CB180" s="6"/>
      <c r="CC180" s="6"/>
      <c r="CD180" s="6"/>
      <c r="CE180" s="6">
        <v>123</v>
      </c>
      <c r="CF180" s="6">
        <v>1892</v>
      </c>
      <c r="CG180" s="6">
        <f t="shared" si="66"/>
        <v>255</v>
      </c>
      <c r="CH180" s="6">
        <v>382</v>
      </c>
      <c r="CI180" s="6"/>
      <c r="CJ180" s="6">
        <f t="shared" si="67"/>
        <v>259</v>
      </c>
      <c r="CK180" s="6">
        <v>637</v>
      </c>
      <c r="CL180" s="6"/>
      <c r="CM180" s="6">
        <f t="shared" si="68"/>
        <v>255</v>
      </c>
      <c r="CN180" s="6">
        <v>888</v>
      </c>
      <c r="CO180" s="6"/>
      <c r="CP180" s="6">
        <f t="shared" si="69"/>
        <v>251</v>
      </c>
      <c r="CQ180" s="6">
        <v>1144</v>
      </c>
      <c r="CR180" s="6"/>
      <c r="CS180" s="6">
        <f t="shared" si="70"/>
        <v>256</v>
      </c>
      <c r="CT180" s="6">
        <v>1387</v>
      </c>
      <c r="CU180" s="6"/>
      <c r="CV180" s="6">
        <f t="shared" si="71"/>
        <v>243</v>
      </c>
      <c r="CW180" s="6"/>
      <c r="CX180" s="6"/>
      <c r="CY180" s="6"/>
      <c r="CZ180" s="6">
        <v>1642</v>
      </c>
      <c r="DA180" s="6"/>
      <c r="DB180" s="6">
        <f t="shared" si="72"/>
        <v>255</v>
      </c>
      <c r="DC180" s="6">
        <v>1895</v>
      </c>
      <c r="DD180" s="6"/>
      <c r="DE180" s="6">
        <f t="shared" si="73"/>
        <v>253</v>
      </c>
      <c r="DF180" s="35">
        <v>217</v>
      </c>
      <c r="DG180" s="6">
        <v>1931</v>
      </c>
      <c r="DH180" s="6">
        <f t="shared" si="74"/>
        <v>253</v>
      </c>
      <c r="DI180" s="6">
        <v>472</v>
      </c>
      <c r="DJ180" s="6"/>
      <c r="DK180" s="6">
        <f t="shared" si="75"/>
        <v>255</v>
      </c>
      <c r="DL180" s="6">
        <v>726</v>
      </c>
      <c r="DM180" s="6"/>
      <c r="DN180" s="6">
        <f t="shared" si="76"/>
        <v>254</v>
      </c>
      <c r="DO180" s="6">
        <v>955</v>
      </c>
      <c r="DP180" s="6"/>
      <c r="DQ180" s="6">
        <f t="shared" si="77"/>
        <v>229</v>
      </c>
    </row>
    <row r="181" spans="1:121">
      <c r="A181" s="6">
        <v>177</v>
      </c>
      <c r="B181" s="6">
        <v>29</v>
      </c>
      <c r="C181" s="6">
        <v>1426</v>
      </c>
      <c r="D181" s="6">
        <v>351</v>
      </c>
      <c r="E181" s="33" t="s">
        <v>37</v>
      </c>
      <c r="F181" s="33" t="s">
        <v>37</v>
      </c>
      <c r="G181" s="33" t="s">
        <v>37</v>
      </c>
      <c r="H181" s="33" t="s">
        <v>37</v>
      </c>
      <c r="I181" s="33" t="s">
        <v>37</v>
      </c>
      <c r="J181" s="33" t="s">
        <v>37</v>
      </c>
      <c r="K181" s="33" t="s">
        <v>37</v>
      </c>
      <c r="L181" s="33" t="s">
        <v>37</v>
      </c>
      <c r="M181" s="33" t="s">
        <v>37</v>
      </c>
      <c r="N181" s="33" t="s">
        <v>37</v>
      </c>
      <c r="O181" s="33" t="s">
        <v>37</v>
      </c>
      <c r="P181" s="33" t="s">
        <v>37</v>
      </c>
      <c r="Q181" s="33" t="s">
        <v>37</v>
      </c>
      <c r="R181" s="33" t="s">
        <v>37</v>
      </c>
      <c r="S181" s="33" t="s">
        <v>37</v>
      </c>
      <c r="T181" s="33" t="s">
        <v>37</v>
      </c>
      <c r="U181" s="33" t="s">
        <v>37</v>
      </c>
      <c r="V181" s="33" t="s">
        <v>37</v>
      </c>
      <c r="W181" s="33" t="s">
        <v>37</v>
      </c>
      <c r="X181" s="33" t="s">
        <v>37</v>
      </c>
      <c r="Y181" s="33" t="s">
        <v>37</v>
      </c>
      <c r="Z181" s="148" t="s">
        <v>56</v>
      </c>
      <c r="AA181" s="33" t="s">
        <v>56</v>
      </c>
      <c r="AB181" s="33" t="s">
        <v>56</v>
      </c>
      <c r="AC181" s="33" t="s">
        <v>56</v>
      </c>
      <c r="AD181" s="33" t="s">
        <v>56</v>
      </c>
      <c r="AE181" s="33" t="s">
        <v>56</v>
      </c>
      <c r="AF181" s="35">
        <v>406</v>
      </c>
      <c r="AG181" s="35"/>
      <c r="AH181" s="35">
        <f t="shared" si="52"/>
        <v>377</v>
      </c>
      <c r="AI181" s="35">
        <v>763</v>
      </c>
      <c r="AJ181" s="35"/>
      <c r="AK181" s="35">
        <f t="shared" si="53"/>
        <v>357</v>
      </c>
      <c r="AL181" s="6"/>
      <c r="AM181" s="6"/>
      <c r="AN181" s="35"/>
      <c r="AO181" s="6">
        <v>1134</v>
      </c>
      <c r="AP181" s="6"/>
      <c r="AQ181" s="34">
        <f t="shared" si="54"/>
        <v>371</v>
      </c>
      <c r="AR181" s="35">
        <v>1511</v>
      </c>
      <c r="AS181" s="35"/>
      <c r="AT181" s="35">
        <f t="shared" si="55"/>
        <v>377</v>
      </c>
      <c r="AU181" s="6">
        <v>325</v>
      </c>
      <c r="AV181" s="6">
        <v>1560</v>
      </c>
      <c r="AW181" s="35">
        <f t="shared" si="56"/>
        <v>374</v>
      </c>
      <c r="AX181" s="6">
        <v>698</v>
      </c>
      <c r="AY181" s="6"/>
      <c r="AZ181" s="35">
        <f t="shared" si="57"/>
        <v>373</v>
      </c>
      <c r="BA181" s="35">
        <v>12</v>
      </c>
      <c r="BB181" s="35">
        <v>1050</v>
      </c>
      <c r="BC181" s="35">
        <f t="shared" si="58"/>
        <v>364</v>
      </c>
      <c r="BD181" s="6">
        <v>367</v>
      </c>
      <c r="BE181" s="6"/>
      <c r="BF181" s="35">
        <f t="shared" si="59"/>
        <v>355</v>
      </c>
      <c r="BG181" s="35"/>
      <c r="BH181" s="6"/>
      <c r="BI181" s="6"/>
      <c r="BJ181" s="6">
        <v>728</v>
      </c>
      <c r="BK181" s="6"/>
      <c r="BL181" s="6">
        <f t="shared" si="60"/>
        <v>361</v>
      </c>
      <c r="BM181" s="6">
        <v>1100</v>
      </c>
      <c r="BN181" s="6"/>
      <c r="BO181" s="6">
        <f t="shared" si="61"/>
        <v>372</v>
      </c>
      <c r="BP181" s="6">
        <v>1469</v>
      </c>
      <c r="BQ181" s="6"/>
      <c r="BR181" s="35">
        <f t="shared" si="62"/>
        <v>369</v>
      </c>
      <c r="BS181" s="6">
        <v>351</v>
      </c>
      <c r="BT181" s="6">
        <v>1489</v>
      </c>
      <c r="BU181" s="6">
        <f t="shared" si="63"/>
        <v>371</v>
      </c>
      <c r="BV181" s="6">
        <v>725</v>
      </c>
      <c r="BW181" s="6"/>
      <c r="BX181" s="35">
        <f t="shared" si="64"/>
        <v>374</v>
      </c>
      <c r="BY181" s="6">
        <v>1077</v>
      </c>
      <c r="BZ181" s="6"/>
      <c r="CA181" s="6">
        <f t="shared" si="65"/>
        <v>352</v>
      </c>
      <c r="CB181" s="6"/>
      <c r="CC181" s="6"/>
      <c r="CD181" s="6"/>
      <c r="CE181" s="6">
        <v>1442</v>
      </c>
      <c r="CF181" s="6"/>
      <c r="CG181" s="6">
        <f t="shared" si="66"/>
        <v>365</v>
      </c>
      <c r="CH181" s="6">
        <v>222</v>
      </c>
      <c r="CI181" s="6">
        <v>1560</v>
      </c>
      <c r="CJ181" s="6">
        <f t="shared" si="67"/>
        <v>340</v>
      </c>
      <c r="CK181" s="6">
        <v>546</v>
      </c>
      <c r="CL181" s="6"/>
      <c r="CM181" s="6">
        <f t="shared" si="68"/>
        <v>324</v>
      </c>
      <c r="CN181" s="6">
        <v>0</v>
      </c>
      <c r="CO181" s="6">
        <v>784</v>
      </c>
      <c r="CP181" s="6">
        <f t="shared" si="69"/>
        <v>238</v>
      </c>
      <c r="CQ181" s="6">
        <v>0</v>
      </c>
      <c r="CR181" s="6"/>
      <c r="CS181" s="6">
        <f t="shared" si="70"/>
        <v>0</v>
      </c>
      <c r="CT181" s="6">
        <v>0</v>
      </c>
      <c r="CU181" s="6"/>
      <c r="CV181" s="6">
        <f t="shared" si="71"/>
        <v>0</v>
      </c>
      <c r="CW181" s="6"/>
      <c r="CX181" s="6"/>
      <c r="CY181" s="6"/>
      <c r="CZ181" s="6">
        <v>0</v>
      </c>
      <c r="DA181" s="6"/>
      <c r="DB181" s="6">
        <f t="shared" si="72"/>
        <v>0</v>
      </c>
      <c r="DC181" s="6">
        <v>205</v>
      </c>
      <c r="DD181" s="6"/>
      <c r="DE181" s="6">
        <f t="shared" si="73"/>
        <v>205</v>
      </c>
      <c r="DF181" s="6">
        <v>488</v>
      </c>
      <c r="DG181" s="6"/>
      <c r="DH181" s="6">
        <f t="shared" si="74"/>
        <v>283</v>
      </c>
      <c r="DI181" s="6">
        <v>180</v>
      </c>
      <c r="DJ181" s="6">
        <v>600</v>
      </c>
      <c r="DK181" s="6">
        <f t="shared" si="75"/>
        <v>292</v>
      </c>
      <c r="DL181" s="6">
        <v>470</v>
      </c>
      <c r="DM181" s="6"/>
      <c r="DN181" s="6">
        <f t="shared" si="76"/>
        <v>290</v>
      </c>
      <c r="DO181" s="6">
        <v>134</v>
      </c>
      <c r="DP181" s="6">
        <v>600</v>
      </c>
      <c r="DQ181" s="6">
        <f t="shared" si="77"/>
        <v>264</v>
      </c>
    </row>
    <row r="182" spans="1:121">
      <c r="A182" s="6">
        <v>178</v>
      </c>
      <c r="B182" s="6">
        <v>879</v>
      </c>
      <c r="C182" s="6"/>
      <c r="D182" s="6">
        <v>375</v>
      </c>
      <c r="E182" s="33" t="s">
        <v>37</v>
      </c>
      <c r="F182" s="33" t="s">
        <v>37</v>
      </c>
      <c r="G182" s="33" t="s">
        <v>37</v>
      </c>
      <c r="H182" s="33" t="s">
        <v>37</v>
      </c>
      <c r="I182" s="33" t="s">
        <v>37</v>
      </c>
      <c r="J182" s="33" t="s">
        <v>37</v>
      </c>
      <c r="K182" s="33" t="s">
        <v>37</v>
      </c>
      <c r="L182" s="33" t="s">
        <v>37</v>
      </c>
      <c r="M182" s="33" t="s">
        <v>37</v>
      </c>
      <c r="N182" s="33" t="s">
        <v>37</v>
      </c>
      <c r="O182" s="33" t="s">
        <v>37</v>
      </c>
      <c r="P182" s="33" t="s">
        <v>37</v>
      </c>
      <c r="Q182" s="33" t="s">
        <v>37</v>
      </c>
      <c r="R182" s="33" t="s">
        <v>37</v>
      </c>
      <c r="S182" s="33" t="s">
        <v>37</v>
      </c>
      <c r="T182" s="33" t="s">
        <v>37</v>
      </c>
      <c r="U182" s="148" t="s">
        <v>124</v>
      </c>
      <c r="V182" s="33" t="s">
        <v>124</v>
      </c>
      <c r="W182" s="33" t="s">
        <v>124</v>
      </c>
      <c r="X182" s="33" t="s">
        <v>124</v>
      </c>
      <c r="Y182" s="33" t="s">
        <v>124</v>
      </c>
      <c r="Z182" s="33" t="s">
        <v>124</v>
      </c>
      <c r="AA182" s="33" t="s">
        <v>124</v>
      </c>
      <c r="AB182" s="33" t="s">
        <v>124</v>
      </c>
      <c r="AC182" s="33" t="s">
        <v>124</v>
      </c>
      <c r="AD182" s="33" t="s">
        <v>124</v>
      </c>
      <c r="AE182" s="33" t="s">
        <v>124</v>
      </c>
      <c r="AF182" s="6">
        <v>1257</v>
      </c>
      <c r="AG182" s="6"/>
      <c r="AH182" s="35">
        <f t="shared" si="52"/>
        <v>378</v>
      </c>
      <c r="AI182" s="35">
        <v>36</v>
      </c>
      <c r="AJ182" s="35">
        <v>1560</v>
      </c>
      <c r="AK182" s="35">
        <f t="shared" si="53"/>
        <v>339</v>
      </c>
      <c r="AL182" s="6"/>
      <c r="AM182" s="6"/>
      <c r="AN182" s="35"/>
      <c r="AO182" s="6">
        <v>404</v>
      </c>
      <c r="AP182" s="6"/>
      <c r="AQ182" s="34">
        <f t="shared" si="54"/>
        <v>368</v>
      </c>
      <c r="AR182" s="35">
        <v>780</v>
      </c>
      <c r="AS182" s="35"/>
      <c r="AT182" s="35">
        <f t="shared" si="55"/>
        <v>376</v>
      </c>
      <c r="AU182" s="6">
        <v>1141</v>
      </c>
      <c r="AV182" s="6"/>
      <c r="AW182" s="35">
        <f t="shared" si="56"/>
        <v>361</v>
      </c>
      <c r="AX182" s="6">
        <v>1509</v>
      </c>
      <c r="AY182" s="6"/>
      <c r="AZ182" s="35">
        <f t="shared" si="57"/>
        <v>368</v>
      </c>
      <c r="BA182" s="35">
        <v>320</v>
      </c>
      <c r="BB182" s="35">
        <v>1560</v>
      </c>
      <c r="BC182" s="35">
        <f t="shared" si="58"/>
        <v>371</v>
      </c>
      <c r="BD182" s="6">
        <v>673</v>
      </c>
      <c r="BE182" s="6"/>
      <c r="BF182" s="35">
        <f t="shared" si="59"/>
        <v>353</v>
      </c>
      <c r="BG182" s="35"/>
      <c r="BH182" s="6"/>
      <c r="BI182" s="6"/>
      <c r="BJ182" s="6">
        <v>67</v>
      </c>
      <c r="BK182" s="6">
        <v>974</v>
      </c>
      <c r="BL182" s="6">
        <f t="shared" si="60"/>
        <v>368</v>
      </c>
      <c r="BM182" s="6">
        <v>436</v>
      </c>
      <c r="BN182" s="6"/>
      <c r="BO182" s="6">
        <f t="shared" si="61"/>
        <v>369</v>
      </c>
      <c r="BP182" s="6">
        <v>808</v>
      </c>
      <c r="BQ182" s="6"/>
      <c r="BR182" s="35">
        <f t="shared" si="62"/>
        <v>372</v>
      </c>
      <c r="BS182" s="6">
        <v>81</v>
      </c>
      <c r="BT182" s="6">
        <v>1094</v>
      </c>
      <c r="BU182" s="6">
        <f t="shared" si="63"/>
        <v>367</v>
      </c>
      <c r="BV182" s="6">
        <v>435</v>
      </c>
      <c r="BW182" s="6"/>
      <c r="BX182" s="35">
        <f t="shared" si="64"/>
        <v>354</v>
      </c>
      <c r="BY182" s="6">
        <v>773</v>
      </c>
      <c r="BZ182" s="6"/>
      <c r="CA182" s="6">
        <f t="shared" si="65"/>
        <v>338</v>
      </c>
      <c r="CB182" s="6"/>
      <c r="CC182" s="6"/>
      <c r="CD182" s="6"/>
      <c r="CE182" s="6">
        <v>0</v>
      </c>
      <c r="CF182" s="6">
        <v>1078</v>
      </c>
      <c r="CG182" s="6">
        <f t="shared" si="66"/>
        <v>305</v>
      </c>
      <c r="CH182" s="6">
        <v>0</v>
      </c>
      <c r="CI182" s="6"/>
      <c r="CJ182" s="6">
        <f t="shared" si="67"/>
        <v>0</v>
      </c>
      <c r="CK182" s="6">
        <v>234</v>
      </c>
      <c r="CL182" s="6"/>
      <c r="CM182" s="6">
        <f t="shared" si="68"/>
        <v>234</v>
      </c>
      <c r="CN182" s="6">
        <v>468</v>
      </c>
      <c r="CO182" s="6"/>
      <c r="CP182" s="6">
        <f t="shared" si="69"/>
        <v>234</v>
      </c>
      <c r="CQ182" s="6">
        <v>700</v>
      </c>
      <c r="CR182" s="6"/>
      <c r="CS182" s="6">
        <f t="shared" si="70"/>
        <v>232</v>
      </c>
      <c r="CT182" s="6">
        <v>922</v>
      </c>
      <c r="CU182" s="6"/>
      <c r="CV182" s="6">
        <f t="shared" si="71"/>
        <v>222</v>
      </c>
      <c r="CW182" s="6"/>
      <c r="CX182" s="6"/>
      <c r="CY182" s="6"/>
      <c r="CZ182" s="6">
        <v>1155</v>
      </c>
      <c r="DA182" s="6"/>
      <c r="DB182" s="6">
        <f t="shared" si="72"/>
        <v>233</v>
      </c>
      <c r="DC182" s="6">
        <v>1385</v>
      </c>
      <c r="DD182" s="6"/>
      <c r="DE182" s="6">
        <f t="shared" si="73"/>
        <v>230</v>
      </c>
      <c r="DF182" s="35">
        <v>1618</v>
      </c>
      <c r="DG182" s="6"/>
      <c r="DH182" s="6">
        <f t="shared" si="74"/>
        <v>233</v>
      </c>
      <c r="DI182" s="6">
        <v>1851</v>
      </c>
      <c r="DJ182" s="6"/>
      <c r="DK182" s="6">
        <f t="shared" si="75"/>
        <v>233</v>
      </c>
      <c r="DL182" s="6">
        <v>82</v>
      </c>
      <c r="DM182" s="6">
        <v>2000</v>
      </c>
      <c r="DN182" s="6">
        <f t="shared" si="76"/>
        <v>231</v>
      </c>
      <c r="DO182" s="6">
        <v>285</v>
      </c>
      <c r="DP182" s="6"/>
      <c r="DQ182" s="6">
        <f t="shared" si="77"/>
        <v>203</v>
      </c>
    </row>
    <row r="183" spans="1:121">
      <c r="A183" s="6">
        <v>179</v>
      </c>
      <c r="B183" s="6">
        <v>786</v>
      </c>
      <c r="C183" s="6"/>
      <c r="D183" s="6">
        <v>412</v>
      </c>
      <c r="E183" s="33" t="s">
        <v>97</v>
      </c>
      <c r="F183" s="33" t="s">
        <v>97</v>
      </c>
      <c r="G183" s="148" t="s">
        <v>37</v>
      </c>
      <c r="H183" s="33" t="s">
        <v>37</v>
      </c>
      <c r="I183" s="33" t="s">
        <v>37</v>
      </c>
      <c r="J183" s="33" t="s">
        <v>37</v>
      </c>
      <c r="K183" s="33" t="s">
        <v>37</v>
      </c>
      <c r="L183" s="33" t="s">
        <v>37</v>
      </c>
      <c r="M183" s="33" t="s">
        <v>37</v>
      </c>
      <c r="N183" s="33" t="s">
        <v>37</v>
      </c>
      <c r="O183" s="33" t="s">
        <v>37</v>
      </c>
      <c r="P183" s="33" t="s">
        <v>37</v>
      </c>
      <c r="Q183" s="33" t="s">
        <v>37</v>
      </c>
      <c r="R183" s="33" t="s">
        <v>37</v>
      </c>
      <c r="S183" s="33" t="s">
        <v>37</v>
      </c>
      <c r="T183" s="33" t="s">
        <v>37</v>
      </c>
      <c r="U183" s="148" t="s">
        <v>124</v>
      </c>
      <c r="V183" s="33" t="s">
        <v>124</v>
      </c>
      <c r="W183" s="33" t="s">
        <v>124</v>
      </c>
      <c r="X183" s="33" t="s">
        <v>124</v>
      </c>
      <c r="Y183" s="33" t="s">
        <v>124</v>
      </c>
      <c r="Z183" s="33" t="s">
        <v>124</v>
      </c>
      <c r="AA183" s="33" t="s">
        <v>124</v>
      </c>
      <c r="AB183" s="33" t="s">
        <v>124</v>
      </c>
      <c r="AC183" s="33" t="s">
        <v>124</v>
      </c>
      <c r="AD183" s="33" t="s">
        <v>124</v>
      </c>
      <c r="AE183" s="33" t="s">
        <v>124</v>
      </c>
      <c r="AF183" s="6">
        <v>0</v>
      </c>
      <c r="AG183" s="6">
        <v>943</v>
      </c>
      <c r="AH183" s="35">
        <f t="shared" si="52"/>
        <v>157</v>
      </c>
      <c r="AI183" s="35">
        <v>364</v>
      </c>
      <c r="AJ183" s="35"/>
      <c r="AK183" s="35">
        <f t="shared" si="53"/>
        <v>364</v>
      </c>
      <c r="AL183" s="6"/>
      <c r="AM183" s="6"/>
      <c r="AN183" s="35"/>
      <c r="AO183" s="6">
        <v>765</v>
      </c>
      <c r="AP183" s="6"/>
      <c r="AQ183" s="34">
        <f t="shared" si="54"/>
        <v>401</v>
      </c>
      <c r="AR183" s="35">
        <f>1172*0.9144</f>
        <v>1071.6768</v>
      </c>
      <c r="AS183" s="35"/>
      <c r="AT183" s="35">
        <f t="shared" si="55"/>
        <v>306.67679999999996</v>
      </c>
      <c r="AU183" s="6">
        <v>1436</v>
      </c>
      <c r="AV183" s="6"/>
      <c r="AW183" s="35">
        <f t="shared" si="56"/>
        <v>364.32320000000004</v>
      </c>
      <c r="AX183" s="6">
        <v>247</v>
      </c>
      <c r="AY183" s="6">
        <v>1560</v>
      </c>
      <c r="AZ183" s="35">
        <f t="shared" si="57"/>
        <v>371</v>
      </c>
      <c r="BA183" s="6">
        <v>607</v>
      </c>
      <c r="BB183" s="6"/>
      <c r="BC183" s="35">
        <f t="shared" si="58"/>
        <v>360</v>
      </c>
      <c r="BD183" s="6">
        <v>957</v>
      </c>
      <c r="BE183" s="6"/>
      <c r="BF183" s="35">
        <f t="shared" si="59"/>
        <v>350</v>
      </c>
      <c r="BG183" s="35"/>
      <c r="BH183" s="6"/>
      <c r="BI183" s="35"/>
      <c r="BJ183" s="6">
        <v>1317</v>
      </c>
      <c r="BK183" s="6"/>
      <c r="BL183" s="6">
        <f t="shared" si="60"/>
        <v>360</v>
      </c>
      <c r="BM183" s="6">
        <v>1681</v>
      </c>
      <c r="BN183" s="6"/>
      <c r="BO183" s="6">
        <f t="shared" si="61"/>
        <v>364</v>
      </c>
      <c r="BP183" s="6">
        <v>225</v>
      </c>
      <c r="BQ183" s="6">
        <v>1820</v>
      </c>
      <c r="BR183" s="35">
        <f t="shared" si="62"/>
        <v>364</v>
      </c>
      <c r="BS183" s="6">
        <v>137</v>
      </c>
      <c r="BT183" s="6">
        <v>440</v>
      </c>
      <c r="BU183" s="6">
        <f t="shared" si="63"/>
        <v>352</v>
      </c>
      <c r="BV183" s="6">
        <v>498</v>
      </c>
      <c r="BW183" s="6"/>
      <c r="BX183" s="35">
        <f t="shared" si="64"/>
        <v>361</v>
      </c>
      <c r="BY183" s="6">
        <v>848</v>
      </c>
      <c r="BZ183" s="6"/>
      <c r="CA183" s="6">
        <f t="shared" si="65"/>
        <v>350</v>
      </c>
      <c r="CB183" s="6"/>
      <c r="CC183" s="6"/>
      <c r="CD183" s="6"/>
      <c r="CE183" s="6">
        <v>0</v>
      </c>
      <c r="CF183" s="6">
        <v>1037</v>
      </c>
      <c r="CG183" s="6">
        <f t="shared" si="66"/>
        <v>189</v>
      </c>
      <c r="CH183" s="6">
        <v>148</v>
      </c>
      <c r="CI183" s="6"/>
      <c r="CJ183" s="6">
        <f t="shared" si="67"/>
        <v>148</v>
      </c>
      <c r="CK183" s="6">
        <v>373</v>
      </c>
      <c r="CL183" s="6"/>
      <c r="CM183" s="6">
        <f t="shared" si="68"/>
        <v>225</v>
      </c>
      <c r="CN183" s="6">
        <v>604</v>
      </c>
      <c r="CO183" s="6"/>
      <c r="CP183" s="6">
        <f t="shared" si="69"/>
        <v>231</v>
      </c>
      <c r="CQ183" s="6">
        <v>833</v>
      </c>
      <c r="CR183" s="6"/>
      <c r="CS183" s="6">
        <f t="shared" si="70"/>
        <v>229</v>
      </c>
      <c r="CT183" s="6">
        <v>1032</v>
      </c>
      <c r="CU183" s="6"/>
      <c r="CV183" s="6">
        <f t="shared" si="71"/>
        <v>199</v>
      </c>
      <c r="CW183" s="6"/>
      <c r="CX183" s="6"/>
      <c r="CY183" s="6"/>
      <c r="CZ183" s="6">
        <v>1264</v>
      </c>
      <c r="DA183" s="6"/>
      <c r="DB183" s="6">
        <f t="shared" si="72"/>
        <v>232</v>
      </c>
      <c r="DC183" s="6">
        <v>1494</v>
      </c>
      <c r="DD183" s="6"/>
      <c r="DE183" s="6">
        <f t="shared" si="73"/>
        <v>230</v>
      </c>
      <c r="DF183" s="6">
        <v>166</v>
      </c>
      <c r="DG183" s="6">
        <v>1560</v>
      </c>
      <c r="DH183" s="6">
        <f t="shared" si="74"/>
        <v>232</v>
      </c>
      <c r="DI183" s="6">
        <v>399</v>
      </c>
      <c r="DJ183" s="6"/>
      <c r="DK183" s="6">
        <f t="shared" si="75"/>
        <v>233</v>
      </c>
      <c r="DL183" s="6">
        <v>631</v>
      </c>
      <c r="DM183" s="6"/>
      <c r="DN183" s="6">
        <f t="shared" si="76"/>
        <v>232</v>
      </c>
      <c r="DO183" s="6">
        <v>839</v>
      </c>
      <c r="DP183" s="6"/>
      <c r="DQ183" s="6">
        <f t="shared" si="77"/>
        <v>208</v>
      </c>
    </row>
    <row r="184" spans="1:121">
      <c r="A184" s="6">
        <v>180</v>
      </c>
      <c r="B184" s="6">
        <v>657</v>
      </c>
      <c r="C184" s="6"/>
      <c r="D184" s="6">
        <v>335</v>
      </c>
      <c r="E184" s="33" t="s">
        <v>98</v>
      </c>
      <c r="F184" s="33" t="s">
        <v>98</v>
      </c>
      <c r="G184" s="33" t="s">
        <v>98</v>
      </c>
      <c r="H184" s="33" t="s">
        <v>98</v>
      </c>
      <c r="I184" s="33" t="s">
        <v>98</v>
      </c>
      <c r="J184" s="33" t="s">
        <v>98</v>
      </c>
      <c r="K184" s="33" t="s">
        <v>98</v>
      </c>
      <c r="L184" s="33" t="s">
        <v>98</v>
      </c>
      <c r="M184" s="33" t="s">
        <v>98</v>
      </c>
      <c r="N184" s="33" t="s">
        <v>98</v>
      </c>
      <c r="O184" s="33" t="s">
        <v>98</v>
      </c>
      <c r="P184" s="33" t="s">
        <v>98</v>
      </c>
      <c r="Q184" s="33" t="s">
        <v>98</v>
      </c>
      <c r="R184" s="33" t="s">
        <v>98</v>
      </c>
      <c r="S184" s="33" t="s">
        <v>98</v>
      </c>
      <c r="T184" s="33" t="s">
        <v>98</v>
      </c>
      <c r="U184" s="148" t="s">
        <v>124</v>
      </c>
      <c r="V184" s="33" t="s">
        <v>124</v>
      </c>
      <c r="W184" s="33" t="s">
        <v>124</v>
      </c>
      <c r="X184" s="33" t="s">
        <v>124</v>
      </c>
      <c r="Y184" s="33" t="s">
        <v>124</v>
      </c>
      <c r="Z184" s="33" t="s">
        <v>124</v>
      </c>
      <c r="AA184" s="33" t="s">
        <v>124</v>
      </c>
      <c r="AB184" s="33" t="s">
        <v>124</v>
      </c>
      <c r="AC184" s="33" t="s">
        <v>124</v>
      </c>
      <c r="AD184" s="33" t="s">
        <v>124</v>
      </c>
      <c r="AE184" s="33" t="s">
        <v>124</v>
      </c>
      <c r="AF184" s="6">
        <v>1006</v>
      </c>
      <c r="AG184" s="6"/>
      <c r="AH184" s="35">
        <f t="shared" si="52"/>
        <v>349</v>
      </c>
      <c r="AI184" s="35">
        <v>137</v>
      </c>
      <c r="AJ184" s="35">
        <v>1200</v>
      </c>
      <c r="AK184" s="35">
        <f t="shared" si="53"/>
        <v>331</v>
      </c>
      <c r="AL184" s="6"/>
      <c r="AM184" s="6"/>
      <c r="AN184" s="35"/>
      <c r="AO184" s="6">
        <v>485</v>
      </c>
      <c r="AP184" s="6"/>
      <c r="AQ184" s="34">
        <f t="shared" si="54"/>
        <v>348</v>
      </c>
      <c r="AR184" s="35">
        <v>836</v>
      </c>
      <c r="AS184" s="35"/>
      <c r="AT184" s="35">
        <f t="shared" si="55"/>
        <v>351</v>
      </c>
      <c r="AU184" s="6">
        <v>1180</v>
      </c>
      <c r="AV184" s="6"/>
      <c r="AW184" s="35">
        <f t="shared" si="56"/>
        <v>344</v>
      </c>
      <c r="AX184" s="6">
        <v>323</v>
      </c>
      <c r="AY184" s="6">
        <v>1200</v>
      </c>
      <c r="AZ184" s="35">
        <f t="shared" si="57"/>
        <v>343</v>
      </c>
      <c r="BA184" s="35">
        <v>664</v>
      </c>
      <c r="BB184" s="35"/>
      <c r="BC184" s="35">
        <f t="shared" si="58"/>
        <v>341</v>
      </c>
      <c r="BD184" s="6">
        <v>997</v>
      </c>
      <c r="BE184" s="6"/>
      <c r="BF184" s="35">
        <f t="shared" si="59"/>
        <v>333</v>
      </c>
      <c r="BG184" s="35"/>
      <c r="BH184" s="6"/>
      <c r="BI184" s="6"/>
      <c r="BJ184" s="6">
        <v>0</v>
      </c>
      <c r="BK184" s="6">
        <v>1117</v>
      </c>
      <c r="BL184" s="6">
        <f t="shared" si="60"/>
        <v>120</v>
      </c>
      <c r="BM184" s="6">
        <v>0</v>
      </c>
      <c r="BN184" s="6"/>
      <c r="BO184" s="6">
        <f t="shared" si="61"/>
        <v>0</v>
      </c>
      <c r="BP184" s="6">
        <v>0</v>
      </c>
      <c r="BQ184" s="6"/>
      <c r="BR184" s="35">
        <f t="shared" si="62"/>
        <v>0</v>
      </c>
      <c r="BS184" s="35">
        <v>0</v>
      </c>
      <c r="BT184" s="6"/>
      <c r="BU184" s="6">
        <f t="shared" si="63"/>
        <v>0</v>
      </c>
      <c r="BV184" s="6">
        <v>0</v>
      </c>
      <c r="BW184" s="6"/>
      <c r="BX184" s="35">
        <f t="shared" si="64"/>
        <v>0</v>
      </c>
      <c r="BY184" s="6">
        <v>0</v>
      </c>
      <c r="BZ184" s="6"/>
      <c r="CA184" s="6">
        <f t="shared" si="65"/>
        <v>0</v>
      </c>
      <c r="CB184" s="6"/>
      <c r="CC184" s="6"/>
      <c r="CD184" s="6"/>
      <c r="CE184" s="6">
        <v>0</v>
      </c>
      <c r="CF184" s="6"/>
      <c r="CG184" s="6">
        <f t="shared" si="66"/>
        <v>0</v>
      </c>
      <c r="CH184" s="6">
        <v>150</v>
      </c>
      <c r="CI184" s="6"/>
      <c r="CJ184" s="6">
        <f t="shared" si="67"/>
        <v>150</v>
      </c>
      <c r="CK184" s="6">
        <v>381</v>
      </c>
      <c r="CL184" s="6"/>
      <c r="CM184" s="6">
        <f t="shared" si="68"/>
        <v>231</v>
      </c>
      <c r="CN184" s="6">
        <v>612</v>
      </c>
      <c r="CO184" s="6"/>
      <c r="CP184" s="6">
        <f t="shared" si="69"/>
        <v>231</v>
      </c>
      <c r="CQ184" s="6">
        <v>844</v>
      </c>
      <c r="CR184" s="6"/>
      <c r="CS184" s="6">
        <f t="shared" si="70"/>
        <v>232</v>
      </c>
      <c r="CT184" s="6">
        <v>1062</v>
      </c>
      <c r="CU184" s="6"/>
      <c r="CV184" s="6">
        <f t="shared" si="71"/>
        <v>218</v>
      </c>
      <c r="CW184" s="6"/>
      <c r="CX184" s="6"/>
      <c r="CY184" s="6"/>
      <c r="CZ184" s="6">
        <v>1291</v>
      </c>
      <c r="DA184" s="6"/>
      <c r="DB184" s="6">
        <f t="shared" si="72"/>
        <v>229</v>
      </c>
      <c r="DC184" s="6">
        <v>1515</v>
      </c>
      <c r="DD184" s="6"/>
      <c r="DE184" s="6">
        <f t="shared" si="73"/>
        <v>224</v>
      </c>
      <c r="DF184" s="6">
        <v>1736</v>
      </c>
      <c r="DG184" s="6"/>
      <c r="DH184" s="6">
        <f t="shared" si="74"/>
        <v>221</v>
      </c>
      <c r="DI184" s="6">
        <v>1959</v>
      </c>
      <c r="DJ184" s="6"/>
      <c r="DK184" s="6">
        <f t="shared" si="75"/>
        <v>223</v>
      </c>
      <c r="DL184" s="6">
        <v>182</v>
      </c>
      <c r="DM184" s="6">
        <v>2000</v>
      </c>
      <c r="DN184" s="6">
        <f t="shared" si="76"/>
        <v>223</v>
      </c>
      <c r="DO184" s="6">
        <v>382</v>
      </c>
      <c r="DP184" s="6"/>
      <c r="DQ184" s="6">
        <f t="shared" si="77"/>
        <v>200</v>
      </c>
    </row>
    <row r="185" spans="1:121">
      <c r="A185" s="6">
        <v>181</v>
      </c>
      <c r="B185" s="6">
        <v>593</v>
      </c>
      <c r="C185" s="6"/>
      <c r="D185" s="8">
        <v>378</v>
      </c>
      <c r="E185" s="33" t="s">
        <v>69</v>
      </c>
      <c r="F185" s="33" t="s">
        <v>69</v>
      </c>
      <c r="G185" s="33" t="s">
        <v>69</v>
      </c>
      <c r="H185" s="33" t="s">
        <v>69</v>
      </c>
      <c r="I185" s="33" t="s">
        <v>69</v>
      </c>
      <c r="J185" s="33" t="s">
        <v>69</v>
      </c>
      <c r="K185" s="33" t="s">
        <v>69</v>
      </c>
      <c r="L185" s="33" t="s">
        <v>69</v>
      </c>
      <c r="M185" s="33" t="s">
        <v>69</v>
      </c>
      <c r="N185" s="33" t="s">
        <v>69</v>
      </c>
      <c r="O185" s="33" t="s">
        <v>69</v>
      </c>
      <c r="P185" s="33" t="s">
        <v>69</v>
      </c>
      <c r="Q185" s="33" t="s">
        <v>69</v>
      </c>
      <c r="R185" s="33" t="s">
        <v>69</v>
      </c>
      <c r="S185" s="33" t="s">
        <v>69</v>
      </c>
      <c r="T185" s="33" t="s">
        <v>69</v>
      </c>
      <c r="U185" s="33" t="s">
        <v>69</v>
      </c>
      <c r="V185" s="33" t="s">
        <v>69</v>
      </c>
      <c r="W185" s="33" t="s">
        <v>69</v>
      </c>
      <c r="X185" s="148" t="s">
        <v>72</v>
      </c>
      <c r="Y185" s="33" t="s">
        <v>72</v>
      </c>
      <c r="Z185" s="33" t="s">
        <v>72</v>
      </c>
      <c r="AA185" s="33" t="s">
        <v>72</v>
      </c>
      <c r="AB185" s="33" t="s">
        <v>72</v>
      </c>
      <c r="AC185" s="33" t="s">
        <v>72</v>
      </c>
      <c r="AD185" s="33" t="s">
        <v>72</v>
      </c>
      <c r="AE185" s="33" t="s">
        <v>72</v>
      </c>
      <c r="AF185" s="35">
        <v>970</v>
      </c>
      <c r="AG185" s="35"/>
      <c r="AH185" s="35">
        <f t="shared" si="52"/>
        <v>377</v>
      </c>
      <c r="AI185" s="35">
        <v>1328</v>
      </c>
      <c r="AJ185" s="35"/>
      <c r="AK185" s="35">
        <f t="shared" si="53"/>
        <v>358</v>
      </c>
      <c r="AL185" s="6"/>
      <c r="AM185" s="6"/>
      <c r="AN185" s="35"/>
      <c r="AO185" s="6">
        <v>139</v>
      </c>
      <c r="AP185" s="6">
        <v>1560</v>
      </c>
      <c r="AQ185" s="34">
        <f t="shared" si="54"/>
        <v>371</v>
      </c>
      <c r="AR185" s="35">
        <v>510</v>
      </c>
      <c r="AS185" s="35"/>
      <c r="AT185" s="35">
        <f t="shared" si="55"/>
        <v>371</v>
      </c>
      <c r="AU185" s="6">
        <v>882</v>
      </c>
      <c r="AV185" s="6"/>
      <c r="AW185" s="35">
        <f t="shared" si="56"/>
        <v>372</v>
      </c>
      <c r="AX185" s="6">
        <v>1259</v>
      </c>
      <c r="AY185" s="6"/>
      <c r="AZ185" s="35">
        <f t="shared" si="57"/>
        <v>377</v>
      </c>
      <c r="BA185" s="35">
        <v>66</v>
      </c>
      <c r="BB185" s="35">
        <v>1560</v>
      </c>
      <c r="BC185" s="35">
        <f t="shared" si="58"/>
        <v>367</v>
      </c>
      <c r="BD185" s="6">
        <v>433</v>
      </c>
      <c r="BE185" s="6"/>
      <c r="BF185" s="35">
        <f t="shared" si="59"/>
        <v>367</v>
      </c>
      <c r="BG185" s="35"/>
      <c r="BH185" s="6"/>
      <c r="BI185" s="6"/>
      <c r="BJ185" s="6">
        <v>328</v>
      </c>
      <c r="BK185" s="6">
        <v>442</v>
      </c>
      <c r="BL185" s="6">
        <f t="shared" si="60"/>
        <v>337</v>
      </c>
      <c r="BM185" s="6">
        <v>685</v>
      </c>
      <c r="BN185" s="6"/>
      <c r="BO185" s="6">
        <f t="shared" si="61"/>
        <v>357</v>
      </c>
      <c r="BP185" s="6">
        <v>1041</v>
      </c>
      <c r="BQ185" s="6"/>
      <c r="BR185" s="35">
        <f t="shared" si="62"/>
        <v>356</v>
      </c>
      <c r="BS185" s="6">
        <v>1397</v>
      </c>
      <c r="BT185" s="6"/>
      <c r="BU185" s="6">
        <f t="shared" si="63"/>
        <v>356</v>
      </c>
      <c r="BV185" s="6">
        <v>192</v>
      </c>
      <c r="BW185" s="6">
        <v>1560</v>
      </c>
      <c r="BX185" s="35">
        <f t="shared" si="64"/>
        <v>355</v>
      </c>
      <c r="BY185" s="6">
        <v>520</v>
      </c>
      <c r="BZ185" s="6"/>
      <c r="CA185" s="6">
        <f t="shared" si="65"/>
        <v>328</v>
      </c>
      <c r="CB185" s="6"/>
      <c r="CC185" s="6"/>
      <c r="CD185" s="6"/>
      <c r="CE185" s="6">
        <v>872</v>
      </c>
      <c r="CF185" s="6"/>
      <c r="CG185" s="6">
        <f t="shared" si="66"/>
        <v>352</v>
      </c>
      <c r="CH185" s="6">
        <v>941</v>
      </c>
      <c r="CI185" s="6"/>
      <c r="CJ185" s="6">
        <f t="shared" si="67"/>
        <v>69</v>
      </c>
      <c r="CK185" s="6">
        <v>941</v>
      </c>
      <c r="CL185" s="6"/>
      <c r="CM185" s="6">
        <f t="shared" si="68"/>
        <v>0</v>
      </c>
      <c r="CN185" s="6">
        <v>0</v>
      </c>
      <c r="CO185" s="6">
        <v>1157</v>
      </c>
      <c r="CP185" s="6">
        <f t="shared" si="69"/>
        <v>216</v>
      </c>
      <c r="CQ185" s="6">
        <v>169</v>
      </c>
      <c r="CR185" s="6"/>
      <c r="CS185" s="6">
        <f t="shared" si="70"/>
        <v>169</v>
      </c>
      <c r="CT185" s="6">
        <v>404</v>
      </c>
      <c r="CU185" s="6"/>
      <c r="CV185" s="6">
        <f t="shared" si="71"/>
        <v>235</v>
      </c>
      <c r="CW185" s="6"/>
      <c r="CX185" s="6"/>
      <c r="CY185" s="6"/>
      <c r="CZ185" s="6">
        <v>131</v>
      </c>
      <c r="DA185" s="6">
        <v>517</v>
      </c>
      <c r="DB185" s="6">
        <f t="shared" si="72"/>
        <v>244</v>
      </c>
      <c r="DC185" s="6">
        <v>373</v>
      </c>
      <c r="DD185" s="6"/>
      <c r="DE185" s="6">
        <f t="shared" si="73"/>
        <v>242</v>
      </c>
      <c r="DF185" s="6">
        <v>95</v>
      </c>
      <c r="DG185" s="6">
        <v>519</v>
      </c>
      <c r="DH185" s="6">
        <f t="shared" si="74"/>
        <v>241</v>
      </c>
      <c r="DI185" s="6">
        <v>340</v>
      </c>
      <c r="DJ185" s="6"/>
      <c r="DK185" s="6">
        <f t="shared" si="75"/>
        <v>245</v>
      </c>
      <c r="DL185" s="6">
        <v>128</v>
      </c>
      <c r="DM185" s="6">
        <v>452</v>
      </c>
      <c r="DN185" s="6">
        <f t="shared" si="76"/>
        <v>240</v>
      </c>
      <c r="DO185" s="6">
        <v>349</v>
      </c>
      <c r="DP185" s="6"/>
      <c r="DQ185" s="6">
        <f t="shared" si="77"/>
        <v>221</v>
      </c>
    </row>
    <row r="186" spans="1:121">
      <c r="A186" s="6">
        <v>182</v>
      </c>
      <c r="B186" s="6">
        <v>275</v>
      </c>
      <c r="C186" s="6"/>
      <c r="D186" s="6">
        <v>225</v>
      </c>
      <c r="E186" s="33" t="s">
        <v>75</v>
      </c>
      <c r="F186" s="33" t="s">
        <v>75</v>
      </c>
      <c r="G186" s="33" t="s">
        <v>75</v>
      </c>
      <c r="H186" s="33" t="s">
        <v>75</v>
      </c>
      <c r="I186" s="33" t="s">
        <v>75</v>
      </c>
      <c r="J186" s="33" t="s">
        <v>75</v>
      </c>
      <c r="K186" s="33" t="s">
        <v>75</v>
      </c>
      <c r="L186" s="33" t="s">
        <v>75</v>
      </c>
      <c r="M186" s="33" t="s">
        <v>75</v>
      </c>
      <c r="N186" s="33" t="s">
        <v>75</v>
      </c>
      <c r="O186" s="33" t="s">
        <v>75</v>
      </c>
      <c r="P186" s="33" t="s">
        <v>75</v>
      </c>
      <c r="Q186" s="33" t="s">
        <v>75</v>
      </c>
      <c r="R186" s="33" t="s">
        <v>75</v>
      </c>
      <c r="S186" s="33" t="s">
        <v>75</v>
      </c>
      <c r="T186" s="33" t="s">
        <v>75</v>
      </c>
      <c r="U186" s="33" t="s">
        <v>75</v>
      </c>
      <c r="V186" s="33" t="s">
        <v>75</v>
      </c>
      <c r="W186" s="33" t="s">
        <v>75</v>
      </c>
      <c r="X186" s="33" t="s">
        <v>75</v>
      </c>
      <c r="Y186" s="33" t="s">
        <v>75</v>
      </c>
      <c r="Z186" s="33" t="s">
        <v>75</v>
      </c>
      <c r="AA186" s="33" t="s">
        <v>75</v>
      </c>
      <c r="AB186" s="33" t="s">
        <v>75</v>
      </c>
      <c r="AC186" s="148" t="s">
        <v>72</v>
      </c>
      <c r="AD186" s="33" t="s">
        <v>72</v>
      </c>
      <c r="AE186" s="33" t="s">
        <v>72</v>
      </c>
      <c r="AF186" s="6">
        <v>505</v>
      </c>
      <c r="AG186" s="6"/>
      <c r="AH186" s="35">
        <f t="shared" si="52"/>
        <v>230</v>
      </c>
      <c r="AI186" s="35">
        <v>726</v>
      </c>
      <c r="AJ186" s="35"/>
      <c r="AK186" s="35">
        <f t="shared" si="53"/>
        <v>221</v>
      </c>
      <c r="AL186" s="6"/>
      <c r="AM186" s="6"/>
      <c r="AN186" s="35"/>
      <c r="AO186" s="6">
        <v>957</v>
      </c>
      <c r="AP186" s="6"/>
      <c r="AQ186" s="34">
        <f t="shared" si="54"/>
        <v>231</v>
      </c>
      <c r="AR186" s="35">
        <v>85</v>
      </c>
      <c r="AS186" s="35">
        <v>1100</v>
      </c>
      <c r="AT186" s="35">
        <f t="shared" si="55"/>
        <v>228</v>
      </c>
      <c r="AU186" s="6">
        <v>309</v>
      </c>
      <c r="AV186" s="6"/>
      <c r="AW186" s="35">
        <f t="shared" si="56"/>
        <v>224</v>
      </c>
      <c r="AX186" s="6">
        <v>538</v>
      </c>
      <c r="AY186" s="6"/>
      <c r="AZ186" s="35">
        <f t="shared" si="57"/>
        <v>229</v>
      </c>
      <c r="BA186" s="35">
        <v>629</v>
      </c>
      <c r="BB186" s="35"/>
      <c r="BC186" s="35">
        <f t="shared" si="58"/>
        <v>91</v>
      </c>
      <c r="BD186" s="6">
        <v>629</v>
      </c>
      <c r="BE186" s="6"/>
      <c r="BF186" s="35">
        <f t="shared" si="59"/>
        <v>0</v>
      </c>
      <c r="BG186" s="35"/>
      <c r="BH186" s="6"/>
      <c r="BI186" s="6"/>
      <c r="BJ186" s="6">
        <v>629</v>
      </c>
      <c r="BK186" s="6"/>
      <c r="BL186" s="6">
        <f t="shared" si="60"/>
        <v>0</v>
      </c>
      <c r="BM186" s="6">
        <v>629</v>
      </c>
      <c r="BN186" s="6"/>
      <c r="BO186" s="6">
        <f t="shared" si="61"/>
        <v>0</v>
      </c>
      <c r="BP186" s="6">
        <v>0</v>
      </c>
      <c r="BQ186" s="6">
        <v>629</v>
      </c>
      <c r="BR186" s="35">
        <f t="shared" si="62"/>
        <v>0</v>
      </c>
      <c r="BS186" s="6">
        <v>0</v>
      </c>
      <c r="BT186" s="6"/>
      <c r="BU186" s="6">
        <f t="shared" si="63"/>
        <v>0</v>
      </c>
      <c r="BV186" s="6">
        <v>0</v>
      </c>
      <c r="BW186" s="6"/>
      <c r="BX186" s="35">
        <f t="shared" si="64"/>
        <v>0</v>
      </c>
      <c r="BY186" s="6">
        <v>0</v>
      </c>
      <c r="BZ186" s="6"/>
      <c r="CA186" s="6">
        <f t="shared" si="65"/>
        <v>0</v>
      </c>
      <c r="CB186" s="6"/>
      <c r="CC186" s="6"/>
      <c r="CD186" s="6"/>
      <c r="CE186" s="6">
        <v>0</v>
      </c>
      <c r="CF186" s="6"/>
      <c r="CG186" s="6">
        <f t="shared" si="66"/>
        <v>0</v>
      </c>
      <c r="CH186" s="6">
        <v>213</v>
      </c>
      <c r="CI186" s="6"/>
      <c r="CJ186" s="6">
        <f t="shared" si="67"/>
        <v>213</v>
      </c>
      <c r="CK186" s="6">
        <v>441</v>
      </c>
      <c r="CL186" s="6"/>
      <c r="CM186" s="6">
        <f t="shared" si="68"/>
        <v>228</v>
      </c>
      <c r="CN186" s="6">
        <v>669</v>
      </c>
      <c r="CO186" s="6"/>
      <c r="CP186" s="6">
        <f t="shared" si="69"/>
        <v>228</v>
      </c>
      <c r="CQ186" s="6">
        <v>887</v>
      </c>
      <c r="CR186" s="6"/>
      <c r="CS186" s="6">
        <f t="shared" si="70"/>
        <v>218</v>
      </c>
      <c r="CT186" s="6">
        <v>2</v>
      </c>
      <c r="CU186" s="6">
        <v>1100</v>
      </c>
      <c r="CV186" s="6">
        <f t="shared" si="71"/>
        <v>215</v>
      </c>
      <c r="CW186" s="6"/>
      <c r="CX186" s="6"/>
      <c r="CY186" s="6"/>
      <c r="CZ186" s="6">
        <v>228</v>
      </c>
      <c r="DA186" s="6"/>
      <c r="DB186" s="6">
        <f t="shared" si="72"/>
        <v>226</v>
      </c>
      <c r="DC186" s="6">
        <v>449</v>
      </c>
      <c r="DD186" s="6"/>
      <c r="DE186" s="6">
        <f t="shared" si="73"/>
        <v>221</v>
      </c>
      <c r="DF186" s="6">
        <v>673</v>
      </c>
      <c r="DG186" s="6"/>
      <c r="DH186" s="6">
        <f t="shared" si="74"/>
        <v>224</v>
      </c>
      <c r="DI186" s="6">
        <v>167</v>
      </c>
      <c r="DJ186" s="6">
        <v>701</v>
      </c>
      <c r="DK186" s="6">
        <f t="shared" si="75"/>
        <v>195</v>
      </c>
      <c r="DL186" s="6">
        <v>124</v>
      </c>
      <c r="DM186" s="6">
        <v>268</v>
      </c>
      <c r="DN186" s="6">
        <f t="shared" si="76"/>
        <v>225</v>
      </c>
      <c r="DO186" s="6">
        <v>327</v>
      </c>
      <c r="DP186" s="6"/>
      <c r="DQ186" s="6">
        <f t="shared" si="77"/>
        <v>203</v>
      </c>
    </row>
    <row r="187" spans="1:121">
      <c r="A187" s="6">
        <v>183</v>
      </c>
      <c r="B187" s="6">
        <v>613</v>
      </c>
      <c r="C187" s="6"/>
      <c r="D187" s="6">
        <v>200</v>
      </c>
      <c r="E187" s="33" t="s">
        <v>75</v>
      </c>
      <c r="F187" s="33" t="s">
        <v>75</v>
      </c>
      <c r="G187" s="33" t="s">
        <v>75</v>
      </c>
      <c r="H187" s="33" t="s">
        <v>75</v>
      </c>
      <c r="I187" s="33" t="s">
        <v>75</v>
      </c>
      <c r="J187" s="33" t="s">
        <v>75</v>
      </c>
      <c r="K187" s="33" t="s">
        <v>75</v>
      </c>
      <c r="L187" s="33" t="s">
        <v>75</v>
      </c>
      <c r="M187" s="33" t="s">
        <v>75</v>
      </c>
      <c r="N187" s="33" t="s">
        <v>75</v>
      </c>
      <c r="O187" s="33" t="s">
        <v>75</v>
      </c>
      <c r="P187" s="33" t="s">
        <v>75</v>
      </c>
      <c r="Q187" s="33" t="s">
        <v>75</v>
      </c>
      <c r="R187" s="33" t="s">
        <v>75</v>
      </c>
      <c r="S187" s="33" t="s">
        <v>75</v>
      </c>
      <c r="T187" s="33" t="s">
        <v>75</v>
      </c>
      <c r="U187" s="33" t="s">
        <v>75</v>
      </c>
      <c r="V187" s="33" t="s">
        <v>75</v>
      </c>
      <c r="W187" s="33" t="s">
        <v>75</v>
      </c>
      <c r="X187" s="33" t="s">
        <v>75</v>
      </c>
      <c r="Y187" s="33" t="s">
        <v>75</v>
      </c>
      <c r="Z187" s="33" t="s">
        <v>75</v>
      </c>
      <c r="AA187" s="33" t="s">
        <v>75</v>
      </c>
      <c r="AB187" s="33" t="s">
        <v>75</v>
      </c>
      <c r="AC187" s="33" t="s">
        <v>75</v>
      </c>
      <c r="AD187" s="33" t="s">
        <v>75</v>
      </c>
      <c r="AE187" s="148" t="s">
        <v>72</v>
      </c>
      <c r="AF187" s="6">
        <v>847</v>
      </c>
      <c r="AG187" s="6"/>
      <c r="AH187" s="35">
        <f t="shared" si="52"/>
        <v>234</v>
      </c>
      <c r="AI187" s="35">
        <v>1061</v>
      </c>
      <c r="AJ187" s="35"/>
      <c r="AK187" s="35">
        <f t="shared" si="53"/>
        <v>214</v>
      </c>
      <c r="AL187" s="6"/>
      <c r="AM187" s="6"/>
      <c r="AN187" s="35"/>
      <c r="AO187" s="6">
        <v>189</v>
      </c>
      <c r="AP187" s="6">
        <v>1100</v>
      </c>
      <c r="AQ187" s="34">
        <f t="shared" si="54"/>
        <v>228</v>
      </c>
      <c r="AR187" s="35">
        <v>409</v>
      </c>
      <c r="AS187" s="35"/>
      <c r="AT187" s="35">
        <f t="shared" si="55"/>
        <v>220</v>
      </c>
      <c r="AU187" s="6">
        <v>629</v>
      </c>
      <c r="AV187" s="6"/>
      <c r="AW187" s="35">
        <f t="shared" si="56"/>
        <v>220</v>
      </c>
      <c r="AX187" s="6">
        <v>863</v>
      </c>
      <c r="AY187" s="6"/>
      <c r="AZ187" s="35">
        <f t="shared" si="57"/>
        <v>234</v>
      </c>
      <c r="BA187" s="35">
        <v>956</v>
      </c>
      <c r="BB187" s="35"/>
      <c r="BC187" s="35">
        <f t="shared" si="58"/>
        <v>93</v>
      </c>
      <c r="BD187" s="6">
        <v>956</v>
      </c>
      <c r="BE187" s="6"/>
      <c r="BF187" s="35">
        <f t="shared" si="59"/>
        <v>0</v>
      </c>
      <c r="BG187" s="35"/>
      <c r="BH187" s="6"/>
      <c r="BI187" s="6"/>
      <c r="BJ187" s="6">
        <v>956</v>
      </c>
      <c r="BK187" s="6"/>
      <c r="BL187" s="6">
        <f t="shared" si="60"/>
        <v>0</v>
      </c>
      <c r="BM187" s="6">
        <v>956</v>
      </c>
      <c r="BN187" s="6"/>
      <c r="BO187" s="6">
        <f t="shared" si="61"/>
        <v>0</v>
      </c>
      <c r="BP187" s="6">
        <v>0</v>
      </c>
      <c r="BQ187" s="6">
        <v>956</v>
      </c>
      <c r="BR187" s="35">
        <f t="shared" si="62"/>
        <v>0</v>
      </c>
      <c r="BS187" s="6">
        <v>0</v>
      </c>
      <c r="BT187" s="6"/>
      <c r="BU187" s="6">
        <f t="shared" si="63"/>
        <v>0</v>
      </c>
      <c r="BV187" s="6">
        <v>0</v>
      </c>
      <c r="BW187" s="6"/>
      <c r="BX187" s="35">
        <f t="shared" si="64"/>
        <v>0</v>
      </c>
      <c r="BY187" s="6">
        <v>0</v>
      </c>
      <c r="BZ187" s="6"/>
      <c r="CA187" s="6">
        <f t="shared" si="65"/>
        <v>0</v>
      </c>
      <c r="CB187" s="6"/>
      <c r="CC187" s="6"/>
      <c r="CD187" s="6"/>
      <c r="CE187" s="6">
        <v>0</v>
      </c>
      <c r="CF187" s="6"/>
      <c r="CG187" s="6">
        <f t="shared" si="66"/>
        <v>0</v>
      </c>
      <c r="CH187" s="6">
        <v>210</v>
      </c>
      <c r="CI187" s="6"/>
      <c r="CJ187" s="6">
        <f t="shared" si="67"/>
        <v>210</v>
      </c>
      <c r="CK187" s="6">
        <v>437</v>
      </c>
      <c r="CL187" s="6"/>
      <c r="CM187" s="6">
        <f t="shared" si="68"/>
        <v>227</v>
      </c>
      <c r="CN187" s="6">
        <v>668</v>
      </c>
      <c r="CO187" s="6"/>
      <c r="CP187" s="6">
        <f t="shared" si="69"/>
        <v>231</v>
      </c>
      <c r="CQ187" s="6">
        <v>895</v>
      </c>
      <c r="CR187" s="6"/>
      <c r="CS187" s="6">
        <f t="shared" si="70"/>
        <v>227</v>
      </c>
      <c r="CT187" s="6">
        <v>19</v>
      </c>
      <c r="CU187" s="6">
        <v>1100</v>
      </c>
      <c r="CV187" s="6">
        <f t="shared" si="71"/>
        <v>224</v>
      </c>
      <c r="CW187" s="6"/>
      <c r="CX187" s="6"/>
      <c r="CY187" s="6"/>
      <c r="CZ187" s="6">
        <v>241</v>
      </c>
      <c r="DA187" s="6"/>
      <c r="DB187" s="6">
        <f t="shared" si="72"/>
        <v>222</v>
      </c>
      <c r="DC187" s="6">
        <v>467</v>
      </c>
      <c r="DD187" s="6"/>
      <c r="DE187" s="6">
        <f t="shared" si="73"/>
        <v>226</v>
      </c>
      <c r="DF187" s="6">
        <v>693</v>
      </c>
      <c r="DG187" s="6"/>
      <c r="DH187" s="6">
        <f t="shared" si="74"/>
        <v>226</v>
      </c>
      <c r="DI187" s="6">
        <v>118</v>
      </c>
      <c r="DJ187" s="6">
        <v>800</v>
      </c>
      <c r="DK187" s="6">
        <f t="shared" si="75"/>
        <v>225</v>
      </c>
      <c r="DL187" s="6">
        <v>340</v>
      </c>
      <c r="DM187" s="6"/>
      <c r="DN187" s="6">
        <f t="shared" si="76"/>
        <v>222</v>
      </c>
      <c r="DO187" s="6">
        <v>151</v>
      </c>
      <c r="DP187" s="6">
        <v>380</v>
      </c>
      <c r="DQ187" s="6">
        <f t="shared" si="77"/>
        <v>191</v>
      </c>
    </row>
    <row r="188" spans="1:121">
      <c r="A188" s="6">
        <v>184</v>
      </c>
      <c r="B188" s="6">
        <v>1481</v>
      </c>
      <c r="C188" s="6"/>
      <c r="D188" s="8">
        <v>373</v>
      </c>
      <c r="E188" s="33" t="s">
        <v>69</v>
      </c>
      <c r="F188" s="33" t="s">
        <v>69</v>
      </c>
      <c r="G188" s="33" t="s">
        <v>69</v>
      </c>
      <c r="H188" s="33" t="s">
        <v>69</v>
      </c>
      <c r="I188" s="33" t="s">
        <v>69</v>
      </c>
      <c r="J188" s="33" t="s">
        <v>69</v>
      </c>
      <c r="K188" s="33" t="s">
        <v>69</v>
      </c>
      <c r="L188" s="33" t="s">
        <v>69</v>
      </c>
      <c r="M188" s="33" t="s">
        <v>69</v>
      </c>
      <c r="N188" s="33" t="s">
        <v>69</v>
      </c>
      <c r="O188" s="33" t="s">
        <v>69</v>
      </c>
      <c r="P188" s="33" t="s">
        <v>69</v>
      </c>
      <c r="Q188" s="33" t="s">
        <v>69</v>
      </c>
      <c r="R188" s="33" t="s">
        <v>69</v>
      </c>
      <c r="S188" s="33" t="s">
        <v>69</v>
      </c>
      <c r="T188" s="33" t="s">
        <v>69</v>
      </c>
      <c r="U188" s="33" t="s">
        <v>69</v>
      </c>
      <c r="V188" s="148" t="s">
        <v>79</v>
      </c>
      <c r="W188" s="33" t="s">
        <v>79</v>
      </c>
      <c r="X188" s="33" t="s">
        <v>79</v>
      </c>
      <c r="Y188" s="33" t="s">
        <v>79</v>
      </c>
      <c r="Z188" s="33" t="s">
        <v>79</v>
      </c>
      <c r="AA188" s="33" t="s">
        <v>79</v>
      </c>
      <c r="AB188" s="33" t="s">
        <v>79</v>
      </c>
      <c r="AC188" s="33" t="s">
        <v>79</v>
      </c>
      <c r="AD188" s="33" t="s">
        <v>79</v>
      </c>
      <c r="AE188" s="33" t="s">
        <v>79</v>
      </c>
      <c r="AF188" s="6">
        <v>298</v>
      </c>
      <c r="AG188" s="6">
        <v>1560</v>
      </c>
      <c r="AH188" s="35">
        <f t="shared" si="52"/>
        <v>377</v>
      </c>
      <c r="AI188" s="35">
        <v>659</v>
      </c>
      <c r="AJ188" s="35"/>
      <c r="AK188" s="35">
        <f t="shared" si="53"/>
        <v>361</v>
      </c>
      <c r="AL188" s="6"/>
      <c r="AM188" s="6"/>
      <c r="AN188" s="35"/>
      <c r="AO188" s="6">
        <v>1027</v>
      </c>
      <c r="AP188" s="6"/>
      <c r="AQ188" s="34">
        <f t="shared" si="54"/>
        <v>368</v>
      </c>
      <c r="AR188" s="35">
        <v>1390</v>
      </c>
      <c r="AS188" s="35"/>
      <c r="AT188" s="35">
        <f t="shared" si="55"/>
        <v>363</v>
      </c>
      <c r="AU188" s="6">
        <v>188</v>
      </c>
      <c r="AV188" s="6">
        <v>1560</v>
      </c>
      <c r="AW188" s="35">
        <f t="shared" si="56"/>
        <v>358</v>
      </c>
      <c r="AX188" s="6">
        <v>550</v>
      </c>
      <c r="AY188" s="6"/>
      <c r="AZ188" s="35">
        <f t="shared" si="57"/>
        <v>362</v>
      </c>
      <c r="BA188" s="35">
        <v>912</v>
      </c>
      <c r="BB188" s="35"/>
      <c r="BC188" s="35">
        <f t="shared" si="58"/>
        <v>362</v>
      </c>
      <c r="BD188" s="6">
        <v>268</v>
      </c>
      <c r="BE188" s="6">
        <v>990</v>
      </c>
      <c r="BF188" s="35">
        <f t="shared" si="59"/>
        <v>346</v>
      </c>
      <c r="BG188" s="35"/>
      <c r="BH188" s="6"/>
      <c r="BI188" s="6"/>
      <c r="BJ188" s="6">
        <v>630</v>
      </c>
      <c r="BK188" s="6"/>
      <c r="BL188" s="6">
        <f t="shared" si="60"/>
        <v>362</v>
      </c>
      <c r="BM188" s="6">
        <v>984</v>
      </c>
      <c r="BN188" s="6"/>
      <c r="BO188" s="6">
        <f t="shared" si="61"/>
        <v>354</v>
      </c>
      <c r="BP188" s="6">
        <v>1340</v>
      </c>
      <c r="BQ188" s="6"/>
      <c r="BR188" s="35">
        <f t="shared" si="62"/>
        <v>356</v>
      </c>
      <c r="BS188" s="6">
        <v>134</v>
      </c>
      <c r="BT188" s="6">
        <v>1560</v>
      </c>
      <c r="BU188" s="6">
        <f t="shared" si="63"/>
        <v>354</v>
      </c>
      <c r="BV188" s="6">
        <v>500</v>
      </c>
      <c r="BW188" s="6"/>
      <c r="BX188" s="35">
        <f t="shared" si="64"/>
        <v>366</v>
      </c>
      <c r="BY188" s="6">
        <v>0</v>
      </c>
      <c r="BZ188" s="6">
        <v>646</v>
      </c>
      <c r="CA188" s="6">
        <f t="shared" si="65"/>
        <v>146</v>
      </c>
      <c r="CB188" s="6"/>
      <c r="CC188" s="6"/>
      <c r="CD188" s="6"/>
      <c r="CE188" s="6">
        <v>0</v>
      </c>
      <c r="CF188" s="6"/>
      <c r="CG188" s="6">
        <f t="shared" si="66"/>
        <v>0</v>
      </c>
      <c r="CH188" s="6">
        <v>0</v>
      </c>
      <c r="CI188" s="6"/>
      <c r="CJ188" s="6">
        <f t="shared" si="67"/>
        <v>0</v>
      </c>
      <c r="CK188" s="6">
        <v>0</v>
      </c>
      <c r="CL188" s="6"/>
      <c r="CM188" s="6">
        <f t="shared" si="68"/>
        <v>0</v>
      </c>
      <c r="CN188" s="6">
        <v>0</v>
      </c>
      <c r="CO188" s="6"/>
      <c r="CP188" s="6">
        <f t="shared" si="69"/>
        <v>0</v>
      </c>
      <c r="CQ188" s="6">
        <v>0</v>
      </c>
      <c r="CR188" s="6"/>
      <c r="CS188" s="6">
        <f t="shared" si="70"/>
        <v>0</v>
      </c>
      <c r="CT188" s="6">
        <v>0</v>
      </c>
      <c r="CU188" s="6"/>
      <c r="CV188" s="6">
        <f t="shared" si="71"/>
        <v>0</v>
      </c>
      <c r="CW188" s="6"/>
      <c r="CX188" s="6"/>
      <c r="CY188" s="6"/>
      <c r="CZ188" s="6">
        <v>0</v>
      </c>
      <c r="DA188" s="6"/>
      <c r="DB188" s="6">
        <f t="shared" si="72"/>
        <v>0</v>
      </c>
      <c r="DC188" s="6">
        <v>251</v>
      </c>
      <c r="DD188" s="6"/>
      <c r="DE188" s="6">
        <f t="shared" si="73"/>
        <v>251</v>
      </c>
      <c r="DF188" s="6">
        <v>443</v>
      </c>
      <c r="DG188" s="6"/>
      <c r="DH188" s="6">
        <f t="shared" si="74"/>
        <v>192</v>
      </c>
      <c r="DI188" s="6">
        <v>139</v>
      </c>
      <c r="DJ188" s="6">
        <v>534</v>
      </c>
      <c r="DK188" s="6">
        <f t="shared" si="75"/>
        <v>230</v>
      </c>
      <c r="DL188" s="6">
        <v>351</v>
      </c>
      <c r="DM188" s="6"/>
      <c r="DN188" s="6">
        <f t="shared" si="76"/>
        <v>212</v>
      </c>
      <c r="DO188" s="6">
        <v>546</v>
      </c>
      <c r="DP188" s="6"/>
      <c r="DQ188" s="6">
        <f t="shared" si="77"/>
        <v>195</v>
      </c>
    </row>
    <row r="189" spans="1:121">
      <c r="A189" s="6">
        <v>185</v>
      </c>
      <c r="B189" s="6">
        <v>191</v>
      </c>
      <c r="C189" s="6">
        <v>1560</v>
      </c>
      <c r="D189" s="6">
        <v>371</v>
      </c>
      <c r="E189" s="33" t="s">
        <v>37</v>
      </c>
      <c r="F189" s="33" t="s">
        <v>37</v>
      </c>
      <c r="G189" s="33" t="s">
        <v>37</v>
      </c>
      <c r="H189" s="33" t="s">
        <v>37</v>
      </c>
      <c r="I189" s="33" t="s">
        <v>37</v>
      </c>
      <c r="J189" s="33" t="s">
        <v>37</v>
      </c>
      <c r="K189" s="33" t="s">
        <v>37</v>
      </c>
      <c r="L189" s="33" t="s">
        <v>37</v>
      </c>
      <c r="M189" s="33" t="s">
        <v>37</v>
      </c>
      <c r="N189" s="33" t="s">
        <v>37</v>
      </c>
      <c r="O189" s="33" t="s">
        <v>37</v>
      </c>
      <c r="P189" s="33" t="s">
        <v>37</v>
      </c>
      <c r="Q189" s="33" t="s">
        <v>37</v>
      </c>
      <c r="R189" s="33" t="s">
        <v>37</v>
      </c>
      <c r="S189" s="33" t="s">
        <v>37</v>
      </c>
      <c r="T189" s="33" t="s">
        <v>37</v>
      </c>
      <c r="U189" s="33" t="s">
        <v>37</v>
      </c>
      <c r="V189" s="33" t="s">
        <v>37</v>
      </c>
      <c r="W189" s="33" t="s">
        <v>37</v>
      </c>
      <c r="X189" s="148" t="s">
        <v>72</v>
      </c>
      <c r="Y189" s="33" t="s">
        <v>72</v>
      </c>
      <c r="Z189" s="33" t="s">
        <v>72</v>
      </c>
      <c r="AA189" s="33" t="s">
        <v>72</v>
      </c>
      <c r="AB189" s="33" t="s">
        <v>72</v>
      </c>
      <c r="AC189" s="33" t="s">
        <v>72</v>
      </c>
      <c r="AD189" s="33" t="s">
        <v>72</v>
      </c>
      <c r="AE189" s="33" t="s">
        <v>72</v>
      </c>
      <c r="AF189" s="6">
        <v>569</v>
      </c>
      <c r="AG189" s="6"/>
      <c r="AH189" s="35">
        <f t="shared" si="52"/>
        <v>378</v>
      </c>
      <c r="AI189" s="35">
        <v>929</v>
      </c>
      <c r="AJ189" s="35"/>
      <c r="AK189" s="35">
        <f t="shared" si="53"/>
        <v>360</v>
      </c>
      <c r="AL189" s="6"/>
      <c r="AM189" s="6"/>
      <c r="AN189" s="35"/>
      <c r="AO189" s="6">
        <v>1303</v>
      </c>
      <c r="AP189" s="6"/>
      <c r="AQ189" s="34">
        <f t="shared" si="54"/>
        <v>374</v>
      </c>
      <c r="AR189" s="35">
        <v>116</v>
      </c>
      <c r="AS189" s="35">
        <v>1560</v>
      </c>
      <c r="AT189" s="35">
        <f t="shared" si="55"/>
        <v>373</v>
      </c>
      <c r="AU189" s="6">
        <v>488</v>
      </c>
      <c r="AV189" s="6"/>
      <c r="AW189" s="35">
        <f t="shared" si="56"/>
        <v>372</v>
      </c>
      <c r="AX189" s="6">
        <v>39</v>
      </c>
      <c r="AY189" s="6">
        <v>822</v>
      </c>
      <c r="AZ189" s="35">
        <f t="shared" si="57"/>
        <v>373</v>
      </c>
      <c r="BA189" s="35">
        <v>415</v>
      </c>
      <c r="BB189" s="35"/>
      <c r="BC189" s="35">
        <f t="shared" si="58"/>
        <v>376</v>
      </c>
      <c r="BD189" s="6">
        <v>775</v>
      </c>
      <c r="BE189" s="6"/>
      <c r="BF189" s="35">
        <f t="shared" si="59"/>
        <v>360</v>
      </c>
      <c r="BG189" s="35"/>
      <c r="BH189" s="6"/>
      <c r="BI189" s="6"/>
      <c r="BJ189" s="6">
        <v>1153</v>
      </c>
      <c r="BK189" s="6"/>
      <c r="BL189" s="6">
        <f t="shared" si="60"/>
        <v>378</v>
      </c>
      <c r="BM189" s="6">
        <v>1517</v>
      </c>
      <c r="BN189" s="6"/>
      <c r="BO189" s="6">
        <f t="shared" si="61"/>
        <v>364</v>
      </c>
      <c r="BP189" s="6">
        <v>311</v>
      </c>
      <c r="BQ189" s="6">
        <v>1560</v>
      </c>
      <c r="BR189" s="35">
        <f t="shared" si="62"/>
        <v>354</v>
      </c>
      <c r="BS189" s="6">
        <v>670</v>
      </c>
      <c r="BT189" s="6"/>
      <c r="BU189" s="6">
        <f t="shared" si="63"/>
        <v>359</v>
      </c>
      <c r="BV189" s="6">
        <v>1035</v>
      </c>
      <c r="BW189" s="6"/>
      <c r="BX189" s="35">
        <f t="shared" si="64"/>
        <v>365</v>
      </c>
      <c r="BY189" s="6">
        <v>58</v>
      </c>
      <c r="BZ189" s="6">
        <v>1316</v>
      </c>
      <c r="CA189" s="6">
        <f t="shared" si="65"/>
        <v>339</v>
      </c>
      <c r="CB189" s="6"/>
      <c r="CC189" s="6"/>
      <c r="CD189" s="6"/>
      <c r="CE189" s="6">
        <v>419</v>
      </c>
      <c r="CF189" s="6"/>
      <c r="CG189" s="6">
        <f t="shared" si="66"/>
        <v>361</v>
      </c>
      <c r="CH189" s="6">
        <v>773</v>
      </c>
      <c r="CI189" s="6"/>
      <c r="CJ189" s="6">
        <f t="shared" si="67"/>
        <v>354</v>
      </c>
      <c r="CK189" s="6">
        <v>0</v>
      </c>
      <c r="CL189" s="6">
        <v>1045</v>
      </c>
      <c r="CM189" s="6">
        <f t="shared" si="68"/>
        <v>272</v>
      </c>
      <c r="CN189" s="6">
        <v>0</v>
      </c>
      <c r="CO189" s="6"/>
      <c r="CP189" s="6">
        <f t="shared" si="69"/>
        <v>0</v>
      </c>
      <c r="CQ189" s="6">
        <v>161</v>
      </c>
      <c r="CR189" s="6"/>
      <c r="CS189" s="6">
        <f t="shared" si="70"/>
        <v>161</v>
      </c>
      <c r="CT189" s="6">
        <v>380</v>
      </c>
      <c r="CU189" s="6"/>
      <c r="CV189" s="6">
        <f t="shared" si="71"/>
        <v>219</v>
      </c>
      <c r="CW189" s="6"/>
      <c r="CX189" s="6"/>
      <c r="CY189" s="6"/>
      <c r="CZ189" s="6">
        <v>91</v>
      </c>
      <c r="DA189" s="6">
        <v>493</v>
      </c>
      <c r="DB189" s="6">
        <f t="shared" si="72"/>
        <v>204</v>
      </c>
      <c r="DC189" s="6">
        <v>281</v>
      </c>
      <c r="DD189" s="6"/>
      <c r="DE189" s="6">
        <f t="shared" si="73"/>
        <v>190</v>
      </c>
      <c r="DF189" s="6">
        <v>80</v>
      </c>
      <c r="DG189" s="6">
        <v>424</v>
      </c>
      <c r="DH189" s="6">
        <f t="shared" si="74"/>
        <v>223</v>
      </c>
      <c r="DI189" s="6">
        <v>57</v>
      </c>
      <c r="DJ189" s="6">
        <v>252</v>
      </c>
      <c r="DK189" s="6">
        <f t="shared" si="75"/>
        <v>229</v>
      </c>
      <c r="DL189" s="6">
        <v>287</v>
      </c>
      <c r="DM189" s="6"/>
      <c r="DN189" s="6">
        <f t="shared" si="76"/>
        <v>230</v>
      </c>
      <c r="DO189" s="6">
        <v>73</v>
      </c>
      <c r="DP189" s="6">
        <v>422</v>
      </c>
      <c r="DQ189" s="6">
        <f t="shared" si="77"/>
        <v>208</v>
      </c>
    </row>
    <row r="190" spans="1:121" ht="14.25" customHeight="1">
      <c r="A190" s="6">
        <v>186</v>
      </c>
      <c r="B190" s="6">
        <v>1048</v>
      </c>
      <c r="C190" s="6"/>
      <c r="D190" s="6">
        <v>343</v>
      </c>
      <c r="E190" s="33" t="s">
        <v>37</v>
      </c>
      <c r="F190" s="33" t="s">
        <v>37</v>
      </c>
      <c r="G190" s="33" t="s">
        <v>37</v>
      </c>
      <c r="H190" s="33" t="s">
        <v>37</v>
      </c>
      <c r="I190" s="33" t="s">
        <v>37</v>
      </c>
      <c r="J190" s="33" t="s">
        <v>37</v>
      </c>
      <c r="K190" s="33" t="s">
        <v>37</v>
      </c>
      <c r="L190" s="33" t="s">
        <v>37</v>
      </c>
      <c r="M190" s="33" t="s">
        <v>37</v>
      </c>
      <c r="N190" s="33" t="s">
        <v>37</v>
      </c>
      <c r="O190" s="33" t="s">
        <v>37</v>
      </c>
      <c r="P190" s="33" t="s">
        <v>37</v>
      </c>
      <c r="Q190" s="33" t="s">
        <v>37</v>
      </c>
      <c r="R190" s="33" t="s">
        <v>37</v>
      </c>
      <c r="S190" s="33" t="s">
        <v>37</v>
      </c>
      <c r="T190" s="33" t="s">
        <v>37</v>
      </c>
      <c r="U190" s="33" t="s">
        <v>37</v>
      </c>
      <c r="V190" s="33" t="s">
        <v>37</v>
      </c>
      <c r="W190" s="33" t="s">
        <v>37</v>
      </c>
      <c r="X190" s="33" t="s">
        <v>37</v>
      </c>
      <c r="Y190" s="148" t="s">
        <v>72</v>
      </c>
      <c r="Z190" s="33" t="s">
        <v>72</v>
      </c>
      <c r="AA190" s="33" t="s">
        <v>72</v>
      </c>
      <c r="AB190" s="33" t="s">
        <v>72</v>
      </c>
      <c r="AC190" s="33" t="s">
        <v>72</v>
      </c>
      <c r="AD190" s="33" t="s">
        <v>72</v>
      </c>
      <c r="AE190" s="33" t="s">
        <v>72</v>
      </c>
      <c r="AF190" s="35">
        <v>1420</v>
      </c>
      <c r="AG190" s="35"/>
      <c r="AH190" s="35">
        <f t="shared" si="52"/>
        <v>372</v>
      </c>
      <c r="AI190" s="35">
        <v>218</v>
      </c>
      <c r="AJ190" s="35">
        <v>1560</v>
      </c>
      <c r="AK190" s="35">
        <f t="shared" si="53"/>
        <v>358</v>
      </c>
      <c r="AL190" s="6"/>
      <c r="AM190" s="6"/>
      <c r="AN190" s="35"/>
      <c r="AO190" s="6">
        <v>592</v>
      </c>
      <c r="AP190" s="6"/>
      <c r="AQ190" s="34">
        <f t="shared" si="54"/>
        <v>374</v>
      </c>
      <c r="AR190" s="35">
        <v>949</v>
      </c>
      <c r="AS190" s="35"/>
      <c r="AT190" s="35">
        <f t="shared" si="55"/>
        <v>357</v>
      </c>
      <c r="AU190" s="6">
        <v>1318</v>
      </c>
      <c r="AV190" s="6"/>
      <c r="AW190" s="35">
        <f t="shared" si="56"/>
        <v>369</v>
      </c>
      <c r="AX190" s="6">
        <v>125</v>
      </c>
      <c r="AY190" s="6">
        <v>1560</v>
      </c>
      <c r="AZ190" s="35">
        <f t="shared" si="57"/>
        <v>367</v>
      </c>
      <c r="BA190" s="6">
        <v>504</v>
      </c>
      <c r="BB190" s="6"/>
      <c r="BC190" s="35">
        <f t="shared" si="58"/>
        <v>379</v>
      </c>
      <c r="BD190" s="6">
        <v>865</v>
      </c>
      <c r="BE190" s="6"/>
      <c r="BF190" s="35">
        <f t="shared" si="59"/>
        <v>361</v>
      </c>
      <c r="BG190" s="35"/>
      <c r="BH190" s="6"/>
      <c r="BI190" s="35"/>
      <c r="BJ190" s="6">
        <v>1237</v>
      </c>
      <c r="BK190" s="35"/>
      <c r="BL190" s="6">
        <f t="shared" si="60"/>
        <v>372</v>
      </c>
      <c r="BM190" s="6">
        <v>53</v>
      </c>
      <c r="BN190" s="6">
        <v>1560</v>
      </c>
      <c r="BO190" s="6">
        <f t="shared" si="61"/>
        <v>376</v>
      </c>
      <c r="BP190" s="6">
        <v>429</v>
      </c>
      <c r="BQ190" s="6"/>
      <c r="BR190" s="35">
        <f t="shared" si="62"/>
        <v>376</v>
      </c>
      <c r="BS190" s="6">
        <v>806</v>
      </c>
      <c r="BT190" s="6"/>
      <c r="BU190" s="6">
        <f t="shared" si="63"/>
        <v>377</v>
      </c>
      <c r="BV190" s="6">
        <v>1181</v>
      </c>
      <c r="BW190" s="6"/>
      <c r="BX190" s="35">
        <f t="shared" si="64"/>
        <v>375</v>
      </c>
      <c r="BY190" s="6">
        <v>1536</v>
      </c>
      <c r="BZ190" s="35"/>
      <c r="CA190" s="6">
        <f t="shared" si="65"/>
        <v>355</v>
      </c>
      <c r="CB190" s="6"/>
      <c r="CC190" s="6"/>
      <c r="CD190" s="35"/>
      <c r="CE190" s="6">
        <v>352</v>
      </c>
      <c r="CF190" s="35">
        <v>1560</v>
      </c>
      <c r="CG190" s="6">
        <f t="shared" si="66"/>
        <v>376</v>
      </c>
      <c r="CH190" s="6">
        <v>726</v>
      </c>
      <c r="CI190" s="6"/>
      <c r="CJ190" s="6">
        <f t="shared" si="67"/>
        <v>374</v>
      </c>
      <c r="CK190" s="6">
        <v>349</v>
      </c>
      <c r="CL190" s="6">
        <v>727</v>
      </c>
      <c r="CM190" s="6">
        <f t="shared" si="68"/>
        <v>350</v>
      </c>
      <c r="CN190" s="6">
        <v>715</v>
      </c>
      <c r="CO190" s="6"/>
      <c r="CP190" s="6">
        <f t="shared" si="69"/>
        <v>366</v>
      </c>
      <c r="CQ190" s="35">
        <v>0</v>
      </c>
      <c r="CR190" s="6">
        <v>895</v>
      </c>
      <c r="CS190" s="6">
        <f t="shared" si="70"/>
        <v>180</v>
      </c>
      <c r="CT190" s="6">
        <v>197</v>
      </c>
      <c r="CU190" s="6"/>
      <c r="CV190" s="6">
        <f t="shared" si="71"/>
        <v>197</v>
      </c>
      <c r="CW190" s="6"/>
      <c r="CX190" s="6"/>
      <c r="CY190" s="6"/>
      <c r="CZ190" s="6">
        <v>430</v>
      </c>
      <c r="DA190" s="6"/>
      <c r="DB190" s="6">
        <f t="shared" si="72"/>
        <v>233</v>
      </c>
      <c r="DC190" s="6">
        <v>658</v>
      </c>
      <c r="DD190" s="6"/>
      <c r="DE190" s="6">
        <f t="shared" si="73"/>
        <v>228</v>
      </c>
      <c r="DF190" s="6">
        <v>98</v>
      </c>
      <c r="DG190" s="6">
        <v>790</v>
      </c>
      <c r="DH190" s="6">
        <f t="shared" si="74"/>
        <v>230</v>
      </c>
      <c r="DI190" s="6">
        <v>329</v>
      </c>
      <c r="DJ190" s="6"/>
      <c r="DK190" s="6">
        <f t="shared" si="75"/>
        <v>231</v>
      </c>
      <c r="DL190" s="6">
        <v>559</v>
      </c>
      <c r="DM190" s="6"/>
      <c r="DN190" s="6">
        <f t="shared" si="76"/>
        <v>230</v>
      </c>
      <c r="DO190" s="6">
        <v>766</v>
      </c>
      <c r="DP190" s="6"/>
      <c r="DQ190" s="6">
        <f t="shared" si="77"/>
        <v>207</v>
      </c>
    </row>
    <row r="191" spans="1:121">
      <c r="A191" s="6">
        <v>187</v>
      </c>
      <c r="B191" s="6">
        <v>1439</v>
      </c>
      <c r="C191" s="6"/>
      <c r="D191" s="8">
        <v>380</v>
      </c>
      <c r="E191" s="33" t="s">
        <v>69</v>
      </c>
      <c r="F191" s="33" t="s">
        <v>69</v>
      </c>
      <c r="G191" s="33" t="s">
        <v>69</v>
      </c>
      <c r="H191" s="33" t="s">
        <v>69</v>
      </c>
      <c r="I191" s="33" t="s">
        <v>69</v>
      </c>
      <c r="J191" s="33" t="s">
        <v>69</v>
      </c>
      <c r="K191" s="33" t="s">
        <v>69</v>
      </c>
      <c r="L191" s="33" t="s">
        <v>69</v>
      </c>
      <c r="M191" s="33" t="s">
        <v>69</v>
      </c>
      <c r="N191" s="33" t="s">
        <v>69</v>
      </c>
      <c r="O191" s="33" t="s">
        <v>69</v>
      </c>
      <c r="P191" s="33" t="s">
        <v>69</v>
      </c>
      <c r="Q191" s="33" t="s">
        <v>69</v>
      </c>
      <c r="R191" s="33" t="s">
        <v>69</v>
      </c>
      <c r="S191" s="33" t="s">
        <v>69</v>
      </c>
      <c r="T191" s="33" t="s">
        <v>69</v>
      </c>
      <c r="U191" s="33" t="s">
        <v>69</v>
      </c>
      <c r="V191" s="148" t="s">
        <v>79</v>
      </c>
      <c r="W191" s="33" t="s">
        <v>79</v>
      </c>
      <c r="X191" s="33" t="s">
        <v>79</v>
      </c>
      <c r="Y191" s="33" t="s">
        <v>79</v>
      </c>
      <c r="Z191" s="33" t="s">
        <v>79</v>
      </c>
      <c r="AA191" s="33" t="s">
        <v>79</v>
      </c>
      <c r="AB191" s="33" t="s">
        <v>79</v>
      </c>
      <c r="AC191" s="33" t="s">
        <v>79</v>
      </c>
      <c r="AD191" s="33" t="s">
        <v>79</v>
      </c>
      <c r="AE191" s="33" t="s">
        <v>79</v>
      </c>
      <c r="AF191" s="6">
        <v>248</v>
      </c>
      <c r="AG191" s="6">
        <v>1560</v>
      </c>
      <c r="AH191" s="35">
        <f t="shared" si="52"/>
        <v>369</v>
      </c>
      <c r="AI191" s="35">
        <v>606</v>
      </c>
      <c r="AJ191" s="35"/>
      <c r="AK191" s="35">
        <f t="shared" si="53"/>
        <v>358</v>
      </c>
      <c r="AL191" s="6"/>
      <c r="AM191" s="6"/>
      <c r="AN191" s="35"/>
      <c r="AO191" s="6">
        <v>979</v>
      </c>
      <c r="AP191" s="6"/>
      <c r="AQ191" s="34">
        <f t="shared" si="54"/>
        <v>373</v>
      </c>
      <c r="AR191" s="35">
        <v>1355</v>
      </c>
      <c r="AS191" s="35"/>
      <c r="AT191" s="35">
        <f t="shared" si="55"/>
        <v>376</v>
      </c>
      <c r="AU191" s="6">
        <v>168</v>
      </c>
      <c r="AV191" s="6">
        <v>1560</v>
      </c>
      <c r="AW191" s="35">
        <f t="shared" si="56"/>
        <v>373</v>
      </c>
      <c r="AX191" s="6">
        <v>545</v>
      </c>
      <c r="AY191" s="6"/>
      <c r="AZ191" s="35">
        <f t="shared" si="57"/>
        <v>377</v>
      </c>
      <c r="BA191" s="35">
        <v>921</v>
      </c>
      <c r="BB191" s="35"/>
      <c r="BC191" s="35">
        <f t="shared" si="58"/>
        <v>376</v>
      </c>
      <c r="BD191" s="6">
        <v>1284</v>
      </c>
      <c r="BE191" s="6"/>
      <c r="BF191" s="35">
        <f t="shared" si="59"/>
        <v>363</v>
      </c>
      <c r="BG191" s="35"/>
      <c r="BH191" s="6"/>
      <c r="BI191" s="6"/>
      <c r="BJ191" s="6">
        <v>99</v>
      </c>
      <c r="BK191" s="6">
        <v>1560</v>
      </c>
      <c r="BL191" s="6">
        <f t="shared" si="60"/>
        <v>375</v>
      </c>
      <c r="BM191" s="6">
        <v>474</v>
      </c>
      <c r="BN191" s="6"/>
      <c r="BO191" s="6">
        <f t="shared" si="61"/>
        <v>375</v>
      </c>
      <c r="BP191" s="6">
        <v>850</v>
      </c>
      <c r="BQ191" s="6"/>
      <c r="BR191" s="35">
        <f t="shared" si="62"/>
        <v>376</v>
      </c>
      <c r="BS191" s="6">
        <v>1224</v>
      </c>
      <c r="BT191" s="6"/>
      <c r="BU191" s="6">
        <f t="shared" si="63"/>
        <v>374</v>
      </c>
      <c r="BV191" s="6">
        <v>1600</v>
      </c>
      <c r="BW191" s="6"/>
      <c r="BX191" s="35">
        <f t="shared" si="64"/>
        <v>376</v>
      </c>
      <c r="BY191" s="6">
        <v>1956</v>
      </c>
      <c r="BZ191" s="6"/>
      <c r="CA191" s="6">
        <f t="shared" si="65"/>
        <v>356</v>
      </c>
      <c r="CB191" s="6"/>
      <c r="CC191" s="6"/>
      <c r="CD191" s="6"/>
      <c r="CE191" s="6">
        <v>0</v>
      </c>
      <c r="CF191" s="6">
        <v>1958</v>
      </c>
      <c r="CG191" s="6">
        <f t="shared" si="66"/>
        <v>2</v>
      </c>
      <c r="CH191" s="6">
        <v>0</v>
      </c>
      <c r="CI191" s="6"/>
      <c r="CJ191" s="6">
        <f t="shared" si="67"/>
        <v>0</v>
      </c>
      <c r="CK191" s="6">
        <v>0</v>
      </c>
      <c r="CL191" s="6"/>
      <c r="CM191" s="6">
        <f t="shared" si="68"/>
        <v>0</v>
      </c>
      <c r="CN191" s="6">
        <v>0</v>
      </c>
      <c r="CO191" s="6"/>
      <c r="CP191" s="6">
        <f t="shared" si="69"/>
        <v>0</v>
      </c>
      <c r="CQ191" s="6">
        <v>0</v>
      </c>
      <c r="CR191" s="6"/>
      <c r="CS191" s="6">
        <f t="shared" si="70"/>
        <v>0</v>
      </c>
      <c r="CT191" s="6">
        <v>0</v>
      </c>
      <c r="CU191" s="6"/>
      <c r="CV191" s="6">
        <f t="shared" si="71"/>
        <v>0</v>
      </c>
      <c r="CW191" s="6"/>
      <c r="CX191" s="6"/>
      <c r="CY191" s="6"/>
      <c r="CZ191" s="6">
        <v>0</v>
      </c>
      <c r="DA191" s="6"/>
      <c r="DB191" s="6">
        <f t="shared" si="72"/>
        <v>0</v>
      </c>
      <c r="DC191" s="6">
        <v>0</v>
      </c>
      <c r="DD191" s="6"/>
      <c r="DE191" s="6">
        <f t="shared" si="73"/>
        <v>0</v>
      </c>
      <c r="DF191" s="6">
        <v>116</v>
      </c>
      <c r="DG191" s="6"/>
      <c r="DH191" s="6">
        <f t="shared" si="74"/>
        <v>116</v>
      </c>
      <c r="DI191" s="6">
        <v>335</v>
      </c>
      <c r="DJ191" s="6"/>
      <c r="DK191" s="6">
        <f t="shared" si="75"/>
        <v>219</v>
      </c>
      <c r="DL191" s="6">
        <v>557</v>
      </c>
      <c r="DM191" s="6"/>
      <c r="DN191" s="6">
        <f t="shared" si="76"/>
        <v>222</v>
      </c>
      <c r="DO191" s="6">
        <v>756</v>
      </c>
      <c r="DP191" s="6"/>
      <c r="DQ191" s="6">
        <f t="shared" si="77"/>
        <v>199</v>
      </c>
    </row>
    <row r="192" spans="1:121">
      <c r="A192" s="6">
        <v>188</v>
      </c>
      <c r="B192" s="6">
        <v>963</v>
      </c>
      <c r="C192" s="6"/>
      <c r="D192" s="6">
        <v>238</v>
      </c>
      <c r="E192" s="141" t="s">
        <v>75</v>
      </c>
      <c r="F192" s="141" t="s">
        <v>75</v>
      </c>
      <c r="G192" s="141" t="s">
        <v>75</v>
      </c>
      <c r="H192" s="141" t="s">
        <v>75</v>
      </c>
      <c r="I192" s="141" t="s">
        <v>75</v>
      </c>
      <c r="J192" s="141" t="s">
        <v>75</v>
      </c>
      <c r="K192" s="141" t="s">
        <v>75</v>
      </c>
      <c r="L192" s="141" t="s">
        <v>75</v>
      </c>
      <c r="M192" s="141" t="s">
        <v>75</v>
      </c>
      <c r="N192" s="141" t="s">
        <v>75</v>
      </c>
      <c r="O192" s="141" t="s">
        <v>75</v>
      </c>
      <c r="P192" s="141" t="s">
        <v>75</v>
      </c>
      <c r="Q192" s="141" t="s">
        <v>75</v>
      </c>
      <c r="R192" s="163" t="s">
        <v>72</v>
      </c>
      <c r="S192" s="141" t="s">
        <v>72</v>
      </c>
      <c r="T192" s="141" t="s">
        <v>72</v>
      </c>
      <c r="U192" s="141" t="s">
        <v>72</v>
      </c>
      <c r="V192" s="163" t="s">
        <v>79</v>
      </c>
      <c r="W192" s="141" t="s">
        <v>79</v>
      </c>
      <c r="X192" s="141" t="s">
        <v>79</v>
      </c>
      <c r="Y192" s="141" t="s">
        <v>79</v>
      </c>
      <c r="Z192" s="141" t="s">
        <v>79</v>
      </c>
      <c r="AA192" s="141" t="s">
        <v>79</v>
      </c>
      <c r="AB192" s="141" t="s">
        <v>79</v>
      </c>
      <c r="AC192" s="141" t="s">
        <v>79</v>
      </c>
      <c r="AD192" s="141" t="s">
        <v>79</v>
      </c>
      <c r="AE192" s="141" t="s">
        <v>79</v>
      </c>
      <c r="AF192" s="6">
        <v>100</v>
      </c>
      <c r="AG192" s="6">
        <v>1100</v>
      </c>
      <c r="AH192" s="35">
        <f t="shared" si="52"/>
        <v>237</v>
      </c>
      <c r="AI192" s="35">
        <v>330</v>
      </c>
      <c r="AJ192" s="35"/>
      <c r="AK192" s="35">
        <f t="shared" si="53"/>
        <v>230</v>
      </c>
      <c r="AL192" s="6"/>
      <c r="AM192" s="6"/>
      <c r="AN192" s="35"/>
      <c r="AO192" s="6">
        <v>568</v>
      </c>
      <c r="AP192" s="6"/>
      <c r="AQ192" s="34">
        <f t="shared" si="54"/>
        <v>238</v>
      </c>
      <c r="AR192" s="35">
        <v>807</v>
      </c>
      <c r="AS192" s="35"/>
      <c r="AT192" s="35">
        <f t="shared" si="55"/>
        <v>239</v>
      </c>
      <c r="AU192" s="6">
        <v>1044</v>
      </c>
      <c r="AV192" s="6"/>
      <c r="AW192" s="35">
        <f t="shared" si="56"/>
        <v>237</v>
      </c>
      <c r="AX192" s="6">
        <v>74</v>
      </c>
      <c r="AY192" s="6">
        <v>1100</v>
      </c>
      <c r="AZ192" s="35">
        <f t="shared" si="57"/>
        <v>130</v>
      </c>
      <c r="BA192" s="35">
        <v>312</v>
      </c>
      <c r="BB192" s="35"/>
      <c r="BC192" s="35">
        <f t="shared" si="58"/>
        <v>238</v>
      </c>
      <c r="BD192" s="6">
        <v>0</v>
      </c>
      <c r="BE192" s="6">
        <v>526</v>
      </c>
      <c r="BF192" s="35">
        <f t="shared" si="59"/>
        <v>214</v>
      </c>
      <c r="BG192" s="35"/>
      <c r="BH192" s="6"/>
      <c r="BI192" s="6"/>
      <c r="BJ192" s="6">
        <v>0</v>
      </c>
      <c r="BK192" s="6"/>
      <c r="BL192" s="6">
        <f t="shared" si="60"/>
        <v>0</v>
      </c>
      <c r="BM192" s="6">
        <v>0</v>
      </c>
      <c r="BN192" s="6"/>
      <c r="BO192" s="6">
        <f t="shared" si="61"/>
        <v>0</v>
      </c>
      <c r="BP192" s="6">
        <v>0</v>
      </c>
      <c r="BQ192" s="6"/>
      <c r="BR192" s="35">
        <f t="shared" si="62"/>
        <v>0</v>
      </c>
      <c r="BS192" s="6">
        <v>0</v>
      </c>
      <c r="BT192" s="6"/>
      <c r="BU192" s="6">
        <f t="shared" si="63"/>
        <v>0</v>
      </c>
      <c r="BV192" s="6">
        <v>0</v>
      </c>
      <c r="BW192" s="6"/>
      <c r="BX192" s="35">
        <f t="shared" si="64"/>
        <v>0</v>
      </c>
      <c r="BY192" s="6">
        <v>0</v>
      </c>
      <c r="BZ192" s="6"/>
      <c r="CA192" s="6">
        <f t="shared" si="65"/>
        <v>0</v>
      </c>
      <c r="CB192" s="6"/>
      <c r="CC192" s="6"/>
      <c r="CD192" s="6"/>
      <c r="CE192" s="6">
        <v>0</v>
      </c>
      <c r="CF192" s="6"/>
      <c r="CG192" s="6">
        <f t="shared" si="66"/>
        <v>0</v>
      </c>
      <c r="CH192" s="6">
        <v>0</v>
      </c>
      <c r="CI192" s="6"/>
      <c r="CJ192" s="6">
        <f t="shared" si="67"/>
        <v>0</v>
      </c>
      <c r="CK192" s="6">
        <v>0</v>
      </c>
      <c r="CL192" s="6"/>
      <c r="CM192" s="6">
        <f t="shared" si="68"/>
        <v>0</v>
      </c>
      <c r="CN192" s="6">
        <v>0</v>
      </c>
      <c r="CO192" s="6"/>
      <c r="CP192" s="6">
        <f t="shared" si="69"/>
        <v>0</v>
      </c>
      <c r="CQ192" s="6">
        <v>0</v>
      </c>
      <c r="CR192" s="6"/>
      <c r="CS192" s="6">
        <f t="shared" si="70"/>
        <v>0</v>
      </c>
      <c r="CT192" s="6">
        <v>0</v>
      </c>
      <c r="CU192" s="6"/>
      <c r="CV192" s="6">
        <f t="shared" si="71"/>
        <v>0</v>
      </c>
      <c r="CW192" s="6"/>
      <c r="CX192" s="6"/>
      <c r="CY192" s="6"/>
      <c r="CZ192" s="6">
        <v>0</v>
      </c>
      <c r="DA192" s="6"/>
      <c r="DB192" s="6">
        <f t="shared" si="72"/>
        <v>0</v>
      </c>
      <c r="DC192" s="6">
        <v>0</v>
      </c>
      <c r="DD192" s="6"/>
      <c r="DE192" s="6">
        <f t="shared" si="73"/>
        <v>0</v>
      </c>
      <c r="DF192" s="6">
        <v>104</v>
      </c>
      <c r="DG192" s="6"/>
      <c r="DH192" s="6">
        <f t="shared" si="74"/>
        <v>104</v>
      </c>
      <c r="DI192" s="6">
        <v>327</v>
      </c>
      <c r="DJ192" s="6"/>
      <c r="DK192" s="6">
        <f t="shared" si="75"/>
        <v>223</v>
      </c>
      <c r="DL192" s="6">
        <v>558</v>
      </c>
      <c r="DM192" s="6"/>
      <c r="DN192" s="6">
        <f t="shared" si="76"/>
        <v>231</v>
      </c>
      <c r="DO192" s="6">
        <v>759</v>
      </c>
      <c r="DP192" s="6"/>
      <c r="DQ192" s="6">
        <f t="shared" si="77"/>
        <v>201</v>
      </c>
    </row>
    <row r="193" spans="1:121">
      <c r="A193" s="6">
        <v>189</v>
      </c>
      <c r="B193" s="6">
        <v>155</v>
      </c>
      <c r="C193" s="6">
        <v>306</v>
      </c>
      <c r="D193" s="6">
        <v>202</v>
      </c>
      <c r="E193" s="148" t="s">
        <v>79</v>
      </c>
      <c r="F193" s="33" t="s">
        <v>79</v>
      </c>
      <c r="G193" s="33" t="s">
        <v>79</v>
      </c>
      <c r="H193" s="33" t="s">
        <v>79</v>
      </c>
      <c r="I193" s="33" t="s">
        <v>79</v>
      </c>
      <c r="J193" s="33" t="s">
        <v>79</v>
      </c>
      <c r="K193" s="33" t="s">
        <v>79</v>
      </c>
      <c r="L193" s="33" t="s">
        <v>79</v>
      </c>
      <c r="M193" s="33" t="s">
        <v>79</v>
      </c>
      <c r="N193" s="33" t="s">
        <v>79</v>
      </c>
      <c r="O193" s="33" t="s">
        <v>79</v>
      </c>
      <c r="P193" s="33" t="s">
        <v>79</v>
      </c>
      <c r="Q193" s="33" t="s">
        <v>79</v>
      </c>
      <c r="R193" s="33" t="s">
        <v>79</v>
      </c>
      <c r="S193" s="33" t="s">
        <v>79</v>
      </c>
      <c r="T193" s="33" t="s">
        <v>79</v>
      </c>
      <c r="U193" s="33" t="s">
        <v>79</v>
      </c>
      <c r="V193" s="33" t="s">
        <v>79</v>
      </c>
      <c r="W193" s="33" t="s">
        <v>79</v>
      </c>
      <c r="X193" s="33" t="s">
        <v>79</v>
      </c>
      <c r="Y193" s="33" t="s">
        <v>79</v>
      </c>
      <c r="Z193" s="33" t="s">
        <v>79</v>
      </c>
      <c r="AA193" s="148" t="s">
        <v>79</v>
      </c>
      <c r="AB193" s="33" t="s">
        <v>79</v>
      </c>
      <c r="AC193" s="33" t="s">
        <v>79</v>
      </c>
      <c r="AD193" s="33" t="s">
        <v>79</v>
      </c>
      <c r="AE193" s="33" t="s">
        <v>79</v>
      </c>
      <c r="AF193" s="6">
        <v>377</v>
      </c>
      <c r="AG193" s="6"/>
      <c r="AH193" s="35">
        <f t="shared" si="52"/>
        <v>222</v>
      </c>
      <c r="AI193" s="35">
        <v>588</v>
      </c>
      <c r="AJ193" s="35"/>
      <c r="AK193" s="35">
        <f t="shared" si="53"/>
        <v>211</v>
      </c>
      <c r="AL193" s="6"/>
      <c r="AM193" s="6"/>
      <c r="AN193" s="35"/>
      <c r="AO193" s="6">
        <v>803</v>
      </c>
      <c r="AP193" s="6"/>
      <c r="AQ193" s="34">
        <f t="shared" si="54"/>
        <v>215</v>
      </c>
      <c r="AR193" s="35">
        <v>1028</v>
      </c>
      <c r="AS193" s="35"/>
      <c r="AT193" s="35">
        <f t="shared" si="55"/>
        <v>225</v>
      </c>
      <c r="AU193" s="6">
        <v>150</v>
      </c>
      <c r="AV193" s="6">
        <v>1100</v>
      </c>
      <c r="AW193" s="35">
        <f t="shared" si="56"/>
        <v>222</v>
      </c>
      <c r="AX193" s="6">
        <v>375</v>
      </c>
      <c r="AY193" s="6"/>
      <c r="AZ193" s="35">
        <f t="shared" si="57"/>
        <v>225</v>
      </c>
      <c r="BA193" s="35">
        <v>156</v>
      </c>
      <c r="BB193" s="35">
        <v>438</v>
      </c>
      <c r="BC193" s="35">
        <f t="shared" si="58"/>
        <v>219</v>
      </c>
      <c r="BD193" s="6">
        <v>363</v>
      </c>
      <c r="BE193" s="6"/>
      <c r="BF193" s="35">
        <f t="shared" si="59"/>
        <v>207</v>
      </c>
      <c r="BG193" s="35"/>
      <c r="BH193" s="6"/>
      <c r="BI193" s="6"/>
      <c r="BJ193" s="6">
        <v>587</v>
      </c>
      <c r="BK193" s="6"/>
      <c r="BL193" s="6">
        <f t="shared" si="60"/>
        <v>224</v>
      </c>
      <c r="BM193" s="6">
        <v>9</v>
      </c>
      <c r="BN193" s="6">
        <v>800</v>
      </c>
      <c r="BO193" s="6">
        <f t="shared" si="61"/>
        <v>222</v>
      </c>
      <c r="BP193" s="6">
        <v>242</v>
      </c>
      <c r="BQ193" s="6"/>
      <c r="BR193" s="35">
        <f t="shared" si="62"/>
        <v>233</v>
      </c>
      <c r="BS193" s="6">
        <v>475</v>
      </c>
      <c r="BT193" s="6"/>
      <c r="BU193" s="6">
        <f t="shared" si="63"/>
        <v>233</v>
      </c>
      <c r="BV193" s="6">
        <v>711</v>
      </c>
      <c r="BW193" s="6"/>
      <c r="BX193" s="35">
        <f t="shared" si="64"/>
        <v>236</v>
      </c>
      <c r="BY193" s="6">
        <v>131</v>
      </c>
      <c r="BZ193" s="6">
        <v>800</v>
      </c>
      <c r="CA193" s="6">
        <f t="shared" si="65"/>
        <v>220</v>
      </c>
      <c r="CB193" s="6"/>
      <c r="CC193" s="6"/>
      <c r="CD193" s="6"/>
      <c r="CE193" s="6">
        <v>365</v>
      </c>
      <c r="CF193" s="6"/>
      <c r="CG193" s="6">
        <f t="shared" si="66"/>
        <v>234</v>
      </c>
      <c r="CH193" s="6">
        <v>598</v>
      </c>
      <c r="CI193" s="6"/>
      <c r="CJ193" s="6">
        <f t="shared" si="67"/>
        <v>233</v>
      </c>
      <c r="CK193" s="6">
        <v>29</v>
      </c>
      <c r="CL193" s="6">
        <v>800</v>
      </c>
      <c r="CM193" s="6">
        <f t="shared" si="68"/>
        <v>231</v>
      </c>
      <c r="CN193" s="6">
        <v>258</v>
      </c>
      <c r="CO193" s="6"/>
      <c r="CP193" s="6">
        <f t="shared" si="69"/>
        <v>229</v>
      </c>
      <c r="CQ193" s="6">
        <v>489</v>
      </c>
      <c r="CR193" s="6"/>
      <c r="CS193" s="6">
        <f t="shared" si="70"/>
        <v>231</v>
      </c>
      <c r="CT193" s="6">
        <v>108</v>
      </c>
      <c r="CU193" s="6">
        <v>601</v>
      </c>
      <c r="CV193" s="6">
        <f t="shared" si="71"/>
        <v>220</v>
      </c>
      <c r="CW193" s="6"/>
      <c r="CX193" s="6"/>
      <c r="CY193" s="6"/>
      <c r="CZ193" s="6">
        <v>0</v>
      </c>
      <c r="DA193" s="6">
        <v>252</v>
      </c>
      <c r="DB193" s="6">
        <f t="shared" si="72"/>
        <v>144</v>
      </c>
      <c r="DC193" s="6">
        <v>217</v>
      </c>
      <c r="DD193" s="6"/>
      <c r="DE193" s="6">
        <f t="shared" si="73"/>
        <v>217</v>
      </c>
      <c r="DF193" s="6">
        <v>452</v>
      </c>
      <c r="DG193" s="6"/>
      <c r="DH193" s="6">
        <f t="shared" si="74"/>
        <v>235</v>
      </c>
      <c r="DI193" s="6">
        <v>687</v>
      </c>
      <c r="DJ193" s="6"/>
      <c r="DK193" s="6">
        <f t="shared" si="75"/>
        <v>235</v>
      </c>
      <c r="DL193" s="6">
        <v>122</v>
      </c>
      <c r="DM193" s="6">
        <v>800</v>
      </c>
      <c r="DN193" s="6">
        <f t="shared" si="76"/>
        <v>235</v>
      </c>
      <c r="DO193" s="6">
        <v>333</v>
      </c>
      <c r="DP193" s="6"/>
      <c r="DQ193" s="6">
        <f t="shared" si="77"/>
        <v>211</v>
      </c>
    </row>
    <row r="194" spans="1:121">
      <c r="A194" s="6">
        <v>190</v>
      </c>
      <c r="B194" s="6">
        <v>731</v>
      </c>
      <c r="C194" s="6"/>
      <c r="D194" s="6">
        <v>335</v>
      </c>
      <c r="E194" s="33" t="s">
        <v>95</v>
      </c>
      <c r="F194" s="33" t="s">
        <v>95</v>
      </c>
      <c r="G194" s="33" t="s">
        <v>95</v>
      </c>
      <c r="H194" s="33" t="s">
        <v>95</v>
      </c>
      <c r="I194" s="33" t="s">
        <v>95</v>
      </c>
      <c r="J194" s="33" t="s">
        <v>95</v>
      </c>
      <c r="K194" s="148" t="s">
        <v>79</v>
      </c>
      <c r="L194" s="33" t="s">
        <v>79</v>
      </c>
      <c r="M194" s="33" t="s">
        <v>79</v>
      </c>
      <c r="N194" s="33" t="s">
        <v>79</v>
      </c>
      <c r="O194" s="33" t="s">
        <v>79</v>
      </c>
      <c r="P194" s="33" t="s">
        <v>79</v>
      </c>
      <c r="Q194" s="33" t="s">
        <v>79</v>
      </c>
      <c r="R194" s="33" t="s">
        <v>79</v>
      </c>
      <c r="S194" s="33" t="s">
        <v>79</v>
      </c>
      <c r="T194" s="33" t="s">
        <v>79</v>
      </c>
      <c r="U194" s="33" t="s">
        <v>79</v>
      </c>
      <c r="V194" s="33" t="s">
        <v>79</v>
      </c>
      <c r="W194" s="33" t="s">
        <v>79</v>
      </c>
      <c r="X194" s="33" t="s">
        <v>79</v>
      </c>
      <c r="Y194" s="33" t="s">
        <v>79</v>
      </c>
      <c r="Z194" s="33" t="s">
        <v>79</v>
      </c>
      <c r="AA194" s="33" t="s">
        <v>79</v>
      </c>
      <c r="AB194" s="33" t="s">
        <v>79</v>
      </c>
      <c r="AC194" s="33" t="s">
        <v>79</v>
      </c>
      <c r="AD194" s="33" t="s">
        <v>79</v>
      </c>
      <c r="AE194" s="33" t="s">
        <v>79</v>
      </c>
      <c r="AF194" s="6">
        <v>1079</v>
      </c>
      <c r="AG194" s="6"/>
      <c r="AH194" s="35">
        <f t="shared" si="52"/>
        <v>348</v>
      </c>
      <c r="AI194" s="35">
        <v>208</v>
      </c>
      <c r="AJ194" s="35">
        <v>1200</v>
      </c>
      <c r="AK194" s="35">
        <f t="shared" si="53"/>
        <v>329</v>
      </c>
      <c r="AL194" s="6"/>
      <c r="AM194" s="6"/>
      <c r="AN194" s="35"/>
      <c r="AO194" s="6">
        <v>557</v>
      </c>
      <c r="AP194" s="6"/>
      <c r="AQ194" s="34">
        <f t="shared" si="54"/>
        <v>349</v>
      </c>
      <c r="AR194" s="35">
        <v>908</v>
      </c>
      <c r="AS194" s="35"/>
      <c r="AT194" s="35">
        <f t="shared" si="55"/>
        <v>351</v>
      </c>
      <c r="AU194" s="6">
        <v>0</v>
      </c>
      <c r="AV194" s="6">
        <v>1175</v>
      </c>
      <c r="AW194" s="35">
        <f t="shared" si="56"/>
        <v>267</v>
      </c>
      <c r="AX194" s="6">
        <v>169</v>
      </c>
      <c r="AY194" s="6"/>
      <c r="AZ194" s="35">
        <f t="shared" si="57"/>
        <v>169</v>
      </c>
      <c r="BA194" s="35">
        <v>392</v>
      </c>
      <c r="BB194" s="35"/>
      <c r="BC194" s="35">
        <f t="shared" si="58"/>
        <v>223</v>
      </c>
      <c r="BD194" s="6">
        <v>613</v>
      </c>
      <c r="BE194" s="6"/>
      <c r="BF194" s="35">
        <f t="shared" si="59"/>
        <v>221</v>
      </c>
      <c r="BG194" s="35"/>
      <c r="BH194" s="6"/>
      <c r="BI194" s="6"/>
      <c r="BJ194" s="6">
        <v>42</v>
      </c>
      <c r="BK194" s="6">
        <v>800</v>
      </c>
      <c r="BL194" s="6">
        <f t="shared" si="60"/>
        <v>229</v>
      </c>
      <c r="BM194" s="6">
        <v>263</v>
      </c>
      <c r="BN194" s="6"/>
      <c r="BO194" s="6">
        <f t="shared" si="61"/>
        <v>221</v>
      </c>
      <c r="BP194" s="6">
        <v>493</v>
      </c>
      <c r="BQ194" s="6"/>
      <c r="BR194" s="35">
        <f t="shared" si="62"/>
        <v>230</v>
      </c>
      <c r="BS194" s="6">
        <v>726</v>
      </c>
      <c r="BT194" s="6"/>
      <c r="BU194" s="6">
        <f t="shared" si="63"/>
        <v>233</v>
      </c>
      <c r="BV194" s="35">
        <v>157</v>
      </c>
      <c r="BW194" s="6">
        <v>800</v>
      </c>
      <c r="BX194" s="35">
        <f t="shared" si="64"/>
        <v>231</v>
      </c>
      <c r="BY194" s="6">
        <v>378</v>
      </c>
      <c r="BZ194" s="6"/>
      <c r="CA194" s="6">
        <f t="shared" si="65"/>
        <v>221</v>
      </c>
      <c r="CB194" s="6"/>
      <c r="CC194" s="6"/>
      <c r="CD194" s="6"/>
      <c r="CE194" s="6">
        <v>607</v>
      </c>
      <c r="CF194" s="6"/>
      <c r="CG194" s="6">
        <f t="shared" si="66"/>
        <v>229</v>
      </c>
      <c r="CH194" s="6">
        <v>35</v>
      </c>
      <c r="CI194" s="6">
        <v>800</v>
      </c>
      <c r="CJ194" s="6">
        <f t="shared" si="67"/>
        <v>228</v>
      </c>
      <c r="CK194" s="6">
        <v>265</v>
      </c>
      <c r="CL194" s="6"/>
      <c r="CM194" s="6">
        <f t="shared" si="68"/>
        <v>230</v>
      </c>
      <c r="CN194" s="6">
        <v>495</v>
      </c>
      <c r="CO194" s="6"/>
      <c r="CP194" s="6">
        <f t="shared" si="69"/>
        <v>230</v>
      </c>
      <c r="CQ194" s="6">
        <v>720</v>
      </c>
      <c r="CR194" s="6"/>
      <c r="CS194" s="6">
        <f t="shared" si="70"/>
        <v>225</v>
      </c>
      <c r="CT194" s="6">
        <v>138</v>
      </c>
      <c r="CU194" s="6">
        <v>800</v>
      </c>
      <c r="CV194" s="6">
        <f t="shared" si="71"/>
        <v>218</v>
      </c>
      <c r="CW194" s="6"/>
      <c r="CX194" s="6"/>
      <c r="CY194" s="6"/>
      <c r="CZ194" s="6">
        <v>368</v>
      </c>
      <c r="DA194" s="6"/>
      <c r="DB194" s="6">
        <f t="shared" si="72"/>
        <v>230</v>
      </c>
      <c r="DC194" s="6">
        <v>582</v>
      </c>
      <c r="DD194" s="6"/>
      <c r="DE194" s="6">
        <f t="shared" si="73"/>
        <v>214</v>
      </c>
      <c r="DF194" s="6">
        <v>3</v>
      </c>
      <c r="DG194" s="6">
        <v>800</v>
      </c>
      <c r="DH194" s="6">
        <f t="shared" si="74"/>
        <v>221</v>
      </c>
      <c r="DI194" s="6">
        <v>223</v>
      </c>
      <c r="DJ194" s="6"/>
      <c r="DK194" s="6">
        <f t="shared" si="75"/>
        <v>220</v>
      </c>
      <c r="DL194" s="6">
        <v>452</v>
      </c>
      <c r="DM194" s="6"/>
      <c r="DN194" s="6">
        <f t="shared" si="76"/>
        <v>229</v>
      </c>
      <c r="DO194" s="6">
        <v>665</v>
      </c>
      <c r="DP194" s="6"/>
      <c r="DQ194" s="6">
        <f t="shared" si="77"/>
        <v>213</v>
      </c>
    </row>
    <row r="195" spans="1:121">
      <c r="A195" s="6">
        <v>191</v>
      </c>
      <c r="B195" s="6">
        <v>1148</v>
      </c>
      <c r="C195" s="6"/>
      <c r="D195" s="8">
        <v>379</v>
      </c>
      <c r="E195" s="33" t="s">
        <v>69</v>
      </c>
      <c r="F195" s="33" t="s">
        <v>69</v>
      </c>
      <c r="G195" s="33" t="s">
        <v>69</v>
      </c>
      <c r="H195" s="33" t="s">
        <v>69</v>
      </c>
      <c r="I195" s="33" t="s">
        <v>69</v>
      </c>
      <c r="J195" s="33" t="s">
        <v>69</v>
      </c>
      <c r="K195" s="33" t="s">
        <v>69</v>
      </c>
      <c r="L195" s="33" t="s">
        <v>69</v>
      </c>
      <c r="M195" s="33" t="s">
        <v>69</v>
      </c>
      <c r="N195" s="33" t="s">
        <v>69</v>
      </c>
      <c r="O195" s="33" t="s">
        <v>69</v>
      </c>
      <c r="P195" s="33" t="s">
        <v>69</v>
      </c>
      <c r="Q195" s="33" t="s">
        <v>69</v>
      </c>
      <c r="R195" s="33" t="s">
        <v>69</v>
      </c>
      <c r="S195" s="33" t="s">
        <v>69</v>
      </c>
      <c r="T195" s="33" t="s">
        <v>69</v>
      </c>
      <c r="U195" s="33" t="s">
        <v>69</v>
      </c>
      <c r="V195" s="33" t="s">
        <v>69</v>
      </c>
      <c r="W195" s="33" t="s">
        <v>69</v>
      </c>
      <c r="X195" s="148" t="s">
        <v>72</v>
      </c>
      <c r="Y195" s="33" t="s">
        <v>72</v>
      </c>
      <c r="Z195" s="33" t="s">
        <v>72</v>
      </c>
      <c r="AA195" s="33" t="s">
        <v>72</v>
      </c>
      <c r="AB195" s="33" t="s">
        <v>72</v>
      </c>
      <c r="AC195" s="33" t="s">
        <v>72</v>
      </c>
      <c r="AD195" s="33" t="s">
        <v>72</v>
      </c>
      <c r="AE195" s="33" t="s">
        <v>72</v>
      </c>
      <c r="AF195" s="35">
        <v>163</v>
      </c>
      <c r="AG195" s="35">
        <v>1357</v>
      </c>
      <c r="AH195" s="35">
        <f t="shared" si="52"/>
        <v>372</v>
      </c>
      <c r="AI195" s="35">
        <v>517</v>
      </c>
      <c r="AJ195" s="35"/>
      <c r="AK195" s="35">
        <f t="shared" si="53"/>
        <v>354</v>
      </c>
      <c r="AL195" s="6"/>
      <c r="AM195" s="6"/>
      <c r="AN195" s="35"/>
      <c r="AO195" s="6">
        <v>890</v>
      </c>
      <c r="AP195" s="6"/>
      <c r="AQ195" s="34">
        <f t="shared" si="54"/>
        <v>373</v>
      </c>
      <c r="AR195" s="35">
        <v>1267</v>
      </c>
      <c r="AS195" s="35"/>
      <c r="AT195" s="35">
        <f t="shared" si="55"/>
        <v>377</v>
      </c>
      <c r="AU195" s="6">
        <v>78</v>
      </c>
      <c r="AV195" s="6">
        <v>1560</v>
      </c>
      <c r="AW195" s="35">
        <f t="shared" si="56"/>
        <v>371</v>
      </c>
      <c r="AX195" s="6">
        <v>454</v>
      </c>
      <c r="AY195" s="6"/>
      <c r="AZ195" s="35">
        <f t="shared" si="57"/>
        <v>376</v>
      </c>
      <c r="BA195" s="35">
        <v>824</v>
      </c>
      <c r="BB195" s="35"/>
      <c r="BC195" s="35">
        <f t="shared" si="58"/>
        <v>370</v>
      </c>
      <c r="BD195" s="6">
        <v>1180</v>
      </c>
      <c r="BE195" s="6"/>
      <c r="BF195" s="35">
        <f t="shared" si="59"/>
        <v>356</v>
      </c>
      <c r="BG195" s="35"/>
      <c r="BH195" s="6"/>
      <c r="BI195" s="6"/>
      <c r="BJ195" s="6">
        <v>4</v>
      </c>
      <c r="BK195" s="6">
        <v>1560</v>
      </c>
      <c r="BL195" s="6">
        <f t="shared" si="60"/>
        <v>384</v>
      </c>
      <c r="BM195" s="6">
        <v>380</v>
      </c>
      <c r="BN195" s="6"/>
      <c r="BO195" s="6">
        <f t="shared" si="61"/>
        <v>376</v>
      </c>
      <c r="BP195" s="6">
        <v>756</v>
      </c>
      <c r="BQ195" s="6"/>
      <c r="BR195" s="35">
        <f t="shared" si="62"/>
        <v>376</v>
      </c>
      <c r="BS195" s="6">
        <v>1132</v>
      </c>
      <c r="BT195" s="6"/>
      <c r="BU195" s="6">
        <f t="shared" si="63"/>
        <v>376</v>
      </c>
      <c r="BV195" s="35">
        <v>1508</v>
      </c>
      <c r="BW195" s="6"/>
      <c r="BX195" s="35">
        <f t="shared" si="64"/>
        <v>376</v>
      </c>
      <c r="BY195" s="6">
        <v>300</v>
      </c>
      <c r="BZ195" s="6">
        <v>1560</v>
      </c>
      <c r="CA195" s="6">
        <f t="shared" si="65"/>
        <v>352</v>
      </c>
      <c r="CB195" s="6"/>
      <c r="CC195" s="6"/>
      <c r="CD195" s="6"/>
      <c r="CE195" s="6">
        <v>675</v>
      </c>
      <c r="CF195" s="6"/>
      <c r="CG195" s="6">
        <f t="shared" si="66"/>
        <v>375</v>
      </c>
      <c r="CH195" s="6">
        <v>1048</v>
      </c>
      <c r="CI195" s="6"/>
      <c r="CJ195" s="6">
        <f t="shared" si="67"/>
        <v>373</v>
      </c>
      <c r="CK195" s="6">
        <v>1414</v>
      </c>
      <c r="CL195" s="6"/>
      <c r="CM195" s="6">
        <f t="shared" si="68"/>
        <v>366</v>
      </c>
      <c r="CN195" s="6">
        <v>1783</v>
      </c>
      <c r="CO195" s="6"/>
      <c r="CP195" s="6">
        <f t="shared" si="69"/>
        <v>369</v>
      </c>
      <c r="CQ195" s="6">
        <v>141</v>
      </c>
      <c r="CR195" s="6">
        <v>1800</v>
      </c>
      <c r="CS195" s="6">
        <f t="shared" si="70"/>
        <v>158</v>
      </c>
      <c r="CT195" s="6">
        <v>49</v>
      </c>
      <c r="CU195" s="3">
        <v>313</v>
      </c>
      <c r="CV195" s="6">
        <f t="shared" si="71"/>
        <v>221</v>
      </c>
      <c r="CW195" s="6"/>
      <c r="CX195" s="6"/>
      <c r="CY195" s="6"/>
      <c r="CZ195" s="6">
        <v>27</v>
      </c>
      <c r="DA195" s="6">
        <v>253</v>
      </c>
      <c r="DB195" s="6">
        <f t="shared" si="72"/>
        <v>231</v>
      </c>
      <c r="DC195" s="6">
        <v>38</v>
      </c>
      <c r="DD195" s="6">
        <v>212</v>
      </c>
      <c r="DE195" s="6">
        <f t="shared" si="73"/>
        <v>223</v>
      </c>
      <c r="DF195" s="6">
        <v>76</v>
      </c>
      <c r="DG195" s="6">
        <v>192</v>
      </c>
      <c r="DH195" s="6">
        <f t="shared" si="74"/>
        <v>230</v>
      </c>
      <c r="DI195" s="6">
        <v>308</v>
      </c>
      <c r="DJ195" s="6"/>
      <c r="DK195" s="6">
        <f t="shared" si="75"/>
        <v>232</v>
      </c>
      <c r="DL195" s="6">
        <v>159</v>
      </c>
      <c r="DM195" s="6">
        <v>368</v>
      </c>
      <c r="DN195" s="6">
        <f t="shared" si="76"/>
        <v>219</v>
      </c>
      <c r="DO195" s="6">
        <v>25</v>
      </c>
      <c r="DP195" s="6">
        <v>330</v>
      </c>
      <c r="DQ195" s="6">
        <f t="shared" si="77"/>
        <v>196</v>
      </c>
    </row>
    <row r="196" spans="1:121">
      <c r="A196" s="6">
        <v>192</v>
      </c>
      <c r="B196" s="6">
        <v>725</v>
      </c>
      <c r="C196" s="6"/>
      <c r="D196" s="6">
        <v>238</v>
      </c>
      <c r="E196" s="33" t="s">
        <v>75</v>
      </c>
      <c r="F196" s="33" t="s">
        <v>75</v>
      </c>
      <c r="G196" s="33" t="s">
        <v>75</v>
      </c>
      <c r="H196" s="33" t="s">
        <v>75</v>
      </c>
      <c r="I196" s="33" t="s">
        <v>75</v>
      </c>
      <c r="J196" s="33" t="s">
        <v>75</v>
      </c>
      <c r="K196" s="33" t="s">
        <v>75</v>
      </c>
      <c r="L196" s="33" t="s">
        <v>75</v>
      </c>
      <c r="M196" s="33" t="s">
        <v>75</v>
      </c>
      <c r="N196" s="33" t="s">
        <v>75</v>
      </c>
      <c r="O196" s="33" t="s">
        <v>75</v>
      </c>
      <c r="P196" s="33" t="s">
        <v>75</v>
      </c>
      <c r="Q196" s="33" t="s">
        <v>75</v>
      </c>
      <c r="R196" s="148" t="s">
        <v>72</v>
      </c>
      <c r="S196" s="33" t="s">
        <v>72</v>
      </c>
      <c r="T196" s="33" t="s">
        <v>72</v>
      </c>
      <c r="U196" s="33" t="s">
        <v>72</v>
      </c>
      <c r="V196" s="148" t="s">
        <v>79</v>
      </c>
      <c r="W196" s="33" t="s">
        <v>79</v>
      </c>
      <c r="X196" s="33" t="s">
        <v>79</v>
      </c>
      <c r="Y196" s="33" t="s">
        <v>79</v>
      </c>
      <c r="Z196" s="33" t="s">
        <v>79</v>
      </c>
      <c r="AA196" s="33" t="s">
        <v>79</v>
      </c>
      <c r="AB196" s="33" t="s">
        <v>79</v>
      </c>
      <c r="AC196" s="33" t="s">
        <v>79</v>
      </c>
      <c r="AD196" s="33" t="s">
        <v>79</v>
      </c>
      <c r="AE196" s="33" t="s">
        <v>79</v>
      </c>
      <c r="AF196" s="6">
        <v>170</v>
      </c>
      <c r="AG196" s="6">
        <v>792</v>
      </c>
      <c r="AH196" s="35">
        <f t="shared" si="52"/>
        <v>237</v>
      </c>
      <c r="AI196" s="35">
        <v>399</v>
      </c>
      <c r="AJ196" s="35"/>
      <c r="AK196" s="35">
        <f t="shared" si="53"/>
        <v>229</v>
      </c>
      <c r="AL196" s="6"/>
      <c r="AM196" s="6"/>
      <c r="AN196" s="35"/>
      <c r="AO196" s="6">
        <v>639</v>
      </c>
      <c r="AP196" s="6"/>
      <c r="AQ196" s="34">
        <f t="shared" si="54"/>
        <v>240</v>
      </c>
      <c r="AR196" s="35">
        <v>879</v>
      </c>
      <c r="AS196" s="35"/>
      <c r="AT196" s="35">
        <f t="shared" si="55"/>
        <v>240</v>
      </c>
      <c r="AU196" s="6">
        <v>15</v>
      </c>
      <c r="AV196" s="6">
        <v>1100</v>
      </c>
      <c r="AW196" s="35">
        <f t="shared" si="56"/>
        <v>236</v>
      </c>
      <c r="AX196" s="6">
        <v>253</v>
      </c>
      <c r="AY196" s="6"/>
      <c r="AZ196" s="35">
        <f t="shared" si="57"/>
        <v>238</v>
      </c>
      <c r="BA196" s="35">
        <v>491</v>
      </c>
      <c r="BB196" s="35"/>
      <c r="BC196" s="35">
        <f t="shared" si="58"/>
        <v>238</v>
      </c>
      <c r="BD196" s="6">
        <v>720</v>
      </c>
      <c r="BE196" s="6"/>
      <c r="BF196" s="35">
        <f t="shared" si="59"/>
        <v>229</v>
      </c>
      <c r="BG196" s="35"/>
      <c r="BH196" s="6"/>
      <c r="BI196" s="6"/>
      <c r="BJ196" s="6">
        <v>960</v>
      </c>
      <c r="BK196" s="6"/>
      <c r="BL196" s="6">
        <f t="shared" si="60"/>
        <v>240</v>
      </c>
      <c r="BM196" s="6">
        <v>184</v>
      </c>
      <c r="BN196" s="6">
        <v>1012</v>
      </c>
      <c r="BO196" s="6">
        <f t="shared" si="61"/>
        <v>236</v>
      </c>
      <c r="BP196" s="6">
        <v>423</v>
      </c>
      <c r="BQ196" s="6"/>
      <c r="BR196" s="35">
        <f t="shared" si="62"/>
        <v>239</v>
      </c>
      <c r="BS196" s="6">
        <v>0</v>
      </c>
      <c r="BT196" s="6">
        <v>613</v>
      </c>
      <c r="BU196" s="6">
        <f t="shared" si="63"/>
        <v>190</v>
      </c>
      <c r="BV196" s="35">
        <v>0</v>
      </c>
      <c r="BW196" s="6"/>
      <c r="BX196" s="35">
        <f t="shared" si="64"/>
        <v>0</v>
      </c>
      <c r="BY196" s="6">
        <v>0</v>
      </c>
      <c r="BZ196" s="6"/>
      <c r="CA196" s="6">
        <f t="shared" si="65"/>
        <v>0</v>
      </c>
      <c r="CB196" s="6"/>
      <c r="CC196" s="6"/>
      <c r="CD196" s="6"/>
      <c r="CE196" s="6">
        <v>0</v>
      </c>
      <c r="CF196" s="6"/>
      <c r="CG196" s="6">
        <f t="shared" si="66"/>
        <v>0</v>
      </c>
      <c r="CH196" s="6">
        <v>0</v>
      </c>
      <c r="CI196" s="6"/>
      <c r="CJ196" s="6">
        <f t="shared" si="67"/>
        <v>0</v>
      </c>
      <c r="CK196" s="6">
        <v>0</v>
      </c>
      <c r="CL196" s="6"/>
      <c r="CM196" s="6">
        <f t="shared" si="68"/>
        <v>0</v>
      </c>
      <c r="CN196" s="6">
        <v>240</v>
      </c>
      <c r="CO196" s="6"/>
      <c r="CP196" s="6">
        <f t="shared" si="69"/>
        <v>240</v>
      </c>
      <c r="CQ196" s="6">
        <v>471</v>
      </c>
      <c r="CR196" s="6"/>
      <c r="CS196" s="6">
        <f t="shared" si="70"/>
        <v>231</v>
      </c>
      <c r="CT196" s="6">
        <v>8</v>
      </c>
      <c r="CU196" s="6">
        <v>680</v>
      </c>
      <c r="CV196" s="6">
        <f t="shared" si="71"/>
        <v>217</v>
      </c>
      <c r="CW196" s="6"/>
      <c r="CX196" s="6"/>
      <c r="CY196" s="6"/>
      <c r="CZ196" s="6">
        <v>242</v>
      </c>
      <c r="DA196" s="6"/>
      <c r="DB196" s="6">
        <f t="shared" si="72"/>
        <v>234</v>
      </c>
      <c r="DC196" s="6">
        <v>471</v>
      </c>
      <c r="DD196" s="6"/>
      <c r="DE196" s="6">
        <f t="shared" si="73"/>
        <v>229</v>
      </c>
      <c r="DF196" s="6">
        <v>702</v>
      </c>
      <c r="DG196" s="6"/>
      <c r="DH196" s="6">
        <f t="shared" si="74"/>
        <v>231</v>
      </c>
      <c r="DI196" s="6">
        <v>135</v>
      </c>
      <c r="DJ196" s="6">
        <v>800</v>
      </c>
      <c r="DK196" s="6">
        <f t="shared" si="75"/>
        <v>233</v>
      </c>
      <c r="DL196" s="6">
        <v>368</v>
      </c>
      <c r="DM196" s="6"/>
      <c r="DN196" s="6">
        <f t="shared" si="76"/>
        <v>233</v>
      </c>
      <c r="DO196" s="6">
        <v>573</v>
      </c>
      <c r="DP196" s="6"/>
      <c r="DQ196" s="6">
        <f t="shared" si="77"/>
        <v>205</v>
      </c>
    </row>
    <row r="197" spans="1:121">
      <c r="A197" s="6">
        <v>193</v>
      </c>
      <c r="B197" s="6">
        <v>461</v>
      </c>
      <c r="C197" s="6"/>
      <c r="D197" s="3">
        <v>226</v>
      </c>
      <c r="E197" s="33" t="s">
        <v>72</v>
      </c>
      <c r="F197" s="33" t="s">
        <v>72</v>
      </c>
      <c r="G197" s="33" t="s">
        <v>72</v>
      </c>
      <c r="H197" s="33" t="s">
        <v>72</v>
      </c>
      <c r="I197" s="33" t="s">
        <v>72</v>
      </c>
      <c r="J197" s="33" t="s">
        <v>72</v>
      </c>
      <c r="K197" s="33" t="s">
        <v>72</v>
      </c>
      <c r="L197" s="33" t="s">
        <v>72</v>
      </c>
      <c r="M197" s="33" t="s">
        <v>72</v>
      </c>
      <c r="N197" s="33" t="s">
        <v>72</v>
      </c>
      <c r="O197" s="33" t="s">
        <v>72</v>
      </c>
      <c r="P197" s="33" t="s">
        <v>72</v>
      </c>
      <c r="Q197" s="33" t="s">
        <v>72</v>
      </c>
      <c r="R197" s="33" t="s">
        <v>72</v>
      </c>
      <c r="S197" s="33" t="s">
        <v>72</v>
      </c>
      <c r="T197" s="33" t="s">
        <v>72</v>
      </c>
      <c r="U197" s="33" t="s">
        <v>72</v>
      </c>
      <c r="V197" s="33" t="s">
        <v>72</v>
      </c>
      <c r="W197" s="33" t="s">
        <v>72</v>
      </c>
      <c r="X197" s="148" t="s">
        <v>72</v>
      </c>
      <c r="Y197" s="33" t="s">
        <v>72</v>
      </c>
      <c r="Z197" s="33" t="s">
        <v>72</v>
      </c>
      <c r="AA197" s="33" t="s">
        <v>72</v>
      </c>
      <c r="AB197" s="33" t="s">
        <v>72</v>
      </c>
      <c r="AC197" s="33" t="s">
        <v>72</v>
      </c>
      <c r="AD197" s="33" t="s">
        <v>72</v>
      </c>
      <c r="AE197" s="33" t="s">
        <v>72</v>
      </c>
      <c r="AF197" s="6">
        <v>698</v>
      </c>
      <c r="AG197" s="6"/>
      <c r="AH197" s="35">
        <f t="shared" si="52"/>
        <v>237</v>
      </c>
      <c r="AI197" s="35">
        <v>925</v>
      </c>
      <c r="AJ197" s="35"/>
      <c r="AK197" s="35">
        <f t="shared" si="53"/>
        <v>227</v>
      </c>
      <c r="AL197" s="6"/>
      <c r="AM197" s="6"/>
      <c r="AN197" s="35"/>
      <c r="AO197" s="6">
        <v>60</v>
      </c>
      <c r="AP197" s="3">
        <v>1100</v>
      </c>
      <c r="AQ197" s="34">
        <f t="shared" si="54"/>
        <v>235</v>
      </c>
      <c r="AR197" s="35">
        <v>289</v>
      </c>
      <c r="AS197" s="35"/>
      <c r="AT197" s="35">
        <f t="shared" si="55"/>
        <v>229</v>
      </c>
      <c r="AU197" s="6">
        <v>520</v>
      </c>
      <c r="AV197" s="6"/>
      <c r="AW197" s="35">
        <f t="shared" si="56"/>
        <v>231</v>
      </c>
      <c r="AX197" s="6">
        <v>755</v>
      </c>
      <c r="AY197" s="6"/>
      <c r="AZ197" s="35">
        <f t="shared" si="57"/>
        <v>235</v>
      </c>
      <c r="BA197" s="35">
        <v>990</v>
      </c>
      <c r="BB197" s="35"/>
      <c r="BC197" s="35">
        <f t="shared" si="58"/>
        <v>235</v>
      </c>
      <c r="BD197" s="6">
        <v>116</v>
      </c>
      <c r="BE197" s="3">
        <v>1100</v>
      </c>
      <c r="BF197" s="35">
        <f t="shared" si="59"/>
        <v>226</v>
      </c>
      <c r="BG197" s="35"/>
      <c r="BH197" s="6"/>
      <c r="BI197" s="6"/>
      <c r="BJ197" s="6">
        <v>166</v>
      </c>
      <c r="BK197" s="3">
        <v>186</v>
      </c>
      <c r="BL197" s="6">
        <f t="shared" si="60"/>
        <v>236</v>
      </c>
      <c r="BM197" s="6">
        <v>400</v>
      </c>
      <c r="BN197" s="6"/>
      <c r="BO197" s="6">
        <f t="shared" si="61"/>
        <v>234</v>
      </c>
      <c r="BP197" s="6">
        <v>635</v>
      </c>
      <c r="BQ197" s="6"/>
      <c r="BR197" s="35">
        <f t="shared" si="62"/>
        <v>235</v>
      </c>
      <c r="BS197" s="6">
        <v>868</v>
      </c>
      <c r="BT197" s="6"/>
      <c r="BU197" s="6">
        <f t="shared" si="63"/>
        <v>233</v>
      </c>
      <c r="BV197" s="35">
        <v>5</v>
      </c>
      <c r="BW197" s="3">
        <v>1100</v>
      </c>
      <c r="BX197" s="35">
        <f t="shared" si="64"/>
        <v>237</v>
      </c>
      <c r="BY197" s="6">
        <v>230</v>
      </c>
      <c r="BZ197" s="6"/>
      <c r="CA197" s="6">
        <f t="shared" si="65"/>
        <v>225</v>
      </c>
      <c r="CB197" s="6"/>
      <c r="CC197" s="6"/>
      <c r="CD197" s="6"/>
      <c r="CE197" s="6">
        <v>466</v>
      </c>
      <c r="CF197" s="6"/>
      <c r="CG197" s="6">
        <f t="shared" si="66"/>
        <v>236</v>
      </c>
      <c r="CH197" s="6">
        <v>702</v>
      </c>
      <c r="CI197" s="6"/>
      <c r="CJ197" s="6">
        <f t="shared" si="67"/>
        <v>236</v>
      </c>
      <c r="CK197" s="6">
        <v>0</v>
      </c>
      <c r="CL197" s="3">
        <f>770+145</f>
        <v>915</v>
      </c>
      <c r="CM197" s="6">
        <f t="shared" si="68"/>
        <v>213</v>
      </c>
      <c r="CN197" s="6">
        <v>0</v>
      </c>
      <c r="CO197" s="6"/>
      <c r="CP197" s="6">
        <f t="shared" si="69"/>
        <v>0</v>
      </c>
      <c r="CQ197" s="6">
        <v>157</v>
      </c>
      <c r="CR197" s="6"/>
      <c r="CS197" s="6">
        <f t="shared" si="70"/>
        <v>157</v>
      </c>
      <c r="CT197" s="6">
        <v>383</v>
      </c>
      <c r="CU197" s="6"/>
      <c r="CV197" s="6">
        <f t="shared" si="71"/>
        <v>226</v>
      </c>
      <c r="CW197" s="6"/>
      <c r="CX197" s="6"/>
      <c r="CY197" s="6"/>
      <c r="CZ197" s="6">
        <v>619</v>
      </c>
      <c r="DA197" s="6"/>
      <c r="DB197" s="6">
        <f t="shared" si="72"/>
        <v>236</v>
      </c>
      <c r="DC197" s="6">
        <v>853</v>
      </c>
      <c r="DD197" s="6"/>
      <c r="DE197" s="6">
        <f t="shared" si="73"/>
        <v>234</v>
      </c>
      <c r="DF197" s="6">
        <v>1089</v>
      </c>
      <c r="DG197" s="6"/>
      <c r="DH197" s="6">
        <f t="shared" si="74"/>
        <v>236</v>
      </c>
      <c r="DI197" s="6">
        <v>225</v>
      </c>
      <c r="DJ197" s="6">
        <v>1100</v>
      </c>
      <c r="DK197" s="6">
        <f t="shared" si="75"/>
        <v>236</v>
      </c>
      <c r="DL197" s="6">
        <v>461</v>
      </c>
      <c r="DM197" s="6"/>
      <c r="DN197" s="6">
        <f t="shared" si="76"/>
        <v>236</v>
      </c>
      <c r="DO197" s="6">
        <v>673</v>
      </c>
      <c r="DP197" s="6"/>
      <c r="DQ197" s="6">
        <f t="shared" si="77"/>
        <v>212</v>
      </c>
    </row>
    <row r="198" spans="1:121">
      <c r="A198" s="6">
        <v>194</v>
      </c>
      <c r="B198" s="6">
        <v>540</v>
      </c>
      <c r="C198" s="6"/>
      <c r="D198" s="6">
        <v>348</v>
      </c>
      <c r="E198" s="33" t="s">
        <v>98</v>
      </c>
      <c r="F198" s="33" t="s">
        <v>98</v>
      </c>
      <c r="G198" s="33" t="s">
        <v>98</v>
      </c>
      <c r="H198" s="33" t="s">
        <v>98</v>
      </c>
      <c r="I198" s="33" t="s">
        <v>98</v>
      </c>
      <c r="J198" s="33" t="s">
        <v>98</v>
      </c>
      <c r="K198" s="33" t="s">
        <v>98</v>
      </c>
      <c r="L198" s="33" t="s">
        <v>98</v>
      </c>
      <c r="M198" s="33" t="s">
        <v>98</v>
      </c>
      <c r="N198" s="33" t="s">
        <v>98</v>
      </c>
      <c r="O198" s="33" t="s">
        <v>98</v>
      </c>
      <c r="P198" s="33" t="s">
        <v>98</v>
      </c>
      <c r="Q198" s="33" t="s">
        <v>98</v>
      </c>
      <c r="R198" s="33" t="s">
        <v>98</v>
      </c>
      <c r="S198" s="33" t="s">
        <v>98</v>
      </c>
      <c r="T198" s="33" t="s">
        <v>98</v>
      </c>
      <c r="U198" s="33" t="s">
        <v>98</v>
      </c>
      <c r="V198" s="148" t="s">
        <v>79</v>
      </c>
      <c r="W198" s="33" t="s">
        <v>79</v>
      </c>
      <c r="X198" s="33" t="s">
        <v>79</v>
      </c>
      <c r="Y198" s="33" t="s">
        <v>79</v>
      </c>
      <c r="Z198" s="33" t="s">
        <v>79</v>
      </c>
      <c r="AA198" s="33" t="s">
        <v>79</v>
      </c>
      <c r="AB198" s="33" t="s">
        <v>79</v>
      </c>
      <c r="AC198" s="33" t="s">
        <v>79</v>
      </c>
      <c r="AD198" s="33" t="s">
        <v>79</v>
      </c>
      <c r="AE198" s="33" t="s">
        <v>79</v>
      </c>
      <c r="AF198" s="6">
        <v>905</v>
      </c>
      <c r="AG198" s="6"/>
      <c r="AH198" s="35">
        <f t="shared" ref="AH198:AH261" si="78">AG198+AF198-B198</f>
        <v>365</v>
      </c>
      <c r="AI198" s="35">
        <v>51</v>
      </c>
      <c r="AJ198" s="35">
        <v>1200</v>
      </c>
      <c r="AK198" s="35">
        <f t="shared" ref="AK198:AK261" si="79">AJ198+AI198-AF198</f>
        <v>346</v>
      </c>
      <c r="AL198" s="6"/>
      <c r="AM198" s="6"/>
      <c r="AN198" s="35"/>
      <c r="AO198" s="6">
        <v>416</v>
      </c>
      <c r="AP198" s="6"/>
      <c r="AQ198" s="34">
        <f t="shared" ref="AQ198:AQ261" si="80">AP198+AO198-AI198</f>
        <v>365</v>
      </c>
      <c r="AR198" s="35">
        <v>96</v>
      </c>
      <c r="AS198" s="35">
        <v>685</v>
      </c>
      <c r="AT198" s="35">
        <f t="shared" ref="AT198:AT261" si="81">AS198+AR198-AO198</f>
        <v>365</v>
      </c>
      <c r="AU198" s="6">
        <v>456</v>
      </c>
      <c r="AV198" s="6"/>
      <c r="AW198" s="35">
        <f t="shared" ref="AW198:AW256" si="82">AV198+AU198-AR198</f>
        <v>360</v>
      </c>
      <c r="AX198" s="6">
        <v>819</v>
      </c>
      <c r="AY198" s="6"/>
      <c r="AZ198" s="35">
        <f t="shared" ref="AZ198:AZ256" si="83">AY198+AX198-AU198</f>
        <v>363</v>
      </c>
      <c r="BA198" s="35">
        <v>1184</v>
      </c>
      <c r="BB198" s="35"/>
      <c r="BC198" s="35">
        <f t="shared" ref="BC198:BC256" si="84">BB198+BA198-AX198</f>
        <v>365</v>
      </c>
      <c r="BD198" s="6">
        <v>330</v>
      </c>
      <c r="BE198" s="6">
        <v>1200</v>
      </c>
      <c r="BF198" s="35">
        <f t="shared" ref="BF198:BF256" si="85">BE198+BD198-BA198</f>
        <v>346</v>
      </c>
      <c r="BG198" s="35"/>
      <c r="BH198" s="6"/>
      <c r="BI198" s="6"/>
      <c r="BJ198" s="6">
        <v>695</v>
      </c>
      <c r="BK198" s="6"/>
      <c r="BL198" s="6">
        <f t="shared" ref="BL198:BL256" si="86">BK198+BJ198-BD198</f>
        <v>365</v>
      </c>
      <c r="BM198" s="6">
        <v>1059</v>
      </c>
      <c r="BN198" s="35"/>
      <c r="BO198" s="6">
        <f t="shared" ref="BO198:BO256" si="87">BN198+BM198-BJ198</f>
        <v>364</v>
      </c>
      <c r="BP198" s="6">
        <v>220</v>
      </c>
      <c r="BQ198" s="6">
        <v>1200</v>
      </c>
      <c r="BR198" s="35">
        <f t="shared" ref="BR198:BR255" si="88">BQ198+BP198-BM198</f>
        <v>361</v>
      </c>
      <c r="BS198" s="6">
        <v>0</v>
      </c>
      <c r="BT198" s="6">
        <v>439</v>
      </c>
      <c r="BU198" s="6">
        <f t="shared" ref="BU198:BU255" si="89">BT198+BS198-BP198</f>
        <v>219</v>
      </c>
      <c r="BV198" s="35">
        <v>0</v>
      </c>
      <c r="BW198" s="6"/>
      <c r="BX198" s="35">
        <f t="shared" ref="BX198:BX255" si="90">BW198+BV198-BS198</f>
        <v>0</v>
      </c>
      <c r="BY198" s="6">
        <v>0</v>
      </c>
      <c r="BZ198" s="6"/>
      <c r="CA198" s="6">
        <f t="shared" ref="CA198:CA251" si="91">BZ198+BY198-BV198</f>
        <v>0</v>
      </c>
      <c r="CB198" s="6"/>
      <c r="CC198" s="6"/>
      <c r="CD198" s="6"/>
      <c r="CE198" s="6">
        <v>0</v>
      </c>
      <c r="CF198" s="6"/>
      <c r="CG198" s="6">
        <f t="shared" ref="CG198:CG251" si="92">CF198+CE198-BY198</f>
        <v>0</v>
      </c>
      <c r="CH198" s="6">
        <v>0</v>
      </c>
      <c r="CI198" s="6"/>
      <c r="CJ198" s="6">
        <f t="shared" ref="CJ198:CJ252" si="93">CI198+CH198-CE198</f>
        <v>0</v>
      </c>
      <c r="CK198" s="6">
        <v>0</v>
      </c>
      <c r="CL198" s="6"/>
      <c r="CM198" s="6">
        <f t="shared" ref="CM198:CM252" si="94">CL198+CK198-CH198</f>
        <v>0</v>
      </c>
      <c r="CN198" s="6">
        <v>0</v>
      </c>
      <c r="CO198" s="6"/>
      <c r="CP198" s="6">
        <f t="shared" ref="CP198:CP252" si="95">CO198+CN198-CK198</f>
        <v>0</v>
      </c>
      <c r="CQ198" s="6">
        <v>0</v>
      </c>
      <c r="CR198" s="6"/>
      <c r="CS198" s="6">
        <f t="shared" ref="CS198:CS252" si="96">CR198+CQ198-CN198</f>
        <v>0</v>
      </c>
      <c r="CT198" s="6">
        <v>206</v>
      </c>
      <c r="CU198" s="6"/>
      <c r="CV198" s="6">
        <f t="shared" ref="CV198:CV253" si="97">CU198+CT198-CQ198</f>
        <v>206</v>
      </c>
      <c r="CW198" s="6"/>
      <c r="CX198" s="6"/>
      <c r="CY198" s="6"/>
      <c r="CZ198" s="6">
        <v>437</v>
      </c>
      <c r="DA198" s="6"/>
      <c r="DB198" s="6">
        <f t="shared" ref="DB198:DB255" si="98">DA198+CZ198-CT198</f>
        <v>231</v>
      </c>
      <c r="DC198" s="6">
        <v>666</v>
      </c>
      <c r="DD198" s="6"/>
      <c r="DE198" s="6">
        <f t="shared" ref="DE198:DE255" si="99">DD198+DC198-CZ198</f>
        <v>229</v>
      </c>
      <c r="DF198" s="6">
        <v>88</v>
      </c>
      <c r="DG198" s="6">
        <v>800</v>
      </c>
      <c r="DH198" s="6">
        <f t="shared" ref="DH198:DH256" si="100">DG198+DF198-DC198</f>
        <v>222</v>
      </c>
      <c r="DI198" s="6">
        <v>74</v>
      </c>
      <c r="DJ198" s="6">
        <v>243</v>
      </c>
      <c r="DK198" s="6">
        <f t="shared" ref="DK198:DK256" si="101">DJ198+DI198-DF198</f>
        <v>229</v>
      </c>
      <c r="DL198" s="6">
        <v>303</v>
      </c>
      <c r="DM198" s="6"/>
      <c r="DN198" s="6">
        <f t="shared" ref="DN198:DN256" si="102">DM198+DL198-DI198</f>
        <v>229</v>
      </c>
      <c r="DO198" s="6">
        <v>512</v>
      </c>
      <c r="DP198" s="6"/>
      <c r="DQ198" s="6">
        <f t="shared" ref="DQ198:DQ256" si="103">DP198+DO198-DL198</f>
        <v>209</v>
      </c>
    </row>
    <row r="199" spans="1:121">
      <c r="A199" s="6">
        <v>195</v>
      </c>
      <c r="B199" s="6">
        <v>360</v>
      </c>
      <c r="C199" s="6"/>
      <c r="D199" s="6">
        <v>360</v>
      </c>
      <c r="E199" s="148" t="s">
        <v>37</v>
      </c>
      <c r="F199" s="33" t="s">
        <v>37</v>
      </c>
      <c r="G199" s="33" t="s">
        <v>37</v>
      </c>
      <c r="H199" s="33" t="s">
        <v>37</v>
      </c>
      <c r="I199" s="33" t="s">
        <v>37</v>
      </c>
      <c r="J199" s="33" t="s">
        <v>37</v>
      </c>
      <c r="K199" s="33" t="s">
        <v>37</v>
      </c>
      <c r="L199" s="33" t="s">
        <v>37</v>
      </c>
      <c r="M199" s="33" t="s">
        <v>37</v>
      </c>
      <c r="N199" s="33" t="s">
        <v>37</v>
      </c>
      <c r="O199" s="33" t="s">
        <v>37</v>
      </c>
      <c r="P199" s="33" t="s">
        <v>37</v>
      </c>
      <c r="Q199" s="33" t="s">
        <v>37</v>
      </c>
      <c r="R199" s="33" t="s">
        <v>37</v>
      </c>
      <c r="S199" s="33" t="s">
        <v>37</v>
      </c>
      <c r="T199" s="33" t="s">
        <v>37</v>
      </c>
      <c r="U199" s="33" t="s">
        <v>37</v>
      </c>
      <c r="V199" s="33" t="s">
        <v>37</v>
      </c>
      <c r="W199" s="33" t="s">
        <v>37</v>
      </c>
      <c r="X199" s="33" t="s">
        <v>37</v>
      </c>
      <c r="Y199" s="33" t="s">
        <v>37</v>
      </c>
      <c r="Z199" s="33" t="s">
        <v>37</v>
      </c>
      <c r="AA199" s="33" t="s">
        <v>37</v>
      </c>
      <c r="AB199" s="33" t="s">
        <v>37</v>
      </c>
      <c r="AC199" s="33" t="s">
        <v>37</v>
      </c>
      <c r="AD199" s="33" t="s">
        <v>37</v>
      </c>
      <c r="AE199" s="148" t="s">
        <v>79</v>
      </c>
      <c r="AF199" s="35">
        <v>715</v>
      </c>
      <c r="AG199" s="35"/>
      <c r="AH199" s="35">
        <f t="shared" si="78"/>
        <v>355</v>
      </c>
      <c r="AI199" s="35">
        <v>1073</v>
      </c>
      <c r="AJ199" s="35"/>
      <c r="AK199" s="35">
        <f t="shared" si="79"/>
        <v>358</v>
      </c>
      <c r="AL199" s="35"/>
      <c r="AM199" s="35"/>
      <c r="AN199" s="35"/>
      <c r="AO199" s="35">
        <v>1449</v>
      </c>
      <c r="AP199" s="35"/>
      <c r="AQ199" s="34">
        <f t="shared" si="80"/>
        <v>376</v>
      </c>
      <c r="AR199" s="35">
        <v>261</v>
      </c>
      <c r="AS199" s="35">
        <v>1560</v>
      </c>
      <c r="AT199" s="35">
        <f t="shared" si="81"/>
        <v>372</v>
      </c>
      <c r="AU199" s="6">
        <v>627</v>
      </c>
      <c r="AV199" s="6"/>
      <c r="AW199" s="35">
        <f t="shared" si="82"/>
        <v>366</v>
      </c>
      <c r="AX199" s="6">
        <v>1001</v>
      </c>
      <c r="AY199" s="6"/>
      <c r="AZ199" s="35">
        <f t="shared" si="83"/>
        <v>374</v>
      </c>
      <c r="BA199" s="6">
        <v>1376</v>
      </c>
      <c r="BB199" s="6"/>
      <c r="BC199" s="35">
        <f t="shared" si="84"/>
        <v>375</v>
      </c>
      <c r="BD199" s="6">
        <v>1391</v>
      </c>
      <c r="BE199" s="6"/>
      <c r="BF199" s="35">
        <f t="shared" si="85"/>
        <v>15</v>
      </c>
      <c r="BG199" s="35"/>
      <c r="BH199" s="6"/>
      <c r="BI199" s="35"/>
      <c r="BJ199" s="6">
        <v>1391</v>
      </c>
      <c r="BK199" s="35"/>
      <c r="BL199" s="6">
        <f t="shared" si="86"/>
        <v>0</v>
      </c>
      <c r="BM199" s="6">
        <v>1391</v>
      </c>
      <c r="BN199" s="35"/>
      <c r="BO199" s="6">
        <f t="shared" si="87"/>
        <v>0</v>
      </c>
      <c r="BP199" s="6">
        <v>0</v>
      </c>
      <c r="BQ199" s="6">
        <v>1391</v>
      </c>
      <c r="BR199" s="35">
        <f t="shared" si="88"/>
        <v>0</v>
      </c>
      <c r="BS199" s="35">
        <v>295</v>
      </c>
      <c r="BT199" s="6"/>
      <c r="BU199" s="6">
        <f t="shared" si="89"/>
        <v>295</v>
      </c>
      <c r="BV199" s="35">
        <v>633</v>
      </c>
      <c r="BW199" s="6"/>
      <c r="BX199" s="35">
        <f t="shared" si="90"/>
        <v>338</v>
      </c>
      <c r="BY199" s="6">
        <v>322</v>
      </c>
      <c r="BZ199" s="35">
        <v>643</v>
      </c>
      <c r="CA199" s="6">
        <f t="shared" si="91"/>
        <v>332</v>
      </c>
      <c r="CB199" s="6"/>
      <c r="CC199" s="6"/>
      <c r="CD199" s="35"/>
      <c r="CE199" s="6">
        <v>699</v>
      </c>
      <c r="CF199" s="35"/>
      <c r="CG199" s="6">
        <f t="shared" si="92"/>
        <v>377</v>
      </c>
      <c r="CH199" s="6">
        <v>1072</v>
      </c>
      <c r="CI199" s="6"/>
      <c r="CJ199" s="6">
        <f t="shared" si="93"/>
        <v>373</v>
      </c>
      <c r="CK199" s="6">
        <v>1434</v>
      </c>
      <c r="CL199" s="6"/>
      <c r="CM199" s="6">
        <f t="shared" si="94"/>
        <v>362</v>
      </c>
      <c r="CN199" s="6">
        <v>239</v>
      </c>
      <c r="CO199" s="6">
        <v>1560</v>
      </c>
      <c r="CP199" s="6">
        <f t="shared" si="95"/>
        <v>365</v>
      </c>
      <c r="CQ199" s="6">
        <v>600</v>
      </c>
      <c r="CR199" s="35"/>
      <c r="CS199" s="6">
        <f t="shared" si="96"/>
        <v>361</v>
      </c>
      <c r="CT199" s="6">
        <v>23</v>
      </c>
      <c r="CU199" s="6">
        <v>898</v>
      </c>
      <c r="CV199" s="6">
        <f t="shared" si="97"/>
        <v>321</v>
      </c>
      <c r="CW199" s="6"/>
      <c r="CX199" s="6"/>
      <c r="CY199" s="6"/>
      <c r="CZ199" s="6">
        <v>376</v>
      </c>
      <c r="DA199" s="6"/>
      <c r="DB199" s="6">
        <f t="shared" si="98"/>
        <v>353</v>
      </c>
      <c r="DC199" s="6">
        <v>743</v>
      </c>
      <c r="DD199" s="6"/>
      <c r="DE199" s="6">
        <f t="shared" si="99"/>
        <v>367</v>
      </c>
      <c r="DF199" s="6">
        <v>1109</v>
      </c>
      <c r="DG199" s="6"/>
      <c r="DH199" s="6">
        <f t="shared" si="100"/>
        <v>366</v>
      </c>
      <c r="DI199" s="6">
        <v>1476</v>
      </c>
      <c r="DJ199" s="6"/>
      <c r="DK199" s="6">
        <f t="shared" si="101"/>
        <v>367</v>
      </c>
      <c r="DL199" s="6">
        <v>0</v>
      </c>
      <c r="DM199" s="6">
        <v>1789</v>
      </c>
      <c r="DN199" s="6">
        <f t="shared" si="102"/>
        <v>313</v>
      </c>
      <c r="DO199" s="6">
        <v>182</v>
      </c>
      <c r="DP199" s="6"/>
      <c r="DQ199" s="6">
        <f t="shared" si="103"/>
        <v>182</v>
      </c>
    </row>
    <row r="200" spans="1:121">
      <c r="A200" s="6">
        <v>196</v>
      </c>
      <c r="B200" s="6">
        <v>888</v>
      </c>
      <c r="C200" s="6"/>
      <c r="D200" s="6">
        <v>242</v>
      </c>
      <c r="E200" s="33" t="s">
        <v>75</v>
      </c>
      <c r="F200" s="33" t="s">
        <v>75</v>
      </c>
      <c r="G200" s="33" t="s">
        <v>75</v>
      </c>
      <c r="H200" s="33" t="s">
        <v>75</v>
      </c>
      <c r="I200" s="148" t="s">
        <v>75</v>
      </c>
      <c r="J200" s="33" t="s">
        <v>75</v>
      </c>
      <c r="K200" s="33" t="s">
        <v>75</v>
      </c>
      <c r="L200" s="33" t="s">
        <v>75</v>
      </c>
      <c r="M200" s="33" t="s">
        <v>75</v>
      </c>
      <c r="N200" s="33" t="s">
        <v>75</v>
      </c>
      <c r="O200" s="33" t="s">
        <v>75</v>
      </c>
      <c r="P200" s="33" t="s">
        <v>75</v>
      </c>
      <c r="Q200" s="33" t="s">
        <v>75</v>
      </c>
      <c r="R200" s="33" t="s">
        <v>75</v>
      </c>
      <c r="S200" s="33" t="s">
        <v>75</v>
      </c>
      <c r="T200" s="33" t="s">
        <v>75</v>
      </c>
      <c r="U200" s="33" t="s">
        <v>75</v>
      </c>
      <c r="V200" s="33" t="s">
        <v>75</v>
      </c>
      <c r="W200" s="33" t="s">
        <v>75</v>
      </c>
      <c r="X200" s="33" t="s">
        <v>75</v>
      </c>
      <c r="Y200" s="33" t="s">
        <v>75</v>
      </c>
      <c r="Z200" s="33" t="s">
        <v>75</v>
      </c>
      <c r="AA200" s="33" t="s">
        <v>75</v>
      </c>
      <c r="AB200" s="33" t="s">
        <v>75</v>
      </c>
      <c r="AC200" s="33" t="s">
        <v>75</v>
      </c>
      <c r="AD200" s="33" t="s">
        <v>75</v>
      </c>
      <c r="AE200" s="33" t="s">
        <v>75</v>
      </c>
      <c r="AF200" s="6">
        <v>29</v>
      </c>
      <c r="AG200" s="6">
        <v>1100</v>
      </c>
      <c r="AH200" s="35">
        <f t="shared" si="78"/>
        <v>241</v>
      </c>
      <c r="AI200" s="35">
        <v>255</v>
      </c>
      <c r="AJ200" s="35"/>
      <c r="AK200" s="35">
        <f t="shared" si="79"/>
        <v>226</v>
      </c>
      <c r="AL200" s="6"/>
      <c r="AM200" s="6"/>
      <c r="AN200" s="35"/>
      <c r="AO200" s="6">
        <v>0</v>
      </c>
      <c r="AP200" s="6">
        <v>399</v>
      </c>
      <c r="AQ200" s="34">
        <f t="shared" si="80"/>
        <v>144</v>
      </c>
      <c r="AR200" s="35">
        <v>229</v>
      </c>
      <c r="AS200" s="35"/>
      <c r="AT200" s="35">
        <f t="shared" si="81"/>
        <v>229</v>
      </c>
      <c r="AU200" s="6">
        <v>465</v>
      </c>
      <c r="AV200" s="6"/>
      <c r="AW200" s="35">
        <f t="shared" si="82"/>
        <v>236</v>
      </c>
      <c r="AX200" s="6">
        <v>695</v>
      </c>
      <c r="AY200" s="6"/>
      <c r="AZ200" s="35">
        <f t="shared" si="83"/>
        <v>230</v>
      </c>
      <c r="BA200" s="35">
        <v>791</v>
      </c>
      <c r="BB200" s="35"/>
      <c r="BC200" s="35">
        <f t="shared" si="84"/>
        <v>96</v>
      </c>
      <c r="BD200" s="6">
        <v>791</v>
      </c>
      <c r="BE200" s="6"/>
      <c r="BF200" s="35">
        <f t="shared" si="85"/>
        <v>0</v>
      </c>
      <c r="BG200" s="35"/>
      <c r="BH200" s="6"/>
      <c r="BI200" s="6"/>
      <c r="BJ200" s="6">
        <v>791</v>
      </c>
      <c r="BK200" s="6"/>
      <c r="BL200" s="6">
        <f t="shared" si="86"/>
        <v>0</v>
      </c>
      <c r="BM200" s="6">
        <v>791</v>
      </c>
      <c r="BN200" s="35"/>
      <c r="BO200" s="6">
        <f t="shared" si="87"/>
        <v>0</v>
      </c>
      <c r="BP200" s="6">
        <v>0</v>
      </c>
      <c r="BQ200" s="6">
        <v>791</v>
      </c>
      <c r="BR200" s="35">
        <f t="shared" si="88"/>
        <v>0</v>
      </c>
      <c r="BS200" s="35">
        <v>0</v>
      </c>
      <c r="BT200" s="6"/>
      <c r="BU200" s="6">
        <f t="shared" si="89"/>
        <v>0</v>
      </c>
      <c r="BV200" s="35">
        <v>0</v>
      </c>
      <c r="BW200" s="6"/>
      <c r="BX200" s="35">
        <f t="shared" si="90"/>
        <v>0</v>
      </c>
      <c r="BY200" s="6">
        <v>0</v>
      </c>
      <c r="BZ200" s="6"/>
      <c r="CA200" s="6">
        <f t="shared" si="91"/>
        <v>0</v>
      </c>
      <c r="CB200" s="6"/>
      <c r="CC200" s="6"/>
      <c r="CD200" s="6"/>
      <c r="CE200" s="6">
        <v>0</v>
      </c>
      <c r="CF200" s="6"/>
      <c r="CG200" s="6">
        <f t="shared" si="92"/>
        <v>0</v>
      </c>
      <c r="CH200" s="6">
        <v>0</v>
      </c>
      <c r="CI200" s="6"/>
      <c r="CJ200" s="6">
        <f t="shared" si="93"/>
        <v>0</v>
      </c>
      <c r="CK200" s="6">
        <v>0</v>
      </c>
      <c r="CL200" s="6"/>
      <c r="CM200" s="6">
        <f t="shared" si="94"/>
        <v>0</v>
      </c>
      <c r="CN200" s="6">
        <v>0</v>
      </c>
      <c r="CO200" s="6"/>
      <c r="CP200" s="6">
        <f t="shared" si="95"/>
        <v>0</v>
      </c>
      <c r="CQ200" s="6">
        <v>177</v>
      </c>
      <c r="CR200" s="6"/>
      <c r="CS200" s="6">
        <f t="shared" si="96"/>
        <v>177</v>
      </c>
      <c r="CT200" s="6">
        <v>397</v>
      </c>
      <c r="CU200" s="6"/>
      <c r="CV200" s="6">
        <f t="shared" si="97"/>
        <v>220</v>
      </c>
      <c r="CW200" s="6"/>
      <c r="CX200" s="6"/>
      <c r="CY200" s="6"/>
      <c r="CZ200" s="6">
        <v>631</v>
      </c>
      <c r="DA200" s="6"/>
      <c r="DB200" s="6">
        <f t="shared" si="98"/>
        <v>234</v>
      </c>
      <c r="DC200" s="6">
        <v>220</v>
      </c>
      <c r="DD200" s="6">
        <v>639</v>
      </c>
      <c r="DE200" s="6">
        <f t="shared" si="99"/>
        <v>228</v>
      </c>
      <c r="DF200" s="6">
        <v>163</v>
      </c>
      <c r="DG200" s="6">
        <v>282</v>
      </c>
      <c r="DH200" s="6">
        <f t="shared" si="100"/>
        <v>225</v>
      </c>
      <c r="DI200" s="6">
        <v>402</v>
      </c>
      <c r="DJ200" s="6"/>
      <c r="DK200" s="6">
        <f t="shared" si="101"/>
        <v>239</v>
      </c>
      <c r="DL200" s="6">
        <v>640</v>
      </c>
      <c r="DM200" s="6"/>
      <c r="DN200" s="6">
        <f t="shared" si="102"/>
        <v>238</v>
      </c>
      <c r="DO200" s="6">
        <v>851</v>
      </c>
      <c r="DP200" s="6"/>
      <c r="DQ200" s="6">
        <f t="shared" si="103"/>
        <v>211</v>
      </c>
    </row>
    <row r="201" spans="1:121">
      <c r="A201" s="6">
        <v>197</v>
      </c>
      <c r="B201" s="6">
        <v>153</v>
      </c>
      <c r="C201" s="10">
        <v>1200</v>
      </c>
      <c r="D201" s="6">
        <v>332</v>
      </c>
      <c r="E201" s="33" t="s">
        <v>98</v>
      </c>
      <c r="F201" s="33" t="s">
        <v>98</v>
      </c>
      <c r="G201" s="33" t="s">
        <v>98</v>
      </c>
      <c r="H201" s="33" t="s">
        <v>98</v>
      </c>
      <c r="I201" s="33" t="s">
        <v>98</v>
      </c>
      <c r="J201" s="33" t="s">
        <v>98</v>
      </c>
      <c r="K201" s="33" t="s">
        <v>98</v>
      </c>
      <c r="L201" s="33" t="s">
        <v>98</v>
      </c>
      <c r="M201" s="33" t="s">
        <v>98</v>
      </c>
      <c r="N201" s="33" t="s">
        <v>98</v>
      </c>
      <c r="O201" s="33" t="s">
        <v>98</v>
      </c>
      <c r="P201" s="33" t="s">
        <v>98</v>
      </c>
      <c r="Q201" s="33" t="s">
        <v>98</v>
      </c>
      <c r="R201" s="33" t="s">
        <v>98</v>
      </c>
      <c r="S201" s="33" t="s">
        <v>98</v>
      </c>
      <c r="T201" s="33" t="s">
        <v>98</v>
      </c>
      <c r="U201" s="33" t="s">
        <v>98</v>
      </c>
      <c r="V201" s="33" t="s">
        <v>98</v>
      </c>
      <c r="W201" s="33" t="s">
        <v>98</v>
      </c>
      <c r="X201" s="33" t="s">
        <v>98</v>
      </c>
      <c r="Y201" s="148" t="s">
        <v>72</v>
      </c>
      <c r="Z201" s="33" t="s">
        <v>72</v>
      </c>
      <c r="AA201" s="33" t="s">
        <v>72</v>
      </c>
      <c r="AB201" s="33" t="s">
        <v>72</v>
      </c>
      <c r="AC201" s="33" t="s">
        <v>72</v>
      </c>
      <c r="AD201" s="33" t="s">
        <v>72</v>
      </c>
      <c r="AE201" s="33" t="s">
        <v>72</v>
      </c>
      <c r="AF201" s="6">
        <v>497</v>
      </c>
      <c r="AG201" s="6"/>
      <c r="AH201" s="35">
        <f t="shared" si="78"/>
        <v>344</v>
      </c>
      <c r="AI201" s="35">
        <v>831</v>
      </c>
      <c r="AJ201" s="35"/>
      <c r="AK201" s="35">
        <f t="shared" si="79"/>
        <v>334</v>
      </c>
      <c r="AL201" s="6"/>
      <c r="AM201" s="6"/>
      <c r="AN201" s="35"/>
      <c r="AO201" s="6">
        <v>1177</v>
      </c>
      <c r="AP201" s="6"/>
      <c r="AQ201" s="34">
        <f t="shared" si="80"/>
        <v>346</v>
      </c>
      <c r="AR201" s="35">
        <v>329</v>
      </c>
      <c r="AS201" s="35">
        <v>1200</v>
      </c>
      <c r="AT201" s="35">
        <f t="shared" si="81"/>
        <v>352</v>
      </c>
      <c r="AU201" s="6">
        <v>674</v>
      </c>
      <c r="AV201" s="6"/>
      <c r="AW201" s="35">
        <f t="shared" si="82"/>
        <v>345</v>
      </c>
      <c r="AX201" s="6">
        <v>1024</v>
      </c>
      <c r="AY201" s="6"/>
      <c r="AZ201" s="35">
        <f t="shared" si="83"/>
        <v>350</v>
      </c>
      <c r="BA201" s="35">
        <v>170</v>
      </c>
      <c r="BB201" s="35">
        <v>1200</v>
      </c>
      <c r="BC201" s="35">
        <f t="shared" si="84"/>
        <v>346</v>
      </c>
      <c r="BD201" s="6">
        <v>508</v>
      </c>
      <c r="BE201" s="6"/>
      <c r="BF201" s="35">
        <f t="shared" si="85"/>
        <v>338</v>
      </c>
      <c r="BG201" s="35"/>
      <c r="BH201" s="6"/>
      <c r="BI201" s="6"/>
      <c r="BJ201" s="6">
        <v>857</v>
      </c>
      <c r="BK201" s="6"/>
      <c r="BL201" s="6">
        <f t="shared" si="86"/>
        <v>349</v>
      </c>
      <c r="BM201" s="6">
        <v>7</v>
      </c>
      <c r="BN201" s="35">
        <v>1200</v>
      </c>
      <c r="BO201" s="6">
        <f t="shared" si="87"/>
        <v>350</v>
      </c>
      <c r="BP201" s="6">
        <v>354</v>
      </c>
      <c r="BQ201" s="6"/>
      <c r="BR201" s="35">
        <f t="shared" si="88"/>
        <v>347</v>
      </c>
      <c r="BS201" s="35">
        <v>704</v>
      </c>
      <c r="BT201" s="6"/>
      <c r="BU201" s="6">
        <f t="shared" si="89"/>
        <v>350</v>
      </c>
      <c r="BV201" s="35">
        <v>1056</v>
      </c>
      <c r="BW201" s="6"/>
      <c r="BX201" s="35">
        <f t="shared" si="90"/>
        <v>352</v>
      </c>
      <c r="BY201" s="6">
        <v>0</v>
      </c>
      <c r="BZ201" s="6">
        <v>1120</v>
      </c>
      <c r="CA201" s="6">
        <f t="shared" si="91"/>
        <v>64</v>
      </c>
      <c r="CB201" s="6"/>
      <c r="CC201" s="6"/>
      <c r="CD201" s="6"/>
      <c r="CE201" s="6">
        <v>0</v>
      </c>
      <c r="CF201" s="6"/>
      <c r="CG201" s="6">
        <f t="shared" si="92"/>
        <v>0</v>
      </c>
      <c r="CH201" s="6">
        <v>0</v>
      </c>
      <c r="CI201" s="6"/>
      <c r="CJ201" s="6">
        <f t="shared" si="93"/>
        <v>0</v>
      </c>
      <c r="CK201" s="6">
        <v>0</v>
      </c>
      <c r="CL201" s="6"/>
      <c r="CM201" s="6">
        <f t="shared" si="94"/>
        <v>0</v>
      </c>
      <c r="CN201" s="6">
        <v>0</v>
      </c>
      <c r="CO201" s="6"/>
      <c r="CP201" s="6">
        <f t="shared" si="95"/>
        <v>0</v>
      </c>
      <c r="CQ201" s="6">
        <v>0</v>
      </c>
      <c r="CR201" s="6"/>
      <c r="CS201" s="6">
        <f t="shared" si="96"/>
        <v>0</v>
      </c>
      <c r="CT201" s="6">
        <v>211</v>
      </c>
      <c r="CU201" s="6"/>
      <c r="CV201" s="6">
        <f t="shared" si="97"/>
        <v>211</v>
      </c>
      <c r="CW201" s="6"/>
      <c r="CX201" s="6"/>
      <c r="CY201" s="6"/>
      <c r="CZ201" s="6">
        <v>102</v>
      </c>
      <c r="DA201" s="6">
        <v>337</v>
      </c>
      <c r="DB201" s="6">
        <f t="shared" si="98"/>
        <v>228</v>
      </c>
      <c r="DC201" s="6">
        <v>328</v>
      </c>
      <c r="DD201" s="6"/>
      <c r="DE201" s="6">
        <f t="shared" si="99"/>
        <v>226</v>
      </c>
      <c r="DF201" s="6">
        <v>558</v>
      </c>
      <c r="DG201" s="10"/>
      <c r="DH201" s="6">
        <f t="shared" si="100"/>
        <v>230</v>
      </c>
      <c r="DI201" s="6">
        <v>167</v>
      </c>
      <c r="DJ201" s="10">
        <v>617</v>
      </c>
      <c r="DK201" s="6">
        <f t="shared" si="101"/>
        <v>226</v>
      </c>
      <c r="DL201" s="6">
        <v>397</v>
      </c>
      <c r="DM201" s="10"/>
      <c r="DN201" s="6">
        <f t="shared" si="102"/>
        <v>230</v>
      </c>
      <c r="DO201" s="6">
        <v>599</v>
      </c>
      <c r="DP201" s="10"/>
      <c r="DQ201" s="6">
        <f t="shared" si="103"/>
        <v>202</v>
      </c>
    </row>
    <row r="202" spans="1:121">
      <c r="A202" s="6">
        <v>198</v>
      </c>
      <c r="B202" s="6">
        <v>955</v>
      </c>
      <c r="C202" s="10"/>
      <c r="D202" s="6">
        <v>235</v>
      </c>
      <c r="E202" s="33" t="s">
        <v>75</v>
      </c>
      <c r="F202" s="33" t="s">
        <v>75</v>
      </c>
      <c r="G202" s="33" t="s">
        <v>75</v>
      </c>
      <c r="H202" s="148" t="s">
        <v>79</v>
      </c>
      <c r="I202" s="33" t="s">
        <v>79</v>
      </c>
      <c r="J202" s="33" t="s">
        <v>79</v>
      </c>
      <c r="K202" s="33" t="s">
        <v>79</v>
      </c>
      <c r="L202" s="33" t="s">
        <v>79</v>
      </c>
      <c r="M202" s="33" t="s">
        <v>79</v>
      </c>
      <c r="N202" s="33" t="s">
        <v>79</v>
      </c>
      <c r="O202" s="33" t="s">
        <v>79</v>
      </c>
      <c r="P202" s="33" t="s">
        <v>79</v>
      </c>
      <c r="Q202" s="33" t="s">
        <v>79</v>
      </c>
      <c r="R202" s="33" t="s">
        <v>79</v>
      </c>
      <c r="S202" s="33" t="s">
        <v>79</v>
      </c>
      <c r="T202" s="33" t="s">
        <v>79</v>
      </c>
      <c r="U202" s="33" t="s">
        <v>79</v>
      </c>
      <c r="V202" s="33" t="s">
        <v>79</v>
      </c>
      <c r="W202" s="33" t="s">
        <v>79</v>
      </c>
      <c r="X202" s="33" t="s">
        <v>79</v>
      </c>
      <c r="Y202" s="33" t="s">
        <v>79</v>
      </c>
      <c r="Z202" s="33" t="s">
        <v>79</v>
      </c>
      <c r="AA202" s="33" t="s">
        <v>79</v>
      </c>
      <c r="AB202" s="33" t="s">
        <v>79</v>
      </c>
      <c r="AC202" s="148" t="s">
        <v>79</v>
      </c>
      <c r="AD202" s="33" t="s">
        <v>79</v>
      </c>
      <c r="AE202" s="33" t="s">
        <v>79</v>
      </c>
      <c r="AF202" s="6">
        <v>105</v>
      </c>
      <c r="AG202" s="6">
        <v>1088</v>
      </c>
      <c r="AH202" s="35">
        <f t="shared" si="78"/>
        <v>238</v>
      </c>
      <c r="AI202" s="35">
        <v>0</v>
      </c>
      <c r="AJ202" s="35">
        <v>251</v>
      </c>
      <c r="AK202" s="35">
        <f t="shared" si="79"/>
        <v>146</v>
      </c>
      <c r="AL202" s="6"/>
      <c r="AM202" s="6"/>
      <c r="AN202" s="35"/>
      <c r="AO202" s="6">
        <v>222</v>
      </c>
      <c r="AP202" s="6"/>
      <c r="AQ202" s="34">
        <f t="shared" si="80"/>
        <v>222</v>
      </c>
      <c r="AR202" s="35">
        <v>445</v>
      </c>
      <c r="AS202" s="35"/>
      <c r="AT202" s="35">
        <f t="shared" si="81"/>
        <v>223</v>
      </c>
      <c r="AU202" s="6">
        <v>668</v>
      </c>
      <c r="AV202" s="6"/>
      <c r="AW202" s="35">
        <f t="shared" si="82"/>
        <v>223</v>
      </c>
      <c r="AX202" s="6">
        <v>898</v>
      </c>
      <c r="AY202" s="6"/>
      <c r="AZ202" s="35">
        <f t="shared" si="83"/>
        <v>230</v>
      </c>
      <c r="BA202" s="35">
        <v>25</v>
      </c>
      <c r="BB202" s="35">
        <v>1100</v>
      </c>
      <c r="BC202" s="35">
        <f t="shared" si="84"/>
        <v>227</v>
      </c>
      <c r="BD202" s="6">
        <v>244</v>
      </c>
      <c r="BE202" s="6"/>
      <c r="BF202" s="35">
        <f t="shared" si="85"/>
        <v>219</v>
      </c>
      <c r="BG202" s="35"/>
      <c r="BH202" s="6"/>
      <c r="BI202" s="6"/>
      <c r="BJ202" s="6">
        <v>467</v>
      </c>
      <c r="BK202" s="6"/>
      <c r="BL202" s="6">
        <f t="shared" si="86"/>
        <v>223</v>
      </c>
      <c r="BM202" s="6">
        <v>694</v>
      </c>
      <c r="BN202" s="35"/>
      <c r="BO202" s="6">
        <f t="shared" si="87"/>
        <v>227</v>
      </c>
      <c r="BP202" s="6">
        <v>120</v>
      </c>
      <c r="BQ202" s="6">
        <v>800</v>
      </c>
      <c r="BR202" s="35">
        <f t="shared" si="88"/>
        <v>226</v>
      </c>
      <c r="BS202" s="35">
        <v>340</v>
      </c>
      <c r="BT202" s="6"/>
      <c r="BU202" s="6">
        <f t="shared" si="89"/>
        <v>220</v>
      </c>
      <c r="BV202" s="35">
        <v>568</v>
      </c>
      <c r="BW202" s="6"/>
      <c r="BX202" s="35">
        <f t="shared" si="90"/>
        <v>228</v>
      </c>
      <c r="BY202" s="6">
        <v>787</v>
      </c>
      <c r="BZ202" s="6"/>
      <c r="CA202" s="6">
        <f t="shared" si="91"/>
        <v>219</v>
      </c>
      <c r="CB202" s="6"/>
      <c r="CC202" s="6"/>
      <c r="CD202" s="6"/>
      <c r="CE202" s="6">
        <v>217</v>
      </c>
      <c r="CF202" s="6">
        <v>800</v>
      </c>
      <c r="CG202" s="6">
        <f t="shared" si="92"/>
        <v>230</v>
      </c>
      <c r="CH202" s="6">
        <v>449</v>
      </c>
      <c r="CI202" s="6"/>
      <c r="CJ202" s="6">
        <f t="shared" si="93"/>
        <v>232</v>
      </c>
      <c r="CK202" s="6">
        <v>680</v>
      </c>
      <c r="CL202" s="6"/>
      <c r="CM202" s="6">
        <f t="shared" si="94"/>
        <v>231</v>
      </c>
      <c r="CN202" s="6">
        <v>109</v>
      </c>
      <c r="CO202" s="6">
        <v>800</v>
      </c>
      <c r="CP202" s="6">
        <f t="shared" si="95"/>
        <v>229</v>
      </c>
      <c r="CQ202" s="6">
        <v>339</v>
      </c>
      <c r="CR202" s="6"/>
      <c r="CS202" s="6">
        <f t="shared" si="96"/>
        <v>230</v>
      </c>
      <c r="CT202" s="6">
        <v>557</v>
      </c>
      <c r="CU202" s="6"/>
      <c r="CV202" s="6">
        <f t="shared" si="97"/>
        <v>218</v>
      </c>
      <c r="CW202" s="6"/>
      <c r="CX202" s="6"/>
      <c r="CY202" s="6"/>
      <c r="CZ202" s="6">
        <v>786</v>
      </c>
      <c r="DA202" s="6"/>
      <c r="DB202" s="6">
        <f t="shared" si="98"/>
        <v>229</v>
      </c>
      <c r="DC202" s="6">
        <v>211</v>
      </c>
      <c r="DD202" s="6">
        <v>800</v>
      </c>
      <c r="DE202" s="6">
        <f t="shared" si="99"/>
        <v>225</v>
      </c>
      <c r="DF202" s="6">
        <v>444</v>
      </c>
      <c r="DG202" s="10"/>
      <c r="DH202" s="6">
        <f t="shared" si="100"/>
        <v>233</v>
      </c>
      <c r="DI202" s="6">
        <v>172</v>
      </c>
      <c r="DJ202" s="10">
        <v>477</v>
      </c>
      <c r="DK202" s="6">
        <f t="shared" si="101"/>
        <v>205</v>
      </c>
      <c r="DL202" s="6">
        <v>404</v>
      </c>
      <c r="DM202" s="10"/>
      <c r="DN202" s="6">
        <f t="shared" si="102"/>
        <v>232</v>
      </c>
      <c r="DO202" s="6">
        <v>608</v>
      </c>
      <c r="DP202" s="10"/>
      <c r="DQ202" s="6">
        <f t="shared" si="103"/>
        <v>204</v>
      </c>
    </row>
    <row r="203" spans="1:121">
      <c r="A203" s="6">
        <v>199</v>
      </c>
      <c r="B203" s="6">
        <v>81</v>
      </c>
      <c r="C203" s="10">
        <v>1000</v>
      </c>
      <c r="D203" s="6">
        <v>214</v>
      </c>
      <c r="E203" s="33" t="s">
        <v>79</v>
      </c>
      <c r="F203" s="33" t="s">
        <v>79</v>
      </c>
      <c r="G203" s="33" t="s">
        <v>79</v>
      </c>
      <c r="H203" s="33" t="s">
        <v>79</v>
      </c>
      <c r="I203" s="33" t="s">
        <v>79</v>
      </c>
      <c r="J203" s="33" t="s">
        <v>79</v>
      </c>
      <c r="K203" s="33" t="s">
        <v>79</v>
      </c>
      <c r="L203" s="33" t="s">
        <v>79</v>
      </c>
      <c r="M203" s="33" t="s">
        <v>79</v>
      </c>
      <c r="N203" s="33" t="s">
        <v>79</v>
      </c>
      <c r="O203" s="33" t="s">
        <v>79</v>
      </c>
      <c r="P203" s="33" t="s">
        <v>79</v>
      </c>
      <c r="Q203" s="33" t="s">
        <v>79</v>
      </c>
      <c r="R203" s="33" t="s">
        <v>79</v>
      </c>
      <c r="S203" s="33" t="s">
        <v>79</v>
      </c>
      <c r="T203" s="33" t="s">
        <v>79</v>
      </c>
      <c r="U203" s="148" t="s">
        <v>79</v>
      </c>
      <c r="V203" s="33" t="s">
        <v>79</v>
      </c>
      <c r="W203" s="33" t="s">
        <v>79</v>
      </c>
      <c r="X203" s="33" t="s">
        <v>79</v>
      </c>
      <c r="Y203" s="33" t="s">
        <v>79</v>
      </c>
      <c r="Z203" s="33" t="s">
        <v>79</v>
      </c>
      <c r="AA203" s="33" t="s">
        <v>79</v>
      </c>
      <c r="AB203" s="33" t="s">
        <v>79</v>
      </c>
      <c r="AC203" s="33" t="s">
        <v>79</v>
      </c>
      <c r="AD203" s="33" t="s">
        <v>79</v>
      </c>
      <c r="AE203" s="33" t="s">
        <v>79</v>
      </c>
      <c r="AF203" s="6">
        <v>311</v>
      </c>
      <c r="AG203" s="6"/>
      <c r="AH203" s="35">
        <f t="shared" si="78"/>
        <v>230</v>
      </c>
      <c r="AI203" s="35">
        <v>514</v>
      </c>
      <c r="AJ203" s="35"/>
      <c r="AK203" s="35">
        <f t="shared" si="79"/>
        <v>203</v>
      </c>
      <c r="AL203" s="6"/>
      <c r="AM203" s="6"/>
      <c r="AN203" s="35"/>
      <c r="AO203" s="6">
        <v>735</v>
      </c>
      <c r="AP203" s="6"/>
      <c r="AQ203" s="34">
        <f t="shared" si="80"/>
        <v>221</v>
      </c>
      <c r="AR203" s="35">
        <v>957</v>
      </c>
      <c r="AS203" s="35"/>
      <c r="AT203" s="35">
        <f t="shared" si="81"/>
        <v>222</v>
      </c>
      <c r="AU203" s="6">
        <v>191</v>
      </c>
      <c r="AV203" s="6">
        <v>1000</v>
      </c>
      <c r="AW203" s="35">
        <f t="shared" si="82"/>
        <v>234</v>
      </c>
      <c r="AX203" s="6">
        <v>52</v>
      </c>
      <c r="AY203" s="6">
        <v>375</v>
      </c>
      <c r="AZ203" s="35">
        <f t="shared" si="83"/>
        <v>236</v>
      </c>
      <c r="BA203" s="35">
        <v>288</v>
      </c>
      <c r="BB203" s="35"/>
      <c r="BC203" s="35">
        <f t="shared" si="84"/>
        <v>236</v>
      </c>
      <c r="BD203" s="6">
        <v>515</v>
      </c>
      <c r="BE203" s="6"/>
      <c r="BF203" s="35">
        <f t="shared" si="85"/>
        <v>227</v>
      </c>
      <c r="BG203" s="35"/>
      <c r="BH203" s="6"/>
      <c r="BI203" s="6"/>
      <c r="BJ203" s="6">
        <v>755</v>
      </c>
      <c r="BK203" s="6"/>
      <c r="BL203" s="6">
        <f t="shared" si="86"/>
        <v>240</v>
      </c>
      <c r="BM203" s="6">
        <v>192</v>
      </c>
      <c r="BN203" s="35">
        <v>800</v>
      </c>
      <c r="BO203" s="6">
        <f t="shared" si="87"/>
        <v>237</v>
      </c>
      <c r="BP203" s="6">
        <v>433</v>
      </c>
      <c r="BQ203" s="6"/>
      <c r="BR203" s="35">
        <f t="shared" si="88"/>
        <v>241</v>
      </c>
      <c r="BS203" s="35">
        <v>670</v>
      </c>
      <c r="BT203" s="6"/>
      <c r="BU203" s="6">
        <f t="shared" si="89"/>
        <v>237</v>
      </c>
      <c r="BV203" s="35">
        <v>147</v>
      </c>
      <c r="BW203" s="6">
        <v>752</v>
      </c>
      <c r="BX203" s="35">
        <f t="shared" si="90"/>
        <v>229</v>
      </c>
      <c r="BY203" s="6">
        <v>371</v>
      </c>
      <c r="BZ203" s="6"/>
      <c r="CA203" s="6">
        <f t="shared" si="91"/>
        <v>224</v>
      </c>
      <c r="CB203" s="6"/>
      <c r="CC203" s="6"/>
      <c r="CD203" s="6"/>
      <c r="CE203" s="6">
        <v>0</v>
      </c>
      <c r="CF203" s="6">
        <v>429</v>
      </c>
      <c r="CG203" s="6">
        <f t="shared" si="92"/>
        <v>58</v>
      </c>
      <c r="CH203" s="6">
        <v>223</v>
      </c>
      <c r="CI203" s="6"/>
      <c r="CJ203" s="6">
        <f t="shared" si="93"/>
        <v>223</v>
      </c>
      <c r="CK203" s="6">
        <v>452</v>
      </c>
      <c r="CL203" s="6"/>
      <c r="CM203" s="6">
        <f t="shared" si="94"/>
        <v>229</v>
      </c>
      <c r="CN203" s="6">
        <v>685</v>
      </c>
      <c r="CO203" s="6"/>
      <c r="CP203" s="6">
        <f t="shared" si="95"/>
        <v>233</v>
      </c>
      <c r="CQ203" s="6">
        <v>118</v>
      </c>
      <c r="CR203" s="6">
        <v>800</v>
      </c>
      <c r="CS203" s="6">
        <f t="shared" si="96"/>
        <v>233</v>
      </c>
      <c r="CT203" s="6">
        <v>334</v>
      </c>
      <c r="CU203" s="6"/>
      <c r="CV203" s="6">
        <f t="shared" si="97"/>
        <v>216</v>
      </c>
      <c r="CW203" s="6"/>
      <c r="CX203" s="6"/>
      <c r="CY203" s="6"/>
      <c r="CZ203" s="6">
        <v>568</v>
      </c>
      <c r="DA203" s="6"/>
      <c r="DB203" s="6">
        <f t="shared" si="98"/>
        <v>234</v>
      </c>
      <c r="DC203" s="6">
        <v>1</v>
      </c>
      <c r="DD203" s="6">
        <v>800</v>
      </c>
      <c r="DE203" s="6">
        <f t="shared" si="99"/>
        <v>233</v>
      </c>
      <c r="DF203" s="6">
        <v>231</v>
      </c>
      <c r="DG203" s="10"/>
      <c r="DH203" s="6">
        <f t="shared" si="100"/>
        <v>230</v>
      </c>
      <c r="DI203" s="6">
        <v>467</v>
      </c>
      <c r="DJ203" s="10"/>
      <c r="DK203" s="6">
        <f t="shared" si="101"/>
        <v>236</v>
      </c>
      <c r="DL203" s="6">
        <v>701</v>
      </c>
      <c r="DM203" s="10"/>
      <c r="DN203" s="6">
        <f t="shared" si="102"/>
        <v>234</v>
      </c>
      <c r="DO203" s="6">
        <v>109</v>
      </c>
      <c r="DP203" s="10">
        <v>800</v>
      </c>
      <c r="DQ203" s="6">
        <f t="shared" si="103"/>
        <v>208</v>
      </c>
    </row>
    <row r="204" spans="1:121">
      <c r="A204" s="6">
        <v>200</v>
      </c>
      <c r="B204" s="6">
        <v>420</v>
      </c>
      <c r="C204" s="10"/>
      <c r="D204" s="3">
        <v>229</v>
      </c>
      <c r="E204" s="33" t="s">
        <v>72</v>
      </c>
      <c r="F204" s="33" t="s">
        <v>72</v>
      </c>
      <c r="G204" s="33" t="s">
        <v>72</v>
      </c>
      <c r="H204" s="33" t="s">
        <v>72</v>
      </c>
      <c r="I204" s="33" t="s">
        <v>72</v>
      </c>
      <c r="J204" s="33" t="s">
        <v>72</v>
      </c>
      <c r="K204" s="33" t="s">
        <v>72</v>
      </c>
      <c r="L204" s="33" t="s">
        <v>72</v>
      </c>
      <c r="M204" s="33" t="s">
        <v>72</v>
      </c>
      <c r="N204" s="33" t="s">
        <v>72</v>
      </c>
      <c r="O204" s="33" t="s">
        <v>72</v>
      </c>
      <c r="P204" s="33" t="s">
        <v>72</v>
      </c>
      <c r="Q204" s="33" t="s">
        <v>72</v>
      </c>
      <c r="R204" s="33" t="s">
        <v>72</v>
      </c>
      <c r="S204" s="33" t="s">
        <v>72</v>
      </c>
      <c r="T204" s="33" t="s">
        <v>72</v>
      </c>
      <c r="U204" s="33" t="s">
        <v>72</v>
      </c>
      <c r="V204" s="33" t="s">
        <v>72</v>
      </c>
      <c r="W204" s="33" t="s">
        <v>72</v>
      </c>
      <c r="X204" s="33" t="s">
        <v>72</v>
      </c>
      <c r="Y204" s="148" t="s">
        <v>72</v>
      </c>
      <c r="Z204" s="33" t="s">
        <v>72</v>
      </c>
      <c r="AA204" s="33" t="s">
        <v>72</v>
      </c>
      <c r="AB204" s="33" t="s">
        <v>72</v>
      </c>
      <c r="AC204" s="33" t="s">
        <v>72</v>
      </c>
      <c r="AD204" s="33" t="s">
        <v>72</v>
      </c>
      <c r="AE204" s="33" t="s">
        <v>72</v>
      </c>
      <c r="AF204" s="6">
        <v>656</v>
      </c>
      <c r="AG204" s="6"/>
      <c r="AH204" s="35">
        <f t="shared" si="78"/>
        <v>236</v>
      </c>
      <c r="AI204" s="35">
        <v>883</v>
      </c>
      <c r="AJ204" s="35"/>
      <c r="AK204" s="35">
        <f t="shared" si="79"/>
        <v>227</v>
      </c>
      <c r="AL204" s="6"/>
      <c r="AM204" s="6"/>
      <c r="AN204" s="35"/>
      <c r="AO204" s="6">
        <v>26</v>
      </c>
      <c r="AP204" s="3">
        <v>1096</v>
      </c>
      <c r="AQ204" s="34">
        <f t="shared" si="80"/>
        <v>239</v>
      </c>
      <c r="AR204" s="35">
        <v>264</v>
      </c>
      <c r="AS204" s="35"/>
      <c r="AT204" s="35">
        <f t="shared" si="81"/>
        <v>238</v>
      </c>
      <c r="AU204" s="6">
        <v>495</v>
      </c>
      <c r="AV204" s="6"/>
      <c r="AW204" s="35">
        <f t="shared" si="82"/>
        <v>231</v>
      </c>
      <c r="AX204" s="6">
        <v>733</v>
      </c>
      <c r="AY204" s="6"/>
      <c r="AZ204" s="35">
        <f t="shared" si="83"/>
        <v>238</v>
      </c>
      <c r="BA204" s="35">
        <v>957</v>
      </c>
      <c r="BB204" s="35"/>
      <c r="BC204" s="35">
        <f t="shared" si="84"/>
        <v>224</v>
      </c>
      <c r="BD204" s="6">
        <v>70</v>
      </c>
      <c r="BE204" s="3">
        <v>1100</v>
      </c>
      <c r="BF204" s="35">
        <f t="shared" si="85"/>
        <v>213</v>
      </c>
      <c r="BG204" s="35"/>
      <c r="BH204" s="6"/>
      <c r="BI204" s="6"/>
      <c r="BJ204" s="6">
        <v>300</v>
      </c>
      <c r="BK204" s="6"/>
      <c r="BL204" s="6">
        <f t="shared" si="86"/>
        <v>230</v>
      </c>
      <c r="BM204" s="35">
        <v>540</v>
      </c>
      <c r="BN204" s="35"/>
      <c r="BO204" s="6">
        <f t="shared" si="87"/>
        <v>240</v>
      </c>
      <c r="BP204" s="6">
        <v>776</v>
      </c>
      <c r="BQ204" s="6"/>
      <c r="BR204" s="35">
        <f t="shared" si="88"/>
        <v>236</v>
      </c>
      <c r="BS204" s="35">
        <v>1013</v>
      </c>
      <c r="BT204" s="6"/>
      <c r="BU204" s="6">
        <f t="shared" si="89"/>
        <v>237</v>
      </c>
      <c r="BV204" s="35">
        <v>144</v>
      </c>
      <c r="BW204" s="3">
        <v>1100</v>
      </c>
      <c r="BX204" s="35">
        <f t="shared" si="90"/>
        <v>231</v>
      </c>
      <c r="BY204" s="6">
        <v>372</v>
      </c>
      <c r="BZ204" s="6"/>
      <c r="CA204" s="6">
        <f t="shared" si="91"/>
        <v>228</v>
      </c>
      <c r="CB204" s="6"/>
      <c r="CC204" s="6"/>
      <c r="CD204" s="6"/>
      <c r="CE204" s="6">
        <v>83</v>
      </c>
      <c r="CF204" s="3">
        <v>522</v>
      </c>
      <c r="CG204" s="6">
        <f t="shared" si="92"/>
        <v>233</v>
      </c>
      <c r="CH204" s="6">
        <v>322</v>
      </c>
      <c r="CI204" s="6"/>
      <c r="CJ204" s="6">
        <f t="shared" si="93"/>
        <v>239</v>
      </c>
      <c r="CK204" s="6">
        <v>558</v>
      </c>
      <c r="CL204" s="6"/>
      <c r="CM204" s="6">
        <f t="shared" si="94"/>
        <v>236</v>
      </c>
      <c r="CN204" s="6">
        <v>797</v>
      </c>
      <c r="CO204" s="6"/>
      <c r="CP204" s="6">
        <f t="shared" si="95"/>
        <v>239</v>
      </c>
      <c r="CQ204" s="6">
        <v>0</v>
      </c>
      <c r="CR204" s="3">
        <v>923</v>
      </c>
      <c r="CS204" s="6">
        <f t="shared" si="96"/>
        <v>126</v>
      </c>
      <c r="CT204" s="6">
        <v>217</v>
      </c>
      <c r="CU204" s="6"/>
      <c r="CV204" s="6">
        <f t="shared" si="97"/>
        <v>217</v>
      </c>
      <c r="CW204" s="6"/>
      <c r="CX204" s="6"/>
      <c r="CY204" s="6"/>
      <c r="CZ204" s="6">
        <v>444</v>
      </c>
      <c r="DA204" s="6"/>
      <c r="DB204" s="6">
        <f t="shared" si="98"/>
        <v>227</v>
      </c>
      <c r="DC204" s="6">
        <v>672</v>
      </c>
      <c r="DD204" s="159"/>
      <c r="DE204" s="6">
        <f t="shared" si="99"/>
        <v>228</v>
      </c>
      <c r="DF204" s="6">
        <v>898</v>
      </c>
      <c r="DG204" s="10"/>
      <c r="DH204" s="6">
        <f t="shared" si="100"/>
        <v>226</v>
      </c>
      <c r="DI204" s="6">
        <v>87</v>
      </c>
      <c r="DJ204" s="10">
        <v>1032</v>
      </c>
      <c r="DK204" s="6">
        <f t="shared" si="101"/>
        <v>221</v>
      </c>
      <c r="DL204" s="35">
        <v>316</v>
      </c>
      <c r="DM204" s="10"/>
      <c r="DN204" s="6">
        <f t="shared" si="102"/>
        <v>229</v>
      </c>
      <c r="DO204" s="6">
        <v>520</v>
      </c>
      <c r="DP204" s="10"/>
      <c r="DQ204" s="6">
        <f t="shared" si="103"/>
        <v>204</v>
      </c>
    </row>
    <row r="205" spans="1:121">
      <c r="A205" s="6">
        <v>201</v>
      </c>
      <c r="B205" s="6">
        <v>305</v>
      </c>
      <c r="C205" s="10"/>
      <c r="D205" s="6">
        <v>233</v>
      </c>
      <c r="E205" s="141" t="s">
        <v>75</v>
      </c>
      <c r="F205" s="141" t="s">
        <v>75</v>
      </c>
      <c r="G205" s="141" t="s">
        <v>75</v>
      </c>
      <c r="H205" s="141" t="s">
        <v>75</v>
      </c>
      <c r="I205" s="141" t="s">
        <v>75</v>
      </c>
      <c r="J205" s="141" t="s">
        <v>75</v>
      </c>
      <c r="K205" s="163" t="s">
        <v>79</v>
      </c>
      <c r="L205" s="141" t="s">
        <v>79</v>
      </c>
      <c r="M205" s="141" t="s">
        <v>79</v>
      </c>
      <c r="N205" s="141" t="s">
        <v>79</v>
      </c>
      <c r="O205" s="141" t="s">
        <v>79</v>
      </c>
      <c r="P205" s="141" t="s">
        <v>79</v>
      </c>
      <c r="Q205" s="141" t="s">
        <v>79</v>
      </c>
      <c r="R205" s="141" t="s">
        <v>79</v>
      </c>
      <c r="S205" s="141" t="s">
        <v>79</v>
      </c>
      <c r="T205" s="141" t="s">
        <v>79</v>
      </c>
      <c r="U205" s="141" t="s">
        <v>79</v>
      </c>
      <c r="V205" s="141" t="s">
        <v>79</v>
      </c>
      <c r="W205" s="141" t="s">
        <v>79</v>
      </c>
      <c r="X205" s="141" t="s">
        <v>79</v>
      </c>
      <c r="Y205" s="141" t="s">
        <v>79</v>
      </c>
      <c r="Z205" s="141" t="s">
        <v>79</v>
      </c>
      <c r="AA205" s="141" t="s">
        <v>79</v>
      </c>
      <c r="AB205" s="141" t="s">
        <v>79</v>
      </c>
      <c r="AC205" s="141" t="s">
        <v>79</v>
      </c>
      <c r="AD205" s="141" t="s">
        <v>79</v>
      </c>
      <c r="AE205" s="141" t="s">
        <v>79</v>
      </c>
      <c r="AF205" s="6">
        <v>541</v>
      </c>
      <c r="AG205" s="6"/>
      <c r="AH205" s="35">
        <f t="shared" si="78"/>
        <v>236</v>
      </c>
      <c r="AI205" s="35">
        <v>766</v>
      </c>
      <c r="AJ205" s="35"/>
      <c r="AK205" s="35">
        <f t="shared" si="79"/>
        <v>225</v>
      </c>
      <c r="AL205" s="6"/>
      <c r="AM205" s="6"/>
      <c r="AN205" s="35"/>
      <c r="AO205" s="6">
        <v>1006</v>
      </c>
      <c r="AP205" s="6"/>
      <c r="AQ205" s="34">
        <f t="shared" si="80"/>
        <v>240</v>
      </c>
      <c r="AR205" s="35">
        <v>147</v>
      </c>
      <c r="AS205" s="35">
        <v>1100</v>
      </c>
      <c r="AT205" s="35">
        <f t="shared" si="81"/>
        <v>241</v>
      </c>
      <c r="AU205" s="6">
        <v>389</v>
      </c>
      <c r="AV205" s="6"/>
      <c r="AW205" s="35">
        <f t="shared" si="82"/>
        <v>242</v>
      </c>
      <c r="AX205" s="6">
        <v>209</v>
      </c>
      <c r="AY205" s="6">
        <v>392</v>
      </c>
      <c r="AZ205" s="35">
        <f t="shared" si="83"/>
        <v>212</v>
      </c>
      <c r="BA205" s="35">
        <v>448</v>
      </c>
      <c r="BB205" s="35"/>
      <c r="BC205" s="35">
        <f t="shared" si="84"/>
        <v>239</v>
      </c>
      <c r="BD205" s="6">
        <v>680</v>
      </c>
      <c r="BE205" s="6"/>
      <c r="BF205" s="35">
        <f t="shared" si="85"/>
        <v>232</v>
      </c>
      <c r="BG205" s="35"/>
      <c r="BH205" s="6"/>
      <c r="BI205" s="6"/>
      <c r="BJ205" s="6">
        <v>126</v>
      </c>
      <c r="BK205" s="6">
        <v>789</v>
      </c>
      <c r="BL205" s="6">
        <f t="shared" si="86"/>
        <v>235</v>
      </c>
      <c r="BM205" s="35">
        <v>364</v>
      </c>
      <c r="BN205" s="35"/>
      <c r="BO205" s="6">
        <f t="shared" si="87"/>
        <v>238</v>
      </c>
      <c r="BP205" s="35">
        <v>604</v>
      </c>
      <c r="BQ205" s="35"/>
      <c r="BR205" s="35">
        <f t="shared" si="88"/>
        <v>240</v>
      </c>
      <c r="BS205" s="35">
        <v>45</v>
      </c>
      <c r="BT205" s="35">
        <v>800</v>
      </c>
      <c r="BU205" s="6">
        <f t="shared" si="89"/>
        <v>241</v>
      </c>
      <c r="BV205" s="35">
        <v>287</v>
      </c>
      <c r="BW205" s="35"/>
      <c r="BX205" s="35">
        <f t="shared" si="90"/>
        <v>242</v>
      </c>
      <c r="BY205" s="35">
        <v>515</v>
      </c>
      <c r="BZ205" s="6"/>
      <c r="CA205" s="6">
        <f t="shared" si="91"/>
        <v>228</v>
      </c>
      <c r="CB205" s="6"/>
      <c r="CC205" s="6"/>
      <c r="CD205" s="6"/>
      <c r="CE205" s="6">
        <v>756</v>
      </c>
      <c r="CF205" s="6"/>
      <c r="CG205" s="6">
        <f t="shared" si="92"/>
        <v>241</v>
      </c>
      <c r="CH205" s="6">
        <v>198</v>
      </c>
      <c r="CI205" s="6">
        <v>800</v>
      </c>
      <c r="CJ205" s="6">
        <f t="shared" si="93"/>
        <v>242</v>
      </c>
      <c r="CK205" s="6">
        <v>439</v>
      </c>
      <c r="CL205" s="6"/>
      <c r="CM205" s="6">
        <f t="shared" si="94"/>
        <v>241</v>
      </c>
      <c r="CN205" s="6">
        <v>679</v>
      </c>
      <c r="CO205" s="6"/>
      <c r="CP205" s="6">
        <f t="shared" si="95"/>
        <v>240</v>
      </c>
      <c r="CQ205" s="6">
        <v>116</v>
      </c>
      <c r="CR205" s="6">
        <v>800</v>
      </c>
      <c r="CS205" s="6">
        <f t="shared" si="96"/>
        <v>237</v>
      </c>
      <c r="CT205" s="6">
        <v>342</v>
      </c>
      <c r="CU205" s="6"/>
      <c r="CV205" s="6">
        <f t="shared" si="97"/>
        <v>226</v>
      </c>
      <c r="CW205" s="6"/>
      <c r="CX205" s="6"/>
      <c r="CY205" s="6"/>
      <c r="CZ205" s="6">
        <v>566</v>
      </c>
      <c r="DA205" s="6"/>
      <c r="DB205" s="6">
        <f t="shared" si="98"/>
        <v>224</v>
      </c>
      <c r="DC205" s="6">
        <v>160</v>
      </c>
      <c r="DD205" s="6">
        <v>633</v>
      </c>
      <c r="DE205" s="6">
        <f t="shared" si="99"/>
        <v>227</v>
      </c>
      <c r="DF205" s="6">
        <v>388</v>
      </c>
      <c r="DG205" s="10"/>
      <c r="DH205" s="6">
        <f t="shared" si="100"/>
        <v>228</v>
      </c>
      <c r="DI205" s="6">
        <v>621</v>
      </c>
      <c r="DJ205" s="10"/>
      <c r="DK205" s="6">
        <f t="shared" si="101"/>
        <v>233</v>
      </c>
      <c r="DL205" s="6">
        <v>853</v>
      </c>
      <c r="DM205" s="10"/>
      <c r="DN205" s="6">
        <f t="shared" si="102"/>
        <v>232</v>
      </c>
      <c r="DO205" s="6">
        <v>0</v>
      </c>
      <c r="DP205" s="10">
        <v>1003</v>
      </c>
      <c r="DQ205" s="6">
        <f t="shared" si="103"/>
        <v>150</v>
      </c>
    </row>
    <row r="206" spans="1:121">
      <c r="A206" s="6">
        <v>202</v>
      </c>
      <c r="B206" s="6">
        <v>870</v>
      </c>
      <c r="C206" s="10"/>
      <c r="D206" s="6">
        <v>239</v>
      </c>
      <c r="E206" s="141" t="s">
        <v>75</v>
      </c>
      <c r="F206" s="141" t="s">
        <v>75</v>
      </c>
      <c r="G206" s="141" t="s">
        <v>75</v>
      </c>
      <c r="H206" s="141" t="s">
        <v>75</v>
      </c>
      <c r="I206" s="141" t="s">
        <v>75</v>
      </c>
      <c r="J206" s="141" t="s">
        <v>75</v>
      </c>
      <c r="K206" s="141" t="s">
        <v>75</v>
      </c>
      <c r="L206" s="141" t="s">
        <v>75</v>
      </c>
      <c r="M206" s="141" t="s">
        <v>75</v>
      </c>
      <c r="N206" s="141" t="s">
        <v>75</v>
      </c>
      <c r="O206" s="141" t="s">
        <v>75</v>
      </c>
      <c r="P206" s="141" t="s">
        <v>75</v>
      </c>
      <c r="Q206" s="163" t="s">
        <v>72</v>
      </c>
      <c r="R206" s="141" t="s">
        <v>72</v>
      </c>
      <c r="S206" s="141" t="s">
        <v>72</v>
      </c>
      <c r="T206" s="141" t="s">
        <v>72</v>
      </c>
      <c r="U206" s="141" t="s">
        <v>72</v>
      </c>
      <c r="V206" s="141" t="s">
        <v>72</v>
      </c>
      <c r="W206" s="141" t="s">
        <v>72</v>
      </c>
      <c r="X206" s="141" t="s">
        <v>72</v>
      </c>
      <c r="Y206" s="141" t="s">
        <v>72</v>
      </c>
      <c r="Z206" s="141" t="s">
        <v>72</v>
      </c>
      <c r="AA206" s="141" t="s">
        <v>72</v>
      </c>
      <c r="AB206" s="141" t="s">
        <v>72</v>
      </c>
      <c r="AC206" s="141" t="s">
        <v>72</v>
      </c>
      <c r="AD206" s="141" t="s">
        <v>72</v>
      </c>
      <c r="AE206" s="141" t="s">
        <v>72</v>
      </c>
      <c r="AF206" s="6">
        <v>13</v>
      </c>
      <c r="AG206" s="6">
        <v>1100</v>
      </c>
      <c r="AH206" s="35">
        <f t="shared" si="78"/>
        <v>243</v>
      </c>
      <c r="AI206" s="35">
        <v>245</v>
      </c>
      <c r="AJ206" s="35"/>
      <c r="AK206" s="35">
        <f t="shared" si="79"/>
        <v>232</v>
      </c>
      <c r="AL206" s="6"/>
      <c r="AM206" s="6"/>
      <c r="AN206" s="35"/>
      <c r="AO206" s="6">
        <v>488</v>
      </c>
      <c r="AP206" s="6"/>
      <c r="AQ206" s="34">
        <f t="shared" si="80"/>
        <v>243</v>
      </c>
      <c r="AR206" s="35">
        <v>732</v>
      </c>
      <c r="AS206" s="35"/>
      <c r="AT206" s="35">
        <f t="shared" si="81"/>
        <v>244</v>
      </c>
      <c r="AU206" s="6">
        <v>973</v>
      </c>
      <c r="AV206" s="6"/>
      <c r="AW206" s="35">
        <f t="shared" si="82"/>
        <v>241</v>
      </c>
      <c r="AX206" s="6">
        <v>117</v>
      </c>
      <c r="AY206" s="6">
        <v>1100</v>
      </c>
      <c r="AZ206" s="35">
        <f t="shared" si="83"/>
        <v>244</v>
      </c>
      <c r="BA206" s="35">
        <v>361</v>
      </c>
      <c r="BB206" s="35"/>
      <c r="BC206" s="35">
        <f t="shared" si="84"/>
        <v>244</v>
      </c>
      <c r="BD206" s="35">
        <v>0</v>
      </c>
      <c r="BE206" s="6">
        <v>459</v>
      </c>
      <c r="BF206" s="35">
        <f t="shared" si="85"/>
        <v>98</v>
      </c>
      <c r="BG206" s="6"/>
      <c r="BH206" s="6"/>
      <c r="BI206" s="6"/>
      <c r="BJ206" s="6">
        <v>0</v>
      </c>
      <c r="BK206" s="6"/>
      <c r="BL206" s="6">
        <f t="shared" si="86"/>
        <v>0</v>
      </c>
      <c r="BM206" s="35">
        <v>0</v>
      </c>
      <c r="BN206" s="35"/>
      <c r="BO206" s="6">
        <f t="shared" si="87"/>
        <v>0</v>
      </c>
      <c r="BP206" s="35">
        <v>0</v>
      </c>
      <c r="BQ206" s="35"/>
      <c r="BR206" s="35">
        <f t="shared" si="88"/>
        <v>0</v>
      </c>
      <c r="BS206" s="35">
        <v>0</v>
      </c>
      <c r="BT206" s="35"/>
      <c r="BU206" s="6">
        <f t="shared" si="89"/>
        <v>0</v>
      </c>
      <c r="BV206" s="35">
        <v>0</v>
      </c>
      <c r="BW206" s="35"/>
      <c r="BX206" s="35">
        <f t="shared" si="90"/>
        <v>0</v>
      </c>
      <c r="BY206" s="35">
        <v>0</v>
      </c>
      <c r="BZ206" s="6"/>
      <c r="CA206" s="6">
        <f t="shared" si="91"/>
        <v>0</v>
      </c>
      <c r="CB206" s="6"/>
      <c r="CC206" s="6"/>
      <c r="CD206" s="6"/>
      <c r="CE206" s="6">
        <v>0</v>
      </c>
      <c r="CF206" s="6"/>
      <c r="CG206" s="6">
        <f t="shared" si="92"/>
        <v>0</v>
      </c>
      <c r="CH206" s="6">
        <v>0</v>
      </c>
      <c r="CI206" s="6"/>
      <c r="CJ206" s="6">
        <f t="shared" si="93"/>
        <v>0</v>
      </c>
      <c r="CK206" s="6">
        <v>0</v>
      </c>
      <c r="CL206" s="6"/>
      <c r="CM206" s="6">
        <f t="shared" si="94"/>
        <v>0</v>
      </c>
      <c r="CN206" s="6">
        <v>0</v>
      </c>
      <c r="CO206" s="6"/>
      <c r="CP206" s="6">
        <f t="shared" si="95"/>
        <v>0</v>
      </c>
      <c r="CQ206" s="6">
        <v>214</v>
      </c>
      <c r="CR206" s="6"/>
      <c r="CS206" s="6">
        <f t="shared" si="96"/>
        <v>214</v>
      </c>
      <c r="CT206" s="6">
        <v>433</v>
      </c>
      <c r="CU206" s="6"/>
      <c r="CV206" s="6">
        <f t="shared" si="97"/>
        <v>219</v>
      </c>
      <c r="CW206" s="6"/>
      <c r="CX206" s="6"/>
      <c r="CY206" s="6"/>
      <c r="CZ206" s="6">
        <v>664</v>
      </c>
      <c r="DA206" s="6"/>
      <c r="DB206" s="6">
        <f t="shared" si="98"/>
        <v>231</v>
      </c>
      <c r="DC206" s="6">
        <v>896</v>
      </c>
      <c r="DD206" s="6"/>
      <c r="DE206" s="6">
        <f t="shared" si="99"/>
        <v>232</v>
      </c>
      <c r="DF206" s="6">
        <v>61</v>
      </c>
      <c r="DG206" s="10">
        <v>1067</v>
      </c>
      <c r="DH206" s="6">
        <f t="shared" si="100"/>
        <v>232</v>
      </c>
      <c r="DI206" s="6">
        <v>296</v>
      </c>
      <c r="DJ206" s="10"/>
      <c r="DK206" s="6">
        <f t="shared" si="101"/>
        <v>235</v>
      </c>
      <c r="DL206" s="6">
        <v>531</v>
      </c>
      <c r="DM206" s="10"/>
      <c r="DN206" s="6">
        <f t="shared" si="102"/>
        <v>235</v>
      </c>
      <c r="DO206" s="6">
        <v>141</v>
      </c>
      <c r="DP206" s="10">
        <v>595</v>
      </c>
      <c r="DQ206" s="6">
        <f t="shared" si="103"/>
        <v>205</v>
      </c>
    </row>
    <row r="207" spans="1:121">
      <c r="A207" s="6">
        <v>203</v>
      </c>
      <c r="B207" s="6">
        <v>53</v>
      </c>
      <c r="C207" s="10">
        <v>1200</v>
      </c>
      <c r="D207" s="6">
        <v>229</v>
      </c>
      <c r="E207" s="141" t="s">
        <v>75</v>
      </c>
      <c r="F207" s="141" t="s">
        <v>75</v>
      </c>
      <c r="G207" s="141" t="s">
        <v>75</v>
      </c>
      <c r="H207" s="141" t="s">
        <v>75</v>
      </c>
      <c r="I207" s="141" t="s">
        <v>75</v>
      </c>
      <c r="J207" s="141" t="s">
        <v>75</v>
      </c>
      <c r="K207" s="141" t="s">
        <v>75</v>
      </c>
      <c r="L207" s="163" t="s">
        <v>75</v>
      </c>
      <c r="M207" s="141" t="s">
        <v>75</v>
      </c>
      <c r="N207" s="141" t="s">
        <v>75</v>
      </c>
      <c r="O207" s="141" t="s">
        <v>75</v>
      </c>
      <c r="P207" s="141" t="s">
        <v>75</v>
      </c>
      <c r="Q207" s="141" t="s">
        <v>75</v>
      </c>
      <c r="R207" s="141" t="s">
        <v>75</v>
      </c>
      <c r="S207" s="141" t="s">
        <v>75</v>
      </c>
      <c r="T207" s="141" t="s">
        <v>75</v>
      </c>
      <c r="U207" s="141" t="s">
        <v>75</v>
      </c>
      <c r="V207" s="141" t="s">
        <v>75</v>
      </c>
      <c r="W207" s="141" t="s">
        <v>75</v>
      </c>
      <c r="X207" s="141" t="s">
        <v>75</v>
      </c>
      <c r="Y207" s="141" t="s">
        <v>75</v>
      </c>
      <c r="Z207" s="141" t="s">
        <v>75</v>
      </c>
      <c r="AA207" s="141" t="s">
        <v>75</v>
      </c>
      <c r="AB207" s="141" t="s">
        <v>75</v>
      </c>
      <c r="AC207" s="141" t="s">
        <v>75</v>
      </c>
      <c r="AD207" s="141" t="s">
        <v>75</v>
      </c>
      <c r="AE207" s="141" t="s">
        <v>75</v>
      </c>
      <c r="AF207" s="6">
        <v>298</v>
      </c>
      <c r="AG207" s="6"/>
      <c r="AH207" s="35">
        <f t="shared" si="78"/>
        <v>245</v>
      </c>
      <c r="AI207" s="35">
        <v>533</v>
      </c>
      <c r="AJ207" s="35"/>
      <c r="AK207" s="35">
        <f t="shared" si="79"/>
        <v>235</v>
      </c>
      <c r="AL207" s="6"/>
      <c r="AM207" s="6"/>
      <c r="AN207" s="35"/>
      <c r="AO207" s="6">
        <v>775</v>
      </c>
      <c r="AP207" s="6"/>
      <c r="AQ207" s="34">
        <f t="shared" si="80"/>
        <v>242</v>
      </c>
      <c r="AR207" s="35">
        <v>1019</v>
      </c>
      <c r="AS207" s="35"/>
      <c r="AT207" s="35">
        <f t="shared" si="81"/>
        <v>244</v>
      </c>
      <c r="AU207" s="6">
        <v>161</v>
      </c>
      <c r="AV207" s="6">
        <v>1100</v>
      </c>
      <c r="AW207" s="35">
        <f t="shared" si="82"/>
        <v>242</v>
      </c>
      <c r="AX207" s="6">
        <v>0</v>
      </c>
      <c r="AY207" s="6">
        <v>261</v>
      </c>
      <c r="AZ207" s="35">
        <f t="shared" si="83"/>
        <v>100</v>
      </c>
      <c r="BA207" s="35">
        <v>175</v>
      </c>
      <c r="BB207" s="35"/>
      <c r="BC207" s="35">
        <f t="shared" si="84"/>
        <v>175</v>
      </c>
      <c r="BD207" s="35">
        <v>226</v>
      </c>
      <c r="BE207" s="6">
        <v>261</v>
      </c>
      <c r="BF207" s="35">
        <f t="shared" si="85"/>
        <v>312</v>
      </c>
      <c r="BG207" s="6"/>
      <c r="BH207" s="6"/>
      <c r="BI207" s="6"/>
      <c r="BJ207" s="6">
        <v>226</v>
      </c>
      <c r="BK207" s="6"/>
      <c r="BL207" s="6">
        <f t="shared" si="86"/>
        <v>0</v>
      </c>
      <c r="BM207" s="35">
        <v>226</v>
      </c>
      <c r="BN207" s="35"/>
      <c r="BO207" s="6">
        <f t="shared" si="87"/>
        <v>0</v>
      </c>
      <c r="BP207" s="35">
        <v>0</v>
      </c>
      <c r="BQ207" s="35">
        <v>226</v>
      </c>
      <c r="BR207" s="35">
        <f t="shared" si="88"/>
        <v>0</v>
      </c>
      <c r="BS207" s="35">
        <v>0</v>
      </c>
      <c r="BT207" s="35"/>
      <c r="BU207" s="6">
        <f t="shared" si="89"/>
        <v>0</v>
      </c>
      <c r="BV207" s="35">
        <v>0</v>
      </c>
      <c r="BW207" s="35"/>
      <c r="BX207" s="35">
        <f t="shared" si="90"/>
        <v>0</v>
      </c>
      <c r="BY207" s="35">
        <v>0</v>
      </c>
      <c r="BZ207" s="6"/>
      <c r="CA207" s="6">
        <f t="shared" si="91"/>
        <v>0</v>
      </c>
      <c r="CB207" s="6"/>
      <c r="CC207" s="6"/>
      <c r="CD207" s="6"/>
      <c r="CE207" s="6">
        <v>0</v>
      </c>
      <c r="CF207" s="6"/>
      <c r="CG207" s="6">
        <f t="shared" si="92"/>
        <v>0</v>
      </c>
      <c r="CH207" s="6">
        <v>221</v>
      </c>
      <c r="CI207" s="6"/>
      <c r="CJ207" s="6">
        <f t="shared" si="93"/>
        <v>221</v>
      </c>
      <c r="CK207" s="6">
        <v>455</v>
      </c>
      <c r="CL207" s="6"/>
      <c r="CM207" s="6">
        <f t="shared" si="94"/>
        <v>234</v>
      </c>
      <c r="CN207" s="6">
        <v>689</v>
      </c>
      <c r="CO207" s="6"/>
      <c r="CP207" s="6">
        <f t="shared" si="95"/>
        <v>234</v>
      </c>
      <c r="CQ207" s="6">
        <v>922</v>
      </c>
      <c r="CR207" s="6"/>
      <c r="CS207" s="6">
        <f t="shared" si="96"/>
        <v>233</v>
      </c>
      <c r="CT207" s="6">
        <v>42</v>
      </c>
      <c r="CU207" s="6">
        <v>1100</v>
      </c>
      <c r="CV207" s="6">
        <f t="shared" si="97"/>
        <v>220</v>
      </c>
      <c r="CW207" s="6"/>
      <c r="CX207" s="6"/>
      <c r="CY207" s="6"/>
      <c r="CZ207" s="6">
        <v>274</v>
      </c>
      <c r="DA207" s="6"/>
      <c r="DB207" s="6">
        <f t="shared" si="98"/>
        <v>232</v>
      </c>
      <c r="DC207" s="6">
        <v>501</v>
      </c>
      <c r="DD207" s="6"/>
      <c r="DE207" s="6">
        <f t="shared" si="99"/>
        <v>227</v>
      </c>
      <c r="DF207" s="6">
        <v>722</v>
      </c>
      <c r="DG207" s="10"/>
      <c r="DH207" s="6">
        <f t="shared" si="100"/>
        <v>221</v>
      </c>
      <c r="DI207" s="6">
        <v>934</v>
      </c>
      <c r="DJ207" s="10"/>
      <c r="DK207" s="6">
        <f t="shared" si="101"/>
        <v>212</v>
      </c>
      <c r="DL207" s="6">
        <v>57</v>
      </c>
      <c r="DM207" s="10">
        <v>1100</v>
      </c>
      <c r="DN207" s="6">
        <f t="shared" si="102"/>
        <v>223</v>
      </c>
      <c r="DO207" s="6">
        <v>0</v>
      </c>
      <c r="DP207" s="10">
        <v>186</v>
      </c>
      <c r="DQ207" s="6">
        <f t="shared" si="103"/>
        <v>129</v>
      </c>
    </row>
    <row r="208" spans="1:121">
      <c r="A208" s="6">
        <v>204</v>
      </c>
      <c r="B208" s="6">
        <v>834</v>
      </c>
      <c r="C208" s="10"/>
      <c r="D208" s="6">
        <v>236</v>
      </c>
      <c r="E208" s="141" t="s">
        <v>75</v>
      </c>
      <c r="F208" s="141" t="s">
        <v>75</v>
      </c>
      <c r="G208" s="141" t="s">
        <v>75</v>
      </c>
      <c r="H208" s="163" t="s">
        <v>79</v>
      </c>
      <c r="I208" s="141" t="s">
        <v>79</v>
      </c>
      <c r="J208" s="141" t="s">
        <v>79</v>
      </c>
      <c r="K208" s="141" t="s">
        <v>79</v>
      </c>
      <c r="L208" s="141" t="s">
        <v>79</v>
      </c>
      <c r="M208" s="141" t="s">
        <v>79</v>
      </c>
      <c r="N208" s="141" t="s">
        <v>79</v>
      </c>
      <c r="O208" s="141" t="s">
        <v>79</v>
      </c>
      <c r="P208" s="141" t="s">
        <v>79</v>
      </c>
      <c r="Q208" s="141" t="s">
        <v>79</v>
      </c>
      <c r="R208" s="141" t="s">
        <v>79</v>
      </c>
      <c r="S208" s="141" t="s">
        <v>79</v>
      </c>
      <c r="T208" s="141" t="s">
        <v>79</v>
      </c>
      <c r="U208" s="141" t="s">
        <v>79</v>
      </c>
      <c r="V208" s="141" t="s">
        <v>79</v>
      </c>
      <c r="W208" s="141" t="s">
        <v>79</v>
      </c>
      <c r="X208" s="141" t="s">
        <v>79</v>
      </c>
      <c r="Y208" s="141" t="s">
        <v>79</v>
      </c>
      <c r="Z208" s="141" t="s">
        <v>79</v>
      </c>
      <c r="AA208" s="141" t="s">
        <v>79</v>
      </c>
      <c r="AB208" s="141" t="s">
        <v>79</v>
      </c>
      <c r="AC208" s="141" t="s">
        <v>79</v>
      </c>
      <c r="AD208" s="163" t="s">
        <v>79</v>
      </c>
      <c r="AE208" s="141" t="s">
        <v>79</v>
      </c>
      <c r="AF208" s="6">
        <v>1081</v>
      </c>
      <c r="AG208" s="6"/>
      <c r="AH208" s="35">
        <f t="shared" si="78"/>
        <v>247</v>
      </c>
      <c r="AI208" s="35">
        <v>215</v>
      </c>
      <c r="AJ208" s="35">
        <v>1100</v>
      </c>
      <c r="AK208" s="35">
        <f t="shared" si="79"/>
        <v>234</v>
      </c>
      <c r="AL208" s="6"/>
      <c r="AM208" s="6"/>
      <c r="AN208" s="35"/>
      <c r="AO208" s="6">
        <v>154</v>
      </c>
      <c r="AP208" s="6">
        <v>287</v>
      </c>
      <c r="AQ208" s="34">
        <f t="shared" si="80"/>
        <v>226</v>
      </c>
      <c r="AR208" s="35">
        <v>383</v>
      </c>
      <c r="AS208" s="35"/>
      <c r="AT208" s="35">
        <f t="shared" si="81"/>
        <v>229</v>
      </c>
      <c r="AU208" s="6">
        <v>611</v>
      </c>
      <c r="AV208" s="6"/>
      <c r="AW208" s="35">
        <f t="shared" si="82"/>
        <v>228</v>
      </c>
      <c r="AX208" s="6">
        <v>840</v>
      </c>
      <c r="AY208" s="6"/>
      <c r="AZ208" s="35">
        <f t="shared" si="83"/>
        <v>229</v>
      </c>
      <c r="BA208" s="35">
        <v>1066</v>
      </c>
      <c r="BB208" s="35"/>
      <c r="BC208" s="35">
        <f t="shared" si="84"/>
        <v>226</v>
      </c>
      <c r="BD208" s="35">
        <v>179</v>
      </c>
      <c r="BE208" s="6">
        <v>1100</v>
      </c>
      <c r="BF208" s="35">
        <f t="shared" si="85"/>
        <v>213</v>
      </c>
      <c r="BG208" s="6"/>
      <c r="BH208" s="6"/>
      <c r="BI208" s="6"/>
      <c r="BJ208" s="6">
        <v>404</v>
      </c>
      <c r="BK208" s="6"/>
      <c r="BL208" s="6">
        <f t="shared" si="86"/>
        <v>225</v>
      </c>
      <c r="BM208" s="35">
        <v>633</v>
      </c>
      <c r="BN208" s="35"/>
      <c r="BO208" s="6">
        <f t="shared" si="87"/>
        <v>229</v>
      </c>
      <c r="BP208" s="35">
        <v>62</v>
      </c>
      <c r="BQ208" s="35">
        <v>800</v>
      </c>
      <c r="BR208" s="35">
        <f t="shared" si="88"/>
        <v>229</v>
      </c>
      <c r="BS208" s="35">
        <v>289</v>
      </c>
      <c r="BT208" s="35"/>
      <c r="BU208" s="6">
        <f t="shared" si="89"/>
        <v>227</v>
      </c>
      <c r="BV208" s="35">
        <v>521</v>
      </c>
      <c r="BW208" s="35"/>
      <c r="BX208" s="35">
        <f t="shared" si="90"/>
        <v>232</v>
      </c>
      <c r="BY208" s="35">
        <v>740</v>
      </c>
      <c r="BZ208" s="6"/>
      <c r="CA208" s="6">
        <f t="shared" si="91"/>
        <v>219</v>
      </c>
      <c r="CB208" s="6"/>
      <c r="CC208" s="6"/>
      <c r="CD208" s="6"/>
      <c r="CE208" s="6">
        <v>169</v>
      </c>
      <c r="CF208" s="6">
        <v>800</v>
      </c>
      <c r="CG208" s="6">
        <f t="shared" si="92"/>
        <v>229</v>
      </c>
      <c r="CH208" s="6">
        <v>398</v>
      </c>
      <c r="CI208" s="6"/>
      <c r="CJ208" s="6">
        <f t="shared" si="93"/>
        <v>229</v>
      </c>
      <c r="CK208" s="6">
        <v>627</v>
      </c>
      <c r="CL208" s="6"/>
      <c r="CM208" s="6">
        <f t="shared" si="94"/>
        <v>229</v>
      </c>
      <c r="CN208" s="6">
        <v>59</v>
      </c>
      <c r="CO208" s="6">
        <v>800</v>
      </c>
      <c r="CP208" s="6">
        <f t="shared" si="95"/>
        <v>232</v>
      </c>
      <c r="CQ208" s="6">
        <v>288</v>
      </c>
      <c r="CR208" s="6"/>
      <c r="CS208" s="6">
        <f t="shared" si="96"/>
        <v>229</v>
      </c>
      <c r="CT208" s="6">
        <v>19</v>
      </c>
      <c r="CU208" s="6">
        <v>489</v>
      </c>
      <c r="CV208" s="6">
        <f t="shared" si="97"/>
        <v>220</v>
      </c>
      <c r="CW208" s="6"/>
      <c r="CX208" s="6"/>
      <c r="CY208" s="6"/>
      <c r="CZ208" s="6">
        <v>249</v>
      </c>
      <c r="DA208" s="6"/>
      <c r="DB208" s="6">
        <f t="shared" si="98"/>
        <v>230</v>
      </c>
      <c r="DC208" s="6">
        <v>125</v>
      </c>
      <c r="DD208" s="6">
        <v>348</v>
      </c>
      <c r="DE208" s="6">
        <f t="shared" si="99"/>
        <v>224</v>
      </c>
      <c r="DF208" s="6">
        <v>355</v>
      </c>
      <c r="DG208" s="10"/>
      <c r="DH208" s="6">
        <f t="shared" si="100"/>
        <v>230</v>
      </c>
      <c r="DI208" s="6">
        <v>0</v>
      </c>
      <c r="DJ208" s="10">
        <v>474</v>
      </c>
      <c r="DK208" s="6">
        <f t="shared" si="101"/>
        <v>119</v>
      </c>
      <c r="DL208" s="6">
        <v>217</v>
      </c>
      <c r="DM208" s="10"/>
      <c r="DN208" s="6">
        <f t="shared" si="102"/>
        <v>217</v>
      </c>
      <c r="DO208" s="6">
        <v>420</v>
      </c>
      <c r="DP208" s="10"/>
      <c r="DQ208" s="6">
        <f t="shared" si="103"/>
        <v>203</v>
      </c>
    </row>
    <row r="209" spans="1:121">
      <c r="A209" s="6">
        <v>205</v>
      </c>
      <c r="B209" s="6">
        <v>360</v>
      </c>
      <c r="C209" s="10"/>
      <c r="D209" s="6">
        <v>239</v>
      </c>
      <c r="E209" s="141" t="s">
        <v>75</v>
      </c>
      <c r="F209" s="141" t="s">
        <v>75</v>
      </c>
      <c r="G209" s="141" t="s">
        <v>75</v>
      </c>
      <c r="H209" s="141" t="s">
        <v>75</v>
      </c>
      <c r="I209" s="141" t="s">
        <v>75</v>
      </c>
      <c r="J209" s="141" t="s">
        <v>75</v>
      </c>
      <c r="K209" s="141" t="s">
        <v>75</v>
      </c>
      <c r="L209" s="141" t="s">
        <v>75</v>
      </c>
      <c r="M209" s="141" t="s">
        <v>75</v>
      </c>
      <c r="N209" s="141" t="s">
        <v>75</v>
      </c>
      <c r="O209" s="141" t="s">
        <v>75</v>
      </c>
      <c r="P209" s="141" t="s">
        <v>75</v>
      </c>
      <c r="Q209" s="141" t="s">
        <v>75</v>
      </c>
      <c r="R209" s="163" t="s">
        <v>72</v>
      </c>
      <c r="S209" s="141" t="s">
        <v>72</v>
      </c>
      <c r="T209" s="141" t="s">
        <v>72</v>
      </c>
      <c r="U209" s="141" t="s">
        <v>72</v>
      </c>
      <c r="V209" s="141" t="s">
        <v>72</v>
      </c>
      <c r="W209" s="141" t="s">
        <v>72</v>
      </c>
      <c r="X209" s="141" t="s">
        <v>72</v>
      </c>
      <c r="Y209" s="141" t="s">
        <v>72</v>
      </c>
      <c r="Z209" s="141" t="s">
        <v>72</v>
      </c>
      <c r="AA209" s="141" t="s">
        <v>72</v>
      </c>
      <c r="AB209" s="141" t="s">
        <v>72</v>
      </c>
      <c r="AC209" s="141" t="s">
        <v>72</v>
      </c>
      <c r="AD209" s="141" t="s">
        <v>72</v>
      </c>
      <c r="AE209" s="141" t="s">
        <v>72</v>
      </c>
      <c r="AF209" s="6">
        <v>607</v>
      </c>
      <c r="AG209" s="6"/>
      <c r="AH209" s="35">
        <f t="shared" si="78"/>
        <v>247</v>
      </c>
      <c r="AI209" s="35">
        <v>837</v>
      </c>
      <c r="AJ209" s="35"/>
      <c r="AK209" s="35">
        <f t="shared" si="79"/>
        <v>230</v>
      </c>
      <c r="AL209" s="6"/>
      <c r="AM209" s="6"/>
      <c r="AN209" s="35"/>
      <c r="AO209" s="6">
        <v>1084</v>
      </c>
      <c r="AP209" s="6"/>
      <c r="AQ209" s="34">
        <f t="shared" si="80"/>
        <v>247</v>
      </c>
      <c r="AR209" s="35">
        <v>200</v>
      </c>
      <c r="AS209" s="35">
        <v>1131</v>
      </c>
      <c r="AT209" s="35">
        <f t="shared" si="81"/>
        <v>247</v>
      </c>
      <c r="AU209" s="6">
        <v>447</v>
      </c>
      <c r="AV209" s="6"/>
      <c r="AW209" s="35">
        <f t="shared" si="82"/>
        <v>247</v>
      </c>
      <c r="AX209" s="6">
        <v>689</v>
      </c>
      <c r="AY209" s="6"/>
      <c r="AZ209" s="35">
        <f t="shared" si="83"/>
        <v>242</v>
      </c>
      <c r="BA209" s="35">
        <v>936</v>
      </c>
      <c r="BB209" s="35"/>
      <c r="BC209" s="35">
        <f t="shared" si="84"/>
        <v>247</v>
      </c>
      <c r="BD209" s="35">
        <v>73</v>
      </c>
      <c r="BE209" s="6">
        <v>1100</v>
      </c>
      <c r="BF209" s="35">
        <f t="shared" si="85"/>
        <v>237</v>
      </c>
      <c r="BG209" s="6"/>
      <c r="BH209" s="6"/>
      <c r="BI209" s="6"/>
      <c r="BJ209" s="6">
        <v>320</v>
      </c>
      <c r="BK209" s="6"/>
      <c r="BL209" s="6">
        <f t="shared" si="86"/>
        <v>247</v>
      </c>
      <c r="BM209" s="35">
        <v>0</v>
      </c>
      <c r="BN209" s="35">
        <v>355</v>
      </c>
      <c r="BO209" s="6">
        <f t="shared" si="87"/>
        <v>35</v>
      </c>
      <c r="BP209" s="35">
        <v>0</v>
      </c>
      <c r="BQ209" s="35"/>
      <c r="BR209" s="35">
        <f t="shared" si="88"/>
        <v>0</v>
      </c>
      <c r="BS209" s="35">
        <v>0</v>
      </c>
      <c r="BT209" s="35"/>
      <c r="BU209" s="6">
        <f t="shared" si="89"/>
        <v>0</v>
      </c>
      <c r="BV209" s="35">
        <v>0</v>
      </c>
      <c r="BW209" s="35"/>
      <c r="BX209" s="35">
        <f t="shared" si="90"/>
        <v>0</v>
      </c>
      <c r="BY209" s="35">
        <v>0</v>
      </c>
      <c r="BZ209" s="6"/>
      <c r="CA209" s="6">
        <f t="shared" si="91"/>
        <v>0</v>
      </c>
      <c r="CB209" s="6"/>
      <c r="CC209" s="6"/>
      <c r="CD209" s="6"/>
      <c r="CE209" s="6">
        <v>0</v>
      </c>
      <c r="CF209" s="6"/>
      <c r="CG209" s="6">
        <f t="shared" si="92"/>
        <v>0</v>
      </c>
      <c r="CH209" s="6">
        <v>0</v>
      </c>
      <c r="CI209" s="6"/>
      <c r="CJ209" s="6">
        <f t="shared" si="93"/>
        <v>0</v>
      </c>
      <c r="CK209" s="6">
        <v>0</v>
      </c>
      <c r="CL209" s="6"/>
      <c r="CM209" s="6">
        <f t="shared" si="94"/>
        <v>0</v>
      </c>
      <c r="CN209" s="6">
        <v>0</v>
      </c>
      <c r="CO209" s="6"/>
      <c r="CP209" s="6">
        <f t="shared" si="95"/>
        <v>0</v>
      </c>
      <c r="CQ209" s="6">
        <v>181</v>
      </c>
      <c r="CR209" s="6"/>
      <c r="CS209" s="6">
        <f t="shared" si="96"/>
        <v>181</v>
      </c>
      <c r="CT209" s="6">
        <v>414</v>
      </c>
      <c r="CU209" s="6"/>
      <c r="CV209" s="6">
        <f t="shared" si="97"/>
        <v>233</v>
      </c>
      <c r="CW209" s="6"/>
      <c r="CX209" s="6"/>
      <c r="CY209" s="6"/>
      <c r="CZ209" s="6">
        <v>235</v>
      </c>
      <c r="DA209" s="6">
        <v>424</v>
      </c>
      <c r="DB209" s="6">
        <f t="shared" si="98"/>
        <v>245</v>
      </c>
      <c r="DC209" s="6">
        <v>479</v>
      </c>
      <c r="DD209" s="6"/>
      <c r="DE209" s="6">
        <f t="shared" si="99"/>
        <v>244</v>
      </c>
      <c r="DF209" s="6">
        <v>725</v>
      </c>
      <c r="DG209" s="10"/>
      <c r="DH209" s="6">
        <f t="shared" si="100"/>
        <v>246</v>
      </c>
      <c r="DI209" s="6">
        <v>973</v>
      </c>
      <c r="DJ209" s="10"/>
      <c r="DK209" s="6">
        <f t="shared" si="101"/>
        <v>248</v>
      </c>
      <c r="DL209" s="6">
        <v>116</v>
      </c>
      <c r="DM209" s="10">
        <v>1100</v>
      </c>
      <c r="DN209" s="6">
        <f t="shared" si="102"/>
        <v>243</v>
      </c>
      <c r="DO209" s="6">
        <v>334</v>
      </c>
      <c r="DP209" s="10"/>
      <c r="DQ209" s="6">
        <f t="shared" si="103"/>
        <v>218</v>
      </c>
    </row>
    <row r="210" spans="1:121">
      <c r="A210" s="6">
        <v>206</v>
      </c>
      <c r="B210" s="6">
        <v>240</v>
      </c>
      <c r="C210" s="10"/>
      <c r="D210" s="6">
        <v>237</v>
      </c>
      <c r="E210" s="141" t="s">
        <v>75</v>
      </c>
      <c r="F210" s="141" t="s">
        <v>75</v>
      </c>
      <c r="G210" s="141" t="s">
        <v>75</v>
      </c>
      <c r="H210" s="141" t="s">
        <v>75</v>
      </c>
      <c r="I210" s="141" t="s">
        <v>75</v>
      </c>
      <c r="J210" s="141" t="s">
        <v>75</v>
      </c>
      <c r="K210" s="141" t="s">
        <v>75</v>
      </c>
      <c r="L210" s="141" t="s">
        <v>75</v>
      </c>
      <c r="M210" s="141" t="s">
        <v>75</v>
      </c>
      <c r="N210" s="141" t="s">
        <v>75</v>
      </c>
      <c r="O210" s="141" t="s">
        <v>75</v>
      </c>
      <c r="P210" s="141" t="s">
        <v>75</v>
      </c>
      <c r="Q210" s="163" t="s">
        <v>72</v>
      </c>
      <c r="R210" s="141" t="s">
        <v>72</v>
      </c>
      <c r="S210" s="141" t="s">
        <v>72</v>
      </c>
      <c r="T210" s="141" t="s">
        <v>72</v>
      </c>
      <c r="U210" s="141" t="s">
        <v>72</v>
      </c>
      <c r="V210" s="141" t="s">
        <v>72</v>
      </c>
      <c r="W210" s="141" t="s">
        <v>72</v>
      </c>
      <c r="X210" s="141" t="s">
        <v>72</v>
      </c>
      <c r="Y210" s="141" t="s">
        <v>72</v>
      </c>
      <c r="Z210" s="141" t="s">
        <v>72</v>
      </c>
      <c r="AA210" s="141" t="s">
        <v>72</v>
      </c>
      <c r="AB210" s="141" t="s">
        <v>72</v>
      </c>
      <c r="AC210" s="141" t="s">
        <v>72</v>
      </c>
      <c r="AD210" s="141" t="s">
        <v>72</v>
      </c>
      <c r="AE210" s="141" t="s">
        <v>72</v>
      </c>
      <c r="AF210" s="6">
        <v>486</v>
      </c>
      <c r="AG210" s="6"/>
      <c r="AH210" s="35">
        <f t="shared" si="78"/>
        <v>246</v>
      </c>
      <c r="AI210" s="35">
        <v>711</v>
      </c>
      <c r="AJ210" s="35"/>
      <c r="AK210" s="35">
        <f t="shared" si="79"/>
        <v>225</v>
      </c>
      <c r="AL210" s="6"/>
      <c r="AM210" s="6"/>
      <c r="AN210" s="35"/>
      <c r="AO210" s="6">
        <v>955</v>
      </c>
      <c r="AP210" s="6"/>
      <c r="AQ210" s="34">
        <f t="shared" si="80"/>
        <v>244</v>
      </c>
      <c r="AR210" s="35">
        <v>101</v>
      </c>
      <c r="AS210" s="35">
        <v>1100</v>
      </c>
      <c r="AT210" s="35">
        <f t="shared" si="81"/>
        <v>246</v>
      </c>
      <c r="AU210" s="6">
        <v>328</v>
      </c>
      <c r="AV210" s="6"/>
      <c r="AW210" s="35">
        <f t="shared" si="82"/>
        <v>227</v>
      </c>
      <c r="AX210" s="6">
        <v>460</v>
      </c>
      <c r="AY210" s="6"/>
      <c r="AZ210" s="35">
        <f t="shared" si="83"/>
        <v>132</v>
      </c>
      <c r="BA210" s="35">
        <v>0</v>
      </c>
      <c r="BB210" s="35">
        <v>575</v>
      </c>
      <c r="BC210" s="35">
        <f t="shared" si="84"/>
        <v>115</v>
      </c>
      <c r="BD210" s="35">
        <v>0</v>
      </c>
      <c r="BE210" s="6"/>
      <c r="BF210" s="35">
        <f t="shared" si="85"/>
        <v>0</v>
      </c>
      <c r="BG210" s="6"/>
      <c r="BH210" s="6"/>
      <c r="BI210" s="6"/>
      <c r="BJ210" s="6">
        <v>0</v>
      </c>
      <c r="BK210" s="6"/>
      <c r="BL210" s="6">
        <f t="shared" si="86"/>
        <v>0</v>
      </c>
      <c r="BM210" s="35">
        <v>0</v>
      </c>
      <c r="BN210" s="35">
        <v>355</v>
      </c>
      <c r="BO210" s="6">
        <f t="shared" si="87"/>
        <v>355</v>
      </c>
      <c r="BP210" s="35">
        <v>0</v>
      </c>
      <c r="BQ210" s="35"/>
      <c r="BR210" s="35">
        <f t="shared" si="88"/>
        <v>0</v>
      </c>
      <c r="BS210" s="35">
        <v>0</v>
      </c>
      <c r="BT210" s="35"/>
      <c r="BU210" s="6">
        <f t="shared" si="89"/>
        <v>0</v>
      </c>
      <c r="BV210" s="35">
        <v>0</v>
      </c>
      <c r="BW210" s="35"/>
      <c r="BX210" s="35">
        <f t="shared" si="90"/>
        <v>0</v>
      </c>
      <c r="BY210" s="35">
        <v>0</v>
      </c>
      <c r="BZ210" s="6"/>
      <c r="CA210" s="6">
        <f t="shared" si="91"/>
        <v>0</v>
      </c>
      <c r="CB210" s="6"/>
      <c r="CC210" s="6"/>
      <c r="CD210" s="6"/>
      <c r="CE210" s="6">
        <v>0</v>
      </c>
      <c r="CF210" s="6"/>
      <c r="CG210" s="6">
        <f t="shared" si="92"/>
        <v>0</v>
      </c>
      <c r="CH210" s="6">
        <v>0</v>
      </c>
      <c r="CI210" s="6"/>
      <c r="CJ210" s="6">
        <f t="shared" si="93"/>
        <v>0</v>
      </c>
      <c r="CK210" s="6">
        <v>0</v>
      </c>
      <c r="CL210" s="6"/>
      <c r="CM210" s="6">
        <f t="shared" si="94"/>
        <v>0</v>
      </c>
      <c r="CN210" s="6">
        <v>0</v>
      </c>
      <c r="CO210" s="6"/>
      <c r="CP210" s="6">
        <f t="shared" si="95"/>
        <v>0</v>
      </c>
      <c r="CQ210" s="6">
        <v>195</v>
      </c>
      <c r="CR210" s="6"/>
      <c r="CS210" s="6">
        <f t="shared" si="96"/>
        <v>195</v>
      </c>
      <c r="CT210" s="6">
        <v>421</v>
      </c>
      <c r="CU210" s="6"/>
      <c r="CV210" s="6">
        <f t="shared" si="97"/>
        <v>226</v>
      </c>
      <c r="CW210" s="6"/>
      <c r="CX210" s="6"/>
      <c r="CY210" s="6"/>
      <c r="CZ210" s="6">
        <v>663</v>
      </c>
      <c r="DA210" s="6"/>
      <c r="DB210" s="6">
        <f t="shared" si="98"/>
        <v>242</v>
      </c>
      <c r="DC210" s="6">
        <v>229</v>
      </c>
      <c r="DD210" s="6">
        <v>673</v>
      </c>
      <c r="DE210" s="6">
        <f t="shared" si="99"/>
        <v>239</v>
      </c>
      <c r="DF210" s="6">
        <v>472</v>
      </c>
      <c r="DG210" s="10"/>
      <c r="DH210" s="6">
        <f t="shared" si="100"/>
        <v>243</v>
      </c>
      <c r="DI210" s="6">
        <v>21</v>
      </c>
      <c r="DJ210" s="10">
        <v>686</v>
      </c>
      <c r="DK210" s="6">
        <f t="shared" si="101"/>
        <v>235</v>
      </c>
      <c r="DL210" s="6">
        <v>246</v>
      </c>
      <c r="DM210" s="10"/>
      <c r="DN210" s="6">
        <f t="shared" si="102"/>
        <v>225</v>
      </c>
      <c r="DO210" s="6">
        <v>448</v>
      </c>
      <c r="DP210" s="10"/>
      <c r="DQ210" s="6">
        <f t="shared" si="103"/>
        <v>202</v>
      </c>
    </row>
    <row r="211" spans="1:121">
      <c r="A211" s="6">
        <v>207</v>
      </c>
      <c r="B211" s="6">
        <v>800</v>
      </c>
      <c r="C211" s="10"/>
      <c r="D211" s="6">
        <v>237</v>
      </c>
      <c r="E211" s="141" t="s">
        <v>75</v>
      </c>
      <c r="F211" s="141" t="s">
        <v>75</v>
      </c>
      <c r="G211" s="141" t="s">
        <v>75</v>
      </c>
      <c r="H211" s="141" t="s">
        <v>75</v>
      </c>
      <c r="I211" s="163" t="s">
        <v>75</v>
      </c>
      <c r="J211" s="141" t="s">
        <v>75</v>
      </c>
      <c r="K211" s="141" t="s">
        <v>75</v>
      </c>
      <c r="L211" s="141" t="s">
        <v>75</v>
      </c>
      <c r="M211" s="141" t="s">
        <v>75</v>
      </c>
      <c r="N211" s="141" t="s">
        <v>75</v>
      </c>
      <c r="O211" s="141" t="s">
        <v>75</v>
      </c>
      <c r="P211" s="141" t="s">
        <v>75</v>
      </c>
      <c r="Q211" s="141" t="s">
        <v>75</v>
      </c>
      <c r="R211" s="141" t="s">
        <v>75</v>
      </c>
      <c r="S211" s="141" t="s">
        <v>75</v>
      </c>
      <c r="T211" s="141" t="s">
        <v>75</v>
      </c>
      <c r="U211" s="141" t="s">
        <v>75</v>
      </c>
      <c r="V211" s="141" t="s">
        <v>75</v>
      </c>
      <c r="W211" s="141" t="s">
        <v>75</v>
      </c>
      <c r="X211" s="141" t="s">
        <v>75</v>
      </c>
      <c r="Y211" s="141" t="s">
        <v>75</v>
      </c>
      <c r="Z211" s="141" t="s">
        <v>75</v>
      </c>
      <c r="AA211" s="141" t="s">
        <v>75</v>
      </c>
      <c r="AB211" s="141" t="s">
        <v>75</v>
      </c>
      <c r="AC211" s="141" t="s">
        <v>75</v>
      </c>
      <c r="AD211" s="141" t="s">
        <v>75</v>
      </c>
      <c r="AE211" s="141" t="s">
        <v>75</v>
      </c>
      <c r="AF211" s="6">
        <v>1047</v>
      </c>
      <c r="AG211" s="6"/>
      <c r="AH211" s="35">
        <f t="shared" si="78"/>
        <v>247</v>
      </c>
      <c r="AI211" s="35">
        <v>213</v>
      </c>
      <c r="AJ211" s="35">
        <v>1071</v>
      </c>
      <c r="AK211" s="35">
        <f t="shared" si="79"/>
        <v>237</v>
      </c>
      <c r="AL211" s="6"/>
      <c r="AM211" s="6"/>
      <c r="AN211" s="35"/>
      <c r="AO211" s="6">
        <v>0</v>
      </c>
      <c r="AP211" s="6">
        <v>321</v>
      </c>
      <c r="AQ211" s="34">
        <f t="shared" si="80"/>
        <v>108</v>
      </c>
      <c r="AR211" s="35">
        <v>234</v>
      </c>
      <c r="AS211" s="35"/>
      <c r="AT211" s="35">
        <f t="shared" si="81"/>
        <v>234</v>
      </c>
      <c r="AU211" s="6">
        <v>480</v>
      </c>
      <c r="AV211" s="6"/>
      <c r="AW211" s="35">
        <f t="shared" si="82"/>
        <v>246</v>
      </c>
      <c r="AX211" s="6">
        <v>728</v>
      </c>
      <c r="AY211" s="6"/>
      <c r="AZ211" s="35">
        <f t="shared" si="83"/>
        <v>248</v>
      </c>
      <c r="BA211" s="35">
        <v>826</v>
      </c>
      <c r="BB211" s="35"/>
      <c r="BC211" s="35">
        <f t="shared" si="84"/>
        <v>98</v>
      </c>
      <c r="BD211" s="35">
        <v>826</v>
      </c>
      <c r="BE211" s="6"/>
      <c r="BF211" s="35">
        <f t="shared" si="85"/>
        <v>0</v>
      </c>
      <c r="BG211" s="6"/>
      <c r="BH211" s="6"/>
      <c r="BI211" s="6"/>
      <c r="BJ211" s="6">
        <v>826</v>
      </c>
      <c r="BK211" s="6"/>
      <c r="BL211" s="6">
        <f t="shared" si="86"/>
        <v>0</v>
      </c>
      <c r="BM211" s="35">
        <v>826</v>
      </c>
      <c r="BN211" s="35"/>
      <c r="BO211" s="6">
        <f t="shared" si="87"/>
        <v>0</v>
      </c>
      <c r="BP211" s="35">
        <v>0</v>
      </c>
      <c r="BQ211" s="35">
        <v>826</v>
      </c>
      <c r="BR211" s="35">
        <f t="shared" si="88"/>
        <v>0</v>
      </c>
      <c r="BS211" s="35">
        <v>0</v>
      </c>
      <c r="BT211" s="35"/>
      <c r="BU211" s="6">
        <f t="shared" si="89"/>
        <v>0</v>
      </c>
      <c r="BV211" s="35">
        <v>0</v>
      </c>
      <c r="BW211" s="35"/>
      <c r="BX211" s="35">
        <f t="shared" si="90"/>
        <v>0</v>
      </c>
      <c r="BY211" s="35">
        <v>0</v>
      </c>
      <c r="BZ211" s="6"/>
      <c r="CA211" s="6">
        <f t="shared" si="91"/>
        <v>0</v>
      </c>
      <c r="CB211" s="6"/>
      <c r="CC211" s="6"/>
      <c r="CD211" s="6"/>
      <c r="CE211" s="6">
        <v>0</v>
      </c>
      <c r="CF211" s="6"/>
      <c r="CG211" s="6">
        <f t="shared" si="92"/>
        <v>0</v>
      </c>
      <c r="CH211" s="6">
        <v>0</v>
      </c>
      <c r="CI211" s="6"/>
      <c r="CJ211" s="6">
        <f t="shared" si="93"/>
        <v>0</v>
      </c>
      <c r="CK211" s="6">
        <v>231</v>
      </c>
      <c r="CL211" s="6"/>
      <c r="CM211" s="6">
        <f t="shared" si="94"/>
        <v>231</v>
      </c>
      <c r="CN211" s="6">
        <v>463</v>
      </c>
      <c r="CO211" s="6"/>
      <c r="CP211" s="6">
        <f t="shared" si="95"/>
        <v>232</v>
      </c>
      <c r="CQ211" s="6">
        <v>57</v>
      </c>
      <c r="CR211" s="6">
        <v>627</v>
      </c>
      <c r="CS211" s="6">
        <f t="shared" si="96"/>
        <v>221</v>
      </c>
      <c r="CT211" s="6">
        <v>278</v>
      </c>
      <c r="CU211" s="6"/>
      <c r="CV211" s="6">
        <f t="shared" si="97"/>
        <v>221</v>
      </c>
      <c r="CW211" s="6"/>
      <c r="CX211" s="6"/>
      <c r="CY211" s="6"/>
      <c r="CZ211" s="6">
        <v>510</v>
      </c>
      <c r="DA211" s="6"/>
      <c r="DB211" s="6">
        <f t="shared" si="98"/>
        <v>232</v>
      </c>
      <c r="DC211" s="6">
        <v>739</v>
      </c>
      <c r="DD211" s="6"/>
      <c r="DE211" s="6">
        <f t="shared" si="99"/>
        <v>229</v>
      </c>
      <c r="DF211" s="6">
        <v>971</v>
      </c>
      <c r="DG211" s="10"/>
      <c r="DH211" s="6">
        <f t="shared" si="100"/>
        <v>232</v>
      </c>
      <c r="DI211" s="6">
        <v>105</v>
      </c>
      <c r="DJ211" s="10">
        <v>1100</v>
      </c>
      <c r="DK211" s="6">
        <f t="shared" si="101"/>
        <v>234</v>
      </c>
      <c r="DL211" s="6">
        <v>336</v>
      </c>
      <c r="DM211" s="10"/>
      <c r="DN211" s="6">
        <f t="shared" si="102"/>
        <v>231</v>
      </c>
      <c r="DO211" s="6">
        <v>542</v>
      </c>
      <c r="DP211" s="10"/>
      <c r="DQ211" s="6">
        <f t="shared" si="103"/>
        <v>206</v>
      </c>
    </row>
    <row r="212" spans="1:121">
      <c r="A212" s="6">
        <v>208</v>
      </c>
      <c r="B212" s="6">
        <v>344</v>
      </c>
      <c r="C212" s="10"/>
      <c r="D212" s="6">
        <v>236</v>
      </c>
      <c r="E212" s="141" t="s">
        <v>75</v>
      </c>
      <c r="F212" s="141" t="s">
        <v>75</v>
      </c>
      <c r="G212" s="141" t="s">
        <v>75</v>
      </c>
      <c r="H212" s="141" t="s">
        <v>75</v>
      </c>
      <c r="I212" s="141" t="s">
        <v>75</v>
      </c>
      <c r="J212" s="141" t="s">
        <v>75</v>
      </c>
      <c r="K212" s="141" t="s">
        <v>75</v>
      </c>
      <c r="L212" s="141" t="s">
        <v>75</v>
      </c>
      <c r="M212" s="141" t="s">
        <v>75</v>
      </c>
      <c r="N212" s="141" t="s">
        <v>75</v>
      </c>
      <c r="O212" s="141" t="s">
        <v>75</v>
      </c>
      <c r="P212" s="141" t="s">
        <v>75</v>
      </c>
      <c r="Q212" s="163" t="s">
        <v>72</v>
      </c>
      <c r="R212" s="141" t="s">
        <v>72</v>
      </c>
      <c r="S212" s="141" t="s">
        <v>72</v>
      </c>
      <c r="T212" s="141" t="s">
        <v>72</v>
      </c>
      <c r="U212" s="141" t="s">
        <v>72</v>
      </c>
      <c r="V212" s="141" t="s">
        <v>72</v>
      </c>
      <c r="W212" s="141" t="s">
        <v>72</v>
      </c>
      <c r="X212" s="141" t="s">
        <v>72</v>
      </c>
      <c r="Y212" s="141" t="s">
        <v>72</v>
      </c>
      <c r="Z212" s="141" t="s">
        <v>72</v>
      </c>
      <c r="AA212" s="141" t="s">
        <v>72</v>
      </c>
      <c r="AB212" s="141" t="s">
        <v>72</v>
      </c>
      <c r="AC212" s="141" t="s">
        <v>72</v>
      </c>
      <c r="AD212" s="141" t="s">
        <v>72</v>
      </c>
      <c r="AE212" s="141" t="s">
        <v>72</v>
      </c>
      <c r="AF212" s="6">
        <v>587</v>
      </c>
      <c r="AG212" s="6"/>
      <c r="AH212" s="35">
        <f t="shared" si="78"/>
        <v>243</v>
      </c>
      <c r="AI212" s="35">
        <v>819</v>
      </c>
      <c r="AJ212" s="35"/>
      <c r="AK212" s="35">
        <f t="shared" si="79"/>
        <v>232</v>
      </c>
      <c r="AL212" s="6"/>
      <c r="AM212" s="6"/>
      <c r="AN212" s="35"/>
      <c r="AO212" s="6">
        <v>1056</v>
      </c>
      <c r="AP212" s="6"/>
      <c r="AQ212" s="34">
        <f t="shared" si="80"/>
        <v>237</v>
      </c>
      <c r="AR212" s="35">
        <v>183</v>
      </c>
      <c r="AS212" s="35">
        <v>1121</v>
      </c>
      <c r="AT212" s="35">
        <f t="shared" si="81"/>
        <v>248</v>
      </c>
      <c r="AU212" s="6">
        <v>427</v>
      </c>
      <c r="AV212" s="6"/>
      <c r="AW212" s="35">
        <f t="shared" si="82"/>
        <v>244</v>
      </c>
      <c r="AX212" s="6">
        <v>675</v>
      </c>
      <c r="AY212" s="6"/>
      <c r="AZ212" s="35">
        <f t="shared" si="83"/>
        <v>248</v>
      </c>
      <c r="BA212" s="35">
        <v>923</v>
      </c>
      <c r="BB212" s="35"/>
      <c r="BC212" s="35">
        <f t="shared" si="84"/>
        <v>248</v>
      </c>
      <c r="BD212" s="35">
        <v>58</v>
      </c>
      <c r="BE212" s="6">
        <v>1100</v>
      </c>
      <c r="BF212" s="35">
        <f t="shared" si="85"/>
        <v>235</v>
      </c>
      <c r="BG212" s="6"/>
      <c r="BH212" s="6"/>
      <c r="BI212" s="6"/>
      <c r="BJ212" s="6">
        <v>307</v>
      </c>
      <c r="BK212" s="6"/>
      <c r="BL212" s="6">
        <f t="shared" si="86"/>
        <v>249</v>
      </c>
      <c r="BM212" s="35">
        <v>0</v>
      </c>
      <c r="BN212" s="35">
        <v>335</v>
      </c>
      <c r="BO212" s="6">
        <f t="shared" si="87"/>
        <v>28</v>
      </c>
      <c r="BP212" s="35">
        <v>0</v>
      </c>
      <c r="BQ212" s="35"/>
      <c r="BR212" s="35">
        <f t="shared" si="88"/>
        <v>0</v>
      </c>
      <c r="BS212" s="35">
        <v>0</v>
      </c>
      <c r="BT212" s="35"/>
      <c r="BU212" s="6">
        <f t="shared" si="89"/>
        <v>0</v>
      </c>
      <c r="BV212" s="35">
        <v>0</v>
      </c>
      <c r="BW212" s="35"/>
      <c r="BX212" s="35">
        <f t="shared" si="90"/>
        <v>0</v>
      </c>
      <c r="BY212" s="35">
        <v>0</v>
      </c>
      <c r="BZ212" s="6"/>
      <c r="CA212" s="6">
        <f t="shared" si="91"/>
        <v>0</v>
      </c>
      <c r="CB212" s="6"/>
      <c r="CC212" s="6"/>
      <c r="CD212" s="6"/>
      <c r="CE212" s="6">
        <v>0</v>
      </c>
      <c r="CF212" s="6"/>
      <c r="CG212" s="6">
        <f t="shared" si="92"/>
        <v>0</v>
      </c>
      <c r="CH212" s="6">
        <v>0</v>
      </c>
      <c r="CI212" s="6"/>
      <c r="CJ212" s="6">
        <f t="shared" si="93"/>
        <v>0</v>
      </c>
      <c r="CK212" s="6">
        <v>0</v>
      </c>
      <c r="CL212" s="6"/>
      <c r="CM212" s="6">
        <f t="shared" si="94"/>
        <v>0</v>
      </c>
      <c r="CN212" s="6">
        <v>0</v>
      </c>
      <c r="CO212" s="6"/>
      <c r="CP212" s="6">
        <f t="shared" si="95"/>
        <v>0</v>
      </c>
      <c r="CQ212" s="6">
        <v>196</v>
      </c>
      <c r="CR212" s="6"/>
      <c r="CS212" s="6">
        <f t="shared" si="96"/>
        <v>196</v>
      </c>
      <c r="CT212" s="6">
        <v>432</v>
      </c>
      <c r="CU212" s="35"/>
      <c r="CV212" s="6">
        <f t="shared" si="97"/>
        <v>236</v>
      </c>
      <c r="CW212" s="6"/>
      <c r="CX212" s="6"/>
      <c r="CY212" s="6"/>
      <c r="CZ212" s="6">
        <v>666</v>
      </c>
      <c r="DA212" s="6"/>
      <c r="DB212" s="6">
        <f t="shared" si="98"/>
        <v>234</v>
      </c>
      <c r="DC212" s="6">
        <v>901</v>
      </c>
      <c r="DD212" s="6"/>
      <c r="DE212" s="6">
        <f t="shared" si="99"/>
        <v>235</v>
      </c>
      <c r="DF212" s="6">
        <v>24</v>
      </c>
      <c r="DG212" s="10">
        <v>1100</v>
      </c>
      <c r="DH212" s="6">
        <f t="shared" si="100"/>
        <v>223</v>
      </c>
      <c r="DI212" s="6">
        <v>257</v>
      </c>
      <c r="DJ212" s="10"/>
      <c r="DK212" s="6">
        <f t="shared" si="101"/>
        <v>233</v>
      </c>
      <c r="DL212" s="6">
        <v>490</v>
      </c>
      <c r="DM212" s="10"/>
      <c r="DN212" s="6">
        <f t="shared" si="102"/>
        <v>233</v>
      </c>
      <c r="DO212" s="6">
        <v>696</v>
      </c>
      <c r="DP212" s="10"/>
      <c r="DQ212" s="6">
        <f t="shared" si="103"/>
        <v>206</v>
      </c>
    </row>
    <row r="213" spans="1:121" ht="15.75" customHeight="1">
      <c r="A213" s="6">
        <v>209</v>
      </c>
      <c r="B213" s="6">
        <v>283</v>
      </c>
      <c r="C213" s="10"/>
      <c r="D213" s="6">
        <v>238</v>
      </c>
      <c r="E213" s="141" t="s">
        <v>75</v>
      </c>
      <c r="F213" s="141" t="s">
        <v>75</v>
      </c>
      <c r="G213" s="141" t="s">
        <v>75</v>
      </c>
      <c r="H213" s="141" t="s">
        <v>75</v>
      </c>
      <c r="I213" s="141" t="s">
        <v>75</v>
      </c>
      <c r="J213" s="141" t="s">
        <v>75</v>
      </c>
      <c r="K213" s="163" t="s">
        <v>79</v>
      </c>
      <c r="L213" s="141" t="s">
        <v>79</v>
      </c>
      <c r="M213" s="141" t="s">
        <v>79</v>
      </c>
      <c r="N213" s="141" t="s">
        <v>79</v>
      </c>
      <c r="O213" s="141" t="s">
        <v>79</v>
      </c>
      <c r="P213" s="141" t="s">
        <v>79</v>
      </c>
      <c r="Q213" s="141" t="s">
        <v>79</v>
      </c>
      <c r="R213" s="141" t="s">
        <v>79</v>
      </c>
      <c r="S213" s="141" t="s">
        <v>79</v>
      </c>
      <c r="T213" s="141" t="s">
        <v>79</v>
      </c>
      <c r="U213" s="141" t="s">
        <v>79</v>
      </c>
      <c r="V213" s="141" t="s">
        <v>79</v>
      </c>
      <c r="W213" s="141" t="s">
        <v>79</v>
      </c>
      <c r="X213" s="141" t="s">
        <v>79</v>
      </c>
      <c r="Y213" s="141" t="s">
        <v>79</v>
      </c>
      <c r="Z213" s="141" t="s">
        <v>79</v>
      </c>
      <c r="AA213" s="141" t="s">
        <v>79</v>
      </c>
      <c r="AB213" s="163" t="s">
        <v>79</v>
      </c>
      <c r="AC213" s="141" t="s">
        <v>79</v>
      </c>
      <c r="AD213" s="141" t="s">
        <v>79</v>
      </c>
      <c r="AE213" s="141" t="s">
        <v>79</v>
      </c>
      <c r="AF213" s="6">
        <v>530</v>
      </c>
      <c r="AG213" s="6"/>
      <c r="AH213" s="35">
        <f t="shared" si="78"/>
        <v>247</v>
      </c>
      <c r="AI213" s="35">
        <v>768</v>
      </c>
      <c r="AJ213" s="35"/>
      <c r="AK213" s="35">
        <f t="shared" si="79"/>
        <v>238</v>
      </c>
      <c r="AL213" s="6"/>
      <c r="AM213" s="6"/>
      <c r="AN213" s="35"/>
      <c r="AO213" s="6">
        <v>1015</v>
      </c>
      <c r="AP213" s="6"/>
      <c r="AQ213" s="34">
        <f t="shared" si="80"/>
        <v>247</v>
      </c>
      <c r="AR213" s="35">
        <v>163</v>
      </c>
      <c r="AS213" s="35">
        <v>1100</v>
      </c>
      <c r="AT213" s="35">
        <f t="shared" si="81"/>
        <v>248</v>
      </c>
      <c r="AU213" s="6">
        <v>0</v>
      </c>
      <c r="AV213" s="6">
        <v>383</v>
      </c>
      <c r="AW213" s="35">
        <f t="shared" si="82"/>
        <v>220</v>
      </c>
      <c r="AX213" s="6">
        <v>208</v>
      </c>
      <c r="AY213" s="6"/>
      <c r="AZ213" s="35">
        <f t="shared" si="83"/>
        <v>208</v>
      </c>
      <c r="BA213" s="35">
        <v>439</v>
      </c>
      <c r="BB213" s="35"/>
      <c r="BC213" s="35">
        <f t="shared" si="84"/>
        <v>231</v>
      </c>
      <c r="BD213" s="35">
        <v>664</v>
      </c>
      <c r="BE213" s="6"/>
      <c r="BF213" s="35">
        <f t="shared" si="85"/>
        <v>225</v>
      </c>
      <c r="BG213" s="6"/>
      <c r="BH213" s="6"/>
      <c r="BI213" s="6"/>
      <c r="BJ213" s="6">
        <v>89</v>
      </c>
      <c r="BK213" s="6">
        <v>800</v>
      </c>
      <c r="BL213" s="6">
        <f t="shared" si="86"/>
        <v>225</v>
      </c>
      <c r="BM213" s="35">
        <v>324</v>
      </c>
      <c r="BN213" s="35"/>
      <c r="BO213" s="6">
        <f t="shared" si="87"/>
        <v>235</v>
      </c>
      <c r="BP213" s="35">
        <v>554</v>
      </c>
      <c r="BQ213" s="35"/>
      <c r="BR213" s="35">
        <f t="shared" si="88"/>
        <v>230</v>
      </c>
      <c r="BS213" s="35">
        <v>27</v>
      </c>
      <c r="BT213" s="35">
        <v>758</v>
      </c>
      <c r="BU213" s="6">
        <f t="shared" si="89"/>
        <v>231</v>
      </c>
      <c r="BV213" s="35">
        <v>261</v>
      </c>
      <c r="BW213" s="35"/>
      <c r="BX213" s="35">
        <f t="shared" si="90"/>
        <v>234</v>
      </c>
      <c r="BY213" s="35">
        <v>484</v>
      </c>
      <c r="BZ213" s="6"/>
      <c r="CA213" s="6">
        <f t="shared" si="91"/>
        <v>223</v>
      </c>
      <c r="CB213" s="6"/>
      <c r="CC213" s="6"/>
      <c r="CD213" s="6"/>
      <c r="CE213" s="6">
        <v>712</v>
      </c>
      <c r="CF213" s="6"/>
      <c r="CG213" s="6">
        <f t="shared" si="92"/>
        <v>228</v>
      </c>
      <c r="CH213" s="6">
        <v>145</v>
      </c>
      <c r="CI213" s="6">
        <v>800</v>
      </c>
      <c r="CJ213" s="6">
        <f t="shared" si="93"/>
        <v>233</v>
      </c>
      <c r="CK213" s="6">
        <v>378</v>
      </c>
      <c r="CL213" s="6"/>
      <c r="CM213" s="6">
        <f t="shared" si="94"/>
        <v>233</v>
      </c>
      <c r="CN213" s="6">
        <v>609</v>
      </c>
      <c r="CO213" s="6"/>
      <c r="CP213" s="6">
        <f t="shared" si="95"/>
        <v>231</v>
      </c>
      <c r="CQ213" s="6">
        <v>43</v>
      </c>
      <c r="CR213" s="6">
        <v>800</v>
      </c>
      <c r="CS213" s="6">
        <f t="shared" si="96"/>
        <v>234</v>
      </c>
      <c r="CT213" s="6">
        <v>267</v>
      </c>
      <c r="CU213" s="6"/>
      <c r="CV213" s="6">
        <f t="shared" si="97"/>
        <v>224</v>
      </c>
      <c r="CW213" s="6"/>
      <c r="CX213" s="6"/>
      <c r="CY213" s="6"/>
      <c r="CZ213" s="6">
        <v>496</v>
      </c>
      <c r="DA213" s="6"/>
      <c r="DB213" s="6">
        <f t="shared" si="98"/>
        <v>229</v>
      </c>
      <c r="DC213" s="6">
        <v>0</v>
      </c>
      <c r="DD213" s="6">
        <v>659</v>
      </c>
      <c r="DE213" s="6">
        <f t="shared" si="99"/>
        <v>163</v>
      </c>
      <c r="DF213" s="6">
        <v>204</v>
      </c>
      <c r="DG213" s="10"/>
      <c r="DH213" s="6">
        <f t="shared" si="100"/>
        <v>204</v>
      </c>
      <c r="DI213" s="6">
        <v>432</v>
      </c>
      <c r="DJ213" s="10"/>
      <c r="DK213" s="6">
        <f t="shared" si="101"/>
        <v>228</v>
      </c>
      <c r="DL213" s="6">
        <v>205</v>
      </c>
      <c r="DM213" s="10">
        <v>450</v>
      </c>
      <c r="DN213" s="6">
        <f t="shared" si="102"/>
        <v>223</v>
      </c>
      <c r="DO213" s="6">
        <v>405</v>
      </c>
      <c r="DP213" s="10"/>
      <c r="DQ213" s="6">
        <f t="shared" si="103"/>
        <v>200</v>
      </c>
    </row>
    <row r="214" spans="1:121">
      <c r="A214" s="6">
        <v>210</v>
      </c>
      <c r="B214" s="6">
        <v>426</v>
      </c>
      <c r="C214" s="10"/>
      <c r="D214" s="6">
        <v>238</v>
      </c>
      <c r="E214" s="141" t="s">
        <v>75</v>
      </c>
      <c r="F214" s="141" t="s">
        <v>75</v>
      </c>
      <c r="G214" s="141" t="s">
        <v>75</v>
      </c>
      <c r="H214" s="141" t="s">
        <v>75</v>
      </c>
      <c r="I214" s="141" t="s">
        <v>75</v>
      </c>
      <c r="J214" s="163" t="s">
        <v>79</v>
      </c>
      <c r="K214" s="141" t="s">
        <v>79</v>
      </c>
      <c r="L214" s="141" t="s">
        <v>79</v>
      </c>
      <c r="M214" s="141" t="s">
        <v>79</v>
      </c>
      <c r="N214" s="141" t="s">
        <v>79</v>
      </c>
      <c r="O214" s="141" t="s">
        <v>79</v>
      </c>
      <c r="P214" s="141" t="s">
        <v>79</v>
      </c>
      <c r="Q214" s="141" t="s">
        <v>79</v>
      </c>
      <c r="R214" s="141" t="s">
        <v>79</v>
      </c>
      <c r="S214" s="141" t="s">
        <v>79</v>
      </c>
      <c r="T214" s="141" t="s">
        <v>79</v>
      </c>
      <c r="U214" s="141" t="s">
        <v>79</v>
      </c>
      <c r="V214" s="141" t="s">
        <v>79</v>
      </c>
      <c r="W214" s="141" t="s">
        <v>79</v>
      </c>
      <c r="X214" s="141" t="s">
        <v>79</v>
      </c>
      <c r="Y214" s="141" t="s">
        <v>79</v>
      </c>
      <c r="Z214" s="141" t="s">
        <v>79</v>
      </c>
      <c r="AA214" s="141" t="s">
        <v>79</v>
      </c>
      <c r="AB214" s="141" t="s">
        <v>79</v>
      </c>
      <c r="AC214" s="141" t="s">
        <v>79</v>
      </c>
      <c r="AD214" s="141" t="s">
        <v>79</v>
      </c>
      <c r="AE214" s="163" t="s">
        <v>79</v>
      </c>
      <c r="AF214" s="6">
        <v>674</v>
      </c>
      <c r="AG214" s="6"/>
      <c r="AH214" s="35">
        <f t="shared" si="78"/>
        <v>248</v>
      </c>
      <c r="AI214" s="35">
        <v>908</v>
      </c>
      <c r="AJ214" s="35"/>
      <c r="AK214" s="35">
        <f t="shared" si="79"/>
        <v>234</v>
      </c>
      <c r="AL214" s="6"/>
      <c r="AM214" s="6"/>
      <c r="AN214" s="35"/>
      <c r="AO214" s="6">
        <v>56</v>
      </c>
      <c r="AP214" s="6">
        <v>1100</v>
      </c>
      <c r="AQ214" s="34">
        <f t="shared" si="80"/>
        <v>248</v>
      </c>
      <c r="AR214" s="35">
        <v>302</v>
      </c>
      <c r="AS214" s="35"/>
      <c r="AT214" s="35">
        <f t="shared" si="81"/>
        <v>246</v>
      </c>
      <c r="AU214" s="6">
        <v>170</v>
      </c>
      <c r="AV214" s="6">
        <v>366</v>
      </c>
      <c r="AW214" s="35">
        <f t="shared" si="82"/>
        <v>234</v>
      </c>
      <c r="AX214" s="35">
        <v>407</v>
      </c>
      <c r="AY214" s="6"/>
      <c r="AZ214" s="35">
        <f t="shared" si="83"/>
        <v>237</v>
      </c>
      <c r="BA214" s="35">
        <v>643</v>
      </c>
      <c r="BB214" s="35"/>
      <c r="BC214" s="35">
        <f t="shared" si="84"/>
        <v>236</v>
      </c>
      <c r="BD214" s="35">
        <v>869</v>
      </c>
      <c r="BE214" s="6"/>
      <c r="BF214" s="35">
        <f t="shared" si="85"/>
        <v>226</v>
      </c>
      <c r="BG214" s="6"/>
      <c r="BH214" s="6"/>
      <c r="BI214" s="6"/>
      <c r="BJ214" s="6">
        <v>157</v>
      </c>
      <c r="BK214" s="6">
        <v>948</v>
      </c>
      <c r="BL214" s="6">
        <f t="shared" si="86"/>
        <v>236</v>
      </c>
      <c r="BM214" s="35">
        <v>393</v>
      </c>
      <c r="BN214" s="35"/>
      <c r="BO214" s="6">
        <f t="shared" si="87"/>
        <v>236</v>
      </c>
      <c r="BP214" s="35">
        <v>626</v>
      </c>
      <c r="BQ214" s="35"/>
      <c r="BR214" s="35">
        <f t="shared" si="88"/>
        <v>233</v>
      </c>
      <c r="BS214" s="35">
        <v>64</v>
      </c>
      <c r="BT214" s="35">
        <v>800</v>
      </c>
      <c r="BU214" s="6">
        <f t="shared" si="89"/>
        <v>238</v>
      </c>
      <c r="BV214" s="35">
        <v>301</v>
      </c>
      <c r="BW214" s="35"/>
      <c r="BX214" s="35">
        <f t="shared" si="90"/>
        <v>237</v>
      </c>
      <c r="BY214" s="35">
        <v>530</v>
      </c>
      <c r="BZ214" s="6"/>
      <c r="CA214" s="6">
        <f t="shared" si="91"/>
        <v>229</v>
      </c>
      <c r="CB214" s="6"/>
      <c r="CC214" s="6"/>
      <c r="CD214" s="6"/>
      <c r="CE214" s="6">
        <v>766</v>
      </c>
      <c r="CF214" s="6"/>
      <c r="CG214" s="6">
        <f t="shared" si="92"/>
        <v>236</v>
      </c>
      <c r="CH214" s="6">
        <v>202</v>
      </c>
      <c r="CI214" s="6">
        <v>800</v>
      </c>
      <c r="CJ214" s="6">
        <f t="shared" si="93"/>
        <v>236</v>
      </c>
      <c r="CK214" s="6">
        <v>79</v>
      </c>
      <c r="CL214" s="6">
        <v>352</v>
      </c>
      <c r="CM214" s="6">
        <f t="shared" si="94"/>
        <v>229</v>
      </c>
      <c r="CN214" s="6">
        <v>317</v>
      </c>
      <c r="CO214" s="6"/>
      <c r="CP214" s="6">
        <f t="shared" si="95"/>
        <v>238</v>
      </c>
      <c r="CQ214" s="6">
        <v>556</v>
      </c>
      <c r="CR214" s="6"/>
      <c r="CS214" s="6">
        <f t="shared" si="96"/>
        <v>239</v>
      </c>
      <c r="CT214" s="6">
        <v>88</v>
      </c>
      <c r="CU214" s="6">
        <v>688</v>
      </c>
      <c r="CV214" s="6">
        <f t="shared" si="97"/>
        <v>220</v>
      </c>
      <c r="CW214" s="6"/>
      <c r="CX214" s="6"/>
      <c r="CY214" s="6"/>
      <c r="CZ214" s="6">
        <v>321</v>
      </c>
      <c r="DA214" s="6"/>
      <c r="DB214" s="6">
        <f t="shared" si="98"/>
        <v>233</v>
      </c>
      <c r="DC214" s="6">
        <v>557</v>
      </c>
      <c r="DD214" s="6"/>
      <c r="DE214" s="6">
        <f t="shared" si="99"/>
        <v>236</v>
      </c>
      <c r="DF214" s="6">
        <v>792</v>
      </c>
      <c r="DG214" s="10"/>
      <c r="DH214" s="6">
        <f t="shared" si="100"/>
        <v>235</v>
      </c>
      <c r="DI214" s="6">
        <v>228</v>
      </c>
      <c r="DJ214" s="10">
        <v>800</v>
      </c>
      <c r="DK214" s="6">
        <f t="shared" si="101"/>
        <v>236</v>
      </c>
      <c r="DL214" s="6">
        <v>0</v>
      </c>
      <c r="DM214" s="10">
        <v>421</v>
      </c>
      <c r="DN214" s="6">
        <f t="shared" si="102"/>
        <v>193</v>
      </c>
      <c r="DO214" s="6">
        <v>198</v>
      </c>
      <c r="DP214" s="10"/>
      <c r="DQ214" s="6">
        <f t="shared" si="103"/>
        <v>198</v>
      </c>
    </row>
    <row r="215" spans="1:121">
      <c r="A215" s="6">
        <v>211</v>
      </c>
      <c r="B215" s="6">
        <v>41</v>
      </c>
      <c r="C215" s="10">
        <v>1100</v>
      </c>
      <c r="D215" s="6">
        <v>238</v>
      </c>
      <c r="E215" s="141" t="s">
        <v>75</v>
      </c>
      <c r="F215" s="141" t="s">
        <v>75</v>
      </c>
      <c r="G215" s="141" t="s">
        <v>75</v>
      </c>
      <c r="H215" s="141" t="s">
        <v>75</v>
      </c>
      <c r="I215" s="141" t="s">
        <v>75</v>
      </c>
      <c r="J215" s="141" t="s">
        <v>75</v>
      </c>
      <c r="K215" s="141" t="s">
        <v>75</v>
      </c>
      <c r="L215" s="141" t="s">
        <v>75</v>
      </c>
      <c r="M215" s="141" t="s">
        <v>75</v>
      </c>
      <c r="N215" s="141" t="s">
        <v>75</v>
      </c>
      <c r="O215" s="141" t="s">
        <v>75</v>
      </c>
      <c r="P215" s="141" t="s">
        <v>75</v>
      </c>
      <c r="Q215" s="141" t="s">
        <v>75</v>
      </c>
      <c r="R215" s="163" t="s">
        <v>72</v>
      </c>
      <c r="S215" s="141" t="s">
        <v>72</v>
      </c>
      <c r="T215" s="141" t="s">
        <v>72</v>
      </c>
      <c r="U215" s="141" t="s">
        <v>72</v>
      </c>
      <c r="V215" s="141" t="s">
        <v>72</v>
      </c>
      <c r="W215" s="141" t="s">
        <v>72</v>
      </c>
      <c r="X215" s="141" t="s">
        <v>72</v>
      </c>
      <c r="Y215" s="141" t="s">
        <v>72</v>
      </c>
      <c r="Z215" s="141" t="s">
        <v>72</v>
      </c>
      <c r="AA215" s="141" t="s">
        <v>72</v>
      </c>
      <c r="AB215" s="141" t="s">
        <v>72</v>
      </c>
      <c r="AC215" s="141" t="s">
        <v>72</v>
      </c>
      <c r="AD215" s="141" t="s">
        <v>72</v>
      </c>
      <c r="AE215" s="141" t="s">
        <v>72</v>
      </c>
      <c r="AF215" s="6">
        <v>288</v>
      </c>
      <c r="AG215" s="6"/>
      <c r="AH215" s="35">
        <f t="shared" si="78"/>
        <v>247</v>
      </c>
      <c r="AI215" s="35">
        <v>520</v>
      </c>
      <c r="AJ215" s="35"/>
      <c r="AK215" s="35">
        <f t="shared" si="79"/>
        <v>232</v>
      </c>
      <c r="AL215" s="6"/>
      <c r="AM215" s="6"/>
      <c r="AN215" s="35"/>
      <c r="AO215" s="6">
        <v>764</v>
      </c>
      <c r="AP215" s="6"/>
      <c r="AQ215" s="34">
        <f t="shared" si="80"/>
        <v>244</v>
      </c>
      <c r="AR215" s="35">
        <v>1010</v>
      </c>
      <c r="AS215" s="35"/>
      <c r="AT215" s="35">
        <f t="shared" si="81"/>
        <v>246</v>
      </c>
      <c r="AU215" s="6">
        <v>151</v>
      </c>
      <c r="AV215" s="6">
        <v>1100</v>
      </c>
      <c r="AW215" s="35">
        <f t="shared" si="82"/>
        <v>241</v>
      </c>
      <c r="AX215" s="6">
        <v>284</v>
      </c>
      <c r="AY215" s="6"/>
      <c r="AZ215" s="35">
        <f t="shared" si="83"/>
        <v>133</v>
      </c>
      <c r="BA215" s="35">
        <v>0</v>
      </c>
      <c r="BB215" s="35">
        <v>406</v>
      </c>
      <c r="BC215" s="35">
        <f t="shared" si="84"/>
        <v>122</v>
      </c>
      <c r="BD215" s="35">
        <v>0</v>
      </c>
      <c r="BE215" s="6"/>
      <c r="BF215" s="35">
        <f t="shared" si="85"/>
        <v>0</v>
      </c>
      <c r="BG215" s="6"/>
      <c r="BH215" s="6"/>
      <c r="BI215" s="6"/>
      <c r="BJ215" s="6">
        <v>0</v>
      </c>
      <c r="BK215" s="6"/>
      <c r="BL215" s="6">
        <f t="shared" si="86"/>
        <v>0</v>
      </c>
      <c r="BM215" s="35">
        <v>0</v>
      </c>
      <c r="BN215" s="35"/>
      <c r="BO215" s="6">
        <f t="shared" si="87"/>
        <v>0</v>
      </c>
      <c r="BP215" s="35">
        <v>0</v>
      </c>
      <c r="BQ215" s="35"/>
      <c r="BR215" s="35">
        <f t="shared" si="88"/>
        <v>0</v>
      </c>
      <c r="BS215" s="35">
        <v>0</v>
      </c>
      <c r="BT215" s="35"/>
      <c r="BU215" s="6">
        <f t="shared" si="89"/>
        <v>0</v>
      </c>
      <c r="BV215" s="35">
        <v>0</v>
      </c>
      <c r="BW215" s="35"/>
      <c r="BX215" s="35">
        <f t="shared" si="90"/>
        <v>0</v>
      </c>
      <c r="BY215" s="35">
        <v>0</v>
      </c>
      <c r="BZ215" s="6"/>
      <c r="CA215" s="6">
        <f t="shared" si="91"/>
        <v>0</v>
      </c>
      <c r="CB215" s="6"/>
      <c r="CC215" s="6"/>
      <c r="CD215" s="6"/>
      <c r="CE215" s="6">
        <v>0</v>
      </c>
      <c r="CF215" s="6"/>
      <c r="CG215" s="6">
        <f t="shared" si="92"/>
        <v>0</v>
      </c>
      <c r="CH215" s="6">
        <v>0</v>
      </c>
      <c r="CI215" s="6"/>
      <c r="CJ215" s="6">
        <f t="shared" si="93"/>
        <v>0</v>
      </c>
      <c r="CK215" s="6">
        <v>0</v>
      </c>
      <c r="CL215" s="6"/>
      <c r="CM215" s="6">
        <f t="shared" si="94"/>
        <v>0</v>
      </c>
      <c r="CN215" s="6">
        <v>0</v>
      </c>
      <c r="CO215" s="6"/>
      <c r="CP215" s="6">
        <f t="shared" si="95"/>
        <v>0</v>
      </c>
      <c r="CQ215" s="6">
        <v>185</v>
      </c>
      <c r="CR215" s="6"/>
      <c r="CS215" s="6">
        <f t="shared" si="96"/>
        <v>185</v>
      </c>
      <c r="CT215" s="6">
        <v>408</v>
      </c>
      <c r="CU215" s="35"/>
      <c r="CV215" s="6">
        <f t="shared" si="97"/>
        <v>223</v>
      </c>
      <c r="CW215" s="6"/>
      <c r="CX215" s="6"/>
      <c r="CY215" s="6"/>
      <c r="CZ215" s="6">
        <v>651</v>
      </c>
      <c r="DA215" s="6"/>
      <c r="DB215" s="6">
        <f t="shared" si="98"/>
        <v>243</v>
      </c>
      <c r="DC215" s="6">
        <v>892</v>
      </c>
      <c r="DD215" s="6"/>
      <c r="DE215" s="6">
        <f t="shared" si="99"/>
        <v>241</v>
      </c>
      <c r="DF215" s="6">
        <v>32</v>
      </c>
      <c r="DG215" s="10">
        <v>1100</v>
      </c>
      <c r="DH215" s="6">
        <f t="shared" si="100"/>
        <v>240</v>
      </c>
      <c r="DI215" s="6">
        <v>261</v>
      </c>
      <c r="DJ215" s="10"/>
      <c r="DK215" s="6">
        <f t="shared" si="101"/>
        <v>229</v>
      </c>
      <c r="DL215" s="6">
        <v>38</v>
      </c>
      <c r="DM215" s="10">
        <v>460</v>
      </c>
      <c r="DN215" s="6">
        <f t="shared" si="102"/>
        <v>237</v>
      </c>
      <c r="DO215" s="6">
        <v>246</v>
      </c>
      <c r="DP215" s="10"/>
      <c r="DQ215" s="6">
        <f t="shared" si="103"/>
        <v>208</v>
      </c>
    </row>
    <row r="216" spans="1:121">
      <c r="A216" s="6">
        <v>212</v>
      </c>
      <c r="B216" s="6">
        <v>743</v>
      </c>
      <c r="C216" s="10"/>
      <c r="D216" s="6">
        <v>240</v>
      </c>
      <c r="E216" s="141" t="s">
        <v>75</v>
      </c>
      <c r="F216" s="141" t="s">
        <v>75</v>
      </c>
      <c r="G216" s="141" t="s">
        <v>75</v>
      </c>
      <c r="H216" s="141" t="s">
        <v>75</v>
      </c>
      <c r="I216" s="163" t="s">
        <v>79</v>
      </c>
      <c r="J216" s="141" t="s">
        <v>79</v>
      </c>
      <c r="K216" s="141" t="s">
        <v>79</v>
      </c>
      <c r="L216" s="141" t="s">
        <v>79</v>
      </c>
      <c r="M216" s="141" t="s">
        <v>79</v>
      </c>
      <c r="N216" s="141" t="s">
        <v>79</v>
      </c>
      <c r="O216" s="141" t="s">
        <v>79</v>
      </c>
      <c r="P216" s="141" t="s">
        <v>79</v>
      </c>
      <c r="Q216" s="141" t="s">
        <v>79</v>
      </c>
      <c r="R216" s="141" t="s">
        <v>79</v>
      </c>
      <c r="S216" s="141" t="s">
        <v>79</v>
      </c>
      <c r="T216" s="141" t="s">
        <v>79</v>
      </c>
      <c r="U216" s="141" t="s">
        <v>79</v>
      </c>
      <c r="V216" s="141" t="s">
        <v>79</v>
      </c>
      <c r="W216" s="141" t="s">
        <v>79</v>
      </c>
      <c r="X216" s="141" t="s">
        <v>79</v>
      </c>
      <c r="Y216" s="141" t="s">
        <v>79</v>
      </c>
      <c r="Z216" s="141" t="s">
        <v>79</v>
      </c>
      <c r="AA216" s="141" t="s">
        <v>79</v>
      </c>
      <c r="AB216" s="141" t="s">
        <v>79</v>
      </c>
      <c r="AC216" s="141" t="s">
        <v>79</v>
      </c>
      <c r="AD216" s="163" t="s">
        <v>79</v>
      </c>
      <c r="AE216" s="141" t="s">
        <v>79</v>
      </c>
      <c r="AF216" s="6">
        <v>988</v>
      </c>
      <c r="AG216" s="6"/>
      <c r="AH216" s="35">
        <f t="shared" si="78"/>
        <v>245</v>
      </c>
      <c r="AI216" s="35">
        <v>124</v>
      </c>
      <c r="AJ216" s="35">
        <v>1100</v>
      </c>
      <c r="AK216" s="35">
        <f t="shared" si="79"/>
        <v>236</v>
      </c>
      <c r="AL216" s="6"/>
      <c r="AM216" s="6"/>
      <c r="AN216" s="35"/>
      <c r="AO216" s="6">
        <v>370</v>
      </c>
      <c r="AP216" s="6"/>
      <c r="AQ216" s="34">
        <f t="shared" si="80"/>
        <v>246</v>
      </c>
      <c r="AR216" s="35">
        <v>184</v>
      </c>
      <c r="AS216" s="35">
        <v>408</v>
      </c>
      <c r="AT216" s="35">
        <f t="shared" si="81"/>
        <v>222</v>
      </c>
      <c r="AU216" s="35">
        <v>426</v>
      </c>
      <c r="AV216" s="6"/>
      <c r="AW216" s="35">
        <f t="shared" si="82"/>
        <v>242</v>
      </c>
      <c r="AX216" s="6">
        <v>661</v>
      </c>
      <c r="AY216" s="6"/>
      <c r="AZ216" s="35">
        <f t="shared" si="83"/>
        <v>235</v>
      </c>
      <c r="BA216" s="35">
        <v>895</v>
      </c>
      <c r="BB216" s="35"/>
      <c r="BC216" s="35">
        <f t="shared" si="84"/>
        <v>234</v>
      </c>
      <c r="BD216" s="35">
        <v>19</v>
      </c>
      <c r="BE216" s="6">
        <v>1100</v>
      </c>
      <c r="BF216" s="35">
        <f t="shared" si="85"/>
        <v>224</v>
      </c>
      <c r="BG216" s="6"/>
      <c r="BH216" s="6"/>
      <c r="BI216" s="6"/>
      <c r="BJ216" s="6">
        <v>253</v>
      </c>
      <c r="BK216" s="6"/>
      <c r="BL216" s="6">
        <f t="shared" si="86"/>
        <v>234</v>
      </c>
      <c r="BM216" s="35">
        <v>192</v>
      </c>
      <c r="BN216" s="35">
        <v>286</v>
      </c>
      <c r="BO216" s="6">
        <f t="shared" si="87"/>
        <v>225</v>
      </c>
      <c r="BP216" s="35">
        <v>423</v>
      </c>
      <c r="BQ216" s="35"/>
      <c r="BR216" s="35">
        <f t="shared" si="88"/>
        <v>231</v>
      </c>
      <c r="BS216" s="35">
        <v>648</v>
      </c>
      <c r="BT216" s="35"/>
      <c r="BU216" s="6">
        <f t="shared" si="89"/>
        <v>225</v>
      </c>
      <c r="BV216" s="35">
        <v>71</v>
      </c>
      <c r="BW216" s="35">
        <v>800</v>
      </c>
      <c r="BX216" s="35">
        <f t="shared" si="90"/>
        <v>223</v>
      </c>
      <c r="BY216" s="35">
        <v>294</v>
      </c>
      <c r="BZ216" s="6"/>
      <c r="CA216" s="6">
        <f t="shared" si="91"/>
        <v>223</v>
      </c>
      <c r="CB216" s="6"/>
      <c r="CC216" s="6"/>
      <c r="CD216" s="6"/>
      <c r="CE216" s="6">
        <v>529</v>
      </c>
      <c r="CF216" s="6"/>
      <c r="CG216" s="6">
        <f t="shared" si="92"/>
        <v>235</v>
      </c>
      <c r="CH216" s="6">
        <v>764</v>
      </c>
      <c r="CI216" s="6"/>
      <c r="CJ216" s="6">
        <f t="shared" si="93"/>
        <v>235</v>
      </c>
      <c r="CK216" s="6">
        <v>197</v>
      </c>
      <c r="CL216" s="6">
        <v>800</v>
      </c>
      <c r="CM216" s="6">
        <f t="shared" si="94"/>
        <v>233</v>
      </c>
      <c r="CN216" s="6">
        <v>430</v>
      </c>
      <c r="CO216" s="6"/>
      <c r="CP216" s="6">
        <f t="shared" si="95"/>
        <v>233</v>
      </c>
      <c r="CQ216" s="6">
        <v>664</v>
      </c>
      <c r="CR216" s="6"/>
      <c r="CS216" s="6">
        <f t="shared" si="96"/>
        <v>234</v>
      </c>
      <c r="CT216" s="6">
        <v>85</v>
      </c>
      <c r="CU216" s="6">
        <v>800</v>
      </c>
      <c r="CV216" s="6">
        <f t="shared" si="97"/>
        <v>221</v>
      </c>
      <c r="CW216" s="6"/>
      <c r="CX216" s="6"/>
      <c r="CY216" s="6"/>
      <c r="CZ216" s="6">
        <v>316</v>
      </c>
      <c r="DA216" s="6"/>
      <c r="DB216" s="6">
        <f t="shared" si="98"/>
        <v>231</v>
      </c>
      <c r="DC216" s="6">
        <v>547</v>
      </c>
      <c r="DD216" s="6"/>
      <c r="DE216" s="6">
        <f t="shared" si="99"/>
        <v>231</v>
      </c>
      <c r="DF216" s="6">
        <v>780</v>
      </c>
      <c r="DG216" s="10"/>
      <c r="DH216" s="6">
        <f t="shared" si="100"/>
        <v>233</v>
      </c>
      <c r="DI216" s="6">
        <v>1013</v>
      </c>
      <c r="DJ216" s="10"/>
      <c r="DK216" s="6">
        <f t="shared" si="101"/>
        <v>233</v>
      </c>
      <c r="DL216" s="6">
        <v>177</v>
      </c>
      <c r="DM216" s="10">
        <v>1032</v>
      </c>
      <c r="DN216" s="6">
        <f t="shared" si="102"/>
        <v>196</v>
      </c>
      <c r="DO216" s="6">
        <v>385</v>
      </c>
      <c r="DP216" s="10"/>
      <c r="DQ216" s="6">
        <f t="shared" si="103"/>
        <v>208</v>
      </c>
    </row>
    <row r="217" spans="1:121">
      <c r="A217" s="151">
        <v>213</v>
      </c>
      <c r="B217" s="6">
        <v>713</v>
      </c>
      <c r="C217" s="10"/>
      <c r="D217" s="6">
        <v>234</v>
      </c>
      <c r="E217" s="141" t="s">
        <v>75</v>
      </c>
      <c r="F217" s="141" t="s">
        <v>75</v>
      </c>
      <c r="G217" s="141" t="s">
        <v>75</v>
      </c>
      <c r="H217" s="141" t="s">
        <v>75</v>
      </c>
      <c r="I217" s="141" t="s">
        <v>75</v>
      </c>
      <c r="J217" s="163" t="s">
        <v>79</v>
      </c>
      <c r="K217" s="141" t="s">
        <v>79</v>
      </c>
      <c r="L217" s="141" t="s">
        <v>79</v>
      </c>
      <c r="M217" s="141" t="s">
        <v>79</v>
      </c>
      <c r="N217" s="141" t="s">
        <v>79</v>
      </c>
      <c r="O217" s="141" t="s">
        <v>79</v>
      </c>
      <c r="P217" s="141" t="s">
        <v>79</v>
      </c>
      <c r="Q217" s="141" t="s">
        <v>79</v>
      </c>
      <c r="R217" s="141" t="s">
        <v>79</v>
      </c>
      <c r="S217" s="141" t="s">
        <v>79</v>
      </c>
      <c r="T217" s="141" t="s">
        <v>79</v>
      </c>
      <c r="U217" s="141" t="s">
        <v>79</v>
      </c>
      <c r="V217" s="141" t="s">
        <v>79</v>
      </c>
      <c r="W217" s="141" t="s">
        <v>79</v>
      </c>
      <c r="X217" s="141" t="s">
        <v>79</v>
      </c>
      <c r="Y217" s="141" t="s">
        <v>79</v>
      </c>
      <c r="Z217" s="141" t="s">
        <v>79</v>
      </c>
      <c r="AA217" s="141" t="s">
        <v>79</v>
      </c>
      <c r="AB217" s="141" t="s">
        <v>79</v>
      </c>
      <c r="AC217" s="141" t="s">
        <v>79</v>
      </c>
      <c r="AD217" s="141" t="s">
        <v>79</v>
      </c>
      <c r="AE217" s="163" t="s">
        <v>79</v>
      </c>
      <c r="AF217" s="6">
        <v>954</v>
      </c>
      <c r="AG217" s="6"/>
      <c r="AH217" s="35">
        <f t="shared" si="78"/>
        <v>241</v>
      </c>
      <c r="AI217" s="35">
        <v>86</v>
      </c>
      <c r="AJ217" s="35">
        <v>1100</v>
      </c>
      <c r="AK217" s="35">
        <f t="shared" si="79"/>
        <v>232</v>
      </c>
      <c r="AL217" s="6"/>
      <c r="AM217" s="6"/>
      <c r="AN217" s="35"/>
      <c r="AO217" s="6">
        <v>330</v>
      </c>
      <c r="AP217" s="6"/>
      <c r="AQ217" s="34">
        <f t="shared" si="80"/>
        <v>244</v>
      </c>
      <c r="AR217" s="35">
        <v>0</v>
      </c>
      <c r="AS217" s="35">
        <v>498</v>
      </c>
      <c r="AT217" s="35">
        <f t="shared" si="81"/>
        <v>168</v>
      </c>
      <c r="AU217" s="6">
        <v>210</v>
      </c>
      <c r="AV217" s="6"/>
      <c r="AW217" s="35">
        <f t="shared" si="82"/>
        <v>210</v>
      </c>
      <c r="AX217" s="6">
        <v>425</v>
      </c>
      <c r="AY217" s="6"/>
      <c r="AZ217" s="35">
        <f t="shared" si="83"/>
        <v>215</v>
      </c>
      <c r="BA217" s="35">
        <v>652</v>
      </c>
      <c r="BB217" s="35"/>
      <c r="BC217" s="35">
        <f t="shared" si="84"/>
        <v>227</v>
      </c>
      <c r="BD217" s="35">
        <v>147</v>
      </c>
      <c r="BE217" s="6">
        <v>727</v>
      </c>
      <c r="BF217" s="35">
        <f t="shared" si="85"/>
        <v>222</v>
      </c>
      <c r="BG217" s="6"/>
      <c r="BH217" s="6"/>
      <c r="BI217" s="6"/>
      <c r="BJ217" s="6">
        <v>368</v>
      </c>
      <c r="BK217" s="6"/>
      <c r="BL217" s="6">
        <f t="shared" si="86"/>
        <v>221</v>
      </c>
      <c r="BM217" s="35">
        <v>599</v>
      </c>
      <c r="BN217" s="35"/>
      <c r="BO217" s="6">
        <f t="shared" si="87"/>
        <v>231</v>
      </c>
      <c r="BP217" s="35">
        <v>27</v>
      </c>
      <c r="BQ217" s="35">
        <v>800</v>
      </c>
      <c r="BR217" s="35">
        <f t="shared" si="88"/>
        <v>228</v>
      </c>
      <c r="BS217" s="35">
        <v>259</v>
      </c>
      <c r="BT217" s="35"/>
      <c r="BU217" s="6">
        <f t="shared" si="89"/>
        <v>232</v>
      </c>
      <c r="BV217" s="35">
        <v>494</v>
      </c>
      <c r="BW217" s="35"/>
      <c r="BX217" s="35">
        <f t="shared" si="90"/>
        <v>235</v>
      </c>
      <c r="BY217" s="35">
        <v>716</v>
      </c>
      <c r="BZ217" s="6"/>
      <c r="CA217" s="6">
        <f t="shared" si="91"/>
        <v>222</v>
      </c>
      <c r="CB217" s="6"/>
      <c r="CC217" s="6"/>
      <c r="CD217" s="6"/>
      <c r="CE217" s="6">
        <v>148</v>
      </c>
      <c r="CF217" s="6">
        <v>800</v>
      </c>
      <c r="CG217" s="6">
        <f t="shared" si="92"/>
        <v>232</v>
      </c>
      <c r="CH217" s="6">
        <v>382</v>
      </c>
      <c r="CI217" s="6"/>
      <c r="CJ217" s="6">
        <f t="shared" si="93"/>
        <v>234</v>
      </c>
      <c r="CK217" s="6">
        <v>612</v>
      </c>
      <c r="CL217" s="6"/>
      <c r="CM217" s="6">
        <f t="shared" si="94"/>
        <v>230</v>
      </c>
      <c r="CN217" s="6">
        <v>45</v>
      </c>
      <c r="CO217" s="6">
        <v>800</v>
      </c>
      <c r="CP217" s="6">
        <f t="shared" si="95"/>
        <v>233</v>
      </c>
      <c r="CQ217" s="6">
        <v>276</v>
      </c>
      <c r="CR217" s="6"/>
      <c r="CS217" s="6">
        <f t="shared" si="96"/>
        <v>231</v>
      </c>
      <c r="CT217" s="6">
        <v>499</v>
      </c>
      <c r="CU217" s="6"/>
      <c r="CV217" s="6">
        <f t="shared" si="97"/>
        <v>223</v>
      </c>
      <c r="CW217" s="6"/>
      <c r="CX217" s="6"/>
      <c r="CY217" s="6"/>
      <c r="CZ217" s="6">
        <v>731</v>
      </c>
      <c r="DA217" s="6"/>
      <c r="DB217" s="6">
        <f t="shared" si="98"/>
        <v>232</v>
      </c>
      <c r="DC217" s="6">
        <v>159</v>
      </c>
      <c r="DD217" s="6">
        <v>800</v>
      </c>
      <c r="DE217" s="6">
        <f t="shared" si="99"/>
        <v>228</v>
      </c>
      <c r="DF217" s="6">
        <v>391</v>
      </c>
      <c r="DG217" s="10"/>
      <c r="DH217" s="6">
        <f t="shared" si="100"/>
        <v>232</v>
      </c>
      <c r="DI217" s="6">
        <v>623</v>
      </c>
      <c r="DJ217" s="10"/>
      <c r="DK217" s="6">
        <f t="shared" si="101"/>
        <v>232</v>
      </c>
      <c r="DL217" s="6">
        <v>855</v>
      </c>
      <c r="DM217" s="10"/>
      <c r="DN217" s="6">
        <f t="shared" si="102"/>
        <v>232</v>
      </c>
      <c r="DO217" s="6">
        <v>161</v>
      </c>
      <c r="DP217" s="10">
        <v>880</v>
      </c>
      <c r="DQ217" s="6">
        <f t="shared" si="103"/>
        <v>186</v>
      </c>
    </row>
    <row r="218" spans="1:121">
      <c r="A218" s="6">
        <v>214</v>
      </c>
      <c r="B218" s="6">
        <v>808</v>
      </c>
      <c r="C218" s="10"/>
      <c r="D218" s="6">
        <v>237</v>
      </c>
      <c r="E218" s="141" t="s">
        <v>75</v>
      </c>
      <c r="F218" s="141" t="s">
        <v>75</v>
      </c>
      <c r="G218" s="141" t="s">
        <v>75</v>
      </c>
      <c r="H218" s="141" t="s">
        <v>75</v>
      </c>
      <c r="I218" s="163" t="s">
        <v>79</v>
      </c>
      <c r="J218" s="141" t="s">
        <v>79</v>
      </c>
      <c r="K218" s="141" t="s">
        <v>79</v>
      </c>
      <c r="L218" s="141" t="s">
        <v>79</v>
      </c>
      <c r="M218" s="141" t="s">
        <v>79</v>
      </c>
      <c r="N218" s="141" t="s">
        <v>79</v>
      </c>
      <c r="O218" s="141" t="s">
        <v>79</v>
      </c>
      <c r="P218" s="141" t="s">
        <v>79</v>
      </c>
      <c r="Q218" s="141" t="s">
        <v>79</v>
      </c>
      <c r="R218" s="141" t="s">
        <v>79</v>
      </c>
      <c r="S218" s="141" t="s">
        <v>79</v>
      </c>
      <c r="T218" s="141" t="s">
        <v>79</v>
      </c>
      <c r="U218" s="141" t="s">
        <v>79</v>
      </c>
      <c r="V218" s="141" t="s">
        <v>79</v>
      </c>
      <c r="W218" s="141" t="s">
        <v>79</v>
      </c>
      <c r="X218" s="141" t="s">
        <v>79</v>
      </c>
      <c r="Y218" s="141" t="s">
        <v>79</v>
      </c>
      <c r="Z218" s="141" t="s">
        <v>79</v>
      </c>
      <c r="AA218" s="141" t="s">
        <v>79</v>
      </c>
      <c r="AB218" s="141" t="s">
        <v>79</v>
      </c>
      <c r="AC218" s="141" t="s">
        <v>79</v>
      </c>
      <c r="AD218" s="163" t="s">
        <v>79</v>
      </c>
      <c r="AE218" s="141" t="s">
        <v>79</v>
      </c>
      <c r="AF218" s="6">
        <v>1056</v>
      </c>
      <c r="AG218" s="6"/>
      <c r="AH218" s="35">
        <f t="shared" si="78"/>
        <v>248</v>
      </c>
      <c r="AI218" s="35">
        <v>148</v>
      </c>
      <c r="AJ218" s="35">
        <v>1132</v>
      </c>
      <c r="AK218" s="35">
        <f t="shared" si="79"/>
        <v>224</v>
      </c>
      <c r="AL218" s="6"/>
      <c r="AM218" s="6"/>
      <c r="AN218" s="35"/>
      <c r="AO218" s="6">
        <v>0</v>
      </c>
      <c r="AP218" s="6">
        <v>240</v>
      </c>
      <c r="AQ218" s="34">
        <f t="shared" si="80"/>
        <v>92</v>
      </c>
      <c r="AR218" s="35">
        <v>219</v>
      </c>
      <c r="AS218" s="35"/>
      <c r="AT218" s="35">
        <f t="shared" si="81"/>
        <v>219</v>
      </c>
      <c r="AU218" s="6">
        <v>450</v>
      </c>
      <c r="AV218" s="6"/>
      <c r="AW218" s="35">
        <f t="shared" si="82"/>
        <v>231</v>
      </c>
      <c r="AX218" s="6">
        <v>673</v>
      </c>
      <c r="AY218" s="6"/>
      <c r="AZ218" s="35">
        <f t="shared" si="83"/>
        <v>223</v>
      </c>
      <c r="BA218" s="35">
        <v>904</v>
      </c>
      <c r="BB218" s="35"/>
      <c r="BC218" s="35">
        <f t="shared" si="84"/>
        <v>231</v>
      </c>
      <c r="BD218" s="35">
        <v>20</v>
      </c>
      <c r="BE218" s="6">
        <v>1100</v>
      </c>
      <c r="BF218" s="35">
        <f t="shared" si="85"/>
        <v>216</v>
      </c>
      <c r="BG218" s="6"/>
      <c r="BH218" s="6"/>
      <c r="BI218" s="6"/>
      <c r="BJ218" s="6">
        <v>249</v>
      </c>
      <c r="BK218" s="6"/>
      <c r="BL218" s="6">
        <f t="shared" si="86"/>
        <v>229</v>
      </c>
      <c r="BM218" s="35">
        <v>479</v>
      </c>
      <c r="BN218" s="35"/>
      <c r="BO218" s="6">
        <f t="shared" si="87"/>
        <v>230</v>
      </c>
      <c r="BP218" s="35">
        <v>709</v>
      </c>
      <c r="BQ218" s="35"/>
      <c r="BR218" s="35">
        <f t="shared" si="88"/>
        <v>230</v>
      </c>
      <c r="BS218" s="35">
        <v>140</v>
      </c>
      <c r="BT218" s="35">
        <v>800</v>
      </c>
      <c r="BU218" s="6">
        <f t="shared" si="89"/>
        <v>231</v>
      </c>
      <c r="BV218" s="35">
        <v>373</v>
      </c>
      <c r="BW218" s="35"/>
      <c r="BX218" s="35">
        <f t="shared" si="90"/>
        <v>233</v>
      </c>
      <c r="BY218" s="35">
        <v>586</v>
      </c>
      <c r="BZ218" s="6"/>
      <c r="CA218" s="6">
        <f t="shared" si="91"/>
        <v>213</v>
      </c>
      <c r="CB218" s="6"/>
      <c r="CC218" s="6"/>
      <c r="CD218" s="6"/>
      <c r="CE218" s="6">
        <v>149</v>
      </c>
      <c r="CF218" s="6">
        <v>665</v>
      </c>
      <c r="CG218" s="6">
        <f t="shared" si="92"/>
        <v>228</v>
      </c>
      <c r="CH218" s="6">
        <v>380</v>
      </c>
      <c r="CI218" s="6"/>
      <c r="CJ218" s="6">
        <f t="shared" si="93"/>
        <v>231</v>
      </c>
      <c r="CK218" s="6">
        <v>609</v>
      </c>
      <c r="CL218" s="6"/>
      <c r="CM218" s="6">
        <f t="shared" si="94"/>
        <v>229</v>
      </c>
      <c r="CN218" s="6">
        <v>40</v>
      </c>
      <c r="CO218" s="6">
        <v>800</v>
      </c>
      <c r="CP218" s="6">
        <f t="shared" si="95"/>
        <v>231</v>
      </c>
      <c r="CQ218" s="6">
        <v>273</v>
      </c>
      <c r="CR218" s="6"/>
      <c r="CS218" s="6">
        <f t="shared" si="96"/>
        <v>233</v>
      </c>
      <c r="CT218" s="6">
        <v>120</v>
      </c>
      <c r="CU218" s="6">
        <v>349</v>
      </c>
      <c r="CV218" s="6">
        <f t="shared" si="97"/>
        <v>196</v>
      </c>
      <c r="CW218" s="6"/>
      <c r="CX218" s="6"/>
      <c r="CY218" s="6"/>
      <c r="CZ218" s="6">
        <v>372</v>
      </c>
      <c r="DA218" s="6"/>
      <c r="DB218" s="6">
        <f t="shared" si="98"/>
        <v>252</v>
      </c>
      <c r="DC218" s="6">
        <v>597</v>
      </c>
      <c r="DD218" s="6"/>
      <c r="DE218" s="6">
        <f t="shared" si="99"/>
        <v>225</v>
      </c>
      <c r="DF218" s="6">
        <v>827</v>
      </c>
      <c r="DG218" s="10"/>
      <c r="DH218" s="6">
        <f t="shared" si="100"/>
        <v>230</v>
      </c>
      <c r="DI218" s="6">
        <v>1057</v>
      </c>
      <c r="DJ218" s="10"/>
      <c r="DK218" s="6">
        <f t="shared" si="101"/>
        <v>230</v>
      </c>
      <c r="DL218" s="6">
        <v>172</v>
      </c>
      <c r="DM218" s="10">
        <v>1102</v>
      </c>
      <c r="DN218" s="6">
        <f t="shared" si="102"/>
        <v>217</v>
      </c>
      <c r="DO218" s="6">
        <v>375</v>
      </c>
      <c r="DP218" s="10"/>
      <c r="DQ218" s="6">
        <f t="shared" si="103"/>
        <v>203</v>
      </c>
    </row>
    <row r="219" spans="1:121">
      <c r="A219" s="6">
        <v>215</v>
      </c>
      <c r="B219" s="6">
        <v>654</v>
      </c>
      <c r="C219" s="10"/>
      <c r="D219" s="6">
        <v>236</v>
      </c>
      <c r="E219" s="141" t="s">
        <v>75</v>
      </c>
      <c r="F219" s="141" t="s">
        <v>75</v>
      </c>
      <c r="G219" s="141" t="s">
        <v>75</v>
      </c>
      <c r="H219" s="141" t="s">
        <v>75</v>
      </c>
      <c r="I219" s="141" t="s">
        <v>75</v>
      </c>
      <c r="J219" s="141" t="s">
        <v>75</v>
      </c>
      <c r="K219" s="141" t="s">
        <v>75</v>
      </c>
      <c r="L219" s="141" t="s">
        <v>75</v>
      </c>
      <c r="M219" s="141" t="s">
        <v>75</v>
      </c>
      <c r="N219" s="141" t="s">
        <v>75</v>
      </c>
      <c r="O219" s="141" t="s">
        <v>75</v>
      </c>
      <c r="P219" s="141" t="s">
        <v>75</v>
      </c>
      <c r="Q219" s="141" t="s">
        <v>75</v>
      </c>
      <c r="R219" s="163" t="s">
        <v>72</v>
      </c>
      <c r="S219" s="141" t="s">
        <v>72</v>
      </c>
      <c r="T219" s="141" t="s">
        <v>72</v>
      </c>
      <c r="U219" s="141" t="s">
        <v>72</v>
      </c>
      <c r="V219" s="141" t="s">
        <v>72</v>
      </c>
      <c r="W219" s="141" t="s">
        <v>72</v>
      </c>
      <c r="X219" s="141" t="s">
        <v>72</v>
      </c>
      <c r="Y219" s="141" t="s">
        <v>72</v>
      </c>
      <c r="Z219" s="141" t="s">
        <v>72</v>
      </c>
      <c r="AA219" s="141" t="s">
        <v>72</v>
      </c>
      <c r="AB219" s="141" t="s">
        <v>72</v>
      </c>
      <c r="AC219" s="141" t="s">
        <v>72</v>
      </c>
      <c r="AD219" s="141" t="s">
        <v>72</v>
      </c>
      <c r="AE219" s="141" t="s">
        <v>72</v>
      </c>
      <c r="AF219" s="6">
        <v>900</v>
      </c>
      <c r="AG219" s="6"/>
      <c r="AH219" s="35">
        <f t="shared" si="78"/>
        <v>246</v>
      </c>
      <c r="AI219" s="35">
        <v>29</v>
      </c>
      <c r="AJ219" s="35">
        <v>1100</v>
      </c>
      <c r="AK219" s="35">
        <f t="shared" si="79"/>
        <v>229</v>
      </c>
      <c r="AL219" s="6"/>
      <c r="AM219" s="6"/>
      <c r="AN219" s="35"/>
      <c r="AO219" s="6">
        <v>273</v>
      </c>
      <c r="AP219" s="6"/>
      <c r="AQ219" s="34">
        <f t="shared" si="80"/>
        <v>244</v>
      </c>
      <c r="AR219" s="35">
        <v>517</v>
      </c>
      <c r="AS219" s="35"/>
      <c r="AT219" s="35">
        <f t="shared" si="81"/>
        <v>244</v>
      </c>
      <c r="AU219" s="6">
        <v>756</v>
      </c>
      <c r="AV219" s="6"/>
      <c r="AW219" s="35">
        <f t="shared" si="82"/>
        <v>239</v>
      </c>
      <c r="AX219" s="6">
        <v>985</v>
      </c>
      <c r="AY219" s="6"/>
      <c r="AZ219" s="35">
        <f t="shared" si="83"/>
        <v>229</v>
      </c>
      <c r="BA219" s="35">
        <v>114</v>
      </c>
      <c r="BB219" s="35">
        <v>1100</v>
      </c>
      <c r="BC219" s="35">
        <f t="shared" si="84"/>
        <v>229</v>
      </c>
      <c r="BD219" s="35">
        <v>336</v>
      </c>
      <c r="BE219" s="6"/>
      <c r="BF219" s="35">
        <f t="shared" si="85"/>
        <v>222</v>
      </c>
      <c r="BG219" s="6"/>
      <c r="BH219" s="6"/>
      <c r="BI219" s="6"/>
      <c r="BJ219" s="6">
        <v>0</v>
      </c>
      <c r="BK219" s="6">
        <v>409</v>
      </c>
      <c r="BL219" s="6">
        <f t="shared" si="86"/>
        <v>73</v>
      </c>
      <c r="BM219" s="35">
        <v>0</v>
      </c>
      <c r="BN219" s="35"/>
      <c r="BO219" s="6">
        <f t="shared" si="87"/>
        <v>0</v>
      </c>
      <c r="BP219" s="35">
        <v>0</v>
      </c>
      <c r="BQ219" s="35"/>
      <c r="BR219" s="35">
        <f t="shared" si="88"/>
        <v>0</v>
      </c>
      <c r="BS219" s="35">
        <v>0</v>
      </c>
      <c r="BT219" s="35"/>
      <c r="BU219" s="6">
        <f t="shared" si="89"/>
        <v>0</v>
      </c>
      <c r="BV219" s="35">
        <v>0</v>
      </c>
      <c r="BW219" s="35"/>
      <c r="BX219" s="35">
        <f t="shared" si="90"/>
        <v>0</v>
      </c>
      <c r="BY219" s="35">
        <v>0</v>
      </c>
      <c r="BZ219" s="6"/>
      <c r="CA219" s="6">
        <f t="shared" si="91"/>
        <v>0</v>
      </c>
      <c r="CB219" s="6"/>
      <c r="CC219" s="6"/>
      <c r="CD219" s="6"/>
      <c r="CE219" s="6">
        <v>0</v>
      </c>
      <c r="CF219" s="6"/>
      <c r="CG219" s="6">
        <f t="shared" si="92"/>
        <v>0</v>
      </c>
      <c r="CH219" s="6">
        <v>150</v>
      </c>
      <c r="CI219" s="6"/>
      <c r="CJ219" s="6">
        <f t="shared" si="93"/>
        <v>150</v>
      </c>
      <c r="CK219" s="6">
        <v>359</v>
      </c>
      <c r="CL219" s="6"/>
      <c r="CM219" s="6">
        <f t="shared" si="94"/>
        <v>209</v>
      </c>
      <c r="CN219" s="6">
        <v>587</v>
      </c>
      <c r="CO219" s="6"/>
      <c r="CP219" s="6">
        <f t="shared" si="95"/>
        <v>228</v>
      </c>
      <c r="CQ219" s="6">
        <v>821</v>
      </c>
      <c r="CR219" s="6"/>
      <c r="CS219" s="6">
        <f t="shared" si="96"/>
        <v>234</v>
      </c>
      <c r="CT219" s="6">
        <v>1040</v>
      </c>
      <c r="CU219" s="6"/>
      <c r="CV219" s="6">
        <f t="shared" si="97"/>
        <v>219</v>
      </c>
      <c r="CW219" s="6"/>
      <c r="CX219" s="6"/>
      <c r="CY219" s="6"/>
      <c r="CZ219" s="6">
        <v>173</v>
      </c>
      <c r="DA219" s="6">
        <v>1100</v>
      </c>
      <c r="DB219" s="6">
        <f t="shared" si="98"/>
        <v>233</v>
      </c>
      <c r="DC219" s="6">
        <v>401</v>
      </c>
      <c r="DD219" s="6"/>
      <c r="DE219" s="6">
        <f t="shared" si="99"/>
        <v>228</v>
      </c>
      <c r="DF219" s="6">
        <v>629</v>
      </c>
      <c r="DG219" s="10"/>
      <c r="DH219" s="6">
        <f t="shared" si="100"/>
        <v>228</v>
      </c>
      <c r="DI219" s="6">
        <v>861</v>
      </c>
      <c r="DJ219" s="10"/>
      <c r="DK219" s="6">
        <f t="shared" si="101"/>
        <v>232</v>
      </c>
      <c r="DL219" s="35">
        <v>1088</v>
      </c>
      <c r="DM219" s="10"/>
      <c r="DN219" s="6">
        <f t="shared" si="102"/>
        <v>227</v>
      </c>
      <c r="DO219" s="6">
        <v>188</v>
      </c>
      <c r="DP219" s="10">
        <v>1100</v>
      </c>
      <c r="DQ219" s="6">
        <f t="shared" si="103"/>
        <v>200</v>
      </c>
    </row>
    <row r="220" spans="1:121">
      <c r="A220" s="6">
        <v>216</v>
      </c>
      <c r="B220" s="6">
        <v>434</v>
      </c>
      <c r="C220" s="10"/>
      <c r="D220" s="6">
        <v>240</v>
      </c>
      <c r="E220" s="141" t="s">
        <v>75</v>
      </c>
      <c r="F220" s="141" t="s">
        <v>75</v>
      </c>
      <c r="G220" s="141" t="s">
        <v>75</v>
      </c>
      <c r="H220" s="141" t="s">
        <v>75</v>
      </c>
      <c r="I220" s="141" t="s">
        <v>75</v>
      </c>
      <c r="J220" s="141" t="s">
        <v>75</v>
      </c>
      <c r="K220" s="163" t="s">
        <v>75</v>
      </c>
      <c r="L220" s="141" t="s">
        <v>75</v>
      </c>
      <c r="M220" s="141" t="s">
        <v>75</v>
      </c>
      <c r="N220" s="141" t="s">
        <v>75</v>
      </c>
      <c r="O220" s="141" t="s">
        <v>75</v>
      </c>
      <c r="P220" s="141" t="s">
        <v>75</v>
      </c>
      <c r="Q220" s="141" t="s">
        <v>75</v>
      </c>
      <c r="R220" s="141" t="s">
        <v>75</v>
      </c>
      <c r="S220" s="141" t="s">
        <v>75</v>
      </c>
      <c r="T220" s="141" t="s">
        <v>75</v>
      </c>
      <c r="U220" s="141" t="s">
        <v>75</v>
      </c>
      <c r="V220" s="141" t="s">
        <v>75</v>
      </c>
      <c r="W220" s="141" t="s">
        <v>75</v>
      </c>
      <c r="X220" s="141" t="s">
        <v>75</v>
      </c>
      <c r="Y220" s="141" t="s">
        <v>75</v>
      </c>
      <c r="Z220" s="141" t="s">
        <v>75</v>
      </c>
      <c r="AA220" s="141" t="s">
        <v>75</v>
      </c>
      <c r="AB220" s="141" t="s">
        <v>75</v>
      </c>
      <c r="AC220" s="141" t="s">
        <v>75</v>
      </c>
      <c r="AD220" s="141" t="s">
        <v>75</v>
      </c>
      <c r="AE220" s="141" t="s">
        <v>75</v>
      </c>
      <c r="AF220" s="6">
        <v>683</v>
      </c>
      <c r="AG220" s="6"/>
      <c r="AH220" s="35">
        <f t="shared" si="78"/>
        <v>249</v>
      </c>
      <c r="AI220" s="35">
        <v>916</v>
      </c>
      <c r="AJ220" s="35"/>
      <c r="AK220" s="35">
        <f t="shared" si="79"/>
        <v>233</v>
      </c>
      <c r="AL220" s="6"/>
      <c r="AM220" s="6"/>
      <c r="AN220" s="35"/>
      <c r="AO220" s="6">
        <v>55</v>
      </c>
      <c r="AP220" s="6">
        <v>1100</v>
      </c>
      <c r="AQ220" s="34">
        <f t="shared" si="80"/>
        <v>239</v>
      </c>
      <c r="AR220" s="35">
        <v>301</v>
      </c>
      <c r="AS220" s="35"/>
      <c r="AT220" s="35">
        <f t="shared" si="81"/>
        <v>246</v>
      </c>
      <c r="AU220" s="6">
        <v>543</v>
      </c>
      <c r="AV220" s="6"/>
      <c r="AW220" s="35">
        <f t="shared" si="82"/>
        <v>242</v>
      </c>
      <c r="AX220" s="6">
        <v>163</v>
      </c>
      <c r="AY220" s="6">
        <v>574</v>
      </c>
      <c r="AZ220" s="35">
        <f t="shared" si="83"/>
        <v>194</v>
      </c>
      <c r="BA220" s="35">
        <v>256</v>
      </c>
      <c r="BB220" s="35"/>
      <c r="BC220" s="35">
        <f t="shared" si="84"/>
        <v>93</v>
      </c>
      <c r="BD220" s="35">
        <v>256</v>
      </c>
      <c r="BE220" s="6"/>
      <c r="BF220" s="35">
        <f t="shared" si="85"/>
        <v>0</v>
      </c>
      <c r="BG220" s="6"/>
      <c r="BH220" s="35"/>
      <c r="BI220" s="6"/>
      <c r="BJ220" s="35">
        <v>256</v>
      </c>
      <c r="BK220" s="35"/>
      <c r="BL220" s="6">
        <f t="shared" si="86"/>
        <v>0</v>
      </c>
      <c r="BM220" s="35">
        <v>256</v>
      </c>
      <c r="BN220" s="35"/>
      <c r="BO220" s="6">
        <f t="shared" si="87"/>
        <v>0</v>
      </c>
      <c r="BP220" s="35">
        <v>485</v>
      </c>
      <c r="BQ220" s="35"/>
      <c r="BR220" s="35">
        <f t="shared" si="88"/>
        <v>229</v>
      </c>
      <c r="BS220" s="35">
        <v>717</v>
      </c>
      <c r="BT220" s="35"/>
      <c r="BU220" s="6">
        <f t="shared" si="89"/>
        <v>232</v>
      </c>
      <c r="BV220" s="35">
        <v>150</v>
      </c>
      <c r="BW220" s="35">
        <v>800</v>
      </c>
      <c r="BX220" s="35">
        <f t="shared" si="90"/>
        <v>233</v>
      </c>
      <c r="BY220" s="35">
        <v>373</v>
      </c>
      <c r="BZ220" s="6"/>
      <c r="CA220" s="6">
        <f t="shared" si="91"/>
        <v>223</v>
      </c>
      <c r="CB220" s="6"/>
      <c r="CC220" s="6"/>
      <c r="CD220" s="6"/>
      <c r="CE220" s="6">
        <v>605</v>
      </c>
      <c r="CF220" s="6"/>
      <c r="CG220" s="6">
        <f t="shared" si="92"/>
        <v>232</v>
      </c>
      <c r="CH220" s="6">
        <v>39</v>
      </c>
      <c r="CI220" s="6">
        <v>800</v>
      </c>
      <c r="CJ220" s="6">
        <f t="shared" si="93"/>
        <v>234</v>
      </c>
      <c r="CK220" s="6">
        <v>271</v>
      </c>
      <c r="CL220" s="6"/>
      <c r="CM220" s="6">
        <f t="shared" si="94"/>
        <v>232</v>
      </c>
      <c r="CN220" s="6">
        <v>506</v>
      </c>
      <c r="CO220" s="6"/>
      <c r="CP220" s="6">
        <f t="shared" si="95"/>
        <v>235</v>
      </c>
      <c r="CQ220" s="6">
        <v>739</v>
      </c>
      <c r="CR220" s="6"/>
      <c r="CS220" s="6">
        <f t="shared" si="96"/>
        <v>233</v>
      </c>
      <c r="CT220" s="6">
        <v>161</v>
      </c>
      <c r="CU220" s="6">
        <v>800</v>
      </c>
      <c r="CV220" s="6">
        <f t="shared" si="97"/>
        <v>222</v>
      </c>
      <c r="CW220" s="6"/>
      <c r="CX220" s="6"/>
      <c r="CY220" s="6"/>
      <c r="CZ220" s="6">
        <v>394</v>
      </c>
      <c r="DA220" s="6"/>
      <c r="DB220" s="6">
        <f t="shared" si="98"/>
        <v>233</v>
      </c>
      <c r="DC220" s="6">
        <v>624</v>
      </c>
      <c r="DD220" s="6"/>
      <c r="DE220" s="6">
        <f t="shared" si="99"/>
        <v>230</v>
      </c>
      <c r="DF220" s="6">
        <v>56</v>
      </c>
      <c r="DG220" s="10">
        <v>800</v>
      </c>
      <c r="DH220" s="6">
        <f t="shared" si="100"/>
        <v>232</v>
      </c>
      <c r="DI220" s="6">
        <v>290</v>
      </c>
      <c r="DJ220" s="10"/>
      <c r="DK220" s="6">
        <f t="shared" si="101"/>
        <v>234</v>
      </c>
      <c r="DL220" s="6">
        <v>523</v>
      </c>
      <c r="DM220" s="10"/>
      <c r="DN220" s="6">
        <f t="shared" si="102"/>
        <v>233</v>
      </c>
      <c r="DO220" s="6">
        <v>730</v>
      </c>
      <c r="DP220" s="10"/>
      <c r="DQ220" s="6">
        <f t="shared" si="103"/>
        <v>207</v>
      </c>
    </row>
    <row r="221" spans="1:121">
      <c r="A221" s="6">
        <v>217</v>
      </c>
      <c r="B221" s="6">
        <v>413</v>
      </c>
      <c r="C221" s="10"/>
      <c r="D221" s="3">
        <v>235</v>
      </c>
      <c r="E221" s="33" t="s">
        <v>72</v>
      </c>
      <c r="F221" s="33" t="s">
        <v>72</v>
      </c>
      <c r="G221" s="33" t="s">
        <v>72</v>
      </c>
      <c r="H221" s="33" t="s">
        <v>72</v>
      </c>
      <c r="I221" s="33" t="s">
        <v>72</v>
      </c>
      <c r="J221" s="33" t="s">
        <v>72</v>
      </c>
      <c r="K221" s="33" t="s">
        <v>72</v>
      </c>
      <c r="L221" s="33" t="s">
        <v>72</v>
      </c>
      <c r="M221" s="33" t="s">
        <v>72</v>
      </c>
      <c r="N221" s="33" t="s">
        <v>72</v>
      </c>
      <c r="O221" s="33" t="s">
        <v>72</v>
      </c>
      <c r="P221" s="33" t="s">
        <v>72</v>
      </c>
      <c r="Q221" s="33" t="s">
        <v>72</v>
      </c>
      <c r="R221" s="33" t="s">
        <v>72</v>
      </c>
      <c r="S221" s="33" t="s">
        <v>72</v>
      </c>
      <c r="T221" s="33" t="s">
        <v>72</v>
      </c>
      <c r="U221" s="33" t="s">
        <v>72</v>
      </c>
      <c r="V221" s="33" t="s">
        <v>72</v>
      </c>
      <c r="W221" s="33" t="s">
        <v>72</v>
      </c>
      <c r="X221" s="33" t="s">
        <v>72</v>
      </c>
      <c r="Y221" s="33" t="s">
        <v>72</v>
      </c>
      <c r="Z221" s="33" t="s">
        <v>72</v>
      </c>
      <c r="AA221" s="33" t="s">
        <v>72</v>
      </c>
      <c r="AB221" s="33" t="s">
        <v>72</v>
      </c>
      <c r="AC221" s="33" t="s">
        <v>72</v>
      </c>
      <c r="AD221" s="33" t="s">
        <v>72</v>
      </c>
      <c r="AE221" s="33" t="s">
        <v>72</v>
      </c>
      <c r="AF221" s="6">
        <v>643</v>
      </c>
      <c r="AG221" s="6"/>
      <c r="AH221" s="35">
        <f t="shared" si="78"/>
        <v>230</v>
      </c>
      <c r="AI221" s="35">
        <v>107</v>
      </c>
      <c r="AJ221" s="78">
        <v>757</v>
      </c>
      <c r="AK221" s="35">
        <f t="shared" si="79"/>
        <v>221</v>
      </c>
      <c r="AL221" s="6"/>
      <c r="AM221" s="6"/>
      <c r="AN221" s="35"/>
      <c r="AO221" s="6">
        <v>340</v>
      </c>
      <c r="AP221" s="6"/>
      <c r="AQ221" s="34">
        <f t="shared" si="80"/>
        <v>233</v>
      </c>
      <c r="AR221" s="35">
        <v>98</v>
      </c>
      <c r="AS221" s="78">
        <v>468</v>
      </c>
      <c r="AT221" s="35">
        <f t="shared" si="81"/>
        <v>226</v>
      </c>
      <c r="AU221" s="35">
        <v>326</v>
      </c>
      <c r="AV221" s="35"/>
      <c r="AW221" s="35">
        <f t="shared" si="82"/>
        <v>228</v>
      </c>
      <c r="AX221" s="6">
        <v>199</v>
      </c>
      <c r="AY221" s="3">
        <v>351</v>
      </c>
      <c r="AZ221" s="35">
        <f t="shared" si="83"/>
        <v>224</v>
      </c>
      <c r="BA221" s="35">
        <v>431</v>
      </c>
      <c r="BB221" s="35"/>
      <c r="BC221" s="35">
        <f t="shared" si="84"/>
        <v>232</v>
      </c>
      <c r="BD221" s="35">
        <v>655</v>
      </c>
      <c r="BE221" s="6"/>
      <c r="BF221" s="35">
        <f t="shared" si="85"/>
        <v>224</v>
      </c>
      <c r="BG221" s="6"/>
      <c r="BH221" s="35"/>
      <c r="BI221" s="6"/>
      <c r="BJ221" s="35">
        <v>890</v>
      </c>
      <c r="BK221" s="35"/>
      <c r="BL221" s="6">
        <f t="shared" si="86"/>
        <v>235</v>
      </c>
      <c r="BM221" s="35">
        <v>1122</v>
      </c>
      <c r="BN221" s="35"/>
      <c r="BO221" s="6">
        <f t="shared" si="87"/>
        <v>232</v>
      </c>
      <c r="BP221" s="35">
        <v>226</v>
      </c>
      <c r="BQ221" s="78">
        <v>1127</v>
      </c>
      <c r="BR221" s="35">
        <f t="shared" si="88"/>
        <v>231</v>
      </c>
      <c r="BS221" s="35">
        <v>457</v>
      </c>
      <c r="BT221" s="35"/>
      <c r="BU221" s="6">
        <f t="shared" si="89"/>
        <v>231</v>
      </c>
      <c r="BV221" s="35">
        <v>691</v>
      </c>
      <c r="BW221" s="35"/>
      <c r="BX221" s="35">
        <f t="shared" si="90"/>
        <v>234</v>
      </c>
      <c r="BY221" s="35">
        <v>912</v>
      </c>
      <c r="BZ221" s="6"/>
      <c r="CA221" s="6">
        <f t="shared" si="91"/>
        <v>221</v>
      </c>
      <c r="CB221" s="6"/>
      <c r="CC221" s="6"/>
      <c r="CD221" s="6"/>
      <c r="CE221" s="6">
        <v>41</v>
      </c>
      <c r="CF221" s="3">
        <v>1100</v>
      </c>
      <c r="CG221" s="6">
        <f t="shared" si="92"/>
        <v>229</v>
      </c>
      <c r="CH221" s="6">
        <v>273</v>
      </c>
      <c r="CI221" s="6"/>
      <c r="CJ221" s="6">
        <f t="shared" si="93"/>
        <v>232</v>
      </c>
      <c r="CK221" s="6">
        <v>503</v>
      </c>
      <c r="CL221" s="6"/>
      <c r="CM221" s="6">
        <f t="shared" si="94"/>
        <v>230</v>
      </c>
      <c r="CN221" s="6">
        <v>736</v>
      </c>
      <c r="CO221" s="6"/>
      <c r="CP221" s="6">
        <f t="shared" si="95"/>
        <v>233</v>
      </c>
      <c r="CQ221" s="6">
        <v>0</v>
      </c>
      <c r="CR221" s="3">
        <v>942</v>
      </c>
      <c r="CS221" s="6">
        <f t="shared" si="96"/>
        <v>206</v>
      </c>
      <c r="CT221" s="6">
        <v>0</v>
      </c>
      <c r="CU221" s="6"/>
      <c r="CV221" s="6">
        <f t="shared" si="97"/>
        <v>0</v>
      </c>
      <c r="CW221" s="6"/>
      <c r="CX221" s="6"/>
      <c r="CY221" s="6"/>
      <c r="CZ221" s="6">
        <v>0</v>
      </c>
      <c r="DA221" s="6"/>
      <c r="DB221" s="6">
        <f t="shared" si="98"/>
        <v>0</v>
      </c>
      <c r="DC221" s="6">
        <v>0</v>
      </c>
      <c r="DD221" s="6"/>
      <c r="DE221" s="6">
        <f t="shared" si="99"/>
        <v>0</v>
      </c>
      <c r="DF221" s="6">
        <v>0</v>
      </c>
      <c r="DG221" s="10"/>
      <c r="DH221" s="6">
        <f t="shared" si="100"/>
        <v>0</v>
      </c>
      <c r="DI221" s="6">
        <v>0</v>
      </c>
      <c r="DJ221" s="10"/>
      <c r="DK221" s="6">
        <f t="shared" si="101"/>
        <v>0</v>
      </c>
      <c r="DL221" s="6">
        <v>0</v>
      </c>
      <c r="DM221" s="10"/>
      <c r="DN221" s="6">
        <f t="shared" si="102"/>
        <v>0</v>
      </c>
      <c r="DO221" s="6">
        <v>0</v>
      </c>
      <c r="DP221" s="10"/>
      <c r="DQ221" s="6">
        <f t="shared" si="103"/>
        <v>0</v>
      </c>
    </row>
    <row r="222" spans="1:121">
      <c r="A222" s="6">
        <v>218</v>
      </c>
      <c r="B222" s="6">
        <v>433</v>
      </c>
      <c r="C222" s="10"/>
      <c r="D222" s="3">
        <v>214</v>
      </c>
      <c r="E222" s="33" t="s">
        <v>72</v>
      </c>
      <c r="F222" s="33" t="s">
        <v>72</v>
      </c>
      <c r="G222" s="33" t="s">
        <v>72</v>
      </c>
      <c r="H222" s="33" t="s">
        <v>72</v>
      </c>
      <c r="I222" s="33" t="s">
        <v>72</v>
      </c>
      <c r="J222" s="33" t="s">
        <v>72</v>
      </c>
      <c r="K222" s="33" t="s">
        <v>72</v>
      </c>
      <c r="L222" s="33" t="s">
        <v>72</v>
      </c>
      <c r="M222" s="33" t="s">
        <v>72</v>
      </c>
      <c r="N222" s="33" t="s">
        <v>72</v>
      </c>
      <c r="O222" s="33" t="s">
        <v>72</v>
      </c>
      <c r="P222" s="33" t="s">
        <v>72</v>
      </c>
      <c r="Q222" s="33" t="s">
        <v>72</v>
      </c>
      <c r="R222" s="33" t="s">
        <v>72</v>
      </c>
      <c r="S222" s="33" t="s">
        <v>72</v>
      </c>
      <c r="T222" s="33" t="s">
        <v>72</v>
      </c>
      <c r="U222" s="33" t="s">
        <v>72</v>
      </c>
      <c r="V222" s="33" t="s">
        <v>72</v>
      </c>
      <c r="W222" s="33" t="s">
        <v>72</v>
      </c>
      <c r="X222" s="33" t="s">
        <v>72</v>
      </c>
      <c r="Y222" s="33" t="s">
        <v>72</v>
      </c>
      <c r="Z222" s="33" t="s">
        <v>72</v>
      </c>
      <c r="AA222" s="33" t="s">
        <v>72</v>
      </c>
      <c r="AB222" s="33" t="s">
        <v>72</v>
      </c>
      <c r="AC222" s="33" t="s">
        <v>72</v>
      </c>
      <c r="AD222" s="33" t="s">
        <v>72</v>
      </c>
      <c r="AE222" s="33" t="s">
        <v>72</v>
      </c>
      <c r="AF222" s="6">
        <v>670</v>
      </c>
      <c r="AG222" s="6"/>
      <c r="AH222" s="35">
        <f t="shared" si="78"/>
        <v>237</v>
      </c>
      <c r="AI222" s="35">
        <v>898</v>
      </c>
      <c r="AJ222" s="35"/>
      <c r="AK222" s="35">
        <f t="shared" si="79"/>
        <v>228</v>
      </c>
      <c r="AL222" s="6"/>
      <c r="AM222" s="6"/>
      <c r="AN222" s="35"/>
      <c r="AO222" s="6">
        <v>30</v>
      </c>
      <c r="AP222" s="3">
        <v>1100</v>
      </c>
      <c r="AQ222" s="34">
        <f t="shared" si="80"/>
        <v>232</v>
      </c>
      <c r="AR222" s="35">
        <v>267</v>
      </c>
      <c r="AS222" s="35"/>
      <c r="AT222" s="35">
        <f t="shared" si="81"/>
        <v>237</v>
      </c>
      <c r="AU222" s="35">
        <v>500</v>
      </c>
      <c r="AV222" s="6"/>
      <c r="AW222" s="35">
        <f t="shared" si="82"/>
        <v>233</v>
      </c>
      <c r="AX222" s="6">
        <v>169</v>
      </c>
      <c r="AY222" s="3">
        <v>557</v>
      </c>
      <c r="AZ222" s="35">
        <f t="shared" si="83"/>
        <v>226</v>
      </c>
      <c r="BA222" s="35">
        <v>403</v>
      </c>
      <c r="BB222" s="35"/>
      <c r="BC222" s="35">
        <f t="shared" si="84"/>
        <v>234</v>
      </c>
      <c r="BD222" s="35">
        <v>628</v>
      </c>
      <c r="BE222" s="6"/>
      <c r="BF222" s="35">
        <f t="shared" si="85"/>
        <v>225</v>
      </c>
      <c r="BG222" s="6"/>
      <c r="BH222" s="35"/>
      <c r="BI222" s="6"/>
      <c r="BJ222" s="35">
        <v>868</v>
      </c>
      <c r="BK222" s="35"/>
      <c r="BL222" s="6">
        <f t="shared" si="86"/>
        <v>240</v>
      </c>
      <c r="BM222" s="35">
        <v>5</v>
      </c>
      <c r="BN222" s="78">
        <v>1100</v>
      </c>
      <c r="BO222" s="6">
        <f t="shared" si="87"/>
        <v>237</v>
      </c>
      <c r="BP222" s="35">
        <v>240</v>
      </c>
      <c r="BQ222" s="35"/>
      <c r="BR222" s="35">
        <f t="shared" si="88"/>
        <v>235</v>
      </c>
      <c r="BS222" s="35">
        <v>51</v>
      </c>
      <c r="BT222" s="78">
        <v>428</v>
      </c>
      <c r="BU222" s="6">
        <f t="shared" si="89"/>
        <v>239</v>
      </c>
      <c r="BV222" s="35">
        <v>289</v>
      </c>
      <c r="BW222" s="35"/>
      <c r="BX222" s="35">
        <f t="shared" si="90"/>
        <v>238</v>
      </c>
      <c r="BY222" s="35">
        <v>512</v>
      </c>
      <c r="BZ222" s="6"/>
      <c r="CA222" s="6">
        <f t="shared" si="91"/>
        <v>223</v>
      </c>
      <c r="CB222" s="6"/>
      <c r="CC222" s="6"/>
      <c r="CD222" s="6"/>
      <c r="CE222" s="6">
        <v>11</v>
      </c>
      <c r="CF222" s="3">
        <v>733</v>
      </c>
      <c r="CG222" s="6">
        <f t="shared" si="92"/>
        <v>232</v>
      </c>
      <c r="CH222" s="6">
        <v>245</v>
      </c>
      <c r="CI222" s="6"/>
      <c r="CJ222" s="6">
        <f t="shared" si="93"/>
        <v>234</v>
      </c>
      <c r="CK222" s="6">
        <v>477</v>
      </c>
      <c r="CL222" s="6"/>
      <c r="CM222" s="6">
        <f t="shared" si="94"/>
        <v>232</v>
      </c>
      <c r="CN222" s="6">
        <v>708</v>
      </c>
      <c r="CO222" s="6"/>
      <c r="CP222" s="6">
        <f t="shared" si="95"/>
        <v>231</v>
      </c>
      <c r="CQ222" s="6">
        <v>0</v>
      </c>
      <c r="CR222" s="3">
        <v>840</v>
      </c>
      <c r="CS222" s="6">
        <f t="shared" si="96"/>
        <v>132</v>
      </c>
      <c r="CT222" s="6">
        <v>0</v>
      </c>
      <c r="CU222" s="6"/>
      <c r="CV222" s="6">
        <f t="shared" si="97"/>
        <v>0</v>
      </c>
      <c r="CW222" s="6"/>
      <c r="CX222" s="6"/>
      <c r="CY222" s="6"/>
      <c r="CZ222" s="6">
        <v>0</v>
      </c>
      <c r="DA222" s="6"/>
      <c r="DB222" s="6">
        <f t="shared" si="98"/>
        <v>0</v>
      </c>
      <c r="DC222" s="6">
        <v>0</v>
      </c>
      <c r="DD222" s="6"/>
      <c r="DE222" s="6">
        <f t="shared" si="99"/>
        <v>0</v>
      </c>
      <c r="DF222" s="6">
        <v>0</v>
      </c>
      <c r="DG222" s="10"/>
      <c r="DH222" s="6">
        <f t="shared" si="100"/>
        <v>0</v>
      </c>
      <c r="DI222" s="6">
        <v>0</v>
      </c>
      <c r="DJ222" s="10"/>
      <c r="DK222" s="6">
        <f t="shared" si="101"/>
        <v>0</v>
      </c>
      <c r="DL222" s="6">
        <v>0</v>
      </c>
      <c r="DM222" s="10"/>
      <c r="DN222" s="6">
        <f t="shared" si="102"/>
        <v>0</v>
      </c>
      <c r="DO222" s="6">
        <v>0</v>
      </c>
      <c r="DP222" s="10"/>
      <c r="DQ222" s="6">
        <f t="shared" si="103"/>
        <v>0</v>
      </c>
    </row>
    <row r="223" spans="1:121">
      <c r="A223" s="6">
        <v>219</v>
      </c>
      <c r="B223" s="6">
        <v>150</v>
      </c>
      <c r="C223" s="10">
        <v>1031</v>
      </c>
      <c r="D223" s="6">
        <v>214</v>
      </c>
      <c r="E223" s="148" t="s">
        <v>79</v>
      </c>
      <c r="F223" s="33" t="s">
        <v>79</v>
      </c>
      <c r="G223" s="33" t="s">
        <v>79</v>
      </c>
      <c r="H223" s="33" t="s">
        <v>79</v>
      </c>
      <c r="I223" s="33" t="s">
        <v>79</v>
      </c>
      <c r="J223" s="33" t="s">
        <v>79</v>
      </c>
      <c r="K223" s="33" t="s">
        <v>79</v>
      </c>
      <c r="L223" s="33" t="s">
        <v>79</v>
      </c>
      <c r="M223" s="33" t="s">
        <v>79</v>
      </c>
      <c r="N223" s="33" t="s">
        <v>79</v>
      </c>
      <c r="O223" s="33" t="s">
        <v>79</v>
      </c>
      <c r="P223" s="33" t="s">
        <v>79</v>
      </c>
      <c r="Q223" s="33" t="s">
        <v>79</v>
      </c>
      <c r="R223" s="33" t="s">
        <v>79</v>
      </c>
      <c r="S223" s="33" t="s">
        <v>79</v>
      </c>
      <c r="T223" s="33" t="s">
        <v>79</v>
      </c>
      <c r="U223" s="33" t="s">
        <v>79</v>
      </c>
      <c r="V223" s="33" t="s">
        <v>79</v>
      </c>
      <c r="W223" s="33" t="s">
        <v>79</v>
      </c>
      <c r="X223" s="33" t="s">
        <v>79</v>
      </c>
      <c r="Y223" s="33" t="s">
        <v>79</v>
      </c>
      <c r="Z223" s="33" t="s">
        <v>79</v>
      </c>
      <c r="AA223" s="33" t="s">
        <v>79</v>
      </c>
      <c r="AB223" s="33" t="s">
        <v>79</v>
      </c>
      <c r="AC223" s="33" t="s">
        <v>79</v>
      </c>
      <c r="AD223" s="33" t="s">
        <v>79</v>
      </c>
      <c r="AE223" s="33" t="s">
        <v>79</v>
      </c>
      <c r="AF223" s="6">
        <v>379</v>
      </c>
      <c r="AG223" s="6"/>
      <c r="AH223" s="35">
        <f t="shared" si="78"/>
        <v>229</v>
      </c>
      <c r="AI223" s="35">
        <v>599</v>
      </c>
      <c r="AJ223" s="35"/>
      <c r="AK223" s="35">
        <f t="shared" si="79"/>
        <v>220</v>
      </c>
      <c r="AL223" s="6"/>
      <c r="AM223" s="6"/>
      <c r="AN223" s="35"/>
      <c r="AO223" s="6">
        <v>827</v>
      </c>
      <c r="AP223" s="6"/>
      <c r="AQ223" s="34">
        <f t="shared" si="80"/>
        <v>228</v>
      </c>
      <c r="AR223" s="35">
        <v>100</v>
      </c>
      <c r="AS223" s="35">
        <v>954</v>
      </c>
      <c r="AT223" s="35">
        <f t="shared" si="81"/>
        <v>227</v>
      </c>
      <c r="AU223" s="6">
        <v>314</v>
      </c>
      <c r="AV223" s="6"/>
      <c r="AW223" s="35">
        <f t="shared" si="82"/>
        <v>214</v>
      </c>
      <c r="AX223" s="6">
        <v>541</v>
      </c>
      <c r="AY223" s="6"/>
      <c r="AZ223" s="35">
        <f t="shared" si="83"/>
        <v>227</v>
      </c>
      <c r="BA223" s="35">
        <v>769</v>
      </c>
      <c r="BB223" s="35"/>
      <c r="BC223" s="35">
        <f t="shared" si="84"/>
        <v>228</v>
      </c>
      <c r="BD223" s="35">
        <v>176</v>
      </c>
      <c r="BE223" s="6">
        <v>813</v>
      </c>
      <c r="BF223" s="35">
        <f t="shared" si="85"/>
        <v>220</v>
      </c>
      <c r="BG223" s="6"/>
      <c r="BH223" s="35"/>
      <c r="BI223" s="6"/>
      <c r="BJ223" s="35">
        <v>398</v>
      </c>
      <c r="BK223" s="35"/>
      <c r="BL223" s="6">
        <f t="shared" si="86"/>
        <v>222</v>
      </c>
      <c r="BM223" s="35">
        <v>213</v>
      </c>
      <c r="BN223" s="35">
        <v>413</v>
      </c>
      <c r="BO223" s="6">
        <f t="shared" si="87"/>
        <v>228</v>
      </c>
      <c r="BP223" s="35">
        <v>441</v>
      </c>
      <c r="BQ223" s="35"/>
      <c r="BR223" s="35">
        <f t="shared" si="88"/>
        <v>228</v>
      </c>
      <c r="BS223" s="35">
        <v>670</v>
      </c>
      <c r="BT223" s="35"/>
      <c r="BU223" s="6">
        <f t="shared" si="89"/>
        <v>229</v>
      </c>
      <c r="BV223" s="35">
        <v>91</v>
      </c>
      <c r="BW223" s="35">
        <v>800</v>
      </c>
      <c r="BX223" s="35">
        <f t="shared" si="90"/>
        <v>221</v>
      </c>
      <c r="BY223" s="35">
        <v>311</v>
      </c>
      <c r="BZ223" s="6"/>
      <c r="CA223" s="6">
        <f t="shared" si="91"/>
        <v>220</v>
      </c>
      <c r="CB223" s="6"/>
      <c r="CC223" s="6"/>
      <c r="CD223" s="6"/>
      <c r="CE223" s="6">
        <v>543</v>
      </c>
      <c r="CF223" s="6"/>
      <c r="CG223" s="6">
        <f t="shared" si="92"/>
        <v>232</v>
      </c>
      <c r="CH223" s="6">
        <v>775</v>
      </c>
      <c r="CI223" s="6"/>
      <c r="CJ223" s="6">
        <f t="shared" si="93"/>
        <v>232</v>
      </c>
      <c r="CK223" s="6">
        <v>204</v>
      </c>
      <c r="CL223" s="6">
        <v>800</v>
      </c>
      <c r="CM223" s="6">
        <f t="shared" si="94"/>
        <v>229</v>
      </c>
      <c r="CN223" s="6">
        <v>434</v>
      </c>
      <c r="CO223" s="6"/>
      <c r="CP223" s="6">
        <f t="shared" si="95"/>
        <v>230</v>
      </c>
      <c r="CQ223" s="6">
        <v>666</v>
      </c>
      <c r="CR223" s="6"/>
      <c r="CS223" s="6">
        <f t="shared" si="96"/>
        <v>232</v>
      </c>
      <c r="CT223" s="6">
        <v>875</v>
      </c>
      <c r="CU223" s="6"/>
      <c r="CV223" s="6">
        <f t="shared" si="97"/>
        <v>209</v>
      </c>
      <c r="CW223" s="6"/>
      <c r="CX223" s="6"/>
      <c r="CY223" s="6"/>
      <c r="CZ223" s="6">
        <v>0</v>
      </c>
      <c r="DA223" s="6">
        <v>1001</v>
      </c>
      <c r="DB223" s="6">
        <f t="shared" si="98"/>
        <v>126</v>
      </c>
      <c r="DC223" s="6">
        <v>0</v>
      </c>
      <c r="DD223" s="6"/>
      <c r="DE223" s="6">
        <f t="shared" si="99"/>
        <v>0</v>
      </c>
      <c r="DF223" s="6">
        <v>0</v>
      </c>
      <c r="DG223" s="10"/>
      <c r="DH223" s="6">
        <f t="shared" si="100"/>
        <v>0</v>
      </c>
      <c r="DI223" s="6">
        <v>0</v>
      </c>
      <c r="DJ223" s="10"/>
      <c r="DK223" s="6">
        <f t="shared" si="101"/>
        <v>0</v>
      </c>
      <c r="DL223" s="6">
        <v>0</v>
      </c>
      <c r="DM223" s="10"/>
      <c r="DN223" s="6">
        <f t="shared" si="102"/>
        <v>0</v>
      </c>
      <c r="DO223" s="6">
        <v>0</v>
      </c>
      <c r="DP223" s="10"/>
      <c r="DQ223" s="6">
        <f t="shared" si="103"/>
        <v>0</v>
      </c>
    </row>
    <row r="224" spans="1:121">
      <c r="A224" s="6">
        <v>220</v>
      </c>
      <c r="B224" s="6">
        <v>116</v>
      </c>
      <c r="C224" s="10">
        <v>824</v>
      </c>
      <c r="D224" s="6">
        <v>237</v>
      </c>
      <c r="E224" s="141" t="s">
        <v>75</v>
      </c>
      <c r="F224" s="141" t="s">
        <v>75</v>
      </c>
      <c r="G224" s="141" t="s">
        <v>75</v>
      </c>
      <c r="H224" s="141" t="s">
        <v>75</v>
      </c>
      <c r="I224" s="141" t="s">
        <v>75</v>
      </c>
      <c r="J224" s="141" t="s">
        <v>75</v>
      </c>
      <c r="K224" s="141" t="s">
        <v>75</v>
      </c>
      <c r="L224" s="141" t="s">
        <v>75</v>
      </c>
      <c r="M224" s="141" t="s">
        <v>75</v>
      </c>
      <c r="N224" s="141" t="s">
        <v>75</v>
      </c>
      <c r="O224" s="141" t="s">
        <v>75</v>
      </c>
      <c r="P224" s="141" t="s">
        <v>75</v>
      </c>
      <c r="Q224" s="141" t="s">
        <v>75</v>
      </c>
      <c r="R224" s="141" t="s">
        <v>75</v>
      </c>
      <c r="S224" s="141" t="s">
        <v>75</v>
      </c>
      <c r="T224" s="141" t="s">
        <v>75</v>
      </c>
      <c r="U224" s="141" t="s">
        <v>75</v>
      </c>
      <c r="V224" s="141" t="s">
        <v>75</v>
      </c>
      <c r="W224" s="141" t="s">
        <v>75</v>
      </c>
      <c r="X224" s="141" t="s">
        <v>75</v>
      </c>
      <c r="Y224" s="141" t="s">
        <v>75</v>
      </c>
      <c r="Z224" s="141" t="s">
        <v>75</v>
      </c>
      <c r="AA224" s="141" t="s">
        <v>75</v>
      </c>
      <c r="AB224" s="141" t="s">
        <v>75</v>
      </c>
      <c r="AC224" s="141" t="s">
        <v>75</v>
      </c>
      <c r="AD224" s="141" t="s">
        <v>75</v>
      </c>
      <c r="AE224" s="141" t="s">
        <v>75</v>
      </c>
      <c r="AF224" s="6">
        <v>362</v>
      </c>
      <c r="AG224" s="6"/>
      <c r="AH224" s="35">
        <f t="shared" si="78"/>
        <v>246</v>
      </c>
      <c r="AI224" s="35">
        <v>599</v>
      </c>
      <c r="AJ224" s="35"/>
      <c r="AK224" s="35">
        <f t="shared" si="79"/>
        <v>237</v>
      </c>
      <c r="AL224" s="6"/>
      <c r="AM224" s="6"/>
      <c r="AN224" s="35"/>
      <c r="AO224" s="6">
        <v>846</v>
      </c>
      <c r="AP224" s="6"/>
      <c r="AQ224" s="34">
        <f t="shared" si="80"/>
        <v>247</v>
      </c>
      <c r="AR224" s="35">
        <v>1076</v>
      </c>
      <c r="AS224" s="35"/>
      <c r="AT224" s="35">
        <f t="shared" si="81"/>
        <v>230</v>
      </c>
      <c r="AU224" s="6">
        <v>201</v>
      </c>
      <c r="AV224" s="6">
        <v>1100</v>
      </c>
      <c r="AW224" s="35">
        <f t="shared" si="82"/>
        <v>225</v>
      </c>
      <c r="AX224" s="6">
        <v>257</v>
      </c>
      <c r="AY224" s="6"/>
      <c r="AZ224" s="35">
        <f t="shared" si="83"/>
        <v>56</v>
      </c>
      <c r="BA224" s="35">
        <v>309</v>
      </c>
      <c r="BB224" s="35"/>
      <c r="BC224" s="35">
        <f t="shared" si="84"/>
        <v>52</v>
      </c>
      <c r="BD224" s="35">
        <v>309</v>
      </c>
      <c r="BE224" s="6"/>
      <c r="BF224" s="35">
        <f t="shared" si="85"/>
        <v>0</v>
      </c>
      <c r="BG224" s="6"/>
      <c r="BH224" s="35"/>
      <c r="BI224" s="6"/>
      <c r="BJ224" s="35">
        <v>309</v>
      </c>
      <c r="BK224" s="35"/>
      <c r="BL224" s="6">
        <f t="shared" si="86"/>
        <v>0</v>
      </c>
      <c r="BM224" s="35">
        <v>538</v>
      </c>
      <c r="BN224" s="35"/>
      <c r="BO224" s="6">
        <f t="shared" si="87"/>
        <v>229</v>
      </c>
      <c r="BP224" s="35">
        <v>772</v>
      </c>
      <c r="BQ224" s="35"/>
      <c r="BR224" s="35">
        <f t="shared" si="88"/>
        <v>234</v>
      </c>
      <c r="BS224" s="35">
        <v>1008</v>
      </c>
      <c r="BT224" s="35"/>
      <c r="BU224" s="6">
        <f t="shared" si="89"/>
        <v>236</v>
      </c>
      <c r="BV224" s="35">
        <v>143</v>
      </c>
      <c r="BW224" s="35">
        <v>1100</v>
      </c>
      <c r="BX224" s="35">
        <f t="shared" si="90"/>
        <v>235</v>
      </c>
      <c r="BY224" s="35">
        <v>367</v>
      </c>
      <c r="BZ224" s="6"/>
      <c r="CA224" s="6">
        <f t="shared" si="91"/>
        <v>224</v>
      </c>
      <c r="CB224" s="6"/>
      <c r="CC224" s="6"/>
      <c r="CD224" s="6"/>
      <c r="CE224" s="6">
        <v>601</v>
      </c>
      <c r="CF224" s="6"/>
      <c r="CG224" s="6">
        <f t="shared" si="92"/>
        <v>234</v>
      </c>
      <c r="CH224" s="6">
        <v>836</v>
      </c>
      <c r="CI224" s="6"/>
      <c r="CJ224" s="6">
        <f t="shared" si="93"/>
        <v>235</v>
      </c>
      <c r="CK224" s="6">
        <v>1071</v>
      </c>
      <c r="CL224" s="6"/>
      <c r="CM224" s="6">
        <f t="shared" si="94"/>
        <v>235</v>
      </c>
      <c r="CN224" s="6">
        <v>207</v>
      </c>
      <c r="CO224" s="6">
        <v>1100</v>
      </c>
      <c r="CP224" s="6">
        <f t="shared" si="95"/>
        <v>236</v>
      </c>
      <c r="CQ224" s="6">
        <v>441</v>
      </c>
      <c r="CR224" s="6"/>
      <c r="CS224" s="6">
        <f t="shared" si="96"/>
        <v>234</v>
      </c>
      <c r="CT224" s="6">
        <v>0</v>
      </c>
      <c r="CU224" s="6">
        <v>595</v>
      </c>
      <c r="CV224" s="6">
        <f t="shared" si="97"/>
        <v>154</v>
      </c>
      <c r="CW224" s="6"/>
      <c r="CX224" s="6"/>
      <c r="CY224" s="6"/>
      <c r="CZ224" s="6">
        <v>0</v>
      </c>
      <c r="DA224" s="6"/>
      <c r="DB224" s="6">
        <f t="shared" si="98"/>
        <v>0</v>
      </c>
      <c r="DC224" s="6">
        <v>0</v>
      </c>
      <c r="DD224" s="6"/>
      <c r="DE224" s="6">
        <f t="shared" si="99"/>
        <v>0</v>
      </c>
      <c r="DF224" s="6">
        <v>0</v>
      </c>
      <c r="DG224" s="10"/>
      <c r="DH224" s="6">
        <f t="shared" si="100"/>
        <v>0</v>
      </c>
      <c r="DI224" s="6">
        <v>0</v>
      </c>
      <c r="DJ224" s="10"/>
      <c r="DK224" s="6">
        <f t="shared" si="101"/>
        <v>0</v>
      </c>
      <c r="DL224" s="6">
        <v>0</v>
      </c>
      <c r="DM224" s="10"/>
      <c r="DN224" s="6">
        <f t="shared" si="102"/>
        <v>0</v>
      </c>
      <c r="DO224" s="6">
        <v>0</v>
      </c>
      <c r="DP224" s="10"/>
      <c r="DQ224" s="6">
        <f t="shared" si="103"/>
        <v>0</v>
      </c>
    </row>
    <row r="225" spans="1:121">
      <c r="A225" s="6">
        <v>221</v>
      </c>
      <c r="B225" s="6">
        <v>637</v>
      </c>
      <c r="C225" s="10"/>
      <c r="D225" s="6">
        <v>240</v>
      </c>
      <c r="E225" s="33" t="s">
        <v>75</v>
      </c>
      <c r="F225" s="33" t="s">
        <v>75</v>
      </c>
      <c r="G225" s="33" t="s">
        <v>75</v>
      </c>
      <c r="H225" s="33" t="s">
        <v>75</v>
      </c>
      <c r="I225" s="33" t="s">
        <v>75</v>
      </c>
      <c r="J225" s="33" t="s">
        <v>75</v>
      </c>
      <c r="K225" s="33" t="s">
        <v>75</v>
      </c>
      <c r="L225" s="33" t="s">
        <v>75</v>
      </c>
      <c r="M225" s="33" t="s">
        <v>75</v>
      </c>
      <c r="N225" s="33" t="s">
        <v>75</v>
      </c>
      <c r="O225" s="33" t="s">
        <v>75</v>
      </c>
      <c r="P225" s="33" t="s">
        <v>75</v>
      </c>
      <c r="Q225" s="33" t="s">
        <v>75</v>
      </c>
      <c r="R225" s="33" t="s">
        <v>75</v>
      </c>
      <c r="S225" s="33" t="s">
        <v>75</v>
      </c>
      <c r="T225" s="33" t="s">
        <v>75</v>
      </c>
      <c r="U225" s="33" t="s">
        <v>75</v>
      </c>
      <c r="V225" s="33" t="s">
        <v>75</v>
      </c>
      <c r="W225" s="33" t="s">
        <v>75</v>
      </c>
      <c r="X225" s="33" t="s">
        <v>75</v>
      </c>
      <c r="Y225" s="33" t="s">
        <v>75</v>
      </c>
      <c r="Z225" s="33" t="s">
        <v>75</v>
      </c>
      <c r="AA225" s="33" t="s">
        <v>75</v>
      </c>
      <c r="AB225" s="33" t="s">
        <v>75</v>
      </c>
      <c r="AC225" s="33" t="s">
        <v>75</v>
      </c>
      <c r="AD225" s="33" t="s">
        <v>75</v>
      </c>
      <c r="AE225" s="33" t="s">
        <v>75</v>
      </c>
      <c r="AF225" s="6">
        <v>886</v>
      </c>
      <c r="AG225" s="6"/>
      <c r="AH225" s="35">
        <f t="shared" si="78"/>
        <v>249</v>
      </c>
      <c r="AI225" s="35">
        <v>26</v>
      </c>
      <c r="AJ225" s="35">
        <v>1100</v>
      </c>
      <c r="AK225" s="35">
        <f t="shared" si="79"/>
        <v>240</v>
      </c>
      <c r="AL225" s="6"/>
      <c r="AM225" s="6"/>
      <c r="AN225" s="35"/>
      <c r="AO225" s="6">
        <v>275</v>
      </c>
      <c r="AP225" s="6"/>
      <c r="AQ225" s="34">
        <f t="shared" si="80"/>
        <v>249</v>
      </c>
      <c r="AR225" s="35">
        <v>516</v>
      </c>
      <c r="AS225" s="35"/>
      <c r="AT225" s="35">
        <f t="shared" si="81"/>
        <v>241</v>
      </c>
      <c r="AU225" s="6">
        <v>749</v>
      </c>
      <c r="AV225" s="6"/>
      <c r="AW225" s="35">
        <f t="shared" si="82"/>
        <v>233</v>
      </c>
      <c r="AX225" s="6">
        <v>874</v>
      </c>
      <c r="AY225" s="6"/>
      <c r="AZ225" s="35">
        <f t="shared" si="83"/>
        <v>125</v>
      </c>
      <c r="BA225" s="35">
        <v>7</v>
      </c>
      <c r="BB225" s="35">
        <v>1100</v>
      </c>
      <c r="BC225" s="35">
        <f t="shared" si="84"/>
        <v>233</v>
      </c>
      <c r="BD225" s="35">
        <v>232</v>
      </c>
      <c r="BE225" s="6"/>
      <c r="BF225" s="35">
        <f t="shared" si="85"/>
        <v>225</v>
      </c>
      <c r="BG225" s="6"/>
      <c r="BH225" s="35"/>
      <c r="BI225" s="6"/>
      <c r="BJ225" s="35">
        <v>0</v>
      </c>
      <c r="BK225" s="35">
        <v>351</v>
      </c>
      <c r="BL225" s="6">
        <f t="shared" si="86"/>
        <v>119</v>
      </c>
      <c r="BM225" s="35">
        <v>0</v>
      </c>
      <c r="BN225" s="35"/>
      <c r="BO225" s="6">
        <f t="shared" si="87"/>
        <v>0</v>
      </c>
      <c r="BP225" s="35">
        <v>0</v>
      </c>
      <c r="BQ225" s="35"/>
      <c r="BR225" s="35">
        <f t="shared" si="88"/>
        <v>0</v>
      </c>
      <c r="BS225" s="35">
        <v>0</v>
      </c>
      <c r="BT225" s="35"/>
      <c r="BU225" s="6">
        <f t="shared" si="89"/>
        <v>0</v>
      </c>
      <c r="BV225" s="6">
        <v>0</v>
      </c>
      <c r="BW225" s="35"/>
      <c r="BX225" s="35">
        <f t="shared" si="90"/>
        <v>0</v>
      </c>
      <c r="BY225" s="35">
        <v>0</v>
      </c>
      <c r="BZ225" s="6"/>
      <c r="CA225" s="6">
        <f t="shared" si="91"/>
        <v>0</v>
      </c>
      <c r="CB225" s="6"/>
      <c r="CC225" s="6"/>
      <c r="CD225" s="6"/>
      <c r="CE225" s="6">
        <v>0</v>
      </c>
      <c r="CF225" s="6"/>
      <c r="CG225" s="6">
        <f t="shared" si="92"/>
        <v>0</v>
      </c>
      <c r="CH225" s="6">
        <v>0</v>
      </c>
      <c r="CI225" s="6"/>
      <c r="CJ225" s="6">
        <f t="shared" si="93"/>
        <v>0</v>
      </c>
      <c r="CK225" s="6">
        <v>0</v>
      </c>
      <c r="CL225" s="6"/>
      <c r="CM225" s="6">
        <f t="shared" si="94"/>
        <v>0</v>
      </c>
      <c r="CN225" s="6">
        <v>0</v>
      </c>
      <c r="CO225" s="6"/>
      <c r="CP225" s="6">
        <f t="shared" si="95"/>
        <v>0</v>
      </c>
      <c r="CQ225" s="6">
        <v>0</v>
      </c>
      <c r="CR225" s="6"/>
      <c r="CS225" s="6">
        <f t="shared" si="96"/>
        <v>0</v>
      </c>
      <c r="CT225" s="6">
        <v>0</v>
      </c>
      <c r="CU225" s="6"/>
      <c r="CV225" s="6">
        <f t="shared" si="97"/>
        <v>0</v>
      </c>
      <c r="CW225" s="6"/>
      <c r="CX225" s="6"/>
      <c r="CY225" s="6"/>
      <c r="CZ225" s="6">
        <v>0</v>
      </c>
      <c r="DA225" s="6"/>
      <c r="DB225" s="6">
        <f t="shared" si="98"/>
        <v>0</v>
      </c>
      <c r="DC225" s="6">
        <v>0</v>
      </c>
      <c r="DD225" s="6"/>
      <c r="DE225" s="6">
        <f t="shared" si="99"/>
        <v>0</v>
      </c>
      <c r="DF225" s="6">
        <v>0</v>
      </c>
      <c r="DG225" s="10"/>
      <c r="DH225" s="6">
        <f t="shared" si="100"/>
        <v>0</v>
      </c>
      <c r="DI225" s="6">
        <v>0</v>
      </c>
      <c r="DJ225" s="10"/>
      <c r="DK225" s="6">
        <f t="shared" si="101"/>
        <v>0</v>
      </c>
      <c r="DL225" s="6">
        <v>0</v>
      </c>
      <c r="DM225" s="10"/>
      <c r="DN225" s="6">
        <f t="shared" si="102"/>
        <v>0</v>
      </c>
      <c r="DO225" s="6">
        <v>0</v>
      </c>
      <c r="DP225" s="10"/>
      <c r="DQ225" s="6">
        <f t="shared" si="103"/>
        <v>0</v>
      </c>
    </row>
    <row r="226" spans="1:121">
      <c r="A226" s="6">
        <v>222</v>
      </c>
      <c r="B226" s="6">
        <v>0</v>
      </c>
      <c r="C226" s="10">
        <v>692</v>
      </c>
      <c r="D226" s="6">
        <v>193</v>
      </c>
      <c r="E226" s="33" t="s">
        <v>75</v>
      </c>
      <c r="F226" s="148" t="s">
        <v>79</v>
      </c>
      <c r="G226" s="33" t="s">
        <v>79</v>
      </c>
      <c r="H226" s="33" t="s">
        <v>79</v>
      </c>
      <c r="I226" s="33" t="s">
        <v>79</v>
      </c>
      <c r="J226" s="33" t="s">
        <v>79</v>
      </c>
      <c r="K226" s="33" t="s">
        <v>79</v>
      </c>
      <c r="L226" s="33" t="s">
        <v>79</v>
      </c>
      <c r="M226" s="33" t="s">
        <v>79</v>
      </c>
      <c r="N226" s="33" t="s">
        <v>79</v>
      </c>
      <c r="O226" s="33" t="s">
        <v>79</v>
      </c>
      <c r="P226" s="33" t="s">
        <v>79</v>
      </c>
      <c r="Q226" s="33" t="s">
        <v>79</v>
      </c>
      <c r="R226" s="33" t="s">
        <v>79</v>
      </c>
      <c r="S226" s="33" t="s">
        <v>79</v>
      </c>
      <c r="T226" s="33" t="s">
        <v>79</v>
      </c>
      <c r="U226" s="33" t="s">
        <v>79</v>
      </c>
      <c r="V226" s="33" t="s">
        <v>79</v>
      </c>
      <c r="W226" s="33" t="s">
        <v>79</v>
      </c>
      <c r="X226" s="33" t="s">
        <v>79</v>
      </c>
      <c r="Y226" s="33" t="s">
        <v>79</v>
      </c>
      <c r="Z226" s="33" t="s">
        <v>79</v>
      </c>
      <c r="AA226" s="33" t="s">
        <v>79</v>
      </c>
      <c r="AB226" s="33" t="s">
        <v>79</v>
      </c>
      <c r="AC226" s="33" t="s">
        <v>79</v>
      </c>
      <c r="AD226" s="33" t="s">
        <v>79</v>
      </c>
      <c r="AE226" s="33" t="s">
        <v>79</v>
      </c>
      <c r="AF226" s="6">
        <v>221</v>
      </c>
      <c r="AG226" s="6"/>
      <c r="AH226" s="35">
        <f t="shared" si="78"/>
        <v>221</v>
      </c>
      <c r="AI226" s="35">
        <v>441</v>
      </c>
      <c r="AJ226" s="35"/>
      <c r="AK226" s="35">
        <f t="shared" si="79"/>
        <v>220</v>
      </c>
      <c r="AL226" s="6"/>
      <c r="AM226" s="6"/>
      <c r="AN226" s="35"/>
      <c r="AO226" s="6">
        <v>670</v>
      </c>
      <c r="AP226" s="6"/>
      <c r="AQ226" s="34">
        <f t="shared" si="80"/>
        <v>229</v>
      </c>
      <c r="AR226" s="35">
        <v>157</v>
      </c>
      <c r="AS226" s="35">
        <v>723</v>
      </c>
      <c r="AT226" s="35">
        <f t="shared" si="81"/>
        <v>210</v>
      </c>
      <c r="AU226" s="6">
        <v>366</v>
      </c>
      <c r="AV226" s="6"/>
      <c r="AW226" s="35">
        <f t="shared" si="82"/>
        <v>209</v>
      </c>
      <c r="AX226" s="6">
        <v>595</v>
      </c>
      <c r="AY226" s="6"/>
      <c r="AZ226" s="35">
        <f t="shared" si="83"/>
        <v>229</v>
      </c>
      <c r="BA226" s="35">
        <v>826</v>
      </c>
      <c r="BB226" s="35"/>
      <c r="BC226" s="35">
        <f t="shared" si="84"/>
        <v>231</v>
      </c>
      <c r="BD226" s="35">
        <v>1047</v>
      </c>
      <c r="BE226" s="6"/>
      <c r="BF226" s="35">
        <f t="shared" si="85"/>
        <v>221</v>
      </c>
      <c r="BG226" s="6"/>
      <c r="BH226" s="35"/>
      <c r="BI226" s="6"/>
      <c r="BJ226" s="35">
        <v>173</v>
      </c>
      <c r="BK226" s="35">
        <v>1100</v>
      </c>
      <c r="BL226" s="6">
        <f t="shared" si="86"/>
        <v>226</v>
      </c>
      <c r="BM226" s="35">
        <v>406</v>
      </c>
      <c r="BN226" s="35"/>
      <c r="BO226" s="6">
        <f t="shared" si="87"/>
        <v>233</v>
      </c>
      <c r="BP226" s="35">
        <v>635</v>
      </c>
      <c r="BQ226" s="35"/>
      <c r="BR226" s="35">
        <f t="shared" si="88"/>
        <v>229</v>
      </c>
      <c r="BS226" s="35">
        <v>235</v>
      </c>
      <c r="BT226" s="35">
        <v>635</v>
      </c>
      <c r="BU226" s="6">
        <f t="shared" si="89"/>
        <v>235</v>
      </c>
      <c r="BV226" s="6">
        <v>469</v>
      </c>
      <c r="BW226" s="35"/>
      <c r="BX226" s="35">
        <f t="shared" si="90"/>
        <v>234</v>
      </c>
      <c r="BY226" s="35">
        <v>139</v>
      </c>
      <c r="BZ226" s="6">
        <v>549</v>
      </c>
      <c r="CA226" s="6">
        <f t="shared" si="91"/>
        <v>219</v>
      </c>
      <c r="CB226" s="6"/>
      <c r="CC226" s="6"/>
      <c r="CD226" s="6"/>
      <c r="CE226" s="6">
        <v>370</v>
      </c>
      <c r="CF226" s="6"/>
      <c r="CG226" s="6">
        <f t="shared" si="92"/>
        <v>231</v>
      </c>
      <c r="CH226" s="6">
        <v>600</v>
      </c>
      <c r="CI226" s="6"/>
      <c r="CJ226" s="6">
        <f t="shared" si="93"/>
        <v>230</v>
      </c>
      <c r="CK226" s="6">
        <v>31</v>
      </c>
      <c r="CL226" s="6">
        <v>800</v>
      </c>
      <c r="CM226" s="6">
        <f t="shared" si="94"/>
        <v>231</v>
      </c>
      <c r="CN226" s="6">
        <v>263</v>
      </c>
      <c r="CO226" s="6"/>
      <c r="CP226" s="6">
        <f t="shared" si="95"/>
        <v>232</v>
      </c>
      <c r="CQ226" s="6">
        <v>494</v>
      </c>
      <c r="CR226" s="6"/>
      <c r="CS226" s="6">
        <f t="shared" si="96"/>
        <v>231</v>
      </c>
      <c r="CT226" s="6">
        <v>710</v>
      </c>
      <c r="CU226" s="6"/>
      <c r="CV226" s="6">
        <f t="shared" si="97"/>
        <v>216</v>
      </c>
      <c r="CW226" s="6"/>
      <c r="CX226" s="6"/>
      <c r="CY226" s="6"/>
      <c r="CZ226" s="6">
        <v>940</v>
      </c>
      <c r="DA226" s="6"/>
      <c r="DB226" s="6">
        <f t="shared" si="98"/>
        <v>230</v>
      </c>
      <c r="DC226" s="6">
        <v>0</v>
      </c>
      <c r="DD226" s="6">
        <v>991</v>
      </c>
      <c r="DE226" s="6">
        <f t="shared" si="99"/>
        <v>51</v>
      </c>
      <c r="DF226" s="6">
        <v>0</v>
      </c>
      <c r="DG226" s="10"/>
      <c r="DH226" s="6">
        <f t="shared" si="100"/>
        <v>0</v>
      </c>
      <c r="DI226" s="6">
        <v>0</v>
      </c>
      <c r="DJ226" s="10"/>
      <c r="DK226" s="6">
        <f t="shared" si="101"/>
        <v>0</v>
      </c>
      <c r="DL226" s="6">
        <v>0</v>
      </c>
      <c r="DM226" s="10"/>
      <c r="DN226" s="6">
        <f t="shared" si="102"/>
        <v>0</v>
      </c>
      <c r="DO226" s="6">
        <v>0</v>
      </c>
      <c r="DP226" s="10"/>
      <c r="DQ226" s="6">
        <f t="shared" si="103"/>
        <v>0</v>
      </c>
    </row>
    <row r="227" spans="1:121">
      <c r="A227" s="6">
        <v>223</v>
      </c>
      <c r="B227" s="6">
        <v>643</v>
      </c>
      <c r="C227" s="10"/>
      <c r="D227" s="6">
        <v>234</v>
      </c>
      <c r="E227" s="141" t="s">
        <v>75</v>
      </c>
      <c r="F227" s="141" t="s">
        <v>75</v>
      </c>
      <c r="G227" s="141" t="s">
        <v>75</v>
      </c>
      <c r="H227" s="141" t="s">
        <v>75</v>
      </c>
      <c r="I227" s="141" t="s">
        <v>75</v>
      </c>
      <c r="J227" s="163" t="s">
        <v>79</v>
      </c>
      <c r="K227" s="141" t="s">
        <v>79</v>
      </c>
      <c r="L227" s="141" t="s">
        <v>79</v>
      </c>
      <c r="M227" s="141" t="s">
        <v>79</v>
      </c>
      <c r="N227" s="141" t="s">
        <v>79</v>
      </c>
      <c r="O227" s="141" t="s">
        <v>79</v>
      </c>
      <c r="P227" s="141" t="s">
        <v>79</v>
      </c>
      <c r="Q227" s="141" t="s">
        <v>79</v>
      </c>
      <c r="R227" s="141" t="s">
        <v>79</v>
      </c>
      <c r="S227" s="141" t="s">
        <v>79</v>
      </c>
      <c r="T227" s="141" t="s">
        <v>79</v>
      </c>
      <c r="U227" s="141" t="s">
        <v>79</v>
      </c>
      <c r="V227" s="141" t="s">
        <v>79</v>
      </c>
      <c r="W227" s="141" t="s">
        <v>79</v>
      </c>
      <c r="X227" s="141" t="s">
        <v>79</v>
      </c>
      <c r="Y227" s="141" t="s">
        <v>79</v>
      </c>
      <c r="Z227" s="141" t="s">
        <v>79</v>
      </c>
      <c r="AA227" s="141" t="s">
        <v>79</v>
      </c>
      <c r="AB227" s="141" t="s">
        <v>79</v>
      </c>
      <c r="AC227" s="141" t="s">
        <v>79</v>
      </c>
      <c r="AD227" s="141" t="s">
        <v>79</v>
      </c>
      <c r="AE227" s="141" t="s">
        <v>79</v>
      </c>
      <c r="AF227" s="6">
        <v>886</v>
      </c>
      <c r="AG227" s="6"/>
      <c r="AH227" s="35">
        <f t="shared" si="78"/>
        <v>243</v>
      </c>
      <c r="AI227" s="35">
        <v>21</v>
      </c>
      <c r="AJ227" s="35">
        <v>1100</v>
      </c>
      <c r="AK227" s="35">
        <f t="shared" si="79"/>
        <v>235</v>
      </c>
      <c r="AL227" s="6"/>
      <c r="AM227" s="6"/>
      <c r="AN227" s="35"/>
      <c r="AO227" s="6">
        <v>262</v>
      </c>
      <c r="AP227" s="6"/>
      <c r="AQ227" s="34">
        <f t="shared" si="80"/>
        <v>241</v>
      </c>
      <c r="AR227" s="35">
        <v>0</v>
      </c>
      <c r="AS227" s="35">
        <v>364</v>
      </c>
      <c r="AT227" s="35">
        <f t="shared" si="81"/>
        <v>102</v>
      </c>
      <c r="AU227" s="6">
        <v>224</v>
      </c>
      <c r="AV227" s="6"/>
      <c r="AW227" s="35">
        <f t="shared" si="82"/>
        <v>224</v>
      </c>
      <c r="AX227" s="6">
        <v>457</v>
      </c>
      <c r="AY227" s="6"/>
      <c r="AZ227" s="35">
        <f t="shared" si="83"/>
        <v>233</v>
      </c>
      <c r="BA227" s="35">
        <v>687</v>
      </c>
      <c r="BB227" s="35"/>
      <c r="BC227" s="35">
        <f t="shared" si="84"/>
        <v>230</v>
      </c>
      <c r="BD227" s="35">
        <v>908</v>
      </c>
      <c r="BE227" s="6"/>
      <c r="BF227" s="35">
        <f t="shared" si="85"/>
        <v>221</v>
      </c>
      <c r="BG227" s="6"/>
      <c r="BH227" s="35"/>
      <c r="BI227" s="6"/>
      <c r="BJ227" s="35">
        <v>154</v>
      </c>
      <c r="BK227" s="35">
        <v>984</v>
      </c>
      <c r="BL227" s="6">
        <f t="shared" si="86"/>
        <v>230</v>
      </c>
      <c r="BM227" s="35">
        <v>386</v>
      </c>
      <c r="BN227" s="35"/>
      <c r="BO227" s="6">
        <f t="shared" si="87"/>
        <v>232</v>
      </c>
      <c r="BP227" s="35">
        <v>613</v>
      </c>
      <c r="BQ227" s="35"/>
      <c r="BR227" s="35">
        <f t="shared" si="88"/>
        <v>227</v>
      </c>
      <c r="BS227" s="35">
        <v>47</v>
      </c>
      <c r="BT227" s="35">
        <v>800</v>
      </c>
      <c r="BU227" s="6">
        <f t="shared" si="89"/>
        <v>234</v>
      </c>
      <c r="BV227" s="6">
        <v>279</v>
      </c>
      <c r="BW227" s="35"/>
      <c r="BX227" s="35">
        <f t="shared" si="90"/>
        <v>232</v>
      </c>
      <c r="BY227" s="35">
        <v>502</v>
      </c>
      <c r="BZ227" s="6"/>
      <c r="CA227" s="6">
        <f t="shared" si="91"/>
        <v>223</v>
      </c>
      <c r="CB227" s="6"/>
      <c r="CC227" s="6"/>
      <c r="CD227" s="6"/>
      <c r="CE227" s="6">
        <v>720</v>
      </c>
      <c r="CF227" s="6"/>
      <c r="CG227" s="6">
        <f t="shared" si="92"/>
        <v>218</v>
      </c>
      <c r="CH227" s="6">
        <v>152</v>
      </c>
      <c r="CI227" s="6">
        <v>800</v>
      </c>
      <c r="CJ227" s="6">
        <f t="shared" si="93"/>
        <v>232</v>
      </c>
      <c r="CK227" s="6">
        <v>382</v>
      </c>
      <c r="CL227" s="6"/>
      <c r="CM227" s="6">
        <f t="shared" si="94"/>
        <v>230</v>
      </c>
      <c r="CN227" s="6">
        <v>614</v>
      </c>
      <c r="CO227" s="6"/>
      <c r="CP227" s="6">
        <f t="shared" si="95"/>
        <v>232</v>
      </c>
      <c r="CQ227" s="6">
        <v>47</v>
      </c>
      <c r="CR227" s="6">
        <v>800</v>
      </c>
      <c r="CS227" s="6">
        <f t="shared" si="96"/>
        <v>233</v>
      </c>
      <c r="CT227" s="6">
        <v>74</v>
      </c>
      <c r="CU227" s="6">
        <v>194</v>
      </c>
      <c r="CV227" s="6">
        <f t="shared" si="97"/>
        <v>221</v>
      </c>
      <c r="CW227" s="6"/>
      <c r="CX227" s="6"/>
      <c r="CY227" s="6"/>
      <c r="CZ227" s="6">
        <v>296</v>
      </c>
      <c r="DA227" s="6"/>
      <c r="DB227" s="6">
        <f t="shared" si="98"/>
        <v>222</v>
      </c>
      <c r="DC227" s="6">
        <v>519</v>
      </c>
      <c r="DD227" s="6"/>
      <c r="DE227" s="6">
        <f t="shared" si="99"/>
        <v>223</v>
      </c>
      <c r="DF227" s="6">
        <v>744</v>
      </c>
      <c r="DG227" s="10"/>
      <c r="DH227" s="6">
        <f t="shared" si="100"/>
        <v>225</v>
      </c>
      <c r="DI227" s="6">
        <v>169</v>
      </c>
      <c r="DJ227" s="10">
        <v>800</v>
      </c>
      <c r="DK227" s="6">
        <f t="shared" si="101"/>
        <v>225</v>
      </c>
      <c r="DL227" s="6">
        <v>398</v>
      </c>
      <c r="DM227" s="10"/>
      <c r="DN227" s="6">
        <f t="shared" si="102"/>
        <v>229</v>
      </c>
      <c r="DO227" s="6">
        <v>0</v>
      </c>
      <c r="DP227" s="10">
        <v>430</v>
      </c>
      <c r="DQ227" s="6">
        <f t="shared" si="103"/>
        <v>32</v>
      </c>
    </row>
    <row r="228" spans="1:121">
      <c r="A228" s="6">
        <v>224</v>
      </c>
      <c r="B228" s="6">
        <v>338</v>
      </c>
      <c r="C228" s="10"/>
      <c r="D228" s="6">
        <v>241</v>
      </c>
      <c r="E228" s="33" t="s">
        <v>75</v>
      </c>
      <c r="F228" s="148" t="s">
        <v>79</v>
      </c>
      <c r="G228" s="33" t="s">
        <v>79</v>
      </c>
      <c r="H228" s="33" t="s">
        <v>79</v>
      </c>
      <c r="I228" s="33" t="s">
        <v>79</v>
      </c>
      <c r="J228" s="33" t="s">
        <v>79</v>
      </c>
      <c r="K228" s="33" t="s">
        <v>79</v>
      </c>
      <c r="L228" s="33" t="s">
        <v>79</v>
      </c>
      <c r="M228" s="33" t="s">
        <v>79</v>
      </c>
      <c r="N228" s="33" t="s">
        <v>79</v>
      </c>
      <c r="O228" s="33" t="s">
        <v>79</v>
      </c>
      <c r="P228" s="33" t="s">
        <v>79</v>
      </c>
      <c r="Q228" s="33" t="s">
        <v>79</v>
      </c>
      <c r="R228" s="33" t="s">
        <v>79</v>
      </c>
      <c r="S228" s="33" t="s">
        <v>79</v>
      </c>
      <c r="T228" s="33" t="s">
        <v>79</v>
      </c>
      <c r="U228" s="33" t="s">
        <v>79</v>
      </c>
      <c r="V228" s="33" t="s">
        <v>79</v>
      </c>
      <c r="W228" s="33" t="s">
        <v>79</v>
      </c>
      <c r="X228" s="33" t="s">
        <v>79</v>
      </c>
      <c r="Y228" s="33" t="s">
        <v>79</v>
      </c>
      <c r="Z228" s="33" t="s">
        <v>79</v>
      </c>
      <c r="AA228" s="33" t="s">
        <v>79</v>
      </c>
      <c r="AB228" s="33" t="s">
        <v>79</v>
      </c>
      <c r="AC228" s="33" t="s">
        <v>79</v>
      </c>
      <c r="AD228" s="33" t="s">
        <v>79</v>
      </c>
      <c r="AE228" s="33" t="s">
        <v>79</v>
      </c>
      <c r="AF228" s="6">
        <v>167</v>
      </c>
      <c r="AG228" s="6">
        <v>389</v>
      </c>
      <c r="AH228" s="35">
        <f t="shared" si="78"/>
        <v>218</v>
      </c>
      <c r="AI228" s="35">
        <v>386</v>
      </c>
      <c r="AJ228" s="35"/>
      <c r="AK228" s="35">
        <f t="shared" si="79"/>
        <v>219</v>
      </c>
      <c r="AL228" s="6"/>
      <c r="AM228" s="6"/>
      <c r="AN228" s="35"/>
      <c r="AO228" s="6">
        <v>616</v>
      </c>
      <c r="AP228" s="6"/>
      <c r="AQ228" s="34">
        <f t="shared" si="80"/>
        <v>230</v>
      </c>
      <c r="AR228" s="35">
        <v>848</v>
      </c>
      <c r="AS228" s="35"/>
      <c r="AT228" s="35">
        <f t="shared" si="81"/>
        <v>232</v>
      </c>
      <c r="AU228" s="6">
        <v>1070</v>
      </c>
      <c r="AV228" s="6"/>
      <c r="AW228" s="35">
        <f t="shared" si="82"/>
        <v>222</v>
      </c>
      <c r="AX228" s="6">
        <v>193</v>
      </c>
      <c r="AY228" s="6">
        <v>1100</v>
      </c>
      <c r="AZ228" s="35">
        <f t="shared" si="83"/>
        <v>223</v>
      </c>
      <c r="BA228" s="35">
        <v>414</v>
      </c>
      <c r="BB228" s="35"/>
      <c r="BC228" s="35">
        <f t="shared" si="84"/>
        <v>221</v>
      </c>
      <c r="BD228" s="35">
        <v>634</v>
      </c>
      <c r="BE228" s="6"/>
      <c r="BF228" s="35">
        <f t="shared" si="85"/>
        <v>220</v>
      </c>
      <c r="BG228" s="6"/>
      <c r="BH228" s="35"/>
      <c r="BI228" s="6"/>
      <c r="BJ228" s="35">
        <v>64</v>
      </c>
      <c r="BK228" s="35">
        <v>800</v>
      </c>
      <c r="BL228" s="6">
        <f t="shared" si="86"/>
        <v>230</v>
      </c>
      <c r="BM228" s="35">
        <v>287</v>
      </c>
      <c r="BN228" s="35"/>
      <c r="BO228" s="6">
        <f t="shared" si="87"/>
        <v>223</v>
      </c>
      <c r="BP228" s="35">
        <v>509</v>
      </c>
      <c r="BQ228" s="35"/>
      <c r="BR228" s="35">
        <f t="shared" si="88"/>
        <v>222</v>
      </c>
      <c r="BS228" s="35">
        <v>741</v>
      </c>
      <c r="BT228" s="35"/>
      <c r="BU228" s="6">
        <f t="shared" si="89"/>
        <v>232</v>
      </c>
      <c r="BV228" s="6">
        <v>173</v>
      </c>
      <c r="BW228" s="35">
        <v>800</v>
      </c>
      <c r="BX228" s="35">
        <f t="shared" si="90"/>
        <v>232</v>
      </c>
      <c r="BY228" s="35">
        <v>377</v>
      </c>
      <c r="BZ228" s="6"/>
      <c r="CA228" s="6">
        <f t="shared" si="91"/>
        <v>204</v>
      </c>
      <c r="CB228" s="6"/>
      <c r="CC228" s="6"/>
      <c r="CD228" s="6"/>
      <c r="CE228" s="6">
        <v>600</v>
      </c>
      <c r="CF228" s="6"/>
      <c r="CG228" s="6">
        <f t="shared" si="92"/>
        <v>223</v>
      </c>
      <c r="CH228" s="6">
        <v>24</v>
      </c>
      <c r="CI228" s="6">
        <v>800</v>
      </c>
      <c r="CJ228" s="6">
        <f t="shared" si="93"/>
        <v>224</v>
      </c>
      <c r="CK228" s="6">
        <v>255</v>
      </c>
      <c r="CL228" s="6"/>
      <c r="CM228" s="6">
        <f t="shared" si="94"/>
        <v>231</v>
      </c>
      <c r="CN228" s="6">
        <v>487</v>
      </c>
      <c r="CO228" s="6"/>
      <c r="CP228" s="6">
        <f t="shared" si="95"/>
        <v>232</v>
      </c>
      <c r="CQ228" s="6">
        <v>719</v>
      </c>
      <c r="CR228" s="6"/>
      <c r="CS228" s="6">
        <f t="shared" si="96"/>
        <v>232</v>
      </c>
      <c r="CT228" s="6">
        <v>936</v>
      </c>
      <c r="CU228" s="6"/>
      <c r="CV228" s="6">
        <f t="shared" si="97"/>
        <v>217</v>
      </c>
      <c r="CW228" s="6"/>
      <c r="CX228" s="6"/>
      <c r="CY228" s="6"/>
      <c r="CZ228" s="6">
        <v>1168</v>
      </c>
      <c r="DA228" s="6"/>
      <c r="DB228" s="6">
        <f t="shared" si="98"/>
        <v>232</v>
      </c>
      <c r="DC228" s="6">
        <v>0</v>
      </c>
      <c r="DD228" s="6">
        <v>1295</v>
      </c>
      <c r="DE228" s="6">
        <f t="shared" si="99"/>
        <v>127</v>
      </c>
      <c r="DF228" s="6">
        <v>0</v>
      </c>
      <c r="DG228" s="10"/>
      <c r="DH228" s="6">
        <f t="shared" si="100"/>
        <v>0</v>
      </c>
      <c r="DI228" s="6">
        <v>0</v>
      </c>
      <c r="DJ228" s="10"/>
      <c r="DK228" s="6">
        <f t="shared" si="101"/>
        <v>0</v>
      </c>
      <c r="DL228" s="6">
        <v>0</v>
      </c>
      <c r="DM228" s="10"/>
      <c r="DN228" s="6">
        <f t="shared" si="102"/>
        <v>0</v>
      </c>
      <c r="DO228" s="6">
        <v>0</v>
      </c>
      <c r="DP228" s="10"/>
      <c r="DQ228" s="6">
        <f t="shared" si="103"/>
        <v>0</v>
      </c>
    </row>
    <row r="229" spans="1:121">
      <c r="A229" s="6">
        <v>225</v>
      </c>
      <c r="B229" s="6">
        <v>874</v>
      </c>
      <c r="C229" s="10"/>
      <c r="D229" s="6">
        <v>240</v>
      </c>
      <c r="E229" s="141" t="s">
        <v>75</v>
      </c>
      <c r="F229" s="141" t="s">
        <v>75</v>
      </c>
      <c r="G229" s="141" t="s">
        <v>75</v>
      </c>
      <c r="H229" s="141" t="s">
        <v>75</v>
      </c>
      <c r="I229" s="163" t="s">
        <v>75</v>
      </c>
      <c r="J229" s="141" t="s">
        <v>75</v>
      </c>
      <c r="K229" s="141" t="s">
        <v>75</v>
      </c>
      <c r="L229" s="141" t="s">
        <v>75</v>
      </c>
      <c r="M229" s="141" t="s">
        <v>75</v>
      </c>
      <c r="N229" s="141" t="s">
        <v>75</v>
      </c>
      <c r="O229" s="141" t="s">
        <v>75</v>
      </c>
      <c r="P229" s="141" t="s">
        <v>75</v>
      </c>
      <c r="Q229" s="141" t="s">
        <v>75</v>
      </c>
      <c r="R229" s="141" t="s">
        <v>75</v>
      </c>
      <c r="S229" s="141" t="s">
        <v>75</v>
      </c>
      <c r="T229" s="141" t="s">
        <v>75</v>
      </c>
      <c r="U229" s="141" t="s">
        <v>75</v>
      </c>
      <c r="V229" s="141" t="s">
        <v>75</v>
      </c>
      <c r="W229" s="141" t="s">
        <v>75</v>
      </c>
      <c r="X229" s="141" t="s">
        <v>75</v>
      </c>
      <c r="Y229" s="141" t="s">
        <v>75</v>
      </c>
      <c r="Z229" s="141" t="s">
        <v>75</v>
      </c>
      <c r="AA229" s="141" t="s">
        <v>75</v>
      </c>
      <c r="AB229" s="141" t="s">
        <v>75</v>
      </c>
      <c r="AC229" s="141" t="s">
        <v>75</v>
      </c>
      <c r="AD229" s="141" t="s">
        <v>75</v>
      </c>
      <c r="AE229" s="141" t="s">
        <v>75</v>
      </c>
      <c r="AF229" s="6">
        <v>12</v>
      </c>
      <c r="AG229" s="6">
        <v>1100</v>
      </c>
      <c r="AH229" s="35">
        <f t="shared" si="78"/>
        <v>238</v>
      </c>
      <c r="AI229" s="35">
        <v>253</v>
      </c>
      <c r="AJ229" s="35"/>
      <c r="AK229" s="35">
        <f t="shared" si="79"/>
        <v>241</v>
      </c>
      <c r="AL229" s="6"/>
      <c r="AM229" s="6"/>
      <c r="AN229" s="35"/>
      <c r="AO229" s="6">
        <v>0</v>
      </c>
      <c r="AP229" s="6">
        <v>382</v>
      </c>
      <c r="AQ229" s="34">
        <f t="shared" si="80"/>
        <v>129</v>
      </c>
      <c r="AR229" s="35">
        <v>235</v>
      </c>
      <c r="AS229" s="35"/>
      <c r="AT229" s="35">
        <f t="shared" si="81"/>
        <v>235</v>
      </c>
      <c r="AU229" s="6">
        <v>470</v>
      </c>
      <c r="AV229" s="6"/>
      <c r="AW229" s="35">
        <f t="shared" si="82"/>
        <v>235</v>
      </c>
      <c r="AX229" s="6">
        <v>527</v>
      </c>
      <c r="AY229" s="6"/>
      <c r="AZ229" s="35">
        <f t="shared" si="83"/>
        <v>57</v>
      </c>
      <c r="BA229" s="35">
        <v>0</v>
      </c>
      <c r="BB229" s="35">
        <v>575</v>
      </c>
      <c r="BC229" s="35">
        <f t="shared" si="84"/>
        <v>48</v>
      </c>
      <c r="BD229" s="35">
        <v>0</v>
      </c>
      <c r="BE229" s="6"/>
      <c r="BF229" s="35">
        <f t="shared" si="85"/>
        <v>0</v>
      </c>
      <c r="BG229" s="6"/>
      <c r="BH229" s="35"/>
      <c r="BI229" s="6"/>
      <c r="BJ229" s="35">
        <v>0</v>
      </c>
      <c r="BK229" s="35"/>
      <c r="BL229" s="6">
        <f t="shared" si="86"/>
        <v>0</v>
      </c>
      <c r="BM229" s="35">
        <v>0</v>
      </c>
      <c r="BN229" s="35"/>
      <c r="BO229" s="6">
        <f t="shared" si="87"/>
        <v>0</v>
      </c>
      <c r="BP229" s="35">
        <v>0</v>
      </c>
      <c r="BQ229" s="35"/>
      <c r="BR229" s="35">
        <f t="shared" si="88"/>
        <v>0</v>
      </c>
      <c r="BS229" s="35">
        <v>0</v>
      </c>
      <c r="BT229" s="35"/>
      <c r="BU229" s="6">
        <f t="shared" si="89"/>
        <v>0</v>
      </c>
      <c r="BV229" s="6">
        <v>0</v>
      </c>
      <c r="BW229" s="35"/>
      <c r="BX229" s="35">
        <f t="shared" si="90"/>
        <v>0</v>
      </c>
      <c r="BY229" s="35">
        <v>0</v>
      </c>
      <c r="BZ229" s="6"/>
      <c r="CA229" s="6">
        <f t="shared" si="91"/>
        <v>0</v>
      </c>
      <c r="CB229" s="6"/>
      <c r="CC229" s="6"/>
      <c r="CD229" s="6"/>
      <c r="CE229" s="6">
        <v>0</v>
      </c>
      <c r="CF229" s="6"/>
      <c r="CG229" s="6">
        <f t="shared" si="92"/>
        <v>0</v>
      </c>
      <c r="CH229" s="6">
        <v>0</v>
      </c>
      <c r="CI229" s="6"/>
      <c r="CJ229" s="6">
        <f t="shared" si="93"/>
        <v>0</v>
      </c>
      <c r="CK229" s="6">
        <v>0</v>
      </c>
      <c r="CL229" s="6"/>
      <c r="CM229" s="6">
        <f t="shared" si="94"/>
        <v>0</v>
      </c>
      <c r="CN229" s="6">
        <v>0</v>
      </c>
      <c r="CO229" s="6"/>
      <c r="CP229" s="6">
        <f t="shared" si="95"/>
        <v>0</v>
      </c>
      <c r="CQ229" s="6">
        <v>0</v>
      </c>
      <c r="CR229" s="6"/>
      <c r="CS229" s="6">
        <f t="shared" si="96"/>
        <v>0</v>
      </c>
      <c r="CT229" s="6">
        <v>0</v>
      </c>
      <c r="CU229" s="6"/>
      <c r="CV229" s="6">
        <f t="shared" si="97"/>
        <v>0</v>
      </c>
      <c r="CW229" s="6"/>
      <c r="CX229" s="6"/>
      <c r="CY229" s="6"/>
      <c r="CZ229" s="6">
        <v>0</v>
      </c>
      <c r="DA229" s="6"/>
      <c r="DB229" s="6">
        <f t="shared" si="98"/>
        <v>0</v>
      </c>
      <c r="DC229" s="6">
        <v>0</v>
      </c>
      <c r="DD229" s="6"/>
      <c r="DE229" s="6">
        <f t="shared" si="99"/>
        <v>0</v>
      </c>
      <c r="DF229" s="6">
        <v>0</v>
      </c>
      <c r="DG229" s="10"/>
      <c r="DH229" s="6">
        <f t="shared" si="100"/>
        <v>0</v>
      </c>
      <c r="DI229" s="6">
        <v>0</v>
      </c>
      <c r="DJ229" s="10"/>
      <c r="DK229" s="6">
        <f t="shared" si="101"/>
        <v>0</v>
      </c>
      <c r="DL229" s="6">
        <v>0</v>
      </c>
      <c r="DM229" s="10"/>
      <c r="DN229" s="6">
        <f t="shared" si="102"/>
        <v>0</v>
      </c>
      <c r="DO229" s="6">
        <v>0</v>
      </c>
      <c r="DP229" s="10"/>
      <c r="DQ229" s="6">
        <f t="shared" si="103"/>
        <v>0</v>
      </c>
    </row>
    <row r="230" spans="1:121">
      <c r="A230" s="6">
        <v>226</v>
      </c>
      <c r="B230" s="6">
        <v>74</v>
      </c>
      <c r="C230" s="10">
        <v>1200</v>
      </c>
      <c r="D230" s="6">
        <v>238</v>
      </c>
      <c r="E230" s="141" t="s">
        <v>75</v>
      </c>
      <c r="F230" s="141" t="s">
        <v>75</v>
      </c>
      <c r="G230" s="141" t="s">
        <v>75</v>
      </c>
      <c r="H230" s="141" t="s">
        <v>75</v>
      </c>
      <c r="I230" s="141" t="s">
        <v>75</v>
      </c>
      <c r="J230" s="141" t="s">
        <v>75</v>
      </c>
      <c r="K230" s="141" t="s">
        <v>75</v>
      </c>
      <c r="L230" s="141" t="s">
        <v>75</v>
      </c>
      <c r="M230" s="141" t="s">
        <v>75</v>
      </c>
      <c r="N230" s="141" t="s">
        <v>75</v>
      </c>
      <c r="O230" s="141" t="s">
        <v>75</v>
      </c>
      <c r="P230" s="141" t="s">
        <v>75</v>
      </c>
      <c r="Q230" s="141" t="s">
        <v>75</v>
      </c>
      <c r="R230" s="141" t="s">
        <v>75</v>
      </c>
      <c r="S230" s="141" t="s">
        <v>75</v>
      </c>
      <c r="T230" s="141" t="s">
        <v>75</v>
      </c>
      <c r="U230" s="141" t="s">
        <v>75</v>
      </c>
      <c r="V230" s="141" t="s">
        <v>75</v>
      </c>
      <c r="W230" s="141" t="s">
        <v>75</v>
      </c>
      <c r="X230" s="141" t="s">
        <v>75</v>
      </c>
      <c r="Y230" s="141" t="s">
        <v>75</v>
      </c>
      <c r="Z230" s="141" t="s">
        <v>75</v>
      </c>
      <c r="AA230" s="141" t="s">
        <v>75</v>
      </c>
      <c r="AB230" s="141" t="s">
        <v>75</v>
      </c>
      <c r="AC230" s="141" t="s">
        <v>75</v>
      </c>
      <c r="AD230" s="141" t="s">
        <v>75</v>
      </c>
      <c r="AE230" s="141" t="s">
        <v>75</v>
      </c>
      <c r="AF230" s="6">
        <v>323</v>
      </c>
      <c r="AG230" s="6"/>
      <c r="AH230" s="35">
        <f t="shared" si="78"/>
        <v>249</v>
      </c>
      <c r="AI230" s="35">
        <v>558</v>
      </c>
      <c r="AJ230" s="35"/>
      <c r="AK230" s="35">
        <f t="shared" si="79"/>
        <v>235</v>
      </c>
      <c r="AL230" s="6"/>
      <c r="AM230" s="6"/>
      <c r="AN230" s="35"/>
      <c r="AO230" s="6">
        <v>800</v>
      </c>
      <c r="AP230" s="6"/>
      <c r="AQ230" s="34">
        <f t="shared" si="80"/>
        <v>242</v>
      </c>
      <c r="AR230" s="35">
        <v>1046</v>
      </c>
      <c r="AS230" s="35"/>
      <c r="AT230" s="35">
        <f t="shared" si="81"/>
        <v>246</v>
      </c>
      <c r="AU230" s="6">
        <v>181</v>
      </c>
      <c r="AV230" s="6">
        <v>1100</v>
      </c>
      <c r="AW230" s="35">
        <f t="shared" si="82"/>
        <v>235</v>
      </c>
      <c r="AX230" s="6">
        <v>0</v>
      </c>
      <c r="AY230" s="6">
        <v>286</v>
      </c>
      <c r="AZ230" s="35">
        <f t="shared" si="83"/>
        <v>105</v>
      </c>
      <c r="BA230" s="35">
        <v>0</v>
      </c>
      <c r="BB230" s="35"/>
      <c r="BC230" s="35">
        <f t="shared" si="84"/>
        <v>0</v>
      </c>
      <c r="BD230" s="35">
        <v>0</v>
      </c>
      <c r="BE230" s="6"/>
      <c r="BF230" s="35">
        <f t="shared" si="85"/>
        <v>0</v>
      </c>
      <c r="BG230" s="6"/>
      <c r="BH230" s="35"/>
      <c r="BI230" s="6"/>
      <c r="BJ230" s="35">
        <v>0</v>
      </c>
      <c r="BK230" s="35"/>
      <c r="BL230" s="6">
        <f t="shared" si="86"/>
        <v>0</v>
      </c>
      <c r="BM230" s="35">
        <v>0</v>
      </c>
      <c r="BN230" s="35"/>
      <c r="BO230" s="6">
        <f t="shared" si="87"/>
        <v>0</v>
      </c>
      <c r="BP230" s="35">
        <v>0</v>
      </c>
      <c r="BQ230" s="35"/>
      <c r="BR230" s="35">
        <f t="shared" si="88"/>
        <v>0</v>
      </c>
      <c r="BS230" s="35">
        <v>0</v>
      </c>
      <c r="BT230" s="35"/>
      <c r="BU230" s="6">
        <f t="shared" si="89"/>
        <v>0</v>
      </c>
      <c r="BV230" s="6">
        <v>0</v>
      </c>
      <c r="BW230" s="35"/>
      <c r="BX230" s="35">
        <f t="shared" si="90"/>
        <v>0</v>
      </c>
      <c r="BY230" s="35">
        <v>0</v>
      </c>
      <c r="BZ230" s="6"/>
      <c r="CA230" s="6">
        <f t="shared" si="91"/>
        <v>0</v>
      </c>
      <c r="CB230" s="6"/>
      <c r="CC230" s="6"/>
      <c r="CD230" s="6"/>
      <c r="CE230" s="6">
        <v>0</v>
      </c>
      <c r="CF230" s="6"/>
      <c r="CG230" s="6">
        <f t="shared" si="92"/>
        <v>0</v>
      </c>
      <c r="CH230" s="6">
        <v>0</v>
      </c>
      <c r="CI230" s="6"/>
      <c r="CJ230" s="6">
        <f t="shared" si="93"/>
        <v>0</v>
      </c>
      <c r="CK230" s="6">
        <v>0</v>
      </c>
      <c r="CL230" s="6"/>
      <c r="CM230" s="6">
        <f t="shared" si="94"/>
        <v>0</v>
      </c>
      <c r="CN230" s="6">
        <v>0</v>
      </c>
      <c r="CO230" s="6"/>
      <c r="CP230" s="6">
        <f t="shared" si="95"/>
        <v>0</v>
      </c>
      <c r="CQ230" s="6">
        <v>0</v>
      </c>
      <c r="CR230" s="6"/>
      <c r="CS230" s="6">
        <f t="shared" si="96"/>
        <v>0</v>
      </c>
      <c r="CT230" s="6">
        <v>0</v>
      </c>
      <c r="CU230" s="6"/>
      <c r="CV230" s="6">
        <f t="shared" si="97"/>
        <v>0</v>
      </c>
      <c r="CW230" s="6"/>
      <c r="CX230" s="6"/>
      <c r="CY230" s="6"/>
      <c r="CZ230" s="6">
        <v>0</v>
      </c>
      <c r="DA230" s="6"/>
      <c r="DB230" s="6">
        <f t="shared" si="98"/>
        <v>0</v>
      </c>
      <c r="DC230" s="6">
        <v>0</v>
      </c>
      <c r="DD230" s="6"/>
      <c r="DE230" s="6">
        <f t="shared" si="99"/>
        <v>0</v>
      </c>
      <c r="DF230" s="6">
        <v>0</v>
      </c>
      <c r="DG230" s="10"/>
      <c r="DH230" s="6">
        <f t="shared" si="100"/>
        <v>0</v>
      </c>
      <c r="DI230" s="6">
        <v>0</v>
      </c>
      <c r="DJ230" s="10"/>
      <c r="DK230" s="6">
        <f t="shared" si="101"/>
        <v>0</v>
      </c>
      <c r="DL230" s="6">
        <v>0</v>
      </c>
      <c r="DM230" s="10"/>
      <c r="DN230" s="6">
        <f t="shared" si="102"/>
        <v>0</v>
      </c>
      <c r="DO230" s="6">
        <v>0</v>
      </c>
      <c r="DP230" s="10"/>
      <c r="DQ230" s="6">
        <f t="shared" si="103"/>
        <v>0</v>
      </c>
    </row>
    <row r="231" spans="1:121">
      <c r="A231" s="151">
        <v>227</v>
      </c>
      <c r="B231" s="6">
        <v>238</v>
      </c>
      <c r="C231" s="10">
        <v>1100</v>
      </c>
      <c r="D231" s="6">
        <v>238</v>
      </c>
      <c r="E231" s="141" t="s">
        <v>75</v>
      </c>
      <c r="F231" s="141" t="s">
        <v>75</v>
      </c>
      <c r="G231" s="141" t="s">
        <v>75</v>
      </c>
      <c r="H231" s="141" t="s">
        <v>75</v>
      </c>
      <c r="I231" s="141" t="s">
        <v>75</v>
      </c>
      <c r="J231" s="141" t="s">
        <v>75</v>
      </c>
      <c r="K231" s="141" t="s">
        <v>75</v>
      </c>
      <c r="L231" s="141" t="s">
        <v>75</v>
      </c>
      <c r="M231" s="141" t="s">
        <v>75</v>
      </c>
      <c r="N231" s="141" t="s">
        <v>75</v>
      </c>
      <c r="O231" s="141" t="s">
        <v>75</v>
      </c>
      <c r="P231" s="141" t="s">
        <v>75</v>
      </c>
      <c r="Q231" s="141" t="s">
        <v>75</v>
      </c>
      <c r="R231" s="141" t="s">
        <v>75</v>
      </c>
      <c r="S231" s="141" t="s">
        <v>75</v>
      </c>
      <c r="T231" s="141" t="s">
        <v>75</v>
      </c>
      <c r="U231" s="141" t="s">
        <v>75</v>
      </c>
      <c r="V231" s="141" t="s">
        <v>75</v>
      </c>
      <c r="W231" s="141" t="s">
        <v>75</v>
      </c>
      <c r="X231" s="141" t="s">
        <v>75</v>
      </c>
      <c r="Y231" s="141" t="s">
        <v>75</v>
      </c>
      <c r="Z231" s="141" t="s">
        <v>75</v>
      </c>
      <c r="AA231" s="141" t="s">
        <v>75</v>
      </c>
      <c r="AB231" s="141" t="s">
        <v>75</v>
      </c>
      <c r="AC231" s="141" t="s">
        <v>75</v>
      </c>
      <c r="AD231" s="141" t="s">
        <v>75</v>
      </c>
      <c r="AE231" s="141" t="s">
        <v>75</v>
      </c>
      <c r="AF231" s="6">
        <v>488</v>
      </c>
      <c r="AG231" s="6"/>
      <c r="AH231" s="35">
        <f t="shared" si="78"/>
        <v>250</v>
      </c>
      <c r="AI231" s="35">
        <v>728</v>
      </c>
      <c r="AJ231" s="35"/>
      <c r="AK231" s="35">
        <f t="shared" si="79"/>
        <v>240</v>
      </c>
      <c r="AL231" s="6"/>
      <c r="AM231" s="6"/>
      <c r="AN231" s="35"/>
      <c r="AO231" s="6">
        <v>975</v>
      </c>
      <c r="AP231" s="6"/>
      <c r="AQ231" s="34">
        <f t="shared" si="80"/>
        <v>247</v>
      </c>
      <c r="AR231" s="35">
        <v>128</v>
      </c>
      <c r="AS231" s="35">
        <v>1100</v>
      </c>
      <c r="AT231" s="35">
        <f t="shared" si="81"/>
        <v>253</v>
      </c>
      <c r="AU231" s="6">
        <v>376</v>
      </c>
      <c r="AV231" s="6"/>
      <c r="AW231" s="35">
        <f t="shared" si="82"/>
        <v>248</v>
      </c>
      <c r="AX231" s="6">
        <v>508</v>
      </c>
      <c r="AY231" s="6"/>
      <c r="AZ231" s="35">
        <f t="shared" si="83"/>
        <v>132</v>
      </c>
      <c r="BA231" s="35">
        <v>0</v>
      </c>
      <c r="BB231" s="35">
        <v>550</v>
      </c>
      <c r="BC231" s="35">
        <f t="shared" si="84"/>
        <v>42</v>
      </c>
      <c r="BD231" s="35">
        <v>0</v>
      </c>
      <c r="BE231" s="6"/>
      <c r="BF231" s="35">
        <f t="shared" si="85"/>
        <v>0</v>
      </c>
      <c r="BG231" s="6"/>
      <c r="BH231" s="35"/>
      <c r="BI231" s="6"/>
      <c r="BJ231" s="35">
        <v>0</v>
      </c>
      <c r="BK231" s="35"/>
      <c r="BL231" s="6">
        <f t="shared" si="86"/>
        <v>0</v>
      </c>
      <c r="BM231" s="35">
        <v>0</v>
      </c>
      <c r="BN231" s="35"/>
      <c r="BO231" s="6">
        <f t="shared" si="87"/>
        <v>0</v>
      </c>
      <c r="BP231" s="35">
        <v>0</v>
      </c>
      <c r="BQ231" s="35"/>
      <c r="BR231" s="35">
        <f t="shared" si="88"/>
        <v>0</v>
      </c>
      <c r="BS231" s="35">
        <v>0</v>
      </c>
      <c r="BT231" s="35"/>
      <c r="BU231" s="6">
        <f t="shared" si="89"/>
        <v>0</v>
      </c>
      <c r="BV231" s="6">
        <v>0</v>
      </c>
      <c r="BW231" s="35"/>
      <c r="BX231" s="35">
        <f t="shared" si="90"/>
        <v>0</v>
      </c>
      <c r="BY231" s="35">
        <v>0</v>
      </c>
      <c r="BZ231" s="6"/>
      <c r="CA231" s="6">
        <f t="shared" si="91"/>
        <v>0</v>
      </c>
      <c r="CB231" s="6"/>
      <c r="CC231" s="6"/>
      <c r="CD231" s="6"/>
      <c r="CE231" s="6">
        <v>0</v>
      </c>
      <c r="CF231" s="6"/>
      <c r="CG231" s="6">
        <f t="shared" si="92"/>
        <v>0</v>
      </c>
      <c r="CH231" s="6">
        <v>0</v>
      </c>
      <c r="CI231" s="6"/>
      <c r="CJ231" s="6">
        <f t="shared" si="93"/>
        <v>0</v>
      </c>
      <c r="CK231" s="6">
        <v>0</v>
      </c>
      <c r="CL231" s="6"/>
      <c r="CM231" s="6">
        <f t="shared" si="94"/>
        <v>0</v>
      </c>
      <c r="CN231" s="6">
        <v>0</v>
      </c>
      <c r="CO231" s="6"/>
      <c r="CP231" s="6">
        <f t="shared" si="95"/>
        <v>0</v>
      </c>
      <c r="CQ231" s="6">
        <v>0</v>
      </c>
      <c r="CR231" s="6"/>
      <c r="CS231" s="6">
        <f t="shared" si="96"/>
        <v>0</v>
      </c>
      <c r="CT231" s="6">
        <v>0</v>
      </c>
      <c r="CU231" s="6"/>
      <c r="CV231" s="6">
        <f t="shared" si="97"/>
        <v>0</v>
      </c>
      <c r="CW231" s="6"/>
      <c r="CX231" s="6"/>
      <c r="CY231" s="6"/>
      <c r="CZ231" s="6">
        <v>0</v>
      </c>
      <c r="DA231" s="6"/>
      <c r="DB231" s="6">
        <f t="shared" si="98"/>
        <v>0</v>
      </c>
      <c r="DC231" s="6">
        <v>0</v>
      </c>
      <c r="DD231" s="6"/>
      <c r="DE231" s="6">
        <f t="shared" si="99"/>
        <v>0</v>
      </c>
      <c r="DF231" s="6">
        <v>0</v>
      </c>
      <c r="DG231" s="10"/>
      <c r="DH231" s="6">
        <f t="shared" si="100"/>
        <v>0</v>
      </c>
      <c r="DI231" s="6">
        <v>0</v>
      </c>
      <c r="DJ231" s="10"/>
      <c r="DK231" s="6">
        <f t="shared" si="101"/>
        <v>0</v>
      </c>
      <c r="DL231" s="6">
        <v>0</v>
      </c>
      <c r="DM231" s="10"/>
      <c r="DN231" s="6">
        <f t="shared" si="102"/>
        <v>0</v>
      </c>
      <c r="DO231" s="6">
        <v>0</v>
      </c>
      <c r="DP231" s="10"/>
      <c r="DQ231" s="6">
        <f t="shared" si="103"/>
        <v>0</v>
      </c>
    </row>
    <row r="232" spans="1:121">
      <c r="A232" s="151">
        <v>228</v>
      </c>
      <c r="B232" s="6">
        <v>456</v>
      </c>
      <c r="C232" s="10"/>
      <c r="D232" s="3">
        <v>233</v>
      </c>
      <c r="E232" s="141" t="s">
        <v>72</v>
      </c>
      <c r="F232" s="141" t="s">
        <v>72</v>
      </c>
      <c r="G232" s="141" t="s">
        <v>72</v>
      </c>
      <c r="H232" s="141" t="s">
        <v>72</v>
      </c>
      <c r="I232" s="141" t="s">
        <v>72</v>
      </c>
      <c r="J232" s="141" t="s">
        <v>72</v>
      </c>
      <c r="K232" s="141" t="s">
        <v>72</v>
      </c>
      <c r="L232" s="141" t="s">
        <v>72</v>
      </c>
      <c r="M232" s="141" t="s">
        <v>72</v>
      </c>
      <c r="N232" s="141" t="s">
        <v>72</v>
      </c>
      <c r="O232" s="141" t="s">
        <v>72</v>
      </c>
      <c r="P232" s="141" t="s">
        <v>72</v>
      </c>
      <c r="Q232" s="141" t="s">
        <v>72</v>
      </c>
      <c r="R232" s="141" t="s">
        <v>72</v>
      </c>
      <c r="S232" s="141" t="s">
        <v>72</v>
      </c>
      <c r="T232" s="141" t="s">
        <v>72</v>
      </c>
      <c r="U232" s="141" t="s">
        <v>72</v>
      </c>
      <c r="V232" s="141" t="s">
        <v>72</v>
      </c>
      <c r="W232" s="141" t="s">
        <v>72</v>
      </c>
      <c r="X232" s="141" t="s">
        <v>72</v>
      </c>
      <c r="Y232" s="141" t="s">
        <v>72</v>
      </c>
      <c r="Z232" s="141" t="s">
        <v>72</v>
      </c>
      <c r="AA232" s="141" t="s">
        <v>72</v>
      </c>
      <c r="AB232" s="141" t="s">
        <v>72</v>
      </c>
      <c r="AC232" s="141" t="s">
        <v>72</v>
      </c>
      <c r="AD232" s="141" t="s">
        <v>72</v>
      </c>
      <c r="AE232" s="141" t="s">
        <v>72</v>
      </c>
      <c r="AF232" s="6">
        <v>699</v>
      </c>
      <c r="AG232" s="6"/>
      <c r="AH232" s="35">
        <f t="shared" si="78"/>
        <v>243</v>
      </c>
      <c r="AI232" s="35">
        <v>911</v>
      </c>
      <c r="AJ232" s="35"/>
      <c r="AK232" s="35">
        <f t="shared" si="79"/>
        <v>212</v>
      </c>
      <c r="AL232" s="6"/>
      <c r="AM232" s="6"/>
      <c r="AN232" s="35"/>
      <c r="AO232" s="6">
        <v>52</v>
      </c>
      <c r="AP232" s="3">
        <v>1100</v>
      </c>
      <c r="AQ232" s="34">
        <f t="shared" si="80"/>
        <v>241</v>
      </c>
      <c r="AR232" s="35">
        <v>295</v>
      </c>
      <c r="AS232" s="35"/>
      <c r="AT232" s="35">
        <f t="shared" si="81"/>
        <v>243</v>
      </c>
      <c r="AU232" s="6">
        <v>532</v>
      </c>
      <c r="AV232" s="35"/>
      <c r="AW232" s="35">
        <f t="shared" si="82"/>
        <v>237</v>
      </c>
      <c r="AX232" s="6">
        <v>778</v>
      </c>
      <c r="AY232" s="6"/>
      <c r="AZ232" s="35">
        <f t="shared" si="83"/>
        <v>246</v>
      </c>
      <c r="BA232" s="35">
        <v>1015</v>
      </c>
      <c r="BB232" s="35"/>
      <c r="BC232" s="35">
        <f t="shared" si="84"/>
        <v>237</v>
      </c>
      <c r="BD232" s="35">
        <v>197</v>
      </c>
      <c r="BE232" s="3">
        <v>1051</v>
      </c>
      <c r="BF232" s="35">
        <f t="shared" si="85"/>
        <v>233</v>
      </c>
      <c r="BG232" s="6"/>
      <c r="BH232" s="35"/>
      <c r="BI232" s="6"/>
      <c r="BJ232" s="35">
        <v>433</v>
      </c>
      <c r="BK232" s="35"/>
      <c r="BL232" s="6">
        <f t="shared" si="86"/>
        <v>236</v>
      </c>
      <c r="BM232" s="35">
        <v>691</v>
      </c>
      <c r="BN232" s="35"/>
      <c r="BO232" s="6">
        <f t="shared" si="87"/>
        <v>258</v>
      </c>
      <c r="BP232" s="35">
        <v>937</v>
      </c>
      <c r="BQ232" s="35"/>
      <c r="BR232" s="35">
        <f t="shared" si="88"/>
        <v>246</v>
      </c>
      <c r="BS232" s="35">
        <v>85</v>
      </c>
      <c r="BT232" s="78">
        <v>1100</v>
      </c>
      <c r="BU232" s="6">
        <f t="shared" si="89"/>
        <v>248</v>
      </c>
      <c r="BV232" s="6">
        <v>330</v>
      </c>
      <c r="BW232" s="35"/>
      <c r="BX232" s="35">
        <f t="shared" si="90"/>
        <v>245</v>
      </c>
      <c r="BY232" s="35">
        <v>559</v>
      </c>
      <c r="BZ232" s="6"/>
      <c r="CA232" s="6">
        <f t="shared" si="91"/>
        <v>229</v>
      </c>
      <c r="CB232" s="6"/>
      <c r="CC232" s="6"/>
      <c r="CD232" s="6"/>
      <c r="CE232" s="6">
        <v>803</v>
      </c>
      <c r="CF232" s="6"/>
      <c r="CG232" s="6">
        <f t="shared" si="92"/>
        <v>244</v>
      </c>
      <c r="CH232" s="6">
        <v>1043</v>
      </c>
      <c r="CI232" s="6"/>
      <c r="CJ232" s="6">
        <f t="shared" si="93"/>
        <v>240</v>
      </c>
      <c r="CK232" s="6">
        <v>180</v>
      </c>
      <c r="CL232" s="3">
        <v>1100</v>
      </c>
      <c r="CM232" s="6">
        <f t="shared" si="94"/>
        <v>237</v>
      </c>
      <c r="CN232" s="6">
        <v>421</v>
      </c>
      <c r="CO232" s="6"/>
      <c r="CP232" s="6">
        <f t="shared" si="95"/>
        <v>241</v>
      </c>
      <c r="CQ232" s="6">
        <v>0</v>
      </c>
      <c r="CR232" s="3">
        <v>436</v>
      </c>
      <c r="CS232" s="6">
        <f t="shared" si="96"/>
        <v>15</v>
      </c>
      <c r="CT232" s="6">
        <v>0</v>
      </c>
      <c r="CU232" s="6"/>
      <c r="CV232" s="6">
        <f t="shared" si="97"/>
        <v>0</v>
      </c>
      <c r="CW232" s="6"/>
      <c r="CX232" s="6"/>
      <c r="CY232" s="6"/>
      <c r="CZ232" s="6">
        <v>0</v>
      </c>
      <c r="DA232" s="6"/>
      <c r="DB232" s="6">
        <f t="shared" si="98"/>
        <v>0</v>
      </c>
      <c r="DC232" s="6">
        <v>0</v>
      </c>
      <c r="DD232" s="6"/>
      <c r="DE232" s="6">
        <f t="shared" si="99"/>
        <v>0</v>
      </c>
      <c r="DF232" s="6">
        <v>0</v>
      </c>
      <c r="DG232" s="10"/>
      <c r="DH232" s="6">
        <f t="shared" si="100"/>
        <v>0</v>
      </c>
      <c r="DI232" s="6">
        <v>0</v>
      </c>
      <c r="DJ232" s="10"/>
      <c r="DK232" s="6">
        <f t="shared" si="101"/>
        <v>0</v>
      </c>
      <c r="DL232" s="6">
        <v>0</v>
      </c>
      <c r="DM232" s="10"/>
      <c r="DN232" s="6">
        <f t="shared" si="102"/>
        <v>0</v>
      </c>
      <c r="DO232" s="6">
        <v>0</v>
      </c>
      <c r="DP232" s="10"/>
      <c r="DQ232" s="6">
        <f t="shared" si="103"/>
        <v>0</v>
      </c>
    </row>
    <row r="233" spans="1:121">
      <c r="A233" s="151">
        <v>229</v>
      </c>
      <c r="B233" s="6">
        <v>217</v>
      </c>
      <c r="C233" s="10"/>
      <c r="D233" s="3">
        <v>217</v>
      </c>
      <c r="E233" s="148" t="s">
        <v>72</v>
      </c>
      <c r="F233" s="33" t="s">
        <v>72</v>
      </c>
      <c r="G233" s="33" t="s">
        <v>72</v>
      </c>
      <c r="H233" s="33" t="s">
        <v>72</v>
      </c>
      <c r="I233" s="33" t="s">
        <v>72</v>
      </c>
      <c r="J233" s="33" t="s">
        <v>72</v>
      </c>
      <c r="K233" s="33" t="s">
        <v>72</v>
      </c>
      <c r="L233" s="33" t="s">
        <v>72</v>
      </c>
      <c r="M233" s="33" t="s">
        <v>72</v>
      </c>
      <c r="N233" s="33" t="s">
        <v>72</v>
      </c>
      <c r="O233" s="33" t="s">
        <v>72</v>
      </c>
      <c r="P233" s="33" t="s">
        <v>72</v>
      </c>
      <c r="Q233" s="33" t="s">
        <v>72</v>
      </c>
      <c r="R233" s="33" t="s">
        <v>72</v>
      </c>
      <c r="S233" s="33" t="s">
        <v>72</v>
      </c>
      <c r="T233" s="33" t="s">
        <v>72</v>
      </c>
      <c r="U233" s="33" t="s">
        <v>72</v>
      </c>
      <c r="V233" s="33" t="s">
        <v>72</v>
      </c>
      <c r="W233" s="33" t="s">
        <v>72</v>
      </c>
      <c r="X233" s="33" t="s">
        <v>72</v>
      </c>
      <c r="Y233" s="33" t="s">
        <v>72</v>
      </c>
      <c r="Z233" s="33" t="s">
        <v>72</v>
      </c>
      <c r="AA233" s="33" t="s">
        <v>72</v>
      </c>
      <c r="AB233" s="33" t="s">
        <v>72</v>
      </c>
      <c r="AC233" s="33" t="s">
        <v>72</v>
      </c>
      <c r="AD233" s="33" t="s">
        <v>72</v>
      </c>
      <c r="AE233" s="33" t="s">
        <v>72</v>
      </c>
      <c r="AF233" s="6">
        <v>468</v>
      </c>
      <c r="AG233" s="6"/>
      <c r="AH233" s="35">
        <f t="shared" si="78"/>
        <v>251</v>
      </c>
      <c r="AI233" s="35">
        <v>697</v>
      </c>
      <c r="AJ233" s="35"/>
      <c r="AK233" s="35">
        <f t="shared" si="79"/>
        <v>229</v>
      </c>
      <c r="AL233" s="6"/>
      <c r="AM233" s="6"/>
      <c r="AN233" s="35"/>
      <c r="AO233" s="6">
        <v>939</v>
      </c>
      <c r="AP233" s="6"/>
      <c r="AQ233" s="34">
        <f t="shared" si="80"/>
        <v>242</v>
      </c>
      <c r="AR233" s="35">
        <v>83</v>
      </c>
      <c r="AS233" s="78">
        <v>1100</v>
      </c>
      <c r="AT233" s="35">
        <f t="shared" si="81"/>
        <v>244</v>
      </c>
      <c r="AU233" s="6">
        <v>325</v>
      </c>
      <c r="AV233" s="6"/>
      <c r="AW233" s="35">
        <f t="shared" si="82"/>
        <v>242</v>
      </c>
      <c r="AX233" s="6">
        <v>567</v>
      </c>
      <c r="AY233" s="6"/>
      <c r="AZ233" s="35">
        <f t="shared" si="83"/>
        <v>242</v>
      </c>
      <c r="BA233" s="35">
        <v>803</v>
      </c>
      <c r="BB233" s="35"/>
      <c r="BC233" s="35">
        <f t="shared" si="84"/>
        <v>236</v>
      </c>
      <c r="BD233" s="35">
        <v>1035</v>
      </c>
      <c r="BE233" s="6"/>
      <c r="BF233" s="35">
        <f t="shared" si="85"/>
        <v>232</v>
      </c>
      <c r="BG233" s="6"/>
      <c r="BH233" s="35"/>
      <c r="BI233" s="6"/>
      <c r="BJ233" s="35">
        <v>173</v>
      </c>
      <c r="BK233" s="78">
        <v>1100</v>
      </c>
      <c r="BL233" s="6">
        <f t="shared" si="86"/>
        <v>238</v>
      </c>
      <c r="BM233" s="35">
        <v>416</v>
      </c>
      <c r="BN233" s="35"/>
      <c r="BO233" s="6">
        <f t="shared" si="87"/>
        <v>243</v>
      </c>
      <c r="BP233" s="35">
        <v>658</v>
      </c>
      <c r="BQ233" s="35"/>
      <c r="BR233" s="35">
        <f t="shared" si="88"/>
        <v>242</v>
      </c>
      <c r="BS233" s="35">
        <v>900</v>
      </c>
      <c r="BT233" s="35"/>
      <c r="BU233" s="6">
        <f t="shared" si="89"/>
        <v>242</v>
      </c>
      <c r="BV233" s="6">
        <v>117</v>
      </c>
      <c r="BW233" s="78">
        <v>1018</v>
      </c>
      <c r="BX233" s="35">
        <f t="shared" si="90"/>
        <v>235</v>
      </c>
      <c r="BY233" s="35">
        <v>347</v>
      </c>
      <c r="BZ233" s="6"/>
      <c r="CA233" s="6">
        <f t="shared" si="91"/>
        <v>230</v>
      </c>
      <c r="CB233" s="6"/>
      <c r="CC233" s="6"/>
      <c r="CD233" s="6"/>
      <c r="CE233" s="6">
        <v>586</v>
      </c>
      <c r="CF233" s="6"/>
      <c r="CG233" s="6">
        <f t="shared" si="92"/>
        <v>239</v>
      </c>
      <c r="CH233" s="6">
        <v>820</v>
      </c>
      <c r="CI233" s="6"/>
      <c r="CJ233" s="6">
        <f t="shared" si="93"/>
        <v>234</v>
      </c>
      <c r="CK233" s="6">
        <v>1054</v>
      </c>
      <c r="CL233" s="6"/>
      <c r="CM233" s="6">
        <f t="shared" si="94"/>
        <v>234</v>
      </c>
      <c r="CN233" s="6">
        <v>187</v>
      </c>
      <c r="CO233" s="3">
        <v>1100</v>
      </c>
      <c r="CP233" s="6">
        <f t="shared" si="95"/>
        <v>233</v>
      </c>
      <c r="CQ233" s="6">
        <v>414</v>
      </c>
      <c r="CR233" s="6"/>
      <c r="CS233" s="6">
        <f t="shared" si="96"/>
        <v>227</v>
      </c>
      <c r="CT233" s="6">
        <v>0</v>
      </c>
      <c r="CU233" s="3">
        <v>441</v>
      </c>
      <c r="CV233" s="6">
        <f t="shared" si="97"/>
        <v>27</v>
      </c>
      <c r="CW233" s="6"/>
      <c r="CX233" s="6"/>
      <c r="CY233" s="6"/>
      <c r="CZ233" s="6">
        <v>0</v>
      </c>
      <c r="DA233" s="6"/>
      <c r="DB233" s="6">
        <f t="shared" si="98"/>
        <v>0</v>
      </c>
      <c r="DC233" s="6">
        <v>0</v>
      </c>
      <c r="DD233" s="6"/>
      <c r="DE233" s="6">
        <f t="shared" si="99"/>
        <v>0</v>
      </c>
      <c r="DF233" s="6">
        <v>0</v>
      </c>
      <c r="DG233" s="10"/>
      <c r="DH233" s="6">
        <f t="shared" si="100"/>
        <v>0</v>
      </c>
      <c r="DI233" s="6">
        <v>0</v>
      </c>
      <c r="DJ233" s="10"/>
      <c r="DK233" s="6">
        <f t="shared" si="101"/>
        <v>0</v>
      </c>
      <c r="DL233" s="6">
        <v>0</v>
      </c>
      <c r="DM233" s="10"/>
      <c r="DN233" s="6">
        <f t="shared" si="102"/>
        <v>0</v>
      </c>
      <c r="DO233" s="6">
        <v>0</v>
      </c>
      <c r="DP233" s="10"/>
      <c r="DQ233" s="6">
        <f t="shared" si="103"/>
        <v>0</v>
      </c>
    </row>
    <row r="234" spans="1:121">
      <c r="A234" s="151">
        <v>230</v>
      </c>
      <c r="B234" s="6">
        <v>446</v>
      </c>
      <c r="C234" s="10"/>
      <c r="D234" s="3">
        <v>231</v>
      </c>
      <c r="E234" s="141" t="s">
        <v>72</v>
      </c>
      <c r="F234" s="141" t="s">
        <v>72</v>
      </c>
      <c r="G234" s="141" t="s">
        <v>72</v>
      </c>
      <c r="H234" s="141" t="s">
        <v>72</v>
      </c>
      <c r="I234" s="141" t="s">
        <v>72</v>
      </c>
      <c r="J234" s="141" t="s">
        <v>72</v>
      </c>
      <c r="K234" s="141" t="s">
        <v>72</v>
      </c>
      <c r="L234" s="141" t="s">
        <v>72</v>
      </c>
      <c r="M234" s="141" t="s">
        <v>72</v>
      </c>
      <c r="N234" s="141" t="s">
        <v>72</v>
      </c>
      <c r="O234" s="141" t="s">
        <v>72</v>
      </c>
      <c r="P234" s="141" t="s">
        <v>72</v>
      </c>
      <c r="Q234" s="141" t="s">
        <v>72</v>
      </c>
      <c r="R234" s="141" t="s">
        <v>72</v>
      </c>
      <c r="S234" s="141" t="s">
        <v>72</v>
      </c>
      <c r="T234" s="141" t="s">
        <v>72</v>
      </c>
      <c r="U234" s="141" t="s">
        <v>72</v>
      </c>
      <c r="V234" s="141" t="s">
        <v>72</v>
      </c>
      <c r="W234" s="141" t="s">
        <v>72</v>
      </c>
      <c r="X234" s="141" t="s">
        <v>72</v>
      </c>
      <c r="Y234" s="141" t="s">
        <v>72</v>
      </c>
      <c r="Z234" s="141" t="s">
        <v>72</v>
      </c>
      <c r="AA234" s="141" t="s">
        <v>72</v>
      </c>
      <c r="AB234" s="141" t="s">
        <v>72</v>
      </c>
      <c r="AC234" s="141" t="s">
        <v>72</v>
      </c>
      <c r="AD234" s="141" t="s">
        <v>72</v>
      </c>
      <c r="AE234" s="141" t="s">
        <v>72</v>
      </c>
      <c r="AF234" s="6">
        <v>686</v>
      </c>
      <c r="AG234" s="6"/>
      <c r="AH234" s="35">
        <f t="shared" si="78"/>
        <v>240</v>
      </c>
      <c r="AI234" s="35">
        <v>917</v>
      </c>
      <c r="AJ234" s="35"/>
      <c r="AK234" s="35">
        <f t="shared" si="79"/>
        <v>231</v>
      </c>
      <c r="AL234" s="6"/>
      <c r="AM234" s="6"/>
      <c r="AN234" s="35"/>
      <c r="AO234" s="6">
        <v>56</v>
      </c>
      <c r="AP234" s="3">
        <v>1100</v>
      </c>
      <c r="AQ234" s="34">
        <f t="shared" si="80"/>
        <v>239</v>
      </c>
      <c r="AR234" s="35">
        <v>296</v>
      </c>
      <c r="AS234" s="35"/>
      <c r="AT234" s="35">
        <f t="shared" si="81"/>
        <v>240</v>
      </c>
      <c r="AU234" s="6">
        <v>533</v>
      </c>
      <c r="AV234" s="6"/>
      <c r="AW234" s="35">
        <f t="shared" si="82"/>
        <v>237</v>
      </c>
      <c r="AX234" s="6">
        <v>195</v>
      </c>
      <c r="AY234" s="3">
        <v>567</v>
      </c>
      <c r="AZ234" s="35">
        <f t="shared" si="83"/>
        <v>229</v>
      </c>
      <c r="BA234" s="35">
        <v>431</v>
      </c>
      <c r="BB234" s="35"/>
      <c r="BC234" s="35">
        <f t="shared" si="84"/>
        <v>236</v>
      </c>
      <c r="BD234" s="35">
        <v>659</v>
      </c>
      <c r="BE234" s="6"/>
      <c r="BF234" s="35">
        <f t="shared" si="85"/>
        <v>228</v>
      </c>
      <c r="BG234" s="6"/>
      <c r="BH234" s="35"/>
      <c r="BI234" s="6"/>
      <c r="BJ234" s="35">
        <v>898</v>
      </c>
      <c r="BK234" s="35"/>
      <c r="BL234" s="6">
        <f t="shared" si="86"/>
        <v>239</v>
      </c>
      <c r="BM234" s="35">
        <v>36</v>
      </c>
      <c r="BN234" s="78">
        <v>1100</v>
      </c>
      <c r="BO234" s="6">
        <f t="shared" si="87"/>
        <v>238</v>
      </c>
      <c r="BP234" s="35">
        <v>273</v>
      </c>
      <c r="BQ234" s="35"/>
      <c r="BR234" s="35">
        <f t="shared" si="88"/>
        <v>237</v>
      </c>
      <c r="BS234" s="35">
        <v>512</v>
      </c>
      <c r="BT234" s="35"/>
      <c r="BU234" s="6">
        <f t="shared" si="89"/>
        <v>239</v>
      </c>
      <c r="BV234" s="6">
        <v>751</v>
      </c>
      <c r="BW234" s="35"/>
      <c r="BX234" s="35">
        <f t="shared" si="90"/>
        <v>239</v>
      </c>
      <c r="BY234" s="35">
        <v>33</v>
      </c>
      <c r="BZ234" s="3">
        <v>942</v>
      </c>
      <c r="CA234" s="6">
        <f t="shared" si="91"/>
        <v>224</v>
      </c>
      <c r="CB234" s="6"/>
      <c r="CC234" s="6"/>
      <c r="CD234" s="6"/>
      <c r="CE234" s="6">
        <v>270</v>
      </c>
      <c r="CF234" s="6"/>
      <c r="CG234" s="6">
        <f t="shared" si="92"/>
        <v>237</v>
      </c>
      <c r="CH234" s="6">
        <v>509</v>
      </c>
      <c r="CI234" s="6"/>
      <c r="CJ234" s="6">
        <f t="shared" si="93"/>
        <v>239</v>
      </c>
      <c r="CK234" s="6">
        <v>699</v>
      </c>
      <c r="CL234" s="6"/>
      <c r="CM234" s="6">
        <f t="shared" si="94"/>
        <v>190</v>
      </c>
      <c r="CN234" s="6">
        <v>699</v>
      </c>
      <c r="CO234" s="6"/>
      <c r="CP234" s="6">
        <f t="shared" si="95"/>
        <v>0</v>
      </c>
      <c r="CQ234" s="6">
        <v>699</v>
      </c>
      <c r="CR234" s="6"/>
      <c r="CS234" s="6">
        <f t="shared" si="96"/>
        <v>0</v>
      </c>
      <c r="CT234" s="6">
        <v>699</v>
      </c>
      <c r="CU234" s="6"/>
      <c r="CV234" s="6">
        <f t="shared" si="97"/>
        <v>0</v>
      </c>
      <c r="CW234" s="6"/>
      <c r="CX234" s="6"/>
      <c r="CY234" s="6"/>
      <c r="CZ234" s="6">
        <v>699</v>
      </c>
      <c r="DA234" s="6"/>
      <c r="DB234" s="6">
        <f t="shared" si="98"/>
        <v>0</v>
      </c>
      <c r="DC234" s="6">
        <v>699</v>
      </c>
      <c r="DD234" s="6"/>
      <c r="DE234" s="6">
        <f t="shared" si="99"/>
        <v>0</v>
      </c>
      <c r="DF234" s="6">
        <v>699</v>
      </c>
      <c r="DG234" s="10"/>
      <c r="DH234" s="6">
        <f t="shared" si="100"/>
        <v>0</v>
      </c>
      <c r="DI234" s="6">
        <v>699</v>
      </c>
      <c r="DJ234" s="10"/>
      <c r="DK234" s="6">
        <f t="shared" si="101"/>
        <v>0</v>
      </c>
      <c r="DL234" s="6">
        <v>699</v>
      </c>
      <c r="DM234" s="10"/>
      <c r="DN234" s="6">
        <f t="shared" si="102"/>
        <v>0</v>
      </c>
      <c r="DO234" s="6">
        <v>699</v>
      </c>
      <c r="DP234" s="10"/>
      <c r="DQ234" s="6">
        <f t="shared" si="103"/>
        <v>0</v>
      </c>
    </row>
    <row r="235" spans="1:121">
      <c r="A235" s="151">
        <v>231</v>
      </c>
      <c r="B235" s="6">
        <v>834</v>
      </c>
      <c r="C235" s="10"/>
      <c r="D235" s="6">
        <v>236</v>
      </c>
      <c r="E235" s="33" t="s">
        <v>75</v>
      </c>
      <c r="F235" s="33" t="s">
        <v>75</v>
      </c>
      <c r="G235" s="33" t="s">
        <v>75</v>
      </c>
      <c r="H235" s="148" t="s">
        <v>79</v>
      </c>
      <c r="I235" s="33" t="s">
        <v>79</v>
      </c>
      <c r="J235" s="33" t="s">
        <v>79</v>
      </c>
      <c r="K235" s="33" t="s">
        <v>79</v>
      </c>
      <c r="L235" s="33" t="s">
        <v>79</v>
      </c>
      <c r="M235" s="33" t="s">
        <v>79</v>
      </c>
      <c r="N235" s="33" t="s">
        <v>79</v>
      </c>
      <c r="O235" s="33" t="s">
        <v>79</v>
      </c>
      <c r="P235" s="33" t="s">
        <v>79</v>
      </c>
      <c r="Q235" s="33" t="s">
        <v>79</v>
      </c>
      <c r="R235" s="33" t="s">
        <v>79</v>
      </c>
      <c r="S235" s="33" t="s">
        <v>79</v>
      </c>
      <c r="T235" s="33" t="s">
        <v>79</v>
      </c>
      <c r="U235" s="33" t="s">
        <v>79</v>
      </c>
      <c r="V235" s="33" t="s">
        <v>79</v>
      </c>
      <c r="W235" s="33" t="s">
        <v>79</v>
      </c>
      <c r="X235" s="33" t="s">
        <v>79</v>
      </c>
      <c r="Y235" s="33" t="s">
        <v>79</v>
      </c>
      <c r="Z235" s="33" t="s">
        <v>79</v>
      </c>
      <c r="AA235" s="33" t="s">
        <v>79</v>
      </c>
      <c r="AB235" s="33" t="s">
        <v>79</v>
      </c>
      <c r="AC235" s="33" t="s">
        <v>79</v>
      </c>
      <c r="AD235" s="33" t="s">
        <v>79</v>
      </c>
      <c r="AE235" s="33" t="s">
        <v>79</v>
      </c>
      <c r="AF235" s="6">
        <v>1081</v>
      </c>
      <c r="AG235" s="6"/>
      <c r="AH235" s="35">
        <f t="shared" si="78"/>
        <v>247</v>
      </c>
      <c r="AI235" s="35">
        <v>1320</v>
      </c>
      <c r="AJ235" s="35"/>
      <c r="AK235" s="35">
        <f t="shared" si="79"/>
        <v>239</v>
      </c>
      <c r="AL235" s="6"/>
      <c r="AM235" s="6"/>
      <c r="AN235" s="35"/>
      <c r="AO235" s="6">
        <v>156</v>
      </c>
      <c r="AP235" s="6">
        <v>1386</v>
      </c>
      <c r="AQ235" s="34">
        <f t="shared" si="80"/>
        <v>222</v>
      </c>
      <c r="AR235" s="35">
        <v>386</v>
      </c>
      <c r="AS235" s="35"/>
      <c r="AT235" s="35">
        <f t="shared" si="81"/>
        <v>230</v>
      </c>
      <c r="AU235" s="6">
        <v>612</v>
      </c>
      <c r="AV235" s="6"/>
      <c r="AW235" s="35">
        <f t="shared" si="82"/>
        <v>226</v>
      </c>
      <c r="AX235" s="6">
        <v>841</v>
      </c>
      <c r="AY235" s="6"/>
      <c r="AZ235" s="35">
        <f t="shared" si="83"/>
        <v>229</v>
      </c>
      <c r="BA235" s="35">
        <v>1065</v>
      </c>
      <c r="BB235" s="35"/>
      <c r="BC235" s="35">
        <f t="shared" si="84"/>
        <v>224</v>
      </c>
      <c r="BD235" s="35">
        <v>183</v>
      </c>
      <c r="BE235" s="6">
        <v>1102</v>
      </c>
      <c r="BF235" s="35">
        <f t="shared" si="85"/>
        <v>220</v>
      </c>
      <c r="BG235" s="6"/>
      <c r="BH235" s="35"/>
      <c r="BI235" s="6"/>
      <c r="BJ235" s="35">
        <v>415</v>
      </c>
      <c r="BK235" s="35"/>
      <c r="BL235" s="6">
        <f t="shared" si="86"/>
        <v>232</v>
      </c>
      <c r="BM235" s="35">
        <v>647</v>
      </c>
      <c r="BN235" s="35"/>
      <c r="BO235" s="6">
        <f t="shared" si="87"/>
        <v>232</v>
      </c>
      <c r="BP235" s="35">
        <v>78</v>
      </c>
      <c r="BQ235" s="35">
        <v>800</v>
      </c>
      <c r="BR235" s="35">
        <f t="shared" si="88"/>
        <v>231</v>
      </c>
      <c r="BS235" s="35">
        <v>310</v>
      </c>
      <c r="BT235" s="35"/>
      <c r="BU235" s="6">
        <f t="shared" si="89"/>
        <v>232</v>
      </c>
      <c r="BV235" s="6">
        <v>539</v>
      </c>
      <c r="BW235" s="35"/>
      <c r="BX235" s="35">
        <f t="shared" si="90"/>
        <v>229</v>
      </c>
      <c r="BY235" s="35">
        <v>759</v>
      </c>
      <c r="BZ235" s="6"/>
      <c r="CA235" s="6">
        <f t="shared" si="91"/>
        <v>220</v>
      </c>
      <c r="CB235" s="6"/>
      <c r="CC235" s="6"/>
      <c r="CD235" s="6"/>
      <c r="CE235" s="6">
        <v>187</v>
      </c>
      <c r="CF235" s="6">
        <v>800</v>
      </c>
      <c r="CG235" s="6">
        <f t="shared" si="92"/>
        <v>228</v>
      </c>
      <c r="CH235" s="6">
        <v>419</v>
      </c>
      <c r="CI235" s="6"/>
      <c r="CJ235" s="6">
        <f t="shared" si="93"/>
        <v>232</v>
      </c>
      <c r="CK235" s="6">
        <v>646</v>
      </c>
      <c r="CL235" s="6"/>
      <c r="CM235" s="6">
        <f t="shared" si="94"/>
        <v>227</v>
      </c>
      <c r="CN235" s="6">
        <v>77</v>
      </c>
      <c r="CO235" s="6">
        <v>800</v>
      </c>
      <c r="CP235" s="6">
        <f t="shared" si="95"/>
        <v>231</v>
      </c>
      <c r="CQ235" s="6">
        <v>308</v>
      </c>
      <c r="CR235" s="6"/>
      <c r="CS235" s="6">
        <f t="shared" si="96"/>
        <v>231</v>
      </c>
      <c r="CT235" s="6">
        <v>523</v>
      </c>
      <c r="CU235" s="6"/>
      <c r="CV235" s="6">
        <f t="shared" si="97"/>
        <v>215</v>
      </c>
      <c r="CW235" s="6"/>
      <c r="CX235" s="6"/>
      <c r="CY235" s="6"/>
      <c r="CZ235" s="6">
        <v>751</v>
      </c>
      <c r="DA235" s="6"/>
      <c r="DB235" s="6">
        <f t="shared" si="98"/>
        <v>228</v>
      </c>
      <c r="DC235" s="6">
        <v>978</v>
      </c>
      <c r="DD235" s="6"/>
      <c r="DE235" s="6">
        <f t="shared" si="99"/>
        <v>227</v>
      </c>
      <c r="DF235" s="6">
        <v>227</v>
      </c>
      <c r="DG235" s="10">
        <v>978</v>
      </c>
      <c r="DH235" s="6">
        <f t="shared" si="100"/>
        <v>227</v>
      </c>
      <c r="DI235" s="6">
        <v>0</v>
      </c>
      <c r="DJ235" s="10">
        <v>326</v>
      </c>
      <c r="DK235" s="6">
        <f t="shared" si="101"/>
        <v>99</v>
      </c>
      <c r="DL235" s="6">
        <v>0</v>
      </c>
      <c r="DM235" s="10"/>
      <c r="DN235" s="6">
        <f t="shared" si="102"/>
        <v>0</v>
      </c>
      <c r="DO235" s="6">
        <v>0</v>
      </c>
      <c r="DP235" s="10"/>
      <c r="DQ235" s="6">
        <f t="shared" si="103"/>
        <v>0</v>
      </c>
    </row>
    <row r="236" spans="1:121">
      <c r="A236" s="151">
        <v>232</v>
      </c>
      <c r="B236" s="6">
        <v>466</v>
      </c>
      <c r="C236" s="10"/>
      <c r="D236" s="3">
        <v>233</v>
      </c>
      <c r="E236" s="33" t="s">
        <v>72</v>
      </c>
      <c r="F236" s="33" t="s">
        <v>72</v>
      </c>
      <c r="G236" s="33" t="s">
        <v>72</v>
      </c>
      <c r="H236" s="33" t="s">
        <v>72</v>
      </c>
      <c r="I236" s="33" t="s">
        <v>72</v>
      </c>
      <c r="J236" s="33" t="s">
        <v>72</v>
      </c>
      <c r="K236" s="33" t="s">
        <v>72</v>
      </c>
      <c r="L236" s="33" t="s">
        <v>72</v>
      </c>
      <c r="M236" s="33" t="s">
        <v>72</v>
      </c>
      <c r="N236" s="33" t="s">
        <v>72</v>
      </c>
      <c r="O236" s="33" t="s">
        <v>72</v>
      </c>
      <c r="P236" s="33" t="s">
        <v>72</v>
      </c>
      <c r="Q236" s="33" t="s">
        <v>72</v>
      </c>
      <c r="R236" s="33" t="s">
        <v>72</v>
      </c>
      <c r="S236" s="33" t="s">
        <v>72</v>
      </c>
      <c r="T236" s="33" t="s">
        <v>72</v>
      </c>
      <c r="U236" s="33" t="s">
        <v>72</v>
      </c>
      <c r="V236" s="33" t="s">
        <v>72</v>
      </c>
      <c r="W236" s="33" t="s">
        <v>72</v>
      </c>
      <c r="X236" s="33" t="s">
        <v>72</v>
      </c>
      <c r="Y236" s="33" t="s">
        <v>72</v>
      </c>
      <c r="Z236" s="33" t="s">
        <v>72</v>
      </c>
      <c r="AA236" s="33" t="s">
        <v>72</v>
      </c>
      <c r="AB236" s="33" t="s">
        <v>72</v>
      </c>
      <c r="AC236" s="33" t="s">
        <v>72</v>
      </c>
      <c r="AD236" s="33" t="s">
        <v>72</v>
      </c>
      <c r="AE236" s="33" t="s">
        <v>72</v>
      </c>
      <c r="AF236" s="6">
        <v>710</v>
      </c>
      <c r="AG236" s="6"/>
      <c r="AH236" s="35">
        <f t="shared" si="78"/>
        <v>244</v>
      </c>
      <c r="AI236" s="35">
        <v>944</v>
      </c>
      <c r="AJ236" s="35"/>
      <c r="AK236" s="35">
        <f t="shared" si="79"/>
        <v>234</v>
      </c>
      <c r="AL236" s="6"/>
      <c r="AM236" s="6"/>
      <c r="AN236" s="35"/>
      <c r="AO236" s="6">
        <v>87</v>
      </c>
      <c r="AP236" s="3">
        <v>1100</v>
      </c>
      <c r="AQ236" s="34">
        <f t="shared" si="80"/>
        <v>243</v>
      </c>
      <c r="AR236" s="35">
        <v>320</v>
      </c>
      <c r="AS236" s="35"/>
      <c r="AT236" s="35">
        <f t="shared" si="81"/>
        <v>233</v>
      </c>
      <c r="AU236" s="6">
        <v>549</v>
      </c>
      <c r="AV236" s="35"/>
      <c r="AW236" s="35">
        <f t="shared" si="82"/>
        <v>229</v>
      </c>
      <c r="AX236" s="6">
        <v>184</v>
      </c>
      <c r="AY236" s="3">
        <v>592</v>
      </c>
      <c r="AZ236" s="35">
        <f t="shared" si="83"/>
        <v>227</v>
      </c>
      <c r="BA236" s="35">
        <v>416</v>
      </c>
      <c r="BB236" s="35"/>
      <c r="BC236" s="35">
        <f t="shared" si="84"/>
        <v>232</v>
      </c>
      <c r="BD236" s="35">
        <v>639</v>
      </c>
      <c r="BE236" s="6"/>
      <c r="BF236" s="35">
        <f t="shared" si="85"/>
        <v>223</v>
      </c>
      <c r="BG236" s="6"/>
      <c r="BH236" s="35"/>
      <c r="BI236" s="6"/>
      <c r="BJ236" s="35">
        <v>21</v>
      </c>
      <c r="BK236" s="78">
        <v>849</v>
      </c>
      <c r="BL236" s="6">
        <f t="shared" si="86"/>
        <v>231</v>
      </c>
      <c r="BM236" s="35">
        <v>254</v>
      </c>
      <c r="BN236" s="35"/>
      <c r="BO236" s="6">
        <f t="shared" si="87"/>
        <v>233</v>
      </c>
      <c r="BP236" s="35">
        <v>43</v>
      </c>
      <c r="BQ236" s="78">
        <v>441</v>
      </c>
      <c r="BR236" s="35">
        <f t="shared" si="88"/>
        <v>230</v>
      </c>
      <c r="BS236" s="35">
        <v>273</v>
      </c>
      <c r="BT236" s="35"/>
      <c r="BU236" s="6">
        <f t="shared" si="89"/>
        <v>230</v>
      </c>
      <c r="BV236" s="6">
        <v>507</v>
      </c>
      <c r="BW236" s="35"/>
      <c r="BX236" s="35">
        <f t="shared" si="90"/>
        <v>234</v>
      </c>
      <c r="BY236" s="35">
        <v>728</v>
      </c>
      <c r="BZ236" s="6"/>
      <c r="CA236" s="6">
        <f t="shared" si="91"/>
        <v>221</v>
      </c>
      <c r="CB236" s="6"/>
      <c r="CC236" s="6"/>
      <c r="CD236" s="6"/>
      <c r="CE236" s="6">
        <v>962</v>
      </c>
      <c r="CF236" s="6"/>
      <c r="CG236" s="6">
        <f t="shared" si="92"/>
        <v>234</v>
      </c>
      <c r="CH236" s="6">
        <v>96</v>
      </c>
      <c r="CI236" s="3">
        <v>1100</v>
      </c>
      <c r="CJ236" s="6">
        <f t="shared" si="93"/>
        <v>234</v>
      </c>
      <c r="CK236" s="6">
        <v>328</v>
      </c>
      <c r="CL236" s="6"/>
      <c r="CM236" s="6">
        <f t="shared" si="94"/>
        <v>232</v>
      </c>
      <c r="CN236" s="6">
        <v>565</v>
      </c>
      <c r="CO236" s="6"/>
      <c r="CP236" s="6">
        <f t="shared" si="95"/>
        <v>237</v>
      </c>
      <c r="CQ236" s="6">
        <v>0</v>
      </c>
      <c r="CR236" s="3">
        <v>735</v>
      </c>
      <c r="CS236" s="6">
        <f t="shared" si="96"/>
        <v>170</v>
      </c>
      <c r="CT236" s="6">
        <v>0</v>
      </c>
      <c r="CU236" s="6"/>
      <c r="CV236" s="6">
        <f t="shared" si="97"/>
        <v>0</v>
      </c>
      <c r="CW236" s="6"/>
      <c r="CX236" s="6"/>
      <c r="CY236" s="6"/>
      <c r="CZ236" s="6">
        <v>0</v>
      </c>
      <c r="DA236" s="6"/>
      <c r="DB236" s="6">
        <f t="shared" si="98"/>
        <v>0</v>
      </c>
      <c r="DC236" s="6">
        <v>0</v>
      </c>
      <c r="DD236" s="6"/>
      <c r="DE236" s="6">
        <f t="shared" si="99"/>
        <v>0</v>
      </c>
      <c r="DF236" s="6">
        <v>0</v>
      </c>
      <c r="DG236" s="10"/>
      <c r="DH236" s="6">
        <f t="shared" si="100"/>
        <v>0</v>
      </c>
      <c r="DI236" s="6">
        <v>0</v>
      </c>
      <c r="DJ236" s="10"/>
      <c r="DK236" s="6">
        <f t="shared" si="101"/>
        <v>0</v>
      </c>
      <c r="DL236" s="6">
        <v>0</v>
      </c>
      <c r="DM236" s="10"/>
      <c r="DN236" s="6">
        <f t="shared" si="102"/>
        <v>0</v>
      </c>
      <c r="DO236" s="6">
        <v>0</v>
      </c>
      <c r="DP236" s="10"/>
      <c r="DQ236" s="6">
        <f t="shared" si="103"/>
        <v>0</v>
      </c>
    </row>
    <row r="237" spans="1:121">
      <c r="A237" s="151">
        <v>233</v>
      </c>
      <c r="B237" s="6">
        <v>233</v>
      </c>
      <c r="C237" s="10">
        <v>1100</v>
      </c>
      <c r="D237" s="6">
        <v>242</v>
      </c>
      <c r="E237" s="141" t="s">
        <v>75</v>
      </c>
      <c r="F237" s="141" t="s">
        <v>75</v>
      </c>
      <c r="G237" s="141" t="s">
        <v>75</v>
      </c>
      <c r="H237" s="141" t="s">
        <v>75</v>
      </c>
      <c r="I237" s="141" t="s">
        <v>75</v>
      </c>
      <c r="J237" s="141" t="s">
        <v>75</v>
      </c>
      <c r="K237" s="163" t="s">
        <v>79</v>
      </c>
      <c r="L237" s="141" t="s">
        <v>79</v>
      </c>
      <c r="M237" s="141" t="s">
        <v>79</v>
      </c>
      <c r="N237" s="141" t="s">
        <v>79</v>
      </c>
      <c r="O237" s="141" t="s">
        <v>79</v>
      </c>
      <c r="P237" s="141" t="s">
        <v>79</v>
      </c>
      <c r="Q237" s="141" t="s">
        <v>79</v>
      </c>
      <c r="R237" s="141" t="s">
        <v>79</v>
      </c>
      <c r="S237" s="141" t="s">
        <v>79</v>
      </c>
      <c r="T237" s="141" t="s">
        <v>79</v>
      </c>
      <c r="U237" s="141" t="s">
        <v>79</v>
      </c>
      <c r="V237" s="141" t="s">
        <v>79</v>
      </c>
      <c r="W237" s="141" t="s">
        <v>79</v>
      </c>
      <c r="X237" s="141" t="s">
        <v>79</v>
      </c>
      <c r="Y237" s="141" t="s">
        <v>79</v>
      </c>
      <c r="Z237" s="141" t="s">
        <v>79</v>
      </c>
      <c r="AA237" s="141" t="s">
        <v>79</v>
      </c>
      <c r="AB237" s="141" t="s">
        <v>79</v>
      </c>
      <c r="AC237" s="141" t="s">
        <v>79</v>
      </c>
      <c r="AD237" s="141" t="s">
        <v>79</v>
      </c>
      <c r="AE237" s="163" t="s">
        <v>79</v>
      </c>
      <c r="AF237" s="6">
        <v>484</v>
      </c>
      <c r="AG237" s="6"/>
      <c r="AH237" s="35">
        <f t="shared" si="78"/>
        <v>251</v>
      </c>
      <c r="AI237" s="35">
        <v>725</v>
      </c>
      <c r="AJ237" s="35"/>
      <c r="AK237" s="35">
        <f t="shared" si="79"/>
        <v>241</v>
      </c>
      <c r="AL237" s="6"/>
      <c r="AM237" s="6"/>
      <c r="AN237" s="35"/>
      <c r="AO237" s="6">
        <v>974</v>
      </c>
      <c r="AP237" s="6"/>
      <c r="AQ237" s="34">
        <f t="shared" si="80"/>
        <v>249</v>
      </c>
      <c r="AR237" s="35">
        <v>127</v>
      </c>
      <c r="AS237" s="35">
        <v>1100</v>
      </c>
      <c r="AT237" s="35">
        <f t="shared" si="81"/>
        <v>253</v>
      </c>
      <c r="AU237" s="6">
        <v>0</v>
      </c>
      <c r="AV237" s="6">
        <v>353</v>
      </c>
      <c r="AW237" s="35">
        <f t="shared" si="82"/>
        <v>226</v>
      </c>
      <c r="AX237" s="6">
        <v>216</v>
      </c>
      <c r="AY237" s="6"/>
      <c r="AZ237" s="35">
        <f t="shared" si="83"/>
        <v>216</v>
      </c>
      <c r="BA237" s="35">
        <v>463</v>
      </c>
      <c r="BB237" s="35"/>
      <c r="BC237" s="35">
        <f t="shared" si="84"/>
        <v>247</v>
      </c>
      <c r="BD237" s="35">
        <v>696</v>
      </c>
      <c r="BE237" s="6"/>
      <c r="BF237" s="35">
        <f t="shared" si="85"/>
        <v>233</v>
      </c>
      <c r="BG237" s="6"/>
      <c r="BH237" s="35"/>
      <c r="BI237" s="6"/>
      <c r="BJ237" s="35">
        <v>138</v>
      </c>
      <c r="BK237" s="35">
        <v>800</v>
      </c>
      <c r="BL237" s="6">
        <f t="shared" si="86"/>
        <v>242</v>
      </c>
      <c r="BM237" s="35">
        <v>382</v>
      </c>
      <c r="BN237" s="35"/>
      <c r="BO237" s="6">
        <f t="shared" si="87"/>
        <v>244</v>
      </c>
      <c r="BP237" s="35">
        <v>623</v>
      </c>
      <c r="BQ237" s="35"/>
      <c r="BR237" s="35">
        <f t="shared" si="88"/>
        <v>241</v>
      </c>
      <c r="BS237" s="35">
        <v>69</v>
      </c>
      <c r="BT237" s="35">
        <v>800</v>
      </c>
      <c r="BU237" s="6">
        <f t="shared" si="89"/>
        <v>246</v>
      </c>
      <c r="BV237" s="6">
        <v>316</v>
      </c>
      <c r="BW237" s="35"/>
      <c r="BX237" s="35">
        <f t="shared" si="90"/>
        <v>247</v>
      </c>
      <c r="BY237" s="35">
        <v>548</v>
      </c>
      <c r="BZ237" s="6"/>
      <c r="CA237" s="6">
        <f t="shared" si="91"/>
        <v>232</v>
      </c>
      <c r="CB237" s="6"/>
      <c r="CC237" s="6"/>
      <c r="CD237" s="6"/>
      <c r="CE237" s="6">
        <v>791</v>
      </c>
      <c r="CF237" s="6"/>
      <c r="CG237" s="6">
        <f t="shared" si="92"/>
        <v>243</v>
      </c>
      <c r="CH237" s="6">
        <v>234</v>
      </c>
      <c r="CI237" s="6">
        <v>800</v>
      </c>
      <c r="CJ237" s="6">
        <f t="shared" si="93"/>
        <v>243</v>
      </c>
      <c r="CK237" s="6">
        <v>475</v>
      </c>
      <c r="CL237" s="6"/>
      <c r="CM237" s="6">
        <f t="shared" si="94"/>
        <v>241</v>
      </c>
      <c r="CN237" s="6">
        <v>718</v>
      </c>
      <c r="CO237" s="6"/>
      <c r="CP237" s="6">
        <f t="shared" si="95"/>
        <v>243</v>
      </c>
      <c r="CQ237" s="6">
        <v>156</v>
      </c>
      <c r="CR237" s="6">
        <v>800</v>
      </c>
      <c r="CS237" s="6">
        <f t="shared" si="96"/>
        <v>238</v>
      </c>
      <c r="CT237" s="6">
        <v>384</v>
      </c>
      <c r="CU237" s="6"/>
      <c r="CV237" s="6">
        <f t="shared" si="97"/>
        <v>228</v>
      </c>
      <c r="CW237" s="6"/>
      <c r="CX237" s="6"/>
      <c r="CY237" s="6"/>
      <c r="CZ237" s="6">
        <v>622</v>
      </c>
      <c r="DA237" s="6"/>
      <c r="DB237" s="6">
        <f t="shared" si="98"/>
        <v>238</v>
      </c>
      <c r="DC237" s="6">
        <v>142</v>
      </c>
      <c r="DD237" s="6">
        <v>715</v>
      </c>
      <c r="DE237" s="6">
        <f t="shared" si="99"/>
        <v>235</v>
      </c>
      <c r="DF237" s="6">
        <v>382</v>
      </c>
      <c r="DG237" s="10"/>
      <c r="DH237" s="6">
        <f t="shared" si="100"/>
        <v>240</v>
      </c>
      <c r="DI237" s="6">
        <v>624</v>
      </c>
      <c r="DJ237" s="10"/>
      <c r="DK237" s="6">
        <f t="shared" si="101"/>
        <v>242</v>
      </c>
      <c r="DL237" s="6">
        <v>0</v>
      </c>
      <c r="DM237" s="10">
        <v>836</v>
      </c>
      <c r="DN237" s="6">
        <f t="shared" si="102"/>
        <v>212</v>
      </c>
      <c r="DO237" s="6">
        <v>213</v>
      </c>
      <c r="DP237" s="10"/>
      <c r="DQ237" s="6">
        <f t="shared" si="103"/>
        <v>213</v>
      </c>
    </row>
    <row r="238" spans="1:121">
      <c r="A238" s="151">
        <v>234</v>
      </c>
      <c r="B238" s="6">
        <v>229</v>
      </c>
      <c r="C238" s="10"/>
      <c r="D238" s="3">
        <v>229</v>
      </c>
      <c r="E238" s="148" t="s">
        <v>72</v>
      </c>
      <c r="F238" s="33" t="s">
        <v>72</v>
      </c>
      <c r="G238" s="33" t="s">
        <v>72</v>
      </c>
      <c r="H238" s="33" t="s">
        <v>72</v>
      </c>
      <c r="I238" s="33" t="s">
        <v>72</v>
      </c>
      <c r="J238" s="33" t="s">
        <v>72</v>
      </c>
      <c r="K238" s="33" t="s">
        <v>72</v>
      </c>
      <c r="L238" s="33" t="s">
        <v>72</v>
      </c>
      <c r="M238" s="33" t="s">
        <v>72</v>
      </c>
      <c r="N238" s="33" t="s">
        <v>72</v>
      </c>
      <c r="O238" s="33" t="s">
        <v>72</v>
      </c>
      <c r="P238" s="33" t="s">
        <v>72</v>
      </c>
      <c r="Q238" s="33" t="s">
        <v>72</v>
      </c>
      <c r="R238" s="33" t="s">
        <v>72</v>
      </c>
      <c r="S238" s="33" t="s">
        <v>72</v>
      </c>
      <c r="T238" s="33" t="s">
        <v>72</v>
      </c>
      <c r="U238" s="33" t="s">
        <v>72</v>
      </c>
      <c r="V238" s="33" t="s">
        <v>72</v>
      </c>
      <c r="W238" s="33" t="s">
        <v>72</v>
      </c>
      <c r="X238" s="33" t="s">
        <v>72</v>
      </c>
      <c r="Y238" s="33" t="s">
        <v>72</v>
      </c>
      <c r="Z238" s="33" t="s">
        <v>72</v>
      </c>
      <c r="AA238" s="33" t="s">
        <v>72</v>
      </c>
      <c r="AB238" s="33" t="s">
        <v>72</v>
      </c>
      <c r="AC238" s="33" t="s">
        <v>72</v>
      </c>
      <c r="AD238" s="33" t="s">
        <v>72</v>
      </c>
      <c r="AE238" s="33" t="s">
        <v>72</v>
      </c>
      <c r="AF238" s="6">
        <v>471</v>
      </c>
      <c r="AG238" s="6"/>
      <c r="AH238" s="35">
        <f t="shared" si="78"/>
        <v>242</v>
      </c>
      <c r="AI238" s="35">
        <v>702</v>
      </c>
      <c r="AJ238" s="35"/>
      <c r="AK238" s="35">
        <f t="shared" si="79"/>
        <v>231</v>
      </c>
      <c r="AL238" s="6"/>
      <c r="AM238" s="6"/>
      <c r="AN238" s="35"/>
      <c r="AO238" s="6">
        <v>944</v>
      </c>
      <c r="AP238" s="6"/>
      <c r="AQ238" s="34">
        <f t="shared" si="80"/>
        <v>242</v>
      </c>
      <c r="AR238" s="35">
        <v>76</v>
      </c>
      <c r="AS238" s="78">
        <v>1100</v>
      </c>
      <c r="AT238" s="35">
        <f t="shared" si="81"/>
        <v>232</v>
      </c>
      <c r="AU238" s="35">
        <v>304</v>
      </c>
      <c r="AV238" s="6"/>
      <c r="AW238" s="35">
        <f t="shared" si="82"/>
        <v>228</v>
      </c>
      <c r="AX238" s="6">
        <v>532</v>
      </c>
      <c r="AY238" s="6"/>
      <c r="AZ238" s="35">
        <f t="shared" si="83"/>
        <v>228</v>
      </c>
      <c r="BA238" s="35">
        <v>762</v>
      </c>
      <c r="BB238" s="35"/>
      <c r="BC238" s="35">
        <f t="shared" si="84"/>
        <v>230</v>
      </c>
      <c r="BD238" s="35">
        <v>980</v>
      </c>
      <c r="BE238" s="6"/>
      <c r="BF238" s="35">
        <f t="shared" si="85"/>
        <v>218</v>
      </c>
      <c r="BG238" s="6"/>
      <c r="BH238" s="35"/>
      <c r="BI238" s="6"/>
      <c r="BJ238" s="35">
        <v>110</v>
      </c>
      <c r="BK238" s="78">
        <v>1100</v>
      </c>
      <c r="BL238" s="6">
        <f t="shared" si="86"/>
        <v>230</v>
      </c>
      <c r="BM238" s="35">
        <v>102</v>
      </c>
      <c r="BN238" s="78">
        <v>235</v>
      </c>
      <c r="BO238" s="6">
        <f t="shared" si="87"/>
        <v>227</v>
      </c>
      <c r="BP238" s="35">
        <v>329</v>
      </c>
      <c r="BQ238" s="35"/>
      <c r="BR238" s="35">
        <f t="shared" si="88"/>
        <v>227</v>
      </c>
      <c r="BS238" s="35">
        <v>558</v>
      </c>
      <c r="BT238" s="35"/>
      <c r="BU238" s="6">
        <f t="shared" si="89"/>
        <v>229</v>
      </c>
      <c r="BV238" s="6">
        <v>151</v>
      </c>
      <c r="BW238" s="78">
        <v>636</v>
      </c>
      <c r="BX238" s="35">
        <f t="shared" si="90"/>
        <v>229</v>
      </c>
      <c r="BY238" s="35">
        <v>372</v>
      </c>
      <c r="BZ238" s="6"/>
      <c r="CA238" s="6">
        <f t="shared" si="91"/>
        <v>221</v>
      </c>
      <c r="CB238" s="6"/>
      <c r="CC238" s="6"/>
      <c r="CD238" s="6"/>
      <c r="CE238" s="6">
        <v>71</v>
      </c>
      <c r="CF238" s="3">
        <v>532</v>
      </c>
      <c r="CG238" s="6">
        <f t="shared" si="92"/>
        <v>231</v>
      </c>
      <c r="CH238" s="6">
        <v>302</v>
      </c>
      <c r="CI238" s="6"/>
      <c r="CJ238" s="6">
        <f t="shared" si="93"/>
        <v>231</v>
      </c>
      <c r="CK238" s="6">
        <v>532</v>
      </c>
      <c r="CL238" s="6"/>
      <c r="CM238" s="6">
        <f t="shared" si="94"/>
        <v>230</v>
      </c>
      <c r="CN238" s="6">
        <v>764</v>
      </c>
      <c r="CO238" s="6"/>
      <c r="CP238" s="6">
        <f t="shared" si="95"/>
        <v>232</v>
      </c>
      <c r="CQ238" s="6">
        <v>997</v>
      </c>
      <c r="CR238" s="6"/>
      <c r="CS238" s="6">
        <f t="shared" si="96"/>
        <v>233</v>
      </c>
      <c r="CT238" s="6">
        <v>0</v>
      </c>
      <c r="CU238" s="3">
        <v>1172</v>
      </c>
      <c r="CV238" s="6">
        <f t="shared" si="97"/>
        <v>175</v>
      </c>
      <c r="CW238" s="6"/>
      <c r="CX238" s="6"/>
      <c r="CY238" s="6"/>
      <c r="CZ238" s="6">
        <v>0</v>
      </c>
      <c r="DA238" s="6"/>
      <c r="DB238" s="6">
        <f t="shared" si="98"/>
        <v>0</v>
      </c>
      <c r="DC238" s="6">
        <v>0</v>
      </c>
      <c r="DD238" s="6"/>
      <c r="DE238" s="6">
        <f t="shared" si="99"/>
        <v>0</v>
      </c>
      <c r="DF238" s="6">
        <v>0</v>
      </c>
      <c r="DG238" s="10"/>
      <c r="DH238" s="6">
        <f t="shared" si="100"/>
        <v>0</v>
      </c>
      <c r="DI238" s="6">
        <v>0</v>
      </c>
      <c r="DJ238" s="10"/>
      <c r="DK238" s="6">
        <f t="shared" si="101"/>
        <v>0</v>
      </c>
      <c r="DL238" s="6">
        <v>0</v>
      </c>
      <c r="DM238" s="10"/>
      <c r="DN238" s="6">
        <f t="shared" si="102"/>
        <v>0</v>
      </c>
      <c r="DO238" s="6">
        <v>0</v>
      </c>
      <c r="DP238" s="10"/>
      <c r="DQ238" s="6">
        <f t="shared" si="103"/>
        <v>0</v>
      </c>
    </row>
    <row r="239" spans="1:121">
      <c r="A239" s="151">
        <v>235</v>
      </c>
      <c r="B239" s="6">
        <v>731</v>
      </c>
      <c r="C239" s="10"/>
      <c r="D239" s="3">
        <v>234</v>
      </c>
      <c r="E239" s="141" t="s">
        <v>72</v>
      </c>
      <c r="F239" s="141" t="s">
        <v>72</v>
      </c>
      <c r="G239" s="141" t="s">
        <v>72</v>
      </c>
      <c r="H239" s="141" t="s">
        <v>72</v>
      </c>
      <c r="I239" s="141" t="s">
        <v>72</v>
      </c>
      <c r="J239" s="141" t="s">
        <v>72</v>
      </c>
      <c r="K239" s="141" t="s">
        <v>72</v>
      </c>
      <c r="L239" s="141" t="s">
        <v>72</v>
      </c>
      <c r="M239" s="141" t="s">
        <v>72</v>
      </c>
      <c r="N239" s="141" t="s">
        <v>72</v>
      </c>
      <c r="O239" s="141" t="s">
        <v>72</v>
      </c>
      <c r="P239" s="141" t="s">
        <v>72</v>
      </c>
      <c r="Q239" s="141" t="s">
        <v>72</v>
      </c>
      <c r="R239" s="141" t="s">
        <v>72</v>
      </c>
      <c r="S239" s="141" t="s">
        <v>72</v>
      </c>
      <c r="T239" s="141" t="s">
        <v>72</v>
      </c>
      <c r="U239" s="141" t="s">
        <v>72</v>
      </c>
      <c r="V239" s="141" t="s">
        <v>72</v>
      </c>
      <c r="W239" s="141" t="s">
        <v>72</v>
      </c>
      <c r="X239" s="141" t="s">
        <v>72</v>
      </c>
      <c r="Y239" s="141" t="s">
        <v>72</v>
      </c>
      <c r="Z239" s="141" t="s">
        <v>72</v>
      </c>
      <c r="AA239" s="141" t="s">
        <v>72</v>
      </c>
      <c r="AB239" s="163" t="s">
        <v>79</v>
      </c>
      <c r="AC239" s="141" t="s">
        <v>79</v>
      </c>
      <c r="AD239" s="141" t="s">
        <v>79</v>
      </c>
      <c r="AE239" s="141" t="s">
        <v>79</v>
      </c>
      <c r="AF239" s="6">
        <v>975</v>
      </c>
      <c r="AG239" s="6"/>
      <c r="AH239" s="35">
        <f t="shared" si="78"/>
        <v>244</v>
      </c>
      <c r="AI239" s="35">
        <v>101</v>
      </c>
      <c r="AJ239" s="78">
        <v>1100</v>
      </c>
      <c r="AK239" s="35">
        <f t="shared" si="79"/>
        <v>226</v>
      </c>
      <c r="AL239" s="6"/>
      <c r="AM239" s="6"/>
      <c r="AN239" s="35"/>
      <c r="AO239" s="6">
        <v>340</v>
      </c>
      <c r="AP239" s="6"/>
      <c r="AQ239" s="34">
        <f t="shared" si="80"/>
        <v>239</v>
      </c>
      <c r="AR239" s="35">
        <v>577</v>
      </c>
      <c r="AS239" s="35"/>
      <c r="AT239" s="35">
        <f t="shared" si="81"/>
        <v>237</v>
      </c>
      <c r="AU239" s="6">
        <v>815</v>
      </c>
      <c r="AV239" s="6"/>
      <c r="AW239" s="35">
        <f t="shared" si="82"/>
        <v>238</v>
      </c>
      <c r="AX239" s="6">
        <v>62</v>
      </c>
      <c r="AY239" s="3">
        <v>988</v>
      </c>
      <c r="AZ239" s="35">
        <f t="shared" si="83"/>
        <v>235</v>
      </c>
      <c r="BA239" s="35">
        <v>301</v>
      </c>
      <c r="BB239" s="35"/>
      <c r="BC239" s="35">
        <f t="shared" si="84"/>
        <v>239</v>
      </c>
      <c r="BD239" s="35">
        <v>531</v>
      </c>
      <c r="BE239" s="6"/>
      <c r="BF239" s="35">
        <f t="shared" si="85"/>
        <v>230</v>
      </c>
      <c r="BG239" s="6"/>
      <c r="BH239" s="6"/>
      <c r="BI239" s="6"/>
      <c r="BJ239" s="6">
        <v>766</v>
      </c>
      <c r="BK239" s="6"/>
      <c r="BL239" s="6">
        <f t="shared" si="86"/>
        <v>235</v>
      </c>
      <c r="BM239" s="35">
        <v>1006</v>
      </c>
      <c r="BN239" s="35"/>
      <c r="BO239" s="6">
        <f t="shared" si="87"/>
        <v>240</v>
      </c>
      <c r="BP239" s="35">
        <v>143</v>
      </c>
      <c r="BQ239" s="78">
        <v>1100</v>
      </c>
      <c r="BR239" s="35">
        <f t="shared" si="88"/>
        <v>237</v>
      </c>
      <c r="BS239" s="35">
        <v>383</v>
      </c>
      <c r="BT239" s="35"/>
      <c r="BU239" s="6">
        <f t="shared" si="89"/>
        <v>240</v>
      </c>
      <c r="BV239" s="35">
        <v>623</v>
      </c>
      <c r="BW239" s="35"/>
      <c r="BX239" s="35">
        <f t="shared" si="90"/>
        <v>240</v>
      </c>
      <c r="BY239" s="35">
        <v>850</v>
      </c>
      <c r="BZ239" s="6"/>
      <c r="CA239" s="6">
        <f t="shared" si="91"/>
        <v>227</v>
      </c>
      <c r="CB239" s="6"/>
      <c r="CC239" s="6"/>
      <c r="CD239" s="6"/>
      <c r="CE239" s="6">
        <v>1087</v>
      </c>
      <c r="CF239" s="6"/>
      <c r="CG239" s="6">
        <f t="shared" si="92"/>
        <v>237</v>
      </c>
      <c r="CH239" s="6">
        <v>223</v>
      </c>
      <c r="CI239" s="3">
        <v>1100</v>
      </c>
      <c r="CJ239" s="6">
        <f t="shared" si="93"/>
        <v>236</v>
      </c>
      <c r="CK239" s="6">
        <v>460</v>
      </c>
      <c r="CL239" s="6"/>
      <c r="CM239" s="6">
        <f t="shared" si="94"/>
        <v>237</v>
      </c>
      <c r="CN239" s="6">
        <v>0</v>
      </c>
      <c r="CO239" s="3">
        <v>475</v>
      </c>
      <c r="CP239" s="6">
        <f t="shared" si="95"/>
        <v>15</v>
      </c>
      <c r="CQ239" s="6">
        <v>0</v>
      </c>
      <c r="CR239" s="6"/>
      <c r="CS239" s="6">
        <f t="shared" si="96"/>
        <v>0</v>
      </c>
      <c r="CT239" s="6">
        <v>0</v>
      </c>
      <c r="CU239" s="6"/>
      <c r="CV239" s="6">
        <f t="shared" si="97"/>
        <v>0</v>
      </c>
      <c r="CW239" s="6"/>
      <c r="CX239" s="6"/>
      <c r="CY239" s="6"/>
      <c r="CZ239" s="6">
        <v>0</v>
      </c>
      <c r="DA239" s="6"/>
      <c r="DB239" s="6">
        <f t="shared" si="98"/>
        <v>0</v>
      </c>
      <c r="DC239" s="6">
        <v>0</v>
      </c>
      <c r="DD239" s="6"/>
      <c r="DE239" s="6">
        <f t="shared" si="99"/>
        <v>0</v>
      </c>
      <c r="DF239" s="6">
        <v>147</v>
      </c>
      <c r="DG239" s="10"/>
      <c r="DH239" s="6">
        <f t="shared" si="100"/>
        <v>147</v>
      </c>
      <c r="DI239" s="6">
        <v>384</v>
      </c>
      <c r="DJ239" s="10"/>
      <c r="DK239" s="6">
        <f t="shared" si="101"/>
        <v>237</v>
      </c>
      <c r="DL239" s="6">
        <v>621</v>
      </c>
      <c r="DM239" s="10"/>
      <c r="DN239" s="6">
        <f t="shared" si="102"/>
        <v>237</v>
      </c>
      <c r="DO239" s="6">
        <v>33</v>
      </c>
      <c r="DP239" s="10">
        <v>800</v>
      </c>
      <c r="DQ239" s="6">
        <f t="shared" si="103"/>
        <v>212</v>
      </c>
    </row>
    <row r="240" spans="1:121">
      <c r="A240" s="151">
        <v>236</v>
      </c>
      <c r="B240" s="6">
        <v>452</v>
      </c>
      <c r="C240" s="10"/>
      <c r="D240" s="3">
        <v>229</v>
      </c>
      <c r="E240" s="141" t="s">
        <v>72</v>
      </c>
      <c r="F240" s="141" t="s">
        <v>72</v>
      </c>
      <c r="G240" s="141" t="s">
        <v>72</v>
      </c>
      <c r="H240" s="141" t="s">
        <v>72</v>
      </c>
      <c r="I240" s="141" t="s">
        <v>72</v>
      </c>
      <c r="J240" s="141" t="s">
        <v>72</v>
      </c>
      <c r="K240" s="141" t="s">
        <v>72</v>
      </c>
      <c r="L240" s="141" t="s">
        <v>72</v>
      </c>
      <c r="M240" s="141" t="s">
        <v>72</v>
      </c>
      <c r="N240" s="141" t="s">
        <v>72</v>
      </c>
      <c r="O240" s="141" t="s">
        <v>72</v>
      </c>
      <c r="P240" s="141" t="s">
        <v>72</v>
      </c>
      <c r="Q240" s="141" t="s">
        <v>72</v>
      </c>
      <c r="R240" s="141" t="s">
        <v>72</v>
      </c>
      <c r="S240" s="141" t="s">
        <v>72</v>
      </c>
      <c r="T240" s="141" t="s">
        <v>72</v>
      </c>
      <c r="U240" s="141" t="s">
        <v>72</v>
      </c>
      <c r="V240" s="141" t="s">
        <v>72</v>
      </c>
      <c r="W240" s="141" t="s">
        <v>72</v>
      </c>
      <c r="X240" s="141" t="s">
        <v>72</v>
      </c>
      <c r="Y240" s="141" t="s">
        <v>72</v>
      </c>
      <c r="Z240" s="141" t="s">
        <v>72</v>
      </c>
      <c r="AA240" s="141" t="s">
        <v>72</v>
      </c>
      <c r="AB240" s="141" t="s">
        <v>72</v>
      </c>
      <c r="AC240" s="163" t="s">
        <v>79</v>
      </c>
      <c r="AD240" s="141" t="s">
        <v>79</v>
      </c>
      <c r="AE240" s="141" t="s">
        <v>79</v>
      </c>
      <c r="AF240" s="6">
        <v>688</v>
      </c>
      <c r="AG240" s="6"/>
      <c r="AH240" s="35">
        <f t="shared" si="78"/>
        <v>236</v>
      </c>
      <c r="AI240" s="35">
        <v>915</v>
      </c>
      <c r="AJ240" s="35"/>
      <c r="AK240" s="35">
        <f t="shared" si="79"/>
        <v>227</v>
      </c>
      <c r="AL240" s="6"/>
      <c r="AM240" s="6"/>
      <c r="AN240" s="35"/>
      <c r="AO240" s="6">
        <v>54</v>
      </c>
      <c r="AP240" s="3">
        <v>1100</v>
      </c>
      <c r="AQ240" s="34">
        <f t="shared" si="80"/>
        <v>239</v>
      </c>
      <c r="AR240" s="35">
        <v>294</v>
      </c>
      <c r="AS240" s="35"/>
      <c r="AT240" s="35">
        <f t="shared" si="81"/>
        <v>240</v>
      </c>
      <c r="AU240" s="6">
        <v>531</v>
      </c>
      <c r="AV240" s="6"/>
      <c r="AW240" s="35">
        <f t="shared" si="82"/>
        <v>237</v>
      </c>
      <c r="AX240" s="6">
        <v>769</v>
      </c>
      <c r="AY240" s="6"/>
      <c r="AZ240" s="35">
        <f t="shared" si="83"/>
        <v>238</v>
      </c>
      <c r="BA240" s="35">
        <v>1001</v>
      </c>
      <c r="BB240" s="35"/>
      <c r="BC240" s="35">
        <f t="shared" si="84"/>
        <v>232</v>
      </c>
      <c r="BD240" s="35">
        <v>120</v>
      </c>
      <c r="BE240" s="3">
        <v>1100</v>
      </c>
      <c r="BF240" s="35">
        <f t="shared" si="85"/>
        <v>219</v>
      </c>
      <c r="BG240" s="6"/>
      <c r="BH240" s="6"/>
      <c r="BI240" s="6"/>
      <c r="BJ240" s="6">
        <v>359</v>
      </c>
      <c r="BK240" s="6"/>
      <c r="BL240" s="6">
        <f t="shared" si="86"/>
        <v>239</v>
      </c>
      <c r="BM240" s="35">
        <v>595</v>
      </c>
      <c r="BN240" s="35"/>
      <c r="BO240" s="6">
        <f t="shared" si="87"/>
        <v>236</v>
      </c>
      <c r="BP240" s="35">
        <v>829</v>
      </c>
      <c r="BQ240" s="35"/>
      <c r="BR240" s="35">
        <f t="shared" si="88"/>
        <v>234</v>
      </c>
      <c r="BS240" s="35">
        <v>1069</v>
      </c>
      <c r="BT240" s="35"/>
      <c r="BU240" s="6">
        <f t="shared" si="89"/>
        <v>240</v>
      </c>
      <c r="BV240" s="35">
        <v>208</v>
      </c>
      <c r="BW240" s="78">
        <v>1100</v>
      </c>
      <c r="BX240" s="35">
        <f t="shared" si="90"/>
        <v>239</v>
      </c>
      <c r="BY240" s="35">
        <v>432</v>
      </c>
      <c r="BZ240" s="6"/>
      <c r="CA240" s="6">
        <f t="shared" si="91"/>
        <v>224</v>
      </c>
      <c r="CB240" s="6"/>
      <c r="CC240" s="6"/>
      <c r="CD240" s="6"/>
      <c r="CE240" s="6">
        <v>667</v>
      </c>
      <c r="CF240" s="6"/>
      <c r="CG240" s="6">
        <f t="shared" si="92"/>
        <v>235</v>
      </c>
      <c r="CH240" s="6">
        <v>899</v>
      </c>
      <c r="CI240" s="6"/>
      <c r="CJ240" s="6">
        <f t="shared" si="93"/>
        <v>232</v>
      </c>
      <c r="CK240" s="6">
        <v>22</v>
      </c>
      <c r="CL240" s="3">
        <v>1100</v>
      </c>
      <c r="CM240" s="6">
        <f t="shared" si="94"/>
        <v>223</v>
      </c>
      <c r="CN240" s="6">
        <v>256</v>
      </c>
      <c r="CO240" s="6"/>
      <c r="CP240" s="6">
        <f t="shared" si="95"/>
        <v>234</v>
      </c>
      <c r="CQ240" s="6">
        <v>0</v>
      </c>
      <c r="CR240" s="3">
        <v>265</v>
      </c>
      <c r="CS240" s="6">
        <f t="shared" si="96"/>
        <v>9</v>
      </c>
      <c r="CT240" s="6">
        <v>0</v>
      </c>
      <c r="CU240" s="6"/>
      <c r="CV240" s="6">
        <f t="shared" si="97"/>
        <v>0</v>
      </c>
      <c r="CW240" s="6"/>
      <c r="CX240" s="6"/>
      <c r="CY240" s="6"/>
      <c r="CZ240" s="6">
        <v>0</v>
      </c>
      <c r="DA240" s="6"/>
      <c r="DB240" s="6">
        <f t="shared" si="98"/>
        <v>0</v>
      </c>
      <c r="DC240" s="6">
        <v>0</v>
      </c>
      <c r="DD240" s="6"/>
      <c r="DE240" s="6">
        <f t="shared" si="99"/>
        <v>0</v>
      </c>
      <c r="DF240" s="6">
        <v>0</v>
      </c>
      <c r="DG240" s="10"/>
      <c r="DH240" s="6">
        <f t="shared" si="100"/>
        <v>0</v>
      </c>
      <c r="DI240" s="6">
        <v>170</v>
      </c>
      <c r="DJ240" s="10"/>
      <c r="DK240" s="6">
        <f t="shared" si="101"/>
        <v>170</v>
      </c>
      <c r="DL240" s="6">
        <v>402</v>
      </c>
      <c r="DM240" s="10"/>
      <c r="DN240" s="6">
        <f t="shared" si="102"/>
        <v>232</v>
      </c>
      <c r="DO240" s="6">
        <v>610</v>
      </c>
      <c r="DP240" s="10"/>
      <c r="DQ240" s="6">
        <f t="shared" si="103"/>
        <v>208</v>
      </c>
    </row>
    <row r="241" spans="1:121">
      <c r="A241" s="151">
        <v>237</v>
      </c>
      <c r="B241" s="6">
        <v>642</v>
      </c>
      <c r="C241" s="10"/>
      <c r="D241" s="3">
        <v>231</v>
      </c>
      <c r="E241" s="141" t="s">
        <v>72</v>
      </c>
      <c r="F241" s="141" t="s">
        <v>72</v>
      </c>
      <c r="G241" s="141" t="s">
        <v>72</v>
      </c>
      <c r="H241" s="141" t="s">
        <v>72</v>
      </c>
      <c r="I241" s="141" t="s">
        <v>72</v>
      </c>
      <c r="J241" s="141" t="s">
        <v>72</v>
      </c>
      <c r="K241" s="141" t="s">
        <v>72</v>
      </c>
      <c r="L241" s="141" t="s">
        <v>72</v>
      </c>
      <c r="M241" s="141" t="s">
        <v>72</v>
      </c>
      <c r="N241" s="141" t="s">
        <v>72</v>
      </c>
      <c r="O241" s="141" t="s">
        <v>72</v>
      </c>
      <c r="P241" s="141" t="s">
        <v>72</v>
      </c>
      <c r="Q241" s="141" t="s">
        <v>72</v>
      </c>
      <c r="R241" s="141" t="s">
        <v>72</v>
      </c>
      <c r="S241" s="141" t="s">
        <v>72</v>
      </c>
      <c r="T241" s="141" t="s">
        <v>72</v>
      </c>
      <c r="U241" s="141" t="s">
        <v>72</v>
      </c>
      <c r="V241" s="141" t="s">
        <v>72</v>
      </c>
      <c r="W241" s="141" t="s">
        <v>72</v>
      </c>
      <c r="X241" s="141" t="s">
        <v>72</v>
      </c>
      <c r="Y241" s="141" t="s">
        <v>72</v>
      </c>
      <c r="Z241" s="141" t="s">
        <v>72</v>
      </c>
      <c r="AA241" s="141" t="s">
        <v>72</v>
      </c>
      <c r="AB241" s="163" t="s">
        <v>79</v>
      </c>
      <c r="AC241" s="141" t="s">
        <v>79</v>
      </c>
      <c r="AD241" s="141" t="s">
        <v>79</v>
      </c>
      <c r="AE241" s="141" t="s">
        <v>79</v>
      </c>
      <c r="AF241" s="6">
        <v>99</v>
      </c>
      <c r="AG241" s="3">
        <v>763</v>
      </c>
      <c r="AH241" s="35">
        <f t="shared" si="78"/>
        <v>220</v>
      </c>
      <c r="AI241" s="35">
        <v>321</v>
      </c>
      <c r="AJ241" s="35"/>
      <c r="AK241" s="35">
        <f t="shared" si="79"/>
        <v>222</v>
      </c>
      <c r="AL241" s="6"/>
      <c r="AM241" s="6"/>
      <c r="AN241" s="35"/>
      <c r="AO241" s="6">
        <v>559</v>
      </c>
      <c r="AP241" s="6"/>
      <c r="AQ241" s="34">
        <f t="shared" si="80"/>
        <v>238</v>
      </c>
      <c r="AR241" s="35">
        <v>69</v>
      </c>
      <c r="AS241" s="78">
        <v>725</v>
      </c>
      <c r="AT241" s="35">
        <f t="shared" si="81"/>
        <v>235</v>
      </c>
      <c r="AU241" s="6">
        <v>298</v>
      </c>
      <c r="AV241" s="6"/>
      <c r="AW241" s="35">
        <f t="shared" si="82"/>
        <v>229</v>
      </c>
      <c r="AX241" s="6">
        <v>1</v>
      </c>
      <c r="AY241" s="3">
        <v>522</v>
      </c>
      <c r="AZ241" s="35">
        <f t="shared" si="83"/>
        <v>225</v>
      </c>
      <c r="BA241" s="35">
        <v>244</v>
      </c>
      <c r="BB241" s="35"/>
      <c r="BC241" s="35">
        <f t="shared" si="84"/>
        <v>243</v>
      </c>
      <c r="BD241" s="35">
        <v>471</v>
      </c>
      <c r="BE241" s="6"/>
      <c r="BF241" s="35">
        <f t="shared" si="85"/>
        <v>227</v>
      </c>
      <c r="BG241" s="6"/>
      <c r="BH241" s="6"/>
      <c r="BI241" s="6"/>
      <c r="BJ241" s="6">
        <v>711</v>
      </c>
      <c r="BK241" s="6"/>
      <c r="BL241" s="6">
        <f t="shared" si="86"/>
        <v>240</v>
      </c>
      <c r="BM241" s="35">
        <v>126</v>
      </c>
      <c r="BN241" s="78">
        <v>821</v>
      </c>
      <c r="BO241" s="6">
        <f t="shared" si="87"/>
        <v>236</v>
      </c>
      <c r="BP241" s="35">
        <v>364</v>
      </c>
      <c r="BQ241" s="35"/>
      <c r="BR241" s="35">
        <f t="shared" si="88"/>
        <v>238</v>
      </c>
      <c r="BS241" s="35">
        <v>603</v>
      </c>
      <c r="BT241" s="35"/>
      <c r="BU241" s="6">
        <f t="shared" si="89"/>
        <v>239</v>
      </c>
      <c r="BV241" s="35">
        <v>840</v>
      </c>
      <c r="BW241" s="35"/>
      <c r="BX241" s="35">
        <f t="shared" si="90"/>
        <v>237</v>
      </c>
      <c r="BY241" s="35">
        <v>1065</v>
      </c>
      <c r="BZ241" s="6"/>
      <c r="CA241" s="6">
        <f t="shared" si="91"/>
        <v>225</v>
      </c>
      <c r="CB241" s="6"/>
      <c r="CC241" s="6"/>
      <c r="CD241" s="6"/>
      <c r="CE241" s="6">
        <v>194</v>
      </c>
      <c r="CF241" s="3">
        <v>1100</v>
      </c>
      <c r="CG241" s="6">
        <f t="shared" si="92"/>
        <v>229</v>
      </c>
      <c r="CH241" s="6">
        <v>429</v>
      </c>
      <c r="CI241" s="6"/>
      <c r="CJ241" s="6">
        <f t="shared" si="93"/>
        <v>235</v>
      </c>
      <c r="CK241" s="6">
        <v>127</v>
      </c>
      <c r="CL241" s="3">
        <v>533</v>
      </c>
      <c r="CM241" s="6">
        <f t="shared" si="94"/>
        <v>231</v>
      </c>
      <c r="CN241" s="6">
        <v>0</v>
      </c>
      <c r="CO241" s="3">
        <v>292</v>
      </c>
      <c r="CP241" s="6">
        <f t="shared" si="95"/>
        <v>165</v>
      </c>
      <c r="CQ241" s="6">
        <v>0</v>
      </c>
      <c r="CR241" s="6"/>
      <c r="CS241" s="6">
        <f t="shared" si="96"/>
        <v>0</v>
      </c>
      <c r="CT241" s="6">
        <v>0</v>
      </c>
      <c r="CU241" s="6"/>
      <c r="CV241" s="6">
        <f t="shared" si="97"/>
        <v>0</v>
      </c>
      <c r="CW241" s="6"/>
      <c r="CX241" s="6"/>
      <c r="CY241" s="6"/>
      <c r="CZ241" s="6">
        <v>0</v>
      </c>
      <c r="DA241" s="6"/>
      <c r="DB241" s="6">
        <f t="shared" si="98"/>
        <v>0</v>
      </c>
      <c r="DC241" s="6">
        <v>0</v>
      </c>
      <c r="DD241" s="6"/>
      <c r="DE241" s="6">
        <f t="shared" si="99"/>
        <v>0</v>
      </c>
      <c r="DF241" s="6">
        <v>31</v>
      </c>
      <c r="DG241" s="10">
        <v>107</v>
      </c>
      <c r="DH241" s="6">
        <f t="shared" si="100"/>
        <v>138</v>
      </c>
      <c r="DI241" s="6">
        <v>1</v>
      </c>
      <c r="DJ241" s="10">
        <v>206</v>
      </c>
      <c r="DK241" s="6">
        <f t="shared" si="101"/>
        <v>176</v>
      </c>
      <c r="DL241" s="6">
        <v>199</v>
      </c>
      <c r="DM241" s="10"/>
      <c r="DN241" s="6">
        <f t="shared" si="102"/>
        <v>198</v>
      </c>
      <c r="DO241" s="6">
        <v>407</v>
      </c>
      <c r="DP241" s="10"/>
      <c r="DQ241" s="6">
        <f t="shared" si="103"/>
        <v>208</v>
      </c>
    </row>
    <row r="242" spans="1:121">
      <c r="A242" s="151">
        <v>238</v>
      </c>
      <c r="B242" s="6">
        <v>399</v>
      </c>
      <c r="C242" s="10"/>
      <c r="D242" s="3">
        <v>224</v>
      </c>
      <c r="E242" s="141" t="s">
        <v>72</v>
      </c>
      <c r="F242" s="141" t="s">
        <v>72</v>
      </c>
      <c r="G242" s="141" t="s">
        <v>72</v>
      </c>
      <c r="H242" s="141" t="s">
        <v>72</v>
      </c>
      <c r="I242" s="141" t="s">
        <v>72</v>
      </c>
      <c r="J242" s="141" t="s">
        <v>72</v>
      </c>
      <c r="K242" s="141" t="s">
        <v>72</v>
      </c>
      <c r="L242" s="141" t="s">
        <v>72</v>
      </c>
      <c r="M242" s="141" t="s">
        <v>72</v>
      </c>
      <c r="N242" s="141" t="s">
        <v>72</v>
      </c>
      <c r="O242" s="141" t="s">
        <v>72</v>
      </c>
      <c r="P242" s="141" t="s">
        <v>72</v>
      </c>
      <c r="Q242" s="141" t="s">
        <v>72</v>
      </c>
      <c r="R242" s="141" t="s">
        <v>72</v>
      </c>
      <c r="S242" s="141" t="s">
        <v>72</v>
      </c>
      <c r="T242" s="141" t="s">
        <v>72</v>
      </c>
      <c r="U242" s="141" t="s">
        <v>72</v>
      </c>
      <c r="V242" s="141" t="s">
        <v>72</v>
      </c>
      <c r="W242" s="141" t="s">
        <v>72</v>
      </c>
      <c r="X242" s="141" t="s">
        <v>72</v>
      </c>
      <c r="Y242" s="141" t="s">
        <v>72</v>
      </c>
      <c r="Z242" s="141" t="s">
        <v>72</v>
      </c>
      <c r="AA242" s="141" t="s">
        <v>72</v>
      </c>
      <c r="AB242" s="163" t="s">
        <v>79</v>
      </c>
      <c r="AC242" s="141" t="s">
        <v>79</v>
      </c>
      <c r="AD242" s="141" t="s">
        <v>79</v>
      </c>
      <c r="AE242" s="141" t="s">
        <v>79</v>
      </c>
      <c r="AF242" s="6">
        <v>642</v>
      </c>
      <c r="AG242" s="6"/>
      <c r="AH242" s="35">
        <f t="shared" si="78"/>
        <v>243</v>
      </c>
      <c r="AI242" s="35">
        <v>868</v>
      </c>
      <c r="AJ242" s="35"/>
      <c r="AK242" s="35">
        <f t="shared" si="79"/>
        <v>226</v>
      </c>
      <c r="AL242" s="6"/>
      <c r="AM242" s="6"/>
      <c r="AN242" s="35"/>
      <c r="AO242" s="6">
        <v>22</v>
      </c>
      <c r="AP242" s="3">
        <v>1100</v>
      </c>
      <c r="AQ242" s="34">
        <f t="shared" si="80"/>
        <v>254</v>
      </c>
      <c r="AR242" s="35">
        <v>236</v>
      </c>
      <c r="AS242" s="35"/>
      <c r="AT242" s="35">
        <f t="shared" si="81"/>
        <v>214</v>
      </c>
      <c r="AU242" s="6">
        <v>460</v>
      </c>
      <c r="AV242" s="6"/>
      <c r="AW242" s="35">
        <f t="shared" si="82"/>
        <v>224</v>
      </c>
      <c r="AX242" s="6">
        <v>687</v>
      </c>
      <c r="AY242" s="6"/>
      <c r="AZ242" s="35">
        <f t="shared" si="83"/>
        <v>227</v>
      </c>
      <c r="BA242" s="35">
        <v>918</v>
      </c>
      <c r="BB242" s="35"/>
      <c r="BC242" s="35">
        <f t="shared" si="84"/>
        <v>231</v>
      </c>
      <c r="BD242" s="35">
        <v>40</v>
      </c>
      <c r="BE242" s="3">
        <v>1100</v>
      </c>
      <c r="BF242" s="35">
        <f t="shared" si="85"/>
        <v>222</v>
      </c>
      <c r="BG242" s="6"/>
      <c r="BH242" s="6"/>
      <c r="BI242" s="6"/>
      <c r="BJ242" s="6">
        <v>274</v>
      </c>
      <c r="BK242" s="6"/>
      <c r="BL242" s="6">
        <f t="shared" si="86"/>
        <v>234</v>
      </c>
      <c r="BM242" s="35">
        <v>505</v>
      </c>
      <c r="BN242" s="35"/>
      <c r="BO242" s="6">
        <f t="shared" si="87"/>
        <v>231</v>
      </c>
      <c r="BP242" s="35">
        <v>734</v>
      </c>
      <c r="BQ242" s="35"/>
      <c r="BR242" s="35">
        <f t="shared" si="88"/>
        <v>229</v>
      </c>
      <c r="BS242" s="35">
        <v>967</v>
      </c>
      <c r="BT242" s="35"/>
      <c r="BU242" s="6">
        <f t="shared" si="89"/>
        <v>233</v>
      </c>
      <c r="BV242" s="35">
        <v>100</v>
      </c>
      <c r="BW242" s="78">
        <v>1100</v>
      </c>
      <c r="BX242" s="35">
        <f t="shared" si="90"/>
        <v>233</v>
      </c>
      <c r="BY242" s="35">
        <v>325</v>
      </c>
      <c r="BZ242" s="6"/>
      <c r="CA242" s="6">
        <f t="shared" si="91"/>
        <v>225</v>
      </c>
      <c r="CB242" s="6"/>
      <c r="CC242" s="6"/>
      <c r="CD242" s="6"/>
      <c r="CE242" s="6">
        <v>560</v>
      </c>
      <c r="CF242" s="6"/>
      <c r="CG242" s="6">
        <f t="shared" si="92"/>
        <v>235</v>
      </c>
      <c r="CH242" s="6">
        <v>793</v>
      </c>
      <c r="CI242" s="6"/>
      <c r="CJ242" s="6">
        <f t="shared" si="93"/>
        <v>233</v>
      </c>
      <c r="CK242" s="6">
        <v>11</v>
      </c>
      <c r="CL242" s="3">
        <v>1015</v>
      </c>
      <c r="CM242" s="6">
        <f t="shared" si="94"/>
        <v>233</v>
      </c>
      <c r="CN242" s="6">
        <v>244</v>
      </c>
      <c r="CO242" s="6"/>
      <c r="CP242" s="6">
        <f t="shared" si="95"/>
        <v>233</v>
      </c>
      <c r="CQ242" s="6">
        <v>0</v>
      </c>
      <c r="CR242" s="3">
        <v>404</v>
      </c>
      <c r="CS242" s="6">
        <f t="shared" si="96"/>
        <v>160</v>
      </c>
      <c r="CT242" s="6">
        <v>0</v>
      </c>
      <c r="CU242" s="6"/>
      <c r="CV242" s="6">
        <f t="shared" si="97"/>
        <v>0</v>
      </c>
      <c r="CW242" s="6"/>
      <c r="CX242" s="6"/>
      <c r="CY242" s="6"/>
      <c r="CZ242" s="6">
        <v>0</v>
      </c>
      <c r="DA242" s="6"/>
      <c r="DB242" s="6">
        <f t="shared" si="98"/>
        <v>0</v>
      </c>
      <c r="DC242" s="6">
        <v>0</v>
      </c>
      <c r="DD242" s="6"/>
      <c r="DE242" s="6">
        <f t="shared" si="99"/>
        <v>0</v>
      </c>
      <c r="DF242" s="6">
        <v>0</v>
      </c>
      <c r="DG242" s="10"/>
      <c r="DH242" s="6">
        <f t="shared" si="100"/>
        <v>0</v>
      </c>
      <c r="DI242" s="6">
        <v>232</v>
      </c>
      <c r="DJ242" s="10"/>
      <c r="DK242" s="6">
        <f t="shared" si="101"/>
        <v>232</v>
      </c>
      <c r="DL242" s="6">
        <v>446</v>
      </c>
      <c r="DM242" s="10"/>
      <c r="DN242" s="6">
        <f t="shared" si="102"/>
        <v>214</v>
      </c>
      <c r="DO242" s="6">
        <v>676</v>
      </c>
      <c r="DP242" s="10"/>
      <c r="DQ242" s="6">
        <f t="shared" si="103"/>
        <v>230</v>
      </c>
    </row>
    <row r="243" spans="1:121">
      <c r="A243" s="151">
        <v>239</v>
      </c>
      <c r="B243" s="6">
        <v>926</v>
      </c>
      <c r="C243" s="10"/>
      <c r="D243" s="6">
        <v>241</v>
      </c>
      <c r="E243" s="141" t="s">
        <v>75</v>
      </c>
      <c r="F243" s="141" t="s">
        <v>75</v>
      </c>
      <c r="G243" s="141" t="s">
        <v>75</v>
      </c>
      <c r="H243" s="141" t="s">
        <v>75</v>
      </c>
      <c r="I243" s="141" t="s">
        <v>75</v>
      </c>
      <c r="J243" s="141" t="s">
        <v>75</v>
      </c>
      <c r="K243" s="141" t="s">
        <v>75</v>
      </c>
      <c r="L243" s="141" t="s">
        <v>75</v>
      </c>
      <c r="M243" s="141" t="s">
        <v>75</v>
      </c>
      <c r="N243" s="141" t="s">
        <v>75</v>
      </c>
      <c r="O243" s="141" t="s">
        <v>75</v>
      </c>
      <c r="P243" s="141" t="s">
        <v>75</v>
      </c>
      <c r="Q243" s="141" t="s">
        <v>75</v>
      </c>
      <c r="R243" s="141" t="s">
        <v>75</v>
      </c>
      <c r="S243" s="141" t="s">
        <v>75</v>
      </c>
      <c r="T243" s="141" t="s">
        <v>75</v>
      </c>
      <c r="U243" s="141" t="s">
        <v>75</v>
      </c>
      <c r="V243" s="141" t="s">
        <v>75</v>
      </c>
      <c r="W243" s="141" t="s">
        <v>75</v>
      </c>
      <c r="X243" s="141" t="s">
        <v>75</v>
      </c>
      <c r="Y243" s="141" t="s">
        <v>75</v>
      </c>
      <c r="Z243" s="141" t="s">
        <v>75</v>
      </c>
      <c r="AA243" s="141" t="s">
        <v>75</v>
      </c>
      <c r="AB243" s="163" t="s">
        <v>75</v>
      </c>
      <c r="AC243" s="141" t="s">
        <v>75</v>
      </c>
      <c r="AD243" s="141" t="s">
        <v>75</v>
      </c>
      <c r="AE243" s="141" t="s">
        <v>75</v>
      </c>
      <c r="AF243" s="6">
        <v>76</v>
      </c>
      <c r="AG243" s="6">
        <v>1100</v>
      </c>
      <c r="AH243" s="35">
        <f t="shared" si="78"/>
        <v>250</v>
      </c>
      <c r="AI243" s="35">
        <v>319</v>
      </c>
      <c r="AJ243" s="35"/>
      <c r="AK243" s="35">
        <f t="shared" si="79"/>
        <v>243</v>
      </c>
      <c r="AL243" s="6"/>
      <c r="AM243" s="6"/>
      <c r="AN243" s="35"/>
      <c r="AO243" s="6">
        <v>571</v>
      </c>
      <c r="AP243" s="6"/>
      <c r="AQ243" s="34">
        <f t="shared" si="80"/>
        <v>252</v>
      </c>
      <c r="AR243" s="35">
        <v>823</v>
      </c>
      <c r="AS243" s="35"/>
      <c r="AT243" s="35">
        <f t="shared" si="81"/>
        <v>252</v>
      </c>
      <c r="AU243" s="6">
        <v>1073</v>
      </c>
      <c r="AV243" s="6"/>
      <c r="AW243" s="35">
        <f t="shared" si="82"/>
        <v>250</v>
      </c>
      <c r="AX243" s="6">
        <v>229</v>
      </c>
      <c r="AY243" s="6">
        <v>1095</v>
      </c>
      <c r="AZ243" s="35">
        <f t="shared" si="83"/>
        <v>251</v>
      </c>
      <c r="BA243" s="35">
        <v>301</v>
      </c>
      <c r="BB243" s="35"/>
      <c r="BC243" s="35">
        <f t="shared" si="84"/>
        <v>72</v>
      </c>
      <c r="BD243" s="35">
        <v>301</v>
      </c>
      <c r="BE243" s="6"/>
      <c r="BF243" s="35">
        <f t="shared" si="85"/>
        <v>0</v>
      </c>
      <c r="BG243" s="6"/>
      <c r="BH243" s="6"/>
      <c r="BI243" s="6"/>
      <c r="BJ243" s="6">
        <v>301</v>
      </c>
      <c r="BK243" s="6"/>
      <c r="BL243" s="6">
        <f t="shared" si="86"/>
        <v>0</v>
      </c>
      <c r="BM243" s="35">
        <v>301</v>
      </c>
      <c r="BN243" s="35"/>
      <c r="BO243" s="6">
        <f t="shared" si="87"/>
        <v>0</v>
      </c>
      <c r="BP243" s="35">
        <v>176</v>
      </c>
      <c r="BQ243" s="35">
        <v>301</v>
      </c>
      <c r="BR243" s="35">
        <f t="shared" si="88"/>
        <v>176</v>
      </c>
      <c r="BS243" s="35">
        <v>420</v>
      </c>
      <c r="BT243" s="35"/>
      <c r="BU243" s="6">
        <f t="shared" si="89"/>
        <v>244</v>
      </c>
      <c r="BV243" s="6">
        <v>662</v>
      </c>
      <c r="BW243" s="35"/>
      <c r="BX243" s="35">
        <f t="shared" si="90"/>
        <v>242</v>
      </c>
      <c r="BY243" s="35">
        <v>888</v>
      </c>
      <c r="BZ243" s="6"/>
      <c r="CA243" s="6">
        <f t="shared" si="91"/>
        <v>226</v>
      </c>
      <c r="CB243" s="6"/>
      <c r="CC243" s="6"/>
      <c r="CD243" s="6"/>
      <c r="CE243" s="6">
        <v>23</v>
      </c>
      <c r="CF243" s="6">
        <v>1100</v>
      </c>
      <c r="CG243" s="6">
        <f t="shared" si="92"/>
        <v>235</v>
      </c>
      <c r="CH243" s="6">
        <v>259</v>
      </c>
      <c r="CI243" s="6"/>
      <c r="CJ243" s="6">
        <f t="shared" si="93"/>
        <v>236</v>
      </c>
      <c r="CK243" s="6">
        <v>492</v>
      </c>
      <c r="CL243" s="6"/>
      <c r="CM243" s="6">
        <f t="shared" si="94"/>
        <v>233</v>
      </c>
      <c r="CN243" s="6">
        <v>728</v>
      </c>
      <c r="CO243" s="6"/>
      <c r="CP243" s="6">
        <f t="shared" si="95"/>
        <v>236</v>
      </c>
      <c r="CQ243" s="6">
        <v>964</v>
      </c>
      <c r="CR243" s="6"/>
      <c r="CS243" s="6">
        <f t="shared" si="96"/>
        <v>236</v>
      </c>
      <c r="CT243" s="6">
        <v>1186</v>
      </c>
      <c r="CU243" s="6"/>
      <c r="CV243" s="6">
        <f t="shared" si="97"/>
        <v>222</v>
      </c>
      <c r="CW243" s="6"/>
      <c r="CX243" s="6"/>
      <c r="CY243" s="6"/>
      <c r="CZ243" s="6">
        <v>0</v>
      </c>
      <c r="DA243" s="6">
        <v>1186</v>
      </c>
      <c r="DB243" s="6">
        <f t="shared" si="98"/>
        <v>0</v>
      </c>
      <c r="DC243" s="6">
        <v>0</v>
      </c>
      <c r="DD243" s="6"/>
      <c r="DE243" s="6">
        <f t="shared" si="99"/>
        <v>0</v>
      </c>
      <c r="DF243" s="6">
        <v>223</v>
      </c>
      <c r="DG243" s="10"/>
      <c r="DH243" s="6">
        <f t="shared" si="100"/>
        <v>223</v>
      </c>
      <c r="DI243" s="6">
        <v>460</v>
      </c>
      <c r="DJ243" s="10"/>
      <c r="DK243" s="6">
        <f t="shared" si="101"/>
        <v>237</v>
      </c>
      <c r="DL243" s="6">
        <v>691</v>
      </c>
      <c r="DM243" s="10"/>
      <c r="DN243" s="6">
        <f t="shared" si="102"/>
        <v>231</v>
      </c>
      <c r="DO243" s="6">
        <v>199</v>
      </c>
      <c r="DP243" s="10">
        <v>693</v>
      </c>
      <c r="DQ243" s="6">
        <f t="shared" si="103"/>
        <v>201</v>
      </c>
    </row>
    <row r="244" spans="1:121">
      <c r="A244" s="151">
        <v>240</v>
      </c>
      <c r="B244" s="6">
        <v>888</v>
      </c>
      <c r="C244" s="10"/>
      <c r="D244" s="3">
        <v>226</v>
      </c>
      <c r="E244" s="141" t="s">
        <v>72</v>
      </c>
      <c r="F244" s="141" t="s">
        <v>72</v>
      </c>
      <c r="G244" s="141" t="s">
        <v>72</v>
      </c>
      <c r="H244" s="141" t="s">
        <v>72</v>
      </c>
      <c r="I244" s="141" t="s">
        <v>72</v>
      </c>
      <c r="J244" s="141" t="s">
        <v>72</v>
      </c>
      <c r="K244" s="141" t="s">
        <v>72</v>
      </c>
      <c r="L244" s="141" t="s">
        <v>72</v>
      </c>
      <c r="M244" s="141" t="s">
        <v>72</v>
      </c>
      <c r="N244" s="141" t="s">
        <v>72</v>
      </c>
      <c r="O244" s="141" t="s">
        <v>72</v>
      </c>
      <c r="P244" s="141" t="s">
        <v>72</v>
      </c>
      <c r="Q244" s="141" t="s">
        <v>72</v>
      </c>
      <c r="R244" s="141" t="s">
        <v>72</v>
      </c>
      <c r="S244" s="141" t="s">
        <v>72</v>
      </c>
      <c r="T244" s="141" t="s">
        <v>72</v>
      </c>
      <c r="U244" s="141" t="s">
        <v>72</v>
      </c>
      <c r="V244" s="141" t="s">
        <v>72</v>
      </c>
      <c r="W244" s="141" t="s">
        <v>72</v>
      </c>
      <c r="X244" s="141" t="s">
        <v>72</v>
      </c>
      <c r="Y244" s="141" t="s">
        <v>72</v>
      </c>
      <c r="Z244" s="141" t="s">
        <v>72</v>
      </c>
      <c r="AA244" s="141" t="s">
        <v>72</v>
      </c>
      <c r="AB244" s="163" t="s">
        <v>75</v>
      </c>
      <c r="AC244" s="141" t="s">
        <v>75</v>
      </c>
      <c r="AD244" s="141" t="s">
        <v>75</v>
      </c>
      <c r="AE244" s="141" t="s">
        <v>75</v>
      </c>
      <c r="AF244" s="6">
        <v>35</v>
      </c>
      <c r="AG244" s="3">
        <v>1100</v>
      </c>
      <c r="AH244" s="35">
        <f t="shared" si="78"/>
        <v>247</v>
      </c>
      <c r="AI244" s="35">
        <v>269</v>
      </c>
      <c r="AJ244" s="35"/>
      <c r="AK244" s="35">
        <f t="shared" si="79"/>
        <v>234</v>
      </c>
      <c r="AL244" s="6"/>
      <c r="AM244" s="6"/>
      <c r="AN244" s="35"/>
      <c r="AO244" s="6">
        <v>514</v>
      </c>
      <c r="AP244" s="6"/>
      <c r="AQ244" s="34">
        <f t="shared" si="80"/>
        <v>245</v>
      </c>
      <c r="AR244" s="35">
        <v>761</v>
      </c>
      <c r="AS244" s="35"/>
      <c r="AT244" s="35">
        <f t="shared" si="81"/>
        <v>247</v>
      </c>
      <c r="AU244" s="6">
        <v>1002</v>
      </c>
      <c r="AV244" s="6"/>
      <c r="AW244" s="35">
        <f t="shared" si="82"/>
        <v>241</v>
      </c>
      <c r="AX244" s="6">
        <v>147</v>
      </c>
      <c r="AY244" s="3">
        <v>1100</v>
      </c>
      <c r="AZ244" s="35">
        <f t="shared" si="83"/>
        <v>245</v>
      </c>
      <c r="BA244" s="35">
        <v>390</v>
      </c>
      <c r="BB244" s="35"/>
      <c r="BC244" s="35">
        <f t="shared" si="84"/>
        <v>243</v>
      </c>
      <c r="BD244" s="35">
        <v>626</v>
      </c>
      <c r="BE244" s="6"/>
      <c r="BF244" s="35">
        <f t="shared" si="85"/>
        <v>236</v>
      </c>
      <c r="BG244" s="6"/>
      <c r="BH244" s="6"/>
      <c r="BI244" s="6"/>
      <c r="BJ244" s="6">
        <v>873</v>
      </c>
      <c r="BK244" s="6"/>
      <c r="BL244" s="6">
        <f t="shared" si="86"/>
        <v>247</v>
      </c>
      <c r="BM244" s="35">
        <v>21</v>
      </c>
      <c r="BN244" s="78">
        <v>1100</v>
      </c>
      <c r="BO244" s="6">
        <f t="shared" si="87"/>
        <v>248</v>
      </c>
      <c r="BP244" s="35">
        <v>267</v>
      </c>
      <c r="BQ244" s="35"/>
      <c r="BR244" s="35">
        <f t="shared" si="88"/>
        <v>246</v>
      </c>
      <c r="BS244" s="35">
        <v>514</v>
      </c>
      <c r="BT244" s="35"/>
      <c r="BU244" s="6">
        <f t="shared" si="89"/>
        <v>247</v>
      </c>
      <c r="BV244" s="6">
        <v>760</v>
      </c>
      <c r="BW244" s="35"/>
      <c r="BX244" s="35">
        <f t="shared" si="90"/>
        <v>246</v>
      </c>
      <c r="BY244" s="35">
        <v>995</v>
      </c>
      <c r="BZ244" s="6"/>
      <c r="CA244" s="6">
        <f t="shared" si="91"/>
        <v>235</v>
      </c>
      <c r="CB244" s="6"/>
      <c r="CC244" s="6"/>
      <c r="CD244" s="6"/>
      <c r="CE244" s="6">
        <v>135</v>
      </c>
      <c r="CF244" s="3">
        <v>1100</v>
      </c>
      <c r="CG244" s="6">
        <f t="shared" si="92"/>
        <v>240</v>
      </c>
      <c r="CH244" s="6">
        <v>360</v>
      </c>
      <c r="CI244" s="6"/>
      <c r="CJ244" s="6">
        <f t="shared" si="93"/>
        <v>225</v>
      </c>
      <c r="CK244" s="6">
        <v>0</v>
      </c>
      <c r="CL244" s="6">
        <v>360</v>
      </c>
      <c r="CM244" s="6">
        <f t="shared" si="94"/>
        <v>0</v>
      </c>
      <c r="CN244" s="6">
        <v>0</v>
      </c>
      <c r="CO244" s="6"/>
      <c r="CP244" s="6">
        <f t="shared" si="95"/>
        <v>0</v>
      </c>
      <c r="CQ244" s="6">
        <v>0</v>
      </c>
      <c r="CR244" s="6"/>
      <c r="CS244" s="6">
        <f t="shared" si="96"/>
        <v>0</v>
      </c>
      <c r="CT244" s="6">
        <v>0</v>
      </c>
      <c r="CU244" s="6"/>
      <c r="CV244" s="6">
        <f t="shared" si="97"/>
        <v>0</v>
      </c>
      <c r="CW244" s="6"/>
      <c r="CX244" s="6"/>
      <c r="CY244" s="6"/>
      <c r="CZ244" s="6">
        <v>0</v>
      </c>
      <c r="DA244" s="6"/>
      <c r="DB244" s="6">
        <f t="shared" si="98"/>
        <v>0</v>
      </c>
      <c r="DC244" s="6">
        <v>0</v>
      </c>
      <c r="DD244" s="6"/>
      <c r="DE244" s="6">
        <f t="shared" si="99"/>
        <v>0</v>
      </c>
      <c r="DF244" s="6">
        <v>223</v>
      </c>
      <c r="DG244" s="10"/>
      <c r="DH244" s="6">
        <f t="shared" si="100"/>
        <v>223</v>
      </c>
      <c r="DI244" s="6">
        <v>469</v>
      </c>
      <c r="DJ244" s="10"/>
      <c r="DK244" s="6">
        <f t="shared" si="101"/>
        <v>246</v>
      </c>
      <c r="DL244" s="6">
        <v>716</v>
      </c>
      <c r="DM244" s="10"/>
      <c r="DN244" s="6">
        <f t="shared" si="102"/>
        <v>247</v>
      </c>
      <c r="DO244" s="6">
        <v>134</v>
      </c>
      <c r="DP244" s="10">
        <v>800</v>
      </c>
      <c r="DQ244" s="6">
        <f t="shared" si="103"/>
        <v>218</v>
      </c>
    </row>
    <row r="245" spans="1:121">
      <c r="A245" s="151">
        <v>241</v>
      </c>
      <c r="B245" s="6">
        <v>125</v>
      </c>
      <c r="C245" s="82">
        <v>765</v>
      </c>
      <c r="D245" s="3">
        <v>233</v>
      </c>
      <c r="E245" s="141" t="s">
        <v>72</v>
      </c>
      <c r="F245" s="141" t="s">
        <v>72</v>
      </c>
      <c r="G245" s="141" t="s">
        <v>72</v>
      </c>
      <c r="H245" s="141" t="s">
        <v>72</v>
      </c>
      <c r="I245" s="141" t="s">
        <v>72</v>
      </c>
      <c r="J245" s="141" t="s">
        <v>72</v>
      </c>
      <c r="K245" s="141" t="s">
        <v>72</v>
      </c>
      <c r="L245" s="141" t="s">
        <v>72</v>
      </c>
      <c r="M245" s="141" t="s">
        <v>72</v>
      </c>
      <c r="N245" s="141" t="s">
        <v>72</v>
      </c>
      <c r="O245" s="141" t="s">
        <v>72</v>
      </c>
      <c r="P245" s="141" t="s">
        <v>72</v>
      </c>
      <c r="Q245" s="141" t="s">
        <v>72</v>
      </c>
      <c r="R245" s="141" t="s">
        <v>72</v>
      </c>
      <c r="S245" s="141" t="s">
        <v>72</v>
      </c>
      <c r="T245" s="141" t="s">
        <v>72</v>
      </c>
      <c r="U245" s="141" t="s">
        <v>72</v>
      </c>
      <c r="V245" s="141" t="s">
        <v>72</v>
      </c>
      <c r="W245" s="141" t="s">
        <v>72</v>
      </c>
      <c r="X245" s="141" t="s">
        <v>72</v>
      </c>
      <c r="Y245" s="141" t="s">
        <v>72</v>
      </c>
      <c r="Z245" s="141" t="s">
        <v>72</v>
      </c>
      <c r="AA245" s="141" t="s">
        <v>72</v>
      </c>
      <c r="AB245" s="163" t="s">
        <v>75</v>
      </c>
      <c r="AC245" s="141" t="s">
        <v>75</v>
      </c>
      <c r="AD245" s="141" t="s">
        <v>75</v>
      </c>
      <c r="AE245" s="141" t="s">
        <v>75</v>
      </c>
      <c r="AF245" s="6">
        <v>368</v>
      </c>
      <c r="AG245" s="6"/>
      <c r="AH245" s="35">
        <f t="shared" si="78"/>
        <v>243</v>
      </c>
      <c r="AI245" s="35">
        <v>600</v>
      </c>
      <c r="AJ245" s="35"/>
      <c r="AK245" s="35">
        <f t="shared" si="79"/>
        <v>232</v>
      </c>
      <c r="AL245" s="6"/>
      <c r="AM245" s="6"/>
      <c r="AN245" s="35"/>
      <c r="AO245" s="6">
        <v>841</v>
      </c>
      <c r="AP245" s="6"/>
      <c r="AQ245" s="34">
        <f t="shared" si="80"/>
        <v>241</v>
      </c>
      <c r="AR245" s="35">
        <v>1086</v>
      </c>
      <c r="AS245" s="35"/>
      <c r="AT245" s="35">
        <f t="shared" si="81"/>
        <v>245</v>
      </c>
      <c r="AU245" s="6">
        <v>223</v>
      </c>
      <c r="AV245" s="3">
        <v>1100</v>
      </c>
      <c r="AW245" s="35">
        <f t="shared" si="82"/>
        <v>237</v>
      </c>
      <c r="AX245" s="6">
        <v>465</v>
      </c>
      <c r="AY245" s="6"/>
      <c r="AZ245" s="35">
        <f t="shared" si="83"/>
        <v>242</v>
      </c>
      <c r="BA245" s="35">
        <v>20</v>
      </c>
      <c r="BB245" s="78">
        <v>684</v>
      </c>
      <c r="BC245" s="35">
        <f t="shared" si="84"/>
        <v>239</v>
      </c>
      <c r="BD245" s="35">
        <v>252</v>
      </c>
      <c r="BE245" s="6"/>
      <c r="BF245" s="35">
        <f t="shared" si="85"/>
        <v>232</v>
      </c>
      <c r="BG245" s="6"/>
      <c r="BH245" s="6"/>
      <c r="BI245" s="6"/>
      <c r="BJ245" s="6">
        <v>487</v>
      </c>
      <c r="BK245" s="6"/>
      <c r="BL245" s="6">
        <f t="shared" si="86"/>
        <v>235</v>
      </c>
      <c r="BM245" s="35">
        <v>731</v>
      </c>
      <c r="BN245" s="35"/>
      <c r="BO245" s="6">
        <f t="shared" si="87"/>
        <v>244</v>
      </c>
      <c r="BP245" s="35">
        <v>969</v>
      </c>
      <c r="BQ245" s="35"/>
      <c r="BR245" s="35">
        <f t="shared" si="88"/>
        <v>238</v>
      </c>
      <c r="BS245" s="35">
        <v>111</v>
      </c>
      <c r="BT245" s="78">
        <v>1100</v>
      </c>
      <c r="BU245" s="6">
        <f t="shared" si="89"/>
        <v>242</v>
      </c>
      <c r="BV245" s="6">
        <v>353</v>
      </c>
      <c r="BW245" s="35"/>
      <c r="BX245" s="35">
        <f t="shared" si="90"/>
        <v>242</v>
      </c>
      <c r="BY245" s="35">
        <v>578</v>
      </c>
      <c r="BZ245" s="6"/>
      <c r="CA245" s="6">
        <f t="shared" si="91"/>
        <v>225</v>
      </c>
      <c r="CB245" s="6"/>
      <c r="CC245" s="6"/>
      <c r="CD245" s="6"/>
      <c r="CE245" s="6">
        <v>51</v>
      </c>
      <c r="CF245" s="3">
        <v>760</v>
      </c>
      <c r="CG245" s="6">
        <f t="shared" si="92"/>
        <v>233</v>
      </c>
      <c r="CH245" s="6">
        <v>94</v>
      </c>
      <c r="CI245" s="6"/>
      <c r="CJ245" s="6">
        <f t="shared" si="93"/>
        <v>43</v>
      </c>
      <c r="CK245" s="6">
        <v>289</v>
      </c>
      <c r="CL245" s="6"/>
      <c r="CM245" s="6">
        <f t="shared" si="94"/>
        <v>195</v>
      </c>
      <c r="CN245" s="6">
        <v>0</v>
      </c>
      <c r="CO245" s="3">
        <v>359</v>
      </c>
      <c r="CP245" s="6">
        <f t="shared" si="95"/>
        <v>70</v>
      </c>
      <c r="CQ245" s="6">
        <v>0</v>
      </c>
      <c r="CR245" s="6"/>
      <c r="CS245" s="6">
        <f t="shared" si="96"/>
        <v>0</v>
      </c>
      <c r="CT245" s="6">
        <v>0</v>
      </c>
      <c r="CU245" s="6"/>
      <c r="CV245" s="6">
        <f t="shared" si="97"/>
        <v>0</v>
      </c>
      <c r="CW245" s="6"/>
      <c r="CX245" s="6"/>
      <c r="CY245" s="6"/>
      <c r="CZ245" s="6">
        <v>0</v>
      </c>
      <c r="DA245" s="6"/>
      <c r="DB245" s="6">
        <f t="shared" si="98"/>
        <v>0</v>
      </c>
      <c r="DC245" s="6">
        <v>0</v>
      </c>
      <c r="DD245" s="6"/>
      <c r="DE245" s="6">
        <f t="shared" si="99"/>
        <v>0</v>
      </c>
      <c r="DF245" s="6">
        <v>215</v>
      </c>
      <c r="DG245" s="10"/>
      <c r="DH245" s="6">
        <f t="shared" si="100"/>
        <v>215</v>
      </c>
      <c r="DI245" s="6">
        <v>447</v>
      </c>
      <c r="DJ245" s="10"/>
      <c r="DK245" s="6">
        <f t="shared" si="101"/>
        <v>232</v>
      </c>
      <c r="DL245" s="6">
        <v>680</v>
      </c>
      <c r="DM245" s="10"/>
      <c r="DN245" s="6">
        <f t="shared" si="102"/>
        <v>233</v>
      </c>
      <c r="DO245" s="6">
        <v>890</v>
      </c>
      <c r="DP245" s="10"/>
      <c r="DQ245" s="6">
        <f t="shared" si="103"/>
        <v>210</v>
      </c>
    </row>
    <row r="246" spans="1:121">
      <c r="A246" s="151">
        <v>242</v>
      </c>
      <c r="B246" s="6">
        <v>110</v>
      </c>
      <c r="C246" s="10">
        <v>1100</v>
      </c>
      <c r="D246" s="6">
        <v>238</v>
      </c>
      <c r="E246" s="141" t="s">
        <v>75</v>
      </c>
      <c r="F246" s="141" t="s">
        <v>75</v>
      </c>
      <c r="G246" s="141" t="s">
        <v>75</v>
      </c>
      <c r="H246" s="141" t="s">
        <v>75</v>
      </c>
      <c r="I246" s="141" t="s">
        <v>75</v>
      </c>
      <c r="J246" s="141" t="s">
        <v>75</v>
      </c>
      <c r="K246" s="141" t="s">
        <v>75</v>
      </c>
      <c r="L246" s="141" t="s">
        <v>75</v>
      </c>
      <c r="M246" s="141" t="s">
        <v>75</v>
      </c>
      <c r="N246" s="141" t="s">
        <v>75</v>
      </c>
      <c r="O246" s="141" t="s">
        <v>75</v>
      </c>
      <c r="P246" s="141" t="s">
        <v>75</v>
      </c>
      <c r="Q246" s="141" t="s">
        <v>75</v>
      </c>
      <c r="R246" s="141" t="s">
        <v>75</v>
      </c>
      <c r="S246" s="141" t="s">
        <v>75</v>
      </c>
      <c r="T246" s="141" t="s">
        <v>75</v>
      </c>
      <c r="U246" s="141" t="s">
        <v>75</v>
      </c>
      <c r="V246" s="141" t="s">
        <v>75</v>
      </c>
      <c r="W246" s="141" t="s">
        <v>75</v>
      </c>
      <c r="X246" s="141" t="s">
        <v>75</v>
      </c>
      <c r="Y246" s="141" t="s">
        <v>75</v>
      </c>
      <c r="Z246" s="141" t="s">
        <v>75</v>
      </c>
      <c r="AA246" s="141" t="s">
        <v>75</v>
      </c>
      <c r="AB246" s="163" t="s">
        <v>75</v>
      </c>
      <c r="AC246" s="141" t="s">
        <v>75</v>
      </c>
      <c r="AD246" s="141" t="s">
        <v>75</v>
      </c>
      <c r="AE246" s="141" t="s">
        <v>75</v>
      </c>
      <c r="AF246" s="6">
        <v>361</v>
      </c>
      <c r="AG246" s="6"/>
      <c r="AH246" s="35">
        <f t="shared" si="78"/>
        <v>251</v>
      </c>
      <c r="AI246" s="35">
        <v>603</v>
      </c>
      <c r="AJ246" s="35"/>
      <c r="AK246" s="35">
        <f t="shared" si="79"/>
        <v>242</v>
      </c>
      <c r="AL246" s="6"/>
      <c r="AM246" s="6"/>
      <c r="AN246" s="35"/>
      <c r="AO246" s="6">
        <v>854</v>
      </c>
      <c r="AP246" s="6"/>
      <c r="AQ246" s="34">
        <f t="shared" si="80"/>
        <v>251</v>
      </c>
      <c r="AR246" s="35">
        <v>5</v>
      </c>
      <c r="AS246" s="35">
        <v>1100</v>
      </c>
      <c r="AT246" s="35">
        <f t="shared" si="81"/>
        <v>251</v>
      </c>
      <c r="AU246" s="6">
        <v>254</v>
      </c>
      <c r="AV246" s="6"/>
      <c r="AW246" s="35">
        <f t="shared" si="82"/>
        <v>249</v>
      </c>
      <c r="AX246" s="6">
        <v>505</v>
      </c>
      <c r="AY246" s="6"/>
      <c r="AZ246" s="35">
        <f t="shared" si="83"/>
        <v>251</v>
      </c>
      <c r="BA246" s="35">
        <v>582</v>
      </c>
      <c r="BB246" s="35"/>
      <c r="BC246" s="35">
        <f t="shared" si="84"/>
        <v>77</v>
      </c>
      <c r="BD246" s="35">
        <v>582</v>
      </c>
      <c r="BE246" s="6"/>
      <c r="BF246" s="35">
        <f t="shared" si="85"/>
        <v>0</v>
      </c>
      <c r="BG246" s="6"/>
      <c r="BH246" s="6"/>
      <c r="BI246" s="6"/>
      <c r="BJ246" s="6">
        <v>582</v>
      </c>
      <c r="BK246" s="6"/>
      <c r="BL246" s="6">
        <f t="shared" si="86"/>
        <v>0</v>
      </c>
      <c r="BM246" s="35">
        <v>582</v>
      </c>
      <c r="BN246" s="35"/>
      <c r="BO246" s="6">
        <f t="shared" si="87"/>
        <v>0</v>
      </c>
      <c r="BP246" s="35">
        <v>181</v>
      </c>
      <c r="BQ246" s="35">
        <v>582</v>
      </c>
      <c r="BR246" s="35">
        <f t="shared" si="88"/>
        <v>181</v>
      </c>
      <c r="BS246" s="35">
        <v>433</v>
      </c>
      <c r="BT246" s="35"/>
      <c r="BU246" s="6">
        <f t="shared" si="89"/>
        <v>252</v>
      </c>
      <c r="BV246" s="6">
        <v>683</v>
      </c>
      <c r="BW246" s="35"/>
      <c r="BX246" s="35">
        <f t="shared" si="90"/>
        <v>250</v>
      </c>
      <c r="BY246" s="35">
        <v>908</v>
      </c>
      <c r="BZ246" s="6"/>
      <c r="CA246" s="6">
        <f t="shared" si="91"/>
        <v>225</v>
      </c>
      <c r="CB246" s="6"/>
      <c r="CC246" s="6"/>
      <c r="CD246" s="6"/>
      <c r="CE246" s="6">
        <v>40</v>
      </c>
      <c r="CF246" s="6">
        <v>1100</v>
      </c>
      <c r="CG246" s="6">
        <f t="shared" si="92"/>
        <v>232</v>
      </c>
      <c r="CH246" s="6">
        <v>273</v>
      </c>
      <c r="CI246" s="6"/>
      <c r="CJ246" s="6">
        <f t="shared" si="93"/>
        <v>233</v>
      </c>
      <c r="CK246" s="6">
        <v>505</v>
      </c>
      <c r="CL246" s="6"/>
      <c r="CM246" s="6">
        <f t="shared" si="94"/>
        <v>232</v>
      </c>
      <c r="CN246" s="6">
        <v>737</v>
      </c>
      <c r="CO246" s="6"/>
      <c r="CP246" s="6">
        <f t="shared" si="95"/>
        <v>232</v>
      </c>
      <c r="CQ246" s="6">
        <v>0</v>
      </c>
      <c r="CR246" s="6">
        <v>881</v>
      </c>
      <c r="CS246" s="6">
        <f t="shared" si="96"/>
        <v>144</v>
      </c>
      <c r="CT246" s="6">
        <v>0</v>
      </c>
      <c r="CU246" s="6"/>
      <c r="CV246" s="6">
        <f t="shared" si="97"/>
        <v>0</v>
      </c>
      <c r="CW246" s="6"/>
      <c r="CX246" s="6"/>
      <c r="CY246" s="6"/>
      <c r="CZ246" s="6">
        <v>0</v>
      </c>
      <c r="DA246" s="6"/>
      <c r="DB246" s="6">
        <f t="shared" si="98"/>
        <v>0</v>
      </c>
      <c r="DC246" s="6">
        <v>0</v>
      </c>
      <c r="DD246" s="6"/>
      <c r="DE246" s="6">
        <f t="shared" si="99"/>
        <v>0</v>
      </c>
      <c r="DF246" s="6">
        <v>206</v>
      </c>
      <c r="DG246" s="10"/>
      <c r="DH246" s="6">
        <f t="shared" si="100"/>
        <v>206</v>
      </c>
      <c r="DI246" s="6">
        <v>439</v>
      </c>
      <c r="DJ246" s="10"/>
      <c r="DK246" s="6">
        <f t="shared" si="101"/>
        <v>233</v>
      </c>
      <c r="DL246" s="6">
        <v>673</v>
      </c>
      <c r="DM246" s="10"/>
      <c r="DN246" s="6">
        <f t="shared" si="102"/>
        <v>234</v>
      </c>
      <c r="DO246" s="6">
        <v>875</v>
      </c>
      <c r="DP246" s="10"/>
      <c r="DQ246" s="6">
        <f t="shared" si="103"/>
        <v>202</v>
      </c>
    </row>
    <row r="247" spans="1:121">
      <c r="A247" s="151">
        <v>243</v>
      </c>
      <c r="B247" s="6">
        <v>967</v>
      </c>
      <c r="C247" s="10"/>
      <c r="D247" s="6">
        <v>241</v>
      </c>
      <c r="E247" s="141" t="s">
        <v>75</v>
      </c>
      <c r="F247" s="141" t="s">
        <v>75</v>
      </c>
      <c r="G247" s="141" t="s">
        <v>75</v>
      </c>
      <c r="H247" s="163" t="s">
        <v>79</v>
      </c>
      <c r="I247" s="141" t="s">
        <v>79</v>
      </c>
      <c r="J247" s="141" t="s">
        <v>79</v>
      </c>
      <c r="K247" s="141" t="s">
        <v>79</v>
      </c>
      <c r="L247" s="141" t="s">
        <v>79</v>
      </c>
      <c r="M247" s="141" t="s">
        <v>79</v>
      </c>
      <c r="N247" s="141" t="s">
        <v>79</v>
      </c>
      <c r="O247" s="141" t="s">
        <v>79</v>
      </c>
      <c r="P247" s="141" t="s">
        <v>79</v>
      </c>
      <c r="Q247" s="141" t="s">
        <v>79</v>
      </c>
      <c r="R247" s="141" t="s">
        <v>79</v>
      </c>
      <c r="S247" s="141" t="s">
        <v>79</v>
      </c>
      <c r="T247" s="141" t="s">
        <v>79</v>
      </c>
      <c r="U247" s="141" t="s">
        <v>79</v>
      </c>
      <c r="V247" s="141" t="s">
        <v>79</v>
      </c>
      <c r="W247" s="141" t="s">
        <v>79</v>
      </c>
      <c r="X247" s="141" t="s">
        <v>79</v>
      </c>
      <c r="Y247" s="141" t="s">
        <v>79</v>
      </c>
      <c r="Z247" s="141" t="s">
        <v>79</v>
      </c>
      <c r="AA247" s="141" t="s">
        <v>79</v>
      </c>
      <c r="AB247" s="141" t="s">
        <v>79</v>
      </c>
      <c r="AC247" s="163" t="s">
        <v>79</v>
      </c>
      <c r="AD247" s="141" t="s">
        <v>79</v>
      </c>
      <c r="AE247" s="141" t="s">
        <v>79</v>
      </c>
      <c r="AF247" s="6">
        <v>115</v>
      </c>
      <c r="AG247" s="6">
        <v>1100</v>
      </c>
      <c r="AH247" s="35">
        <f t="shared" si="78"/>
        <v>248</v>
      </c>
      <c r="AI247" s="35">
        <v>358</v>
      </c>
      <c r="AJ247" s="35"/>
      <c r="AK247" s="35">
        <f t="shared" si="79"/>
        <v>243</v>
      </c>
      <c r="AL247" s="6"/>
      <c r="AM247" s="6"/>
      <c r="AN247" s="35"/>
      <c r="AO247" s="6">
        <v>202</v>
      </c>
      <c r="AP247" s="6">
        <v>360</v>
      </c>
      <c r="AQ247" s="34">
        <f t="shared" si="80"/>
        <v>204</v>
      </c>
      <c r="AR247" s="35">
        <v>435</v>
      </c>
      <c r="AS247" s="35"/>
      <c r="AT247" s="35">
        <f t="shared" si="81"/>
        <v>233</v>
      </c>
      <c r="AU247" s="6">
        <v>656</v>
      </c>
      <c r="AV247" s="6"/>
      <c r="AW247" s="35">
        <f t="shared" si="82"/>
        <v>221</v>
      </c>
      <c r="AX247" s="6">
        <v>888</v>
      </c>
      <c r="AY247" s="6"/>
      <c r="AZ247" s="35">
        <f t="shared" si="83"/>
        <v>232</v>
      </c>
      <c r="BA247" s="35">
        <v>16</v>
      </c>
      <c r="BB247" s="35">
        <v>1100</v>
      </c>
      <c r="BC247" s="35">
        <f t="shared" si="84"/>
        <v>228</v>
      </c>
      <c r="BD247" s="35">
        <v>219</v>
      </c>
      <c r="BE247" s="6"/>
      <c r="BF247" s="35">
        <f t="shared" si="85"/>
        <v>203</v>
      </c>
      <c r="BG247" s="6"/>
      <c r="BH247" s="6"/>
      <c r="BI247" s="6"/>
      <c r="BJ247" s="6">
        <v>444</v>
      </c>
      <c r="BK247" s="6"/>
      <c r="BL247" s="6">
        <f t="shared" si="86"/>
        <v>225</v>
      </c>
      <c r="BM247" s="35">
        <v>665</v>
      </c>
      <c r="BN247" s="35"/>
      <c r="BO247" s="6">
        <f t="shared" si="87"/>
        <v>221</v>
      </c>
      <c r="BP247" s="35">
        <v>91</v>
      </c>
      <c r="BQ247" s="35">
        <v>800</v>
      </c>
      <c r="BR247" s="35">
        <f t="shared" si="88"/>
        <v>226</v>
      </c>
      <c r="BS247" s="35">
        <v>320</v>
      </c>
      <c r="BT247" s="35"/>
      <c r="BU247" s="6">
        <f t="shared" si="89"/>
        <v>229</v>
      </c>
      <c r="BV247" s="6">
        <v>553</v>
      </c>
      <c r="BW247" s="35"/>
      <c r="BX247" s="35">
        <f t="shared" si="90"/>
        <v>233</v>
      </c>
      <c r="BY247" s="35">
        <v>772</v>
      </c>
      <c r="BZ247" s="6"/>
      <c r="CA247" s="6">
        <f t="shared" si="91"/>
        <v>219</v>
      </c>
      <c r="CB247" s="6"/>
      <c r="CC247" s="6"/>
      <c r="CD247" s="6"/>
      <c r="CE247" s="6">
        <v>206</v>
      </c>
      <c r="CF247" s="6">
        <v>800</v>
      </c>
      <c r="CG247" s="6">
        <f t="shared" si="92"/>
        <v>234</v>
      </c>
      <c r="CH247" s="6">
        <v>439</v>
      </c>
      <c r="CI247" s="6"/>
      <c r="CJ247" s="6">
        <f t="shared" si="93"/>
        <v>233</v>
      </c>
      <c r="CK247" s="6">
        <v>670</v>
      </c>
      <c r="CL247" s="6"/>
      <c r="CM247" s="6">
        <f t="shared" si="94"/>
        <v>231</v>
      </c>
      <c r="CN247" s="6">
        <v>104</v>
      </c>
      <c r="CO247" s="6">
        <v>800</v>
      </c>
      <c r="CP247" s="6">
        <f t="shared" si="95"/>
        <v>234</v>
      </c>
      <c r="CQ247" s="6">
        <v>339</v>
      </c>
      <c r="CR247" s="6"/>
      <c r="CS247" s="6">
        <f t="shared" si="96"/>
        <v>235</v>
      </c>
      <c r="CT247" s="6">
        <v>564</v>
      </c>
      <c r="CU247" s="6"/>
      <c r="CV247" s="6">
        <f t="shared" si="97"/>
        <v>225</v>
      </c>
      <c r="CW247" s="6"/>
      <c r="CX247" s="6"/>
      <c r="CY247" s="6"/>
      <c r="CZ247" s="6">
        <v>798</v>
      </c>
      <c r="DA247" s="6"/>
      <c r="DB247" s="6">
        <f t="shared" si="98"/>
        <v>234</v>
      </c>
      <c r="DC247" s="6">
        <v>227</v>
      </c>
      <c r="DD247" s="6">
        <v>800</v>
      </c>
      <c r="DE247" s="6">
        <f t="shared" si="99"/>
        <v>229</v>
      </c>
      <c r="DF247" s="6">
        <v>460</v>
      </c>
      <c r="DG247" s="10"/>
      <c r="DH247" s="6">
        <f t="shared" si="100"/>
        <v>233</v>
      </c>
      <c r="DI247" s="6">
        <v>152</v>
      </c>
      <c r="DJ247" s="10">
        <v>494</v>
      </c>
      <c r="DK247" s="6">
        <f t="shared" si="101"/>
        <v>186</v>
      </c>
      <c r="DL247" s="6">
        <v>385</v>
      </c>
      <c r="DM247" s="10"/>
      <c r="DN247" s="6">
        <f t="shared" si="102"/>
        <v>233</v>
      </c>
      <c r="DO247" s="6">
        <v>594</v>
      </c>
      <c r="DP247" s="10"/>
      <c r="DQ247" s="6">
        <f t="shared" si="103"/>
        <v>209</v>
      </c>
    </row>
    <row r="248" spans="1:121">
      <c r="A248" s="151">
        <v>244</v>
      </c>
      <c r="B248" s="6">
        <v>970</v>
      </c>
      <c r="C248" s="10"/>
      <c r="D248" s="6">
        <v>240</v>
      </c>
      <c r="E248" s="141" t="s">
        <v>75</v>
      </c>
      <c r="F248" s="141" t="s">
        <v>75</v>
      </c>
      <c r="G248" s="141" t="s">
        <v>75</v>
      </c>
      <c r="H248" s="141" t="s">
        <v>75</v>
      </c>
      <c r="I248" s="141" t="s">
        <v>75</v>
      </c>
      <c r="J248" s="141" t="s">
        <v>75</v>
      </c>
      <c r="K248" s="141" t="s">
        <v>75</v>
      </c>
      <c r="L248" s="141" t="s">
        <v>75</v>
      </c>
      <c r="M248" s="141" t="s">
        <v>75</v>
      </c>
      <c r="N248" s="141" t="s">
        <v>75</v>
      </c>
      <c r="O248" s="141" t="s">
        <v>75</v>
      </c>
      <c r="P248" s="141" t="s">
        <v>75</v>
      </c>
      <c r="Q248" s="141" t="s">
        <v>75</v>
      </c>
      <c r="R248" s="141" t="s">
        <v>75</v>
      </c>
      <c r="S248" s="141" t="s">
        <v>75</v>
      </c>
      <c r="T248" s="141" t="s">
        <v>75</v>
      </c>
      <c r="U248" s="141" t="s">
        <v>75</v>
      </c>
      <c r="V248" s="141" t="s">
        <v>75</v>
      </c>
      <c r="W248" s="141" t="s">
        <v>75</v>
      </c>
      <c r="X248" s="141" t="s">
        <v>75</v>
      </c>
      <c r="Y248" s="141" t="s">
        <v>75</v>
      </c>
      <c r="Z248" s="141" t="s">
        <v>75</v>
      </c>
      <c r="AA248" s="141" t="s">
        <v>75</v>
      </c>
      <c r="AB248" s="141" t="s">
        <v>75</v>
      </c>
      <c r="AC248" s="141" t="s">
        <v>75</v>
      </c>
      <c r="AD248" s="141" t="s">
        <v>75</v>
      </c>
      <c r="AE248" s="141" t="s">
        <v>75</v>
      </c>
      <c r="AF248" s="6">
        <v>101</v>
      </c>
      <c r="AG248" s="6">
        <v>1118</v>
      </c>
      <c r="AH248" s="35">
        <f t="shared" si="78"/>
        <v>249</v>
      </c>
      <c r="AI248" s="35">
        <v>344</v>
      </c>
      <c r="AJ248" s="35"/>
      <c r="AK248" s="35">
        <f t="shared" si="79"/>
        <v>243</v>
      </c>
      <c r="AL248" s="35"/>
      <c r="AM248" s="6"/>
      <c r="AN248" s="35"/>
      <c r="AO248" s="6">
        <v>595</v>
      </c>
      <c r="AP248" s="6"/>
      <c r="AQ248" s="34">
        <f t="shared" si="80"/>
        <v>251</v>
      </c>
      <c r="AR248" s="35">
        <v>849</v>
      </c>
      <c r="AS248" s="35"/>
      <c r="AT248" s="35">
        <f t="shared" si="81"/>
        <v>254</v>
      </c>
      <c r="AU248" s="6">
        <v>1099</v>
      </c>
      <c r="AV248" s="6"/>
      <c r="AW248" s="35">
        <f t="shared" si="82"/>
        <v>250</v>
      </c>
      <c r="AX248" s="6">
        <v>252</v>
      </c>
      <c r="AY248" s="6">
        <v>1100</v>
      </c>
      <c r="AZ248" s="35">
        <f t="shared" si="83"/>
        <v>253</v>
      </c>
      <c r="BA248" s="35">
        <v>328</v>
      </c>
      <c r="BB248" s="35"/>
      <c r="BC248" s="35">
        <f t="shared" si="84"/>
        <v>76</v>
      </c>
      <c r="BD248" s="35">
        <v>328</v>
      </c>
      <c r="BE248" s="6"/>
      <c r="BF248" s="35">
        <f t="shared" si="85"/>
        <v>0</v>
      </c>
      <c r="BG248" s="6"/>
      <c r="BH248" s="6"/>
      <c r="BI248" s="6"/>
      <c r="BJ248" s="6">
        <v>328</v>
      </c>
      <c r="BK248" s="35"/>
      <c r="BL248" s="6">
        <f t="shared" si="86"/>
        <v>0</v>
      </c>
      <c r="BM248" s="35">
        <v>328</v>
      </c>
      <c r="BN248" s="35"/>
      <c r="BO248" s="6">
        <f t="shared" si="87"/>
        <v>0</v>
      </c>
      <c r="BP248" s="35">
        <v>0</v>
      </c>
      <c r="BQ248" s="35">
        <v>328</v>
      </c>
      <c r="BR248" s="35">
        <f t="shared" si="88"/>
        <v>0</v>
      </c>
      <c r="BS248" s="35">
        <v>0</v>
      </c>
      <c r="BT248" s="35"/>
      <c r="BU248" s="6">
        <f t="shared" si="89"/>
        <v>0</v>
      </c>
      <c r="BV248" s="6">
        <v>0</v>
      </c>
      <c r="BW248" s="35"/>
      <c r="BX248" s="35">
        <f t="shared" si="90"/>
        <v>0</v>
      </c>
      <c r="BY248" s="35">
        <v>0</v>
      </c>
      <c r="BZ248" s="6"/>
      <c r="CA248" s="6">
        <f t="shared" si="91"/>
        <v>0</v>
      </c>
      <c r="CB248" s="6"/>
      <c r="CC248" s="6"/>
      <c r="CD248" s="6"/>
      <c r="CE248" s="6">
        <v>0</v>
      </c>
      <c r="CF248" s="6"/>
      <c r="CG248" s="6">
        <f t="shared" si="92"/>
        <v>0</v>
      </c>
      <c r="CH248" s="6">
        <v>0</v>
      </c>
      <c r="CI248" s="6"/>
      <c r="CJ248" s="6">
        <f t="shared" si="93"/>
        <v>0</v>
      </c>
      <c r="CK248" s="6">
        <v>0</v>
      </c>
      <c r="CL248" s="6"/>
      <c r="CM248" s="6">
        <f t="shared" si="94"/>
        <v>0</v>
      </c>
      <c r="CN248" s="6">
        <v>0</v>
      </c>
      <c r="CO248" s="6"/>
      <c r="CP248" s="6">
        <f t="shared" si="95"/>
        <v>0</v>
      </c>
      <c r="CQ248" s="6">
        <v>0</v>
      </c>
      <c r="CR248" s="6"/>
      <c r="CS248" s="6">
        <f t="shared" si="96"/>
        <v>0</v>
      </c>
      <c r="CT248" s="6">
        <v>179</v>
      </c>
      <c r="CU248" s="6"/>
      <c r="CV248" s="6">
        <f t="shared" si="97"/>
        <v>179</v>
      </c>
      <c r="CW248" s="6"/>
      <c r="CX248" s="6"/>
      <c r="CY248" s="6"/>
      <c r="CZ248" s="6">
        <v>411</v>
      </c>
      <c r="DA248" s="6"/>
      <c r="DB248" s="6">
        <f t="shared" si="98"/>
        <v>232</v>
      </c>
      <c r="DC248" s="6">
        <v>638</v>
      </c>
      <c r="DD248" s="6"/>
      <c r="DE248" s="6">
        <f t="shared" si="99"/>
        <v>227</v>
      </c>
      <c r="DF248" s="6">
        <v>113</v>
      </c>
      <c r="DG248" s="10">
        <v>755</v>
      </c>
      <c r="DH248" s="6">
        <f t="shared" si="100"/>
        <v>230</v>
      </c>
      <c r="DI248" s="6">
        <v>345</v>
      </c>
      <c r="DJ248" s="10"/>
      <c r="DK248" s="6">
        <f t="shared" si="101"/>
        <v>232</v>
      </c>
      <c r="DL248" s="6">
        <v>576</v>
      </c>
      <c r="DM248" s="10"/>
      <c r="DN248" s="6">
        <f t="shared" si="102"/>
        <v>231</v>
      </c>
      <c r="DO248" s="6">
        <v>782</v>
      </c>
      <c r="DP248" s="10"/>
      <c r="DQ248" s="6">
        <f t="shared" si="103"/>
        <v>206</v>
      </c>
    </row>
    <row r="249" spans="1:121">
      <c r="A249" s="151">
        <v>245</v>
      </c>
      <c r="B249" s="6">
        <v>1188</v>
      </c>
      <c r="C249" s="10"/>
      <c r="D249" s="6">
        <v>231</v>
      </c>
      <c r="E249" s="141" t="s">
        <v>75</v>
      </c>
      <c r="F249" s="141" t="s">
        <v>75</v>
      </c>
      <c r="G249" s="141" t="s">
        <v>75</v>
      </c>
      <c r="H249" s="163" t="s">
        <v>79</v>
      </c>
      <c r="I249" s="141" t="s">
        <v>79</v>
      </c>
      <c r="J249" s="141" t="s">
        <v>79</v>
      </c>
      <c r="K249" s="141" t="s">
        <v>79</v>
      </c>
      <c r="L249" s="141" t="s">
        <v>79</v>
      </c>
      <c r="M249" s="141" t="s">
        <v>79</v>
      </c>
      <c r="N249" s="141" t="s">
        <v>79</v>
      </c>
      <c r="O249" s="141" t="s">
        <v>79</v>
      </c>
      <c r="P249" s="141" t="s">
        <v>79</v>
      </c>
      <c r="Q249" s="141" t="s">
        <v>79</v>
      </c>
      <c r="R249" s="141" t="s">
        <v>79</v>
      </c>
      <c r="S249" s="141" t="s">
        <v>79</v>
      </c>
      <c r="T249" s="141" t="s">
        <v>79</v>
      </c>
      <c r="U249" s="141" t="s">
        <v>79</v>
      </c>
      <c r="V249" s="141" t="s">
        <v>79</v>
      </c>
      <c r="W249" s="141" t="s">
        <v>79</v>
      </c>
      <c r="X249" s="141" t="s">
        <v>79</v>
      </c>
      <c r="Y249" s="141" t="s">
        <v>79</v>
      </c>
      <c r="Z249" s="141" t="s">
        <v>79</v>
      </c>
      <c r="AA249" s="141" t="s">
        <v>79</v>
      </c>
      <c r="AB249" s="141" t="s">
        <v>79</v>
      </c>
      <c r="AC249" s="163" t="s">
        <v>79</v>
      </c>
      <c r="AD249" s="141" t="s">
        <v>79</v>
      </c>
      <c r="AE249" s="141" t="s">
        <v>79</v>
      </c>
      <c r="AF249" s="6">
        <v>239</v>
      </c>
      <c r="AG249" s="6">
        <v>1200</v>
      </c>
      <c r="AH249" s="35">
        <f t="shared" si="78"/>
        <v>251</v>
      </c>
      <c r="AI249" s="35">
        <v>481</v>
      </c>
      <c r="AJ249" s="35"/>
      <c r="AK249" s="35">
        <f t="shared" si="79"/>
        <v>242</v>
      </c>
      <c r="AL249" s="6"/>
      <c r="AM249" s="6"/>
      <c r="AN249" s="35"/>
      <c r="AO249" s="6">
        <v>217</v>
      </c>
      <c r="AP249" s="6">
        <v>483</v>
      </c>
      <c r="AQ249" s="34">
        <f t="shared" si="80"/>
        <v>219</v>
      </c>
      <c r="AR249" s="35">
        <v>451</v>
      </c>
      <c r="AS249" s="35"/>
      <c r="AT249" s="35">
        <f t="shared" si="81"/>
        <v>234</v>
      </c>
      <c r="AU249" s="6">
        <v>681</v>
      </c>
      <c r="AV249" s="6"/>
      <c r="AW249" s="35">
        <f t="shared" si="82"/>
        <v>230</v>
      </c>
      <c r="AX249" s="6">
        <v>913</v>
      </c>
      <c r="AY249" s="6"/>
      <c r="AZ249" s="35">
        <f t="shared" si="83"/>
        <v>232</v>
      </c>
      <c r="BA249" s="35">
        <v>46</v>
      </c>
      <c r="BB249" s="35">
        <v>1100</v>
      </c>
      <c r="BC249" s="35">
        <f t="shared" si="84"/>
        <v>233</v>
      </c>
      <c r="BD249" s="35">
        <v>269</v>
      </c>
      <c r="BE249" s="6"/>
      <c r="BF249" s="35">
        <f t="shared" si="85"/>
        <v>223</v>
      </c>
      <c r="BG249" s="6"/>
      <c r="BH249" s="6"/>
      <c r="BI249" s="6"/>
      <c r="BJ249" s="6">
        <v>497</v>
      </c>
      <c r="BK249" s="6"/>
      <c r="BL249" s="6">
        <f t="shared" si="86"/>
        <v>228</v>
      </c>
      <c r="BM249" s="35">
        <v>727</v>
      </c>
      <c r="BN249" s="35"/>
      <c r="BO249" s="6">
        <f t="shared" si="87"/>
        <v>230</v>
      </c>
      <c r="BP249" s="35">
        <v>152</v>
      </c>
      <c r="BQ249" s="35">
        <v>800</v>
      </c>
      <c r="BR249" s="35">
        <f t="shared" si="88"/>
        <v>225</v>
      </c>
      <c r="BS249" s="35">
        <v>382</v>
      </c>
      <c r="BT249" s="35"/>
      <c r="BU249" s="6">
        <f t="shared" si="89"/>
        <v>230</v>
      </c>
      <c r="BV249" s="6">
        <v>613</v>
      </c>
      <c r="BW249" s="35"/>
      <c r="BX249" s="35">
        <f t="shared" si="90"/>
        <v>231</v>
      </c>
      <c r="BY249" s="35">
        <v>32</v>
      </c>
      <c r="BZ249" s="6">
        <v>800</v>
      </c>
      <c r="CA249" s="6">
        <f t="shared" si="91"/>
        <v>219</v>
      </c>
      <c r="CB249" s="6"/>
      <c r="CC249" s="6"/>
      <c r="CD249" s="6"/>
      <c r="CE249" s="6">
        <v>265</v>
      </c>
      <c r="CF249" s="6"/>
      <c r="CG249" s="6">
        <f t="shared" si="92"/>
        <v>233</v>
      </c>
      <c r="CH249" s="6">
        <v>499</v>
      </c>
      <c r="CI249" s="6"/>
      <c r="CJ249" s="6">
        <f t="shared" si="93"/>
        <v>234</v>
      </c>
      <c r="CK249" s="6">
        <v>73</v>
      </c>
      <c r="CL249" s="6">
        <v>656</v>
      </c>
      <c r="CM249" s="6">
        <f t="shared" si="94"/>
        <v>230</v>
      </c>
      <c r="CN249" s="6">
        <v>307</v>
      </c>
      <c r="CO249" s="6"/>
      <c r="CP249" s="6">
        <f t="shared" si="95"/>
        <v>234</v>
      </c>
      <c r="CQ249" s="6">
        <v>540</v>
      </c>
      <c r="CR249" s="6"/>
      <c r="CS249" s="6">
        <f t="shared" si="96"/>
        <v>233</v>
      </c>
      <c r="CT249" s="6">
        <v>761</v>
      </c>
      <c r="CU249" s="6"/>
      <c r="CV249" s="6">
        <f t="shared" si="97"/>
        <v>221</v>
      </c>
      <c r="CW249" s="6"/>
      <c r="CX249" s="6"/>
      <c r="CY249" s="6"/>
      <c r="CZ249" s="6">
        <v>196</v>
      </c>
      <c r="DA249" s="6">
        <v>800</v>
      </c>
      <c r="DB249" s="6">
        <f t="shared" si="98"/>
        <v>235</v>
      </c>
      <c r="DC249" s="6">
        <v>426</v>
      </c>
      <c r="DD249" s="6"/>
      <c r="DE249" s="6">
        <f t="shared" si="99"/>
        <v>230</v>
      </c>
      <c r="DF249" s="6">
        <v>0</v>
      </c>
      <c r="DG249" s="10">
        <v>631</v>
      </c>
      <c r="DH249" s="6">
        <f t="shared" si="100"/>
        <v>205</v>
      </c>
      <c r="DI249" s="6">
        <v>220</v>
      </c>
      <c r="DJ249" s="10"/>
      <c r="DK249" s="6">
        <f t="shared" si="101"/>
        <v>220</v>
      </c>
      <c r="DL249" s="6">
        <v>448</v>
      </c>
      <c r="DM249" s="10"/>
      <c r="DN249" s="6">
        <f t="shared" si="102"/>
        <v>228</v>
      </c>
      <c r="DO249" s="6">
        <v>656</v>
      </c>
      <c r="DP249" s="10"/>
      <c r="DQ249" s="6">
        <f t="shared" si="103"/>
        <v>208</v>
      </c>
    </row>
    <row r="250" spans="1:121">
      <c r="A250" s="151">
        <v>246</v>
      </c>
      <c r="B250" s="6">
        <v>940</v>
      </c>
      <c r="C250" s="10"/>
      <c r="D250" s="6">
        <v>241</v>
      </c>
      <c r="E250" s="141" t="s">
        <v>75</v>
      </c>
      <c r="F250" s="141" t="s">
        <v>75</v>
      </c>
      <c r="G250" s="141" t="s">
        <v>75</v>
      </c>
      <c r="H250" s="141" t="s">
        <v>75</v>
      </c>
      <c r="I250" s="141" t="s">
        <v>75</v>
      </c>
      <c r="J250" s="141" t="s">
        <v>75</v>
      </c>
      <c r="K250" s="141" t="s">
        <v>75</v>
      </c>
      <c r="L250" s="141" t="s">
        <v>75</v>
      </c>
      <c r="M250" s="141" t="s">
        <v>75</v>
      </c>
      <c r="N250" s="141" t="s">
        <v>75</v>
      </c>
      <c r="O250" s="141" t="s">
        <v>75</v>
      </c>
      <c r="P250" s="141" t="s">
        <v>75</v>
      </c>
      <c r="Q250" s="141" t="s">
        <v>75</v>
      </c>
      <c r="R250" s="141" t="s">
        <v>75</v>
      </c>
      <c r="S250" s="141" t="s">
        <v>75</v>
      </c>
      <c r="T250" s="141" t="s">
        <v>75</v>
      </c>
      <c r="U250" s="141" t="s">
        <v>75</v>
      </c>
      <c r="V250" s="141" t="s">
        <v>75</v>
      </c>
      <c r="W250" s="141" t="s">
        <v>75</v>
      </c>
      <c r="X250" s="141" t="s">
        <v>75</v>
      </c>
      <c r="Y250" s="141" t="s">
        <v>75</v>
      </c>
      <c r="Z250" s="141" t="s">
        <v>75</v>
      </c>
      <c r="AA250" s="141" t="s">
        <v>75</v>
      </c>
      <c r="AB250" s="141" t="s">
        <v>75</v>
      </c>
      <c r="AC250" s="163" t="s">
        <v>75</v>
      </c>
      <c r="AD250" s="141" t="s">
        <v>75</v>
      </c>
      <c r="AE250" s="141" t="s">
        <v>75</v>
      </c>
      <c r="AF250" s="6">
        <v>89</v>
      </c>
      <c r="AG250" s="6">
        <v>1100</v>
      </c>
      <c r="AH250" s="35">
        <f t="shared" si="78"/>
        <v>249</v>
      </c>
      <c r="AI250" s="35">
        <v>329</v>
      </c>
      <c r="AJ250" s="35"/>
      <c r="AK250" s="35">
        <f t="shared" si="79"/>
        <v>240</v>
      </c>
      <c r="AL250" s="6"/>
      <c r="AM250" s="6"/>
      <c r="AN250" s="35"/>
      <c r="AO250" s="6">
        <v>579</v>
      </c>
      <c r="AP250" s="6"/>
      <c r="AQ250" s="34">
        <f t="shared" si="80"/>
        <v>250</v>
      </c>
      <c r="AR250" s="35">
        <v>827</v>
      </c>
      <c r="AS250" s="35"/>
      <c r="AT250" s="35">
        <f t="shared" si="81"/>
        <v>248</v>
      </c>
      <c r="AU250" s="6">
        <v>1073</v>
      </c>
      <c r="AV250" s="6"/>
      <c r="AW250" s="35">
        <f t="shared" si="82"/>
        <v>246</v>
      </c>
      <c r="AX250" s="6">
        <v>232</v>
      </c>
      <c r="AY250" s="6">
        <v>1090</v>
      </c>
      <c r="AZ250" s="35">
        <f t="shared" si="83"/>
        <v>249</v>
      </c>
      <c r="BA250" s="35">
        <v>475</v>
      </c>
      <c r="BB250" s="35"/>
      <c r="BC250" s="35">
        <f t="shared" si="84"/>
        <v>243</v>
      </c>
      <c r="BD250" s="35">
        <v>475</v>
      </c>
      <c r="BE250" s="6"/>
      <c r="BF250" s="35">
        <f t="shared" si="85"/>
        <v>0</v>
      </c>
      <c r="BG250" s="6"/>
      <c r="BH250" s="6"/>
      <c r="BI250" s="6"/>
      <c r="BJ250" s="6">
        <v>475</v>
      </c>
      <c r="BK250" s="6"/>
      <c r="BL250" s="6">
        <f t="shared" si="86"/>
        <v>0</v>
      </c>
      <c r="BM250" s="35">
        <v>475</v>
      </c>
      <c r="BN250" s="35"/>
      <c r="BO250" s="6">
        <f t="shared" si="87"/>
        <v>0</v>
      </c>
      <c r="BP250" s="35">
        <v>0</v>
      </c>
      <c r="BQ250" s="35">
        <v>475</v>
      </c>
      <c r="BR250" s="35">
        <f t="shared" si="88"/>
        <v>0</v>
      </c>
      <c r="BS250" s="35">
        <v>0</v>
      </c>
      <c r="BT250" s="35"/>
      <c r="BU250" s="6">
        <f t="shared" si="89"/>
        <v>0</v>
      </c>
      <c r="BV250" s="6">
        <v>0</v>
      </c>
      <c r="BW250" s="35"/>
      <c r="BX250" s="35">
        <f t="shared" si="90"/>
        <v>0</v>
      </c>
      <c r="BY250" s="35">
        <v>219</v>
      </c>
      <c r="BZ250" s="6"/>
      <c r="CA250" s="6">
        <f t="shared" si="91"/>
        <v>219</v>
      </c>
      <c r="CB250" s="6"/>
      <c r="CC250" s="6"/>
      <c r="CD250" s="6"/>
      <c r="CE250" s="6">
        <v>452</v>
      </c>
      <c r="CF250" s="6"/>
      <c r="CG250" s="6">
        <f t="shared" si="92"/>
        <v>233</v>
      </c>
      <c r="CH250" s="6">
        <v>229</v>
      </c>
      <c r="CI250" s="6">
        <v>456</v>
      </c>
      <c r="CJ250" s="6">
        <f t="shared" si="93"/>
        <v>233</v>
      </c>
      <c r="CK250" s="6">
        <v>453</v>
      </c>
      <c r="CL250" s="6"/>
      <c r="CM250" s="6">
        <f t="shared" si="94"/>
        <v>224</v>
      </c>
      <c r="CN250" s="6">
        <v>136</v>
      </c>
      <c r="CO250" s="6">
        <v>534</v>
      </c>
      <c r="CP250" s="6">
        <f t="shared" si="95"/>
        <v>217</v>
      </c>
      <c r="CQ250" s="6">
        <v>365</v>
      </c>
      <c r="CR250" s="6"/>
      <c r="CS250" s="6">
        <f t="shared" si="96"/>
        <v>229</v>
      </c>
      <c r="CT250" s="6">
        <v>586</v>
      </c>
      <c r="CU250" s="6"/>
      <c r="CV250" s="6">
        <f t="shared" si="97"/>
        <v>221</v>
      </c>
      <c r="CW250" s="6"/>
      <c r="CX250" s="6"/>
      <c r="CY250" s="6"/>
      <c r="CZ250" s="6">
        <v>80</v>
      </c>
      <c r="DA250" s="6">
        <v>740</v>
      </c>
      <c r="DB250" s="6">
        <f t="shared" si="98"/>
        <v>234</v>
      </c>
      <c r="DC250" s="6">
        <v>312</v>
      </c>
      <c r="DD250" s="6"/>
      <c r="DE250" s="6">
        <f t="shared" si="99"/>
        <v>232</v>
      </c>
      <c r="DF250" s="6">
        <v>0</v>
      </c>
      <c r="DG250" s="10">
        <v>397</v>
      </c>
      <c r="DH250" s="6">
        <f t="shared" si="100"/>
        <v>85</v>
      </c>
      <c r="DI250" s="6">
        <v>230</v>
      </c>
      <c r="DJ250" s="10"/>
      <c r="DK250" s="6">
        <f t="shared" si="101"/>
        <v>230</v>
      </c>
      <c r="DL250" s="6">
        <v>462</v>
      </c>
      <c r="DM250" s="10"/>
      <c r="DN250" s="6">
        <f t="shared" si="102"/>
        <v>232</v>
      </c>
      <c r="DO250" s="6">
        <v>669</v>
      </c>
      <c r="DP250" s="10"/>
      <c r="DQ250" s="6">
        <f t="shared" si="103"/>
        <v>207</v>
      </c>
    </row>
    <row r="251" spans="1:121">
      <c r="A251" s="151">
        <v>247</v>
      </c>
      <c r="B251" s="6">
        <v>126</v>
      </c>
      <c r="C251" s="10">
        <v>1100</v>
      </c>
      <c r="D251" s="6">
        <v>240</v>
      </c>
      <c r="E251" s="141" t="s">
        <v>75</v>
      </c>
      <c r="F251" s="141" t="s">
        <v>75</v>
      </c>
      <c r="G251" s="141" t="s">
        <v>75</v>
      </c>
      <c r="H251" s="163" t="s">
        <v>79</v>
      </c>
      <c r="I251" s="141" t="s">
        <v>79</v>
      </c>
      <c r="J251" s="141" t="s">
        <v>79</v>
      </c>
      <c r="K251" s="141" t="s">
        <v>79</v>
      </c>
      <c r="L251" s="141" t="s">
        <v>79</v>
      </c>
      <c r="M251" s="141" t="s">
        <v>79</v>
      </c>
      <c r="N251" s="141" t="s">
        <v>79</v>
      </c>
      <c r="O251" s="141" t="s">
        <v>79</v>
      </c>
      <c r="P251" s="141" t="s">
        <v>79</v>
      </c>
      <c r="Q251" s="141" t="s">
        <v>79</v>
      </c>
      <c r="R251" s="141" t="s">
        <v>79</v>
      </c>
      <c r="S251" s="141" t="s">
        <v>79</v>
      </c>
      <c r="T251" s="141" t="s">
        <v>79</v>
      </c>
      <c r="U251" s="141" t="s">
        <v>79</v>
      </c>
      <c r="V251" s="141" t="s">
        <v>79</v>
      </c>
      <c r="W251" s="141" t="s">
        <v>79</v>
      </c>
      <c r="X251" s="141" t="s">
        <v>79</v>
      </c>
      <c r="Y251" s="141" t="s">
        <v>79</v>
      </c>
      <c r="Z251" s="141" t="s">
        <v>79</v>
      </c>
      <c r="AA251" s="141" t="s">
        <v>79</v>
      </c>
      <c r="AB251" s="141" t="s">
        <v>79</v>
      </c>
      <c r="AC251" s="163" t="s">
        <v>79</v>
      </c>
      <c r="AD251" s="141" t="s">
        <v>79</v>
      </c>
      <c r="AE251" s="141" t="s">
        <v>79</v>
      </c>
      <c r="AF251" s="6">
        <v>374</v>
      </c>
      <c r="AG251" s="6"/>
      <c r="AH251" s="35">
        <f t="shared" si="78"/>
        <v>248</v>
      </c>
      <c r="AI251" s="35">
        <v>616</v>
      </c>
      <c r="AJ251" s="35"/>
      <c r="AK251" s="35">
        <f t="shared" si="79"/>
        <v>242</v>
      </c>
      <c r="AL251" s="6"/>
      <c r="AM251" s="6"/>
      <c r="AN251" s="35"/>
      <c r="AO251" s="6">
        <v>209</v>
      </c>
      <c r="AP251" s="6">
        <v>618</v>
      </c>
      <c r="AQ251" s="34">
        <f t="shared" si="80"/>
        <v>211</v>
      </c>
      <c r="AR251" s="35">
        <v>440</v>
      </c>
      <c r="AS251" s="35"/>
      <c r="AT251" s="35">
        <f t="shared" si="81"/>
        <v>231</v>
      </c>
      <c r="AU251" s="6">
        <v>668</v>
      </c>
      <c r="AV251" s="6"/>
      <c r="AW251" s="35">
        <f t="shared" si="82"/>
        <v>228</v>
      </c>
      <c r="AX251" s="6">
        <v>898</v>
      </c>
      <c r="AY251" s="6"/>
      <c r="AZ251" s="35">
        <f t="shared" si="83"/>
        <v>230</v>
      </c>
      <c r="BA251" s="35">
        <v>29</v>
      </c>
      <c r="BB251" s="35">
        <v>1100</v>
      </c>
      <c r="BC251" s="35">
        <f t="shared" si="84"/>
        <v>231</v>
      </c>
      <c r="BD251" s="35">
        <v>245</v>
      </c>
      <c r="BE251" s="6"/>
      <c r="BF251" s="35">
        <f t="shared" si="85"/>
        <v>216</v>
      </c>
      <c r="BG251" s="6"/>
      <c r="BH251" s="6"/>
      <c r="BI251" s="6"/>
      <c r="BJ251" s="6">
        <v>477</v>
      </c>
      <c r="BK251" s="6"/>
      <c r="BL251" s="6">
        <f t="shared" si="86"/>
        <v>232</v>
      </c>
      <c r="BM251" s="35">
        <v>707</v>
      </c>
      <c r="BN251" s="35"/>
      <c r="BO251" s="6">
        <f t="shared" si="87"/>
        <v>230</v>
      </c>
      <c r="BP251" s="35">
        <v>136</v>
      </c>
      <c r="BQ251" s="35">
        <v>800</v>
      </c>
      <c r="BR251" s="35">
        <f t="shared" si="88"/>
        <v>229</v>
      </c>
      <c r="BS251" s="35">
        <v>364</v>
      </c>
      <c r="BT251" s="35"/>
      <c r="BU251" s="6">
        <f t="shared" si="89"/>
        <v>228</v>
      </c>
      <c r="BV251" s="6">
        <v>593</v>
      </c>
      <c r="BW251" s="6"/>
      <c r="BX251" s="35">
        <f t="shared" si="90"/>
        <v>229</v>
      </c>
      <c r="BY251" s="6">
        <v>10</v>
      </c>
      <c r="BZ251" s="6">
        <v>800</v>
      </c>
      <c r="CA251" s="6">
        <f t="shared" si="91"/>
        <v>217</v>
      </c>
      <c r="CB251" s="6"/>
      <c r="CC251" s="6"/>
      <c r="CD251" s="6"/>
      <c r="CE251" s="6">
        <v>232</v>
      </c>
      <c r="CF251" s="6"/>
      <c r="CG251" s="6">
        <f t="shared" si="92"/>
        <v>222</v>
      </c>
      <c r="CH251" s="6">
        <v>462</v>
      </c>
      <c r="CI251" s="6"/>
      <c r="CJ251" s="6">
        <f t="shared" si="93"/>
        <v>230</v>
      </c>
      <c r="CK251" s="6">
        <v>691</v>
      </c>
      <c r="CL251" s="6"/>
      <c r="CM251" s="6">
        <f t="shared" si="94"/>
        <v>229</v>
      </c>
      <c r="CN251" s="6">
        <v>120</v>
      </c>
      <c r="CO251" s="6">
        <v>800</v>
      </c>
      <c r="CP251" s="6">
        <f t="shared" si="95"/>
        <v>229</v>
      </c>
      <c r="CQ251" s="6">
        <v>350</v>
      </c>
      <c r="CR251" s="6"/>
      <c r="CS251" s="6">
        <f t="shared" si="96"/>
        <v>230</v>
      </c>
      <c r="CT251" s="6">
        <v>570</v>
      </c>
      <c r="CU251" s="6"/>
      <c r="CV251" s="6">
        <f t="shared" si="97"/>
        <v>220</v>
      </c>
      <c r="CW251" s="6"/>
      <c r="CX251" s="6"/>
      <c r="CY251" s="6"/>
      <c r="CZ251" s="6">
        <v>798</v>
      </c>
      <c r="DA251" s="6"/>
      <c r="DB251" s="6">
        <f t="shared" si="98"/>
        <v>228</v>
      </c>
      <c r="DC251" s="6">
        <v>220</v>
      </c>
      <c r="DD251" s="6">
        <v>800</v>
      </c>
      <c r="DE251" s="6">
        <f t="shared" si="99"/>
        <v>222</v>
      </c>
      <c r="DF251" s="6">
        <v>434</v>
      </c>
      <c r="DG251" s="10"/>
      <c r="DH251" s="6">
        <f t="shared" si="100"/>
        <v>214</v>
      </c>
      <c r="DI251" s="6">
        <v>0</v>
      </c>
      <c r="DJ251" s="10">
        <v>481</v>
      </c>
      <c r="DK251" s="6">
        <f t="shared" si="101"/>
        <v>47</v>
      </c>
      <c r="DL251" s="6">
        <v>234</v>
      </c>
      <c r="DM251" s="10"/>
      <c r="DN251" s="6">
        <f t="shared" si="102"/>
        <v>234</v>
      </c>
      <c r="DO251" s="6">
        <v>447</v>
      </c>
      <c r="DP251" s="10"/>
      <c r="DQ251" s="6">
        <f t="shared" si="103"/>
        <v>213</v>
      </c>
    </row>
    <row r="252" spans="1:121">
      <c r="A252" s="151">
        <v>248</v>
      </c>
      <c r="B252" s="6">
        <v>960</v>
      </c>
      <c r="C252" s="10"/>
      <c r="D252" s="6">
        <v>240</v>
      </c>
      <c r="E252" s="141" t="s">
        <v>75</v>
      </c>
      <c r="F252" s="141" t="s">
        <v>75</v>
      </c>
      <c r="G252" s="141" t="s">
        <v>75</v>
      </c>
      <c r="H252" s="141" t="s">
        <v>75</v>
      </c>
      <c r="I252" s="141" t="s">
        <v>75</v>
      </c>
      <c r="J252" s="141" t="s">
        <v>75</v>
      </c>
      <c r="K252" s="141" t="s">
        <v>75</v>
      </c>
      <c r="L252" s="141" t="s">
        <v>75</v>
      </c>
      <c r="M252" s="141" t="s">
        <v>75</v>
      </c>
      <c r="N252" s="141" t="s">
        <v>75</v>
      </c>
      <c r="O252" s="141" t="s">
        <v>75</v>
      </c>
      <c r="P252" s="141" t="s">
        <v>75</v>
      </c>
      <c r="Q252" s="141" t="s">
        <v>75</v>
      </c>
      <c r="R252" s="141" t="s">
        <v>75</v>
      </c>
      <c r="S252" s="141" t="s">
        <v>75</v>
      </c>
      <c r="T252" s="141" t="s">
        <v>75</v>
      </c>
      <c r="U252" s="141" t="s">
        <v>75</v>
      </c>
      <c r="V252" s="141" t="s">
        <v>75</v>
      </c>
      <c r="W252" s="141" t="s">
        <v>75</v>
      </c>
      <c r="X252" s="141" t="s">
        <v>75</v>
      </c>
      <c r="Y252" s="141" t="s">
        <v>75</v>
      </c>
      <c r="Z252" s="141" t="s">
        <v>75</v>
      </c>
      <c r="AA252" s="141" t="s">
        <v>75</v>
      </c>
      <c r="AB252" s="141" t="s">
        <v>75</v>
      </c>
      <c r="AC252" s="141" t="s">
        <v>75</v>
      </c>
      <c r="AD252" s="163" t="s">
        <v>75</v>
      </c>
      <c r="AE252" s="141" t="s">
        <v>75</v>
      </c>
      <c r="AF252" s="6">
        <v>99</v>
      </c>
      <c r="AG252" s="6">
        <v>1108</v>
      </c>
      <c r="AH252" s="35">
        <f t="shared" si="78"/>
        <v>247</v>
      </c>
      <c r="AI252" s="35">
        <v>340</v>
      </c>
      <c r="AJ252" s="35"/>
      <c r="AK252" s="35">
        <f t="shared" si="79"/>
        <v>241</v>
      </c>
      <c r="AL252" s="6"/>
      <c r="AM252" s="6"/>
      <c r="AN252" s="35"/>
      <c r="AO252" s="6">
        <v>589</v>
      </c>
      <c r="AP252" s="6"/>
      <c r="AQ252" s="34">
        <f t="shared" si="80"/>
        <v>249</v>
      </c>
      <c r="AR252" s="35">
        <v>841</v>
      </c>
      <c r="AS252" s="35"/>
      <c r="AT252" s="35">
        <f t="shared" si="81"/>
        <v>252</v>
      </c>
      <c r="AU252" s="6">
        <v>1086</v>
      </c>
      <c r="AV252" s="6"/>
      <c r="AW252" s="35">
        <f t="shared" si="82"/>
        <v>245</v>
      </c>
      <c r="AX252" s="6">
        <v>235</v>
      </c>
      <c r="AY252" s="6">
        <v>1100</v>
      </c>
      <c r="AZ252" s="35">
        <f t="shared" si="83"/>
        <v>249</v>
      </c>
      <c r="BA252" s="35">
        <v>477</v>
      </c>
      <c r="BB252" s="35"/>
      <c r="BC252" s="35">
        <f t="shared" si="84"/>
        <v>242</v>
      </c>
      <c r="BD252" s="35">
        <v>477</v>
      </c>
      <c r="BE252" s="6"/>
      <c r="BF252" s="35">
        <f t="shared" si="85"/>
        <v>0</v>
      </c>
      <c r="BG252" s="6"/>
      <c r="BH252" s="6"/>
      <c r="BI252" s="6"/>
      <c r="BJ252" s="6">
        <v>477</v>
      </c>
      <c r="BK252" s="6"/>
      <c r="BL252" s="6">
        <f t="shared" si="86"/>
        <v>0</v>
      </c>
      <c r="BM252" s="35">
        <v>477</v>
      </c>
      <c r="BN252" s="35"/>
      <c r="BO252" s="6">
        <f t="shared" si="87"/>
        <v>0</v>
      </c>
      <c r="BP252" s="35">
        <v>0</v>
      </c>
      <c r="BQ252" s="35">
        <v>477</v>
      </c>
      <c r="BR252" s="35">
        <f t="shared" si="88"/>
        <v>0</v>
      </c>
      <c r="BS252" s="35">
        <v>0</v>
      </c>
      <c r="BT252" s="35"/>
      <c r="BU252" s="6">
        <f t="shared" si="89"/>
        <v>0</v>
      </c>
      <c r="BV252" s="6">
        <v>0</v>
      </c>
      <c r="BW252" s="6"/>
      <c r="BX252" s="35">
        <f t="shared" si="90"/>
        <v>0</v>
      </c>
      <c r="BY252" s="6"/>
      <c r="BZ252" s="6"/>
      <c r="CA252" s="6"/>
      <c r="CB252" s="6"/>
      <c r="CC252" s="6"/>
      <c r="CD252" s="6"/>
      <c r="CE252" s="6"/>
      <c r="CF252" s="6"/>
      <c r="CG252" s="6"/>
      <c r="CH252" s="6">
        <v>219</v>
      </c>
      <c r="CI252" s="6"/>
      <c r="CJ252" s="6">
        <f t="shared" si="93"/>
        <v>219</v>
      </c>
      <c r="CK252" s="6">
        <f>229+219</f>
        <v>448</v>
      </c>
      <c r="CL252" s="6"/>
      <c r="CM252" s="6">
        <f t="shared" si="94"/>
        <v>229</v>
      </c>
      <c r="CN252" s="6">
        <f>463+219</f>
        <v>682</v>
      </c>
      <c r="CO252" s="6"/>
      <c r="CP252" s="6">
        <f t="shared" si="95"/>
        <v>234</v>
      </c>
      <c r="CQ252" s="6">
        <f>695+219</f>
        <v>914</v>
      </c>
      <c r="CR252" s="6"/>
      <c r="CS252" s="6">
        <f t="shared" si="96"/>
        <v>232</v>
      </c>
      <c r="CT252" s="6">
        <f>909+219</f>
        <v>1128</v>
      </c>
      <c r="CU252" s="6"/>
      <c r="CV252" s="6">
        <f t="shared" si="97"/>
        <v>214</v>
      </c>
      <c r="CW252" s="6"/>
      <c r="CX252" s="6"/>
      <c r="CY252" s="6"/>
      <c r="CZ252" s="6">
        <v>168</v>
      </c>
      <c r="DA252" s="6">
        <v>1191</v>
      </c>
      <c r="DB252" s="6">
        <f t="shared" si="98"/>
        <v>231</v>
      </c>
      <c r="DC252" s="6">
        <v>397</v>
      </c>
      <c r="DD252" s="6"/>
      <c r="DE252" s="6">
        <f t="shared" si="99"/>
        <v>229</v>
      </c>
      <c r="DF252" s="6">
        <v>629</v>
      </c>
      <c r="DG252" s="10"/>
      <c r="DH252" s="6">
        <f t="shared" si="100"/>
        <v>232</v>
      </c>
      <c r="DI252" s="6">
        <v>856</v>
      </c>
      <c r="DJ252" s="10"/>
      <c r="DK252" s="6">
        <f t="shared" si="101"/>
        <v>227</v>
      </c>
      <c r="DL252" s="6">
        <v>178</v>
      </c>
      <c r="DM252" s="10">
        <v>883</v>
      </c>
      <c r="DN252" s="6">
        <f t="shared" si="102"/>
        <v>205</v>
      </c>
      <c r="DO252" s="6">
        <v>382</v>
      </c>
      <c r="DP252" s="10"/>
      <c r="DQ252" s="6">
        <f t="shared" si="103"/>
        <v>204</v>
      </c>
    </row>
    <row r="253" spans="1:121">
      <c r="A253" s="151">
        <v>249</v>
      </c>
      <c r="B253" s="6">
        <v>730</v>
      </c>
      <c r="C253" s="10"/>
      <c r="D253" s="3">
        <v>227</v>
      </c>
      <c r="E253" s="33" t="s">
        <v>72</v>
      </c>
      <c r="F253" s="33" t="s">
        <v>72</v>
      </c>
      <c r="G253" s="33" t="s">
        <v>72</v>
      </c>
      <c r="H253" s="33" t="s">
        <v>72</v>
      </c>
      <c r="I253" s="33" t="s">
        <v>72</v>
      </c>
      <c r="J253" s="33" t="s">
        <v>72</v>
      </c>
      <c r="K253" s="33" t="s">
        <v>72</v>
      </c>
      <c r="L253" s="33" t="s">
        <v>72</v>
      </c>
      <c r="M253" s="33" t="s">
        <v>72</v>
      </c>
      <c r="N253" s="33" t="s">
        <v>72</v>
      </c>
      <c r="O253" s="33" t="s">
        <v>72</v>
      </c>
      <c r="P253" s="33" t="s">
        <v>72</v>
      </c>
      <c r="Q253" s="33" t="s">
        <v>72</v>
      </c>
      <c r="R253" s="33" t="s">
        <v>72</v>
      </c>
      <c r="S253" s="148" t="s">
        <v>75</v>
      </c>
      <c r="T253" s="33" t="s">
        <v>75</v>
      </c>
      <c r="U253" s="33" t="s">
        <v>75</v>
      </c>
      <c r="V253" s="33" t="s">
        <v>75</v>
      </c>
      <c r="W253" s="33" t="s">
        <v>75</v>
      </c>
      <c r="X253" s="33" t="s">
        <v>75</v>
      </c>
      <c r="Y253" s="33" t="s">
        <v>75</v>
      </c>
      <c r="Z253" s="33" t="s">
        <v>75</v>
      </c>
      <c r="AA253" s="33" t="s">
        <v>75</v>
      </c>
      <c r="AB253" s="33" t="s">
        <v>75</v>
      </c>
      <c r="AC253" s="33" t="s">
        <v>75</v>
      </c>
      <c r="AD253" s="33" t="s">
        <v>75</v>
      </c>
      <c r="AE253" s="33" t="s">
        <v>75</v>
      </c>
      <c r="AF253" s="6">
        <v>973</v>
      </c>
      <c r="AG253" s="6"/>
      <c r="AH253" s="35">
        <f t="shared" si="78"/>
        <v>243</v>
      </c>
      <c r="AI253" s="35">
        <v>102</v>
      </c>
      <c r="AJ253" s="78">
        <v>1100</v>
      </c>
      <c r="AK253" s="35">
        <f t="shared" si="79"/>
        <v>229</v>
      </c>
      <c r="AL253" s="6"/>
      <c r="AM253" s="6"/>
      <c r="AN253" s="35"/>
      <c r="AO253" s="6">
        <v>342</v>
      </c>
      <c r="AP253" s="6"/>
      <c r="AQ253" s="34">
        <f t="shared" si="80"/>
        <v>240</v>
      </c>
      <c r="AR253" s="35">
        <v>577</v>
      </c>
      <c r="AS253" s="35"/>
      <c r="AT253" s="35">
        <f t="shared" si="81"/>
        <v>235</v>
      </c>
      <c r="AU253" s="6">
        <v>807</v>
      </c>
      <c r="AV253" s="6"/>
      <c r="AW253" s="35">
        <f t="shared" si="82"/>
        <v>230</v>
      </c>
      <c r="AX253" s="6">
        <v>1043</v>
      </c>
      <c r="AY253" s="6"/>
      <c r="AZ253" s="35">
        <f t="shared" si="83"/>
        <v>236</v>
      </c>
      <c r="BA253" s="35">
        <v>179</v>
      </c>
      <c r="BB253" s="78">
        <v>1100</v>
      </c>
      <c r="BC253" s="35">
        <f t="shared" si="84"/>
        <v>236</v>
      </c>
      <c r="BD253" s="35">
        <v>408</v>
      </c>
      <c r="BE253" s="6"/>
      <c r="BF253" s="35">
        <f t="shared" si="85"/>
        <v>229</v>
      </c>
      <c r="BG253" s="6"/>
      <c r="BH253" s="6"/>
      <c r="BI253" s="6"/>
      <c r="BJ253" s="6">
        <v>649</v>
      </c>
      <c r="BK253" s="6"/>
      <c r="BL253" s="6">
        <f t="shared" si="86"/>
        <v>241</v>
      </c>
      <c r="BM253" s="35">
        <v>888</v>
      </c>
      <c r="BN253" s="35"/>
      <c r="BO253" s="6">
        <f t="shared" si="87"/>
        <v>239</v>
      </c>
      <c r="BP253" s="35">
        <v>25</v>
      </c>
      <c r="BQ253" s="78">
        <v>1100</v>
      </c>
      <c r="BR253" s="35">
        <f t="shared" si="88"/>
        <v>237</v>
      </c>
      <c r="BS253" s="35">
        <v>262</v>
      </c>
      <c r="BT253" s="35"/>
      <c r="BU253" s="6">
        <f t="shared" si="89"/>
        <v>237</v>
      </c>
      <c r="BV253" s="6">
        <v>0</v>
      </c>
      <c r="BW253" s="3">
        <v>364</v>
      </c>
      <c r="BX253" s="35">
        <f t="shared" si="90"/>
        <v>102</v>
      </c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>
        <v>220</v>
      </c>
      <c r="CU253" s="6"/>
      <c r="CV253" s="6">
        <f t="shared" si="97"/>
        <v>220</v>
      </c>
      <c r="CW253" s="6"/>
      <c r="CX253" s="6"/>
      <c r="CY253" s="6"/>
      <c r="CZ253" s="6">
        <v>458</v>
      </c>
      <c r="DA253" s="6"/>
      <c r="DB253" s="6">
        <f t="shared" si="98"/>
        <v>238</v>
      </c>
      <c r="DC253" s="6">
        <v>692</v>
      </c>
      <c r="DD253" s="6"/>
      <c r="DE253" s="6">
        <f t="shared" si="99"/>
        <v>234</v>
      </c>
      <c r="DF253" s="6">
        <v>924</v>
      </c>
      <c r="DG253" s="10"/>
      <c r="DH253" s="6">
        <f t="shared" si="100"/>
        <v>232</v>
      </c>
      <c r="DI253" s="6">
        <v>59</v>
      </c>
      <c r="DJ253" s="10">
        <v>1100</v>
      </c>
      <c r="DK253" s="6">
        <f t="shared" si="101"/>
        <v>235</v>
      </c>
      <c r="DL253" s="6">
        <v>292</v>
      </c>
      <c r="DM253" s="10"/>
      <c r="DN253" s="6">
        <f t="shared" si="102"/>
        <v>233</v>
      </c>
      <c r="DO253" s="6">
        <v>500</v>
      </c>
      <c r="DP253" s="10"/>
      <c r="DQ253" s="6">
        <f t="shared" si="103"/>
        <v>208</v>
      </c>
    </row>
    <row r="254" spans="1:121">
      <c r="A254" s="151">
        <v>250</v>
      </c>
      <c r="B254" s="6">
        <v>749</v>
      </c>
      <c r="C254" s="10"/>
      <c r="D254" s="3">
        <v>235</v>
      </c>
      <c r="E254" s="141" t="s">
        <v>72</v>
      </c>
      <c r="F254" s="141" t="s">
        <v>72</v>
      </c>
      <c r="G254" s="141" t="s">
        <v>72</v>
      </c>
      <c r="H254" s="141" t="s">
        <v>72</v>
      </c>
      <c r="I254" s="141" t="s">
        <v>72</v>
      </c>
      <c r="J254" s="141" t="s">
        <v>72</v>
      </c>
      <c r="K254" s="141" t="s">
        <v>72</v>
      </c>
      <c r="L254" s="141" t="s">
        <v>72</v>
      </c>
      <c r="M254" s="141" t="s">
        <v>72</v>
      </c>
      <c r="N254" s="141" t="s">
        <v>72</v>
      </c>
      <c r="O254" s="141" t="s">
        <v>72</v>
      </c>
      <c r="P254" s="141" t="s">
        <v>72</v>
      </c>
      <c r="Q254" s="141" t="s">
        <v>72</v>
      </c>
      <c r="R254" s="141" t="s">
        <v>72</v>
      </c>
      <c r="S254" s="163" t="s">
        <v>75</v>
      </c>
      <c r="T254" s="141" t="s">
        <v>75</v>
      </c>
      <c r="U254" s="141" t="s">
        <v>75</v>
      </c>
      <c r="V254" s="141" t="s">
        <v>75</v>
      </c>
      <c r="W254" s="141" t="s">
        <v>75</v>
      </c>
      <c r="X254" s="141" t="s">
        <v>75</v>
      </c>
      <c r="Y254" s="141" t="s">
        <v>75</v>
      </c>
      <c r="Z254" s="141" t="s">
        <v>75</v>
      </c>
      <c r="AA254" s="141" t="s">
        <v>75</v>
      </c>
      <c r="AB254" s="141" t="s">
        <v>75</v>
      </c>
      <c r="AC254" s="141" t="s">
        <v>75</v>
      </c>
      <c r="AD254" s="141" t="s">
        <v>75</v>
      </c>
      <c r="AE254" s="141" t="s">
        <v>75</v>
      </c>
      <c r="AF254" s="6">
        <v>990</v>
      </c>
      <c r="AG254" s="6"/>
      <c r="AH254" s="35">
        <f t="shared" si="78"/>
        <v>241</v>
      </c>
      <c r="AI254" s="35">
        <v>121</v>
      </c>
      <c r="AJ254" s="78">
        <v>1100</v>
      </c>
      <c r="AK254" s="35">
        <f t="shared" si="79"/>
        <v>231</v>
      </c>
      <c r="AL254" s="6"/>
      <c r="AM254" s="6"/>
      <c r="AN254" s="35"/>
      <c r="AO254" s="6">
        <v>69</v>
      </c>
      <c r="AP254" s="3">
        <v>289</v>
      </c>
      <c r="AQ254" s="34">
        <f t="shared" si="80"/>
        <v>237</v>
      </c>
      <c r="AR254" s="35">
        <v>141</v>
      </c>
      <c r="AS254" s="78">
        <v>169</v>
      </c>
      <c r="AT254" s="35">
        <f t="shared" si="81"/>
        <v>241</v>
      </c>
      <c r="AU254" s="6">
        <v>379</v>
      </c>
      <c r="AV254" s="6"/>
      <c r="AW254" s="35">
        <f t="shared" si="82"/>
        <v>238</v>
      </c>
      <c r="AX254" s="6">
        <v>622</v>
      </c>
      <c r="AY254" s="6"/>
      <c r="AZ254" s="35">
        <f t="shared" si="83"/>
        <v>243</v>
      </c>
      <c r="BA254" s="35">
        <v>52</v>
      </c>
      <c r="BB254" s="78">
        <v>665</v>
      </c>
      <c r="BC254" s="35">
        <f t="shared" si="84"/>
        <v>95</v>
      </c>
      <c r="BD254" s="35">
        <v>280</v>
      </c>
      <c r="BE254" s="6"/>
      <c r="BF254" s="35">
        <f t="shared" si="85"/>
        <v>228</v>
      </c>
      <c r="BG254" s="6"/>
      <c r="BH254" s="6"/>
      <c r="BI254" s="6"/>
      <c r="BJ254" s="6">
        <v>31</v>
      </c>
      <c r="BK254" s="3">
        <v>490</v>
      </c>
      <c r="BL254" s="6">
        <f t="shared" si="86"/>
        <v>241</v>
      </c>
      <c r="BM254" s="35">
        <v>240</v>
      </c>
      <c r="BN254" s="35"/>
      <c r="BO254" s="6">
        <f t="shared" si="87"/>
        <v>209</v>
      </c>
      <c r="BP254" s="35">
        <v>464</v>
      </c>
      <c r="BQ254" s="35"/>
      <c r="BR254" s="35">
        <f t="shared" si="88"/>
        <v>224</v>
      </c>
      <c r="BS254" s="35">
        <v>0</v>
      </c>
      <c r="BT254" s="78">
        <v>549</v>
      </c>
      <c r="BU254" s="6">
        <f t="shared" si="89"/>
        <v>85</v>
      </c>
      <c r="BV254" s="6">
        <v>0</v>
      </c>
      <c r="BW254" s="6"/>
      <c r="BX254" s="35">
        <f t="shared" si="90"/>
        <v>0</v>
      </c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>
        <v>222</v>
      </c>
      <c r="DA254" s="6"/>
      <c r="DB254" s="6">
        <f t="shared" si="98"/>
        <v>222</v>
      </c>
      <c r="DC254" s="6">
        <v>450</v>
      </c>
      <c r="DD254" s="6"/>
      <c r="DE254" s="6">
        <f t="shared" si="99"/>
        <v>228</v>
      </c>
      <c r="DF254" s="6">
        <v>680</v>
      </c>
      <c r="DG254" s="10"/>
      <c r="DH254" s="6">
        <f t="shared" si="100"/>
        <v>230</v>
      </c>
      <c r="DI254" s="6">
        <v>912</v>
      </c>
      <c r="DJ254" s="10"/>
      <c r="DK254" s="6">
        <f t="shared" si="101"/>
        <v>232</v>
      </c>
      <c r="DL254" s="6">
        <v>36</v>
      </c>
      <c r="DM254" s="10">
        <v>1106</v>
      </c>
      <c r="DN254" s="6">
        <f t="shared" si="102"/>
        <v>230</v>
      </c>
      <c r="DO254" s="6">
        <v>241</v>
      </c>
      <c r="DP254" s="10"/>
      <c r="DQ254" s="6">
        <f t="shared" si="103"/>
        <v>205</v>
      </c>
    </row>
    <row r="255" spans="1:121">
      <c r="A255" s="151">
        <v>251</v>
      </c>
      <c r="B255" s="6">
        <v>493</v>
      </c>
      <c r="C255" s="10"/>
      <c r="D255" s="6">
        <v>239</v>
      </c>
      <c r="E255" s="33" t="s">
        <v>75</v>
      </c>
      <c r="F255" s="33" t="s">
        <v>75</v>
      </c>
      <c r="G255" s="33" t="s">
        <v>75</v>
      </c>
      <c r="H255" s="33" t="s">
        <v>75</v>
      </c>
      <c r="I255" s="33" t="s">
        <v>75</v>
      </c>
      <c r="J255" s="33" t="s">
        <v>75</v>
      </c>
      <c r="K255" s="33" t="s">
        <v>75</v>
      </c>
      <c r="L255" s="33" t="s">
        <v>75</v>
      </c>
      <c r="M255" s="33" t="s">
        <v>75</v>
      </c>
      <c r="N255" s="33" t="s">
        <v>75</v>
      </c>
      <c r="O255" s="33" t="s">
        <v>75</v>
      </c>
      <c r="P255" s="33" t="s">
        <v>75</v>
      </c>
      <c r="Q255" s="33" t="s">
        <v>75</v>
      </c>
      <c r="R255" s="33" t="s">
        <v>75</v>
      </c>
      <c r="S255" s="148" t="s">
        <v>75</v>
      </c>
      <c r="T255" s="33" t="s">
        <v>75</v>
      </c>
      <c r="U255" s="33" t="s">
        <v>75</v>
      </c>
      <c r="V255" s="33" t="s">
        <v>75</v>
      </c>
      <c r="W255" s="33" t="s">
        <v>75</v>
      </c>
      <c r="X255" s="33" t="s">
        <v>75</v>
      </c>
      <c r="Y255" s="33" t="s">
        <v>75</v>
      </c>
      <c r="Z255" s="33" t="s">
        <v>75</v>
      </c>
      <c r="AA255" s="33" t="s">
        <v>75</v>
      </c>
      <c r="AB255" s="33" t="s">
        <v>75</v>
      </c>
      <c r="AC255" s="33" t="s">
        <v>75</v>
      </c>
      <c r="AD255" s="33" t="s">
        <v>75</v>
      </c>
      <c r="AE255" s="33" t="s">
        <v>75</v>
      </c>
      <c r="AF255" s="6">
        <v>741</v>
      </c>
      <c r="AG255" s="6"/>
      <c r="AH255" s="35">
        <f t="shared" si="78"/>
        <v>248</v>
      </c>
      <c r="AI255" s="35">
        <v>979</v>
      </c>
      <c r="AJ255" s="35"/>
      <c r="AK255" s="35">
        <f t="shared" si="79"/>
        <v>238</v>
      </c>
      <c r="AL255" s="6"/>
      <c r="AM255" s="6"/>
      <c r="AN255" s="35"/>
      <c r="AO255" s="6">
        <v>127</v>
      </c>
      <c r="AP255" s="6">
        <v>1100</v>
      </c>
      <c r="AQ255" s="34">
        <f t="shared" si="80"/>
        <v>248</v>
      </c>
      <c r="AR255" s="35">
        <v>369</v>
      </c>
      <c r="AS255" s="35"/>
      <c r="AT255" s="35">
        <f t="shared" si="81"/>
        <v>242</v>
      </c>
      <c r="AU255" s="6">
        <v>607</v>
      </c>
      <c r="AV255" s="6"/>
      <c r="AW255" s="35">
        <f t="shared" si="82"/>
        <v>238</v>
      </c>
      <c r="AX255" s="6">
        <v>847</v>
      </c>
      <c r="AY255" s="6"/>
      <c r="AZ255" s="35">
        <f t="shared" si="83"/>
        <v>240</v>
      </c>
      <c r="BA255" s="35">
        <v>1085</v>
      </c>
      <c r="BB255" s="35"/>
      <c r="BC255" s="35">
        <f t="shared" si="84"/>
        <v>238</v>
      </c>
      <c r="BD255" s="35">
        <v>215</v>
      </c>
      <c r="BE255" s="6">
        <v>1100</v>
      </c>
      <c r="BF255" s="35">
        <f t="shared" si="85"/>
        <v>230</v>
      </c>
      <c r="BG255" s="6"/>
      <c r="BH255" s="6"/>
      <c r="BI255" s="6"/>
      <c r="BJ255" s="6">
        <v>456</v>
      </c>
      <c r="BK255" s="6"/>
      <c r="BL255" s="6">
        <f t="shared" si="86"/>
        <v>241</v>
      </c>
      <c r="BM255" s="35">
        <v>695</v>
      </c>
      <c r="BN255" s="35"/>
      <c r="BO255" s="6">
        <f t="shared" si="87"/>
        <v>239</v>
      </c>
      <c r="BP255" s="35">
        <v>132</v>
      </c>
      <c r="BQ255" s="35">
        <v>800</v>
      </c>
      <c r="BR255" s="35">
        <f t="shared" si="88"/>
        <v>237</v>
      </c>
      <c r="BS255" s="35">
        <v>371</v>
      </c>
      <c r="BT255" s="35"/>
      <c r="BU255" s="6">
        <f t="shared" si="89"/>
        <v>239</v>
      </c>
      <c r="BV255" s="6">
        <v>0</v>
      </c>
      <c r="BW255" s="6">
        <v>560</v>
      </c>
      <c r="BX255" s="35">
        <f t="shared" si="90"/>
        <v>189</v>
      </c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>
        <v>239</v>
      </c>
      <c r="DA255" s="6"/>
      <c r="DB255" s="6">
        <f t="shared" si="98"/>
        <v>239</v>
      </c>
      <c r="DC255" s="6">
        <v>473</v>
      </c>
      <c r="DD255" s="6"/>
      <c r="DE255" s="6">
        <f t="shared" si="99"/>
        <v>234</v>
      </c>
      <c r="DF255" s="6">
        <v>711</v>
      </c>
      <c r="DG255" s="10"/>
      <c r="DH255" s="6">
        <f t="shared" si="100"/>
        <v>238</v>
      </c>
      <c r="DI255" s="6">
        <v>951</v>
      </c>
      <c r="DJ255" s="10"/>
      <c r="DK255" s="6">
        <f t="shared" si="101"/>
        <v>240</v>
      </c>
      <c r="DL255" s="6">
        <v>87</v>
      </c>
      <c r="DM255" s="10">
        <v>1100</v>
      </c>
      <c r="DN255" s="6">
        <f t="shared" si="102"/>
        <v>236</v>
      </c>
      <c r="DO255" s="6">
        <v>296</v>
      </c>
      <c r="DP255" s="10"/>
      <c r="DQ255" s="6">
        <f t="shared" si="103"/>
        <v>209</v>
      </c>
    </row>
    <row r="256" spans="1:121">
      <c r="A256" s="151">
        <v>252</v>
      </c>
      <c r="B256" s="6">
        <v>355</v>
      </c>
      <c r="C256" s="10"/>
      <c r="D256" s="6">
        <v>241</v>
      </c>
      <c r="E256" s="33" t="s">
        <v>75</v>
      </c>
      <c r="F256" s="33" t="s">
        <v>75</v>
      </c>
      <c r="G256" s="33" t="s">
        <v>75</v>
      </c>
      <c r="H256" s="33" t="s">
        <v>75</v>
      </c>
      <c r="I256" s="33" t="s">
        <v>75</v>
      </c>
      <c r="J256" s="33" t="s">
        <v>75</v>
      </c>
      <c r="K256" s="33" t="s">
        <v>75</v>
      </c>
      <c r="L256" s="33" t="s">
        <v>75</v>
      </c>
      <c r="M256" s="33" t="s">
        <v>75</v>
      </c>
      <c r="N256" s="33" t="s">
        <v>75</v>
      </c>
      <c r="O256" s="33" t="s">
        <v>75</v>
      </c>
      <c r="P256" s="33" t="s">
        <v>75</v>
      </c>
      <c r="Q256" s="33" t="s">
        <v>75</v>
      </c>
      <c r="R256" s="33" t="s">
        <v>75</v>
      </c>
      <c r="S256" s="148" t="s">
        <v>75</v>
      </c>
      <c r="T256" s="33" t="s">
        <v>75</v>
      </c>
      <c r="U256" s="33" t="s">
        <v>75</v>
      </c>
      <c r="V256" s="33" t="s">
        <v>75</v>
      </c>
      <c r="W256" s="33" t="s">
        <v>75</v>
      </c>
      <c r="X256" s="33" t="s">
        <v>75</v>
      </c>
      <c r="Y256" s="33" t="s">
        <v>75</v>
      </c>
      <c r="Z256" s="33" t="s">
        <v>75</v>
      </c>
      <c r="AA256" s="33" t="s">
        <v>75</v>
      </c>
      <c r="AB256" s="33" t="s">
        <v>75</v>
      </c>
      <c r="AC256" s="33" t="s">
        <v>75</v>
      </c>
      <c r="AD256" s="33" t="s">
        <v>75</v>
      </c>
      <c r="AE256" s="33" t="s">
        <v>75</v>
      </c>
      <c r="AF256" s="6">
        <v>604</v>
      </c>
      <c r="AG256" s="6"/>
      <c r="AH256" s="35">
        <f t="shared" si="78"/>
        <v>249</v>
      </c>
      <c r="AI256" s="35">
        <v>844</v>
      </c>
      <c r="AJ256" s="35"/>
      <c r="AK256" s="35">
        <f t="shared" si="79"/>
        <v>240</v>
      </c>
      <c r="AL256" s="6"/>
      <c r="AM256" s="6"/>
      <c r="AN256" s="35"/>
      <c r="AO256" s="6">
        <v>1092</v>
      </c>
      <c r="AP256" s="6"/>
      <c r="AQ256" s="34">
        <f t="shared" si="80"/>
        <v>248</v>
      </c>
      <c r="AR256" s="35">
        <v>235</v>
      </c>
      <c r="AS256" s="35">
        <v>1100</v>
      </c>
      <c r="AT256" s="35">
        <f t="shared" si="81"/>
        <v>243</v>
      </c>
      <c r="AU256" s="6">
        <v>475</v>
      </c>
      <c r="AV256" s="6"/>
      <c r="AW256" s="35">
        <f t="shared" si="82"/>
        <v>240</v>
      </c>
      <c r="AX256" s="6">
        <v>717</v>
      </c>
      <c r="AY256" s="6"/>
      <c r="AZ256" s="35">
        <f t="shared" si="83"/>
        <v>242</v>
      </c>
      <c r="BA256" s="35">
        <v>958</v>
      </c>
      <c r="BB256" s="35"/>
      <c r="BC256" s="35">
        <f t="shared" si="84"/>
        <v>241</v>
      </c>
      <c r="BD256" s="35">
        <v>85</v>
      </c>
      <c r="BE256" s="6">
        <v>1100</v>
      </c>
      <c r="BF256" s="35">
        <f t="shared" si="85"/>
        <v>227</v>
      </c>
      <c r="BG256" s="6"/>
      <c r="BH256" s="6"/>
      <c r="BI256" s="6"/>
      <c r="BJ256" s="6">
        <v>327</v>
      </c>
      <c r="BK256" s="6"/>
      <c r="BL256" s="6">
        <f t="shared" si="86"/>
        <v>242</v>
      </c>
      <c r="BM256" s="35">
        <v>0</v>
      </c>
      <c r="BN256" s="35">
        <v>390</v>
      </c>
      <c r="BO256" s="6">
        <f t="shared" si="87"/>
        <v>63</v>
      </c>
      <c r="BP256" s="35"/>
      <c r="BQ256" s="35"/>
      <c r="BR256" s="35"/>
      <c r="BS256" s="35"/>
      <c r="BT256" s="35"/>
      <c r="BU256" s="6"/>
      <c r="BV256" s="6"/>
      <c r="BW256" s="6"/>
      <c r="BX256" s="35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>
        <v>227</v>
      </c>
      <c r="DG256" s="10"/>
      <c r="DH256" s="6">
        <f t="shared" si="100"/>
        <v>227</v>
      </c>
      <c r="DI256" s="6">
        <v>461</v>
      </c>
      <c r="DJ256" s="10"/>
      <c r="DK256" s="6">
        <f t="shared" si="101"/>
        <v>234</v>
      </c>
      <c r="DL256" s="6">
        <v>690</v>
      </c>
      <c r="DM256" s="10"/>
      <c r="DN256" s="6">
        <f t="shared" si="102"/>
        <v>229</v>
      </c>
      <c r="DO256" s="6">
        <v>890</v>
      </c>
      <c r="DP256" s="10"/>
      <c r="DQ256" s="6">
        <f t="shared" si="103"/>
        <v>200</v>
      </c>
    </row>
    <row r="257" spans="1:121">
      <c r="A257" s="6">
        <v>253</v>
      </c>
      <c r="B257" s="6">
        <v>257</v>
      </c>
      <c r="C257" s="10"/>
      <c r="D257" s="6">
        <v>238</v>
      </c>
      <c r="E257" s="141" t="s">
        <v>75</v>
      </c>
      <c r="F257" s="141" t="s">
        <v>75</v>
      </c>
      <c r="G257" s="141" t="s">
        <v>75</v>
      </c>
      <c r="H257" s="141" t="s">
        <v>75</v>
      </c>
      <c r="I257" s="141" t="s">
        <v>75</v>
      </c>
      <c r="J257" s="141" t="s">
        <v>75</v>
      </c>
      <c r="K257" s="141" t="s">
        <v>75</v>
      </c>
      <c r="L257" s="141" t="s">
        <v>75</v>
      </c>
      <c r="M257" s="141" t="s">
        <v>75</v>
      </c>
      <c r="N257" s="141" t="s">
        <v>75</v>
      </c>
      <c r="O257" s="141" t="s">
        <v>75</v>
      </c>
      <c r="P257" s="141" t="s">
        <v>75</v>
      </c>
      <c r="Q257" s="141" t="s">
        <v>75</v>
      </c>
      <c r="R257" s="141" t="s">
        <v>75</v>
      </c>
      <c r="S257" s="141" t="s">
        <v>75</v>
      </c>
      <c r="T257" s="141" t="s">
        <v>75</v>
      </c>
      <c r="U257" s="141" t="s">
        <v>75</v>
      </c>
      <c r="V257" s="141" t="s">
        <v>75</v>
      </c>
      <c r="W257" s="141" t="s">
        <v>75</v>
      </c>
      <c r="X257" s="141" t="s">
        <v>75</v>
      </c>
      <c r="Y257" s="141" t="s">
        <v>75</v>
      </c>
      <c r="Z257" s="141" t="s">
        <v>75</v>
      </c>
      <c r="AA257" s="141" t="s">
        <v>75</v>
      </c>
      <c r="AB257" s="141" t="s">
        <v>75</v>
      </c>
      <c r="AC257" s="141" t="s">
        <v>75</v>
      </c>
      <c r="AD257" s="141" t="s">
        <v>75</v>
      </c>
      <c r="AE257" s="141" t="s">
        <v>75</v>
      </c>
      <c r="AF257" s="6">
        <v>501</v>
      </c>
      <c r="AG257" s="6"/>
      <c r="AH257" s="35">
        <f t="shared" si="78"/>
        <v>244</v>
      </c>
      <c r="AI257" s="35">
        <v>0</v>
      </c>
      <c r="AJ257" s="35">
        <v>540</v>
      </c>
      <c r="AK257" s="35">
        <f t="shared" si="79"/>
        <v>39</v>
      </c>
      <c r="AL257" s="6"/>
      <c r="AM257" s="6"/>
      <c r="AN257" s="35"/>
      <c r="AO257" s="6">
        <v>0</v>
      </c>
      <c r="AP257" s="6"/>
      <c r="AQ257" s="34">
        <f t="shared" si="80"/>
        <v>0</v>
      </c>
      <c r="AR257" s="35">
        <v>0</v>
      </c>
      <c r="AS257" s="35"/>
      <c r="AT257" s="35">
        <f t="shared" si="81"/>
        <v>0</v>
      </c>
      <c r="AU257" s="6"/>
      <c r="AV257" s="6"/>
      <c r="AW257" s="35"/>
      <c r="AX257" s="6"/>
      <c r="AY257" s="6"/>
      <c r="AZ257" s="35"/>
      <c r="BA257" s="35"/>
      <c r="BB257" s="35"/>
      <c r="BC257" s="35"/>
      <c r="BD257" s="35"/>
      <c r="BE257" s="6"/>
      <c r="BF257" s="35"/>
      <c r="BG257" s="6"/>
      <c r="BH257" s="6"/>
      <c r="BI257" s="6"/>
      <c r="BJ257" s="6"/>
      <c r="BK257" s="6"/>
      <c r="BL257" s="6"/>
      <c r="BM257" s="35"/>
      <c r="BN257" s="35"/>
      <c r="BO257" s="6"/>
      <c r="BP257" s="35"/>
      <c r="BQ257" s="35"/>
      <c r="BR257" s="35"/>
      <c r="BS257" s="35"/>
      <c r="BT257" s="35"/>
      <c r="BU257" s="6"/>
      <c r="BV257" s="6"/>
      <c r="BW257" s="6"/>
      <c r="BX257" s="35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10"/>
      <c r="DH257" s="6"/>
      <c r="DI257" s="6"/>
      <c r="DJ257" s="10"/>
      <c r="DK257" s="6"/>
      <c r="DL257" s="6"/>
      <c r="DM257" s="10"/>
      <c r="DN257" s="6"/>
      <c r="DO257" s="6"/>
      <c r="DP257" s="10"/>
      <c r="DQ257" s="6"/>
    </row>
    <row r="258" spans="1:121">
      <c r="A258" s="6">
        <v>254</v>
      </c>
      <c r="B258" s="6">
        <v>714</v>
      </c>
      <c r="C258" s="10"/>
      <c r="D258" s="6">
        <v>236</v>
      </c>
      <c r="E258" s="141" t="s">
        <v>75</v>
      </c>
      <c r="F258" s="141" t="s">
        <v>75</v>
      </c>
      <c r="G258" s="141" t="s">
        <v>75</v>
      </c>
      <c r="H258" s="141" t="s">
        <v>75</v>
      </c>
      <c r="I258" s="141" t="s">
        <v>75</v>
      </c>
      <c r="J258" s="141" t="s">
        <v>75</v>
      </c>
      <c r="K258" s="141" t="s">
        <v>75</v>
      </c>
      <c r="L258" s="141" t="s">
        <v>75</v>
      </c>
      <c r="M258" s="141" t="s">
        <v>75</v>
      </c>
      <c r="N258" s="141" t="s">
        <v>75</v>
      </c>
      <c r="O258" s="141" t="s">
        <v>75</v>
      </c>
      <c r="P258" s="141" t="s">
        <v>75</v>
      </c>
      <c r="Q258" s="141" t="s">
        <v>75</v>
      </c>
      <c r="R258" s="141" t="s">
        <v>75</v>
      </c>
      <c r="S258" s="141" t="s">
        <v>75</v>
      </c>
      <c r="T258" s="141" t="s">
        <v>75</v>
      </c>
      <c r="U258" s="141" t="s">
        <v>75</v>
      </c>
      <c r="V258" s="141" t="s">
        <v>75</v>
      </c>
      <c r="W258" s="141" t="s">
        <v>75</v>
      </c>
      <c r="X258" s="141" t="s">
        <v>75</v>
      </c>
      <c r="Y258" s="141" t="s">
        <v>75</v>
      </c>
      <c r="Z258" s="141" t="s">
        <v>75</v>
      </c>
      <c r="AA258" s="141" t="s">
        <v>75</v>
      </c>
      <c r="AB258" s="141" t="s">
        <v>75</v>
      </c>
      <c r="AC258" s="141" t="s">
        <v>75</v>
      </c>
      <c r="AD258" s="141" t="s">
        <v>75</v>
      </c>
      <c r="AE258" s="141" t="s">
        <v>75</v>
      </c>
      <c r="AF258" s="6">
        <v>961</v>
      </c>
      <c r="AG258" s="6"/>
      <c r="AH258" s="35">
        <f t="shared" si="78"/>
        <v>247</v>
      </c>
      <c r="AI258" s="35">
        <v>98</v>
      </c>
      <c r="AJ258" s="35">
        <v>1100</v>
      </c>
      <c r="AK258" s="35">
        <f t="shared" si="79"/>
        <v>237</v>
      </c>
      <c r="AL258" s="6"/>
      <c r="AM258" s="6"/>
      <c r="AN258" s="35"/>
      <c r="AO258" s="6">
        <v>342</v>
      </c>
      <c r="AP258" s="6"/>
      <c r="AQ258" s="34">
        <f t="shared" si="80"/>
        <v>244</v>
      </c>
      <c r="AR258" s="35">
        <v>0</v>
      </c>
      <c r="AS258" s="35">
        <v>386</v>
      </c>
      <c r="AT258" s="35">
        <f t="shared" si="81"/>
        <v>44</v>
      </c>
      <c r="AU258" s="6"/>
      <c r="AV258" s="6"/>
      <c r="AW258" s="35"/>
      <c r="AX258" s="6"/>
      <c r="AY258" s="6"/>
      <c r="AZ258" s="35"/>
      <c r="BA258" s="35"/>
      <c r="BB258" s="35"/>
      <c r="BC258" s="35"/>
      <c r="BD258" s="35"/>
      <c r="BE258" s="6"/>
      <c r="BF258" s="35"/>
      <c r="BG258" s="6"/>
      <c r="BH258" s="6"/>
      <c r="BI258" s="6"/>
      <c r="BJ258" s="6"/>
      <c r="BK258" s="6"/>
      <c r="BL258" s="6"/>
      <c r="BM258" s="35"/>
      <c r="BN258" s="35"/>
      <c r="BO258" s="6"/>
      <c r="BP258" s="35"/>
      <c r="BQ258" s="35"/>
      <c r="BR258" s="35"/>
      <c r="BS258" s="35"/>
      <c r="BT258" s="35"/>
      <c r="BU258" s="6"/>
      <c r="BV258" s="6"/>
      <c r="BW258" s="6"/>
      <c r="BX258" s="35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10"/>
      <c r="DH258" s="6"/>
      <c r="DI258" s="6"/>
      <c r="DJ258" s="10"/>
      <c r="DK258" s="6"/>
      <c r="DL258" s="6"/>
      <c r="DM258" s="10"/>
      <c r="DN258" s="6"/>
      <c r="DO258" s="6"/>
      <c r="DP258" s="10"/>
      <c r="DQ258" s="6"/>
    </row>
    <row r="259" spans="1:121">
      <c r="A259" s="6">
        <v>255</v>
      </c>
      <c r="B259" s="6">
        <v>284</v>
      </c>
      <c r="C259" s="10"/>
      <c r="D259" s="6">
        <v>233</v>
      </c>
      <c r="E259" s="141" t="s">
        <v>75</v>
      </c>
      <c r="F259" s="141" t="s">
        <v>75</v>
      </c>
      <c r="G259" s="141" t="s">
        <v>75</v>
      </c>
      <c r="H259" s="141" t="s">
        <v>75</v>
      </c>
      <c r="I259" s="141" t="s">
        <v>75</v>
      </c>
      <c r="J259" s="141" t="s">
        <v>75</v>
      </c>
      <c r="K259" s="141" t="s">
        <v>75</v>
      </c>
      <c r="L259" s="141" t="s">
        <v>75</v>
      </c>
      <c r="M259" s="141" t="s">
        <v>75</v>
      </c>
      <c r="N259" s="141" t="s">
        <v>75</v>
      </c>
      <c r="O259" s="141" t="s">
        <v>75</v>
      </c>
      <c r="P259" s="141" t="s">
        <v>75</v>
      </c>
      <c r="Q259" s="141" t="s">
        <v>75</v>
      </c>
      <c r="R259" s="141" t="s">
        <v>75</v>
      </c>
      <c r="S259" s="141" t="s">
        <v>75</v>
      </c>
      <c r="T259" s="141" t="s">
        <v>75</v>
      </c>
      <c r="U259" s="141" t="s">
        <v>75</v>
      </c>
      <c r="V259" s="141" t="s">
        <v>75</v>
      </c>
      <c r="W259" s="141" t="s">
        <v>75</v>
      </c>
      <c r="X259" s="141" t="s">
        <v>75</v>
      </c>
      <c r="Y259" s="141" t="s">
        <v>75</v>
      </c>
      <c r="Z259" s="141" t="s">
        <v>75</v>
      </c>
      <c r="AA259" s="141" t="s">
        <v>75</v>
      </c>
      <c r="AB259" s="141" t="s">
        <v>75</v>
      </c>
      <c r="AC259" s="141" t="s">
        <v>75</v>
      </c>
      <c r="AD259" s="141" t="s">
        <v>75</v>
      </c>
      <c r="AE259" s="141" t="s">
        <v>75</v>
      </c>
      <c r="AF259" s="6">
        <v>0</v>
      </c>
      <c r="AG259" s="6">
        <v>356</v>
      </c>
      <c r="AH259" s="35">
        <f t="shared" si="78"/>
        <v>72</v>
      </c>
      <c r="AI259" s="35">
        <v>0</v>
      </c>
      <c r="AJ259" s="35"/>
      <c r="AK259" s="35">
        <f t="shared" si="79"/>
        <v>0</v>
      </c>
      <c r="AL259" s="6"/>
      <c r="AM259" s="6"/>
      <c r="AN259" s="35"/>
      <c r="AO259" s="6">
        <v>0</v>
      </c>
      <c r="AP259" s="6"/>
      <c r="AQ259" s="34">
        <f t="shared" si="80"/>
        <v>0</v>
      </c>
      <c r="AR259" s="35">
        <v>0</v>
      </c>
      <c r="AS259" s="35"/>
      <c r="AT259" s="35">
        <f t="shared" si="81"/>
        <v>0</v>
      </c>
      <c r="AU259" s="6"/>
      <c r="AV259" s="6"/>
      <c r="AW259" s="35"/>
      <c r="AX259" s="6"/>
      <c r="AY259" s="6"/>
      <c r="AZ259" s="35"/>
      <c r="BA259" s="35"/>
      <c r="BB259" s="35"/>
      <c r="BC259" s="35"/>
      <c r="BD259" s="35"/>
      <c r="BE259" s="6"/>
      <c r="BF259" s="35"/>
      <c r="BG259" s="6"/>
      <c r="BH259" s="6"/>
      <c r="BI259" s="6"/>
      <c r="BJ259" s="6"/>
      <c r="BK259" s="6"/>
      <c r="BL259" s="6"/>
      <c r="BM259" s="35"/>
      <c r="BN259" s="35"/>
      <c r="BO259" s="6"/>
      <c r="BP259" s="35"/>
      <c r="BQ259" s="35"/>
      <c r="BR259" s="35"/>
      <c r="BS259" s="35"/>
      <c r="BT259" s="35"/>
      <c r="BU259" s="6"/>
      <c r="BV259" s="6"/>
      <c r="BW259" s="6"/>
      <c r="BX259" s="35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10"/>
      <c r="DH259" s="6"/>
      <c r="DI259" s="6"/>
      <c r="DJ259" s="10"/>
      <c r="DK259" s="6"/>
      <c r="DL259" s="6"/>
      <c r="DM259" s="10"/>
      <c r="DN259" s="6"/>
      <c r="DO259" s="6"/>
      <c r="DP259" s="10"/>
      <c r="DQ259" s="6"/>
    </row>
    <row r="260" spans="1:121">
      <c r="A260" s="6">
        <v>256</v>
      </c>
      <c r="B260" s="6">
        <v>851</v>
      </c>
      <c r="C260" s="10"/>
      <c r="D260" s="6">
        <v>237</v>
      </c>
      <c r="E260" s="141" t="s">
        <v>75</v>
      </c>
      <c r="F260" s="141" t="s">
        <v>75</v>
      </c>
      <c r="G260" s="141" t="s">
        <v>75</v>
      </c>
      <c r="H260" s="141" t="s">
        <v>75</v>
      </c>
      <c r="I260" s="141" t="s">
        <v>75</v>
      </c>
      <c r="J260" s="141" t="s">
        <v>75</v>
      </c>
      <c r="K260" s="141" t="s">
        <v>75</v>
      </c>
      <c r="L260" s="141" t="s">
        <v>75</v>
      </c>
      <c r="M260" s="141" t="s">
        <v>75</v>
      </c>
      <c r="N260" s="141" t="s">
        <v>75</v>
      </c>
      <c r="O260" s="141" t="s">
        <v>75</v>
      </c>
      <c r="P260" s="141" t="s">
        <v>75</v>
      </c>
      <c r="Q260" s="141" t="s">
        <v>75</v>
      </c>
      <c r="R260" s="141" t="s">
        <v>75</v>
      </c>
      <c r="S260" s="141" t="s">
        <v>75</v>
      </c>
      <c r="T260" s="141" t="s">
        <v>75</v>
      </c>
      <c r="U260" s="141" t="s">
        <v>75</v>
      </c>
      <c r="V260" s="141" t="s">
        <v>75</v>
      </c>
      <c r="W260" s="141" t="s">
        <v>75</v>
      </c>
      <c r="X260" s="141" t="s">
        <v>75</v>
      </c>
      <c r="Y260" s="141" t="s">
        <v>75</v>
      </c>
      <c r="Z260" s="141" t="s">
        <v>75</v>
      </c>
      <c r="AA260" s="141" t="s">
        <v>75</v>
      </c>
      <c r="AB260" s="141" t="s">
        <v>75</v>
      </c>
      <c r="AC260" s="141" t="s">
        <v>75</v>
      </c>
      <c r="AD260" s="141" t="s">
        <v>75</v>
      </c>
      <c r="AE260" s="141" t="s">
        <v>75</v>
      </c>
      <c r="AF260" s="6">
        <v>11</v>
      </c>
      <c r="AG260" s="6">
        <v>1087</v>
      </c>
      <c r="AH260" s="35">
        <f t="shared" si="78"/>
        <v>247</v>
      </c>
      <c r="AI260" s="35">
        <v>243</v>
      </c>
      <c r="AJ260" s="35"/>
      <c r="AK260" s="35">
        <f t="shared" si="79"/>
        <v>232</v>
      </c>
      <c r="AL260" s="6"/>
      <c r="AM260" s="6"/>
      <c r="AN260" s="35"/>
      <c r="AO260" s="6">
        <v>0</v>
      </c>
      <c r="AP260" s="6">
        <v>404</v>
      </c>
      <c r="AQ260" s="34">
        <f t="shared" si="80"/>
        <v>161</v>
      </c>
      <c r="AR260" s="35">
        <v>0</v>
      </c>
      <c r="AS260" s="35"/>
      <c r="AT260" s="35">
        <f t="shared" si="81"/>
        <v>0</v>
      </c>
      <c r="AU260" s="6"/>
      <c r="AV260" s="6"/>
      <c r="AW260" s="35"/>
      <c r="AX260" s="6"/>
      <c r="AY260" s="6"/>
      <c r="AZ260" s="35"/>
      <c r="BA260" s="35"/>
      <c r="BB260" s="35"/>
      <c r="BC260" s="35"/>
      <c r="BD260" s="35"/>
      <c r="BE260" s="6"/>
      <c r="BF260" s="35"/>
      <c r="BG260" s="6"/>
      <c r="BH260" s="6"/>
      <c r="BI260" s="6"/>
      <c r="BJ260" s="6"/>
      <c r="BK260" s="6"/>
      <c r="BL260" s="6"/>
      <c r="BM260" s="35"/>
      <c r="BN260" s="35"/>
      <c r="BO260" s="6"/>
      <c r="BP260" s="35"/>
      <c r="BQ260" s="35"/>
      <c r="BR260" s="35"/>
      <c r="BS260" s="35"/>
      <c r="BT260" s="35"/>
      <c r="BU260" s="6"/>
      <c r="BV260" s="6"/>
      <c r="BW260" s="6"/>
      <c r="BX260" s="35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10"/>
      <c r="DH260" s="6"/>
      <c r="DI260" s="6"/>
      <c r="DJ260" s="10"/>
      <c r="DK260" s="6"/>
      <c r="DL260" s="6"/>
      <c r="DM260" s="10"/>
      <c r="DN260" s="6"/>
      <c r="DO260" s="6"/>
      <c r="DP260" s="10"/>
      <c r="DQ260" s="6"/>
    </row>
    <row r="261" spans="1:121">
      <c r="A261" s="6">
        <v>257</v>
      </c>
      <c r="B261" s="6">
        <v>385</v>
      </c>
      <c r="C261" s="10"/>
      <c r="D261" s="6">
        <v>235</v>
      </c>
      <c r="E261" s="141" t="s">
        <v>75</v>
      </c>
      <c r="F261" s="141" t="s">
        <v>75</v>
      </c>
      <c r="G261" s="141" t="s">
        <v>75</v>
      </c>
      <c r="H261" s="141" t="s">
        <v>75</v>
      </c>
      <c r="I261" s="141" t="s">
        <v>75</v>
      </c>
      <c r="J261" s="141" t="s">
        <v>75</v>
      </c>
      <c r="K261" s="141" t="s">
        <v>75</v>
      </c>
      <c r="L261" s="141" t="s">
        <v>75</v>
      </c>
      <c r="M261" s="141" t="s">
        <v>75</v>
      </c>
      <c r="N261" s="141" t="s">
        <v>75</v>
      </c>
      <c r="O261" s="141" t="s">
        <v>75</v>
      </c>
      <c r="P261" s="141" t="s">
        <v>75</v>
      </c>
      <c r="Q261" s="141" t="s">
        <v>75</v>
      </c>
      <c r="R261" s="141" t="s">
        <v>75</v>
      </c>
      <c r="S261" s="141" t="s">
        <v>75</v>
      </c>
      <c r="T261" s="141" t="s">
        <v>75</v>
      </c>
      <c r="U261" s="141" t="s">
        <v>75</v>
      </c>
      <c r="V261" s="141" t="s">
        <v>75</v>
      </c>
      <c r="W261" s="141" t="s">
        <v>75</v>
      </c>
      <c r="X261" s="141" t="s">
        <v>75</v>
      </c>
      <c r="Y261" s="141" t="s">
        <v>75</v>
      </c>
      <c r="Z261" s="141" t="s">
        <v>75</v>
      </c>
      <c r="AA261" s="141" t="s">
        <v>75</v>
      </c>
      <c r="AB261" s="141" t="s">
        <v>75</v>
      </c>
      <c r="AC261" s="141" t="s">
        <v>75</v>
      </c>
      <c r="AD261" s="141" t="s">
        <v>75</v>
      </c>
      <c r="AE261" s="141" t="s">
        <v>75</v>
      </c>
      <c r="AF261" s="6">
        <v>0</v>
      </c>
      <c r="AG261" s="6">
        <v>473</v>
      </c>
      <c r="AH261" s="35">
        <f t="shared" si="78"/>
        <v>88</v>
      </c>
      <c r="AI261" s="35">
        <v>0</v>
      </c>
      <c r="AJ261" s="35"/>
      <c r="AK261" s="35">
        <f t="shared" si="79"/>
        <v>0</v>
      </c>
      <c r="AL261" s="6"/>
      <c r="AM261" s="6"/>
      <c r="AN261" s="35"/>
      <c r="AO261" s="6">
        <v>0</v>
      </c>
      <c r="AP261" s="6"/>
      <c r="AQ261" s="34">
        <f t="shared" si="80"/>
        <v>0</v>
      </c>
      <c r="AR261" s="35">
        <v>0</v>
      </c>
      <c r="AS261" s="35"/>
      <c r="AT261" s="35">
        <f t="shared" si="81"/>
        <v>0</v>
      </c>
      <c r="AU261" s="6"/>
      <c r="AV261" s="6"/>
      <c r="AW261" s="35"/>
      <c r="AX261" s="6"/>
      <c r="AY261" s="6"/>
      <c r="AZ261" s="35"/>
      <c r="BA261" s="35"/>
      <c r="BB261" s="35"/>
      <c r="BC261" s="35"/>
      <c r="BD261" s="35"/>
      <c r="BE261" s="6"/>
      <c r="BF261" s="35"/>
      <c r="BG261" s="6"/>
      <c r="BH261" s="6"/>
      <c r="BI261" s="6"/>
      <c r="BJ261" s="6"/>
      <c r="BK261" s="6"/>
      <c r="BL261" s="6"/>
      <c r="BM261" s="35"/>
      <c r="BN261" s="35"/>
      <c r="BO261" s="6"/>
      <c r="BP261" s="35"/>
      <c r="BQ261" s="35"/>
      <c r="BR261" s="35"/>
      <c r="BS261" s="35"/>
      <c r="BT261" s="35"/>
      <c r="BU261" s="6"/>
      <c r="BV261" s="6"/>
      <c r="BW261" s="6"/>
      <c r="BX261" s="35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10"/>
      <c r="DH261" s="6"/>
      <c r="DI261" s="6"/>
      <c r="DJ261" s="10"/>
      <c r="DK261" s="6"/>
      <c r="DL261" s="6"/>
      <c r="DM261" s="10"/>
      <c r="DN261" s="6"/>
      <c r="DO261" s="6"/>
      <c r="DP261" s="10"/>
      <c r="DQ261" s="6"/>
    </row>
    <row r="262" spans="1:121">
      <c r="A262" s="6">
        <v>258</v>
      </c>
      <c r="B262" s="6">
        <v>906</v>
      </c>
      <c r="C262" s="10"/>
      <c r="D262" s="6">
        <v>235</v>
      </c>
      <c r="E262" s="141" t="s">
        <v>75</v>
      </c>
      <c r="F262" s="141" t="s">
        <v>75</v>
      </c>
      <c r="G262" s="141" t="s">
        <v>75</v>
      </c>
      <c r="H262" s="141" t="s">
        <v>75</v>
      </c>
      <c r="I262" s="141" t="s">
        <v>75</v>
      </c>
      <c r="J262" s="141" t="s">
        <v>75</v>
      </c>
      <c r="K262" s="141" t="s">
        <v>75</v>
      </c>
      <c r="L262" s="141" t="s">
        <v>75</v>
      </c>
      <c r="M262" s="141" t="s">
        <v>75</v>
      </c>
      <c r="N262" s="141" t="s">
        <v>75</v>
      </c>
      <c r="O262" s="141" t="s">
        <v>75</v>
      </c>
      <c r="P262" s="141" t="s">
        <v>75</v>
      </c>
      <c r="Q262" s="141" t="s">
        <v>75</v>
      </c>
      <c r="R262" s="141" t="s">
        <v>75</v>
      </c>
      <c r="S262" s="141" t="s">
        <v>75</v>
      </c>
      <c r="T262" s="141" t="s">
        <v>75</v>
      </c>
      <c r="U262" s="141" t="s">
        <v>75</v>
      </c>
      <c r="V262" s="141" t="s">
        <v>75</v>
      </c>
      <c r="W262" s="141" t="s">
        <v>75</v>
      </c>
      <c r="X262" s="141" t="s">
        <v>75</v>
      </c>
      <c r="Y262" s="141" t="s">
        <v>75</v>
      </c>
      <c r="Z262" s="141" t="s">
        <v>75</v>
      </c>
      <c r="AA262" s="141" t="s">
        <v>75</v>
      </c>
      <c r="AB262" s="141" t="s">
        <v>75</v>
      </c>
      <c r="AC262" s="141" t="s">
        <v>75</v>
      </c>
      <c r="AD262" s="141" t="s">
        <v>75</v>
      </c>
      <c r="AE262" s="141" t="s">
        <v>75</v>
      </c>
      <c r="AF262" s="6">
        <v>29</v>
      </c>
      <c r="AG262" s="6">
        <v>1119</v>
      </c>
      <c r="AH262" s="35">
        <f>AG262+AF262-B262</f>
        <v>242</v>
      </c>
      <c r="AI262" s="35">
        <v>263</v>
      </c>
      <c r="AJ262" s="35"/>
      <c r="AK262" s="35">
        <f>AJ262+AI262-AF262</f>
        <v>234</v>
      </c>
      <c r="AL262" s="6"/>
      <c r="AM262" s="6"/>
      <c r="AN262" s="35"/>
      <c r="AO262" s="6">
        <v>0</v>
      </c>
      <c r="AP262" s="6">
        <v>265</v>
      </c>
      <c r="AQ262" s="34">
        <f>AP262+AO262-AI262</f>
        <v>2</v>
      </c>
      <c r="AR262" s="35">
        <v>0</v>
      </c>
      <c r="AS262" s="35"/>
      <c r="AT262" s="35">
        <f>AS262+AR262-AO262</f>
        <v>0</v>
      </c>
      <c r="AU262" s="6"/>
      <c r="AV262" s="6"/>
      <c r="AW262" s="35"/>
      <c r="AX262" s="6"/>
      <c r="AY262" s="6"/>
      <c r="AZ262" s="35"/>
      <c r="BA262" s="35"/>
      <c r="BB262" s="35"/>
      <c r="BC262" s="35"/>
      <c r="BD262" s="35"/>
      <c r="BE262" s="6"/>
      <c r="BF262" s="35"/>
      <c r="BG262" s="6"/>
      <c r="BH262" s="6"/>
      <c r="BI262" s="6"/>
      <c r="BJ262" s="6"/>
      <c r="BK262" s="6"/>
      <c r="BL262" s="6"/>
      <c r="BM262" s="35"/>
      <c r="BN262" s="35"/>
      <c r="BO262" s="6"/>
      <c r="BP262" s="35"/>
      <c r="BQ262" s="35"/>
      <c r="BR262" s="35"/>
      <c r="BS262" s="35"/>
      <c r="BT262" s="35"/>
      <c r="BU262" s="6"/>
      <c r="BV262" s="6"/>
      <c r="BW262" s="6"/>
      <c r="BX262" s="35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10"/>
      <c r="DH262" s="6"/>
      <c r="DI262" s="6"/>
      <c r="DJ262" s="10"/>
      <c r="DK262" s="6"/>
      <c r="DL262" s="6"/>
      <c r="DM262" s="10"/>
      <c r="DN262" s="6"/>
      <c r="DO262" s="6"/>
      <c r="DP262" s="10"/>
      <c r="DQ262" s="6"/>
    </row>
    <row r="263" spans="1:121" ht="14.25" customHeight="1">
      <c r="A263" s="6">
        <v>259</v>
      </c>
      <c r="B263" s="6">
        <v>912</v>
      </c>
      <c r="C263" s="10"/>
      <c r="D263" s="6">
        <v>232</v>
      </c>
      <c r="E263" s="33" t="s">
        <v>75</v>
      </c>
      <c r="F263" s="33" t="s">
        <v>75</v>
      </c>
      <c r="G263" s="33" t="s">
        <v>75</v>
      </c>
      <c r="H263" s="33" t="s">
        <v>75</v>
      </c>
      <c r="I263" s="33" t="s">
        <v>75</v>
      </c>
      <c r="J263" s="33" t="s">
        <v>75</v>
      </c>
      <c r="K263" s="33" t="s">
        <v>75</v>
      </c>
      <c r="L263" s="33" t="s">
        <v>75</v>
      </c>
      <c r="M263" s="33" t="s">
        <v>75</v>
      </c>
      <c r="N263" s="33" t="s">
        <v>75</v>
      </c>
      <c r="O263" s="33" t="s">
        <v>75</v>
      </c>
      <c r="P263" s="33" t="s">
        <v>75</v>
      </c>
      <c r="Q263" s="33" t="s">
        <v>75</v>
      </c>
      <c r="R263" s="33" t="s">
        <v>75</v>
      </c>
      <c r="S263" s="33" t="s">
        <v>75</v>
      </c>
      <c r="T263" s="33" t="s">
        <v>75</v>
      </c>
      <c r="U263" s="33" t="s">
        <v>75</v>
      </c>
      <c r="V263" s="33" t="s">
        <v>75</v>
      </c>
      <c r="W263" s="33" t="s">
        <v>75</v>
      </c>
      <c r="X263" s="33" t="s">
        <v>75</v>
      </c>
      <c r="Y263" s="33" t="s">
        <v>75</v>
      </c>
      <c r="Z263" s="33" t="s">
        <v>75</v>
      </c>
      <c r="AA263" s="33" t="s">
        <v>75</v>
      </c>
      <c r="AB263" s="33" t="s">
        <v>75</v>
      </c>
      <c r="AC263" s="33" t="s">
        <v>75</v>
      </c>
      <c r="AD263" s="33" t="s">
        <v>75</v>
      </c>
      <c r="AE263" s="33" t="s">
        <v>75</v>
      </c>
      <c r="AF263" s="6">
        <v>29</v>
      </c>
      <c r="AG263" s="6">
        <v>1121</v>
      </c>
      <c r="AH263" s="35">
        <f>AG263+AF263-B263</f>
        <v>238</v>
      </c>
      <c r="AI263" s="35">
        <v>264</v>
      </c>
      <c r="AJ263" s="35"/>
      <c r="AK263" s="35">
        <f>AJ263+AI263-AF263</f>
        <v>235</v>
      </c>
      <c r="AL263" s="6"/>
      <c r="AM263" s="6"/>
      <c r="AN263" s="35"/>
      <c r="AO263" s="6">
        <v>0</v>
      </c>
      <c r="AP263" s="6">
        <v>316</v>
      </c>
      <c r="AQ263" s="34">
        <f>AP263+AO263-AI263</f>
        <v>52</v>
      </c>
      <c r="AR263" s="35">
        <v>0</v>
      </c>
      <c r="AS263" s="35"/>
      <c r="AT263" s="35">
        <f>AS263+AR263-AO263</f>
        <v>0</v>
      </c>
      <c r="AU263" s="6"/>
      <c r="AV263" s="6"/>
      <c r="AW263" s="35"/>
      <c r="AX263" s="6"/>
      <c r="AY263" s="6"/>
      <c r="AZ263" s="35"/>
      <c r="BA263" s="35"/>
      <c r="BB263" s="35"/>
      <c r="BC263" s="35"/>
      <c r="BD263" s="35"/>
      <c r="BE263" s="6"/>
      <c r="BF263" s="35"/>
      <c r="BG263" s="6"/>
      <c r="BH263" s="6"/>
      <c r="BI263" s="6"/>
      <c r="BJ263" s="6"/>
      <c r="BK263" s="6"/>
      <c r="BL263" s="6"/>
      <c r="BM263" s="35"/>
      <c r="BN263" s="35"/>
      <c r="BO263" s="6"/>
      <c r="BP263" s="35"/>
      <c r="BQ263" s="35"/>
      <c r="BR263" s="35"/>
      <c r="BS263" s="35"/>
      <c r="BT263" s="35"/>
      <c r="BU263" s="6"/>
      <c r="BV263" s="6"/>
      <c r="BW263" s="6"/>
      <c r="BX263" s="35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10"/>
      <c r="DH263" s="6"/>
      <c r="DI263" s="6"/>
      <c r="DJ263" s="10"/>
      <c r="DK263" s="6"/>
      <c r="DL263" s="6"/>
      <c r="DM263" s="10"/>
      <c r="DN263" s="6"/>
      <c r="DO263" s="6"/>
      <c r="DP263" s="10"/>
      <c r="DQ263" s="6"/>
    </row>
    <row r="264" spans="1:121">
      <c r="A264" s="6">
        <v>260</v>
      </c>
      <c r="B264" s="6">
        <v>677</v>
      </c>
      <c r="C264" s="10"/>
      <c r="D264" s="6">
        <v>234</v>
      </c>
      <c r="E264" s="141" t="s">
        <v>75</v>
      </c>
      <c r="F264" s="141" t="s">
        <v>75</v>
      </c>
      <c r="G264" s="141" t="s">
        <v>75</v>
      </c>
      <c r="H264" s="141" t="s">
        <v>75</v>
      </c>
      <c r="I264" s="141" t="s">
        <v>75</v>
      </c>
      <c r="J264" s="141" t="s">
        <v>75</v>
      </c>
      <c r="K264" s="141" t="s">
        <v>75</v>
      </c>
      <c r="L264" s="141" t="s">
        <v>75</v>
      </c>
      <c r="M264" s="141" t="s">
        <v>75</v>
      </c>
      <c r="N264" s="141" t="s">
        <v>75</v>
      </c>
      <c r="O264" s="141" t="s">
        <v>75</v>
      </c>
      <c r="P264" s="141" t="s">
        <v>75</v>
      </c>
      <c r="Q264" s="141" t="s">
        <v>75</v>
      </c>
      <c r="R264" s="141" t="s">
        <v>75</v>
      </c>
      <c r="S264" s="141" t="s">
        <v>75</v>
      </c>
      <c r="T264" s="141" t="s">
        <v>75</v>
      </c>
      <c r="U264" s="141" t="s">
        <v>75</v>
      </c>
      <c r="V264" s="141" t="s">
        <v>75</v>
      </c>
      <c r="W264" s="141" t="s">
        <v>75</v>
      </c>
      <c r="X264" s="141" t="s">
        <v>75</v>
      </c>
      <c r="Y264" s="141" t="s">
        <v>75</v>
      </c>
      <c r="Z264" s="141" t="s">
        <v>75</v>
      </c>
      <c r="AA264" s="141" t="s">
        <v>75</v>
      </c>
      <c r="AB264" s="141" t="s">
        <v>75</v>
      </c>
      <c r="AC264" s="141" t="s">
        <v>75</v>
      </c>
      <c r="AD264" s="141" t="s">
        <v>75</v>
      </c>
      <c r="AE264" s="141" t="s">
        <v>75</v>
      </c>
      <c r="AF264" s="6">
        <v>915</v>
      </c>
      <c r="AG264" s="6"/>
      <c r="AH264" s="35">
        <f>AG264+AF264-B264</f>
        <v>238</v>
      </c>
      <c r="AI264" s="35">
        <v>53</v>
      </c>
      <c r="AJ264" s="35">
        <v>1100</v>
      </c>
      <c r="AK264" s="35">
        <f>AJ264+AI264-AF264</f>
        <v>238</v>
      </c>
      <c r="AL264" s="6"/>
      <c r="AM264" s="6"/>
      <c r="AN264" s="35"/>
      <c r="AO264" s="6">
        <v>293</v>
      </c>
      <c r="AP264" s="6"/>
      <c r="AQ264" s="34">
        <f>AP264+AO264-AI264</f>
        <v>240</v>
      </c>
      <c r="AR264" s="35">
        <v>0</v>
      </c>
      <c r="AS264" s="35">
        <v>365</v>
      </c>
      <c r="AT264" s="35">
        <f>AS264+AR264-AO264</f>
        <v>72</v>
      </c>
      <c r="AU264" s="6"/>
      <c r="AV264" s="6"/>
      <c r="AW264" s="35"/>
      <c r="AX264" s="6"/>
      <c r="AY264" s="6"/>
      <c r="AZ264" s="35"/>
      <c r="BA264" s="35"/>
      <c r="BB264" s="35"/>
      <c r="BC264" s="35"/>
      <c r="BD264" s="35"/>
      <c r="BE264" s="6"/>
      <c r="BF264" s="35"/>
      <c r="BG264" s="6"/>
      <c r="BH264" s="6"/>
      <c r="BI264" s="6"/>
      <c r="BJ264" s="6"/>
      <c r="BK264" s="6"/>
      <c r="BL264" s="6"/>
      <c r="BM264" s="35"/>
      <c r="BN264" s="35"/>
      <c r="BO264" s="6"/>
      <c r="BP264" s="35"/>
      <c r="BQ264" s="35"/>
      <c r="BR264" s="35"/>
      <c r="BS264" s="35"/>
      <c r="BT264" s="35"/>
      <c r="BU264" s="6"/>
      <c r="BV264" s="6"/>
      <c r="BW264" s="6"/>
      <c r="BX264" s="35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10"/>
      <c r="DH264" s="6"/>
      <c r="DI264" s="6"/>
      <c r="DJ264" s="10"/>
      <c r="DK264" s="6"/>
      <c r="DL264" s="6"/>
      <c r="DM264" s="10"/>
      <c r="DN264" s="6"/>
      <c r="DO264" s="6"/>
      <c r="DP264" s="10"/>
      <c r="DQ264" s="6"/>
    </row>
    <row r="265" spans="1:121">
      <c r="A265" s="6">
        <v>361</v>
      </c>
      <c r="B265" s="6">
        <v>0</v>
      </c>
      <c r="C265" s="10"/>
      <c r="D265" s="6">
        <v>0</v>
      </c>
      <c r="E265" s="33" t="s">
        <v>110</v>
      </c>
      <c r="F265" s="33" t="s">
        <v>110</v>
      </c>
      <c r="G265" s="33" t="s">
        <v>110</v>
      </c>
      <c r="H265" s="33" t="s">
        <v>110</v>
      </c>
      <c r="I265" s="33" t="s">
        <v>110</v>
      </c>
      <c r="J265" s="33" t="s">
        <v>110</v>
      </c>
      <c r="K265" s="33" t="s">
        <v>110</v>
      </c>
      <c r="L265" s="33" t="s">
        <v>110</v>
      </c>
      <c r="M265" s="33" t="s">
        <v>110</v>
      </c>
      <c r="N265" s="33" t="s">
        <v>110</v>
      </c>
      <c r="O265" s="33" t="s">
        <v>110</v>
      </c>
      <c r="P265" s="33" t="s">
        <v>110</v>
      </c>
      <c r="Q265" s="33" t="s">
        <v>110</v>
      </c>
      <c r="R265" s="33" t="s">
        <v>110</v>
      </c>
      <c r="S265" s="33" t="s">
        <v>110</v>
      </c>
      <c r="T265" s="33" t="s">
        <v>110</v>
      </c>
      <c r="U265" s="33" t="s">
        <v>110</v>
      </c>
      <c r="V265" s="33" t="s">
        <v>110</v>
      </c>
      <c r="W265" s="33" t="s">
        <v>110</v>
      </c>
      <c r="X265" s="33" t="s">
        <v>110</v>
      </c>
      <c r="Y265" s="33" t="s">
        <v>110</v>
      </c>
      <c r="Z265" s="33" t="s">
        <v>110</v>
      </c>
      <c r="AA265" s="33" t="s">
        <v>110</v>
      </c>
      <c r="AB265" s="33" t="s">
        <v>110</v>
      </c>
      <c r="AC265" s="33" t="s">
        <v>110</v>
      </c>
      <c r="AD265" s="33" t="s">
        <v>110</v>
      </c>
      <c r="AE265" s="33" t="s">
        <v>110</v>
      </c>
      <c r="AF265" s="6">
        <v>0</v>
      </c>
      <c r="AG265" s="6"/>
      <c r="AH265" s="35">
        <f>AG265+AF265-B265</f>
        <v>0</v>
      </c>
      <c r="AI265" s="35">
        <v>0</v>
      </c>
      <c r="AJ265" s="35"/>
      <c r="AK265" s="35">
        <f>AJ265+AI265-AF265</f>
        <v>0</v>
      </c>
      <c r="AL265" s="6"/>
      <c r="AM265" s="6"/>
      <c r="AN265" s="35"/>
      <c r="AO265" s="34">
        <v>0</v>
      </c>
      <c r="AP265" s="34"/>
      <c r="AQ265" s="34">
        <f>AP265+AO265-AI265</f>
        <v>0</v>
      </c>
      <c r="AR265" s="35">
        <v>0</v>
      </c>
      <c r="AS265" s="35"/>
      <c r="AT265" s="35">
        <f>AS265+AR265-AO265</f>
        <v>0</v>
      </c>
      <c r="AU265" s="6"/>
      <c r="AV265" s="6"/>
      <c r="AW265" s="35"/>
      <c r="AX265" s="6"/>
      <c r="AY265" s="6"/>
      <c r="AZ265" s="35"/>
      <c r="BA265" s="35"/>
      <c r="BB265" s="6"/>
      <c r="BC265" s="35"/>
      <c r="BD265" s="35"/>
      <c r="BE265" s="6"/>
      <c r="BF265" s="35"/>
      <c r="BG265" s="6"/>
      <c r="BH265" s="6"/>
      <c r="BI265" s="6"/>
      <c r="BJ265" s="6"/>
      <c r="BK265" s="6"/>
      <c r="BL265" s="6"/>
      <c r="BM265" s="35"/>
      <c r="BN265" s="35"/>
      <c r="BO265" s="6"/>
      <c r="BP265" s="35"/>
      <c r="BQ265" s="35"/>
      <c r="BR265" s="35"/>
      <c r="BS265" s="35"/>
      <c r="BT265" s="35"/>
      <c r="BU265" s="6"/>
      <c r="BV265" s="6"/>
      <c r="BW265" s="6"/>
      <c r="BX265" s="35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10"/>
      <c r="DH265" s="6"/>
      <c r="DI265" s="6"/>
      <c r="DJ265" s="10"/>
      <c r="DK265" s="6"/>
      <c r="DL265" s="6"/>
      <c r="DM265" s="10"/>
      <c r="DN265" s="6"/>
      <c r="DO265" s="6"/>
      <c r="DP265" s="10"/>
      <c r="DQ265" s="6"/>
    </row>
    <row r="266" spans="1:121">
      <c r="A266" s="6">
        <v>362</v>
      </c>
      <c r="B266" s="6">
        <v>0</v>
      </c>
      <c r="C266" s="10"/>
      <c r="D266" s="6">
        <v>0</v>
      </c>
      <c r="E266" s="33" t="s">
        <v>111</v>
      </c>
      <c r="F266" s="33" t="s">
        <v>111</v>
      </c>
      <c r="G266" s="33" t="s">
        <v>111</v>
      </c>
      <c r="H266" s="33" t="s">
        <v>111</v>
      </c>
      <c r="I266" s="33" t="s">
        <v>111</v>
      </c>
      <c r="J266" s="33" t="s">
        <v>111</v>
      </c>
      <c r="K266" s="33" t="s">
        <v>111</v>
      </c>
      <c r="L266" s="33" t="s">
        <v>111</v>
      </c>
      <c r="M266" s="33" t="s">
        <v>111</v>
      </c>
      <c r="N266" s="33" t="s">
        <v>111</v>
      </c>
      <c r="O266" s="33" t="s">
        <v>111</v>
      </c>
      <c r="P266" s="33" t="s">
        <v>111</v>
      </c>
      <c r="Q266" s="33" t="s">
        <v>111</v>
      </c>
      <c r="R266" s="33" t="s">
        <v>111</v>
      </c>
      <c r="S266" s="33" t="s">
        <v>111</v>
      </c>
      <c r="T266" s="33" t="s">
        <v>111</v>
      </c>
      <c r="U266" s="33" t="s">
        <v>111</v>
      </c>
      <c r="V266" s="33" t="s">
        <v>111</v>
      </c>
      <c r="W266" s="33" t="s">
        <v>111</v>
      </c>
      <c r="X266" s="33" t="s">
        <v>111</v>
      </c>
      <c r="Y266" s="33" t="s">
        <v>111</v>
      </c>
      <c r="Z266" s="33" t="s">
        <v>111</v>
      </c>
      <c r="AA266" s="33" t="s">
        <v>111</v>
      </c>
      <c r="AB266" s="33" t="s">
        <v>111</v>
      </c>
      <c r="AC266" s="33" t="s">
        <v>111</v>
      </c>
      <c r="AD266" s="33" t="s">
        <v>111</v>
      </c>
      <c r="AE266" s="33" t="s">
        <v>111</v>
      </c>
      <c r="AF266" s="6">
        <v>0</v>
      </c>
      <c r="AG266" s="6"/>
      <c r="AH266" s="35">
        <f>AG266+AF266-B266</f>
        <v>0</v>
      </c>
      <c r="AI266" s="35">
        <v>0</v>
      </c>
      <c r="AJ266" s="35"/>
      <c r="AK266" s="35">
        <f>AJ266+AI266-AF266</f>
        <v>0</v>
      </c>
      <c r="AL266" s="6"/>
      <c r="AM266" s="6"/>
      <c r="AN266" s="35"/>
      <c r="AO266" s="34">
        <v>0</v>
      </c>
      <c r="AP266" s="34"/>
      <c r="AQ266" s="34">
        <f>AP266+AO266-AI266</f>
        <v>0</v>
      </c>
      <c r="AR266" s="35">
        <v>0</v>
      </c>
      <c r="AS266" s="35"/>
      <c r="AT266" s="35">
        <f>AS266+AR266-AO266</f>
        <v>0</v>
      </c>
      <c r="AU266" s="6"/>
      <c r="AV266" s="6"/>
      <c r="AW266" s="35"/>
      <c r="AX266" s="6"/>
      <c r="AY266" s="6"/>
      <c r="AZ266" s="35"/>
      <c r="BA266" s="35"/>
      <c r="BB266" s="6"/>
      <c r="BC266" s="35"/>
      <c r="BD266" s="35"/>
      <c r="BE266" s="6"/>
      <c r="BF266" s="35"/>
      <c r="BG266" s="6"/>
      <c r="BH266" s="6"/>
      <c r="BI266" s="6"/>
      <c r="BJ266" s="6"/>
      <c r="BK266" s="6"/>
      <c r="BL266" s="6"/>
      <c r="BM266" s="35"/>
      <c r="BN266" s="35"/>
      <c r="BO266" s="6"/>
      <c r="BP266" s="35"/>
      <c r="BQ266" s="35"/>
      <c r="BR266" s="35"/>
      <c r="BS266" s="35"/>
      <c r="BT266" s="35"/>
      <c r="BU266" s="6"/>
      <c r="BV266" s="6"/>
      <c r="BW266" s="6"/>
      <c r="BX266" s="35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10"/>
      <c r="DH266" s="6"/>
      <c r="DI266" s="6"/>
      <c r="DJ266" s="10"/>
      <c r="DK266" s="6"/>
      <c r="DL266" s="6"/>
      <c r="DM266" s="10"/>
      <c r="DN266" s="6"/>
      <c r="DO266" s="6"/>
      <c r="DP266" s="10"/>
      <c r="DQ266" s="6"/>
    </row>
    <row r="267" spans="1:121">
      <c r="A267" s="6" t="s">
        <v>1</v>
      </c>
      <c r="B267" s="35"/>
      <c r="C267" s="35">
        <f>SUM(C5:C266)</f>
        <v>95155</v>
      </c>
      <c r="D267" s="35">
        <f>SUM(D5:D266)</f>
        <v>81985</v>
      </c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  <c r="AA267" s="142"/>
      <c r="AB267" s="142"/>
      <c r="AC267" s="142"/>
      <c r="AD267" s="142"/>
      <c r="AE267" s="142"/>
      <c r="AF267" s="35"/>
      <c r="AG267" s="35">
        <f>SUM(AG5:AG266)</f>
        <v>75189</v>
      </c>
      <c r="AH267" s="35">
        <f t="shared" ref="AH267:CM267" si="104">SUM(AH5:AH266)</f>
        <v>84358</v>
      </c>
      <c r="AI267" s="35"/>
      <c r="AJ267" s="35">
        <f t="shared" si="104"/>
        <v>83409</v>
      </c>
      <c r="AK267" s="35">
        <f t="shared" si="104"/>
        <v>78444</v>
      </c>
      <c r="AL267" s="35"/>
      <c r="AM267" s="35"/>
      <c r="AN267" s="35"/>
      <c r="AO267" s="35"/>
      <c r="AP267" s="35">
        <f t="shared" si="104"/>
        <v>85689</v>
      </c>
      <c r="AQ267" s="35">
        <f t="shared" si="104"/>
        <v>82080</v>
      </c>
      <c r="AR267" s="35"/>
      <c r="AS267" s="35">
        <f t="shared" si="104"/>
        <v>75520</v>
      </c>
      <c r="AT267" s="35">
        <f>SUM(AT5:AT266)</f>
        <v>81475.556799999991</v>
      </c>
      <c r="AU267" s="35"/>
      <c r="AV267" s="35">
        <f t="shared" si="104"/>
        <v>87852</v>
      </c>
      <c r="AW267" s="35">
        <f>SUM(AW5:AW266)</f>
        <v>80593.443200000009</v>
      </c>
      <c r="AX267" s="35"/>
      <c r="AY267" s="35">
        <f>SUM(AY5:AY266)</f>
        <v>75918</v>
      </c>
      <c r="AZ267" s="35">
        <f>SUM(AZ5:AZ266)</f>
        <v>78538</v>
      </c>
      <c r="BA267" s="35"/>
      <c r="BB267" s="35">
        <f t="shared" si="104"/>
        <v>79540</v>
      </c>
      <c r="BC267" s="35">
        <f t="shared" si="104"/>
        <v>76347</v>
      </c>
      <c r="BD267" s="35"/>
      <c r="BE267" s="35">
        <f>SUM(BE5:BE266)</f>
        <v>76559</v>
      </c>
      <c r="BF267" s="35">
        <f t="shared" si="104"/>
        <v>66501</v>
      </c>
      <c r="BG267" s="35">
        <f t="shared" si="104"/>
        <v>0</v>
      </c>
      <c r="BH267" s="35">
        <f t="shared" si="104"/>
        <v>0</v>
      </c>
      <c r="BI267" s="35">
        <f t="shared" si="104"/>
        <v>0</v>
      </c>
      <c r="BJ267" s="35"/>
      <c r="BK267" s="35">
        <f t="shared" si="104"/>
        <v>69154</v>
      </c>
      <c r="BL267" s="35">
        <f t="shared" si="104"/>
        <v>68110</v>
      </c>
      <c r="BM267" s="35"/>
      <c r="BN267" s="35">
        <f t="shared" si="104"/>
        <v>67443</v>
      </c>
      <c r="BO267" s="35">
        <f t="shared" si="104"/>
        <v>65892</v>
      </c>
      <c r="BP267" s="35"/>
      <c r="BQ267" s="35">
        <f t="shared" si="104"/>
        <v>76508</v>
      </c>
      <c r="BR267" s="35">
        <f t="shared" si="104"/>
        <v>65496</v>
      </c>
      <c r="BS267" s="35"/>
      <c r="BT267" s="35">
        <f t="shared" si="104"/>
        <v>62809</v>
      </c>
      <c r="BU267" s="35">
        <f t="shared" si="104"/>
        <v>65817</v>
      </c>
      <c r="BV267" s="35"/>
      <c r="BW267" s="35">
        <f t="shared" si="104"/>
        <v>72924</v>
      </c>
      <c r="BX267" s="35">
        <f t="shared" si="104"/>
        <v>63138</v>
      </c>
      <c r="BY267" s="35"/>
      <c r="BZ267" s="35">
        <f t="shared" si="104"/>
        <v>67507</v>
      </c>
      <c r="CA267" s="35">
        <f t="shared" si="104"/>
        <v>57867</v>
      </c>
      <c r="CB267" s="35"/>
      <c r="CC267" s="35"/>
      <c r="CD267" s="35"/>
      <c r="CE267" s="35"/>
      <c r="CF267" s="35">
        <f t="shared" si="104"/>
        <v>57875</v>
      </c>
      <c r="CG267" s="35">
        <f t="shared" si="104"/>
        <v>59981</v>
      </c>
      <c r="CH267" s="35"/>
      <c r="CI267" s="35">
        <f t="shared" si="104"/>
        <v>50434</v>
      </c>
      <c r="CJ267" s="35">
        <f t="shared" si="104"/>
        <v>64827</v>
      </c>
      <c r="CK267" s="35"/>
      <c r="CL267" s="35">
        <f>SUM(CL5:CL266)</f>
        <v>61451</v>
      </c>
      <c r="CM267" s="35">
        <f t="shared" si="104"/>
        <v>65399</v>
      </c>
      <c r="CN267" s="35"/>
      <c r="CO267" s="35">
        <f>SUBTOTAL(9,CO5:CO266)</f>
        <v>62188</v>
      </c>
      <c r="CP267" s="35">
        <f t="shared" ref="CP267:DQ267" si="105">SUBTOTAL(9,CP5:CP266)</f>
        <v>63976</v>
      </c>
      <c r="CQ267" s="35"/>
      <c r="CR267" s="35">
        <f t="shared" si="105"/>
        <v>63931</v>
      </c>
      <c r="CS267" s="35">
        <f t="shared" si="105"/>
        <v>67272</v>
      </c>
      <c r="CT267" s="35"/>
      <c r="CU267" s="35">
        <f t="shared" si="105"/>
        <v>78526</v>
      </c>
      <c r="CV267" s="35">
        <f t="shared" si="105"/>
        <v>64583</v>
      </c>
      <c r="CW267" s="35">
        <f t="shared" si="105"/>
        <v>0</v>
      </c>
      <c r="CX267" s="35">
        <f t="shared" si="105"/>
        <v>0</v>
      </c>
      <c r="CY267" s="35">
        <f t="shared" si="105"/>
        <v>0</v>
      </c>
      <c r="CZ267" s="35"/>
      <c r="DA267" s="35">
        <f t="shared" si="105"/>
        <v>57781</v>
      </c>
      <c r="DB267" s="35">
        <f t="shared" si="105"/>
        <v>66704</v>
      </c>
      <c r="DC267" s="35"/>
      <c r="DD267" s="35">
        <f t="shared" si="105"/>
        <v>59195</v>
      </c>
      <c r="DE267" s="35">
        <f t="shared" si="105"/>
        <v>64384</v>
      </c>
      <c r="DF267" s="35"/>
      <c r="DG267" s="35">
        <f t="shared" si="105"/>
        <v>74500</v>
      </c>
      <c r="DH267" s="35">
        <f t="shared" si="105"/>
        <v>69212</v>
      </c>
      <c r="DI267" s="35"/>
      <c r="DJ267" s="35">
        <f>SUBTOTAL(9,DJ5:DJ266)</f>
        <v>73617</v>
      </c>
      <c r="DK267" s="35">
        <f t="shared" si="105"/>
        <v>72121</v>
      </c>
      <c r="DL267" s="35"/>
      <c r="DM267" s="35">
        <f t="shared" si="105"/>
        <v>64519</v>
      </c>
      <c r="DN267" s="35">
        <f t="shared" si="105"/>
        <v>72694</v>
      </c>
      <c r="DO267" s="35">
        <f t="shared" si="105"/>
        <v>148820</v>
      </c>
      <c r="DP267" s="35">
        <f>SUBTOTAL(9,DP5:DP266)</f>
        <v>56213</v>
      </c>
      <c r="DQ267" s="35">
        <f t="shared" si="105"/>
        <v>65357</v>
      </c>
    </row>
    <row r="268" spans="1:121">
      <c r="A268" s="5"/>
      <c r="B268" s="29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O268" s="29"/>
      <c r="BS268" s="29"/>
      <c r="BT268" s="29"/>
      <c r="BU268" s="29"/>
      <c r="BV268" s="29"/>
      <c r="CG268" s="29"/>
      <c r="CJ268" s="29"/>
    </row>
    <row r="269" spans="1:121">
      <c r="A269" s="5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BF269" s="29"/>
      <c r="CG269" s="29"/>
    </row>
    <row r="270" spans="1:121">
      <c r="B270" s="9"/>
      <c r="AF270" s="9" t="s">
        <v>6</v>
      </c>
      <c r="AI270" s="9" t="s">
        <v>7</v>
      </c>
      <c r="AL270" s="9" t="s">
        <v>8</v>
      </c>
      <c r="AO270" s="9" t="s">
        <v>9</v>
      </c>
      <c r="AR270" s="9" t="s">
        <v>10</v>
      </c>
      <c r="AU270" s="4" t="s">
        <v>11</v>
      </c>
      <c r="AX270" s="9" t="s">
        <v>12</v>
      </c>
      <c r="BA270" s="9" t="s">
        <v>13</v>
      </c>
      <c r="BD270" s="9" t="s">
        <v>14</v>
      </c>
      <c r="BG270" s="9" t="s">
        <v>15</v>
      </c>
      <c r="BJ270" s="9" t="s">
        <v>16</v>
      </c>
      <c r="BM270" s="9" t="s">
        <v>17</v>
      </c>
      <c r="BP270" s="9" t="s">
        <v>18</v>
      </c>
      <c r="BS270" s="9" t="s">
        <v>19</v>
      </c>
      <c r="BV270" s="9" t="s">
        <v>20</v>
      </c>
      <c r="BY270" s="9" t="s">
        <v>21</v>
      </c>
      <c r="CB270" s="9" t="s">
        <v>22</v>
      </c>
      <c r="CE270" s="9" t="s">
        <v>28</v>
      </c>
      <c r="CH270" s="9" t="s">
        <v>29</v>
      </c>
      <c r="CK270" s="9" t="s">
        <v>30</v>
      </c>
      <c r="CN270" s="9" t="s">
        <v>31</v>
      </c>
      <c r="CQ270" s="9" t="s">
        <v>32</v>
      </c>
      <c r="CT270" s="9" t="s">
        <v>33</v>
      </c>
      <c r="CW270" s="9" t="s">
        <v>34</v>
      </c>
      <c r="CZ270" s="9" t="s">
        <v>117</v>
      </c>
      <c r="DC270" s="9" t="s">
        <v>118</v>
      </c>
      <c r="DF270" s="9" t="s">
        <v>119</v>
      </c>
      <c r="DI270" s="9" t="s">
        <v>120</v>
      </c>
      <c r="DL270" s="9" t="s">
        <v>114</v>
      </c>
      <c r="DO270" s="9" t="s">
        <v>115</v>
      </c>
    </row>
    <row r="271" spans="1:121" s="4" customFormat="1">
      <c r="A271" s="23"/>
      <c r="B271" s="24"/>
      <c r="C271" s="24"/>
      <c r="D271" s="2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24" t="s">
        <v>41</v>
      </c>
      <c r="AG271" s="24" t="s">
        <v>4</v>
      </c>
      <c r="AH271" s="24" t="s">
        <v>2</v>
      </c>
      <c r="AI271" s="24" t="s">
        <v>41</v>
      </c>
      <c r="AJ271" s="24" t="s">
        <v>4</v>
      </c>
      <c r="AK271" s="24" t="s">
        <v>2</v>
      </c>
      <c r="AL271" s="24" t="s">
        <v>41</v>
      </c>
      <c r="AM271" s="24" t="s">
        <v>4</v>
      </c>
      <c r="AN271" s="24" t="s">
        <v>2</v>
      </c>
      <c r="AO271" s="24" t="s">
        <v>41</v>
      </c>
      <c r="AP271" s="24" t="s">
        <v>4</v>
      </c>
      <c r="AQ271" s="24" t="s">
        <v>2</v>
      </c>
      <c r="AR271" s="24" t="s">
        <v>41</v>
      </c>
      <c r="AS271" s="24" t="s">
        <v>4</v>
      </c>
      <c r="AT271" s="24" t="s">
        <v>2</v>
      </c>
      <c r="AU271" s="24" t="s">
        <v>41</v>
      </c>
      <c r="AV271" s="24" t="s">
        <v>4</v>
      </c>
      <c r="AW271" s="24" t="s">
        <v>2</v>
      </c>
      <c r="AX271" s="24" t="s">
        <v>41</v>
      </c>
      <c r="AY271" s="24" t="s">
        <v>4</v>
      </c>
      <c r="AZ271" s="24" t="s">
        <v>2</v>
      </c>
      <c r="BA271" s="24" t="s">
        <v>41</v>
      </c>
      <c r="BB271" s="24" t="s">
        <v>4</v>
      </c>
      <c r="BC271" s="24" t="s">
        <v>2</v>
      </c>
      <c r="BD271" s="24" t="s">
        <v>41</v>
      </c>
      <c r="BE271" s="24" t="s">
        <v>4</v>
      </c>
      <c r="BF271" s="24" t="s">
        <v>2</v>
      </c>
      <c r="BG271" s="24" t="s">
        <v>41</v>
      </c>
      <c r="BH271" s="24" t="s">
        <v>4</v>
      </c>
      <c r="BI271" s="24" t="s">
        <v>2</v>
      </c>
      <c r="BJ271" s="24" t="s">
        <v>41</v>
      </c>
      <c r="BK271" s="24" t="s">
        <v>4</v>
      </c>
      <c r="BL271" s="24" t="s">
        <v>2</v>
      </c>
      <c r="BM271" s="24" t="s">
        <v>41</v>
      </c>
      <c r="BN271" s="24" t="s">
        <v>4</v>
      </c>
      <c r="BO271" s="24" t="s">
        <v>2</v>
      </c>
      <c r="BP271" s="24" t="s">
        <v>41</v>
      </c>
      <c r="BQ271" s="24" t="s">
        <v>4</v>
      </c>
      <c r="BR271" s="24" t="s">
        <v>2</v>
      </c>
      <c r="BS271" s="24" t="s">
        <v>41</v>
      </c>
      <c r="BT271" s="24" t="s">
        <v>4</v>
      </c>
      <c r="BU271" s="24" t="s">
        <v>2</v>
      </c>
      <c r="BV271" s="24" t="s">
        <v>41</v>
      </c>
      <c r="BW271" s="24" t="s">
        <v>4</v>
      </c>
      <c r="BX271" s="24" t="s">
        <v>2</v>
      </c>
      <c r="BY271" s="24" t="s">
        <v>41</v>
      </c>
      <c r="BZ271" s="24" t="s">
        <v>4</v>
      </c>
      <c r="CA271" s="24" t="s">
        <v>2</v>
      </c>
      <c r="CB271" s="24" t="s">
        <v>41</v>
      </c>
      <c r="CC271" s="24" t="s">
        <v>4</v>
      </c>
      <c r="CD271" s="24" t="s">
        <v>2</v>
      </c>
      <c r="CE271" s="24" t="s">
        <v>41</v>
      </c>
      <c r="CF271" s="24" t="s">
        <v>4</v>
      </c>
      <c r="CG271" s="24" t="s">
        <v>2</v>
      </c>
      <c r="CH271" s="24" t="s">
        <v>41</v>
      </c>
      <c r="CI271" s="24" t="s">
        <v>4</v>
      </c>
      <c r="CJ271" s="24" t="s">
        <v>2</v>
      </c>
      <c r="CK271" s="24" t="s">
        <v>41</v>
      </c>
      <c r="CL271" s="24" t="s">
        <v>4</v>
      </c>
      <c r="CM271" s="24" t="s">
        <v>2</v>
      </c>
      <c r="CN271" s="24" t="s">
        <v>41</v>
      </c>
      <c r="CO271" s="24" t="s">
        <v>4</v>
      </c>
      <c r="CP271" s="24" t="s">
        <v>2</v>
      </c>
      <c r="CQ271" s="24" t="s">
        <v>41</v>
      </c>
      <c r="CR271" s="24" t="s">
        <v>4</v>
      </c>
      <c r="CS271" s="24" t="s">
        <v>2</v>
      </c>
      <c r="CT271" s="24" t="s">
        <v>41</v>
      </c>
      <c r="CU271" s="24" t="s">
        <v>4</v>
      </c>
      <c r="CV271" s="24" t="s">
        <v>2</v>
      </c>
      <c r="CW271" s="24" t="s">
        <v>41</v>
      </c>
      <c r="CX271" s="24" t="s">
        <v>4</v>
      </c>
      <c r="CY271" s="24" t="s">
        <v>2</v>
      </c>
      <c r="CZ271" s="24" t="s">
        <v>41</v>
      </c>
      <c r="DA271" s="24" t="s">
        <v>4</v>
      </c>
      <c r="DB271" s="24" t="s">
        <v>2</v>
      </c>
      <c r="DC271" s="24" t="s">
        <v>41</v>
      </c>
      <c r="DD271" s="24" t="s">
        <v>4</v>
      </c>
      <c r="DE271" s="24" t="s">
        <v>2</v>
      </c>
      <c r="DF271" s="24" t="s">
        <v>41</v>
      </c>
      <c r="DG271" s="24" t="s">
        <v>4</v>
      </c>
      <c r="DH271" s="24" t="s">
        <v>2</v>
      </c>
      <c r="DI271" s="24" t="s">
        <v>41</v>
      </c>
      <c r="DJ271" s="24" t="s">
        <v>4</v>
      </c>
      <c r="DK271" s="24" t="s">
        <v>2</v>
      </c>
      <c r="DL271" s="24" t="s">
        <v>41</v>
      </c>
      <c r="DM271" s="24" t="s">
        <v>4</v>
      </c>
      <c r="DN271" s="24" t="s">
        <v>2</v>
      </c>
      <c r="DO271" s="24" t="s">
        <v>41</v>
      </c>
      <c r="DP271" s="24" t="s">
        <v>4</v>
      </c>
      <c r="DQ271" s="24" t="s">
        <v>2</v>
      </c>
    </row>
    <row r="272" spans="1:121" s="4" customFormat="1" ht="16.5" customHeight="1">
      <c r="A272" s="73" t="s">
        <v>143</v>
      </c>
      <c r="B272" s="25"/>
      <c r="C272" s="25"/>
      <c r="D272" s="2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  <c r="AC272" s="145"/>
      <c r="AD272" s="145"/>
      <c r="AE272" s="145"/>
      <c r="AF272" s="25">
        <v>89</v>
      </c>
      <c r="AG272" s="25">
        <v>17713</v>
      </c>
      <c r="AH272" s="25">
        <v>32991</v>
      </c>
      <c r="AI272" s="25">
        <v>87</v>
      </c>
      <c r="AJ272" s="25">
        <f>30112+235+3604</f>
        <v>33951</v>
      </c>
      <c r="AK272" s="25">
        <f>30510+100+15</f>
        <v>30625</v>
      </c>
      <c r="AL272" s="25"/>
      <c r="AM272" s="25"/>
      <c r="AN272" s="25"/>
      <c r="AO272" s="25">
        <v>85</v>
      </c>
      <c r="AP272" s="25">
        <v>43610</v>
      </c>
      <c r="AQ272" s="25">
        <v>31751</v>
      </c>
      <c r="AR272" s="25">
        <v>85</v>
      </c>
      <c r="AS272" s="25">
        <v>25402</v>
      </c>
      <c r="AT272" s="25">
        <v>31465</v>
      </c>
      <c r="AU272" s="25">
        <v>84</v>
      </c>
      <c r="AV272" s="25">
        <v>25707</v>
      </c>
      <c r="AW272" s="25">
        <v>30857</v>
      </c>
      <c r="AX272" s="25">
        <v>87</v>
      </c>
      <c r="AY272" s="25">
        <f>34727+916</f>
        <v>35643</v>
      </c>
      <c r="AZ272" s="25">
        <v>30836</v>
      </c>
      <c r="BA272" s="25">
        <v>86</v>
      </c>
      <c r="BB272" s="25">
        <f>37938+1101</f>
        <v>39039</v>
      </c>
      <c r="BC272" s="25">
        <f>31708+30</f>
        <v>31738</v>
      </c>
      <c r="BD272" s="25">
        <v>83</v>
      </c>
      <c r="BE272" s="25">
        <v>23151</v>
      </c>
      <c r="BF272" s="25">
        <v>26935</v>
      </c>
      <c r="BG272" s="25"/>
      <c r="BH272" s="25"/>
      <c r="BI272" s="25"/>
      <c r="BJ272" s="25">
        <v>73</v>
      </c>
      <c r="BK272" s="25">
        <f>22833+3487+408</f>
        <v>26728</v>
      </c>
      <c r="BL272" s="25">
        <f>26213+62</f>
        <v>26275</v>
      </c>
      <c r="BM272" s="25">
        <v>67</v>
      </c>
      <c r="BN272" s="25">
        <f>24331+1825</f>
        <v>26156</v>
      </c>
      <c r="BO272" s="25">
        <v>24586</v>
      </c>
      <c r="BP272" s="25">
        <v>68</v>
      </c>
      <c r="BQ272" s="25">
        <v>37869</v>
      </c>
      <c r="BR272" s="25">
        <v>24523</v>
      </c>
      <c r="BS272" s="25">
        <v>68</v>
      </c>
      <c r="BT272" s="25">
        <v>17436</v>
      </c>
      <c r="BU272" s="25">
        <v>24912</v>
      </c>
      <c r="BV272" s="25">
        <v>70</v>
      </c>
      <c r="BW272" s="25">
        <v>24184</v>
      </c>
      <c r="BX272" s="25">
        <v>25363</v>
      </c>
      <c r="BY272" s="25">
        <v>70</v>
      </c>
      <c r="BZ272" s="25">
        <v>32434</v>
      </c>
      <c r="CA272" s="25">
        <v>23899</v>
      </c>
      <c r="CB272" s="91"/>
      <c r="CC272" s="91"/>
      <c r="CD272" s="91"/>
      <c r="CE272" s="25">
        <v>66</v>
      </c>
      <c r="CF272" s="25">
        <v>24496</v>
      </c>
      <c r="CG272" s="25">
        <v>23714</v>
      </c>
      <c r="CH272" s="25">
        <v>78</v>
      </c>
      <c r="CI272" s="25">
        <f>17384+720+1627</f>
        <v>19731</v>
      </c>
      <c r="CJ272" s="25">
        <v>23785</v>
      </c>
      <c r="CK272" s="25">
        <v>73</v>
      </c>
      <c r="CL272" s="25">
        <f>19835+1168</f>
        <v>21003</v>
      </c>
      <c r="CM272" s="25">
        <v>23910</v>
      </c>
      <c r="CN272" s="25">
        <v>72</v>
      </c>
      <c r="CO272" s="25">
        <f>23390+2354</f>
        <v>25744</v>
      </c>
      <c r="CP272" s="25">
        <f>22436+173</f>
        <v>22609</v>
      </c>
      <c r="CQ272" s="25">
        <v>72</v>
      </c>
      <c r="CR272" s="25">
        <v>18713</v>
      </c>
      <c r="CS272" s="25">
        <v>24515</v>
      </c>
      <c r="CT272" s="25">
        <v>70</v>
      </c>
      <c r="CU272" s="25">
        <v>38274</v>
      </c>
      <c r="CV272" s="25">
        <v>23207</v>
      </c>
      <c r="CW272" s="25"/>
      <c r="CX272" s="25"/>
      <c r="CY272" s="25"/>
      <c r="CZ272" s="25">
        <v>66</v>
      </c>
      <c r="DA272" s="25">
        <v>18785</v>
      </c>
      <c r="DB272" s="25">
        <v>23322</v>
      </c>
      <c r="DC272" s="25">
        <v>66</v>
      </c>
      <c r="DD272" s="25">
        <v>18195</v>
      </c>
      <c r="DE272" s="25">
        <v>22547</v>
      </c>
      <c r="DF272" s="25">
        <v>71</v>
      </c>
      <c r="DG272" s="25">
        <v>20592</v>
      </c>
      <c r="DH272" s="25">
        <v>24903</v>
      </c>
      <c r="DI272" s="25">
        <v>72</v>
      </c>
      <c r="DJ272" s="25">
        <v>30941</v>
      </c>
      <c r="DK272" s="25">
        <v>25802</v>
      </c>
      <c r="DL272" s="56">
        <v>71</v>
      </c>
      <c r="DM272" s="25">
        <v>23496</v>
      </c>
      <c r="DN272" s="25">
        <v>25755</v>
      </c>
      <c r="DO272" s="56">
        <v>70</v>
      </c>
      <c r="DP272" s="25">
        <v>18706</v>
      </c>
      <c r="DQ272" s="25">
        <v>23086</v>
      </c>
    </row>
    <row r="273" spans="1:123" s="4" customFormat="1" ht="16.5" customHeight="1">
      <c r="A273" s="73" t="s">
        <v>144</v>
      </c>
      <c r="B273" s="25"/>
      <c r="C273" s="25"/>
      <c r="D273" s="2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  <c r="AC273" s="145"/>
      <c r="AD273" s="145"/>
      <c r="AE273" s="145"/>
      <c r="AF273" s="25">
        <v>11</v>
      </c>
      <c r="AG273" s="25">
        <f>6297+3245</f>
        <v>9542</v>
      </c>
      <c r="AH273" s="25">
        <f>4166+327</f>
        <v>4493</v>
      </c>
      <c r="AI273" s="25">
        <v>3</v>
      </c>
      <c r="AJ273" s="25">
        <f>692+2337+2566+1762</f>
        <v>7357</v>
      </c>
      <c r="AK273" s="25">
        <f>600+185</f>
        <v>785</v>
      </c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91"/>
      <c r="CC273" s="91"/>
      <c r="CD273" s="91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/>
      <c r="DB273" s="25"/>
      <c r="DC273" s="25"/>
      <c r="DD273" s="25"/>
      <c r="DE273" s="25"/>
      <c r="DF273" s="25"/>
      <c r="DG273" s="25"/>
      <c r="DH273" s="25"/>
      <c r="DI273" s="25"/>
      <c r="DJ273" s="25"/>
      <c r="DK273" s="25"/>
      <c r="DL273" s="56"/>
      <c r="DM273" s="25"/>
      <c r="DN273" s="25"/>
      <c r="DO273" s="56"/>
      <c r="DP273" s="25"/>
      <c r="DQ273" s="25"/>
    </row>
    <row r="274" spans="1:123" s="28" customFormat="1">
      <c r="A274" s="74" t="s">
        <v>145</v>
      </c>
      <c r="B274" s="27"/>
      <c r="C274" s="27"/>
      <c r="D274" s="27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27">
        <v>39</v>
      </c>
      <c r="AG274" s="27">
        <v>12737</v>
      </c>
      <c r="AH274" s="27">
        <v>14058</v>
      </c>
      <c r="AI274" s="27">
        <v>41</v>
      </c>
      <c r="AJ274" s="27">
        <f>5019+1299</f>
        <v>6318</v>
      </c>
      <c r="AK274" s="27">
        <v>14742</v>
      </c>
      <c r="AL274" s="27"/>
      <c r="AM274" s="27"/>
      <c r="AN274" s="27"/>
      <c r="AO274" s="27">
        <v>41</v>
      </c>
      <c r="AP274" s="27">
        <v>8876</v>
      </c>
      <c r="AQ274" s="27">
        <v>15556</v>
      </c>
      <c r="AR274" s="27">
        <v>41</v>
      </c>
      <c r="AS274" s="27">
        <v>16319</v>
      </c>
      <c r="AT274" s="27">
        <v>14923</v>
      </c>
      <c r="AU274" s="27">
        <v>41</v>
      </c>
      <c r="AV274" s="27">
        <v>25248</v>
      </c>
      <c r="AW274" s="27">
        <v>15130</v>
      </c>
      <c r="AX274" s="27">
        <v>42</v>
      </c>
      <c r="AY274" s="27">
        <f>9360+1392</f>
        <v>10752</v>
      </c>
      <c r="AZ274" s="27">
        <f>15663+11</f>
        <v>15674</v>
      </c>
      <c r="BA274" s="76">
        <v>42</v>
      </c>
      <c r="BB274" s="76">
        <f>11853+360</f>
        <v>12213</v>
      </c>
      <c r="BC274" s="76">
        <f>15518+95</f>
        <v>15613</v>
      </c>
      <c r="BD274" s="27">
        <v>42</v>
      </c>
      <c r="BE274" s="27">
        <v>15712</v>
      </c>
      <c r="BF274" s="27">
        <v>14927</v>
      </c>
      <c r="BG274" s="27"/>
      <c r="BH274" s="27"/>
      <c r="BI274" s="27"/>
      <c r="BJ274" s="27">
        <v>45</v>
      </c>
      <c r="BK274" s="27">
        <v>19162</v>
      </c>
      <c r="BL274" s="27">
        <v>16376</v>
      </c>
      <c r="BM274" s="27">
        <v>46</v>
      </c>
      <c r="BN274" s="27">
        <v>14998</v>
      </c>
      <c r="BO274" s="27">
        <v>16777</v>
      </c>
      <c r="BP274" s="27">
        <v>48</v>
      </c>
      <c r="BQ274" s="27">
        <v>11157</v>
      </c>
      <c r="BR274" s="27">
        <v>16999</v>
      </c>
      <c r="BS274" s="27">
        <v>47</v>
      </c>
      <c r="BT274" s="27">
        <v>21187</v>
      </c>
      <c r="BU274" s="27">
        <v>16970</v>
      </c>
      <c r="BV274" s="27">
        <v>44</v>
      </c>
      <c r="BW274" s="27">
        <f>20685+1445</f>
        <v>22130</v>
      </c>
      <c r="BX274" s="27">
        <v>15501</v>
      </c>
      <c r="BY274" s="27">
        <v>41</v>
      </c>
      <c r="BZ274" s="27">
        <f>14707+889</f>
        <v>15596</v>
      </c>
      <c r="CA274" s="27">
        <f>13246+36</f>
        <v>13282</v>
      </c>
      <c r="CB274" s="27"/>
      <c r="CC274" s="27"/>
      <c r="CD274" s="27"/>
      <c r="CE274" s="27">
        <v>40</v>
      </c>
      <c r="CF274" s="27">
        <v>10353</v>
      </c>
      <c r="CG274" s="27">
        <v>13459</v>
      </c>
      <c r="CH274" s="27">
        <v>36</v>
      </c>
      <c r="CI274" s="27">
        <f>8542+617</f>
        <v>9159</v>
      </c>
      <c r="CJ274" s="27">
        <v>12091</v>
      </c>
      <c r="CK274" s="27">
        <v>32</v>
      </c>
      <c r="CL274" s="27">
        <f>1638+15145+1321</f>
        <v>18104</v>
      </c>
      <c r="CM274" s="27">
        <f>114+11185+11</f>
        <v>11310</v>
      </c>
      <c r="CN274" s="27">
        <v>28</v>
      </c>
      <c r="CO274" s="27">
        <f>1910+12358</f>
        <v>14268</v>
      </c>
      <c r="CP274" s="27">
        <f>9172+25</f>
        <v>9197</v>
      </c>
      <c r="CQ274" s="25">
        <v>22</v>
      </c>
      <c r="CR274" s="27">
        <f>11584+1800</f>
        <v>13384</v>
      </c>
      <c r="CS274" s="25">
        <f>7611</f>
        <v>7611</v>
      </c>
      <c r="CT274" s="27">
        <v>20</v>
      </c>
      <c r="CU274" s="27">
        <v>6513</v>
      </c>
      <c r="CV274" s="27">
        <v>6870</v>
      </c>
      <c r="CW274" s="27"/>
      <c r="CX274" s="27"/>
      <c r="CY274" s="27"/>
      <c r="CZ274" s="27">
        <v>20</v>
      </c>
      <c r="DA274" s="27">
        <v>5175</v>
      </c>
      <c r="DB274" s="27">
        <v>7290</v>
      </c>
      <c r="DC274" s="27">
        <v>17</v>
      </c>
      <c r="DD274" s="27">
        <v>7798</v>
      </c>
      <c r="DE274" s="27">
        <v>5825</v>
      </c>
      <c r="DF274" s="27">
        <v>14</v>
      </c>
      <c r="DG274" s="27">
        <v>10009</v>
      </c>
      <c r="DH274" s="27">
        <v>4801</v>
      </c>
      <c r="DI274" s="27">
        <v>12</v>
      </c>
      <c r="DJ274" s="27">
        <v>5108</v>
      </c>
      <c r="DK274" s="27">
        <v>4254</v>
      </c>
      <c r="DL274" s="27">
        <v>11</v>
      </c>
      <c r="DM274" s="27">
        <v>1560</v>
      </c>
      <c r="DN274" s="27">
        <v>4018</v>
      </c>
      <c r="DO274" s="27">
        <v>11</v>
      </c>
      <c r="DP274" s="27">
        <v>4620</v>
      </c>
      <c r="DQ274" s="27">
        <v>3647</v>
      </c>
    </row>
    <row r="275" spans="1:123" s="28" customFormat="1">
      <c r="A275" s="74" t="s">
        <v>146</v>
      </c>
      <c r="B275" s="27"/>
      <c r="C275" s="27"/>
      <c r="D275" s="27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76"/>
      <c r="BB275" s="76"/>
      <c r="BC275" s="76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>
        <v>4</v>
      </c>
      <c r="CF275" s="27"/>
      <c r="CG275" s="27">
        <v>907</v>
      </c>
      <c r="CH275" s="27">
        <v>13</v>
      </c>
      <c r="CI275" s="27"/>
      <c r="CJ275" s="27">
        <v>4453</v>
      </c>
      <c r="CK275" s="179">
        <v>17</v>
      </c>
      <c r="CL275" s="27">
        <v>1371</v>
      </c>
      <c r="CM275" s="27">
        <v>5814</v>
      </c>
      <c r="CN275" s="27">
        <v>21</v>
      </c>
      <c r="CO275" s="27">
        <v>374</v>
      </c>
      <c r="CP275" s="27">
        <v>6661</v>
      </c>
      <c r="CQ275" s="25">
        <v>21</v>
      </c>
      <c r="CR275" s="27">
        <v>8014</v>
      </c>
      <c r="CS275" s="25">
        <v>7711</v>
      </c>
      <c r="CT275" s="27">
        <v>22</v>
      </c>
      <c r="CU275" s="27">
        <v>10824</v>
      </c>
      <c r="CV275" s="27">
        <v>7624</v>
      </c>
      <c r="CW275" s="27"/>
      <c r="CX275" s="27"/>
      <c r="CY275" s="27"/>
      <c r="CZ275" s="27">
        <v>22</v>
      </c>
      <c r="DA275" s="27">
        <v>3468</v>
      </c>
      <c r="DB275" s="27">
        <v>8099</v>
      </c>
      <c r="DC275" s="27">
        <v>22</v>
      </c>
      <c r="DD275" s="27">
        <v>7522</v>
      </c>
      <c r="DE275" s="27">
        <v>7937</v>
      </c>
      <c r="DF275" s="27">
        <v>25</v>
      </c>
      <c r="DG275" s="27">
        <v>12874</v>
      </c>
      <c r="DH275" s="27">
        <v>8695</v>
      </c>
      <c r="DI275" s="27">
        <v>26</v>
      </c>
      <c r="DJ275" s="27">
        <v>8176</v>
      </c>
      <c r="DK275" s="27">
        <v>9415</v>
      </c>
      <c r="DL275" s="27">
        <v>28</v>
      </c>
      <c r="DM275" s="27">
        <v>3658</v>
      </c>
      <c r="DN275" s="27">
        <v>10175</v>
      </c>
      <c r="DO275" s="27">
        <v>28</v>
      </c>
      <c r="DP275" s="27">
        <v>8086</v>
      </c>
      <c r="DQ275" s="27">
        <v>9275</v>
      </c>
    </row>
    <row r="276" spans="1:123" s="4" customFormat="1">
      <c r="A276" s="74" t="s">
        <v>147</v>
      </c>
      <c r="B276" s="25"/>
      <c r="C276" s="25"/>
      <c r="D276" s="25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69"/>
      <c r="AG276" s="69"/>
      <c r="AH276" s="69"/>
      <c r="AI276" s="68"/>
      <c r="AJ276" s="68"/>
      <c r="AK276" s="68"/>
      <c r="AL276" s="70"/>
      <c r="AM276" s="70"/>
      <c r="AN276" s="70"/>
      <c r="AO276" s="70"/>
      <c r="AP276" s="25"/>
      <c r="AQ276" s="25"/>
      <c r="AR276" s="71"/>
      <c r="AS276" s="71"/>
      <c r="AT276" s="71"/>
      <c r="AU276" s="72"/>
      <c r="AV276" s="72"/>
      <c r="AW276" s="72"/>
      <c r="AX276" s="75"/>
      <c r="AY276" s="75"/>
      <c r="AZ276" s="75"/>
      <c r="BA276" s="76"/>
      <c r="BB276" s="76"/>
      <c r="BC276" s="76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/>
      <c r="DD276" s="25"/>
      <c r="DE276" s="25"/>
      <c r="DF276" s="25"/>
      <c r="DG276" s="25"/>
      <c r="DH276" s="25"/>
      <c r="DI276" s="25"/>
      <c r="DJ276" s="25"/>
      <c r="DK276" s="25"/>
      <c r="DL276" s="25"/>
      <c r="DM276" s="25"/>
      <c r="DN276" s="25"/>
      <c r="DO276" s="25"/>
      <c r="DP276" s="25"/>
      <c r="DQ276" s="25"/>
    </row>
    <row r="277" spans="1:123" s="4" customFormat="1">
      <c r="A277" s="74" t="s">
        <v>148</v>
      </c>
      <c r="B277" s="25"/>
      <c r="C277" s="25"/>
      <c r="D277" s="25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69">
        <v>16</v>
      </c>
      <c r="AG277" s="69">
        <f>7521+1164</f>
        <v>8685</v>
      </c>
      <c r="AH277" s="69">
        <v>5342</v>
      </c>
      <c r="AI277" s="68">
        <v>12</v>
      </c>
      <c r="AJ277" s="68">
        <f>5050+2482</f>
        <v>7532</v>
      </c>
      <c r="AK277" s="68">
        <v>3902</v>
      </c>
      <c r="AL277" s="70"/>
      <c r="AM277" s="70"/>
      <c r="AN277" s="70"/>
      <c r="AO277" s="70">
        <v>9</v>
      </c>
      <c r="AP277" s="25">
        <f>1833+1562</f>
        <v>3395</v>
      </c>
      <c r="AQ277" s="25">
        <v>3081</v>
      </c>
      <c r="AR277" s="71">
        <v>7</v>
      </c>
      <c r="AS277" s="71">
        <f>622+1065</f>
        <v>1687</v>
      </c>
      <c r="AT277" s="71">
        <f>2415+106</f>
        <v>2521</v>
      </c>
      <c r="AU277" s="72">
        <v>6</v>
      </c>
      <c r="AV277" s="72">
        <v>6534</v>
      </c>
      <c r="AW277" s="72">
        <v>1732</v>
      </c>
      <c r="AX277" s="75">
        <v>2</v>
      </c>
      <c r="AY277" s="75">
        <v>286</v>
      </c>
      <c r="AZ277" s="75">
        <f>286+379</f>
        <v>665</v>
      </c>
      <c r="BA277" s="76">
        <v>2</v>
      </c>
      <c r="BB277" s="76">
        <v>1839</v>
      </c>
      <c r="BC277" s="76">
        <v>303</v>
      </c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/>
      <c r="DD277" s="25"/>
      <c r="DE277" s="25"/>
      <c r="DF277" s="25"/>
      <c r="DG277" s="25"/>
      <c r="DH277" s="25"/>
      <c r="DI277" s="25"/>
      <c r="DJ277" s="25"/>
      <c r="DK277" s="25"/>
      <c r="DL277" s="25"/>
      <c r="DM277" s="25"/>
      <c r="DN277" s="25"/>
      <c r="DO277" s="25"/>
      <c r="DP277" s="25"/>
      <c r="DQ277" s="25"/>
    </row>
    <row r="278" spans="1:123" s="4" customFormat="1">
      <c r="A278" s="74" t="s">
        <v>149</v>
      </c>
      <c r="B278" s="25"/>
      <c r="C278" s="25"/>
      <c r="D278" s="25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69">
        <v>30</v>
      </c>
      <c r="AG278" s="69">
        <v>7098</v>
      </c>
      <c r="AH278" s="69">
        <v>10230</v>
      </c>
      <c r="AI278" s="68">
        <v>34</v>
      </c>
      <c r="AJ278" s="68">
        <v>11600</v>
      </c>
      <c r="AK278" s="68">
        <v>11044</v>
      </c>
      <c r="AL278" s="70"/>
      <c r="AM278" s="70"/>
      <c r="AN278" s="70"/>
      <c r="AO278" s="70">
        <v>37</v>
      </c>
      <c r="AP278" s="25">
        <v>8237</v>
      </c>
      <c r="AQ278" s="25">
        <v>12775</v>
      </c>
      <c r="AR278" s="71">
        <v>39</v>
      </c>
      <c r="AS278" s="71">
        <v>11490</v>
      </c>
      <c r="AT278" s="71">
        <v>13446</v>
      </c>
      <c r="AU278" s="72">
        <v>40</v>
      </c>
      <c r="AV278" s="72">
        <v>15432</v>
      </c>
      <c r="AW278" s="72">
        <v>13733</v>
      </c>
      <c r="AX278" s="75">
        <v>40</v>
      </c>
      <c r="AY278" s="75">
        <f>11416+1873</f>
        <v>13289</v>
      </c>
      <c r="AZ278" s="174">
        <f>13480+26</f>
        <v>13506</v>
      </c>
      <c r="BA278" s="76">
        <v>40</v>
      </c>
      <c r="BB278" s="76">
        <f>8589+1203+920</f>
        <v>10712</v>
      </c>
      <c r="BC278" s="76">
        <f>11975+44+21</f>
        <v>12040</v>
      </c>
      <c r="BD278" s="25">
        <v>33</v>
      </c>
      <c r="BE278" s="25">
        <v>18003</v>
      </c>
      <c r="BF278" s="25">
        <v>9804</v>
      </c>
      <c r="BG278" s="25"/>
      <c r="BH278" s="25"/>
      <c r="BI278" s="25"/>
      <c r="BJ278" s="25">
        <v>33</v>
      </c>
      <c r="BK278" s="25">
        <v>9358</v>
      </c>
      <c r="BL278" s="25">
        <v>10734</v>
      </c>
      <c r="BM278" s="25">
        <v>33</v>
      </c>
      <c r="BN278" s="25">
        <v>14270</v>
      </c>
      <c r="BO278" s="25">
        <v>10321</v>
      </c>
      <c r="BP278" s="25">
        <v>31</v>
      </c>
      <c r="BQ278" s="25">
        <v>3833</v>
      </c>
      <c r="BR278" s="25">
        <v>10748</v>
      </c>
      <c r="BS278" s="25">
        <v>31</v>
      </c>
      <c r="BT278" s="25">
        <v>13142</v>
      </c>
      <c r="BU278" s="25">
        <v>9972</v>
      </c>
      <c r="BV278" s="25">
        <v>26</v>
      </c>
      <c r="BW278" s="25">
        <v>9480</v>
      </c>
      <c r="BX278" s="25">
        <v>8195</v>
      </c>
      <c r="BY278" s="25">
        <v>22</v>
      </c>
      <c r="BZ278" s="25">
        <f>10338+1363</f>
        <v>11701</v>
      </c>
      <c r="CA278" s="25">
        <f>6979+63</f>
        <v>7042</v>
      </c>
      <c r="CB278" s="25"/>
      <c r="CC278" s="25"/>
      <c r="CD278" s="25"/>
      <c r="CE278" s="25">
        <v>21</v>
      </c>
      <c r="CF278" s="25">
        <v>3293</v>
      </c>
      <c r="CG278" s="25">
        <v>6937</v>
      </c>
      <c r="CH278" s="25">
        <v>18</v>
      </c>
      <c r="CI278" s="25">
        <f>7114+738</f>
        <v>7852</v>
      </c>
      <c r="CJ278" s="25">
        <v>6121</v>
      </c>
      <c r="CK278" s="25">
        <v>15</v>
      </c>
      <c r="CL278" s="25">
        <f>6985+2348</f>
        <v>9333</v>
      </c>
      <c r="CM278" s="25">
        <f>4618+216</f>
        <v>4834</v>
      </c>
      <c r="CN278" s="25">
        <v>11</v>
      </c>
      <c r="CO278" s="25">
        <f>5576+629</f>
        <v>6205</v>
      </c>
      <c r="CP278" s="25">
        <f>3693+68</f>
        <v>3761</v>
      </c>
      <c r="CQ278" s="25">
        <v>10</v>
      </c>
      <c r="CR278" s="25">
        <v>2537</v>
      </c>
      <c r="CS278" s="25">
        <v>3440</v>
      </c>
      <c r="CT278" s="25">
        <v>8</v>
      </c>
      <c r="CU278" s="25">
        <f>2375+637</f>
        <v>3012</v>
      </c>
      <c r="CV278" s="25">
        <v>2481</v>
      </c>
      <c r="CW278" s="25"/>
      <c r="CX278" s="25"/>
      <c r="CY278" s="25"/>
      <c r="CZ278" s="25">
        <v>5</v>
      </c>
      <c r="DA278" s="25">
        <f>3874+1406</f>
        <v>5280</v>
      </c>
      <c r="DB278" s="25">
        <v>1446</v>
      </c>
      <c r="DC278" s="25">
        <v>1</v>
      </c>
      <c r="DD278" s="25">
        <v>1375</v>
      </c>
      <c r="DE278" s="25">
        <v>343</v>
      </c>
      <c r="DF278" s="25"/>
      <c r="DG278" s="25">
        <v>886</v>
      </c>
      <c r="DH278" s="25">
        <v>36</v>
      </c>
      <c r="DI278" s="25"/>
      <c r="DJ278" s="25"/>
      <c r="DK278" s="25"/>
      <c r="DL278" s="25"/>
      <c r="DM278" s="25"/>
      <c r="DN278" s="25"/>
      <c r="DO278" s="25"/>
      <c r="DP278" s="25"/>
      <c r="DQ278" s="25"/>
    </row>
    <row r="279" spans="1:123" s="4" customFormat="1">
      <c r="A279" s="74" t="s">
        <v>150</v>
      </c>
      <c r="B279" s="25"/>
      <c r="C279" s="25"/>
      <c r="D279" s="25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69"/>
      <c r="AG279" s="69"/>
      <c r="AH279" s="69"/>
      <c r="AI279" s="68"/>
      <c r="AJ279" s="68"/>
      <c r="AK279" s="68"/>
      <c r="AL279" s="70"/>
      <c r="AM279" s="70"/>
      <c r="AN279" s="70"/>
      <c r="AO279" s="70"/>
      <c r="AP279" s="25"/>
      <c r="AQ279" s="25"/>
      <c r="AR279" s="71"/>
      <c r="AS279" s="71"/>
      <c r="AT279" s="71"/>
      <c r="AU279" s="72"/>
      <c r="AV279" s="72"/>
      <c r="AW279" s="72"/>
      <c r="AX279" s="75"/>
      <c r="AY279" s="75"/>
      <c r="AZ279" s="174"/>
      <c r="BA279" s="76"/>
      <c r="BB279" s="76"/>
      <c r="BC279" s="76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>
        <v>1</v>
      </c>
      <c r="BQ279" s="25"/>
      <c r="BR279" s="25">
        <v>303</v>
      </c>
      <c r="BS279" s="25">
        <v>3</v>
      </c>
      <c r="BT279" s="25"/>
      <c r="BU279" s="25">
        <v>934</v>
      </c>
      <c r="BV279" s="25">
        <v>4</v>
      </c>
      <c r="BW279" s="25"/>
      <c r="BX279" s="25">
        <v>1327</v>
      </c>
      <c r="BY279" s="25">
        <v>5</v>
      </c>
      <c r="BZ279" s="25">
        <v>1200</v>
      </c>
      <c r="CA279" s="25">
        <v>1564</v>
      </c>
      <c r="CB279" s="25"/>
      <c r="CC279" s="25"/>
      <c r="CD279" s="25"/>
      <c r="CE279" s="25">
        <v>8</v>
      </c>
      <c r="CF279" s="25">
        <v>3200</v>
      </c>
      <c r="CG279" s="25">
        <v>2565</v>
      </c>
      <c r="CH279" s="25">
        <v>12</v>
      </c>
      <c r="CI279" s="25"/>
      <c r="CJ279" s="25">
        <v>3949</v>
      </c>
      <c r="CK279" s="25">
        <v>14</v>
      </c>
      <c r="CL279" s="25">
        <v>2409</v>
      </c>
      <c r="CM279" s="25">
        <v>4514</v>
      </c>
      <c r="CN279" s="25">
        <v>20</v>
      </c>
      <c r="CO279" s="25">
        <v>4637</v>
      </c>
      <c r="CP279" s="25">
        <v>6558</v>
      </c>
      <c r="CQ279" s="25">
        <v>20</v>
      </c>
      <c r="CR279" s="25">
        <v>5820</v>
      </c>
      <c r="CS279" s="25">
        <v>6889</v>
      </c>
      <c r="CT279" s="25">
        <v>23</v>
      </c>
      <c r="CU279" s="25">
        <v>6734</v>
      </c>
      <c r="CV279" s="25">
        <v>7390</v>
      </c>
      <c r="CW279" s="25"/>
      <c r="CX279" s="25"/>
      <c r="CY279" s="25"/>
      <c r="CZ279" s="25">
        <v>25</v>
      </c>
      <c r="DA279" s="25">
        <v>7200</v>
      </c>
      <c r="DB279" s="25">
        <v>8495</v>
      </c>
      <c r="DC279" s="25">
        <v>28</v>
      </c>
      <c r="DD279" s="25">
        <v>5799</v>
      </c>
      <c r="DE279" s="25">
        <v>9384</v>
      </c>
      <c r="DF279" s="25">
        <v>30</v>
      </c>
      <c r="DG279" s="25">
        <v>9870</v>
      </c>
      <c r="DH279" s="25">
        <v>10121</v>
      </c>
      <c r="DI279" s="25">
        <v>30</v>
      </c>
      <c r="DJ279" s="25">
        <v>9524</v>
      </c>
      <c r="DK279" s="25">
        <v>10346</v>
      </c>
      <c r="DL279" s="25">
        <v>30</v>
      </c>
      <c r="DM279" s="25">
        <v>11001</v>
      </c>
      <c r="DN279" s="25">
        <v>10308</v>
      </c>
      <c r="DO279" s="25">
        <v>30</v>
      </c>
      <c r="DP279" s="25">
        <v>8816</v>
      </c>
      <c r="DQ279" s="25">
        <v>9404</v>
      </c>
      <c r="DR279" s="29"/>
      <c r="DS279" s="29"/>
    </row>
    <row r="280" spans="1:123" s="4" customFormat="1">
      <c r="A280" s="74" t="s">
        <v>151</v>
      </c>
      <c r="B280" s="25"/>
      <c r="C280" s="25"/>
      <c r="D280" s="25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25">
        <v>48</v>
      </c>
      <c r="AG280" s="25">
        <f>17162+389</f>
        <v>17551</v>
      </c>
      <c r="AH280" s="25">
        <v>11472</v>
      </c>
      <c r="AI280" s="68">
        <v>48</v>
      </c>
      <c r="AJ280" s="68">
        <v>11794</v>
      </c>
      <c r="AK280" s="68">
        <v>10511</v>
      </c>
      <c r="AL280" s="70"/>
      <c r="AM280" s="99"/>
      <c r="AN280" s="70"/>
      <c r="AO280" s="70">
        <v>39</v>
      </c>
      <c r="AP280" s="25">
        <f>6727+3134</f>
        <v>9861</v>
      </c>
      <c r="AQ280" s="25">
        <f>8498+144</f>
        <v>8642</v>
      </c>
      <c r="AR280" s="71">
        <v>34</v>
      </c>
      <c r="AS280" s="71">
        <f>12665+408</f>
        <v>13073</v>
      </c>
      <c r="AT280" s="71">
        <v>7714</v>
      </c>
      <c r="AU280" s="72">
        <v>29</v>
      </c>
      <c r="AV280" s="72">
        <f>6236+366</f>
        <v>6602</v>
      </c>
      <c r="AW280" s="72">
        <v>6968</v>
      </c>
      <c r="AX280" s="75">
        <v>26</v>
      </c>
      <c r="AY280" s="75">
        <f>7706+392</f>
        <v>8098</v>
      </c>
      <c r="AZ280" s="75">
        <v>5044</v>
      </c>
      <c r="BA280" s="76">
        <v>25</v>
      </c>
      <c r="BB280" s="76">
        <v>4306</v>
      </c>
      <c r="BC280" s="76">
        <v>3891</v>
      </c>
      <c r="BD280" s="106">
        <v>10</v>
      </c>
      <c r="BE280" s="106">
        <v>5646</v>
      </c>
      <c r="BF280" s="106">
        <v>2229</v>
      </c>
      <c r="BG280" s="25"/>
      <c r="BH280" s="25"/>
      <c r="BI280" s="25"/>
      <c r="BJ280" s="25">
        <v>7</v>
      </c>
      <c r="BK280" s="25">
        <v>760</v>
      </c>
      <c r="BL280" s="25">
        <v>1411</v>
      </c>
      <c r="BM280" s="25">
        <v>7</v>
      </c>
      <c r="BN280" s="25">
        <v>2447</v>
      </c>
      <c r="BO280" s="25">
        <v>1185</v>
      </c>
      <c r="BP280" s="25">
        <v>6</v>
      </c>
      <c r="BQ280" s="25">
        <v>6391</v>
      </c>
      <c r="BR280" s="56">
        <v>1296</v>
      </c>
      <c r="BS280" s="25">
        <v>6</v>
      </c>
      <c r="BT280" s="25">
        <v>613</v>
      </c>
      <c r="BU280" s="25">
        <v>1393</v>
      </c>
      <c r="BV280" s="25">
        <v>5</v>
      </c>
      <c r="BW280" s="25">
        <v>2460</v>
      </c>
      <c r="BX280" s="25">
        <v>1149</v>
      </c>
      <c r="BY280" s="25">
        <v>5</v>
      </c>
      <c r="BZ280" s="25"/>
      <c r="CA280" s="25">
        <v>1117</v>
      </c>
      <c r="CB280" s="91"/>
      <c r="CC280" s="91"/>
      <c r="CD280" s="91"/>
      <c r="CE280" s="25">
        <v>5</v>
      </c>
      <c r="CF280" s="25">
        <v>2200</v>
      </c>
      <c r="CG280" s="25">
        <v>1166</v>
      </c>
      <c r="CH280" s="25">
        <v>9</v>
      </c>
      <c r="CI280" s="25">
        <v>1256</v>
      </c>
      <c r="CJ280" s="25">
        <v>2034</v>
      </c>
      <c r="CK280" s="25">
        <v>10</v>
      </c>
      <c r="CL280" s="25"/>
      <c r="CM280" s="25">
        <v>2305</v>
      </c>
      <c r="CN280" s="25">
        <v>10</v>
      </c>
      <c r="CO280" s="25">
        <v>1634</v>
      </c>
      <c r="CP280" s="25">
        <v>2315</v>
      </c>
      <c r="CQ280" s="25">
        <v>11</v>
      </c>
      <c r="CR280" s="25">
        <v>1508</v>
      </c>
      <c r="CS280" s="25">
        <v>2384</v>
      </c>
      <c r="CT280" s="25">
        <v>12</v>
      </c>
      <c r="CU280" s="25">
        <v>4695</v>
      </c>
      <c r="CV280" s="25">
        <v>2532</v>
      </c>
      <c r="CW280" s="25"/>
      <c r="CX280" s="25"/>
      <c r="CY280" s="25"/>
      <c r="CZ280" s="25">
        <v>12</v>
      </c>
      <c r="DA280" s="25">
        <v>3117</v>
      </c>
      <c r="DB280" s="25">
        <v>2775</v>
      </c>
      <c r="DC280" s="25">
        <v>12</v>
      </c>
      <c r="DD280" s="25">
        <v>639</v>
      </c>
      <c r="DE280" s="25">
        <v>2745</v>
      </c>
      <c r="DF280" s="25">
        <v>17</v>
      </c>
      <c r="DG280" s="25">
        <v>2234</v>
      </c>
      <c r="DH280" s="25">
        <v>3701</v>
      </c>
      <c r="DI280" s="25">
        <v>16</v>
      </c>
      <c r="DJ280" s="25">
        <v>3701</v>
      </c>
      <c r="DK280" s="25">
        <v>3750</v>
      </c>
      <c r="DL280" s="25">
        <v>16</v>
      </c>
      <c r="DM280" s="25">
        <v>4189</v>
      </c>
      <c r="DN280" s="25">
        <v>3688</v>
      </c>
      <c r="DO280" s="25">
        <v>15</v>
      </c>
      <c r="DP280" s="25">
        <f>1679+380</f>
        <v>2059</v>
      </c>
      <c r="DQ280" s="25">
        <v>3063</v>
      </c>
    </row>
    <row r="281" spans="1:123" s="4" customFormat="1">
      <c r="A281" s="74" t="s">
        <v>152</v>
      </c>
      <c r="B281" s="25"/>
      <c r="C281" s="25"/>
      <c r="D281" s="25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25">
        <v>17</v>
      </c>
      <c r="AG281" s="25">
        <v>1863</v>
      </c>
      <c r="AH281" s="25">
        <v>4077</v>
      </c>
      <c r="AI281" s="68">
        <v>17</v>
      </c>
      <c r="AJ281" s="68">
        <v>4057</v>
      </c>
      <c r="AK281" s="68">
        <v>3867</v>
      </c>
      <c r="AL281" s="70"/>
      <c r="AM281" s="70"/>
      <c r="AN281" s="70"/>
      <c r="AO281" s="70">
        <v>17</v>
      </c>
      <c r="AP281" s="25">
        <v>9085</v>
      </c>
      <c r="AQ281" s="25">
        <v>4079</v>
      </c>
      <c r="AR281" s="71">
        <v>17</v>
      </c>
      <c r="AS281" s="71">
        <v>3562</v>
      </c>
      <c r="AT281" s="71">
        <v>4016</v>
      </c>
      <c r="AU281" s="86">
        <v>17</v>
      </c>
      <c r="AV281" s="86">
        <v>1100</v>
      </c>
      <c r="AW281" s="86">
        <v>3970</v>
      </c>
      <c r="AX281" s="75">
        <v>17</v>
      </c>
      <c r="AY281" s="75">
        <v>4677</v>
      </c>
      <c r="AZ281" s="75">
        <v>3986</v>
      </c>
      <c r="BA281" s="76">
        <v>17</v>
      </c>
      <c r="BB281" s="76">
        <v>2449</v>
      </c>
      <c r="BC281" s="76">
        <v>3854</v>
      </c>
      <c r="BD281" s="106">
        <v>17</v>
      </c>
      <c r="BE281" s="106">
        <v>5451</v>
      </c>
      <c r="BF281" s="106">
        <v>3845</v>
      </c>
      <c r="BG281" s="88"/>
      <c r="BH281" s="88"/>
      <c r="BI281" s="88"/>
      <c r="BJ281" s="25">
        <v>17</v>
      </c>
      <c r="BK281" s="25">
        <v>3725</v>
      </c>
      <c r="BL281" s="25">
        <v>4027</v>
      </c>
      <c r="BM281" s="25">
        <v>17</v>
      </c>
      <c r="BN281" s="25">
        <v>4356</v>
      </c>
      <c r="BO281" s="25">
        <v>4025</v>
      </c>
      <c r="BP281" s="25">
        <v>17</v>
      </c>
      <c r="BQ281" s="25">
        <v>3768</v>
      </c>
      <c r="BR281" s="56">
        <v>4002</v>
      </c>
      <c r="BS281" s="25">
        <v>17</v>
      </c>
      <c r="BT281" s="25">
        <v>3177</v>
      </c>
      <c r="BU281" s="25">
        <v>3891</v>
      </c>
      <c r="BV281" s="25">
        <v>16</v>
      </c>
      <c r="BW281" s="25">
        <v>6418</v>
      </c>
      <c r="BX281" s="25">
        <v>3661</v>
      </c>
      <c r="BY281" s="25">
        <v>15</v>
      </c>
      <c r="BZ281" s="25">
        <v>942</v>
      </c>
      <c r="CA281" s="25">
        <v>3383</v>
      </c>
      <c r="CB281" s="91"/>
      <c r="CC281" s="91"/>
      <c r="CD281" s="91"/>
      <c r="CE281" s="25">
        <v>15</v>
      </c>
      <c r="CF281" s="25">
        <v>5847</v>
      </c>
      <c r="CG281" s="25">
        <v>3524</v>
      </c>
      <c r="CH281" s="25">
        <v>16</v>
      </c>
      <c r="CI281" s="25">
        <v>2200</v>
      </c>
      <c r="CJ281" s="25">
        <v>3473</v>
      </c>
      <c r="CK281" s="25">
        <v>15</v>
      </c>
      <c r="CL281" s="25">
        <v>5023</v>
      </c>
      <c r="CM281" s="25">
        <v>3362</v>
      </c>
      <c r="CN281" s="25">
        <v>13</v>
      </c>
      <c r="CO281" s="25">
        <v>2226</v>
      </c>
      <c r="CP281" s="25">
        <v>2591</v>
      </c>
      <c r="CQ281" s="149">
        <v>19</v>
      </c>
      <c r="CR281" s="149">
        <v>4545</v>
      </c>
      <c r="CS281" s="149">
        <v>3111</v>
      </c>
      <c r="CT281" s="25">
        <v>15</v>
      </c>
      <c r="CU281" s="25">
        <v>1926</v>
      </c>
      <c r="CV281" s="25">
        <v>3084</v>
      </c>
      <c r="CW281" s="25"/>
      <c r="CX281" s="25"/>
      <c r="CY281" s="25"/>
      <c r="CZ281" s="25">
        <v>13</v>
      </c>
      <c r="DA281" s="25">
        <v>3124</v>
      </c>
      <c r="DB281" s="25">
        <v>3031</v>
      </c>
      <c r="DC281" s="25">
        <v>13</v>
      </c>
      <c r="DD281" s="25">
        <v>885</v>
      </c>
      <c r="DE281" s="25">
        <v>2990</v>
      </c>
      <c r="DF281" s="25">
        <v>13</v>
      </c>
      <c r="DG281" s="25">
        <v>5192</v>
      </c>
      <c r="DH281" s="25">
        <v>3028</v>
      </c>
      <c r="DI281" s="25">
        <v>14</v>
      </c>
      <c r="DJ281" s="25">
        <v>3687</v>
      </c>
      <c r="DK281" s="25">
        <v>3199</v>
      </c>
      <c r="DL281" s="25">
        <v>14</v>
      </c>
      <c r="DM281" s="25">
        <v>2648</v>
      </c>
      <c r="DN281" s="25">
        <v>3239</v>
      </c>
      <c r="DO281" s="25">
        <v>15</v>
      </c>
      <c r="DP281" s="25">
        <v>2447</v>
      </c>
      <c r="DQ281" s="25">
        <v>3043</v>
      </c>
    </row>
    <row r="282" spans="1:123" s="205" customFormat="1">
      <c r="A282" s="209" t="s">
        <v>153</v>
      </c>
      <c r="B282" s="202"/>
      <c r="C282" s="202"/>
      <c r="D282" s="202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202">
        <v>5</v>
      </c>
      <c r="AG282" s="202"/>
      <c r="AH282" s="202">
        <v>1069</v>
      </c>
      <c r="AI282" s="202">
        <v>5</v>
      </c>
      <c r="AJ282" s="202"/>
      <c r="AK282" s="202">
        <v>1073</v>
      </c>
      <c r="AL282" s="202"/>
      <c r="AM282" s="202"/>
      <c r="AN282" s="202"/>
      <c r="AO282" s="202">
        <v>11</v>
      </c>
      <c r="AP282" s="202"/>
      <c r="AQ282" s="202">
        <v>2283</v>
      </c>
      <c r="AR282" s="202">
        <v>13</v>
      </c>
      <c r="AS282" s="202">
        <v>1677</v>
      </c>
      <c r="AT282" s="202">
        <v>2899</v>
      </c>
      <c r="AU282" s="202">
        <v>16</v>
      </c>
      <c r="AV282" s="202">
        <v>2100</v>
      </c>
      <c r="AW282" s="202">
        <v>3534</v>
      </c>
      <c r="AX282" s="202">
        <v>20</v>
      </c>
      <c r="AY282" s="202">
        <v>1475</v>
      </c>
      <c r="AZ282" s="202">
        <v>4467</v>
      </c>
      <c r="BA282" s="202">
        <v>20</v>
      </c>
      <c r="BB282" s="202">
        <v>4838</v>
      </c>
      <c r="BC282" s="202">
        <v>4602</v>
      </c>
      <c r="BD282" s="202">
        <v>20</v>
      </c>
      <c r="BE282" s="202">
        <v>5942</v>
      </c>
      <c r="BF282" s="202">
        <v>4409</v>
      </c>
      <c r="BG282" s="202"/>
      <c r="BH282" s="202"/>
      <c r="BI282" s="202"/>
      <c r="BJ282" s="202">
        <v>20</v>
      </c>
      <c r="BK282" s="202">
        <v>7021</v>
      </c>
      <c r="BL282" s="202">
        <v>4588</v>
      </c>
      <c r="BM282" s="202">
        <v>20</v>
      </c>
      <c r="BN282" s="202">
        <v>2299</v>
      </c>
      <c r="BO282" s="202">
        <v>4604</v>
      </c>
      <c r="BP282" s="202">
        <v>20</v>
      </c>
      <c r="BQ282" s="202">
        <v>5600</v>
      </c>
      <c r="BR282" s="203">
        <v>4609</v>
      </c>
      <c r="BS282" s="202">
        <v>20</v>
      </c>
      <c r="BT282" s="202">
        <v>5393</v>
      </c>
      <c r="BU282" s="202">
        <v>4643</v>
      </c>
      <c r="BV282" s="202">
        <v>20</v>
      </c>
      <c r="BW282" s="202">
        <v>3952</v>
      </c>
      <c r="BX282" s="202">
        <v>4648</v>
      </c>
      <c r="BY282" s="202">
        <v>20</v>
      </c>
      <c r="BZ282" s="202">
        <v>2949</v>
      </c>
      <c r="CA282" s="202">
        <v>4414</v>
      </c>
      <c r="CB282" s="202"/>
      <c r="CC282" s="202"/>
      <c r="CD282" s="202"/>
      <c r="CE282" s="202">
        <v>20</v>
      </c>
      <c r="CF282" s="202">
        <v>5094</v>
      </c>
      <c r="CG282" s="202">
        <v>4444</v>
      </c>
      <c r="CH282" s="202">
        <v>20</v>
      </c>
      <c r="CI282" s="202">
        <v>5600</v>
      </c>
      <c r="CJ282" s="202">
        <v>4646</v>
      </c>
      <c r="CK282" s="202">
        <v>20</v>
      </c>
      <c r="CL282" s="202">
        <v>4208</v>
      </c>
      <c r="CM282" s="202">
        <v>4624</v>
      </c>
      <c r="CN282" s="202">
        <v>21</v>
      </c>
      <c r="CO282" s="202">
        <v>5600</v>
      </c>
      <c r="CP282" s="202">
        <v>4896</v>
      </c>
      <c r="CQ282" s="204">
        <v>21</v>
      </c>
      <c r="CR282" s="202">
        <v>4000</v>
      </c>
      <c r="CS282" s="204">
        <v>4882</v>
      </c>
      <c r="CT282" s="202">
        <v>22</v>
      </c>
      <c r="CU282" s="202">
        <v>4601</v>
      </c>
      <c r="CV282" s="202">
        <v>4797</v>
      </c>
      <c r="CW282" s="202"/>
      <c r="CX282" s="202"/>
      <c r="CY282" s="202"/>
      <c r="CZ282" s="202">
        <v>22</v>
      </c>
      <c r="DA282" s="202">
        <v>2053</v>
      </c>
      <c r="DB282" s="202">
        <v>4906</v>
      </c>
      <c r="DC282" s="202">
        <v>22</v>
      </c>
      <c r="DD282" s="202">
        <v>8641</v>
      </c>
      <c r="DE282" s="202">
        <v>4676</v>
      </c>
      <c r="DF282" s="202">
        <v>24</v>
      </c>
      <c r="DG282" s="202">
        <v>3316</v>
      </c>
      <c r="DH282" s="202">
        <v>5005</v>
      </c>
      <c r="DI282" s="202">
        <v>26</v>
      </c>
      <c r="DJ282" s="202">
        <v>5635</v>
      </c>
      <c r="DK282" s="202">
        <v>5375</v>
      </c>
      <c r="DL282" s="202">
        <v>25</v>
      </c>
      <c r="DM282" s="202">
        <v>4641</v>
      </c>
      <c r="DN282" s="202">
        <v>5584</v>
      </c>
      <c r="DO282" s="202">
        <v>26</v>
      </c>
      <c r="DP282" s="202">
        <v>3913</v>
      </c>
      <c r="DQ282" s="202">
        <v>5108</v>
      </c>
    </row>
    <row r="283" spans="1:123" s="16" customFormat="1" ht="15" customHeight="1">
      <c r="A283" s="90" t="s">
        <v>142</v>
      </c>
      <c r="B283" s="42"/>
      <c r="C283" s="42"/>
      <c r="D283" s="42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  <c r="AB283" s="145"/>
      <c r="AC283" s="145"/>
      <c r="AD283" s="145"/>
      <c r="AE283" s="145"/>
      <c r="AF283" s="97"/>
      <c r="AG283" s="97"/>
      <c r="AH283" s="97"/>
      <c r="AI283" s="98">
        <v>3</v>
      </c>
      <c r="AJ283" s="98"/>
      <c r="AK283" s="98"/>
      <c r="AL283" s="95"/>
      <c r="AM283" s="100"/>
      <c r="AN283" s="100"/>
      <c r="AO283" s="101">
        <v>6</v>
      </c>
      <c r="AP283" s="101"/>
      <c r="AQ283" s="101">
        <v>1025</v>
      </c>
      <c r="AR283" s="102">
        <v>6</v>
      </c>
      <c r="AS283" s="102"/>
      <c r="AT283" s="102">
        <v>1478</v>
      </c>
      <c r="AU283" s="166">
        <v>7</v>
      </c>
      <c r="AV283" s="166">
        <v>1524</v>
      </c>
      <c r="AW283" s="166">
        <v>1665</v>
      </c>
      <c r="AX283" s="104">
        <v>7</v>
      </c>
      <c r="AY283" s="104">
        <v>702</v>
      </c>
      <c r="AZ283" s="104">
        <v>1717</v>
      </c>
      <c r="BA283" s="105">
        <v>8</v>
      </c>
      <c r="BB283" s="105"/>
      <c r="BC283" s="105">
        <v>1689</v>
      </c>
      <c r="BD283" s="172">
        <v>8</v>
      </c>
      <c r="BE283" s="172">
        <v>692</v>
      </c>
      <c r="BF283" s="172">
        <v>1824</v>
      </c>
      <c r="BG283" s="108"/>
      <c r="BH283" s="108"/>
      <c r="BI283" s="108"/>
      <c r="BJ283" s="110">
        <v>8</v>
      </c>
      <c r="BK283" s="110"/>
      <c r="BL283" s="110">
        <v>1938</v>
      </c>
      <c r="BM283" s="112">
        <v>8</v>
      </c>
      <c r="BN283" s="112"/>
      <c r="BO283" s="112">
        <v>1941</v>
      </c>
      <c r="BP283" s="52">
        <v>7</v>
      </c>
      <c r="BQ283" s="52">
        <f>1391+4000</f>
        <v>5391</v>
      </c>
      <c r="BR283" s="52">
        <f>1698+4</f>
        <v>1702</v>
      </c>
      <c r="BS283" s="54">
        <v>7</v>
      </c>
      <c r="BT283" s="54"/>
      <c r="BU283" s="54">
        <v>1695</v>
      </c>
      <c r="BV283" s="55">
        <v>8</v>
      </c>
      <c r="BW283" s="55">
        <v>4000</v>
      </c>
      <c r="BX283" s="55">
        <v>1835</v>
      </c>
      <c r="BY283" s="55">
        <v>9</v>
      </c>
      <c r="BZ283" s="55">
        <v>2685</v>
      </c>
      <c r="CA283" s="55">
        <v>2016</v>
      </c>
      <c r="CB283" s="92"/>
      <c r="CC283" s="92"/>
      <c r="CD283" s="92"/>
      <c r="CE283" s="93">
        <v>9</v>
      </c>
      <c r="CF283" s="93">
        <v>1892</v>
      </c>
      <c r="CG283" s="93">
        <v>2139</v>
      </c>
      <c r="CH283" s="57">
        <v>12</v>
      </c>
      <c r="CI283" s="57">
        <v>2000</v>
      </c>
      <c r="CJ283" s="57">
        <v>2634</v>
      </c>
      <c r="CK283" s="58">
        <v>13</v>
      </c>
      <c r="CL283" s="58"/>
      <c r="CM283" s="58">
        <v>3068</v>
      </c>
      <c r="CN283" s="60">
        <v>13</v>
      </c>
      <c r="CO283" s="60"/>
      <c r="CP283" s="60">
        <v>3073</v>
      </c>
      <c r="CQ283" s="150">
        <v>13</v>
      </c>
      <c r="CR283" s="150">
        <v>2000</v>
      </c>
      <c r="CS283" s="150">
        <v>3052</v>
      </c>
      <c r="CT283" s="62">
        <v>13</v>
      </c>
      <c r="CU283" s="62"/>
      <c r="CV283" s="62">
        <v>2851</v>
      </c>
      <c r="CW283" s="95"/>
      <c r="CX283" s="95"/>
      <c r="CY283" s="95"/>
      <c r="CZ283" s="95">
        <v>13</v>
      </c>
      <c r="DA283" s="95">
        <v>3488</v>
      </c>
      <c r="DB283" s="95">
        <v>3066</v>
      </c>
      <c r="DC283" s="95">
        <v>14</v>
      </c>
      <c r="DD283" s="95">
        <v>5882</v>
      </c>
      <c r="DE283" s="95">
        <v>3035</v>
      </c>
      <c r="DF283" s="42">
        <v>14</v>
      </c>
      <c r="DG283" s="42">
        <v>7491</v>
      </c>
      <c r="DH283" s="42">
        <v>3270</v>
      </c>
      <c r="DI283" s="42">
        <v>14</v>
      </c>
      <c r="DJ283" s="42">
        <v>618</v>
      </c>
      <c r="DK283" s="42">
        <v>3274</v>
      </c>
      <c r="DL283" s="42">
        <v>14</v>
      </c>
      <c r="DM283" s="42">
        <v>6000</v>
      </c>
      <c r="DN283" s="42">
        <v>3278</v>
      </c>
      <c r="DO283" s="42">
        <v>14</v>
      </c>
      <c r="DP283" s="42">
        <v>1034</v>
      </c>
      <c r="DQ283" s="42">
        <v>2964</v>
      </c>
    </row>
    <row r="284" spans="1:123" s="16" customFormat="1" ht="15" customHeight="1">
      <c r="A284" s="90" t="s">
        <v>154</v>
      </c>
      <c r="B284" s="42"/>
      <c r="C284" s="42"/>
      <c r="D284" s="42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  <c r="AB284" s="145"/>
      <c r="AC284" s="145"/>
      <c r="AD284" s="145"/>
      <c r="AE284" s="145"/>
      <c r="AF284" s="97">
        <v>1</v>
      </c>
      <c r="AG284" s="97"/>
      <c r="AH284" s="97">
        <v>272</v>
      </c>
      <c r="AI284" s="98">
        <v>1</v>
      </c>
      <c r="AJ284" s="98"/>
      <c r="AK284" s="98">
        <v>236</v>
      </c>
      <c r="AL284" s="95"/>
      <c r="AM284" s="40"/>
      <c r="AN284" s="40"/>
      <c r="AO284" s="101">
        <v>3</v>
      </c>
      <c r="AP284" s="101">
        <v>1425</v>
      </c>
      <c r="AQ284" s="101">
        <v>748</v>
      </c>
      <c r="AR284" s="165">
        <v>3</v>
      </c>
      <c r="AS284" s="165"/>
      <c r="AT284" s="165">
        <v>853</v>
      </c>
      <c r="AU284" s="166">
        <v>3</v>
      </c>
      <c r="AV284" s="166">
        <v>734</v>
      </c>
      <c r="AW284" s="166">
        <v>868</v>
      </c>
      <c r="AX284" s="104">
        <v>3</v>
      </c>
      <c r="AY284" s="104"/>
      <c r="AZ284" s="104">
        <v>879</v>
      </c>
      <c r="BA284" s="105">
        <v>3</v>
      </c>
      <c r="BB284" s="105">
        <v>1144</v>
      </c>
      <c r="BC284" s="105">
        <v>863</v>
      </c>
      <c r="BD284" s="172">
        <v>3</v>
      </c>
      <c r="BE284" s="172">
        <v>1500</v>
      </c>
      <c r="BF284" s="172">
        <v>847</v>
      </c>
      <c r="BG284" s="108"/>
      <c r="BH284" s="108"/>
      <c r="BI284" s="108"/>
      <c r="BJ284" s="110">
        <v>4</v>
      </c>
      <c r="BK284" s="110"/>
      <c r="BL284" s="110">
        <v>1071</v>
      </c>
      <c r="BM284" s="175">
        <v>4</v>
      </c>
      <c r="BN284" s="175">
        <v>1959</v>
      </c>
      <c r="BO284" s="175">
        <v>1041</v>
      </c>
      <c r="BP284" s="52">
        <v>3</v>
      </c>
      <c r="BQ284" s="52">
        <v>606</v>
      </c>
      <c r="BR284" s="52">
        <v>843</v>
      </c>
      <c r="BS284" s="54">
        <v>4</v>
      </c>
      <c r="BT284" s="54">
        <v>1500</v>
      </c>
      <c r="BU284" s="54">
        <v>1098</v>
      </c>
      <c r="BV284" s="55">
        <v>4</v>
      </c>
      <c r="BW284" s="55"/>
      <c r="BX284" s="55">
        <v>1133</v>
      </c>
      <c r="BY284" s="55">
        <v>4</v>
      </c>
      <c r="BZ284" s="55"/>
      <c r="CA284" s="55">
        <v>1056</v>
      </c>
      <c r="CB284" s="124"/>
      <c r="CC284" s="124"/>
      <c r="CD284" s="124"/>
      <c r="CE284" s="178">
        <v>4</v>
      </c>
      <c r="CF284" s="178">
        <v>1500</v>
      </c>
      <c r="CG284" s="178">
        <v>1126</v>
      </c>
      <c r="CH284" s="57">
        <v>6</v>
      </c>
      <c r="CI284" s="57">
        <v>2636</v>
      </c>
      <c r="CJ284" s="57">
        <v>1641</v>
      </c>
      <c r="CK284" s="58">
        <v>6</v>
      </c>
      <c r="CL284" s="58"/>
      <c r="CM284" s="58">
        <v>1658</v>
      </c>
      <c r="CN284" s="60">
        <v>6</v>
      </c>
      <c r="CO284" s="60">
        <v>1500</v>
      </c>
      <c r="CP284" s="60">
        <v>1637</v>
      </c>
      <c r="CQ284" s="150">
        <v>6</v>
      </c>
      <c r="CR284" s="150">
        <v>2169</v>
      </c>
      <c r="CS284" s="150">
        <v>1613</v>
      </c>
      <c r="CT284" s="62">
        <v>6</v>
      </c>
      <c r="CU284" s="62">
        <v>562</v>
      </c>
      <c r="CV284" s="62">
        <v>1516</v>
      </c>
      <c r="CW284" s="95"/>
      <c r="CX284" s="95"/>
      <c r="CY284" s="95"/>
      <c r="CZ284" s="95">
        <v>7</v>
      </c>
      <c r="DA284" s="95">
        <v>3453</v>
      </c>
      <c r="DB284" s="95">
        <v>1791</v>
      </c>
      <c r="DC284" s="95">
        <v>8</v>
      </c>
      <c r="DD284" s="95">
        <v>1500</v>
      </c>
      <c r="DE284" s="95">
        <v>2081</v>
      </c>
      <c r="DF284" s="42">
        <v>8</v>
      </c>
      <c r="DG284" s="42">
        <v>1045</v>
      </c>
      <c r="DH284" s="42">
        <v>2111</v>
      </c>
      <c r="DI284" s="42">
        <v>9</v>
      </c>
      <c r="DJ284" s="200">
        <v>379</v>
      </c>
      <c r="DK284" s="42">
        <v>2300</v>
      </c>
      <c r="DL284" s="42">
        <v>8</v>
      </c>
      <c r="DM284" s="42">
        <v>3572</v>
      </c>
      <c r="DN284" s="42">
        <v>2083</v>
      </c>
      <c r="DO284" s="42">
        <v>8</v>
      </c>
      <c r="DP284" s="42"/>
      <c r="DQ284" s="42">
        <v>1888</v>
      </c>
    </row>
    <row r="285" spans="1:123" s="16" customFormat="1" ht="15" customHeight="1">
      <c r="A285" s="90" t="s">
        <v>155</v>
      </c>
      <c r="B285" s="42"/>
      <c r="C285" s="42"/>
      <c r="D285" s="42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97"/>
      <c r="AG285" s="97"/>
      <c r="AH285" s="97"/>
      <c r="AI285" s="98">
        <v>5</v>
      </c>
      <c r="AJ285" s="98"/>
      <c r="AK285" s="98">
        <v>1212</v>
      </c>
      <c r="AL285" s="95"/>
      <c r="AM285" s="40"/>
      <c r="AN285" s="40"/>
      <c r="AO285" s="101">
        <v>5</v>
      </c>
      <c r="AP285" s="101">
        <v>1200</v>
      </c>
      <c r="AQ285" s="101">
        <v>1675</v>
      </c>
      <c r="AR285" s="165">
        <v>5</v>
      </c>
      <c r="AS285" s="165">
        <v>1810</v>
      </c>
      <c r="AT285" s="165">
        <v>1701</v>
      </c>
      <c r="AU285" s="166">
        <v>5</v>
      </c>
      <c r="AV285" s="166">
        <v>2410</v>
      </c>
      <c r="AW285" s="166">
        <v>1707</v>
      </c>
      <c r="AX285" s="104">
        <v>5</v>
      </c>
      <c r="AY285" s="104">
        <v>600</v>
      </c>
      <c r="AZ285" s="104">
        <v>1762</v>
      </c>
      <c r="BA285" s="105">
        <v>5</v>
      </c>
      <c r="BB285" s="105">
        <v>3000</v>
      </c>
      <c r="BC285" s="105">
        <v>1754</v>
      </c>
      <c r="BD285" s="172">
        <v>5</v>
      </c>
      <c r="BE285" s="172">
        <v>462</v>
      </c>
      <c r="BF285" s="172">
        <v>1681</v>
      </c>
      <c r="BG285" s="108"/>
      <c r="BH285" s="108"/>
      <c r="BI285" s="108"/>
      <c r="BJ285" s="110">
        <v>4</v>
      </c>
      <c r="BK285" s="110">
        <v>2400</v>
      </c>
      <c r="BL285" s="110">
        <v>1396</v>
      </c>
      <c r="BM285" s="175">
        <v>4</v>
      </c>
      <c r="BN285" s="175">
        <v>608</v>
      </c>
      <c r="BO285" s="175">
        <v>1356</v>
      </c>
      <c r="BP285" s="52">
        <v>2</v>
      </c>
      <c r="BQ285" s="52">
        <v>1893</v>
      </c>
      <c r="BR285" s="52">
        <v>139</v>
      </c>
      <c r="BS285" s="54"/>
      <c r="BT285" s="54"/>
      <c r="BU285" s="54"/>
      <c r="BV285" s="55"/>
      <c r="BW285" s="55"/>
      <c r="BX285" s="55"/>
      <c r="BY285" s="55"/>
      <c r="BZ285" s="55"/>
      <c r="CA285" s="55"/>
      <c r="CB285" s="124"/>
      <c r="CC285" s="124"/>
      <c r="CD285" s="124"/>
      <c r="CE285" s="178"/>
      <c r="CF285" s="178"/>
      <c r="CG285" s="178"/>
      <c r="CH285" s="57"/>
      <c r="CI285" s="57"/>
      <c r="CJ285" s="57"/>
      <c r="CK285" s="58">
        <v>2</v>
      </c>
      <c r="CL285" s="58"/>
      <c r="CM285" s="58"/>
      <c r="CN285" s="60">
        <v>3</v>
      </c>
      <c r="CO285" s="60"/>
      <c r="CP285" s="60">
        <v>678</v>
      </c>
      <c r="CQ285" s="150">
        <v>3</v>
      </c>
      <c r="CR285" s="150">
        <v>1008</v>
      </c>
      <c r="CS285" s="150">
        <v>1046</v>
      </c>
      <c r="CT285" s="62">
        <v>3</v>
      </c>
      <c r="CU285" s="62">
        <v>811</v>
      </c>
      <c r="CV285" s="62">
        <v>960</v>
      </c>
      <c r="CW285" s="95"/>
      <c r="CX285" s="95"/>
      <c r="CY285" s="95"/>
      <c r="CZ285" s="95">
        <v>3</v>
      </c>
      <c r="DA285" s="95">
        <v>1200</v>
      </c>
      <c r="DB285" s="95">
        <v>1052</v>
      </c>
      <c r="DC285" s="95">
        <v>4</v>
      </c>
      <c r="DD285" s="95">
        <v>959</v>
      </c>
      <c r="DE285" s="95">
        <v>1200</v>
      </c>
      <c r="DF285" s="42">
        <v>4</v>
      </c>
      <c r="DG285" s="42">
        <v>991</v>
      </c>
      <c r="DH285" s="42">
        <v>1312</v>
      </c>
      <c r="DI285" s="42">
        <v>4</v>
      </c>
      <c r="DJ285" s="42">
        <v>1159</v>
      </c>
      <c r="DK285" s="42">
        <v>1358</v>
      </c>
      <c r="DL285" s="42">
        <v>4</v>
      </c>
      <c r="DM285" s="42">
        <v>2238</v>
      </c>
      <c r="DN285" s="42">
        <v>1449</v>
      </c>
      <c r="DO285" s="42">
        <v>4</v>
      </c>
      <c r="DP285" s="42">
        <v>1163</v>
      </c>
      <c r="DQ285" s="42">
        <v>1148</v>
      </c>
    </row>
    <row r="286" spans="1:123" s="16" customFormat="1" ht="15" customHeight="1">
      <c r="A286" s="90" t="s">
        <v>156</v>
      </c>
      <c r="B286" s="42"/>
      <c r="C286" s="42"/>
      <c r="D286" s="42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145"/>
      <c r="AC286" s="145"/>
      <c r="AD286" s="145"/>
      <c r="AE286" s="145"/>
      <c r="AF286" s="97"/>
      <c r="AG286" s="97"/>
      <c r="AH286" s="97"/>
      <c r="AI286" s="98"/>
      <c r="AJ286" s="98"/>
      <c r="AK286" s="98"/>
      <c r="AL286" s="95"/>
      <c r="AM286" s="40"/>
      <c r="AN286" s="40"/>
      <c r="AO286" s="101"/>
      <c r="AP286" s="101"/>
      <c r="AQ286" s="101"/>
      <c r="AR286" s="165"/>
      <c r="AS286" s="165"/>
      <c r="AT286" s="165"/>
      <c r="AU286" s="166"/>
      <c r="AV286" s="166"/>
      <c r="AW286" s="166"/>
      <c r="AX286" s="104"/>
      <c r="AY286" s="104"/>
      <c r="AZ286" s="104"/>
      <c r="BA286" s="105"/>
      <c r="BB286" s="105"/>
      <c r="BC286" s="105"/>
      <c r="BD286" s="172"/>
      <c r="BE286" s="172"/>
      <c r="BF286" s="172"/>
      <c r="BG286" s="108"/>
      <c r="BH286" s="108"/>
      <c r="BI286" s="108"/>
      <c r="BJ286" s="110"/>
      <c r="BK286" s="110"/>
      <c r="BL286" s="110"/>
      <c r="BM286" s="175"/>
      <c r="BN286" s="175"/>
      <c r="BO286" s="175"/>
      <c r="BP286" s="52"/>
      <c r="BQ286" s="52"/>
      <c r="BR286" s="52"/>
      <c r="BS286" s="54"/>
      <c r="BT286" s="54"/>
      <c r="BU286" s="54"/>
      <c r="BV286" s="55"/>
      <c r="BW286" s="55"/>
      <c r="BX286" s="55"/>
      <c r="BY286" s="55"/>
      <c r="BZ286" s="55"/>
      <c r="CA286" s="55"/>
      <c r="CB286" s="124"/>
      <c r="CC286" s="124"/>
      <c r="CD286" s="124"/>
      <c r="CE286" s="178"/>
      <c r="CF286" s="178"/>
      <c r="CG286" s="178"/>
      <c r="CH286" s="57"/>
      <c r="CI286" s="57"/>
      <c r="CJ286" s="57"/>
      <c r="CK286" s="58"/>
      <c r="CL286" s="58"/>
      <c r="CM286" s="58"/>
      <c r="CN286" s="60"/>
      <c r="CO286" s="60"/>
      <c r="CP286" s="60"/>
      <c r="CQ286" s="150"/>
      <c r="CR286" s="150"/>
      <c r="CS286" s="150"/>
      <c r="CT286" s="62"/>
      <c r="CU286" s="62"/>
      <c r="CV286" s="62"/>
      <c r="CW286" s="95"/>
      <c r="CX286" s="95"/>
      <c r="CY286" s="95"/>
      <c r="CZ286" s="95">
        <v>2</v>
      </c>
      <c r="DA286" s="95"/>
      <c r="DB286" s="95"/>
      <c r="DC286" s="95">
        <v>3</v>
      </c>
      <c r="DD286" s="95"/>
      <c r="DE286" s="95">
        <v>603</v>
      </c>
      <c r="DF286" s="42">
        <v>3</v>
      </c>
      <c r="DG286" s="42"/>
      <c r="DH286" s="42">
        <v>855</v>
      </c>
      <c r="DI286" s="42">
        <v>3</v>
      </c>
      <c r="DJ286" s="42">
        <v>1770</v>
      </c>
      <c r="DK286" s="42">
        <v>861</v>
      </c>
      <c r="DL286" s="42">
        <v>3</v>
      </c>
      <c r="DM286" s="42"/>
      <c r="DN286" s="42">
        <v>855</v>
      </c>
      <c r="DO286" s="42">
        <v>3</v>
      </c>
      <c r="DP286" s="42">
        <v>1800</v>
      </c>
      <c r="DQ286" s="42">
        <v>778</v>
      </c>
    </row>
    <row r="287" spans="1:123" s="16" customFormat="1" ht="15" customHeight="1">
      <c r="A287" s="90" t="s">
        <v>157</v>
      </c>
      <c r="B287" s="42"/>
      <c r="C287" s="42"/>
      <c r="D287" s="42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  <c r="AB287" s="145"/>
      <c r="AC287" s="145"/>
      <c r="AD287" s="145"/>
      <c r="AE287" s="145"/>
      <c r="AF287" s="97"/>
      <c r="AG287" s="97"/>
      <c r="AH287" s="97"/>
      <c r="AI287" s="98"/>
      <c r="AJ287" s="98"/>
      <c r="AK287" s="98"/>
      <c r="AL287" s="95"/>
      <c r="AM287" s="40"/>
      <c r="AN287" s="40"/>
      <c r="AO287" s="101"/>
      <c r="AP287" s="101"/>
      <c r="AQ287" s="101"/>
      <c r="AR287" s="165"/>
      <c r="AS287" s="165"/>
      <c r="AT287" s="165"/>
      <c r="AU287" s="166"/>
      <c r="AV287" s="166"/>
      <c r="AW287" s="166"/>
      <c r="AX287" s="104"/>
      <c r="AY287" s="104"/>
      <c r="AZ287" s="104"/>
      <c r="BA287" s="105"/>
      <c r="BB287" s="105"/>
      <c r="BC287" s="105"/>
      <c r="BD287" s="172"/>
      <c r="BE287" s="172"/>
      <c r="BF287" s="172"/>
      <c r="BG287" s="108"/>
      <c r="BH287" s="108"/>
      <c r="BI287" s="108"/>
      <c r="BJ287" s="110"/>
      <c r="BK287" s="110"/>
      <c r="BL287" s="110"/>
      <c r="BM287" s="175"/>
      <c r="BN287" s="175"/>
      <c r="BO287" s="175"/>
      <c r="BP287" s="52"/>
      <c r="BQ287" s="52"/>
      <c r="BR287" s="52"/>
      <c r="BS287" s="54"/>
      <c r="BT287" s="54"/>
      <c r="BU287" s="54"/>
      <c r="BV287" s="55"/>
      <c r="BW287" s="55"/>
      <c r="BX287" s="55"/>
      <c r="BY287" s="55"/>
      <c r="BZ287" s="55"/>
      <c r="CA287" s="55"/>
      <c r="CB287" s="124"/>
      <c r="CC287" s="124"/>
      <c r="CD287" s="124"/>
      <c r="CE287" s="178"/>
      <c r="CF287" s="178"/>
      <c r="CG287" s="178"/>
      <c r="CH287" s="57"/>
      <c r="CI287" s="57"/>
      <c r="CJ287" s="57"/>
      <c r="CK287" s="58"/>
      <c r="CL287" s="58"/>
      <c r="CM287" s="58"/>
      <c r="CN287" s="60"/>
      <c r="CO287" s="60"/>
      <c r="CP287" s="60"/>
      <c r="CQ287" s="150"/>
      <c r="CR287" s="150"/>
      <c r="CS287" s="150"/>
      <c r="CT287" s="62"/>
      <c r="CU287" s="62"/>
      <c r="CV287" s="62"/>
      <c r="CW287" s="95"/>
      <c r="CX287" s="95"/>
      <c r="CY287" s="95"/>
      <c r="CZ287" s="95"/>
      <c r="DA287" s="95"/>
      <c r="DB287" s="95"/>
      <c r="DC287" s="95">
        <v>2</v>
      </c>
      <c r="DD287" s="95"/>
      <c r="DE287" s="95"/>
      <c r="DF287" s="42">
        <v>2</v>
      </c>
      <c r="DG287" s="42"/>
      <c r="DH287" s="42">
        <v>259</v>
      </c>
      <c r="DI287" s="42">
        <v>2</v>
      </c>
      <c r="DJ287" s="42"/>
      <c r="DK287" s="42">
        <v>671</v>
      </c>
      <c r="DL287" s="42">
        <v>2</v>
      </c>
      <c r="DM287" s="42">
        <v>1016</v>
      </c>
      <c r="DN287" s="42">
        <v>770</v>
      </c>
      <c r="DO287" s="42">
        <v>2</v>
      </c>
      <c r="DP287" s="42">
        <v>988</v>
      </c>
      <c r="DQ287" s="42">
        <v>690</v>
      </c>
    </row>
    <row r="288" spans="1:123" s="16" customFormat="1" ht="15" customHeight="1">
      <c r="A288" s="90" t="s">
        <v>158</v>
      </c>
      <c r="B288" s="42"/>
      <c r="C288" s="42"/>
      <c r="D288" s="42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  <c r="AB288" s="145"/>
      <c r="AC288" s="145"/>
      <c r="AD288" s="145"/>
      <c r="AE288" s="145"/>
      <c r="AF288" s="97"/>
      <c r="AG288" s="97"/>
      <c r="AH288" s="97"/>
      <c r="AI288" s="98"/>
      <c r="AJ288" s="98"/>
      <c r="AK288" s="98"/>
      <c r="AL288" s="95"/>
      <c r="AM288" s="40"/>
      <c r="AN288" s="40"/>
      <c r="AO288" s="101"/>
      <c r="AP288" s="101"/>
      <c r="AQ288" s="101"/>
      <c r="AR288" s="165"/>
      <c r="AS288" s="165"/>
      <c r="AT288" s="165"/>
      <c r="AU288" s="166"/>
      <c r="AV288" s="166"/>
      <c r="AW288" s="166"/>
      <c r="AX288" s="104"/>
      <c r="AY288" s="104"/>
      <c r="AZ288" s="104"/>
      <c r="BA288" s="105"/>
      <c r="BB288" s="105"/>
      <c r="BC288" s="105"/>
      <c r="BD288" s="172"/>
      <c r="BE288" s="172"/>
      <c r="BF288" s="172"/>
      <c r="BG288" s="108"/>
      <c r="BH288" s="108"/>
      <c r="BI288" s="108"/>
      <c r="BJ288" s="110"/>
      <c r="BK288" s="110"/>
      <c r="BL288" s="110"/>
      <c r="BM288" s="175"/>
      <c r="BN288" s="175"/>
      <c r="BO288" s="175"/>
      <c r="BP288" s="52"/>
      <c r="BQ288" s="52"/>
      <c r="BR288" s="52"/>
      <c r="BS288" s="54"/>
      <c r="BT288" s="54"/>
      <c r="BU288" s="54"/>
      <c r="BV288" s="55"/>
      <c r="BW288" s="55"/>
      <c r="BX288" s="55"/>
      <c r="BY288" s="55"/>
      <c r="BZ288" s="55"/>
      <c r="CA288" s="55"/>
      <c r="CB288" s="124"/>
      <c r="CC288" s="124"/>
      <c r="CD288" s="124"/>
      <c r="CE288" s="178"/>
      <c r="CF288" s="178"/>
      <c r="CG288" s="178"/>
      <c r="CH288" s="57"/>
      <c r="CI288" s="57"/>
      <c r="CJ288" s="57"/>
      <c r="CK288" s="58"/>
      <c r="CL288" s="58"/>
      <c r="CM288" s="58"/>
      <c r="CN288" s="60"/>
      <c r="CO288" s="60"/>
      <c r="CP288" s="60"/>
      <c r="CQ288" s="150">
        <v>4</v>
      </c>
      <c r="CR288" s="150">
        <v>233</v>
      </c>
      <c r="CS288" s="150">
        <v>1018</v>
      </c>
      <c r="CT288" s="62">
        <v>4</v>
      </c>
      <c r="CU288" s="62">
        <v>574</v>
      </c>
      <c r="CV288" s="62">
        <v>1075</v>
      </c>
      <c r="CW288" s="95"/>
      <c r="CX288" s="95"/>
      <c r="CY288" s="95"/>
      <c r="CZ288" s="95">
        <v>4</v>
      </c>
      <c r="DA288" s="95">
        <v>938</v>
      </c>
      <c r="DB288" s="95">
        <v>1115</v>
      </c>
      <c r="DC288" s="95">
        <v>4</v>
      </c>
      <c r="DD288" s="95"/>
      <c r="DE288" s="95">
        <v>1018</v>
      </c>
      <c r="DF288" s="42">
        <v>4</v>
      </c>
      <c r="DG288" s="42"/>
      <c r="DH288" s="42">
        <v>1115</v>
      </c>
      <c r="DI288" s="42">
        <v>4</v>
      </c>
      <c r="DJ288" s="42">
        <v>2519</v>
      </c>
      <c r="DK288" s="42">
        <v>1110</v>
      </c>
      <c r="DL288" s="42">
        <v>5</v>
      </c>
      <c r="DM288" s="42"/>
      <c r="DN288" s="42">
        <v>1398</v>
      </c>
      <c r="DO288" s="42">
        <v>5</v>
      </c>
      <c r="DP288" s="42">
        <v>2581</v>
      </c>
      <c r="DQ288" s="42">
        <v>1263</v>
      </c>
    </row>
    <row r="289" spans="1:121" s="16" customFormat="1" ht="15" customHeight="1">
      <c r="A289" s="90" t="s">
        <v>159</v>
      </c>
      <c r="B289" s="42"/>
      <c r="C289" s="42"/>
      <c r="D289" s="42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145"/>
      <c r="AC289" s="145"/>
      <c r="AD289" s="145"/>
      <c r="AE289" s="145"/>
      <c r="AF289" s="97"/>
      <c r="AG289" s="97"/>
      <c r="AH289" s="97"/>
      <c r="AI289" s="98"/>
      <c r="AJ289" s="98"/>
      <c r="AK289" s="98"/>
      <c r="AL289" s="95"/>
      <c r="AM289" s="40"/>
      <c r="AN289" s="40"/>
      <c r="AO289" s="101"/>
      <c r="AP289" s="101"/>
      <c r="AQ289" s="101"/>
      <c r="AR289" s="165"/>
      <c r="AS289" s="165"/>
      <c r="AT289" s="165"/>
      <c r="AU289" s="166"/>
      <c r="AV289" s="166"/>
      <c r="AW289" s="166"/>
      <c r="AX289" s="104"/>
      <c r="AY289" s="104"/>
      <c r="AZ289" s="104"/>
      <c r="BA289" s="105"/>
      <c r="BB289" s="105"/>
      <c r="BC289" s="105"/>
      <c r="BD289" s="172"/>
      <c r="BE289" s="172"/>
      <c r="BF289" s="172"/>
      <c r="BG289" s="108"/>
      <c r="BH289" s="108"/>
      <c r="BI289" s="108"/>
      <c r="BJ289" s="110"/>
      <c r="BK289" s="110"/>
      <c r="BL289" s="110"/>
      <c r="BM289" s="175"/>
      <c r="BN289" s="175"/>
      <c r="BO289" s="175"/>
      <c r="BP289" s="52"/>
      <c r="BQ289" s="52"/>
      <c r="BR289" s="52"/>
      <c r="BS289" s="54">
        <v>1</v>
      </c>
      <c r="BT289" s="54"/>
      <c r="BU289" s="54">
        <v>280</v>
      </c>
      <c r="BV289" s="55">
        <v>1</v>
      </c>
      <c r="BW289" s="55">
        <v>300</v>
      </c>
      <c r="BX289" s="55">
        <v>20</v>
      </c>
      <c r="BY289" s="55">
        <v>1</v>
      </c>
      <c r="BZ289" s="55"/>
      <c r="CA289" s="55"/>
      <c r="CB289" s="124"/>
      <c r="CC289" s="124"/>
      <c r="CD289" s="124"/>
      <c r="CE289" s="178">
        <v>1</v>
      </c>
      <c r="CF289" s="178"/>
      <c r="CG289" s="178"/>
      <c r="CH289" s="57">
        <v>1</v>
      </c>
      <c r="CI289" s="57"/>
      <c r="CJ289" s="57"/>
      <c r="CK289" s="58">
        <v>1</v>
      </c>
      <c r="CL289" s="58"/>
      <c r="CM289" s="58"/>
      <c r="CN289" s="60">
        <v>1</v>
      </c>
      <c r="CO289" s="60"/>
      <c r="CP289" s="60"/>
      <c r="CQ289" s="150">
        <v>1</v>
      </c>
      <c r="CR289" s="150"/>
      <c r="CS289" s="150"/>
      <c r="CT289" s="62">
        <v>1</v>
      </c>
      <c r="CU289" s="62"/>
      <c r="CV289" s="62"/>
      <c r="CW289" s="95"/>
      <c r="CX289" s="95"/>
      <c r="CY289" s="95"/>
      <c r="CZ289" s="95">
        <v>1</v>
      </c>
      <c r="DA289" s="95"/>
      <c r="DB289" s="95"/>
      <c r="DC289" s="95">
        <v>1</v>
      </c>
      <c r="DD289" s="95"/>
      <c r="DE289" s="95"/>
      <c r="DF289" s="42">
        <v>1</v>
      </c>
      <c r="DG289" s="42"/>
      <c r="DH289" s="42"/>
      <c r="DI289" s="42">
        <v>1</v>
      </c>
      <c r="DJ289" s="42"/>
      <c r="DK289" s="42"/>
      <c r="DL289" s="42">
        <v>1</v>
      </c>
      <c r="DM289" s="42"/>
      <c r="DN289" s="42"/>
      <c r="DO289" s="42">
        <v>1</v>
      </c>
      <c r="DP289" s="42"/>
      <c r="DQ289" s="42"/>
    </row>
    <row r="290" spans="1:121" s="16" customFormat="1" ht="15" customHeight="1">
      <c r="A290" s="90" t="s">
        <v>160</v>
      </c>
      <c r="B290" s="42"/>
      <c r="C290" s="42"/>
      <c r="D290" s="42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  <c r="AC290" s="145"/>
      <c r="AD290" s="145"/>
      <c r="AE290" s="145"/>
      <c r="AF290" s="97">
        <v>1</v>
      </c>
      <c r="AG290" s="97"/>
      <c r="AH290" s="97"/>
      <c r="AI290" s="98">
        <v>1</v>
      </c>
      <c r="AJ290" s="98"/>
      <c r="AK290" s="98"/>
      <c r="AL290" s="95"/>
      <c r="AM290" s="40"/>
      <c r="AN290" s="40"/>
      <c r="AO290" s="101">
        <v>1</v>
      </c>
      <c r="AP290" s="101"/>
      <c r="AQ290" s="101"/>
      <c r="AR290" s="165">
        <v>1</v>
      </c>
      <c r="AS290" s="165"/>
      <c r="AT290" s="165"/>
      <c r="AU290" s="166">
        <v>1</v>
      </c>
      <c r="AV290" s="166"/>
      <c r="AW290" s="166"/>
      <c r="AX290" s="104">
        <v>1</v>
      </c>
      <c r="AY290" s="104"/>
      <c r="AZ290" s="104"/>
      <c r="BA290" s="105">
        <v>1</v>
      </c>
      <c r="BB290" s="105"/>
      <c r="BC290" s="105"/>
      <c r="BD290" s="172">
        <v>1</v>
      </c>
      <c r="BE290" s="172"/>
      <c r="BF290" s="172"/>
      <c r="BG290" s="108"/>
      <c r="BH290" s="108"/>
      <c r="BI290" s="108"/>
      <c r="BJ290" s="110">
        <v>1</v>
      </c>
      <c r="BK290" s="110"/>
      <c r="BL290" s="110"/>
      <c r="BM290" s="175">
        <v>1</v>
      </c>
      <c r="BN290" s="175"/>
      <c r="BO290" s="175"/>
      <c r="BP290" s="52">
        <v>1</v>
      </c>
      <c r="BQ290" s="52"/>
      <c r="BR290" s="52"/>
      <c r="BS290" s="54">
        <v>1</v>
      </c>
      <c r="BT290" s="54"/>
      <c r="BU290" s="54"/>
      <c r="BV290" s="55">
        <v>1</v>
      </c>
      <c r="BW290" s="55"/>
      <c r="BX290" s="55"/>
      <c r="BY290" s="55">
        <v>1</v>
      </c>
      <c r="BZ290" s="55"/>
      <c r="CA290" s="55"/>
      <c r="CB290" s="124"/>
      <c r="CC290" s="124"/>
      <c r="CD290" s="124"/>
      <c r="CE290" s="178">
        <v>1</v>
      </c>
      <c r="CF290" s="178"/>
      <c r="CG290" s="178"/>
      <c r="CH290" s="57">
        <v>1</v>
      </c>
      <c r="CI290" s="57"/>
      <c r="CJ290" s="57"/>
      <c r="CK290" s="58">
        <v>1</v>
      </c>
      <c r="CL290" s="58"/>
      <c r="CM290" s="58"/>
      <c r="CN290" s="60">
        <v>1</v>
      </c>
      <c r="CO290" s="60"/>
      <c r="CP290" s="60"/>
      <c r="CQ290" s="150">
        <v>1</v>
      </c>
      <c r="CR290" s="150"/>
      <c r="CS290" s="150"/>
      <c r="CT290" s="62">
        <v>1</v>
      </c>
      <c r="CU290" s="62"/>
      <c r="CV290" s="62"/>
      <c r="CW290" s="95"/>
      <c r="CX290" s="95"/>
      <c r="CY290" s="95"/>
      <c r="CZ290" s="95">
        <v>1</v>
      </c>
      <c r="DA290" s="95"/>
      <c r="DB290" s="95"/>
      <c r="DC290" s="95">
        <v>1</v>
      </c>
      <c r="DD290" s="95"/>
      <c r="DE290" s="95"/>
      <c r="DF290" s="42">
        <v>1</v>
      </c>
      <c r="DG290" s="42"/>
      <c r="DH290" s="42"/>
      <c r="DI290" s="42">
        <v>1</v>
      </c>
      <c r="DJ290" s="42"/>
      <c r="DK290" s="42"/>
      <c r="DL290" s="42">
        <v>1</v>
      </c>
      <c r="DM290" s="42"/>
      <c r="DN290" s="42"/>
      <c r="DO290" s="42">
        <v>1</v>
      </c>
      <c r="DP290" s="42"/>
      <c r="DQ290" s="42"/>
    </row>
    <row r="291" spans="1:121" s="16" customFormat="1" ht="15" customHeight="1">
      <c r="A291" s="90" t="s">
        <v>161</v>
      </c>
      <c r="B291" s="42"/>
      <c r="C291" s="42"/>
      <c r="D291" s="42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  <c r="AC291" s="145"/>
      <c r="AD291" s="145"/>
      <c r="AE291" s="145"/>
      <c r="AF291" s="97">
        <v>1</v>
      </c>
      <c r="AG291" s="97"/>
      <c r="AH291" s="97"/>
      <c r="AI291" s="98">
        <v>1</v>
      </c>
      <c r="AJ291" s="98"/>
      <c r="AK291" s="98"/>
      <c r="AL291" s="95"/>
      <c r="AM291" s="40"/>
      <c r="AN291" s="40"/>
      <c r="AO291" s="101">
        <v>1</v>
      </c>
      <c r="AP291" s="101"/>
      <c r="AQ291" s="101"/>
      <c r="AR291" s="165">
        <v>1</v>
      </c>
      <c r="AS291" s="165"/>
      <c r="AT291" s="165"/>
      <c r="AU291" s="166">
        <v>1</v>
      </c>
      <c r="AV291" s="166"/>
      <c r="AW291" s="166"/>
      <c r="AX291" s="104">
        <v>1</v>
      </c>
      <c r="AY291" s="104"/>
      <c r="AZ291" s="104"/>
      <c r="BA291" s="105">
        <v>1</v>
      </c>
      <c r="BB291" s="105"/>
      <c r="BC291" s="105"/>
      <c r="BD291" s="172">
        <v>1</v>
      </c>
      <c r="BE291" s="172"/>
      <c r="BF291" s="172"/>
      <c r="BG291" s="108"/>
      <c r="BH291" s="108"/>
      <c r="BI291" s="108"/>
      <c r="BJ291" s="110">
        <v>1</v>
      </c>
      <c r="BK291" s="110"/>
      <c r="BL291" s="110"/>
      <c r="BM291" s="175">
        <v>1</v>
      </c>
      <c r="BN291" s="175"/>
      <c r="BO291" s="175"/>
      <c r="BP291" s="52">
        <v>1</v>
      </c>
      <c r="BQ291" s="52"/>
      <c r="BR291" s="52"/>
      <c r="BS291" s="54">
        <v>1</v>
      </c>
      <c r="BT291" s="54"/>
      <c r="BU291" s="54"/>
      <c r="BV291" s="55">
        <v>1</v>
      </c>
      <c r="BW291" s="55"/>
      <c r="BX291" s="55"/>
      <c r="BY291" s="55">
        <v>1</v>
      </c>
      <c r="BZ291" s="55"/>
      <c r="CA291" s="55"/>
      <c r="CB291" s="124"/>
      <c r="CC291" s="124"/>
      <c r="CD291" s="124"/>
      <c r="CE291" s="178">
        <v>1</v>
      </c>
      <c r="CF291" s="178"/>
      <c r="CG291" s="178"/>
      <c r="CH291" s="57">
        <v>1</v>
      </c>
      <c r="CI291" s="57"/>
      <c r="CJ291" s="57"/>
      <c r="CK291" s="58">
        <v>1</v>
      </c>
      <c r="CL291" s="58"/>
      <c r="CM291" s="58"/>
      <c r="CN291" s="60">
        <v>1</v>
      </c>
      <c r="CO291" s="60"/>
      <c r="CP291" s="60"/>
      <c r="CQ291" s="150">
        <v>1</v>
      </c>
      <c r="CR291" s="150"/>
      <c r="CS291" s="150"/>
      <c r="CT291" s="62">
        <v>1</v>
      </c>
      <c r="CU291" s="62"/>
      <c r="CV291" s="62"/>
      <c r="CW291" s="95"/>
      <c r="CX291" s="95"/>
      <c r="CY291" s="95"/>
      <c r="CZ291" s="95">
        <v>1</v>
      </c>
      <c r="DA291" s="95"/>
      <c r="DB291" s="95"/>
      <c r="DC291" s="95">
        <v>1</v>
      </c>
      <c r="DD291" s="95"/>
      <c r="DE291" s="95"/>
      <c r="DF291" s="42">
        <v>1</v>
      </c>
      <c r="DG291" s="42"/>
      <c r="DH291" s="42"/>
      <c r="DI291" s="42">
        <v>1</v>
      </c>
      <c r="DJ291" s="42"/>
      <c r="DK291" s="42"/>
      <c r="DL291" s="42">
        <v>1</v>
      </c>
      <c r="DM291" s="42"/>
      <c r="DN291" s="42"/>
      <c r="DO291" s="42">
        <v>1</v>
      </c>
      <c r="DP291" s="42"/>
      <c r="DQ291" s="42"/>
    </row>
    <row r="292" spans="1:121" s="16" customFormat="1" ht="15" customHeight="1">
      <c r="A292" s="90" t="s">
        <v>162</v>
      </c>
      <c r="B292" s="42"/>
      <c r="C292" s="42"/>
      <c r="D292" s="42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  <c r="AB292" s="145"/>
      <c r="AC292" s="145"/>
      <c r="AD292" s="145"/>
      <c r="AE292" s="145"/>
      <c r="AF292" s="97">
        <v>1</v>
      </c>
      <c r="AG292" s="97"/>
      <c r="AH292" s="97"/>
      <c r="AI292" s="98">
        <v>1</v>
      </c>
      <c r="AJ292" s="98"/>
      <c r="AK292" s="98"/>
      <c r="AL292" s="95"/>
      <c r="AM292" s="40"/>
      <c r="AN292" s="40"/>
      <c r="AO292" s="101">
        <v>1</v>
      </c>
      <c r="AP292" s="101"/>
      <c r="AQ292" s="101"/>
      <c r="AR292" s="165">
        <v>1</v>
      </c>
      <c r="AS292" s="165"/>
      <c r="AT292" s="165"/>
      <c r="AU292" s="166">
        <v>1</v>
      </c>
      <c r="AV292" s="166"/>
      <c r="AW292" s="166"/>
      <c r="AX292" s="104">
        <v>1</v>
      </c>
      <c r="AY292" s="104"/>
      <c r="AZ292" s="104"/>
      <c r="BA292" s="105">
        <v>1</v>
      </c>
      <c r="BB292" s="105"/>
      <c r="BC292" s="105"/>
      <c r="BD292" s="172">
        <v>1</v>
      </c>
      <c r="BE292" s="172"/>
      <c r="BF292" s="172"/>
      <c r="BG292" s="108"/>
      <c r="BH292" s="108"/>
      <c r="BI292" s="108"/>
      <c r="BJ292" s="110">
        <v>1</v>
      </c>
      <c r="BK292" s="110"/>
      <c r="BL292" s="110"/>
      <c r="BM292" s="175">
        <v>1</v>
      </c>
      <c r="BN292" s="175"/>
      <c r="BO292" s="175"/>
      <c r="BP292" s="52">
        <v>1</v>
      </c>
      <c r="BQ292" s="52"/>
      <c r="BR292" s="52"/>
      <c r="BS292" s="54">
        <v>1</v>
      </c>
      <c r="BT292" s="54"/>
      <c r="BU292" s="54"/>
      <c r="BV292" s="55">
        <v>1</v>
      </c>
      <c r="BW292" s="55"/>
      <c r="BX292" s="55"/>
      <c r="BY292" s="55">
        <v>1</v>
      </c>
      <c r="BZ292" s="55"/>
      <c r="CA292" s="55"/>
      <c r="CB292" s="124"/>
      <c r="CC292" s="124"/>
      <c r="CD292" s="124"/>
      <c r="CE292" s="178">
        <v>1</v>
      </c>
      <c r="CF292" s="178"/>
      <c r="CG292" s="178"/>
      <c r="CH292" s="57">
        <v>1</v>
      </c>
      <c r="CI292" s="57"/>
      <c r="CJ292" s="57"/>
      <c r="CK292" s="58">
        <v>1</v>
      </c>
      <c r="CL292" s="58"/>
      <c r="CM292" s="58"/>
      <c r="CN292" s="60">
        <v>1</v>
      </c>
      <c r="CO292" s="60"/>
      <c r="CP292" s="60"/>
      <c r="CQ292" s="150">
        <v>1</v>
      </c>
      <c r="CR292" s="150"/>
      <c r="CS292" s="150"/>
      <c r="CT292" s="62">
        <v>1</v>
      </c>
      <c r="CU292" s="62"/>
      <c r="CV292" s="62">
        <v>196</v>
      </c>
      <c r="CW292" s="95"/>
      <c r="CX292" s="95"/>
      <c r="CY292" s="95"/>
      <c r="CZ292" s="95">
        <v>1</v>
      </c>
      <c r="DA292" s="95">
        <v>500</v>
      </c>
      <c r="DB292" s="95">
        <v>316</v>
      </c>
      <c r="DC292" s="95">
        <v>1</v>
      </c>
      <c r="DD292" s="95"/>
      <c r="DE292" s="95"/>
      <c r="DF292" s="42">
        <v>1</v>
      </c>
      <c r="DG292" s="42"/>
      <c r="DH292" s="42"/>
      <c r="DI292" s="42">
        <v>1</v>
      </c>
      <c r="DJ292" s="42"/>
      <c r="DK292" s="42"/>
      <c r="DL292" s="42">
        <v>1</v>
      </c>
      <c r="DM292" s="42"/>
      <c r="DN292" s="42"/>
      <c r="DO292" s="42">
        <v>1</v>
      </c>
      <c r="DP292" s="42"/>
      <c r="DQ292" s="42"/>
    </row>
    <row r="293" spans="1:121" s="16" customFormat="1" ht="15" customHeight="1">
      <c r="A293" s="90" t="s">
        <v>163</v>
      </c>
      <c r="B293" s="42"/>
      <c r="C293" s="42"/>
      <c r="D293" s="42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  <c r="AB293" s="145"/>
      <c r="AC293" s="145"/>
      <c r="AD293" s="145"/>
      <c r="AE293" s="145"/>
      <c r="AF293" s="97">
        <v>1</v>
      </c>
      <c r="AG293" s="97"/>
      <c r="AH293" s="97"/>
      <c r="AI293" s="98">
        <v>1</v>
      </c>
      <c r="AJ293" s="98"/>
      <c r="AK293" s="98"/>
      <c r="AL293" s="95"/>
      <c r="AM293" s="40"/>
      <c r="AN293" s="40"/>
      <c r="AO293" s="101">
        <v>1</v>
      </c>
      <c r="AP293" s="101"/>
      <c r="AQ293" s="101"/>
      <c r="AR293" s="165">
        <v>1</v>
      </c>
      <c r="AS293" s="165"/>
      <c r="AT293" s="165"/>
      <c r="AU293" s="166">
        <v>1</v>
      </c>
      <c r="AV293" s="166"/>
      <c r="AW293" s="166"/>
      <c r="AX293" s="104">
        <v>1</v>
      </c>
      <c r="AY293" s="104"/>
      <c r="AZ293" s="104"/>
      <c r="BA293" s="105">
        <v>1</v>
      </c>
      <c r="BB293" s="105"/>
      <c r="BC293" s="105"/>
      <c r="BD293" s="172">
        <v>1</v>
      </c>
      <c r="BE293" s="172"/>
      <c r="BF293" s="172"/>
      <c r="BG293" s="108"/>
      <c r="BH293" s="108"/>
      <c r="BI293" s="108"/>
      <c r="BJ293" s="110">
        <v>1</v>
      </c>
      <c r="BK293" s="110"/>
      <c r="BL293" s="110"/>
      <c r="BM293" s="175">
        <v>1</v>
      </c>
      <c r="BN293" s="175"/>
      <c r="BO293" s="175"/>
      <c r="BP293" s="52">
        <v>1</v>
      </c>
      <c r="BQ293" s="52"/>
      <c r="BR293" s="52"/>
      <c r="BS293" s="54">
        <v>1</v>
      </c>
      <c r="BT293" s="54"/>
      <c r="BU293" s="54"/>
      <c r="BV293" s="55">
        <v>1</v>
      </c>
      <c r="BW293" s="55"/>
      <c r="BX293" s="55"/>
      <c r="BY293" s="55">
        <v>1</v>
      </c>
      <c r="BZ293" s="55"/>
      <c r="CA293" s="55"/>
      <c r="CB293" s="124"/>
      <c r="CC293" s="124"/>
      <c r="CD293" s="124"/>
      <c r="CE293" s="178">
        <v>1</v>
      </c>
      <c r="CF293" s="178"/>
      <c r="CG293" s="178"/>
      <c r="CH293" s="57">
        <v>1</v>
      </c>
      <c r="CI293" s="57"/>
      <c r="CJ293" s="57"/>
      <c r="CK293" s="58">
        <v>1</v>
      </c>
      <c r="CL293" s="58"/>
      <c r="CM293" s="58"/>
      <c r="CN293" s="60">
        <v>1</v>
      </c>
      <c r="CO293" s="60"/>
      <c r="CP293" s="60"/>
      <c r="CQ293" s="150">
        <v>1</v>
      </c>
      <c r="CR293" s="150"/>
      <c r="CS293" s="150"/>
      <c r="CT293" s="62">
        <v>1</v>
      </c>
      <c r="CU293" s="62"/>
      <c r="CV293" s="62"/>
      <c r="CW293" s="95"/>
      <c r="CX293" s="95"/>
      <c r="CY293" s="95"/>
      <c r="CZ293" s="95">
        <v>1</v>
      </c>
      <c r="DA293" s="95"/>
      <c r="DB293" s="95"/>
      <c r="DC293" s="95">
        <v>1</v>
      </c>
      <c r="DD293" s="95"/>
      <c r="DE293" s="95"/>
      <c r="DF293" s="42">
        <v>1</v>
      </c>
      <c r="DG293" s="42"/>
      <c r="DH293" s="42"/>
      <c r="DI293" s="42">
        <v>1</v>
      </c>
      <c r="DJ293" s="42"/>
      <c r="DK293" s="42"/>
      <c r="DL293" s="42">
        <v>1</v>
      </c>
      <c r="DM293" s="42"/>
      <c r="DN293" s="42"/>
      <c r="DO293" s="42">
        <v>1</v>
      </c>
      <c r="DP293" s="42"/>
      <c r="DQ293" s="42"/>
    </row>
    <row r="294" spans="1:121" s="16" customFormat="1" ht="15" customHeight="1">
      <c r="A294" s="90" t="s">
        <v>164</v>
      </c>
      <c r="B294" s="42"/>
      <c r="C294" s="42"/>
      <c r="D294" s="42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  <c r="AB294" s="145"/>
      <c r="AC294" s="145"/>
      <c r="AD294" s="145"/>
      <c r="AE294" s="145"/>
      <c r="AF294" s="97">
        <v>1</v>
      </c>
      <c r="AG294" s="97"/>
      <c r="AH294" s="97"/>
      <c r="AI294" s="98">
        <v>1</v>
      </c>
      <c r="AJ294" s="98"/>
      <c r="AK294" s="98"/>
      <c r="AL294" s="95"/>
      <c r="AM294" s="40"/>
      <c r="AN294" s="40"/>
      <c r="AO294" s="101">
        <v>1</v>
      </c>
      <c r="AP294" s="101"/>
      <c r="AQ294" s="101"/>
      <c r="AR294" s="165">
        <v>1</v>
      </c>
      <c r="AS294" s="165"/>
      <c r="AT294" s="165"/>
      <c r="AU294" s="166">
        <v>1</v>
      </c>
      <c r="AV294" s="166"/>
      <c r="AW294" s="166"/>
      <c r="AX294" s="104">
        <v>1</v>
      </c>
      <c r="AY294" s="104"/>
      <c r="AZ294" s="104"/>
      <c r="BA294" s="105">
        <v>1</v>
      </c>
      <c r="BB294" s="105"/>
      <c r="BC294" s="105"/>
      <c r="BD294" s="172">
        <v>1</v>
      </c>
      <c r="BE294" s="172"/>
      <c r="BF294" s="172"/>
      <c r="BG294" s="108"/>
      <c r="BH294" s="108"/>
      <c r="BI294" s="108"/>
      <c r="BJ294" s="110">
        <v>1</v>
      </c>
      <c r="BK294" s="110"/>
      <c r="BL294" s="110"/>
      <c r="BM294" s="175">
        <v>1</v>
      </c>
      <c r="BN294" s="175"/>
      <c r="BO294" s="175"/>
      <c r="BP294" s="52">
        <v>1</v>
      </c>
      <c r="BQ294" s="52"/>
      <c r="BR294" s="52"/>
      <c r="BS294" s="54">
        <v>1</v>
      </c>
      <c r="BT294" s="54"/>
      <c r="BU294" s="54"/>
      <c r="BV294" s="55">
        <v>1</v>
      </c>
      <c r="BW294" s="55"/>
      <c r="BX294" s="55"/>
      <c r="BY294" s="55">
        <v>1</v>
      </c>
      <c r="BZ294" s="55"/>
      <c r="CA294" s="55"/>
      <c r="CB294" s="124"/>
      <c r="CC294" s="124"/>
      <c r="CD294" s="124"/>
      <c r="CE294" s="178">
        <v>1</v>
      </c>
      <c r="CF294" s="178"/>
      <c r="CG294" s="178"/>
      <c r="CH294" s="57">
        <v>1</v>
      </c>
      <c r="CI294" s="57"/>
      <c r="CJ294" s="57"/>
      <c r="CK294" s="58">
        <v>1</v>
      </c>
      <c r="CL294" s="58"/>
      <c r="CM294" s="58"/>
      <c r="CN294" s="60">
        <v>1</v>
      </c>
      <c r="CO294" s="60"/>
      <c r="CP294" s="60"/>
      <c r="CQ294" s="150">
        <v>1</v>
      </c>
      <c r="CR294" s="150"/>
      <c r="CS294" s="150"/>
      <c r="CT294" s="62">
        <v>1</v>
      </c>
      <c r="CU294" s="62"/>
      <c r="CV294" s="62"/>
      <c r="CW294" s="95"/>
      <c r="CX294" s="95"/>
      <c r="CY294" s="95"/>
      <c r="CZ294" s="95">
        <v>1</v>
      </c>
      <c r="DA294" s="95"/>
      <c r="DB294" s="95"/>
      <c r="DC294" s="95">
        <v>1</v>
      </c>
      <c r="DD294" s="95"/>
      <c r="DE294" s="95"/>
      <c r="DF294" s="42">
        <v>1</v>
      </c>
      <c r="DG294" s="42"/>
      <c r="DH294" s="42"/>
      <c r="DI294" s="42">
        <v>1</v>
      </c>
      <c r="DJ294" s="42"/>
      <c r="DK294" s="42"/>
      <c r="DL294" s="42">
        <v>1</v>
      </c>
      <c r="DM294" s="42"/>
      <c r="DN294" s="42"/>
      <c r="DO294" s="42">
        <v>1</v>
      </c>
      <c r="DP294" s="42"/>
      <c r="DQ294" s="42"/>
    </row>
    <row r="295" spans="1:121" s="16" customFormat="1" ht="15" customHeight="1">
      <c r="A295" s="90" t="s">
        <v>165</v>
      </c>
      <c r="B295" s="42"/>
      <c r="C295" s="42"/>
      <c r="D295" s="42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  <c r="AB295" s="145"/>
      <c r="AC295" s="145"/>
      <c r="AD295" s="145"/>
      <c r="AE295" s="145"/>
      <c r="AF295" s="97">
        <v>1</v>
      </c>
      <c r="AG295" s="97"/>
      <c r="AH295" s="97">
        <v>354</v>
      </c>
      <c r="AI295" s="98">
        <v>1</v>
      </c>
      <c r="AJ295" s="98">
        <v>800</v>
      </c>
      <c r="AK295" s="98">
        <v>447</v>
      </c>
      <c r="AL295" s="95"/>
      <c r="AM295" s="40"/>
      <c r="AN295" s="40"/>
      <c r="AO295" s="101">
        <v>1</v>
      </c>
      <c r="AP295" s="101"/>
      <c r="AQ295" s="101">
        <v>465</v>
      </c>
      <c r="AR295" s="165">
        <v>1</v>
      </c>
      <c r="AS295" s="165">
        <v>500</v>
      </c>
      <c r="AT295" s="165">
        <v>460</v>
      </c>
      <c r="AU295" s="166">
        <v>1</v>
      </c>
      <c r="AV295" s="166">
        <v>461</v>
      </c>
      <c r="AW295" s="166">
        <v>429</v>
      </c>
      <c r="AX295" s="104"/>
      <c r="AY295" s="104">
        <v>396</v>
      </c>
      <c r="AZ295" s="104">
        <v>2</v>
      </c>
      <c r="BA295" s="105"/>
      <c r="BB295" s="105"/>
      <c r="BC295" s="105"/>
      <c r="BD295" s="172"/>
      <c r="BE295" s="172"/>
      <c r="BF295" s="172"/>
      <c r="BG295" s="108"/>
      <c r="BH295" s="108"/>
      <c r="BI295" s="108"/>
      <c r="BJ295" s="110">
        <v>1</v>
      </c>
      <c r="BK295" s="110"/>
      <c r="BL295" s="110">
        <v>294</v>
      </c>
      <c r="BM295" s="175">
        <v>1</v>
      </c>
      <c r="BN295" s="175">
        <v>350</v>
      </c>
      <c r="BO295" s="175">
        <v>56</v>
      </c>
      <c r="BP295" s="52">
        <v>1</v>
      </c>
      <c r="BQ295" s="52"/>
      <c r="BR295" s="52">
        <v>332</v>
      </c>
      <c r="BS295" s="54">
        <v>1</v>
      </c>
      <c r="BT295" s="54">
        <v>361</v>
      </c>
      <c r="BU295" s="54">
        <v>29</v>
      </c>
      <c r="BV295" s="55">
        <v>1</v>
      </c>
      <c r="BW295" s="55"/>
      <c r="BX295" s="55">
        <v>306</v>
      </c>
      <c r="BY295" s="55">
        <v>1</v>
      </c>
      <c r="BZ295" s="55"/>
      <c r="CA295" s="55">
        <v>94</v>
      </c>
      <c r="CB295" s="124"/>
      <c r="CC295" s="124"/>
      <c r="CD295" s="124"/>
      <c r="CE295" s="178">
        <v>1</v>
      </c>
      <c r="CF295" s="178"/>
      <c r="CG295" s="178"/>
      <c r="CH295" s="57">
        <v>1</v>
      </c>
      <c r="CI295" s="57"/>
      <c r="CJ295" s="57"/>
      <c r="CK295" s="58">
        <v>1</v>
      </c>
      <c r="CL295" s="58"/>
      <c r="CM295" s="58"/>
      <c r="CN295" s="60">
        <v>1</v>
      </c>
      <c r="CO295" s="60"/>
      <c r="CP295" s="60"/>
      <c r="CQ295" s="150">
        <v>1</v>
      </c>
      <c r="CR295" s="150"/>
      <c r="CS295" s="150"/>
      <c r="CT295" s="62">
        <v>1</v>
      </c>
      <c r="CU295" s="62"/>
      <c r="CV295" s="62"/>
      <c r="CW295" s="95"/>
      <c r="CX295" s="95"/>
      <c r="CY295" s="95"/>
      <c r="CZ295" s="95">
        <v>1</v>
      </c>
      <c r="DA295" s="95"/>
      <c r="DB295" s="95"/>
      <c r="DC295" s="95">
        <v>1</v>
      </c>
      <c r="DD295" s="95"/>
      <c r="DE295" s="95"/>
      <c r="DF295" s="42">
        <v>1</v>
      </c>
      <c r="DG295" s="42"/>
      <c r="DH295" s="42"/>
      <c r="DI295" s="42">
        <v>1</v>
      </c>
      <c r="DJ295" s="42">
        <v>400</v>
      </c>
      <c r="DK295" s="42">
        <v>406</v>
      </c>
      <c r="DL295" s="42">
        <v>1</v>
      </c>
      <c r="DM295" s="42">
        <v>500</v>
      </c>
      <c r="DN295" s="42">
        <v>94</v>
      </c>
      <c r="DO295" s="42">
        <v>1</v>
      </c>
      <c r="DP295" s="42"/>
      <c r="DQ295" s="42"/>
    </row>
    <row r="296" spans="1:121" s="22" customFormat="1" ht="15.75">
      <c r="A296" s="94" t="s">
        <v>70</v>
      </c>
      <c r="B296" s="26"/>
      <c r="C296" s="26"/>
      <c r="D296" s="26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26">
        <f>SUM(AF272:AF295)</f>
        <v>262</v>
      </c>
      <c r="AG296" s="26">
        <f t="shared" ref="AG296:AQ296" si="106">SUM(AG272:AG295)</f>
        <v>75189</v>
      </c>
      <c r="AH296" s="26">
        <f t="shared" si="106"/>
        <v>84358</v>
      </c>
      <c r="AI296" s="26">
        <f t="shared" si="106"/>
        <v>262</v>
      </c>
      <c r="AJ296" s="26">
        <f>SUM(AJ272:AJ295)</f>
        <v>83409</v>
      </c>
      <c r="AK296" s="26">
        <f t="shared" si="106"/>
        <v>78444</v>
      </c>
      <c r="AL296" s="26">
        <f t="shared" si="106"/>
        <v>0</v>
      </c>
      <c r="AM296" s="26">
        <f t="shared" si="106"/>
        <v>0</v>
      </c>
      <c r="AN296" s="26">
        <f t="shared" si="106"/>
        <v>0</v>
      </c>
      <c r="AO296" s="26">
        <f t="shared" si="106"/>
        <v>259</v>
      </c>
      <c r="AP296" s="26">
        <f t="shared" si="106"/>
        <v>85689</v>
      </c>
      <c r="AQ296" s="26">
        <f t="shared" si="106"/>
        <v>82080</v>
      </c>
      <c r="AR296" s="26">
        <f t="shared" ref="AR296:BD296" si="107">SUM(AR272:AR295)</f>
        <v>256</v>
      </c>
      <c r="AS296" s="26">
        <f t="shared" si="107"/>
        <v>75520</v>
      </c>
      <c r="AT296" s="26">
        <f t="shared" si="107"/>
        <v>81476</v>
      </c>
      <c r="AU296" s="26">
        <f t="shared" si="107"/>
        <v>254</v>
      </c>
      <c r="AV296" s="26">
        <f t="shared" si="107"/>
        <v>87852</v>
      </c>
      <c r="AW296" s="26">
        <f t="shared" si="107"/>
        <v>80593</v>
      </c>
      <c r="AX296" s="26">
        <f t="shared" si="107"/>
        <v>254</v>
      </c>
      <c r="AY296" s="26">
        <f t="shared" si="107"/>
        <v>75918</v>
      </c>
      <c r="AZ296" s="26">
        <f t="shared" si="107"/>
        <v>78538</v>
      </c>
      <c r="BA296" s="26">
        <f t="shared" si="107"/>
        <v>253</v>
      </c>
      <c r="BB296" s="26">
        <f t="shared" si="107"/>
        <v>79540</v>
      </c>
      <c r="BC296" s="26">
        <f t="shared" si="107"/>
        <v>76347</v>
      </c>
      <c r="BD296" s="26">
        <f t="shared" si="107"/>
        <v>226</v>
      </c>
      <c r="BE296" s="26">
        <f t="shared" ref="BE296:CA296" si="108">SUM(BE272:BE295)</f>
        <v>76559</v>
      </c>
      <c r="BF296" s="26">
        <f t="shared" si="108"/>
        <v>66501</v>
      </c>
      <c r="BG296" s="26">
        <f t="shared" si="108"/>
        <v>0</v>
      </c>
      <c r="BH296" s="26">
        <f t="shared" si="108"/>
        <v>0</v>
      </c>
      <c r="BI296" s="26">
        <f t="shared" si="108"/>
        <v>0</v>
      </c>
      <c r="BJ296" s="26">
        <f t="shared" si="108"/>
        <v>217</v>
      </c>
      <c r="BK296" s="26">
        <f t="shared" si="108"/>
        <v>69154</v>
      </c>
      <c r="BL296" s="26">
        <f t="shared" si="108"/>
        <v>68110</v>
      </c>
      <c r="BM296" s="26">
        <f t="shared" si="108"/>
        <v>212</v>
      </c>
      <c r="BN296" s="26">
        <f t="shared" si="108"/>
        <v>67443</v>
      </c>
      <c r="BO296" s="26">
        <f t="shared" si="108"/>
        <v>65892</v>
      </c>
      <c r="BP296" s="26">
        <f t="shared" si="108"/>
        <v>209</v>
      </c>
      <c r="BQ296" s="26">
        <f t="shared" si="108"/>
        <v>76508</v>
      </c>
      <c r="BR296" s="26">
        <f t="shared" si="108"/>
        <v>65496</v>
      </c>
      <c r="BS296" s="26">
        <f t="shared" si="108"/>
        <v>210</v>
      </c>
      <c r="BT296" s="26">
        <f t="shared" si="108"/>
        <v>62809</v>
      </c>
      <c r="BU296" s="26">
        <f t="shared" si="108"/>
        <v>65817</v>
      </c>
      <c r="BV296" s="26">
        <f t="shared" si="108"/>
        <v>204</v>
      </c>
      <c r="BW296" s="26">
        <f t="shared" si="108"/>
        <v>72924</v>
      </c>
      <c r="BX296" s="26">
        <f t="shared" si="108"/>
        <v>63138</v>
      </c>
      <c r="BY296" s="26">
        <f t="shared" si="108"/>
        <v>198</v>
      </c>
      <c r="BZ296" s="26">
        <f t="shared" si="108"/>
        <v>67507</v>
      </c>
      <c r="CA296" s="26">
        <f t="shared" si="108"/>
        <v>57867</v>
      </c>
      <c r="CB296" s="26"/>
      <c r="CC296" s="26"/>
      <c r="CD296" s="26"/>
      <c r="CE296" s="26">
        <f t="shared" ref="CE296:CJ296" si="109">SUM(CE272:CE295)</f>
        <v>199</v>
      </c>
      <c r="CF296" s="26">
        <f t="shared" si="109"/>
        <v>57875</v>
      </c>
      <c r="CG296" s="26">
        <f t="shared" si="109"/>
        <v>59981</v>
      </c>
      <c r="CH296" s="26">
        <f t="shared" si="109"/>
        <v>227</v>
      </c>
      <c r="CI296" s="26">
        <f t="shared" si="109"/>
        <v>50434</v>
      </c>
      <c r="CJ296" s="26">
        <f t="shared" si="109"/>
        <v>64827</v>
      </c>
      <c r="CK296" s="26">
        <f t="shared" ref="CK296:DK296" si="110">SUM(CK272:CK295)</f>
        <v>224</v>
      </c>
      <c r="CL296" s="26">
        <f t="shared" si="110"/>
        <v>61451</v>
      </c>
      <c r="CM296" s="26">
        <f t="shared" si="110"/>
        <v>65399</v>
      </c>
      <c r="CN296" s="26">
        <f>SUM(CN272:CN295)</f>
        <v>225</v>
      </c>
      <c r="CO296" s="26">
        <f>SUM(CO272:CO295)</f>
        <v>62188</v>
      </c>
      <c r="CP296" s="26">
        <f>SUM(CP272:CP295)</f>
        <v>63976</v>
      </c>
      <c r="CQ296" s="26">
        <f t="shared" si="110"/>
        <v>229</v>
      </c>
      <c r="CR296" s="26">
        <f t="shared" si="110"/>
        <v>63931</v>
      </c>
      <c r="CS296" s="26">
        <f t="shared" si="110"/>
        <v>67272</v>
      </c>
      <c r="CT296" s="26">
        <f t="shared" si="110"/>
        <v>225</v>
      </c>
      <c r="CU296" s="26">
        <f t="shared" si="110"/>
        <v>78526</v>
      </c>
      <c r="CV296" s="26">
        <f t="shared" si="110"/>
        <v>64583</v>
      </c>
      <c r="CW296" s="26">
        <f t="shared" si="110"/>
        <v>0</v>
      </c>
      <c r="CX296" s="26">
        <f t="shared" si="110"/>
        <v>0</v>
      </c>
      <c r="CY296" s="26">
        <f t="shared" si="110"/>
        <v>0</v>
      </c>
      <c r="CZ296" s="26">
        <f t="shared" si="110"/>
        <v>221</v>
      </c>
      <c r="DA296" s="26">
        <f t="shared" si="110"/>
        <v>57781</v>
      </c>
      <c r="DB296" s="26">
        <f t="shared" si="110"/>
        <v>66704</v>
      </c>
      <c r="DC296" s="26">
        <f>SUM(DC272:DC295)</f>
        <v>223</v>
      </c>
      <c r="DD296" s="26">
        <f t="shared" si="110"/>
        <v>59195</v>
      </c>
      <c r="DE296" s="26">
        <f t="shared" si="110"/>
        <v>64384</v>
      </c>
      <c r="DF296" s="26">
        <f t="shared" si="110"/>
        <v>236</v>
      </c>
      <c r="DG296" s="26">
        <f t="shared" si="110"/>
        <v>74500</v>
      </c>
      <c r="DH296" s="26">
        <f t="shared" si="110"/>
        <v>69212</v>
      </c>
      <c r="DI296" s="26">
        <f t="shared" si="110"/>
        <v>239</v>
      </c>
      <c r="DJ296" s="26">
        <f t="shared" si="110"/>
        <v>73617</v>
      </c>
      <c r="DK296" s="26">
        <f t="shared" si="110"/>
        <v>72121</v>
      </c>
      <c r="DL296" s="206">
        <f t="shared" ref="DL296:DQ296" si="111">SUM(DL272:DL295)</f>
        <v>238</v>
      </c>
      <c r="DM296" s="26">
        <f t="shared" si="111"/>
        <v>64519</v>
      </c>
      <c r="DN296" s="26">
        <f t="shared" si="111"/>
        <v>72694</v>
      </c>
      <c r="DO296" s="26">
        <f t="shared" si="111"/>
        <v>238</v>
      </c>
      <c r="DP296" s="26">
        <f t="shared" si="111"/>
        <v>56213</v>
      </c>
      <c r="DQ296" s="26">
        <f t="shared" si="111"/>
        <v>65357</v>
      </c>
    </row>
    <row r="297" spans="1:121">
      <c r="AJ297" s="29"/>
      <c r="AK297" s="29"/>
      <c r="AP297" s="29"/>
      <c r="AQ297" s="29"/>
      <c r="AS297" s="29"/>
      <c r="AT297" s="29"/>
      <c r="AY297" s="29"/>
      <c r="AZ297" s="29"/>
      <c r="BB297" s="29"/>
      <c r="BC297" s="29"/>
      <c r="BK297" s="29"/>
      <c r="BL297" s="29"/>
      <c r="BN297" s="29"/>
      <c r="BO297" s="29"/>
      <c r="BQ297" s="29"/>
      <c r="BZ297" s="29"/>
      <c r="CA297" s="29"/>
      <c r="CD297" s="29"/>
      <c r="CG297" s="29"/>
      <c r="CI297" s="29"/>
      <c r="CJ297" s="29"/>
      <c r="CP297" s="29"/>
      <c r="CV297" s="29"/>
      <c r="DD297" s="29"/>
      <c r="DE297" s="29"/>
      <c r="DK297" s="29"/>
      <c r="DM297" s="29"/>
    </row>
  </sheetData>
  <autoFilter ref="A3:DQ266" xr:uid="{00000000-0009-0000-0000-000001000000}"/>
  <pageMargins left="0.7" right="0.7" top="0.75" bottom="0.75" header="0.3" footer="0.3"/>
  <pageSetup paperSize="9" scale="45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624"/>
  <sheetViews>
    <sheetView zoomScale="80" zoomScaleNormal="80" workbookViewId="0">
      <pane xSplit="2" ySplit="3" topLeftCell="C4" activePane="bottomRight" state="frozen"/>
      <selection activeCell="N182" sqref="N182"/>
      <selection pane="topRight" activeCell="N182" sqref="N182"/>
      <selection pane="bottomLeft" activeCell="N182" sqref="N182"/>
      <selection pane="bottomRight" activeCell="E2" sqref="E2:E3"/>
    </sheetView>
  </sheetViews>
  <sheetFormatPr defaultRowHeight="15"/>
  <cols>
    <col min="1" max="1" width="11.7109375" style="15" customWidth="1"/>
    <col min="2" max="2" width="18.5703125" style="1" customWidth="1"/>
    <col min="3" max="3" width="45.28515625" style="79" customWidth="1"/>
    <col min="4" max="4" width="20.42578125" style="1" customWidth="1"/>
    <col min="5" max="5" width="13.28515625" style="1" customWidth="1"/>
    <col min="6" max="6" width="8.28515625" style="1" customWidth="1"/>
    <col min="7" max="7" width="13.85546875" style="1" customWidth="1"/>
    <col min="8" max="8" width="14.5703125" style="1" customWidth="1"/>
    <col min="9" max="10" width="13.5703125" style="1" customWidth="1"/>
    <col min="11" max="11" width="14.42578125" style="1" customWidth="1"/>
    <col min="12" max="12" width="10.42578125" style="1" customWidth="1"/>
    <col min="13" max="13" width="12.28515625" style="1" customWidth="1"/>
    <col min="14" max="14" width="8.85546875" style="1" customWidth="1"/>
    <col min="15" max="15" width="15.140625" style="13" customWidth="1"/>
    <col min="16" max="16" width="15.42578125" style="13" customWidth="1"/>
    <col min="17" max="17" width="15.28515625" style="1" customWidth="1"/>
    <col min="18" max="20" width="12.7109375" style="13" customWidth="1"/>
    <col min="21" max="21" width="12.85546875" style="13" customWidth="1"/>
    <col min="22" max="22" width="16" style="13" customWidth="1"/>
    <col min="23" max="23" width="19" style="1" customWidth="1"/>
    <col min="24" max="24" width="9.140625" style="1" customWidth="1"/>
    <col min="25" max="25" width="14.7109375" style="1" customWidth="1"/>
    <col min="26" max="26" width="10.7109375" style="1" customWidth="1"/>
    <col min="27" max="27" width="16.140625" style="1" customWidth="1"/>
    <col min="28" max="30" width="9.140625" style="1"/>
    <col min="31" max="31" width="10.7109375" style="1" bestFit="1" customWidth="1"/>
    <col min="32" max="16384" width="9.140625" style="1"/>
  </cols>
  <sheetData>
    <row r="2" spans="1:25" ht="31.5" customHeight="1">
      <c r="A2" s="468" t="s">
        <v>38</v>
      </c>
      <c r="B2" s="465" t="s">
        <v>43</v>
      </c>
      <c r="C2" s="469" t="s">
        <v>62</v>
      </c>
      <c r="D2" s="465" t="s">
        <v>36</v>
      </c>
      <c r="E2" s="465" t="s">
        <v>39</v>
      </c>
      <c r="F2" s="469" t="s">
        <v>90</v>
      </c>
      <c r="G2" s="459" t="s">
        <v>49</v>
      </c>
      <c r="H2" s="459" t="s">
        <v>50</v>
      </c>
      <c r="I2" s="459" t="s">
        <v>51</v>
      </c>
      <c r="J2" s="459" t="s">
        <v>52</v>
      </c>
      <c r="K2" s="459" t="s">
        <v>81</v>
      </c>
      <c r="L2" s="459" t="s">
        <v>82</v>
      </c>
      <c r="M2" s="459" t="s">
        <v>83</v>
      </c>
      <c r="N2" s="459" t="s">
        <v>84</v>
      </c>
      <c r="O2" s="466" t="s">
        <v>86</v>
      </c>
      <c r="P2" s="466" t="s">
        <v>87</v>
      </c>
      <c r="Q2" s="465" t="s">
        <v>41</v>
      </c>
      <c r="R2" s="467" t="s">
        <v>46</v>
      </c>
      <c r="S2" s="467"/>
      <c r="T2" s="456" t="s">
        <v>76</v>
      </c>
      <c r="U2" s="456" t="s">
        <v>77</v>
      </c>
      <c r="V2" s="456" t="s">
        <v>78</v>
      </c>
      <c r="W2" s="465" t="s">
        <v>23</v>
      </c>
    </row>
    <row r="3" spans="1:25" ht="21" customHeight="1" thickBot="1">
      <c r="A3" s="468"/>
      <c r="B3" s="465"/>
      <c r="C3" s="461"/>
      <c r="D3" s="465"/>
      <c r="E3" s="465"/>
      <c r="F3" s="470"/>
      <c r="G3" s="461"/>
      <c r="H3" s="461"/>
      <c r="I3" s="460"/>
      <c r="J3" s="461"/>
      <c r="K3" s="460"/>
      <c r="L3" s="460"/>
      <c r="M3" s="460"/>
      <c r="N3" s="460"/>
      <c r="O3" s="467"/>
      <c r="P3" s="467"/>
      <c r="Q3" s="465"/>
      <c r="R3" s="17" t="s">
        <v>26</v>
      </c>
      <c r="S3" s="17" t="s">
        <v>27</v>
      </c>
      <c r="T3" s="458"/>
      <c r="U3" s="457"/>
      <c r="V3" s="458"/>
      <c r="W3" s="465"/>
    </row>
    <row r="4" spans="1:25" ht="15" customHeight="1">
      <c r="A4" s="426">
        <v>46024</v>
      </c>
      <c r="B4" s="429" t="s">
        <v>44</v>
      </c>
      <c r="C4" s="432" t="s">
        <v>240</v>
      </c>
      <c r="D4" s="19" t="s">
        <v>37</v>
      </c>
      <c r="E4" s="19" t="s">
        <v>25</v>
      </c>
      <c r="F4" s="39" t="s">
        <v>40</v>
      </c>
      <c r="G4" s="41">
        <v>5498.1</v>
      </c>
      <c r="H4" s="32">
        <v>5744</v>
      </c>
      <c r="I4" s="32"/>
      <c r="J4" s="32"/>
      <c r="K4" s="20">
        <v>32000</v>
      </c>
      <c r="L4" s="20">
        <v>4</v>
      </c>
      <c r="M4" s="20">
        <v>87900</v>
      </c>
      <c r="N4" s="84">
        <v>11</v>
      </c>
      <c r="O4" s="32">
        <f>Jan!AG272</f>
        <v>17713</v>
      </c>
      <c r="P4" s="32">
        <f>Jan!AH272</f>
        <v>32991</v>
      </c>
      <c r="Q4" s="32">
        <f>Jan!AF272</f>
        <v>89</v>
      </c>
      <c r="R4" s="435">
        <f>Jan!AG296</f>
        <v>75189</v>
      </c>
      <c r="S4" s="435">
        <f>Jan!AH296</f>
        <v>84358</v>
      </c>
      <c r="T4" s="20">
        <v>9539</v>
      </c>
      <c r="U4" s="20">
        <v>10</v>
      </c>
      <c r="V4" s="20">
        <f>O4-T4-U4+15753</f>
        <v>23917</v>
      </c>
      <c r="W4" s="77"/>
      <c r="X4" s="36"/>
    </row>
    <row r="5" spans="1:25" ht="15" customHeight="1">
      <c r="A5" s="427"/>
      <c r="B5" s="430"/>
      <c r="C5" s="433"/>
      <c r="D5" s="113" t="s">
        <v>69</v>
      </c>
      <c r="E5" s="438" t="s">
        <v>24</v>
      </c>
      <c r="F5" s="118" t="s">
        <v>48</v>
      </c>
      <c r="G5" s="38"/>
      <c r="H5" s="160"/>
      <c r="I5" s="125"/>
      <c r="J5" s="125"/>
      <c r="K5" s="127"/>
      <c r="L5" s="127"/>
      <c r="M5" s="127"/>
      <c r="N5" s="81"/>
      <c r="O5" s="125">
        <f>Jan!AG273</f>
        <v>9542</v>
      </c>
      <c r="P5" s="125">
        <f>Jan!AH273</f>
        <v>4493</v>
      </c>
      <c r="Q5" s="125">
        <f>Jan!AF273</f>
        <v>11</v>
      </c>
      <c r="R5" s="436"/>
      <c r="S5" s="436"/>
      <c r="T5" s="127">
        <v>17308</v>
      </c>
      <c r="U5" s="127"/>
      <c r="V5" s="127">
        <f>O5-T5-U5+9488</f>
        <v>1722</v>
      </c>
      <c r="W5" s="46"/>
      <c r="X5" s="67"/>
    </row>
    <row r="6" spans="1:25" ht="15" customHeight="1">
      <c r="A6" s="427"/>
      <c r="B6" s="430"/>
      <c r="C6" s="433"/>
      <c r="D6" s="113" t="s">
        <v>69</v>
      </c>
      <c r="E6" s="430"/>
      <c r="F6" s="118" t="s">
        <v>40</v>
      </c>
      <c r="G6" s="38"/>
      <c r="H6" s="160"/>
      <c r="I6" s="125"/>
      <c r="J6" s="125"/>
      <c r="K6" s="18">
        <v>55500</v>
      </c>
      <c r="L6" s="127">
        <v>7</v>
      </c>
      <c r="M6" s="127">
        <v>103500</v>
      </c>
      <c r="N6" s="81">
        <v>13</v>
      </c>
      <c r="O6" s="126">
        <f>Jan!AG274</f>
        <v>12737</v>
      </c>
      <c r="P6" s="125">
        <f>Jan!AH274</f>
        <v>14058</v>
      </c>
      <c r="Q6" s="125">
        <f>Jan!AF274</f>
        <v>39</v>
      </c>
      <c r="R6" s="436"/>
      <c r="S6" s="436"/>
      <c r="T6" s="127">
        <v>18665</v>
      </c>
      <c r="U6" s="127">
        <v>30</v>
      </c>
      <c r="V6" s="127">
        <f>O6-T6-U6+7175</f>
        <v>1217</v>
      </c>
      <c r="W6" s="46"/>
      <c r="X6" s="67"/>
    </row>
    <row r="7" spans="1:25" ht="15" customHeight="1">
      <c r="A7" s="427"/>
      <c r="B7" s="431"/>
      <c r="C7" s="434"/>
      <c r="D7" s="113" t="s">
        <v>128</v>
      </c>
      <c r="E7" s="431"/>
      <c r="F7" s="118"/>
      <c r="G7" s="38"/>
      <c r="H7" s="136">
        <v>3037.5</v>
      </c>
      <c r="I7" s="125"/>
      <c r="J7" s="125"/>
      <c r="K7" s="127"/>
      <c r="L7" s="127"/>
      <c r="M7" s="127"/>
      <c r="N7" s="81"/>
      <c r="O7" s="126"/>
      <c r="P7" s="125"/>
      <c r="Q7" s="125"/>
      <c r="R7" s="436"/>
      <c r="S7" s="436"/>
      <c r="T7" s="127"/>
      <c r="U7" s="127"/>
      <c r="V7" s="127"/>
      <c r="W7" s="46"/>
      <c r="X7" s="67"/>
    </row>
    <row r="8" spans="1:25" ht="15" customHeight="1">
      <c r="A8" s="427"/>
      <c r="B8" s="442" t="s">
        <v>45</v>
      </c>
      <c r="C8" s="448" t="s">
        <v>59</v>
      </c>
      <c r="D8" s="118" t="s">
        <v>75</v>
      </c>
      <c r="E8" s="438" t="s">
        <v>25</v>
      </c>
      <c r="F8" s="131" t="s">
        <v>57</v>
      </c>
      <c r="G8" s="87">
        <v>8223.1200000000008</v>
      </c>
      <c r="H8" s="136"/>
      <c r="I8" s="126"/>
      <c r="J8" s="2"/>
      <c r="K8" s="127"/>
      <c r="L8" s="18"/>
      <c r="M8" s="18">
        <v>105900</v>
      </c>
      <c r="N8" s="80">
        <v>21</v>
      </c>
      <c r="O8" s="126">
        <f>Jan!AG280</f>
        <v>17551</v>
      </c>
      <c r="P8" s="126">
        <f>Jan!AH280</f>
        <v>11472</v>
      </c>
      <c r="Q8" s="2">
        <f>Jan!AF280</f>
        <v>48</v>
      </c>
      <c r="R8" s="436"/>
      <c r="S8" s="436"/>
      <c r="T8" s="18">
        <v>6240</v>
      </c>
      <c r="U8" s="18"/>
      <c r="V8" s="18">
        <f>O8-T8-U8+69404</f>
        <v>80715</v>
      </c>
      <c r="W8" s="46"/>
      <c r="Y8" s="13"/>
    </row>
    <row r="9" spans="1:25">
      <c r="A9" s="427"/>
      <c r="B9" s="439"/>
      <c r="C9" s="440"/>
      <c r="D9" s="118" t="s">
        <v>94</v>
      </c>
      <c r="E9" s="431"/>
      <c r="F9" s="131"/>
      <c r="G9" s="87"/>
      <c r="H9" s="152">
        <v>3402</v>
      </c>
      <c r="I9" s="126"/>
      <c r="J9" s="2"/>
      <c r="K9" s="127"/>
      <c r="L9" s="18"/>
      <c r="M9" s="18"/>
      <c r="N9" s="80"/>
      <c r="O9" s="126"/>
      <c r="P9" s="126"/>
      <c r="Q9" s="2"/>
      <c r="R9" s="436"/>
      <c r="S9" s="436"/>
      <c r="T9" s="18"/>
      <c r="U9" s="18"/>
      <c r="V9" s="18"/>
      <c r="W9" s="46"/>
      <c r="Y9" s="13"/>
    </row>
    <row r="10" spans="1:25">
      <c r="A10" s="427"/>
      <c r="B10" s="439"/>
      <c r="C10" s="440"/>
      <c r="D10" s="118" t="s">
        <v>72</v>
      </c>
      <c r="E10" s="424" t="s">
        <v>24</v>
      </c>
      <c r="F10" s="131" t="s">
        <v>57</v>
      </c>
      <c r="G10" s="136"/>
      <c r="H10" s="136"/>
      <c r="I10" s="126"/>
      <c r="J10" s="126"/>
      <c r="K10" s="127"/>
      <c r="L10" s="18"/>
      <c r="M10" s="18">
        <v>15000</v>
      </c>
      <c r="N10" s="80">
        <v>3</v>
      </c>
      <c r="O10" s="126">
        <f>Jan!AG281</f>
        <v>1863</v>
      </c>
      <c r="P10" s="126">
        <f>Jan!AH281</f>
        <v>4077</v>
      </c>
      <c r="Q10" s="126">
        <f>Jan!AF281</f>
        <v>17</v>
      </c>
      <c r="R10" s="436"/>
      <c r="S10" s="436"/>
      <c r="T10" s="18"/>
      <c r="U10" s="18"/>
      <c r="V10" s="18">
        <f>O10-T10-U10+3651</f>
        <v>5514</v>
      </c>
      <c r="W10" s="46"/>
      <c r="Y10" s="13"/>
    </row>
    <row r="11" spans="1:25">
      <c r="A11" s="427"/>
      <c r="B11" s="439"/>
      <c r="C11" s="440"/>
      <c r="D11" s="115" t="s">
        <v>73</v>
      </c>
      <c r="E11" s="425"/>
      <c r="F11" s="131"/>
      <c r="G11" s="136"/>
      <c r="H11" s="152">
        <v>1980</v>
      </c>
      <c r="I11" s="126"/>
      <c r="J11" s="126"/>
      <c r="K11" s="127"/>
      <c r="L11" s="18"/>
      <c r="M11" s="18"/>
      <c r="N11" s="80"/>
      <c r="O11" s="126"/>
      <c r="P11" s="126"/>
      <c r="Q11" s="126"/>
      <c r="R11" s="436"/>
      <c r="S11" s="436"/>
      <c r="T11" s="18"/>
      <c r="U11" s="18"/>
      <c r="V11" s="18"/>
      <c r="W11" s="46"/>
      <c r="Y11" s="13"/>
    </row>
    <row r="12" spans="1:25">
      <c r="A12" s="427"/>
      <c r="B12" s="439"/>
      <c r="C12" s="440"/>
      <c r="D12" s="115" t="s">
        <v>79</v>
      </c>
      <c r="E12" s="424" t="s">
        <v>65</v>
      </c>
      <c r="F12" s="131" t="s">
        <v>57</v>
      </c>
      <c r="G12" s="136"/>
      <c r="H12" s="136"/>
      <c r="I12" s="126"/>
      <c r="J12" s="126"/>
      <c r="K12" s="127">
        <v>10000</v>
      </c>
      <c r="L12" s="18">
        <v>2</v>
      </c>
      <c r="M12" s="18">
        <v>30000</v>
      </c>
      <c r="N12" s="80">
        <v>6</v>
      </c>
      <c r="O12" s="126"/>
      <c r="P12" s="126">
        <f>Jan!AH282</f>
        <v>1069</v>
      </c>
      <c r="Q12" s="126">
        <f>Jan!AF282</f>
        <v>5</v>
      </c>
      <c r="R12" s="436"/>
      <c r="S12" s="436"/>
      <c r="T12" s="18"/>
      <c r="U12" s="18"/>
      <c r="V12" s="18">
        <f>O12-T12-U12+1000</f>
        <v>1000</v>
      </c>
      <c r="W12" s="46"/>
      <c r="Y12" s="13"/>
    </row>
    <row r="13" spans="1:25">
      <c r="A13" s="427"/>
      <c r="B13" s="443"/>
      <c r="C13" s="449"/>
      <c r="D13" s="115" t="s">
        <v>80</v>
      </c>
      <c r="E13" s="425"/>
      <c r="F13" s="131"/>
      <c r="G13" s="136"/>
      <c r="H13" s="152"/>
      <c r="I13" s="126"/>
      <c r="J13" s="126"/>
      <c r="K13" s="127"/>
      <c r="L13" s="18"/>
      <c r="M13" s="18"/>
      <c r="N13" s="80"/>
      <c r="O13" s="126"/>
      <c r="P13" s="126"/>
      <c r="Q13" s="126"/>
      <c r="R13" s="436"/>
      <c r="S13" s="436"/>
      <c r="T13" s="153"/>
      <c r="U13" s="153"/>
      <c r="V13" s="153"/>
      <c r="W13" s="46"/>
      <c r="Y13" s="13"/>
    </row>
    <row r="14" spans="1:25" ht="14.25" customHeight="1">
      <c r="A14" s="427"/>
      <c r="B14" s="442" t="s">
        <v>53</v>
      </c>
      <c r="C14" s="444" t="s">
        <v>60</v>
      </c>
      <c r="D14" s="43" t="s">
        <v>89</v>
      </c>
      <c r="E14" s="441" t="s">
        <v>66</v>
      </c>
      <c r="F14" s="118" t="s">
        <v>54</v>
      </c>
      <c r="G14" s="136"/>
      <c r="H14" s="136"/>
      <c r="I14" s="126"/>
      <c r="J14" s="126"/>
      <c r="K14" s="127"/>
      <c r="L14" s="18"/>
      <c r="M14" s="18"/>
      <c r="N14" s="80"/>
      <c r="O14" s="126"/>
      <c r="P14" s="126"/>
      <c r="Q14" s="126"/>
      <c r="R14" s="436"/>
      <c r="S14" s="436"/>
      <c r="T14" s="153">
        <v>1926</v>
      </c>
      <c r="U14" s="153"/>
      <c r="V14" s="153"/>
      <c r="W14" s="46"/>
      <c r="X14" s="36"/>
    </row>
    <row r="15" spans="1:25" ht="14.25" customHeight="1">
      <c r="A15" s="427"/>
      <c r="B15" s="439"/>
      <c r="C15" s="445"/>
      <c r="D15" s="43" t="s">
        <v>95</v>
      </c>
      <c r="E15" s="441"/>
      <c r="F15" s="118" t="s">
        <v>54</v>
      </c>
      <c r="G15" s="136"/>
      <c r="H15" s="136"/>
      <c r="I15" s="126"/>
      <c r="J15" s="126"/>
      <c r="K15" s="127"/>
      <c r="L15" s="18"/>
      <c r="M15" s="18"/>
      <c r="N15" s="80"/>
      <c r="O15" s="126">
        <f>Jan!AG277</f>
        <v>8685</v>
      </c>
      <c r="P15" s="126">
        <f>Jan!AH277</f>
        <v>5342</v>
      </c>
      <c r="Q15" s="126">
        <f>Jan!AF277</f>
        <v>16</v>
      </c>
      <c r="R15" s="436"/>
      <c r="S15" s="436"/>
      <c r="T15" s="153"/>
      <c r="U15" s="153"/>
      <c r="V15" s="153">
        <f>O15-T15-U15+3300</f>
        <v>11985</v>
      </c>
      <c r="W15" s="46"/>
      <c r="X15" s="36"/>
    </row>
    <row r="16" spans="1:25" ht="14.25" customHeight="1">
      <c r="A16" s="427"/>
      <c r="B16" s="439"/>
      <c r="C16" s="445"/>
      <c r="D16" s="43" t="s">
        <v>98</v>
      </c>
      <c r="E16" s="425"/>
      <c r="F16" s="118" t="s">
        <v>54</v>
      </c>
      <c r="G16" s="136"/>
      <c r="H16" s="136"/>
      <c r="I16" s="126"/>
      <c r="J16" s="126"/>
      <c r="K16" s="127">
        <v>18000</v>
      </c>
      <c r="L16" s="18">
        <v>3</v>
      </c>
      <c r="M16" s="18">
        <v>57800</v>
      </c>
      <c r="N16" s="80">
        <v>10</v>
      </c>
      <c r="O16" s="126">
        <f>Jan!AG278</f>
        <v>7098</v>
      </c>
      <c r="P16" s="126">
        <f>Jan!AH278</f>
        <v>10230</v>
      </c>
      <c r="Q16" s="126">
        <f>Jan!AF278</f>
        <v>30</v>
      </c>
      <c r="R16" s="436"/>
      <c r="S16" s="436"/>
      <c r="T16" s="153">
        <v>7092</v>
      </c>
      <c r="U16" s="153"/>
      <c r="V16" s="153">
        <f>O16-T16-U16+1697</f>
        <v>1703</v>
      </c>
      <c r="W16" s="46"/>
      <c r="X16" s="36"/>
    </row>
    <row r="17" spans="1:25" ht="14.25" customHeight="1">
      <c r="A17" s="427"/>
      <c r="B17" s="439"/>
      <c r="C17" s="445"/>
      <c r="D17" s="48" t="s">
        <v>91</v>
      </c>
      <c r="E17" s="155" t="s">
        <v>25</v>
      </c>
      <c r="F17" s="118"/>
      <c r="G17" s="136"/>
      <c r="H17" s="136">
        <v>979.8</v>
      </c>
      <c r="I17" s="126"/>
      <c r="J17" s="126"/>
      <c r="K17" s="127"/>
      <c r="L17" s="18"/>
      <c r="M17" s="18"/>
      <c r="N17" s="80"/>
      <c r="O17" s="126"/>
      <c r="P17" s="126"/>
      <c r="Q17" s="126"/>
      <c r="R17" s="436"/>
      <c r="S17" s="436"/>
      <c r="T17" s="153"/>
      <c r="U17" s="153"/>
      <c r="V17" s="153"/>
      <c r="W17" s="46"/>
      <c r="X17" s="36"/>
    </row>
    <row r="18" spans="1:25" ht="14.25" customHeight="1">
      <c r="A18" s="427"/>
      <c r="B18" s="443"/>
      <c r="C18" s="446"/>
      <c r="D18" s="48" t="s">
        <v>96</v>
      </c>
      <c r="E18" s="155" t="s">
        <v>65</v>
      </c>
      <c r="F18" s="118"/>
      <c r="G18" s="136"/>
      <c r="H18" s="136">
        <v>642.6</v>
      </c>
      <c r="I18" s="126"/>
      <c r="J18" s="2"/>
      <c r="K18" s="127"/>
      <c r="L18" s="18"/>
      <c r="M18" s="18"/>
      <c r="N18" s="80"/>
      <c r="O18" s="83"/>
      <c r="P18" s="126"/>
      <c r="Q18" s="126"/>
      <c r="R18" s="436"/>
      <c r="S18" s="436"/>
      <c r="T18" s="153"/>
      <c r="U18" s="153"/>
      <c r="V18" s="153"/>
      <c r="W18" s="46"/>
      <c r="X18" s="36"/>
    </row>
    <row r="19" spans="1:25" ht="18" customHeight="1">
      <c r="A19" s="427"/>
      <c r="B19" s="122" t="s">
        <v>55</v>
      </c>
      <c r="C19" s="180" t="s">
        <v>133</v>
      </c>
      <c r="D19" s="48" t="s">
        <v>56</v>
      </c>
      <c r="E19" s="438" t="s">
        <v>25</v>
      </c>
      <c r="F19" s="118" t="s">
        <v>67</v>
      </c>
      <c r="G19" s="156"/>
      <c r="H19" s="37">
        <v>192.6</v>
      </c>
      <c r="I19" s="126"/>
      <c r="J19" s="2"/>
      <c r="K19" s="18"/>
      <c r="L19" s="18"/>
      <c r="M19" s="18"/>
      <c r="N19" s="18"/>
      <c r="O19" s="126"/>
      <c r="P19" s="126">
        <f>Jan!AH295</f>
        <v>354</v>
      </c>
      <c r="Q19" s="126">
        <f>Jan!AF295</f>
        <v>1</v>
      </c>
      <c r="R19" s="436"/>
      <c r="S19" s="436"/>
      <c r="T19" s="18">
        <v>500</v>
      </c>
      <c r="U19" s="18"/>
      <c r="V19" s="18"/>
      <c r="W19" s="45"/>
      <c r="X19" s="36"/>
    </row>
    <row r="20" spans="1:25" ht="18" customHeight="1">
      <c r="A20" s="427"/>
      <c r="B20" s="122" t="s">
        <v>58</v>
      </c>
      <c r="C20" s="180" t="s">
        <v>136</v>
      </c>
      <c r="D20" s="48" t="s">
        <v>56</v>
      </c>
      <c r="E20" s="430"/>
      <c r="F20" s="118" t="s">
        <v>67</v>
      </c>
      <c r="G20" s="156"/>
      <c r="H20" s="126"/>
      <c r="I20" s="126"/>
      <c r="J20" s="2"/>
      <c r="K20" s="18"/>
      <c r="L20" s="18"/>
      <c r="M20" s="18"/>
      <c r="N20" s="18"/>
      <c r="O20" s="126"/>
      <c r="P20" s="126"/>
      <c r="Q20" s="126"/>
      <c r="R20" s="436"/>
      <c r="S20" s="436"/>
      <c r="T20" s="128"/>
      <c r="U20" s="128"/>
      <c r="V20" s="128">
        <f>O20-T20-U20+43</f>
        <v>43</v>
      </c>
      <c r="W20" s="85"/>
      <c r="X20" s="67"/>
    </row>
    <row r="21" spans="1:25" ht="18" customHeight="1">
      <c r="A21" s="427"/>
      <c r="B21" s="442" t="s">
        <v>47</v>
      </c>
      <c r="C21" s="444" t="s">
        <v>100</v>
      </c>
      <c r="D21" s="48" t="s">
        <v>99</v>
      </c>
      <c r="E21" s="430"/>
      <c r="F21" s="118" t="s">
        <v>71</v>
      </c>
      <c r="G21" s="156"/>
      <c r="H21" s="126"/>
      <c r="I21" s="126"/>
      <c r="J21" s="2"/>
      <c r="K21" s="18"/>
      <c r="L21" s="18"/>
      <c r="M21" s="18"/>
      <c r="N21" s="18"/>
      <c r="O21" s="126"/>
      <c r="P21" s="126">
        <f>Jan!AH284</f>
        <v>272</v>
      </c>
      <c r="Q21" s="126">
        <f>Jan!AF284</f>
        <v>1</v>
      </c>
      <c r="R21" s="436"/>
      <c r="S21" s="436"/>
      <c r="T21" s="18"/>
      <c r="U21" s="18"/>
      <c r="V21" s="18"/>
      <c r="W21" s="45"/>
      <c r="X21" s="67"/>
    </row>
    <row r="22" spans="1:25" ht="18" customHeight="1">
      <c r="A22" s="427"/>
      <c r="B22" s="443"/>
      <c r="C22" s="446"/>
      <c r="D22" s="48" t="s">
        <v>121</v>
      </c>
      <c r="E22" s="430"/>
      <c r="F22" s="118"/>
      <c r="G22" s="156"/>
      <c r="H22" s="37">
        <v>91.8</v>
      </c>
      <c r="I22" s="126"/>
      <c r="J22" s="2"/>
      <c r="K22" s="18"/>
      <c r="L22" s="18"/>
      <c r="M22" s="18"/>
      <c r="N22" s="18"/>
      <c r="O22" s="126"/>
      <c r="P22" s="126"/>
      <c r="Q22" s="126"/>
      <c r="R22" s="436"/>
      <c r="S22" s="436"/>
      <c r="T22" s="18"/>
      <c r="U22" s="18"/>
      <c r="V22" s="18"/>
      <c r="W22" s="45"/>
      <c r="X22" s="67"/>
    </row>
    <row r="23" spans="1:25" ht="18" customHeight="1">
      <c r="A23" s="427"/>
      <c r="B23" s="122" t="s">
        <v>101</v>
      </c>
      <c r="C23" s="180" t="s">
        <v>193</v>
      </c>
      <c r="D23" s="48" t="s">
        <v>102</v>
      </c>
      <c r="E23" s="430"/>
      <c r="F23" s="118" t="s">
        <v>64</v>
      </c>
      <c r="G23" s="156"/>
      <c r="H23" s="126"/>
      <c r="I23" s="126"/>
      <c r="J23" s="2"/>
      <c r="K23" s="18"/>
      <c r="L23" s="18"/>
      <c r="M23" s="18"/>
      <c r="N23" s="18"/>
      <c r="O23" s="126"/>
      <c r="P23" s="126"/>
      <c r="Q23" s="126">
        <f>Jan!AF290</f>
        <v>1</v>
      </c>
      <c r="R23" s="436"/>
      <c r="S23" s="436"/>
      <c r="T23" s="18"/>
      <c r="U23" s="18"/>
      <c r="V23" s="18"/>
      <c r="W23" s="45"/>
      <c r="X23" s="67"/>
    </row>
    <row r="24" spans="1:25" ht="18" customHeight="1">
      <c r="A24" s="427"/>
      <c r="B24" s="122" t="s">
        <v>103</v>
      </c>
      <c r="C24" s="180" t="s">
        <v>197</v>
      </c>
      <c r="D24" s="48" t="s">
        <v>104</v>
      </c>
      <c r="E24" s="430"/>
      <c r="F24" s="118" t="s">
        <v>105</v>
      </c>
      <c r="G24" s="119"/>
      <c r="H24" s="126"/>
      <c r="I24" s="126"/>
      <c r="J24" s="2"/>
      <c r="K24" s="18"/>
      <c r="L24" s="18"/>
      <c r="M24" s="18"/>
      <c r="N24" s="18"/>
      <c r="O24" s="126"/>
      <c r="P24" s="126"/>
      <c r="Q24" s="126">
        <f>Jan!AF294</f>
        <v>1</v>
      </c>
      <c r="R24" s="436"/>
      <c r="S24" s="436"/>
      <c r="T24" s="18"/>
      <c r="U24" s="18"/>
      <c r="V24" s="18"/>
      <c r="W24" s="45"/>
      <c r="X24" s="67"/>
    </row>
    <row r="25" spans="1:25" ht="18" customHeight="1">
      <c r="A25" s="427"/>
      <c r="B25" s="137" t="s">
        <v>112</v>
      </c>
      <c r="C25" s="157" t="s">
        <v>197</v>
      </c>
      <c r="D25" s="48" t="s">
        <v>104</v>
      </c>
      <c r="E25" s="430"/>
      <c r="F25" s="118" t="s">
        <v>113</v>
      </c>
      <c r="G25" s="119"/>
      <c r="H25" s="126"/>
      <c r="I25" s="126"/>
      <c r="J25" s="2"/>
      <c r="K25" s="18"/>
      <c r="L25" s="18"/>
      <c r="M25" s="18"/>
      <c r="N25" s="18"/>
      <c r="O25" s="126"/>
      <c r="P25" s="126"/>
      <c r="Q25" s="126">
        <f>Jan!AF294</f>
        <v>1</v>
      </c>
      <c r="R25" s="436"/>
      <c r="S25" s="436"/>
      <c r="T25" s="18"/>
      <c r="U25" s="18"/>
      <c r="V25" s="18"/>
      <c r="W25" s="45"/>
      <c r="X25" s="67"/>
    </row>
    <row r="26" spans="1:25" ht="18" customHeight="1">
      <c r="A26" s="427"/>
      <c r="B26" s="137" t="s">
        <v>106</v>
      </c>
      <c r="C26" s="157" t="s">
        <v>141</v>
      </c>
      <c r="D26" s="48" t="s">
        <v>68</v>
      </c>
      <c r="E26" s="430"/>
      <c r="F26" s="118" t="s">
        <v>67</v>
      </c>
      <c r="G26" s="119"/>
      <c r="H26" s="126"/>
      <c r="I26" s="126"/>
      <c r="J26" s="2"/>
      <c r="K26" s="18"/>
      <c r="L26" s="18"/>
      <c r="M26" s="18"/>
      <c r="N26" s="18"/>
      <c r="O26" s="126"/>
      <c r="P26" s="126"/>
      <c r="Q26" s="126">
        <f>Jan!AF292</f>
        <v>1</v>
      </c>
      <c r="R26" s="436"/>
      <c r="S26" s="436"/>
      <c r="T26" s="18"/>
      <c r="U26" s="18"/>
      <c r="V26" s="18"/>
      <c r="W26" s="45"/>
      <c r="X26" s="67"/>
    </row>
    <row r="27" spans="1:25" ht="18" customHeight="1" thickBot="1">
      <c r="A27" s="428"/>
      <c r="B27" s="44" t="s">
        <v>107</v>
      </c>
      <c r="C27" s="181" t="s">
        <v>195</v>
      </c>
      <c r="D27" s="61" t="s">
        <v>108</v>
      </c>
      <c r="E27" s="455"/>
      <c r="F27" s="133" t="s">
        <v>48</v>
      </c>
      <c r="G27" s="132"/>
      <c r="H27" s="109"/>
      <c r="I27" s="134"/>
      <c r="J27" s="129"/>
      <c r="K27" s="130"/>
      <c r="L27" s="130"/>
      <c r="M27" s="130"/>
      <c r="N27" s="130"/>
      <c r="O27" s="134"/>
      <c r="P27" s="134"/>
      <c r="Q27" s="134">
        <f>Jan!AF293</f>
        <v>1</v>
      </c>
      <c r="R27" s="437"/>
      <c r="S27" s="437"/>
      <c r="T27" s="130"/>
      <c r="U27" s="130"/>
      <c r="V27" s="128"/>
      <c r="W27" s="85"/>
      <c r="X27" s="67"/>
    </row>
    <row r="28" spans="1:25" ht="15" customHeight="1">
      <c r="A28" s="426">
        <v>46025</v>
      </c>
      <c r="B28" s="429" t="s">
        <v>44</v>
      </c>
      <c r="C28" s="432" t="s">
        <v>240</v>
      </c>
      <c r="D28" s="19" t="s">
        <v>37</v>
      </c>
      <c r="E28" s="19" t="s">
        <v>25</v>
      </c>
      <c r="F28" s="39" t="s">
        <v>40</v>
      </c>
      <c r="G28" s="41">
        <v>1649.43</v>
      </c>
      <c r="H28" s="32"/>
      <c r="I28" s="462">
        <v>654</v>
      </c>
      <c r="J28" s="32"/>
      <c r="K28" s="20"/>
      <c r="L28" s="20"/>
      <c r="M28" s="20">
        <v>111900</v>
      </c>
      <c r="N28" s="84">
        <v>14</v>
      </c>
      <c r="O28" s="32">
        <f>Jan!AJ272</f>
        <v>33951</v>
      </c>
      <c r="P28" s="32">
        <f>Jan!AK272</f>
        <v>30625</v>
      </c>
      <c r="Q28" s="32">
        <f>Jan!AI272</f>
        <v>87</v>
      </c>
      <c r="R28" s="435">
        <f>Jan!AJ296</f>
        <v>83409</v>
      </c>
      <c r="S28" s="435">
        <f>Jan!AK296</f>
        <v>78444</v>
      </c>
      <c r="T28" s="20">
        <v>8295</v>
      </c>
      <c r="U28" s="20">
        <v>63</v>
      </c>
      <c r="V28" s="20">
        <f>O28-T28-U28+V4</f>
        <v>49510</v>
      </c>
      <c r="W28" s="77"/>
      <c r="X28" s="36"/>
    </row>
    <row r="29" spans="1:25" ht="15" customHeight="1">
      <c r="A29" s="427"/>
      <c r="B29" s="430"/>
      <c r="C29" s="433"/>
      <c r="D29" s="113" t="s">
        <v>69</v>
      </c>
      <c r="E29" s="438" t="s">
        <v>24</v>
      </c>
      <c r="F29" s="118" t="s">
        <v>48</v>
      </c>
      <c r="G29" s="38"/>
      <c r="H29" s="37"/>
      <c r="I29" s="463"/>
      <c r="J29" s="125"/>
      <c r="K29" s="127"/>
      <c r="L29" s="127"/>
      <c r="M29" s="127"/>
      <c r="N29" s="81"/>
      <c r="O29" s="125">
        <f>Jan!AJ273</f>
        <v>7357</v>
      </c>
      <c r="P29" s="125">
        <f>Jan!AK273</f>
        <v>785</v>
      </c>
      <c r="Q29" s="125">
        <f>Jan!AI273</f>
        <v>3</v>
      </c>
      <c r="R29" s="436"/>
      <c r="S29" s="436"/>
      <c r="T29" s="127"/>
      <c r="U29" s="127"/>
      <c r="V29" s="127">
        <f>O29-T29-U29+V5</f>
        <v>9079</v>
      </c>
      <c r="W29" s="46"/>
      <c r="X29" s="67"/>
    </row>
    <row r="30" spans="1:25" ht="15" customHeight="1">
      <c r="A30" s="427"/>
      <c r="B30" s="431"/>
      <c r="C30" s="434"/>
      <c r="D30" s="113" t="s">
        <v>69</v>
      </c>
      <c r="E30" s="431"/>
      <c r="F30" s="114" t="s">
        <v>40</v>
      </c>
      <c r="G30" s="135"/>
      <c r="H30" s="135"/>
      <c r="I30" s="463"/>
      <c r="J30" s="125"/>
      <c r="K30" s="18">
        <v>15500</v>
      </c>
      <c r="L30" s="127">
        <v>2</v>
      </c>
      <c r="M30" s="127">
        <v>88000</v>
      </c>
      <c r="N30" s="81">
        <v>11</v>
      </c>
      <c r="O30" s="126">
        <f>Jan!AJ274</f>
        <v>6318</v>
      </c>
      <c r="P30" s="125">
        <f>Jan!AK274</f>
        <v>14742</v>
      </c>
      <c r="Q30" s="125">
        <f>Jan!AI274</f>
        <v>41</v>
      </c>
      <c r="R30" s="436"/>
      <c r="S30" s="436"/>
      <c r="T30" s="127"/>
      <c r="U30" s="127"/>
      <c r="V30" s="127">
        <f>O30-T30-U30+V6</f>
        <v>7535</v>
      </c>
      <c r="W30" s="46"/>
      <c r="X30" s="67"/>
    </row>
    <row r="31" spans="1:25">
      <c r="A31" s="427"/>
      <c r="B31" s="439" t="s">
        <v>45</v>
      </c>
      <c r="C31" s="440" t="s">
        <v>59</v>
      </c>
      <c r="D31" s="118" t="s">
        <v>75</v>
      </c>
      <c r="E31" s="131" t="s">
        <v>25</v>
      </c>
      <c r="F31" s="131" t="s">
        <v>57</v>
      </c>
      <c r="G31" s="87"/>
      <c r="H31" s="136"/>
      <c r="I31" s="463"/>
      <c r="J31" s="2"/>
      <c r="K31" s="127"/>
      <c r="L31" s="18"/>
      <c r="M31" s="18">
        <v>105900</v>
      </c>
      <c r="N31" s="80">
        <v>21</v>
      </c>
      <c r="O31" s="126">
        <f>Jan!AJ280</f>
        <v>11794</v>
      </c>
      <c r="P31" s="126">
        <f>Jan!AK280</f>
        <v>10511</v>
      </c>
      <c r="Q31" s="2">
        <f>Jan!AI280</f>
        <v>48</v>
      </c>
      <c r="R31" s="436"/>
      <c r="S31" s="436"/>
      <c r="T31" s="18">
        <v>18671</v>
      </c>
      <c r="U31" s="18"/>
      <c r="V31" s="18">
        <f>O31-T31-U31+V8</f>
        <v>73838</v>
      </c>
      <c r="W31" s="46"/>
      <c r="Y31" s="13"/>
    </row>
    <row r="32" spans="1:25">
      <c r="A32" s="427"/>
      <c r="B32" s="439"/>
      <c r="C32" s="440"/>
      <c r="D32" s="118" t="s">
        <v>72</v>
      </c>
      <c r="E32" s="155" t="s">
        <v>24</v>
      </c>
      <c r="F32" s="131" t="s">
        <v>57</v>
      </c>
      <c r="G32" s="136"/>
      <c r="H32" s="136"/>
      <c r="I32" s="463"/>
      <c r="J32" s="126"/>
      <c r="K32" s="127"/>
      <c r="L32" s="18"/>
      <c r="M32" s="18">
        <v>15000</v>
      </c>
      <c r="N32" s="80">
        <v>3</v>
      </c>
      <c r="O32" s="126">
        <f>Jan!AJ281</f>
        <v>4057</v>
      </c>
      <c r="P32" s="126">
        <f>Jan!AK281</f>
        <v>3867</v>
      </c>
      <c r="Q32" s="126">
        <f>Jan!AI281</f>
        <v>17</v>
      </c>
      <c r="R32" s="436"/>
      <c r="S32" s="436"/>
      <c r="T32" s="18"/>
      <c r="U32" s="18"/>
      <c r="V32" s="18">
        <f>O32-T32-U32+V10</f>
        <v>9571</v>
      </c>
      <c r="W32" s="46"/>
      <c r="Y32" s="13"/>
    </row>
    <row r="33" spans="1:25">
      <c r="A33" s="427"/>
      <c r="B33" s="439"/>
      <c r="C33" s="440"/>
      <c r="D33" s="115" t="s">
        <v>79</v>
      </c>
      <c r="E33" s="118" t="s">
        <v>65</v>
      </c>
      <c r="F33" s="131" t="s">
        <v>57</v>
      </c>
      <c r="G33" s="136"/>
      <c r="H33" s="136"/>
      <c r="I33" s="463"/>
      <c r="J33" s="126"/>
      <c r="K33" s="127"/>
      <c r="L33" s="18"/>
      <c r="M33" s="18">
        <v>30000</v>
      </c>
      <c r="N33" s="80">
        <v>6</v>
      </c>
      <c r="O33" s="126"/>
      <c r="P33" s="126">
        <f>Jan!AK282</f>
        <v>1073</v>
      </c>
      <c r="Q33" s="126">
        <f>Jan!AI282</f>
        <v>5</v>
      </c>
      <c r="R33" s="436"/>
      <c r="S33" s="436"/>
      <c r="T33" s="18"/>
      <c r="U33" s="18"/>
      <c r="V33" s="18">
        <f>O33-T33-U33+V12</f>
        <v>1000</v>
      </c>
      <c r="W33" s="46"/>
      <c r="Y33" s="13"/>
    </row>
    <row r="34" spans="1:25" ht="14.25" customHeight="1">
      <c r="A34" s="427"/>
      <c r="B34" s="442" t="s">
        <v>53</v>
      </c>
      <c r="C34" s="444" t="s">
        <v>60</v>
      </c>
      <c r="D34" s="43" t="s">
        <v>95</v>
      </c>
      <c r="E34" s="441" t="s">
        <v>66</v>
      </c>
      <c r="F34" s="118" t="s">
        <v>54</v>
      </c>
      <c r="G34" s="136"/>
      <c r="H34" s="136"/>
      <c r="I34" s="463"/>
      <c r="J34" s="126"/>
      <c r="K34" s="127"/>
      <c r="L34" s="18"/>
      <c r="M34" s="18"/>
      <c r="N34" s="80"/>
      <c r="O34" s="126">
        <f>Jan!AJ277</f>
        <v>7532</v>
      </c>
      <c r="P34" s="126">
        <f>Jan!AK277</f>
        <v>3902</v>
      </c>
      <c r="Q34" s="126">
        <f>Jan!AI277</f>
        <v>12</v>
      </c>
      <c r="R34" s="436"/>
      <c r="S34" s="436"/>
      <c r="T34" s="18"/>
      <c r="U34" s="18"/>
      <c r="V34" s="18">
        <f>O34-T34-U34+V15</f>
        <v>19517</v>
      </c>
      <c r="W34" s="45"/>
      <c r="X34" s="36"/>
    </row>
    <row r="35" spans="1:25" ht="14.25" customHeight="1">
      <c r="A35" s="427"/>
      <c r="B35" s="443"/>
      <c r="C35" s="446"/>
      <c r="D35" s="43" t="s">
        <v>98</v>
      </c>
      <c r="E35" s="425"/>
      <c r="F35" s="118" t="s">
        <v>54</v>
      </c>
      <c r="G35" s="136"/>
      <c r="H35" s="37"/>
      <c r="I35" s="463"/>
      <c r="J35" s="126"/>
      <c r="K35" s="18">
        <v>22900</v>
      </c>
      <c r="L35" s="18">
        <v>4</v>
      </c>
      <c r="M35" s="18">
        <v>34900</v>
      </c>
      <c r="N35" s="80">
        <v>6</v>
      </c>
      <c r="O35" s="126">
        <f>Jan!AJ278</f>
        <v>11600</v>
      </c>
      <c r="P35" s="126">
        <f>Jan!AK278</f>
        <v>11044</v>
      </c>
      <c r="Q35" s="126">
        <f>Jan!AI278</f>
        <v>34</v>
      </c>
      <c r="R35" s="436"/>
      <c r="S35" s="436"/>
      <c r="T35" s="18"/>
      <c r="U35" s="18"/>
      <c r="V35" s="18">
        <f>O35-T35-U35+V16</f>
        <v>13303</v>
      </c>
      <c r="W35" s="45"/>
      <c r="X35" s="36"/>
    </row>
    <row r="36" spans="1:25" ht="14.25" customHeight="1">
      <c r="A36" s="427"/>
      <c r="B36" s="122" t="s">
        <v>55</v>
      </c>
      <c r="C36" s="180" t="s">
        <v>133</v>
      </c>
      <c r="D36" s="48" t="s">
        <v>56</v>
      </c>
      <c r="E36" s="424" t="s">
        <v>25</v>
      </c>
      <c r="F36" s="118" t="s">
        <v>67</v>
      </c>
      <c r="G36" s="136"/>
      <c r="H36" s="37"/>
      <c r="I36" s="463"/>
      <c r="J36" s="126"/>
      <c r="K36" s="18"/>
      <c r="L36" s="18"/>
      <c r="M36" s="18"/>
      <c r="N36" s="80"/>
      <c r="O36" s="126">
        <f>Jan!AJ295</f>
        <v>800</v>
      </c>
      <c r="P36" s="126">
        <f>Jan!AK295</f>
        <v>447</v>
      </c>
      <c r="Q36" s="126">
        <f>Jan!AI295</f>
        <v>1</v>
      </c>
      <c r="R36" s="436"/>
      <c r="S36" s="436"/>
      <c r="T36" s="18"/>
      <c r="U36" s="18"/>
      <c r="V36" s="18">
        <f>O36-T36-U36+V19</f>
        <v>800</v>
      </c>
      <c r="W36" s="45"/>
      <c r="X36" s="67"/>
    </row>
    <row r="37" spans="1:25" ht="15.75" customHeight="1">
      <c r="A37" s="427"/>
      <c r="B37" s="122" t="s">
        <v>58</v>
      </c>
      <c r="C37" s="180" t="s">
        <v>136</v>
      </c>
      <c r="D37" s="48" t="s">
        <v>56</v>
      </c>
      <c r="E37" s="441"/>
      <c r="F37" s="155" t="s">
        <v>67</v>
      </c>
      <c r="G37" s="131"/>
      <c r="H37" s="158"/>
      <c r="I37" s="463"/>
      <c r="J37" s="154"/>
      <c r="K37" s="128"/>
      <c r="L37" s="128"/>
      <c r="M37" s="128"/>
      <c r="N37" s="128"/>
      <c r="O37" s="158"/>
      <c r="P37" s="158"/>
      <c r="Q37" s="158"/>
      <c r="R37" s="436"/>
      <c r="S37" s="436"/>
      <c r="T37" s="18"/>
      <c r="U37" s="18"/>
      <c r="V37" s="18">
        <f>O37-T37-U37+V20</f>
        <v>43</v>
      </c>
      <c r="W37" s="45"/>
      <c r="X37" s="67"/>
    </row>
    <row r="38" spans="1:25" ht="15.75" customHeight="1">
      <c r="A38" s="427"/>
      <c r="B38" s="122" t="s">
        <v>47</v>
      </c>
      <c r="C38" s="180" t="s">
        <v>100</v>
      </c>
      <c r="D38" s="48" t="s">
        <v>99</v>
      </c>
      <c r="E38" s="441"/>
      <c r="F38" s="118" t="s">
        <v>71</v>
      </c>
      <c r="G38" s="119"/>
      <c r="H38" s="126"/>
      <c r="I38" s="463"/>
      <c r="J38" s="2"/>
      <c r="K38" s="18"/>
      <c r="L38" s="18"/>
      <c r="M38" s="18"/>
      <c r="N38" s="18"/>
      <c r="O38" s="126"/>
      <c r="P38" s="126">
        <f>Jan!AK284</f>
        <v>236</v>
      </c>
      <c r="Q38" s="126">
        <f>Jan!AI284</f>
        <v>1</v>
      </c>
      <c r="R38" s="436"/>
      <c r="S38" s="436"/>
      <c r="T38" s="18"/>
      <c r="U38" s="18"/>
      <c r="V38" s="18"/>
      <c r="W38" s="45"/>
      <c r="X38" s="67"/>
    </row>
    <row r="39" spans="1:25" ht="15.75" customHeight="1">
      <c r="A39" s="427"/>
      <c r="B39" s="442" t="s">
        <v>122</v>
      </c>
      <c r="C39" s="444" t="s">
        <v>123</v>
      </c>
      <c r="D39" s="48" t="s">
        <v>56</v>
      </c>
      <c r="E39" s="441"/>
      <c r="F39" s="118" t="s">
        <v>64</v>
      </c>
      <c r="G39" s="162">
        <v>1763.2</v>
      </c>
      <c r="H39" s="126"/>
      <c r="I39" s="463"/>
      <c r="J39" s="2"/>
      <c r="K39" s="18">
        <v>15200</v>
      </c>
      <c r="L39" s="18">
        <v>5</v>
      </c>
      <c r="M39" s="18"/>
      <c r="N39" s="18"/>
      <c r="O39" s="126"/>
      <c r="P39" s="126">
        <f>Jan!AK285</f>
        <v>1212</v>
      </c>
      <c r="Q39" s="126">
        <f>Jan!AI285</f>
        <v>5</v>
      </c>
      <c r="R39" s="436"/>
      <c r="S39" s="436"/>
      <c r="T39" s="18"/>
      <c r="U39" s="18"/>
      <c r="V39" s="18"/>
      <c r="W39" s="45"/>
      <c r="X39" s="67"/>
    </row>
    <row r="40" spans="1:25" ht="15.75" customHeight="1">
      <c r="A40" s="427"/>
      <c r="B40" s="443"/>
      <c r="C40" s="446"/>
      <c r="D40" s="48" t="s">
        <v>129</v>
      </c>
      <c r="E40" s="441"/>
      <c r="F40" s="118"/>
      <c r="G40" s="162"/>
      <c r="H40" s="126">
        <v>750</v>
      </c>
      <c r="I40" s="463"/>
      <c r="J40" s="2"/>
      <c r="K40" s="18"/>
      <c r="L40" s="18"/>
      <c r="M40" s="18"/>
      <c r="N40" s="18"/>
      <c r="O40" s="126"/>
      <c r="P40" s="126"/>
      <c r="Q40" s="126"/>
      <c r="R40" s="436"/>
      <c r="S40" s="436"/>
      <c r="T40" s="18"/>
      <c r="U40" s="18"/>
      <c r="V40" s="18"/>
      <c r="W40" s="45"/>
      <c r="X40" s="67"/>
    </row>
    <row r="41" spans="1:25" ht="17.25" customHeight="1">
      <c r="A41" s="427"/>
      <c r="B41" s="122" t="s">
        <v>125</v>
      </c>
      <c r="C41" s="180" t="s">
        <v>88</v>
      </c>
      <c r="D41" s="48" t="s">
        <v>124</v>
      </c>
      <c r="E41" s="441"/>
      <c r="F41" s="118" t="s">
        <v>64</v>
      </c>
      <c r="G41" s="162">
        <v>1931.7</v>
      </c>
      <c r="H41" s="37"/>
      <c r="I41" s="463"/>
      <c r="J41" s="2"/>
      <c r="K41" s="18">
        <v>22200</v>
      </c>
      <c r="L41" s="18">
        <v>3</v>
      </c>
      <c r="M41" s="18">
        <v>14800</v>
      </c>
      <c r="N41" s="18">
        <v>2</v>
      </c>
      <c r="O41" s="126"/>
      <c r="P41" s="126"/>
      <c r="Q41" s="126">
        <f>Jan!AI283</f>
        <v>3</v>
      </c>
      <c r="R41" s="436"/>
      <c r="S41" s="436"/>
      <c r="T41" s="18"/>
      <c r="U41" s="18"/>
      <c r="V41" s="18"/>
      <c r="W41" s="45"/>
      <c r="X41" s="67"/>
    </row>
    <row r="42" spans="1:25" ht="17.25" customHeight="1">
      <c r="A42" s="427"/>
      <c r="B42" s="122" t="s">
        <v>101</v>
      </c>
      <c r="C42" s="180" t="s">
        <v>193</v>
      </c>
      <c r="D42" s="48" t="s">
        <v>102</v>
      </c>
      <c r="E42" s="441"/>
      <c r="F42" s="118" t="s">
        <v>64</v>
      </c>
      <c r="G42" s="119"/>
      <c r="H42" s="126"/>
      <c r="I42" s="463"/>
      <c r="J42" s="2"/>
      <c r="K42" s="18"/>
      <c r="L42" s="18"/>
      <c r="M42" s="18"/>
      <c r="N42" s="18"/>
      <c r="O42" s="126"/>
      <c r="P42" s="126"/>
      <c r="Q42" s="126">
        <f>Jan!AI290</f>
        <v>1</v>
      </c>
      <c r="R42" s="436"/>
      <c r="S42" s="436"/>
      <c r="T42" s="18"/>
      <c r="U42" s="18"/>
      <c r="V42" s="18"/>
      <c r="W42" s="45"/>
      <c r="X42" s="67"/>
    </row>
    <row r="43" spans="1:25" ht="17.25" customHeight="1">
      <c r="A43" s="427"/>
      <c r="B43" s="122" t="s">
        <v>103</v>
      </c>
      <c r="C43" s="180" t="s">
        <v>197</v>
      </c>
      <c r="D43" s="48" t="s">
        <v>104</v>
      </c>
      <c r="E43" s="441"/>
      <c r="F43" s="118" t="s">
        <v>105</v>
      </c>
      <c r="G43" s="119"/>
      <c r="H43" s="126"/>
      <c r="I43" s="463"/>
      <c r="J43" s="2"/>
      <c r="K43" s="18"/>
      <c r="L43" s="18"/>
      <c r="M43" s="18"/>
      <c r="N43" s="18"/>
      <c r="O43" s="126"/>
      <c r="P43" s="126"/>
      <c r="Q43" s="126">
        <f>Jan!AI291</f>
        <v>1</v>
      </c>
      <c r="R43" s="436"/>
      <c r="S43" s="436"/>
      <c r="T43" s="18"/>
      <c r="U43" s="18"/>
      <c r="V43" s="18"/>
      <c r="W43" s="45"/>
      <c r="X43" s="67"/>
    </row>
    <row r="44" spans="1:25" ht="17.25" customHeight="1">
      <c r="A44" s="427"/>
      <c r="B44" s="137" t="s">
        <v>112</v>
      </c>
      <c r="C44" s="157" t="s">
        <v>197</v>
      </c>
      <c r="D44" s="48" t="s">
        <v>104</v>
      </c>
      <c r="E44" s="441"/>
      <c r="F44" s="118" t="s">
        <v>113</v>
      </c>
      <c r="G44" s="119"/>
      <c r="H44" s="126"/>
      <c r="I44" s="463"/>
      <c r="J44" s="2"/>
      <c r="K44" s="18"/>
      <c r="L44" s="18"/>
      <c r="M44" s="18"/>
      <c r="N44" s="18"/>
      <c r="O44" s="126"/>
      <c r="P44" s="126"/>
      <c r="Q44" s="126">
        <f>Jan!AI294</f>
        <v>1</v>
      </c>
      <c r="R44" s="436"/>
      <c r="S44" s="436"/>
      <c r="T44" s="18"/>
      <c r="U44" s="18"/>
      <c r="V44" s="18"/>
      <c r="W44" s="45"/>
      <c r="X44" s="67"/>
    </row>
    <row r="45" spans="1:25" ht="17.25" customHeight="1">
      <c r="A45" s="427"/>
      <c r="B45" s="137" t="s">
        <v>106</v>
      </c>
      <c r="C45" s="157" t="s">
        <v>141</v>
      </c>
      <c r="D45" s="48" t="s">
        <v>68</v>
      </c>
      <c r="E45" s="441"/>
      <c r="F45" s="118" t="s">
        <v>67</v>
      </c>
      <c r="G45" s="119"/>
      <c r="H45" s="126"/>
      <c r="I45" s="463"/>
      <c r="J45" s="2"/>
      <c r="K45" s="18"/>
      <c r="L45" s="18"/>
      <c r="M45" s="18"/>
      <c r="N45" s="18"/>
      <c r="O45" s="126"/>
      <c r="P45" s="126"/>
      <c r="Q45" s="126">
        <f>Jan!AI292</f>
        <v>1</v>
      </c>
      <c r="R45" s="436"/>
      <c r="S45" s="436"/>
      <c r="T45" s="18"/>
      <c r="U45" s="18"/>
      <c r="V45" s="18"/>
      <c r="W45" s="45"/>
      <c r="X45" s="67"/>
    </row>
    <row r="46" spans="1:25" ht="17.25" customHeight="1" thickBot="1">
      <c r="A46" s="428"/>
      <c r="B46" s="44" t="s">
        <v>107</v>
      </c>
      <c r="C46" s="181" t="s">
        <v>195</v>
      </c>
      <c r="D46" s="61" t="s">
        <v>108</v>
      </c>
      <c r="E46" s="447"/>
      <c r="F46" s="133" t="s">
        <v>48</v>
      </c>
      <c r="G46" s="132"/>
      <c r="H46" s="109"/>
      <c r="I46" s="464"/>
      <c r="J46" s="129"/>
      <c r="K46" s="130"/>
      <c r="L46" s="130"/>
      <c r="M46" s="130"/>
      <c r="N46" s="130"/>
      <c r="O46" s="134"/>
      <c r="P46" s="134"/>
      <c r="Q46" s="134">
        <f>Jan!AI293</f>
        <v>1</v>
      </c>
      <c r="R46" s="437"/>
      <c r="S46" s="437"/>
      <c r="T46" s="130"/>
      <c r="U46" s="130"/>
      <c r="V46" s="128"/>
      <c r="W46" s="85"/>
      <c r="X46" s="67"/>
    </row>
    <row r="47" spans="1:25" ht="15" customHeight="1">
      <c r="A47" s="426">
        <v>46027</v>
      </c>
      <c r="B47" s="429" t="s">
        <v>44</v>
      </c>
      <c r="C47" s="432" t="s">
        <v>240</v>
      </c>
      <c r="D47" s="19" t="s">
        <v>37</v>
      </c>
      <c r="E47" s="19" t="s">
        <v>25</v>
      </c>
      <c r="F47" s="39" t="s">
        <v>40</v>
      </c>
      <c r="G47" s="41"/>
      <c r="H47" s="32"/>
      <c r="I47" s="32"/>
      <c r="J47" s="32"/>
      <c r="K47" s="20"/>
      <c r="L47" s="20"/>
      <c r="M47" s="20">
        <v>111900</v>
      </c>
      <c r="N47" s="84">
        <v>14</v>
      </c>
      <c r="O47" s="32">
        <f>Jan!AP272</f>
        <v>43610</v>
      </c>
      <c r="P47" s="32">
        <f>Jan!AQ272</f>
        <v>31751</v>
      </c>
      <c r="Q47" s="32">
        <f>Jan!AO272</f>
        <v>85</v>
      </c>
      <c r="R47" s="435">
        <f>Jan!AP296</f>
        <v>85689</v>
      </c>
      <c r="S47" s="435">
        <f>Jan!AQ296</f>
        <v>82080</v>
      </c>
      <c r="T47" s="20">
        <v>69055</v>
      </c>
      <c r="U47" s="20">
        <v>14</v>
      </c>
      <c r="V47" s="20">
        <f>O47-T47-U47+V28</f>
        <v>24051</v>
      </c>
      <c r="W47" s="77"/>
      <c r="X47" s="36"/>
    </row>
    <row r="48" spans="1:25" ht="15" customHeight="1">
      <c r="A48" s="427"/>
      <c r="B48" s="430"/>
      <c r="C48" s="433"/>
      <c r="D48" s="113" t="s">
        <v>69</v>
      </c>
      <c r="E48" s="438" t="s">
        <v>24</v>
      </c>
      <c r="F48" s="118" t="s">
        <v>48</v>
      </c>
      <c r="G48" s="38"/>
      <c r="H48" s="37"/>
      <c r="I48" s="125"/>
      <c r="J48" s="125"/>
      <c r="K48" s="127"/>
      <c r="L48" s="127"/>
      <c r="M48" s="127"/>
      <c r="N48" s="81"/>
      <c r="O48" s="125"/>
      <c r="P48" s="125"/>
      <c r="Q48" s="125"/>
      <c r="R48" s="436"/>
      <c r="S48" s="436"/>
      <c r="T48" s="127">
        <v>8972</v>
      </c>
      <c r="U48" s="127">
        <v>29</v>
      </c>
      <c r="V48" s="127"/>
      <c r="W48" s="46"/>
      <c r="X48" s="67"/>
    </row>
    <row r="49" spans="1:25" ht="15" customHeight="1">
      <c r="A49" s="427"/>
      <c r="B49" s="431"/>
      <c r="C49" s="434"/>
      <c r="D49" s="113" t="s">
        <v>69</v>
      </c>
      <c r="E49" s="431"/>
      <c r="F49" s="114" t="s">
        <v>40</v>
      </c>
      <c r="G49" s="135"/>
      <c r="H49" s="135"/>
      <c r="I49" s="125"/>
      <c r="J49" s="125"/>
      <c r="K49" s="18"/>
      <c r="L49" s="127"/>
      <c r="M49" s="127">
        <v>88000</v>
      </c>
      <c r="N49" s="81">
        <v>11</v>
      </c>
      <c r="O49" s="126">
        <f>Jan!AP274</f>
        <v>8876</v>
      </c>
      <c r="P49" s="125">
        <f>Jan!AQ274</f>
        <v>15556</v>
      </c>
      <c r="Q49" s="125">
        <f>Jan!AO274</f>
        <v>41</v>
      </c>
      <c r="R49" s="436"/>
      <c r="S49" s="436"/>
      <c r="T49" s="127">
        <v>18585</v>
      </c>
      <c r="U49" s="127"/>
      <c r="V49" s="127"/>
      <c r="W49" s="46"/>
      <c r="X49" s="67"/>
    </row>
    <row r="50" spans="1:25">
      <c r="A50" s="427"/>
      <c r="B50" s="439" t="s">
        <v>45</v>
      </c>
      <c r="C50" s="440" t="s">
        <v>59</v>
      </c>
      <c r="D50" s="118" t="s">
        <v>75</v>
      </c>
      <c r="E50" s="131" t="s">
        <v>25</v>
      </c>
      <c r="F50" s="131" t="s">
        <v>57</v>
      </c>
      <c r="G50" s="87"/>
      <c r="H50" s="136"/>
      <c r="I50" s="126"/>
      <c r="J50" s="2"/>
      <c r="K50" s="127"/>
      <c r="L50" s="18"/>
      <c r="M50" s="18">
        <v>105900</v>
      </c>
      <c r="N50" s="80">
        <v>21</v>
      </c>
      <c r="O50" s="126">
        <f>Jan!AP280</f>
        <v>9861</v>
      </c>
      <c r="P50" s="126">
        <f>Jan!AQ280</f>
        <v>8642</v>
      </c>
      <c r="Q50" s="2">
        <f>Jan!AO280</f>
        <v>39</v>
      </c>
      <c r="R50" s="436"/>
      <c r="S50" s="436"/>
      <c r="T50" s="18">
        <v>11753</v>
      </c>
      <c r="U50" s="18"/>
      <c r="V50" s="18">
        <f>O50-T50-U50+V31</f>
        <v>71946</v>
      </c>
      <c r="W50" s="46"/>
      <c r="Y50" s="13"/>
    </row>
    <row r="51" spans="1:25">
      <c r="A51" s="427"/>
      <c r="B51" s="439"/>
      <c r="C51" s="440"/>
      <c r="D51" s="118" t="s">
        <v>72</v>
      </c>
      <c r="E51" s="155" t="s">
        <v>24</v>
      </c>
      <c r="F51" s="131" t="s">
        <v>57</v>
      </c>
      <c r="G51" s="136"/>
      <c r="H51" s="136"/>
      <c r="I51" s="126"/>
      <c r="J51" s="126"/>
      <c r="K51" s="127"/>
      <c r="L51" s="18"/>
      <c r="M51" s="18">
        <v>15000</v>
      </c>
      <c r="N51" s="80">
        <v>3</v>
      </c>
      <c r="O51" s="126">
        <f>Jan!AP281</f>
        <v>9085</v>
      </c>
      <c r="P51" s="126">
        <f>Jan!AQ281</f>
        <v>4079</v>
      </c>
      <c r="Q51" s="126">
        <f>Jan!AO281</f>
        <v>17</v>
      </c>
      <c r="R51" s="436"/>
      <c r="S51" s="436"/>
      <c r="T51" s="18"/>
      <c r="U51" s="18"/>
      <c r="V51" s="18">
        <f>O51-T51-U51+V32</f>
        <v>18656</v>
      </c>
      <c r="W51" s="46"/>
      <c r="Y51" s="13"/>
    </row>
    <row r="52" spans="1:25">
      <c r="A52" s="427"/>
      <c r="B52" s="439"/>
      <c r="C52" s="440"/>
      <c r="D52" s="115" t="s">
        <v>79</v>
      </c>
      <c r="E52" s="118" t="s">
        <v>65</v>
      </c>
      <c r="F52" s="131" t="s">
        <v>57</v>
      </c>
      <c r="G52" s="136">
        <v>3416.6</v>
      </c>
      <c r="H52" s="136"/>
      <c r="I52" s="126"/>
      <c r="J52" s="126"/>
      <c r="K52" s="127">
        <v>30000</v>
      </c>
      <c r="L52" s="18">
        <v>6</v>
      </c>
      <c r="M52" s="18">
        <v>44000</v>
      </c>
      <c r="N52" s="80">
        <v>9</v>
      </c>
      <c r="O52" s="126"/>
      <c r="P52" s="126">
        <f>Jan!AQ282</f>
        <v>2283</v>
      </c>
      <c r="Q52" s="126">
        <f>Jan!AO282</f>
        <v>11</v>
      </c>
      <c r="R52" s="436"/>
      <c r="S52" s="436"/>
      <c r="T52" s="18"/>
      <c r="U52" s="18"/>
      <c r="V52" s="18">
        <f>O52-T52-U52+V33</f>
        <v>1000</v>
      </c>
      <c r="W52" s="46"/>
      <c r="Y52" s="13"/>
    </row>
    <row r="53" spans="1:25" ht="14.25" customHeight="1">
      <c r="A53" s="427"/>
      <c r="B53" s="442" t="s">
        <v>53</v>
      </c>
      <c r="C53" s="444" t="s">
        <v>60</v>
      </c>
      <c r="D53" s="43" t="s">
        <v>89</v>
      </c>
      <c r="E53" s="441" t="s">
        <v>66</v>
      </c>
      <c r="F53" s="118" t="s">
        <v>54</v>
      </c>
      <c r="G53" s="136"/>
      <c r="H53" s="136"/>
      <c r="I53" s="126"/>
      <c r="J53" s="126"/>
      <c r="K53" s="127"/>
      <c r="L53" s="18"/>
      <c r="M53" s="18"/>
      <c r="N53" s="80"/>
      <c r="O53" s="126"/>
      <c r="P53" s="126"/>
      <c r="Q53" s="126"/>
      <c r="R53" s="436"/>
      <c r="S53" s="436"/>
      <c r="T53" s="153"/>
      <c r="U53" s="153"/>
      <c r="V53" s="153"/>
      <c r="W53" s="46"/>
      <c r="X53" s="36"/>
    </row>
    <row r="54" spans="1:25" ht="14.25" customHeight="1">
      <c r="A54" s="427"/>
      <c r="B54" s="439"/>
      <c r="C54" s="445"/>
      <c r="D54" s="43" t="s">
        <v>95</v>
      </c>
      <c r="E54" s="441"/>
      <c r="F54" s="118" t="s">
        <v>54</v>
      </c>
      <c r="G54" s="136"/>
      <c r="H54" s="136"/>
      <c r="I54" s="126"/>
      <c r="J54" s="126"/>
      <c r="K54" s="127"/>
      <c r="L54" s="18"/>
      <c r="M54" s="18"/>
      <c r="N54" s="80"/>
      <c r="O54" s="126">
        <f>Jan!AP277</f>
        <v>3395</v>
      </c>
      <c r="P54" s="126">
        <f>Jan!AQ277</f>
        <v>3081</v>
      </c>
      <c r="Q54" s="126">
        <f>Jan!AO277</f>
        <v>9</v>
      </c>
      <c r="R54" s="436"/>
      <c r="S54" s="436"/>
      <c r="T54" s="18">
        <v>16577</v>
      </c>
      <c r="U54" s="18">
        <v>2</v>
      </c>
      <c r="V54" s="18">
        <f>O54-T54-U54+V34</f>
        <v>6333</v>
      </c>
      <c r="W54" s="45"/>
      <c r="X54" s="36"/>
    </row>
    <row r="55" spans="1:25" ht="14.25" customHeight="1">
      <c r="A55" s="427"/>
      <c r="B55" s="443"/>
      <c r="C55" s="446"/>
      <c r="D55" s="43" t="s">
        <v>98</v>
      </c>
      <c r="E55" s="425"/>
      <c r="F55" s="118" t="s">
        <v>54</v>
      </c>
      <c r="G55" s="136"/>
      <c r="H55" s="37"/>
      <c r="I55" s="126"/>
      <c r="J55" s="126"/>
      <c r="K55" s="18">
        <v>16900</v>
      </c>
      <c r="L55" s="18">
        <v>3</v>
      </c>
      <c r="M55" s="18">
        <v>18000</v>
      </c>
      <c r="N55" s="80">
        <v>3</v>
      </c>
      <c r="O55" s="126">
        <f>Jan!AP278</f>
        <v>8237</v>
      </c>
      <c r="P55" s="126">
        <f>Jan!AQ278</f>
        <v>12775</v>
      </c>
      <c r="Q55" s="126">
        <f>Jan!AO278</f>
        <v>37</v>
      </c>
      <c r="R55" s="436"/>
      <c r="S55" s="436"/>
      <c r="T55" s="18">
        <v>20079</v>
      </c>
      <c r="U55" s="18"/>
      <c r="V55" s="18">
        <f>O55-T55-U55+V35</f>
        <v>1461</v>
      </c>
      <c r="W55" s="45"/>
      <c r="X55" s="36"/>
    </row>
    <row r="56" spans="1:25" ht="14.25" customHeight="1">
      <c r="A56" s="427"/>
      <c r="B56" s="122" t="s">
        <v>55</v>
      </c>
      <c r="C56" s="180" t="s">
        <v>133</v>
      </c>
      <c r="D56" s="48" t="s">
        <v>56</v>
      </c>
      <c r="E56" s="424" t="s">
        <v>25</v>
      </c>
      <c r="F56" s="118" t="s">
        <v>67</v>
      </c>
      <c r="G56" s="136"/>
      <c r="H56" s="37"/>
      <c r="I56" s="126"/>
      <c r="J56" s="126"/>
      <c r="K56" s="18"/>
      <c r="L56" s="18"/>
      <c r="M56" s="18"/>
      <c r="N56" s="80"/>
      <c r="O56" s="126"/>
      <c r="P56" s="126">
        <f>Jan!AQ295</f>
        <v>465</v>
      </c>
      <c r="Q56" s="126">
        <f>Jan!AO295</f>
        <v>1</v>
      </c>
      <c r="R56" s="436"/>
      <c r="S56" s="436"/>
      <c r="T56" s="18">
        <v>800</v>
      </c>
      <c r="U56" s="18"/>
      <c r="V56" s="18"/>
      <c r="W56" s="45"/>
      <c r="X56" s="67"/>
    </row>
    <row r="57" spans="1:25" ht="14.25" customHeight="1">
      <c r="A57" s="427"/>
      <c r="B57" s="122" t="s">
        <v>122</v>
      </c>
      <c r="C57" s="180" t="s">
        <v>123</v>
      </c>
      <c r="D57" s="48" t="s">
        <v>56</v>
      </c>
      <c r="E57" s="441"/>
      <c r="F57" s="155" t="s">
        <v>64</v>
      </c>
      <c r="G57" s="136"/>
      <c r="H57" s="135"/>
      <c r="I57" s="158"/>
      <c r="J57" s="158"/>
      <c r="K57" s="128"/>
      <c r="L57" s="128"/>
      <c r="M57" s="128"/>
      <c r="N57" s="164"/>
      <c r="O57" s="158">
        <f>Jan!AP285</f>
        <v>1200</v>
      </c>
      <c r="P57" s="158">
        <f>Jan!AQ285</f>
        <v>1675</v>
      </c>
      <c r="Q57" s="158">
        <f>Jan!AO285</f>
        <v>5</v>
      </c>
      <c r="R57" s="436"/>
      <c r="S57" s="436"/>
      <c r="T57" s="18"/>
      <c r="U57" s="18"/>
      <c r="V57" s="18">
        <f>O57-T57-U57+V39</f>
        <v>1200</v>
      </c>
      <c r="W57" s="45"/>
      <c r="X57" s="67"/>
    </row>
    <row r="58" spans="1:25" ht="14.25" customHeight="1">
      <c r="A58" s="427"/>
      <c r="B58" s="122" t="s">
        <v>125</v>
      </c>
      <c r="C58" s="180" t="s">
        <v>88</v>
      </c>
      <c r="D58" s="48" t="s">
        <v>124</v>
      </c>
      <c r="E58" s="441"/>
      <c r="F58" s="118" t="s">
        <v>64</v>
      </c>
      <c r="G58" s="38">
        <v>3477.06</v>
      </c>
      <c r="H58" s="126">
        <v>760</v>
      </c>
      <c r="I58" s="126"/>
      <c r="J58" s="126"/>
      <c r="K58" s="18">
        <v>22200</v>
      </c>
      <c r="L58" s="18">
        <v>3</v>
      </c>
      <c r="M58" s="18">
        <v>59200</v>
      </c>
      <c r="N58" s="80">
        <v>8</v>
      </c>
      <c r="O58" s="126"/>
      <c r="P58" s="126">
        <f>Jan!AQ283</f>
        <v>1025</v>
      </c>
      <c r="Q58" s="126">
        <f>Jan!AO283</f>
        <v>6</v>
      </c>
      <c r="R58" s="436"/>
      <c r="S58" s="436"/>
      <c r="T58" s="18"/>
      <c r="U58" s="18"/>
      <c r="V58" s="18"/>
      <c r="W58" s="45"/>
      <c r="X58" s="67"/>
    </row>
    <row r="59" spans="1:25" ht="22.5" customHeight="1">
      <c r="A59" s="427"/>
      <c r="B59" s="122" t="s">
        <v>58</v>
      </c>
      <c r="C59" s="180" t="s">
        <v>136</v>
      </c>
      <c r="D59" s="48" t="s">
        <v>56</v>
      </c>
      <c r="E59" s="441"/>
      <c r="F59" s="118" t="s">
        <v>67</v>
      </c>
      <c r="G59" s="119"/>
      <c r="H59" s="126"/>
      <c r="I59" s="126"/>
      <c r="J59" s="2"/>
      <c r="K59" s="18"/>
      <c r="L59" s="18"/>
      <c r="M59" s="18"/>
      <c r="N59" s="18"/>
      <c r="O59" s="126"/>
      <c r="P59" s="126"/>
      <c r="Q59" s="126"/>
      <c r="R59" s="436"/>
      <c r="S59" s="436"/>
      <c r="T59" s="18"/>
      <c r="U59" s="18"/>
      <c r="V59" s="18">
        <f>O59-T59-U59+V37</f>
        <v>43</v>
      </c>
      <c r="W59" s="45"/>
      <c r="X59" s="67"/>
    </row>
    <row r="60" spans="1:25" ht="22.5" customHeight="1">
      <c r="A60" s="427"/>
      <c r="B60" s="442" t="s">
        <v>47</v>
      </c>
      <c r="C60" s="444" t="s">
        <v>100</v>
      </c>
      <c r="D60" s="48" t="s">
        <v>99</v>
      </c>
      <c r="E60" s="441"/>
      <c r="F60" s="118" t="s">
        <v>71</v>
      </c>
      <c r="G60" s="126">
        <v>1641</v>
      </c>
      <c r="H60" s="126"/>
      <c r="I60" s="126"/>
      <c r="J60" s="2"/>
      <c r="K60" s="18">
        <v>12000</v>
      </c>
      <c r="L60" s="18">
        <v>2</v>
      </c>
      <c r="M60" s="18">
        <v>18000</v>
      </c>
      <c r="N60" s="18">
        <v>3</v>
      </c>
      <c r="O60" s="126">
        <f>Jan!AP284</f>
        <v>1425</v>
      </c>
      <c r="P60" s="126">
        <f>Jan!AQ284</f>
        <v>748</v>
      </c>
      <c r="Q60" s="126">
        <f>Jan!AO284</f>
        <v>3</v>
      </c>
      <c r="R60" s="436"/>
      <c r="S60" s="436"/>
      <c r="T60" s="18"/>
      <c r="U60" s="18"/>
      <c r="V60" s="18">
        <f>O60-T60-U60</f>
        <v>1425</v>
      </c>
      <c r="W60" s="45"/>
      <c r="X60" s="67"/>
    </row>
    <row r="61" spans="1:25" ht="22.5" customHeight="1">
      <c r="A61" s="427"/>
      <c r="B61" s="443"/>
      <c r="C61" s="446"/>
      <c r="D61" s="48" t="s">
        <v>121</v>
      </c>
      <c r="E61" s="441"/>
      <c r="F61" s="118"/>
      <c r="G61" s="152"/>
      <c r="H61" s="37">
        <v>826.2</v>
      </c>
      <c r="I61" s="126"/>
      <c r="J61" s="2"/>
      <c r="K61" s="18"/>
      <c r="L61" s="18"/>
      <c r="M61" s="18"/>
      <c r="N61" s="18"/>
      <c r="O61" s="126"/>
      <c r="P61" s="126"/>
      <c r="Q61" s="126"/>
      <c r="R61" s="436"/>
      <c r="S61" s="436"/>
      <c r="T61" s="18"/>
      <c r="U61" s="18"/>
      <c r="V61" s="18"/>
      <c r="W61" s="45"/>
      <c r="X61" s="67"/>
    </row>
    <row r="62" spans="1:25" ht="22.5" customHeight="1">
      <c r="A62" s="427"/>
      <c r="B62" s="122" t="s">
        <v>101</v>
      </c>
      <c r="C62" s="180" t="s">
        <v>193</v>
      </c>
      <c r="D62" s="48" t="s">
        <v>102</v>
      </c>
      <c r="E62" s="441"/>
      <c r="F62" s="118" t="s">
        <v>64</v>
      </c>
      <c r="G62" s="119"/>
      <c r="H62" s="126"/>
      <c r="I62" s="126"/>
      <c r="J62" s="2"/>
      <c r="K62" s="18"/>
      <c r="L62" s="18"/>
      <c r="M62" s="18"/>
      <c r="N62" s="18"/>
      <c r="O62" s="126"/>
      <c r="P62" s="126"/>
      <c r="Q62" s="126">
        <f>Jan!AO290</f>
        <v>1</v>
      </c>
      <c r="R62" s="436"/>
      <c r="S62" s="436"/>
      <c r="T62" s="18"/>
      <c r="U62" s="18"/>
      <c r="V62" s="18"/>
      <c r="W62" s="45"/>
      <c r="X62" s="67"/>
    </row>
    <row r="63" spans="1:25" ht="15.75" customHeight="1">
      <c r="A63" s="427"/>
      <c r="B63" s="122" t="s">
        <v>103</v>
      </c>
      <c r="C63" s="180" t="s">
        <v>197</v>
      </c>
      <c r="D63" s="48" t="s">
        <v>104</v>
      </c>
      <c r="E63" s="441"/>
      <c r="F63" s="118" t="s">
        <v>105</v>
      </c>
      <c r="G63" s="119"/>
      <c r="H63" s="126"/>
      <c r="I63" s="126"/>
      <c r="J63" s="2"/>
      <c r="K63" s="18"/>
      <c r="L63" s="18"/>
      <c r="M63" s="18"/>
      <c r="N63" s="18"/>
      <c r="O63" s="126"/>
      <c r="P63" s="126"/>
      <c r="Q63" s="126">
        <f>Jan!AO291</f>
        <v>1</v>
      </c>
      <c r="R63" s="436"/>
      <c r="S63" s="436"/>
      <c r="T63" s="18"/>
      <c r="U63" s="18"/>
      <c r="V63" s="18"/>
      <c r="W63" s="45"/>
      <c r="X63" s="67"/>
    </row>
    <row r="64" spans="1:25" ht="15.75" customHeight="1">
      <c r="A64" s="427"/>
      <c r="B64" s="137" t="s">
        <v>112</v>
      </c>
      <c r="C64" s="157" t="s">
        <v>197</v>
      </c>
      <c r="D64" s="48" t="s">
        <v>104</v>
      </c>
      <c r="E64" s="441"/>
      <c r="F64" s="118" t="s">
        <v>113</v>
      </c>
      <c r="G64" s="119"/>
      <c r="H64" s="126"/>
      <c r="I64" s="126"/>
      <c r="J64" s="2"/>
      <c r="K64" s="18"/>
      <c r="L64" s="18"/>
      <c r="M64" s="18"/>
      <c r="N64" s="18"/>
      <c r="O64" s="126"/>
      <c r="P64" s="126"/>
      <c r="Q64" s="126">
        <f>Jan!AO294</f>
        <v>1</v>
      </c>
      <c r="R64" s="436"/>
      <c r="S64" s="436"/>
      <c r="T64" s="18"/>
      <c r="U64" s="18"/>
      <c r="V64" s="18"/>
      <c r="W64" s="45"/>
      <c r="X64" s="67"/>
    </row>
    <row r="65" spans="1:25" ht="15.75" customHeight="1">
      <c r="A65" s="427"/>
      <c r="B65" s="137" t="s">
        <v>106</v>
      </c>
      <c r="C65" s="157" t="s">
        <v>141</v>
      </c>
      <c r="D65" s="48" t="s">
        <v>68</v>
      </c>
      <c r="E65" s="441"/>
      <c r="F65" s="118" t="s">
        <v>67</v>
      </c>
      <c r="G65" s="119"/>
      <c r="H65" s="126"/>
      <c r="I65" s="126"/>
      <c r="J65" s="2"/>
      <c r="K65" s="18"/>
      <c r="L65" s="18"/>
      <c r="M65" s="18"/>
      <c r="N65" s="18"/>
      <c r="O65" s="126"/>
      <c r="P65" s="126"/>
      <c r="Q65" s="126">
        <f>Jan!AO292</f>
        <v>1</v>
      </c>
      <c r="R65" s="436"/>
      <c r="S65" s="436"/>
      <c r="T65" s="18"/>
      <c r="U65" s="18"/>
      <c r="V65" s="18"/>
      <c r="W65" s="45"/>
      <c r="X65" s="67"/>
    </row>
    <row r="66" spans="1:25" ht="15.75" customHeight="1" thickBot="1">
      <c r="A66" s="428"/>
      <c r="B66" s="44" t="s">
        <v>107</v>
      </c>
      <c r="C66" s="181" t="s">
        <v>195</v>
      </c>
      <c r="D66" s="61" t="s">
        <v>108</v>
      </c>
      <c r="E66" s="447"/>
      <c r="F66" s="133" t="s">
        <v>48</v>
      </c>
      <c r="G66" s="132"/>
      <c r="H66" s="109"/>
      <c r="I66" s="134"/>
      <c r="J66" s="129"/>
      <c r="K66" s="130"/>
      <c r="L66" s="130"/>
      <c r="M66" s="130"/>
      <c r="N66" s="130"/>
      <c r="O66" s="134"/>
      <c r="P66" s="134"/>
      <c r="Q66" s="134">
        <f>Jan!AO293</f>
        <v>1</v>
      </c>
      <c r="R66" s="437"/>
      <c r="S66" s="437"/>
      <c r="T66" s="130"/>
      <c r="U66" s="130"/>
      <c r="V66" s="128"/>
      <c r="W66" s="85"/>
      <c r="X66" s="67"/>
    </row>
    <row r="67" spans="1:25" ht="15" customHeight="1">
      <c r="A67" s="426">
        <v>46028</v>
      </c>
      <c r="B67" s="429" t="s">
        <v>44</v>
      </c>
      <c r="C67" s="432" t="s">
        <v>240</v>
      </c>
      <c r="D67" s="19" t="s">
        <v>37</v>
      </c>
      <c r="E67" s="19" t="s">
        <v>25</v>
      </c>
      <c r="F67" s="39" t="s">
        <v>40</v>
      </c>
      <c r="G67" s="41"/>
      <c r="H67" s="32">
        <v>5760</v>
      </c>
      <c r="I67" s="32"/>
      <c r="J67" s="32"/>
      <c r="K67" s="20"/>
      <c r="L67" s="20"/>
      <c r="M67" s="20">
        <v>111900</v>
      </c>
      <c r="N67" s="84">
        <v>14</v>
      </c>
      <c r="O67" s="32">
        <f>Jan!AS272</f>
        <v>25402</v>
      </c>
      <c r="P67" s="32">
        <f>Jan!AT272</f>
        <v>31465</v>
      </c>
      <c r="Q67" s="32">
        <f>Jan!AR272</f>
        <v>85</v>
      </c>
      <c r="R67" s="435">
        <f>Jan!AS296</f>
        <v>75520</v>
      </c>
      <c r="S67" s="435">
        <f>Jan!AT296</f>
        <v>81476</v>
      </c>
      <c r="T67" s="20">
        <v>35518</v>
      </c>
      <c r="U67" s="20">
        <v>119</v>
      </c>
      <c r="V67" s="20">
        <f>O67-T67-U67+V47</f>
        <v>13816</v>
      </c>
      <c r="W67" s="77"/>
      <c r="X67" s="36"/>
    </row>
    <row r="68" spans="1:25" ht="15" customHeight="1">
      <c r="A68" s="427"/>
      <c r="B68" s="430"/>
      <c r="C68" s="433"/>
      <c r="D68" s="113" t="s">
        <v>69</v>
      </c>
      <c r="E68" s="438" t="s">
        <v>24</v>
      </c>
      <c r="F68" s="118" t="s">
        <v>48</v>
      </c>
      <c r="G68" s="38"/>
      <c r="H68" s="37"/>
      <c r="I68" s="125"/>
      <c r="J68" s="125"/>
      <c r="K68" s="127"/>
      <c r="L68" s="127"/>
      <c r="M68" s="127"/>
      <c r="N68" s="81"/>
      <c r="O68" s="125"/>
      <c r="P68" s="125"/>
      <c r="Q68" s="125"/>
      <c r="R68" s="436"/>
      <c r="S68" s="436"/>
      <c r="T68" s="127"/>
      <c r="U68" s="127"/>
      <c r="V68" s="127"/>
      <c r="W68" s="46"/>
      <c r="X68" s="67"/>
    </row>
    <row r="69" spans="1:25" ht="15" customHeight="1">
      <c r="A69" s="427"/>
      <c r="B69" s="431"/>
      <c r="C69" s="434"/>
      <c r="D69" s="113" t="s">
        <v>69</v>
      </c>
      <c r="E69" s="431"/>
      <c r="F69" s="114" t="s">
        <v>40</v>
      </c>
      <c r="G69" s="135"/>
      <c r="H69" s="135"/>
      <c r="I69" s="125"/>
      <c r="J69" s="125"/>
      <c r="K69" s="18"/>
      <c r="L69" s="127"/>
      <c r="M69" s="127">
        <v>88000</v>
      </c>
      <c r="N69" s="81">
        <v>11</v>
      </c>
      <c r="O69" s="126">
        <f>Jan!AS274</f>
        <v>16319</v>
      </c>
      <c r="P69" s="125">
        <f>Jan!AT274</f>
        <v>14923</v>
      </c>
      <c r="Q69" s="125">
        <f>Jan!AR274</f>
        <v>41</v>
      </c>
      <c r="R69" s="436"/>
      <c r="S69" s="436"/>
      <c r="T69" s="127">
        <v>17382</v>
      </c>
      <c r="U69" s="127">
        <v>10</v>
      </c>
      <c r="V69" s="127"/>
      <c r="W69" s="46"/>
      <c r="X69" s="67"/>
    </row>
    <row r="70" spans="1:25" ht="15" customHeight="1">
      <c r="A70" s="427"/>
      <c r="B70" s="442" t="s">
        <v>45</v>
      </c>
      <c r="C70" s="448" t="s">
        <v>59</v>
      </c>
      <c r="D70" s="118" t="s">
        <v>75</v>
      </c>
      <c r="E70" s="438" t="s">
        <v>25</v>
      </c>
      <c r="F70" s="131" t="s">
        <v>57</v>
      </c>
      <c r="G70" s="87"/>
      <c r="H70" s="136"/>
      <c r="I70" s="126"/>
      <c r="J70" s="2"/>
      <c r="K70" s="127"/>
      <c r="L70" s="18"/>
      <c r="M70" s="18">
        <v>105900</v>
      </c>
      <c r="N70" s="80">
        <v>21</v>
      </c>
      <c r="O70" s="126">
        <f>Jan!AS280</f>
        <v>13073</v>
      </c>
      <c r="P70" s="126">
        <f>Jan!AT280</f>
        <v>7714</v>
      </c>
      <c r="Q70" s="2">
        <f>Jan!AR280</f>
        <v>34</v>
      </c>
      <c r="R70" s="436"/>
      <c r="S70" s="436"/>
      <c r="T70" s="18">
        <v>13562</v>
      </c>
      <c r="U70" s="18"/>
      <c r="V70" s="18">
        <f>O70-T70-U70+V50</f>
        <v>71457</v>
      </c>
      <c r="W70" s="46"/>
      <c r="Y70" s="13"/>
    </row>
    <row r="71" spans="1:25" ht="15" customHeight="1">
      <c r="A71" s="427"/>
      <c r="B71" s="439"/>
      <c r="C71" s="440"/>
      <c r="D71" s="118" t="s">
        <v>94</v>
      </c>
      <c r="E71" s="431"/>
      <c r="F71" s="131"/>
      <c r="G71" s="87"/>
      <c r="H71" s="152">
        <v>2916</v>
      </c>
      <c r="I71" s="126"/>
      <c r="J71" s="2"/>
      <c r="K71" s="127"/>
      <c r="L71" s="18"/>
      <c r="M71" s="18"/>
      <c r="N71" s="80"/>
      <c r="O71" s="126"/>
      <c r="P71" s="126"/>
      <c r="Q71" s="2"/>
      <c r="R71" s="436"/>
      <c r="S71" s="436"/>
      <c r="T71" s="18"/>
      <c r="U71" s="18"/>
      <c r="V71" s="18"/>
      <c r="W71" s="46"/>
      <c r="Y71" s="13"/>
    </row>
    <row r="72" spans="1:25">
      <c r="A72" s="427"/>
      <c r="B72" s="439"/>
      <c r="C72" s="440"/>
      <c r="D72" s="118" t="s">
        <v>72</v>
      </c>
      <c r="E72" s="155" t="s">
        <v>24</v>
      </c>
      <c r="F72" s="131" t="s">
        <v>57</v>
      </c>
      <c r="G72" s="136"/>
      <c r="H72" s="136"/>
      <c r="I72" s="126"/>
      <c r="J72" s="126"/>
      <c r="K72" s="127"/>
      <c r="L72" s="18"/>
      <c r="M72" s="18">
        <v>15000</v>
      </c>
      <c r="N72" s="80">
        <v>3</v>
      </c>
      <c r="O72" s="126">
        <f>Jan!AS281</f>
        <v>3562</v>
      </c>
      <c r="P72" s="126">
        <f>Jan!AT281</f>
        <v>4016</v>
      </c>
      <c r="Q72" s="126">
        <f>Jan!AR281</f>
        <v>17</v>
      </c>
      <c r="R72" s="436"/>
      <c r="S72" s="436"/>
      <c r="T72" s="18"/>
      <c r="U72" s="18"/>
      <c r="V72" s="18">
        <f>O72-T72-U72+V51</f>
        <v>22218</v>
      </c>
      <c r="W72" s="46"/>
      <c r="Y72" s="13"/>
    </row>
    <row r="73" spans="1:25">
      <c r="A73" s="427"/>
      <c r="B73" s="439"/>
      <c r="C73" s="440"/>
      <c r="D73" s="115" t="s">
        <v>79</v>
      </c>
      <c r="E73" s="424" t="s">
        <v>65</v>
      </c>
      <c r="F73" s="131" t="s">
        <v>57</v>
      </c>
      <c r="G73" s="136"/>
      <c r="H73" s="136"/>
      <c r="I73" s="126"/>
      <c r="J73" s="126"/>
      <c r="K73" s="127">
        <v>10000</v>
      </c>
      <c r="L73" s="18">
        <v>2</v>
      </c>
      <c r="M73" s="18">
        <v>34000</v>
      </c>
      <c r="N73" s="80">
        <v>7</v>
      </c>
      <c r="O73" s="126">
        <f>Jan!AS282</f>
        <v>1677</v>
      </c>
      <c r="P73" s="126">
        <f>Jan!AT282</f>
        <v>2899</v>
      </c>
      <c r="Q73" s="126">
        <f>Jan!AR282</f>
        <v>13</v>
      </c>
      <c r="R73" s="436"/>
      <c r="S73" s="436"/>
      <c r="T73" s="18"/>
      <c r="U73" s="18"/>
      <c r="V73" s="18">
        <f>O73-T73-U73+V52</f>
        <v>2677</v>
      </c>
      <c r="W73" s="46"/>
      <c r="Y73" s="13"/>
    </row>
    <row r="74" spans="1:25">
      <c r="A74" s="427"/>
      <c r="B74" s="443"/>
      <c r="C74" s="449"/>
      <c r="D74" s="115" t="s">
        <v>80</v>
      </c>
      <c r="E74" s="425"/>
      <c r="F74" s="131"/>
      <c r="G74" s="136"/>
      <c r="H74" s="152">
        <v>1980</v>
      </c>
      <c r="I74" s="126"/>
      <c r="J74" s="126"/>
      <c r="K74" s="127"/>
      <c r="L74" s="18"/>
      <c r="M74" s="18"/>
      <c r="N74" s="80"/>
      <c r="O74" s="126"/>
      <c r="P74" s="126"/>
      <c r="Q74" s="126"/>
      <c r="R74" s="436"/>
      <c r="S74" s="436"/>
      <c r="T74" s="153"/>
      <c r="U74" s="153"/>
      <c r="V74" s="153"/>
      <c r="W74" s="46"/>
      <c r="Y74" s="13"/>
    </row>
    <row r="75" spans="1:25" ht="14.25" customHeight="1">
      <c r="A75" s="427"/>
      <c r="B75" s="442" t="s">
        <v>53</v>
      </c>
      <c r="C75" s="444" t="s">
        <v>60</v>
      </c>
      <c r="D75" s="43" t="s">
        <v>89</v>
      </c>
      <c r="E75" s="441" t="s">
        <v>66</v>
      </c>
      <c r="F75" s="118" t="s">
        <v>54</v>
      </c>
      <c r="G75" s="136"/>
      <c r="H75" s="136"/>
      <c r="I75" s="126"/>
      <c r="J75" s="126"/>
      <c r="K75" s="127"/>
      <c r="L75" s="18"/>
      <c r="M75" s="18"/>
      <c r="N75" s="80"/>
      <c r="O75" s="126"/>
      <c r="P75" s="126"/>
      <c r="Q75" s="126"/>
      <c r="R75" s="436"/>
      <c r="S75" s="436"/>
      <c r="T75" s="153"/>
      <c r="U75" s="153"/>
      <c r="V75" s="153"/>
      <c r="W75" s="46"/>
      <c r="X75" s="36"/>
    </row>
    <row r="76" spans="1:25" ht="14.25" customHeight="1">
      <c r="A76" s="427"/>
      <c r="B76" s="439"/>
      <c r="C76" s="445"/>
      <c r="D76" s="43" t="s">
        <v>95</v>
      </c>
      <c r="E76" s="441"/>
      <c r="F76" s="118" t="s">
        <v>54</v>
      </c>
      <c r="G76" s="136"/>
      <c r="H76" s="136"/>
      <c r="I76" s="126"/>
      <c r="J76" s="126"/>
      <c r="K76" s="127"/>
      <c r="L76" s="18"/>
      <c r="M76" s="18"/>
      <c r="N76" s="80"/>
      <c r="O76" s="126">
        <f>Jan!AS277</f>
        <v>1687</v>
      </c>
      <c r="P76" s="126">
        <f>Jan!AT277</f>
        <v>2521</v>
      </c>
      <c r="Q76" s="126">
        <f>Jan!AR277</f>
        <v>7</v>
      </c>
      <c r="R76" s="436"/>
      <c r="S76" s="436"/>
      <c r="T76" s="18"/>
      <c r="U76" s="18"/>
      <c r="V76" s="18">
        <f>O76-T76-U76+V54</f>
        <v>8020</v>
      </c>
      <c r="W76" s="45"/>
      <c r="X76" s="36"/>
    </row>
    <row r="77" spans="1:25" ht="14.25" customHeight="1">
      <c r="A77" s="427"/>
      <c r="B77" s="443"/>
      <c r="C77" s="446"/>
      <c r="D77" s="43" t="s">
        <v>98</v>
      </c>
      <c r="E77" s="425"/>
      <c r="F77" s="118" t="s">
        <v>54</v>
      </c>
      <c r="G77" s="136"/>
      <c r="H77" s="37"/>
      <c r="I77" s="126"/>
      <c r="J77" s="126"/>
      <c r="K77" s="18">
        <v>12000</v>
      </c>
      <c r="L77" s="18">
        <v>2</v>
      </c>
      <c r="M77" s="18">
        <v>6000</v>
      </c>
      <c r="N77" s="80">
        <v>1</v>
      </c>
      <c r="O77" s="126">
        <f>Jan!AS278</f>
        <v>11490</v>
      </c>
      <c r="P77" s="126">
        <f>Jan!AT278</f>
        <v>13446</v>
      </c>
      <c r="Q77" s="126">
        <f>Jan!AR278</f>
        <v>39</v>
      </c>
      <c r="R77" s="436"/>
      <c r="S77" s="436"/>
      <c r="T77" s="18">
        <v>13747</v>
      </c>
      <c r="U77" s="18"/>
      <c r="V77" s="18"/>
      <c r="W77" s="45"/>
      <c r="X77" s="36"/>
    </row>
    <row r="78" spans="1:25" ht="14.25" customHeight="1">
      <c r="A78" s="427"/>
      <c r="B78" s="122" t="s">
        <v>55</v>
      </c>
      <c r="C78" s="180" t="s">
        <v>133</v>
      </c>
      <c r="D78" s="48" t="s">
        <v>56</v>
      </c>
      <c r="E78" s="424" t="s">
        <v>25</v>
      </c>
      <c r="F78" s="118" t="s">
        <v>67</v>
      </c>
      <c r="G78" s="136"/>
      <c r="H78" s="37"/>
      <c r="I78" s="126"/>
      <c r="J78" s="126"/>
      <c r="K78" s="18"/>
      <c r="L78" s="18"/>
      <c r="M78" s="18"/>
      <c r="N78" s="80"/>
      <c r="O78" s="126">
        <f>Jan!AS295</f>
        <v>500</v>
      </c>
      <c r="P78" s="126">
        <f>Jan!AT295</f>
        <v>460</v>
      </c>
      <c r="Q78" s="126">
        <f>Jan!AR295</f>
        <v>1</v>
      </c>
      <c r="R78" s="436"/>
      <c r="S78" s="436"/>
      <c r="T78" s="18">
        <v>500</v>
      </c>
      <c r="U78" s="18"/>
      <c r="V78" s="18"/>
      <c r="W78" s="45"/>
      <c r="X78" s="67"/>
    </row>
    <row r="79" spans="1:25" ht="14.25" customHeight="1">
      <c r="A79" s="427"/>
      <c r="B79" s="442" t="s">
        <v>122</v>
      </c>
      <c r="C79" s="444" t="s">
        <v>123</v>
      </c>
      <c r="D79" s="48" t="s">
        <v>56</v>
      </c>
      <c r="E79" s="441"/>
      <c r="F79" s="155" t="s">
        <v>64</v>
      </c>
      <c r="G79" s="136"/>
      <c r="H79" s="125"/>
      <c r="I79" s="125"/>
      <c r="J79" s="125"/>
      <c r="K79" s="127"/>
      <c r="L79" s="127"/>
      <c r="M79" s="127"/>
      <c r="N79" s="171"/>
      <c r="O79" s="125">
        <f>Jan!AS285</f>
        <v>1810</v>
      </c>
      <c r="P79" s="125">
        <f>Jan!AT285</f>
        <v>1701</v>
      </c>
      <c r="Q79" s="125">
        <f>Jan!AR285</f>
        <v>5</v>
      </c>
      <c r="R79" s="436"/>
      <c r="S79" s="436"/>
      <c r="T79" s="18"/>
      <c r="U79" s="18"/>
      <c r="V79" s="18">
        <f>O79-T79-U79+V57</f>
        <v>3010</v>
      </c>
      <c r="W79" s="45"/>
      <c r="X79" s="67"/>
    </row>
    <row r="80" spans="1:25" ht="14.25" customHeight="1">
      <c r="A80" s="427"/>
      <c r="B80" s="443"/>
      <c r="C80" s="446"/>
      <c r="D80" s="48" t="s">
        <v>129</v>
      </c>
      <c r="E80" s="441"/>
      <c r="F80" s="155"/>
      <c r="G80" s="136"/>
      <c r="H80" s="158">
        <v>750</v>
      </c>
      <c r="I80" s="158"/>
      <c r="J80" s="158"/>
      <c r="K80" s="128"/>
      <c r="L80" s="128"/>
      <c r="M80" s="128"/>
      <c r="N80" s="164"/>
      <c r="O80" s="158"/>
      <c r="P80" s="158"/>
      <c r="Q80" s="158"/>
      <c r="R80" s="436"/>
      <c r="S80" s="436"/>
      <c r="T80" s="18"/>
      <c r="U80" s="18"/>
      <c r="V80" s="18"/>
      <c r="W80" s="45"/>
      <c r="X80" s="67"/>
    </row>
    <row r="81" spans="1:25" ht="14.25" customHeight="1">
      <c r="A81" s="427"/>
      <c r="B81" s="122" t="s">
        <v>125</v>
      </c>
      <c r="C81" s="180" t="s">
        <v>88</v>
      </c>
      <c r="D81" s="48" t="s">
        <v>124</v>
      </c>
      <c r="E81" s="441"/>
      <c r="F81" s="118" t="s">
        <v>64</v>
      </c>
      <c r="G81" s="38">
        <v>3477.06</v>
      </c>
      <c r="H81" s="126"/>
      <c r="I81" s="126"/>
      <c r="J81" s="126"/>
      <c r="K81" s="18"/>
      <c r="L81" s="18"/>
      <c r="M81" s="18">
        <v>125800</v>
      </c>
      <c r="N81" s="80">
        <v>17</v>
      </c>
      <c r="O81" s="126"/>
      <c r="P81" s="126">
        <f>Jan!AT283</f>
        <v>1478</v>
      </c>
      <c r="Q81" s="126">
        <f>Jan!AR283</f>
        <v>6</v>
      </c>
      <c r="R81" s="436"/>
      <c r="S81" s="436"/>
      <c r="T81" s="18"/>
      <c r="U81" s="18"/>
      <c r="V81" s="18"/>
      <c r="W81" s="45"/>
      <c r="X81" s="67"/>
    </row>
    <row r="82" spans="1:25" ht="24.75" customHeight="1">
      <c r="A82" s="427"/>
      <c r="B82" s="122" t="s">
        <v>58</v>
      </c>
      <c r="C82" s="180" t="s">
        <v>136</v>
      </c>
      <c r="D82" s="48" t="s">
        <v>56</v>
      </c>
      <c r="E82" s="441"/>
      <c r="F82" s="118" t="s">
        <v>67</v>
      </c>
      <c r="G82" s="119"/>
      <c r="H82" s="126"/>
      <c r="I82" s="126"/>
      <c r="J82" s="2"/>
      <c r="K82" s="18"/>
      <c r="L82" s="18"/>
      <c r="M82" s="18"/>
      <c r="N82" s="18"/>
      <c r="O82" s="126"/>
      <c r="P82" s="126"/>
      <c r="Q82" s="126"/>
      <c r="R82" s="436"/>
      <c r="S82" s="436"/>
      <c r="T82" s="18"/>
      <c r="U82" s="18"/>
      <c r="V82" s="18">
        <f>O82-T82-U82+V59</f>
        <v>43</v>
      </c>
      <c r="W82" s="45"/>
      <c r="X82" s="67"/>
    </row>
    <row r="83" spans="1:25" ht="18" customHeight="1">
      <c r="A83" s="427"/>
      <c r="B83" s="122" t="s">
        <v>47</v>
      </c>
      <c r="C83" s="180" t="s">
        <v>100</v>
      </c>
      <c r="D83" s="48" t="s">
        <v>99</v>
      </c>
      <c r="E83" s="441"/>
      <c r="F83" s="118" t="s">
        <v>71</v>
      </c>
      <c r="G83" s="119"/>
      <c r="H83" s="126"/>
      <c r="I83" s="126"/>
      <c r="J83" s="2"/>
      <c r="K83" s="18"/>
      <c r="L83" s="18"/>
      <c r="M83" s="18">
        <v>18000</v>
      </c>
      <c r="N83" s="18">
        <v>3</v>
      </c>
      <c r="O83" s="126"/>
      <c r="P83" s="126">
        <f>Jan!AT284</f>
        <v>853</v>
      </c>
      <c r="Q83" s="126">
        <f>Jan!AR284</f>
        <v>3</v>
      </c>
      <c r="R83" s="436"/>
      <c r="S83" s="436"/>
      <c r="T83" s="18"/>
      <c r="U83" s="18"/>
      <c r="V83" s="18">
        <f>O83-T83-U83+V60</f>
        <v>1425</v>
      </c>
      <c r="W83" s="45"/>
      <c r="X83" s="67"/>
    </row>
    <row r="84" spans="1:25" ht="18" customHeight="1">
      <c r="A84" s="427"/>
      <c r="B84" s="122" t="s">
        <v>101</v>
      </c>
      <c r="C84" s="180" t="s">
        <v>193</v>
      </c>
      <c r="D84" s="48" t="s">
        <v>102</v>
      </c>
      <c r="E84" s="441"/>
      <c r="F84" s="118" t="s">
        <v>64</v>
      </c>
      <c r="G84" s="119"/>
      <c r="H84" s="126"/>
      <c r="I84" s="126"/>
      <c r="J84" s="2"/>
      <c r="K84" s="18"/>
      <c r="L84" s="18"/>
      <c r="M84" s="18"/>
      <c r="N84" s="18"/>
      <c r="O84" s="126"/>
      <c r="P84" s="126"/>
      <c r="Q84" s="126">
        <f>Jan!AR290</f>
        <v>1</v>
      </c>
      <c r="R84" s="436"/>
      <c r="S84" s="436"/>
      <c r="T84" s="18"/>
      <c r="U84" s="18"/>
      <c r="V84" s="18"/>
      <c r="W84" s="45"/>
      <c r="X84" s="67"/>
    </row>
    <row r="85" spans="1:25" ht="18" customHeight="1">
      <c r="A85" s="427"/>
      <c r="B85" s="122" t="s">
        <v>103</v>
      </c>
      <c r="C85" s="180" t="s">
        <v>197</v>
      </c>
      <c r="D85" s="48" t="s">
        <v>104</v>
      </c>
      <c r="E85" s="441"/>
      <c r="F85" s="118" t="s">
        <v>105</v>
      </c>
      <c r="G85" s="119"/>
      <c r="H85" s="126"/>
      <c r="I85" s="126"/>
      <c r="J85" s="2"/>
      <c r="K85" s="18"/>
      <c r="L85" s="18"/>
      <c r="M85" s="18"/>
      <c r="N85" s="18"/>
      <c r="O85" s="126"/>
      <c r="P85" s="126"/>
      <c r="Q85" s="126">
        <f>Jan!AR291</f>
        <v>1</v>
      </c>
      <c r="R85" s="436"/>
      <c r="S85" s="436"/>
      <c r="T85" s="18"/>
      <c r="U85" s="18"/>
      <c r="V85" s="18"/>
      <c r="W85" s="45"/>
      <c r="X85" s="67"/>
    </row>
    <row r="86" spans="1:25" ht="18" customHeight="1">
      <c r="A86" s="427"/>
      <c r="B86" s="137" t="s">
        <v>112</v>
      </c>
      <c r="C86" s="157" t="s">
        <v>197</v>
      </c>
      <c r="D86" s="48" t="s">
        <v>104</v>
      </c>
      <c r="E86" s="441"/>
      <c r="F86" s="118" t="s">
        <v>113</v>
      </c>
      <c r="G86" s="119"/>
      <c r="H86" s="126"/>
      <c r="I86" s="126"/>
      <c r="J86" s="2"/>
      <c r="K86" s="18"/>
      <c r="L86" s="18"/>
      <c r="M86" s="18"/>
      <c r="N86" s="18"/>
      <c r="O86" s="126"/>
      <c r="P86" s="126"/>
      <c r="Q86" s="126">
        <f>Jan!AR294</f>
        <v>1</v>
      </c>
      <c r="R86" s="436"/>
      <c r="S86" s="436"/>
      <c r="T86" s="18"/>
      <c r="U86" s="18"/>
      <c r="V86" s="18"/>
      <c r="W86" s="45"/>
      <c r="X86" s="67"/>
    </row>
    <row r="87" spans="1:25" ht="18" customHeight="1">
      <c r="A87" s="427"/>
      <c r="B87" s="137" t="s">
        <v>106</v>
      </c>
      <c r="C87" s="157" t="s">
        <v>141</v>
      </c>
      <c r="D87" s="48" t="s">
        <v>68</v>
      </c>
      <c r="E87" s="441"/>
      <c r="F87" s="118" t="s">
        <v>67</v>
      </c>
      <c r="G87" s="119"/>
      <c r="H87" s="126"/>
      <c r="I87" s="126"/>
      <c r="J87" s="2"/>
      <c r="K87" s="18"/>
      <c r="L87" s="18"/>
      <c r="M87" s="18"/>
      <c r="N87" s="18"/>
      <c r="O87" s="126"/>
      <c r="P87" s="126"/>
      <c r="Q87" s="126">
        <f>Jan!AR292</f>
        <v>1</v>
      </c>
      <c r="R87" s="436"/>
      <c r="S87" s="436"/>
      <c r="T87" s="18"/>
      <c r="U87" s="18"/>
      <c r="V87" s="18"/>
      <c r="W87" s="45"/>
      <c r="X87" s="67"/>
    </row>
    <row r="88" spans="1:25" ht="18" customHeight="1" thickBot="1">
      <c r="A88" s="428"/>
      <c r="B88" s="44" t="s">
        <v>107</v>
      </c>
      <c r="C88" s="181" t="s">
        <v>195</v>
      </c>
      <c r="D88" s="61" t="s">
        <v>108</v>
      </c>
      <c r="E88" s="447"/>
      <c r="F88" s="133" t="s">
        <v>48</v>
      </c>
      <c r="G88" s="132"/>
      <c r="H88" s="109"/>
      <c r="I88" s="134"/>
      <c r="J88" s="129"/>
      <c r="K88" s="130"/>
      <c r="L88" s="130"/>
      <c r="M88" s="130"/>
      <c r="N88" s="130"/>
      <c r="O88" s="134"/>
      <c r="P88" s="134"/>
      <c r="Q88" s="134">
        <f>Jan!AR293</f>
        <v>1</v>
      </c>
      <c r="R88" s="437"/>
      <c r="S88" s="437"/>
      <c r="T88" s="130"/>
      <c r="U88" s="130"/>
      <c r="V88" s="128"/>
      <c r="W88" s="85"/>
      <c r="X88" s="67"/>
    </row>
    <row r="89" spans="1:25" ht="15" customHeight="1">
      <c r="A89" s="426">
        <v>46029</v>
      </c>
      <c r="B89" s="429" t="s">
        <v>44</v>
      </c>
      <c r="C89" s="432" t="s">
        <v>240</v>
      </c>
      <c r="D89" s="19" t="s">
        <v>37</v>
      </c>
      <c r="E89" s="19" t="s">
        <v>25</v>
      </c>
      <c r="F89" s="39" t="s">
        <v>40</v>
      </c>
      <c r="G89" s="41"/>
      <c r="H89" s="32"/>
      <c r="I89" s="32"/>
      <c r="J89" s="32"/>
      <c r="K89" s="20"/>
      <c r="L89" s="20"/>
      <c r="M89" s="20">
        <v>111900</v>
      </c>
      <c r="N89" s="84">
        <v>14</v>
      </c>
      <c r="O89" s="32">
        <f>Jan!AV272</f>
        <v>25707</v>
      </c>
      <c r="P89" s="32">
        <f>Jan!AW272</f>
        <v>30857</v>
      </c>
      <c r="Q89" s="32">
        <f>Jan!AU272</f>
        <v>84</v>
      </c>
      <c r="R89" s="435">
        <f>Jan!AV296</f>
        <v>87852</v>
      </c>
      <c r="S89" s="435">
        <f>Jan!AW296</f>
        <v>80593</v>
      </c>
      <c r="T89" s="20">
        <v>23973</v>
      </c>
      <c r="U89" s="20">
        <v>29</v>
      </c>
      <c r="V89" s="20">
        <f>O89-T89-U89+V67</f>
        <v>15521</v>
      </c>
      <c r="W89" s="77"/>
      <c r="X89" s="36"/>
    </row>
    <row r="90" spans="1:25" ht="15" customHeight="1">
      <c r="A90" s="427"/>
      <c r="B90" s="430"/>
      <c r="C90" s="433"/>
      <c r="D90" s="113" t="s">
        <v>69</v>
      </c>
      <c r="E90" s="438" t="s">
        <v>24</v>
      </c>
      <c r="F90" s="118" t="s">
        <v>48</v>
      </c>
      <c r="G90" s="38"/>
      <c r="H90" s="37"/>
      <c r="I90" s="125"/>
      <c r="J90" s="125"/>
      <c r="K90" s="127"/>
      <c r="L90" s="127"/>
      <c r="M90" s="127"/>
      <c r="N90" s="81"/>
      <c r="O90" s="125"/>
      <c r="P90" s="125"/>
      <c r="Q90" s="125"/>
      <c r="R90" s="436"/>
      <c r="S90" s="436"/>
      <c r="T90" s="127"/>
      <c r="U90" s="127"/>
      <c r="V90" s="127"/>
      <c r="W90" s="46"/>
      <c r="X90" s="67"/>
    </row>
    <row r="91" spans="1:25" ht="15" customHeight="1">
      <c r="A91" s="427"/>
      <c r="B91" s="431"/>
      <c r="C91" s="434"/>
      <c r="D91" s="113" t="s">
        <v>69</v>
      </c>
      <c r="E91" s="431"/>
      <c r="F91" s="114" t="s">
        <v>40</v>
      </c>
      <c r="G91" s="135"/>
      <c r="H91" s="135"/>
      <c r="I91" s="125"/>
      <c r="J91" s="125"/>
      <c r="K91" s="18"/>
      <c r="L91" s="127"/>
      <c r="M91" s="127">
        <v>88000</v>
      </c>
      <c r="N91" s="81">
        <v>11</v>
      </c>
      <c r="O91" s="126">
        <f>Jan!AV274</f>
        <v>25248</v>
      </c>
      <c r="P91" s="125">
        <f>Jan!AW274</f>
        <v>15130</v>
      </c>
      <c r="Q91" s="125">
        <f>Jan!AU274</f>
        <v>41</v>
      </c>
      <c r="R91" s="436"/>
      <c r="S91" s="436"/>
      <c r="T91" s="127">
        <v>18405</v>
      </c>
      <c r="U91" s="127">
        <v>55</v>
      </c>
      <c r="V91" s="127">
        <f>O91-T91-U91+V69</f>
        <v>6788</v>
      </c>
      <c r="W91" s="46"/>
      <c r="X91" s="67"/>
    </row>
    <row r="92" spans="1:25">
      <c r="A92" s="427"/>
      <c r="B92" s="439" t="s">
        <v>45</v>
      </c>
      <c r="C92" s="440" t="s">
        <v>59</v>
      </c>
      <c r="D92" s="118" t="s">
        <v>75</v>
      </c>
      <c r="E92" s="131" t="s">
        <v>25</v>
      </c>
      <c r="F92" s="131" t="s">
        <v>57</v>
      </c>
      <c r="G92" s="87"/>
      <c r="H92" s="136"/>
      <c r="I92" s="126"/>
      <c r="J92" s="2"/>
      <c r="K92" s="127"/>
      <c r="L92" s="18"/>
      <c r="M92" s="18">
        <v>105900</v>
      </c>
      <c r="N92" s="80">
        <v>21</v>
      </c>
      <c r="O92" s="126">
        <f>Jan!AV280</f>
        <v>6602</v>
      </c>
      <c r="P92" s="126">
        <f>Jan!AW280</f>
        <v>6968</v>
      </c>
      <c r="Q92" s="2">
        <f>Jan!AU280</f>
        <v>29</v>
      </c>
      <c r="R92" s="436"/>
      <c r="S92" s="436"/>
      <c r="T92" s="18">
        <v>19416</v>
      </c>
      <c r="U92" s="18"/>
      <c r="V92" s="18">
        <f>O92-T92-U92+V70</f>
        <v>58643</v>
      </c>
      <c r="W92" s="46"/>
      <c r="Y92" s="13"/>
    </row>
    <row r="93" spans="1:25">
      <c r="A93" s="427"/>
      <c r="B93" s="439"/>
      <c r="C93" s="440"/>
      <c r="D93" s="118" t="s">
        <v>72</v>
      </c>
      <c r="E93" s="424" t="s">
        <v>24</v>
      </c>
      <c r="F93" s="131" t="s">
        <v>57</v>
      </c>
      <c r="G93" s="136"/>
      <c r="H93" s="136"/>
      <c r="I93" s="126"/>
      <c r="J93" s="126"/>
      <c r="K93" s="127"/>
      <c r="L93" s="18"/>
      <c r="M93" s="18">
        <v>15000</v>
      </c>
      <c r="N93" s="80">
        <v>3</v>
      </c>
      <c r="O93" s="126">
        <f>Jan!AV281</f>
        <v>1100</v>
      </c>
      <c r="P93" s="126">
        <f>Jan!AW281</f>
        <v>3970</v>
      </c>
      <c r="Q93" s="126">
        <f>Jan!AU281</f>
        <v>17</v>
      </c>
      <c r="R93" s="436"/>
      <c r="S93" s="436"/>
      <c r="T93" s="18"/>
      <c r="U93" s="18"/>
      <c r="V93" s="18">
        <f>O93-T93-U93+V72</f>
        <v>23318</v>
      </c>
      <c r="W93" s="46"/>
      <c r="Y93" s="13"/>
    </row>
    <row r="94" spans="1:25">
      <c r="A94" s="427"/>
      <c r="B94" s="439"/>
      <c r="C94" s="440"/>
      <c r="D94" s="115" t="s">
        <v>73</v>
      </c>
      <c r="E94" s="425"/>
      <c r="F94" s="131"/>
      <c r="G94" s="136"/>
      <c r="H94" s="136">
        <v>1810.8</v>
      </c>
      <c r="I94" s="126"/>
      <c r="J94" s="126"/>
      <c r="K94" s="127"/>
      <c r="L94" s="18"/>
      <c r="M94" s="18"/>
      <c r="N94" s="80"/>
      <c r="O94" s="126"/>
      <c r="P94" s="126"/>
      <c r="Q94" s="126"/>
      <c r="R94" s="436"/>
      <c r="S94" s="436"/>
      <c r="T94" s="18"/>
      <c r="U94" s="18"/>
      <c r="V94" s="18"/>
      <c r="W94" s="46"/>
      <c r="Y94" s="13"/>
    </row>
    <row r="95" spans="1:25">
      <c r="A95" s="427"/>
      <c r="B95" s="439"/>
      <c r="C95" s="440"/>
      <c r="D95" s="115" t="s">
        <v>79</v>
      </c>
      <c r="E95" s="118" t="s">
        <v>65</v>
      </c>
      <c r="F95" s="131" t="s">
        <v>57</v>
      </c>
      <c r="G95" s="136"/>
      <c r="H95" s="136"/>
      <c r="I95" s="126"/>
      <c r="J95" s="126"/>
      <c r="K95" s="127">
        <v>15000</v>
      </c>
      <c r="L95" s="18">
        <v>3</v>
      </c>
      <c r="M95" s="18">
        <v>19000</v>
      </c>
      <c r="N95" s="80">
        <v>4</v>
      </c>
      <c r="O95" s="126">
        <f>Jan!AV282</f>
        <v>2100</v>
      </c>
      <c r="P95" s="126">
        <f>Jan!AW282</f>
        <v>3534</v>
      </c>
      <c r="Q95" s="126">
        <f>Jan!AU282</f>
        <v>16</v>
      </c>
      <c r="R95" s="436"/>
      <c r="S95" s="436"/>
      <c r="T95" s="18"/>
      <c r="U95" s="18"/>
      <c r="V95" s="18">
        <f>O95-T95-U95+V73</f>
        <v>4777</v>
      </c>
      <c r="W95" s="46"/>
      <c r="Y95" s="13"/>
    </row>
    <row r="96" spans="1:25" ht="14.25" customHeight="1">
      <c r="A96" s="427"/>
      <c r="B96" s="442" t="s">
        <v>53</v>
      </c>
      <c r="C96" s="444" t="s">
        <v>60</v>
      </c>
      <c r="D96" s="43" t="s">
        <v>95</v>
      </c>
      <c r="E96" s="441" t="s">
        <v>66</v>
      </c>
      <c r="F96" s="118" t="s">
        <v>54</v>
      </c>
      <c r="G96" s="136"/>
      <c r="H96" s="136"/>
      <c r="I96" s="126"/>
      <c r="J96" s="126"/>
      <c r="K96" s="127"/>
      <c r="L96" s="18"/>
      <c r="M96" s="18"/>
      <c r="N96" s="80"/>
      <c r="O96" s="126">
        <f>Jan!AV277</f>
        <v>6534</v>
      </c>
      <c r="P96" s="126">
        <f>Jan!AW277</f>
        <v>1732</v>
      </c>
      <c r="Q96" s="126">
        <f>Jan!AU277</f>
        <v>6</v>
      </c>
      <c r="R96" s="436"/>
      <c r="S96" s="436"/>
      <c r="T96" s="18">
        <v>5920</v>
      </c>
      <c r="U96" s="18"/>
      <c r="V96" s="18">
        <f>O96-T96-U96+V76</f>
        <v>8634</v>
      </c>
      <c r="W96" s="45"/>
      <c r="X96" s="36"/>
    </row>
    <row r="97" spans="1:24" ht="14.25" customHeight="1">
      <c r="A97" s="427"/>
      <c r="B97" s="439"/>
      <c r="C97" s="445"/>
      <c r="D97" s="43" t="s">
        <v>98</v>
      </c>
      <c r="E97" s="425"/>
      <c r="F97" s="118" t="s">
        <v>54</v>
      </c>
      <c r="G97" s="136"/>
      <c r="H97" s="37"/>
      <c r="I97" s="126"/>
      <c r="J97" s="126"/>
      <c r="K97" s="18">
        <v>6000</v>
      </c>
      <c r="L97" s="18">
        <v>1</v>
      </c>
      <c r="M97" s="18"/>
      <c r="N97" s="80"/>
      <c r="O97" s="126">
        <f>Jan!AV278</f>
        <v>15432</v>
      </c>
      <c r="P97" s="126">
        <f>Jan!AW278</f>
        <v>13733</v>
      </c>
      <c r="Q97" s="126">
        <f>Jan!AU278</f>
        <v>40</v>
      </c>
      <c r="R97" s="436"/>
      <c r="S97" s="436"/>
      <c r="T97" s="18">
        <v>7200</v>
      </c>
      <c r="U97" s="18"/>
      <c r="V97" s="18">
        <f>O97-T97-U97+V77</f>
        <v>8232</v>
      </c>
      <c r="W97" s="45"/>
      <c r="X97" s="36"/>
    </row>
    <row r="98" spans="1:24" ht="14.25" customHeight="1">
      <c r="A98" s="427"/>
      <c r="B98" s="439"/>
      <c r="C98" s="445"/>
      <c r="D98" s="43" t="s">
        <v>127</v>
      </c>
      <c r="E98" s="118" t="s">
        <v>25</v>
      </c>
      <c r="F98" s="118"/>
      <c r="G98" s="136"/>
      <c r="H98" s="37"/>
      <c r="I98" s="126"/>
      <c r="J98" s="126"/>
      <c r="K98" s="18"/>
      <c r="L98" s="18"/>
      <c r="M98" s="18"/>
      <c r="N98" s="80"/>
      <c r="O98" s="126"/>
      <c r="P98" s="126"/>
      <c r="Q98" s="126"/>
      <c r="R98" s="436"/>
      <c r="S98" s="436"/>
      <c r="T98" s="18"/>
      <c r="U98" s="18"/>
      <c r="V98" s="18"/>
      <c r="W98" s="45"/>
      <c r="X98" s="67"/>
    </row>
    <row r="99" spans="1:24" ht="14.25" customHeight="1">
      <c r="A99" s="427"/>
      <c r="B99" s="443"/>
      <c r="C99" s="446"/>
      <c r="D99" s="43" t="s">
        <v>96</v>
      </c>
      <c r="E99" s="114" t="s">
        <v>65</v>
      </c>
      <c r="F99" s="118"/>
      <c r="G99" s="136"/>
      <c r="H99" s="37">
        <v>642.6</v>
      </c>
      <c r="I99" s="126"/>
      <c r="J99" s="126"/>
      <c r="K99" s="18"/>
      <c r="L99" s="18"/>
      <c r="M99" s="18"/>
      <c r="N99" s="80"/>
      <c r="O99" s="126"/>
      <c r="P99" s="126"/>
      <c r="Q99" s="126"/>
      <c r="R99" s="436"/>
      <c r="S99" s="436"/>
      <c r="T99" s="18"/>
      <c r="U99" s="18"/>
      <c r="V99" s="18"/>
      <c r="W99" s="45"/>
      <c r="X99" s="67"/>
    </row>
    <row r="100" spans="1:24" ht="14.25" customHeight="1">
      <c r="A100" s="427"/>
      <c r="B100" s="122" t="s">
        <v>55</v>
      </c>
      <c r="C100" s="180" t="s">
        <v>133</v>
      </c>
      <c r="D100" s="48" t="s">
        <v>56</v>
      </c>
      <c r="E100" s="424" t="s">
        <v>25</v>
      </c>
      <c r="F100" s="118" t="s">
        <v>67</v>
      </c>
      <c r="G100" s="136"/>
      <c r="H100" s="37"/>
      <c r="I100" s="126"/>
      <c r="J100" s="126"/>
      <c r="K100" s="18"/>
      <c r="L100" s="18"/>
      <c r="M100" s="18"/>
      <c r="N100" s="80"/>
      <c r="O100" s="126">
        <f>Jan!AV295</f>
        <v>461</v>
      </c>
      <c r="P100" s="126">
        <f>Jan!AW295</f>
        <v>429</v>
      </c>
      <c r="Q100" s="126">
        <f>Jan!AU295</f>
        <v>1</v>
      </c>
      <c r="R100" s="436"/>
      <c r="S100" s="436"/>
      <c r="T100" s="18"/>
      <c r="U100" s="18"/>
      <c r="V100" s="18">
        <f>O100-T100-U100+V78</f>
        <v>461</v>
      </c>
      <c r="W100" s="45"/>
      <c r="X100" s="67"/>
    </row>
    <row r="101" spans="1:24" ht="14.25" customHeight="1">
      <c r="A101" s="427"/>
      <c r="B101" s="122" t="s">
        <v>122</v>
      </c>
      <c r="C101" s="180" t="s">
        <v>123</v>
      </c>
      <c r="D101" s="48" t="s">
        <v>56</v>
      </c>
      <c r="E101" s="441"/>
      <c r="F101" s="155" t="s">
        <v>64</v>
      </c>
      <c r="G101" s="136"/>
      <c r="H101" s="135"/>
      <c r="I101" s="158"/>
      <c r="J101" s="158"/>
      <c r="K101" s="128"/>
      <c r="L101" s="128"/>
      <c r="M101" s="128"/>
      <c r="N101" s="164"/>
      <c r="O101" s="158">
        <f>Jan!AV285</f>
        <v>2410</v>
      </c>
      <c r="P101" s="158">
        <f>Jan!AW285</f>
        <v>1707</v>
      </c>
      <c r="Q101" s="158">
        <f>Jan!AU285</f>
        <v>5</v>
      </c>
      <c r="R101" s="436"/>
      <c r="S101" s="436"/>
      <c r="T101" s="18"/>
      <c r="U101" s="18"/>
      <c r="V101" s="18">
        <f>O101-T101-U101+V79</f>
        <v>5420</v>
      </c>
      <c r="W101" s="45"/>
      <c r="X101" s="67"/>
    </row>
    <row r="102" spans="1:24" ht="14.25" customHeight="1">
      <c r="A102" s="427"/>
      <c r="B102" s="122" t="s">
        <v>125</v>
      </c>
      <c r="C102" s="180" t="s">
        <v>88</v>
      </c>
      <c r="D102" s="48" t="s">
        <v>124</v>
      </c>
      <c r="E102" s="441"/>
      <c r="F102" s="118" t="s">
        <v>64</v>
      </c>
      <c r="G102" s="38">
        <v>1127.68</v>
      </c>
      <c r="H102" s="37"/>
      <c r="I102" s="126"/>
      <c r="J102" s="126"/>
      <c r="K102" s="18">
        <v>7400</v>
      </c>
      <c r="L102" s="18">
        <v>1</v>
      </c>
      <c r="M102" s="18">
        <v>140000</v>
      </c>
      <c r="N102" s="80">
        <v>19</v>
      </c>
      <c r="O102" s="126">
        <f>Jan!AV283</f>
        <v>1524</v>
      </c>
      <c r="P102" s="126">
        <f>Jan!AW283</f>
        <v>1665</v>
      </c>
      <c r="Q102" s="126">
        <f>Jan!AU283</f>
        <v>7</v>
      </c>
      <c r="R102" s="436"/>
      <c r="S102" s="436"/>
      <c r="T102" s="18"/>
      <c r="U102" s="18"/>
      <c r="V102" s="18">
        <f>O102-T102-U102+V81</f>
        <v>1524</v>
      </c>
      <c r="W102" s="45"/>
      <c r="X102" s="67"/>
    </row>
    <row r="103" spans="1:24" ht="30.75" customHeight="1">
      <c r="A103" s="427"/>
      <c r="B103" s="122" t="s">
        <v>58</v>
      </c>
      <c r="C103" s="180" t="s">
        <v>136</v>
      </c>
      <c r="D103" s="48" t="s">
        <v>56</v>
      </c>
      <c r="E103" s="441"/>
      <c r="F103" s="118" t="s">
        <v>67</v>
      </c>
      <c r="G103" s="119"/>
      <c r="H103" s="126"/>
      <c r="I103" s="126"/>
      <c r="J103" s="2"/>
      <c r="K103" s="18"/>
      <c r="L103" s="18"/>
      <c r="M103" s="18"/>
      <c r="N103" s="18"/>
      <c r="O103" s="126"/>
      <c r="P103" s="126"/>
      <c r="Q103" s="126"/>
      <c r="R103" s="436"/>
      <c r="S103" s="436"/>
      <c r="T103" s="18"/>
      <c r="U103" s="18"/>
      <c r="V103" s="18">
        <f>O103-T103-U103+V82</f>
        <v>43</v>
      </c>
      <c r="W103" s="45"/>
      <c r="X103" s="67"/>
    </row>
    <row r="104" spans="1:24" ht="16.5" customHeight="1">
      <c r="A104" s="427"/>
      <c r="B104" s="122" t="s">
        <v>47</v>
      </c>
      <c r="C104" s="180" t="s">
        <v>100</v>
      </c>
      <c r="D104" s="48" t="s">
        <v>99</v>
      </c>
      <c r="E104" s="441"/>
      <c r="F104" s="118" t="s">
        <v>71</v>
      </c>
      <c r="G104" s="119"/>
      <c r="H104" s="126"/>
      <c r="I104" s="126"/>
      <c r="J104" s="2"/>
      <c r="K104" s="18"/>
      <c r="L104" s="18"/>
      <c r="M104" s="18">
        <v>18000</v>
      </c>
      <c r="N104" s="18">
        <v>3</v>
      </c>
      <c r="O104" s="126">
        <f>Jan!AV284</f>
        <v>734</v>
      </c>
      <c r="P104" s="126">
        <f>Jan!AW284</f>
        <v>868</v>
      </c>
      <c r="Q104" s="126">
        <f>Jan!AU284</f>
        <v>3</v>
      </c>
      <c r="R104" s="436"/>
      <c r="S104" s="436"/>
      <c r="T104" s="18"/>
      <c r="U104" s="18"/>
      <c r="V104" s="18">
        <f>O104-T104-U104+V83</f>
        <v>2159</v>
      </c>
      <c r="W104" s="45"/>
      <c r="X104" s="67"/>
    </row>
    <row r="105" spans="1:24" ht="16.5" customHeight="1">
      <c r="A105" s="427"/>
      <c r="B105" s="122" t="s">
        <v>101</v>
      </c>
      <c r="C105" s="180" t="s">
        <v>193</v>
      </c>
      <c r="D105" s="48" t="s">
        <v>102</v>
      </c>
      <c r="E105" s="441"/>
      <c r="F105" s="118" t="s">
        <v>64</v>
      </c>
      <c r="G105" s="119"/>
      <c r="H105" s="126"/>
      <c r="I105" s="126"/>
      <c r="J105" s="2"/>
      <c r="K105" s="18"/>
      <c r="L105" s="18"/>
      <c r="M105" s="18"/>
      <c r="N105" s="18"/>
      <c r="O105" s="126"/>
      <c r="P105" s="126"/>
      <c r="Q105" s="126">
        <f>Jan!AU290</f>
        <v>1</v>
      </c>
      <c r="R105" s="436"/>
      <c r="S105" s="436"/>
      <c r="T105" s="18"/>
      <c r="U105" s="18"/>
      <c r="V105" s="18"/>
      <c r="W105" s="45"/>
      <c r="X105" s="67"/>
    </row>
    <row r="106" spans="1:24" ht="16.5" customHeight="1">
      <c r="A106" s="427"/>
      <c r="B106" s="122" t="s">
        <v>103</v>
      </c>
      <c r="C106" s="180" t="s">
        <v>197</v>
      </c>
      <c r="D106" s="48" t="s">
        <v>104</v>
      </c>
      <c r="E106" s="441"/>
      <c r="F106" s="118" t="s">
        <v>105</v>
      </c>
      <c r="G106" s="119"/>
      <c r="H106" s="126"/>
      <c r="I106" s="126"/>
      <c r="J106" s="2"/>
      <c r="K106" s="18"/>
      <c r="L106" s="18"/>
      <c r="M106" s="18"/>
      <c r="N106" s="18"/>
      <c r="O106" s="126"/>
      <c r="P106" s="126"/>
      <c r="Q106" s="126">
        <f>Jan!AU291</f>
        <v>1</v>
      </c>
      <c r="R106" s="436"/>
      <c r="S106" s="436"/>
      <c r="T106" s="18"/>
      <c r="U106" s="18"/>
      <c r="V106" s="18"/>
      <c r="W106" s="45"/>
      <c r="X106" s="67"/>
    </row>
    <row r="107" spans="1:24" ht="16.5" customHeight="1">
      <c r="A107" s="427"/>
      <c r="B107" s="137" t="s">
        <v>112</v>
      </c>
      <c r="C107" s="157" t="s">
        <v>197</v>
      </c>
      <c r="D107" s="48" t="s">
        <v>104</v>
      </c>
      <c r="E107" s="441"/>
      <c r="F107" s="118" t="s">
        <v>113</v>
      </c>
      <c r="G107" s="119"/>
      <c r="H107" s="126"/>
      <c r="I107" s="126"/>
      <c r="J107" s="2"/>
      <c r="K107" s="18"/>
      <c r="L107" s="18"/>
      <c r="M107" s="18"/>
      <c r="N107" s="18"/>
      <c r="O107" s="126"/>
      <c r="P107" s="126"/>
      <c r="Q107" s="126">
        <f>Jan!AU294</f>
        <v>1</v>
      </c>
      <c r="R107" s="436"/>
      <c r="S107" s="436"/>
      <c r="T107" s="18"/>
      <c r="U107" s="18"/>
      <c r="V107" s="18"/>
      <c r="W107" s="45"/>
      <c r="X107" s="67"/>
    </row>
    <row r="108" spans="1:24" ht="16.5" customHeight="1">
      <c r="A108" s="427"/>
      <c r="B108" s="137" t="s">
        <v>106</v>
      </c>
      <c r="C108" s="157" t="s">
        <v>141</v>
      </c>
      <c r="D108" s="48" t="s">
        <v>68</v>
      </c>
      <c r="E108" s="441"/>
      <c r="F108" s="118" t="s">
        <v>67</v>
      </c>
      <c r="G108" s="119"/>
      <c r="H108" s="126">
        <v>72</v>
      </c>
      <c r="I108" s="126"/>
      <c r="J108" s="2"/>
      <c r="K108" s="18"/>
      <c r="L108" s="18"/>
      <c r="M108" s="18"/>
      <c r="N108" s="18"/>
      <c r="O108" s="126"/>
      <c r="P108" s="126"/>
      <c r="Q108" s="126">
        <f>Jan!AU292</f>
        <v>1</v>
      </c>
      <c r="R108" s="436"/>
      <c r="S108" s="436"/>
      <c r="T108" s="18"/>
      <c r="U108" s="18"/>
      <c r="V108" s="18"/>
      <c r="W108" s="45"/>
      <c r="X108" s="67"/>
    </row>
    <row r="109" spans="1:24" ht="16.5" customHeight="1" thickBot="1">
      <c r="A109" s="428"/>
      <c r="B109" s="44" t="s">
        <v>107</v>
      </c>
      <c r="C109" s="181" t="s">
        <v>195</v>
      </c>
      <c r="D109" s="61" t="s">
        <v>108</v>
      </c>
      <c r="E109" s="447"/>
      <c r="F109" s="133" t="s">
        <v>48</v>
      </c>
      <c r="G109" s="132"/>
      <c r="H109" s="109"/>
      <c r="I109" s="134"/>
      <c r="J109" s="129"/>
      <c r="K109" s="130"/>
      <c r="L109" s="130"/>
      <c r="M109" s="130"/>
      <c r="N109" s="130"/>
      <c r="O109" s="134"/>
      <c r="P109" s="134"/>
      <c r="Q109" s="134">
        <f>Jan!AU293</f>
        <v>1</v>
      </c>
      <c r="R109" s="437"/>
      <c r="S109" s="437"/>
      <c r="T109" s="130"/>
      <c r="U109" s="130"/>
      <c r="V109" s="128"/>
      <c r="W109" s="85"/>
      <c r="X109" s="67"/>
    </row>
    <row r="110" spans="1:24" ht="15" customHeight="1">
      <c r="A110" s="426">
        <v>46030</v>
      </c>
      <c r="B110" s="429" t="s">
        <v>44</v>
      </c>
      <c r="C110" s="432" t="s">
        <v>240</v>
      </c>
      <c r="D110" s="19" t="s">
        <v>37</v>
      </c>
      <c r="E110" s="19" t="s">
        <v>25</v>
      </c>
      <c r="F110" s="39" t="s">
        <v>40</v>
      </c>
      <c r="G110" s="168">
        <v>5498.1</v>
      </c>
      <c r="H110" s="32">
        <v>5760</v>
      </c>
      <c r="I110" s="32"/>
      <c r="J110" s="32"/>
      <c r="K110" s="20">
        <f>31900+8000</f>
        <v>39900</v>
      </c>
      <c r="L110" s="20">
        <f>4+1</f>
        <v>5</v>
      </c>
      <c r="M110" s="20">
        <v>152000</v>
      </c>
      <c r="N110" s="84">
        <v>19</v>
      </c>
      <c r="O110" s="32">
        <f>Jan!AY272</f>
        <v>35643</v>
      </c>
      <c r="P110" s="32">
        <f>Jan!AZ272</f>
        <v>30836</v>
      </c>
      <c r="Q110" s="32">
        <f>Jan!AX272</f>
        <v>87</v>
      </c>
      <c r="R110" s="435">
        <f>Jan!AY296</f>
        <v>75918</v>
      </c>
      <c r="S110" s="435">
        <f>Jan!AZ296</f>
        <v>78538</v>
      </c>
      <c r="T110" s="20">
        <v>33845</v>
      </c>
      <c r="U110" s="20"/>
      <c r="V110" s="20">
        <f>O110-T110-U110+V89</f>
        <v>17319</v>
      </c>
      <c r="W110" s="77"/>
      <c r="X110" s="36"/>
    </row>
    <row r="111" spans="1:24" ht="15" customHeight="1">
      <c r="A111" s="427"/>
      <c r="B111" s="430"/>
      <c r="C111" s="433"/>
      <c r="D111" s="113" t="s">
        <v>69</v>
      </c>
      <c r="E111" s="438" t="s">
        <v>24</v>
      </c>
      <c r="F111" s="118" t="s">
        <v>40</v>
      </c>
      <c r="G111" s="37"/>
      <c r="H111" s="37"/>
      <c r="I111" s="125"/>
      <c r="J111" s="125"/>
      <c r="K111" s="18">
        <v>8000</v>
      </c>
      <c r="L111" s="127">
        <v>1</v>
      </c>
      <c r="M111" s="127">
        <v>80000</v>
      </c>
      <c r="N111" s="81">
        <v>10</v>
      </c>
      <c r="O111" s="126">
        <f>Jan!AY274</f>
        <v>10752</v>
      </c>
      <c r="P111" s="125">
        <f>Jan!AZ274</f>
        <v>15674</v>
      </c>
      <c r="Q111" s="125">
        <f>Jan!AX274</f>
        <v>42</v>
      </c>
      <c r="R111" s="436"/>
      <c r="S111" s="436"/>
      <c r="T111" s="127">
        <v>17926</v>
      </c>
      <c r="U111" s="127">
        <v>8</v>
      </c>
      <c r="V111" s="127"/>
      <c r="W111" s="46"/>
      <c r="X111" s="67"/>
    </row>
    <row r="112" spans="1:24" ht="15" customHeight="1">
      <c r="A112" s="427"/>
      <c r="B112" s="431"/>
      <c r="C112" s="434"/>
      <c r="D112" s="113" t="s">
        <v>128</v>
      </c>
      <c r="E112" s="431"/>
      <c r="F112" s="118"/>
      <c r="G112" s="37"/>
      <c r="H112" s="126">
        <v>2685</v>
      </c>
      <c r="I112" s="125"/>
      <c r="J112" s="125"/>
      <c r="K112" s="127"/>
      <c r="L112" s="127"/>
      <c r="M112" s="127"/>
      <c r="N112" s="81"/>
      <c r="O112" s="126"/>
      <c r="P112" s="125"/>
      <c r="Q112" s="125"/>
      <c r="R112" s="436"/>
      <c r="S112" s="436"/>
      <c r="T112" s="127"/>
      <c r="U112" s="127"/>
      <c r="V112" s="127"/>
      <c r="W112" s="46"/>
      <c r="X112" s="67"/>
    </row>
    <row r="113" spans="1:25">
      <c r="A113" s="427"/>
      <c r="B113" s="442" t="s">
        <v>45</v>
      </c>
      <c r="C113" s="448" t="s">
        <v>59</v>
      </c>
      <c r="D113" s="118" t="s">
        <v>75</v>
      </c>
      <c r="E113" s="131" t="s">
        <v>25</v>
      </c>
      <c r="F113" s="131" t="s">
        <v>57</v>
      </c>
      <c r="G113" s="87"/>
      <c r="H113" s="136"/>
      <c r="I113" s="126"/>
      <c r="J113" s="2"/>
      <c r="K113" s="127">
        <v>5000</v>
      </c>
      <c r="L113" s="18">
        <v>1</v>
      </c>
      <c r="M113" s="18">
        <v>100900</v>
      </c>
      <c r="N113" s="80">
        <v>20</v>
      </c>
      <c r="O113" s="126">
        <f>Jan!AY280</f>
        <v>8098</v>
      </c>
      <c r="P113" s="126">
        <f>Jan!AZ280</f>
        <v>5044</v>
      </c>
      <c r="Q113" s="2">
        <f>Jan!AX280</f>
        <v>26</v>
      </c>
      <c r="R113" s="436"/>
      <c r="S113" s="436"/>
      <c r="T113" s="18">
        <v>14010</v>
      </c>
      <c r="U113" s="18"/>
      <c r="V113" s="18">
        <f>O113-T113-U113+V92</f>
        <v>52731</v>
      </c>
      <c r="W113" s="46"/>
      <c r="Y113" s="13"/>
    </row>
    <row r="114" spans="1:25">
      <c r="A114" s="427"/>
      <c r="B114" s="439"/>
      <c r="C114" s="440"/>
      <c r="D114" s="118" t="s">
        <v>72</v>
      </c>
      <c r="E114" s="155" t="s">
        <v>24</v>
      </c>
      <c r="F114" s="131" t="s">
        <v>57</v>
      </c>
      <c r="G114" s="136"/>
      <c r="H114" s="136"/>
      <c r="I114" s="126"/>
      <c r="J114" s="126"/>
      <c r="K114" s="127"/>
      <c r="L114" s="18"/>
      <c r="M114" s="18">
        <v>15000</v>
      </c>
      <c r="N114" s="80">
        <v>3</v>
      </c>
      <c r="O114" s="126">
        <f>Jan!AY281</f>
        <v>4677</v>
      </c>
      <c r="P114" s="126">
        <f>Jan!AZ281</f>
        <v>3986</v>
      </c>
      <c r="Q114" s="126">
        <f>Jan!AX281</f>
        <v>17</v>
      </c>
      <c r="R114" s="436"/>
      <c r="S114" s="436"/>
      <c r="T114" s="18"/>
      <c r="U114" s="18"/>
      <c r="V114" s="18">
        <f>O114-T114-U114+V93</f>
        <v>27995</v>
      </c>
      <c r="W114" s="46"/>
      <c r="Y114" s="13"/>
    </row>
    <row r="115" spans="1:25">
      <c r="A115" s="427"/>
      <c r="B115" s="443"/>
      <c r="C115" s="449"/>
      <c r="D115" s="115" t="s">
        <v>79</v>
      </c>
      <c r="E115" s="118" t="s">
        <v>65</v>
      </c>
      <c r="F115" s="131" t="s">
        <v>57</v>
      </c>
      <c r="G115" s="136"/>
      <c r="H115" s="136"/>
      <c r="I115" s="126"/>
      <c r="J115" s="126"/>
      <c r="K115" s="127">
        <v>19000</v>
      </c>
      <c r="L115" s="18">
        <v>4</v>
      </c>
      <c r="M115" s="18"/>
      <c r="N115" s="80"/>
      <c r="O115" s="126">
        <f>Jan!AY282</f>
        <v>1475</v>
      </c>
      <c r="P115" s="126">
        <f>Jan!AZ282</f>
        <v>4467</v>
      </c>
      <c r="Q115" s="126">
        <f>Jan!AX282</f>
        <v>20</v>
      </c>
      <c r="R115" s="436"/>
      <c r="S115" s="436"/>
      <c r="T115" s="18"/>
      <c r="U115" s="18"/>
      <c r="V115" s="18">
        <f>O115-T115-U115+V95</f>
        <v>6252</v>
      </c>
      <c r="W115" s="46"/>
      <c r="Y115" s="13"/>
    </row>
    <row r="116" spans="1:25" ht="14.25" customHeight="1">
      <c r="A116" s="427"/>
      <c r="B116" s="439" t="s">
        <v>53</v>
      </c>
      <c r="C116" s="445" t="s">
        <v>60</v>
      </c>
      <c r="D116" s="43" t="s">
        <v>95</v>
      </c>
      <c r="E116" s="441" t="s">
        <v>66</v>
      </c>
      <c r="F116" s="118" t="s">
        <v>54</v>
      </c>
      <c r="G116" s="136"/>
      <c r="H116" s="136"/>
      <c r="I116" s="126"/>
      <c r="J116" s="126"/>
      <c r="K116" s="127"/>
      <c r="L116" s="18"/>
      <c r="M116" s="18"/>
      <c r="N116" s="80"/>
      <c r="O116" s="126">
        <f>Jan!AY277</f>
        <v>286</v>
      </c>
      <c r="P116" s="126">
        <f>Jan!AZ277</f>
        <v>665</v>
      </c>
      <c r="Q116" s="126">
        <f>Jan!AX277</f>
        <v>2</v>
      </c>
      <c r="R116" s="436"/>
      <c r="S116" s="436"/>
      <c r="T116" s="18">
        <v>6534</v>
      </c>
      <c r="U116" s="18"/>
      <c r="V116" s="18">
        <f>O116-T116-U116+V96</f>
        <v>2386</v>
      </c>
      <c r="W116" s="45"/>
      <c r="X116" s="36"/>
    </row>
    <row r="117" spans="1:25" ht="14.25" customHeight="1">
      <c r="A117" s="427"/>
      <c r="B117" s="439"/>
      <c r="C117" s="445"/>
      <c r="D117" s="43" t="s">
        <v>98</v>
      </c>
      <c r="E117" s="425"/>
      <c r="F117" s="118" t="s">
        <v>54</v>
      </c>
      <c r="G117" s="136"/>
      <c r="H117" s="37"/>
      <c r="I117" s="126"/>
      <c r="J117" s="126"/>
      <c r="K117" s="18"/>
      <c r="L117" s="18"/>
      <c r="M117" s="18"/>
      <c r="N117" s="80"/>
      <c r="O117" s="126">
        <f>Jan!AY278</f>
        <v>13289</v>
      </c>
      <c r="P117" s="126">
        <f>Jan!AZ278</f>
        <v>13506</v>
      </c>
      <c r="Q117" s="126">
        <f>Jan!AX278</f>
        <v>40</v>
      </c>
      <c r="R117" s="436"/>
      <c r="S117" s="436"/>
      <c r="T117" s="18">
        <v>20675</v>
      </c>
      <c r="U117" s="18"/>
      <c r="V117" s="18">
        <f>O117-T117-U117+V97</f>
        <v>846</v>
      </c>
      <c r="W117" s="45"/>
      <c r="X117" s="36"/>
    </row>
    <row r="118" spans="1:25" ht="14.25" customHeight="1">
      <c r="A118" s="427"/>
      <c r="B118" s="443"/>
      <c r="C118" s="446"/>
      <c r="D118" s="43" t="s">
        <v>127</v>
      </c>
      <c r="E118" s="424" t="s">
        <v>25</v>
      </c>
      <c r="F118" s="118"/>
      <c r="G118" s="136"/>
      <c r="H118" s="38">
        <v>2471.73</v>
      </c>
      <c r="I118" s="126"/>
      <c r="J118" s="126"/>
      <c r="K118" s="18"/>
      <c r="L118" s="18"/>
      <c r="M118" s="18"/>
      <c r="N118" s="80"/>
      <c r="O118" s="126"/>
      <c r="P118" s="126"/>
      <c r="Q118" s="126"/>
      <c r="R118" s="436"/>
      <c r="S118" s="436"/>
      <c r="T118" s="18"/>
      <c r="U118" s="18"/>
      <c r="V118" s="18"/>
      <c r="W118" s="45"/>
      <c r="X118" s="67"/>
    </row>
    <row r="119" spans="1:25" ht="14.25" customHeight="1">
      <c r="A119" s="427"/>
      <c r="B119" s="122" t="s">
        <v>55</v>
      </c>
      <c r="C119" s="180" t="s">
        <v>133</v>
      </c>
      <c r="D119" s="48" t="s">
        <v>56</v>
      </c>
      <c r="E119" s="441"/>
      <c r="F119" s="118" t="s">
        <v>67</v>
      </c>
      <c r="G119" s="136"/>
      <c r="H119" s="37"/>
      <c r="I119" s="126"/>
      <c r="J119" s="126"/>
      <c r="K119" s="18"/>
      <c r="L119" s="18"/>
      <c r="M119" s="18"/>
      <c r="N119" s="80"/>
      <c r="O119" s="126">
        <f>Jan!AY295</f>
        <v>396</v>
      </c>
      <c r="P119" s="126">
        <f>Jan!AZ295</f>
        <v>2</v>
      </c>
      <c r="Q119" s="126"/>
      <c r="R119" s="436"/>
      <c r="S119" s="436"/>
      <c r="T119" s="18">
        <v>857</v>
      </c>
      <c r="U119" s="18"/>
      <c r="V119" s="18"/>
      <c r="W119" s="45"/>
      <c r="X119" s="67"/>
    </row>
    <row r="120" spans="1:25" ht="14.25" customHeight="1">
      <c r="A120" s="427"/>
      <c r="B120" s="122" t="s">
        <v>122</v>
      </c>
      <c r="C120" s="180" t="s">
        <v>123</v>
      </c>
      <c r="D120" s="48" t="s">
        <v>56</v>
      </c>
      <c r="E120" s="441"/>
      <c r="F120" s="155" t="s">
        <v>64</v>
      </c>
      <c r="G120" s="136"/>
      <c r="H120" s="135"/>
      <c r="I120" s="158"/>
      <c r="J120" s="158"/>
      <c r="K120" s="128"/>
      <c r="L120" s="128"/>
      <c r="M120" s="128"/>
      <c r="N120" s="164"/>
      <c r="O120" s="158">
        <f>Jan!AY285</f>
        <v>600</v>
      </c>
      <c r="P120" s="158">
        <f>Jan!AZ285</f>
        <v>1762</v>
      </c>
      <c r="Q120" s="158">
        <f>Jan!AX285</f>
        <v>5</v>
      </c>
      <c r="R120" s="436"/>
      <c r="S120" s="436"/>
      <c r="T120" s="18"/>
      <c r="U120" s="18"/>
      <c r="V120" s="18">
        <f>O120-T120-U120+V101</f>
        <v>6020</v>
      </c>
      <c r="W120" s="45"/>
      <c r="X120" s="67"/>
    </row>
    <row r="121" spans="1:25" ht="14.25" customHeight="1">
      <c r="A121" s="427"/>
      <c r="B121" s="122" t="s">
        <v>125</v>
      </c>
      <c r="C121" s="180" t="s">
        <v>88</v>
      </c>
      <c r="D121" s="48" t="s">
        <v>124</v>
      </c>
      <c r="E121" s="441"/>
      <c r="F121" s="118" t="s">
        <v>64</v>
      </c>
      <c r="G121" s="37"/>
      <c r="H121" s="37"/>
      <c r="I121" s="126"/>
      <c r="J121" s="126"/>
      <c r="K121" s="18"/>
      <c r="L121" s="18"/>
      <c r="M121" s="18">
        <v>140000</v>
      </c>
      <c r="N121" s="80">
        <v>19</v>
      </c>
      <c r="O121" s="126">
        <f>Jan!AY283</f>
        <v>702</v>
      </c>
      <c r="P121" s="126">
        <f>Jan!AZ283</f>
        <v>1717</v>
      </c>
      <c r="Q121" s="126">
        <f>Jan!AX283</f>
        <v>7</v>
      </c>
      <c r="R121" s="436"/>
      <c r="S121" s="436"/>
      <c r="T121" s="18"/>
      <c r="U121" s="18"/>
      <c r="V121" s="18">
        <f>O121-T121-U121+V102</f>
        <v>2226</v>
      </c>
      <c r="W121" s="45"/>
      <c r="X121" s="67"/>
    </row>
    <row r="122" spans="1:25" ht="30.75" customHeight="1">
      <c r="A122" s="427"/>
      <c r="B122" s="122" t="s">
        <v>58</v>
      </c>
      <c r="C122" s="180" t="s">
        <v>136</v>
      </c>
      <c r="D122" s="48" t="s">
        <v>56</v>
      </c>
      <c r="E122" s="441"/>
      <c r="F122" s="118" t="s">
        <v>67</v>
      </c>
      <c r="G122" s="119"/>
      <c r="H122" s="126"/>
      <c r="I122" s="126"/>
      <c r="J122" s="2"/>
      <c r="K122" s="18"/>
      <c r="L122" s="18"/>
      <c r="M122" s="18"/>
      <c r="N122" s="18"/>
      <c r="O122" s="126"/>
      <c r="P122" s="126"/>
      <c r="Q122" s="126"/>
      <c r="R122" s="436"/>
      <c r="S122" s="436"/>
      <c r="T122" s="18"/>
      <c r="U122" s="18"/>
      <c r="V122" s="18">
        <f>O122-T122-U122+V103</f>
        <v>43</v>
      </c>
      <c r="W122" s="45"/>
      <c r="X122" s="67"/>
    </row>
    <row r="123" spans="1:25" ht="25.5" customHeight="1">
      <c r="A123" s="427"/>
      <c r="B123" s="122" t="s">
        <v>47</v>
      </c>
      <c r="C123" s="180" t="s">
        <v>100</v>
      </c>
      <c r="D123" s="48" t="s">
        <v>99</v>
      </c>
      <c r="E123" s="441"/>
      <c r="F123" s="118" t="s">
        <v>71</v>
      </c>
      <c r="G123" s="119"/>
      <c r="H123" s="126"/>
      <c r="I123" s="126"/>
      <c r="J123" s="2"/>
      <c r="K123" s="18"/>
      <c r="L123" s="18"/>
      <c r="M123" s="18">
        <v>18000</v>
      </c>
      <c r="N123" s="18">
        <v>3</v>
      </c>
      <c r="O123" s="126"/>
      <c r="P123" s="126">
        <f>Jan!AZ284</f>
        <v>879</v>
      </c>
      <c r="Q123" s="126">
        <f>Jan!AX284</f>
        <v>3</v>
      </c>
      <c r="R123" s="436"/>
      <c r="S123" s="436"/>
      <c r="T123" s="18"/>
      <c r="U123" s="18"/>
      <c r="V123" s="18">
        <f>O123-T123-U123+V104</f>
        <v>2159</v>
      </c>
      <c r="W123" s="45"/>
      <c r="X123" s="67"/>
    </row>
    <row r="124" spans="1:25" ht="19.5" customHeight="1">
      <c r="A124" s="427"/>
      <c r="B124" s="122" t="s">
        <v>101</v>
      </c>
      <c r="C124" s="180" t="s">
        <v>193</v>
      </c>
      <c r="D124" s="48" t="s">
        <v>102</v>
      </c>
      <c r="E124" s="441"/>
      <c r="F124" s="118" t="s">
        <v>64</v>
      </c>
      <c r="G124" s="119"/>
      <c r="H124" s="126"/>
      <c r="I124" s="126"/>
      <c r="J124" s="2"/>
      <c r="K124" s="18"/>
      <c r="L124" s="18"/>
      <c r="M124" s="18"/>
      <c r="N124" s="18"/>
      <c r="O124" s="126"/>
      <c r="P124" s="126"/>
      <c r="Q124" s="126">
        <f>Jan!AX290</f>
        <v>1</v>
      </c>
      <c r="R124" s="436"/>
      <c r="S124" s="436"/>
      <c r="T124" s="18"/>
      <c r="U124" s="18"/>
      <c r="V124" s="18"/>
      <c r="W124" s="45"/>
      <c r="X124" s="67"/>
    </row>
    <row r="125" spans="1:25" ht="19.5" customHeight="1">
      <c r="A125" s="427"/>
      <c r="B125" s="122" t="s">
        <v>103</v>
      </c>
      <c r="C125" s="180" t="s">
        <v>197</v>
      </c>
      <c r="D125" s="48" t="s">
        <v>104</v>
      </c>
      <c r="E125" s="441"/>
      <c r="F125" s="118" t="s">
        <v>105</v>
      </c>
      <c r="G125" s="119"/>
      <c r="H125" s="126"/>
      <c r="I125" s="126"/>
      <c r="J125" s="2"/>
      <c r="K125" s="18"/>
      <c r="L125" s="18"/>
      <c r="M125" s="18"/>
      <c r="N125" s="18"/>
      <c r="O125" s="126"/>
      <c r="P125" s="126"/>
      <c r="Q125" s="126">
        <f>Jan!AX291</f>
        <v>1</v>
      </c>
      <c r="R125" s="436"/>
      <c r="S125" s="436"/>
      <c r="T125" s="18"/>
      <c r="U125" s="18"/>
      <c r="V125" s="18"/>
      <c r="W125" s="45"/>
      <c r="X125" s="67"/>
    </row>
    <row r="126" spans="1:25" ht="19.5" customHeight="1">
      <c r="A126" s="427"/>
      <c r="B126" s="137" t="s">
        <v>112</v>
      </c>
      <c r="C126" s="157" t="s">
        <v>197</v>
      </c>
      <c r="D126" s="48" t="s">
        <v>104</v>
      </c>
      <c r="E126" s="441"/>
      <c r="F126" s="118" t="s">
        <v>113</v>
      </c>
      <c r="G126" s="119"/>
      <c r="H126" s="126"/>
      <c r="I126" s="126"/>
      <c r="J126" s="2"/>
      <c r="K126" s="18"/>
      <c r="L126" s="18"/>
      <c r="M126" s="18"/>
      <c r="N126" s="18"/>
      <c r="O126" s="126"/>
      <c r="P126" s="126"/>
      <c r="Q126" s="126">
        <f>Jan!AX294</f>
        <v>1</v>
      </c>
      <c r="R126" s="436"/>
      <c r="S126" s="436"/>
      <c r="T126" s="18"/>
      <c r="U126" s="18"/>
      <c r="V126" s="18"/>
      <c r="W126" s="45"/>
      <c r="X126" s="67"/>
    </row>
    <row r="127" spans="1:25" ht="19.5" customHeight="1">
      <c r="A127" s="427"/>
      <c r="B127" s="137" t="s">
        <v>106</v>
      </c>
      <c r="C127" s="157" t="s">
        <v>141</v>
      </c>
      <c r="D127" s="48" t="s">
        <v>68</v>
      </c>
      <c r="E127" s="441"/>
      <c r="F127" s="118" t="s">
        <v>67</v>
      </c>
      <c r="G127" s="119"/>
      <c r="H127" s="126"/>
      <c r="I127" s="126"/>
      <c r="J127" s="2"/>
      <c r="K127" s="18"/>
      <c r="L127" s="18"/>
      <c r="M127" s="18"/>
      <c r="N127" s="18"/>
      <c r="O127" s="126"/>
      <c r="P127" s="126"/>
      <c r="Q127" s="126">
        <f>Jan!AX292</f>
        <v>1</v>
      </c>
      <c r="R127" s="436"/>
      <c r="S127" s="436"/>
      <c r="T127" s="18"/>
      <c r="U127" s="18"/>
      <c r="V127" s="18"/>
      <c r="W127" s="45"/>
      <c r="X127" s="67"/>
    </row>
    <row r="128" spans="1:25" ht="19.5" customHeight="1" thickBot="1">
      <c r="A128" s="428"/>
      <c r="B128" s="44" t="s">
        <v>107</v>
      </c>
      <c r="C128" s="181" t="s">
        <v>195</v>
      </c>
      <c r="D128" s="61" t="s">
        <v>108</v>
      </c>
      <c r="E128" s="447"/>
      <c r="F128" s="133" t="s">
        <v>48</v>
      </c>
      <c r="G128" s="132"/>
      <c r="H128" s="109"/>
      <c r="I128" s="134"/>
      <c r="J128" s="129"/>
      <c r="K128" s="130"/>
      <c r="L128" s="130"/>
      <c r="M128" s="130"/>
      <c r="N128" s="130"/>
      <c r="O128" s="134"/>
      <c r="P128" s="134"/>
      <c r="Q128" s="134">
        <f>Jan!AX293</f>
        <v>1</v>
      </c>
      <c r="R128" s="437"/>
      <c r="S128" s="437"/>
      <c r="T128" s="130"/>
      <c r="U128" s="130"/>
      <c r="V128" s="128"/>
      <c r="W128" s="85"/>
      <c r="X128" s="67"/>
    </row>
    <row r="129" spans="1:25" ht="15" customHeight="1">
      <c r="A129" s="426">
        <v>46031</v>
      </c>
      <c r="B129" s="429" t="s">
        <v>44</v>
      </c>
      <c r="C129" s="432" t="s">
        <v>240</v>
      </c>
      <c r="D129" s="19" t="s">
        <v>37</v>
      </c>
      <c r="E129" s="19" t="s">
        <v>25</v>
      </c>
      <c r="F129" s="39" t="s">
        <v>40</v>
      </c>
      <c r="G129" s="41"/>
      <c r="H129" s="32"/>
      <c r="I129" s="32"/>
      <c r="J129" s="32"/>
      <c r="K129" s="20"/>
      <c r="L129" s="20"/>
      <c r="M129" s="20">
        <v>152000</v>
      </c>
      <c r="N129" s="84">
        <v>19</v>
      </c>
      <c r="O129" s="32">
        <f>Jan!BB272</f>
        <v>39039</v>
      </c>
      <c r="P129" s="32">
        <f>Jan!BC272</f>
        <v>31738</v>
      </c>
      <c r="Q129" s="32">
        <f>Jan!BA272</f>
        <v>86</v>
      </c>
      <c r="R129" s="435">
        <f>Jan!BB296</f>
        <v>79540</v>
      </c>
      <c r="S129" s="435">
        <f>Jan!BC296</f>
        <v>76347</v>
      </c>
      <c r="T129" s="20">
        <v>35450</v>
      </c>
      <c r="U129" s="20">
        <v>116</v>
      </c>
      <c r="V129" s="20">
        <f>O129-T129-U129+V110</f>
        <v>20792</v>
      </c>
      <c r="W129" s="77"/>
      <c r="X129" s="36"/>
    </row>
    <row r="130" spans="1:25" ht="15" customHeight="1">
      <c r="A130" s="427"/>
      <c r="B130" s="430"/>
      <c r="C130" s="433"/>
      <c r="D130" s="113" t="s">
        <v>69</v>
      </c>
      <c r="E130" s="438" t="s">
        <v>24</v>
      </c>
      <c r="F130" s="118" t="s">
        <v>40</v>
      </c>
      <c r="G130" s="37"/>
      <c r="H130" s="37"/>
      <c r="I130" s="126"/>
      <c r="J130" s="125"/>
      <c r="K130" s="18"/>
      <c r="L130" s="127"/>
      <c r="M130" s="127">
        <v>80000</v>
      </c>
      <c r="N130" s="81">
        <v>10</v>
      </c>
      <c r="O130" s="126">
        <f>Jan!BB274</f>
        <v>12213</v>
      </c>
      <c r="P130" s="125">
        <f>Jan!BC274</f>
        <v>15613</v>
      </c>
      <c r="Q130" s="125">
        <f>Jan!BA274</f>
        <v>42</v>
      </c>
      <c r="R130" s="436"/>
      <c r="S130" s="436"/>
      <c r="T130" s="127">
        <v>9357</v>
      </c>
      <c r="U130" s="127">
        <v>3</v>
      </c>
      <c r="V130" s="127">
        <f>O130-T130-U130+V111</f>
        <v>2853</v>
      </c>
      <c r="W130" s="46"/>
      <c r="X130" s="67"/>
    </row>
    <row r="131" spans="1:25" ht="15" customHeight="1">
      <c r="A131" s="427"/>
      <c r="B131" s="431"/>
      <c r="C131" s="434"/>
      <c r="D131" s="113" t="s">
        <v>128</v>
      </c>
      <c r="E131" s="431"/>
      <c r="F131" s="118"/>
      <c r="G131" s="37"/>
      <c r="H131" s="37"/>
      <c r="I131" s="126"/>
      <c r="J131" s="125"/>
      <c r="K131" s="127"/>
      <c r="L131" s="127"/>
      <c r="M131" s="127"/>
      <c r="N131" s="81"/>
      <c r="O131" s="126"/>
      <c r="P131" s="125"/>
      <c r="Q131" s="125"/>
      <c r="R131" s="436"/>
      <c r="S131" s="436"/>
      <c r="T131" s="127"/>
      <c r="U131" s="127"/>
      <c r="V131" s="127"/>
      <c r="W131" s="46"/>
      <c r="X131" s="67"/>
    </row>
    <row r="132" spans="1:25">
      <c r="A132" s="427"/>
      <c r="B132" s="439" t="s">
        <v>45</v>
      </c>
      <c r="C132" s="440" t="s">
        <v>59</v>
      </c>
      <c r="D132" s="118" t="s">
        <v>75</v>
      </c>
      <c r="E132" s="131" t="s">
        <v>25</v>
      </c>
      <c r="F132" s="131" t="s">
        <v>57</v>
      </c>
      <c r="G132" s="87"/>
      <c r="H132" s="136"/>
      <c r="I132" s="126"/>
      <c r="J132" s="2"/>
      <c r="K132" s="127"/>
      <c r="L132" s="18"/>
      <c r="M132" s="18">
        <v>100900</v>
      </c>
      <c r="N132" s="80">
        <v>20</v>
      </c>
      <c r="O132" s="126">
        <f>Jan!BB280</f>
        <v>4306</v>
      </c>
      <c r="P132" s="126">
        <f>Jan!BC280</f>
        <v>3891</v>
      </c>
      <c r="Q132" s="2">
        <f>Jan!BA280</f>
        <v>25</v>
      </c>
      <c r="R132" s="436"/>
      <c r="S132" s="436"/>
      <c r="T132" s="211">
        <v>12927</v>
      </c>
      <c r="U132" s="18"/>
      <c r="V132" s="18">
        <f>O132-T132-U132+V113</f>
        <v>44110</v>
      </c>
      <c r="W132" s="46"/>
      <c r="Y132" s="13"/>
    </row>
    <row r="133" spans="1:25">
      <c r="A133" s="427"/>
      <c r="B133" s="439"/>
      <c r="C133" s="440"/>
      <c r="D133" s="118" t="s">
        <v>72</v>
      </c>
      <c r="E133" s="424" t="s">
        <v>24</v>
      </c>
      <c r="F133" s="131" t="s">
        <v>57</v>
      </c>
      <c r="G133" s="136"/>
      <c r="H133" s="136"/>
      <c r="I133" s="126"/>
      <c r="J133" s="126"/>
      <c r="K133" s="127"/>
      <c r="L133" s="18"/>
      <c r="M133" s="18">
        <v>15000</v>
      </c>
      <c r="N133" s="80">
        <v>3</v>
      </c>
      <c r="O133" s="126">
        <f>Jan!BB281</f>
        <v>2449</v>
      </c>
      <c r="P133" s="126">
        <f>Jan!BC281</f>
        <v>3854</v>
      </c>
      <c r="Q133" s="126">
        <f>Jan!BA281</f>
        <v>17</v>
      </c>
      <c r="R133" s="436"/>
      <c r="S133" s="436"/>
      <c r="T133" s="18"/>
      <c r="U133" s="18"/>
      <c r="V133" s="18">
        <f>O133-T133-U133+V114</f>
        <v>30444</v>
      </c>
      <c r="W133" s="46"/>
      <c r="Y133" s="13"/>
    </row>
    <row r="134" spans="1:25">
      <c r="A134" s="427"/>
      <c r="B134" s="439"/>
      <c r="C134" s="440"/>
      <c r="D134" s="115" t="s">
        <v>73</v>
      </c>
      <c r="E134" s="425"/>
      <c r="F134" s="131"/>
      <c r="G134" s="136"/>
      <c r="H134" s="152">
        <v>1980</v>
      </c>
      <c r="I134" s="126"/>
      <c r="J134" s="126"/>
      <c r="K134" s="127"/>
      <c r="L134" s="18"/>
      <c r="M134" s="18"/>
      <c r="N134" s="80"/>
      <c r="O134" s="126"/>
      <c r="P134" s="126"/>
      <c r="Q134" s="126"/>
      <c r="R134" s="436"/>
      <c r="S134" s="436"/>
      <c r="T134" s="18"/>
      <c r="U134" s="18"/>
      <c r="V134" s="18"/>
      <c r="W134" s="46"/>
      <c r="Y134" s="13"/>
    </row>
    <row r="135" spans="1:25">
      <c r="A135" s="427"/>
      <c r="B135" s="439"/>
      <c r="C135" s="440"/>
      <c r="D135" s="115" t="s">
        <v>79</v>
      </c>
      <c r="E135" s="118" t="s">
        <v>65</v>
      </c>
      <c r="F135" s="131" t="s">
        <v>57</v>
      </c>
      <c r="G135" s="136"/>
      <c r="H135" s="136"/>
      <c r="I135" s="126"/>
      <c r="J135" s="126"/>
      <c r="K135" s="127"/>
      <c r="L135" s="18"/>
      <c r="M135" s="18"/>
      <c r="N135" s="80"/>
      <c r="O135" s="126">
        <f>Jan!BB282</f>
        <v>4838</v>
      </c>
      <c r="P135" s="126">
        <f>Jan!BC282</f>
        <v>4602</v>
      </c>
      <c r="Q135" s="126">
        <f>Jan!BA282</f>
        <v>20</v>
      </c>
      <c r="R135" s="436"/>
      <c r="S135" s="436"/>
      <c r="T135" s="18"/>
      <c r="U135" s="18"/>
      <c r="V135" s="18">
        <f>O135-T135-U135+V115</f>
        <v>11090</v>
      </c>
      <c r="W135" s="46"/>
      <c r="Y135" s="13"/>
    </row>
    <row r="136" spans="1:25" ht="14.25" customHeight="1">
      <c r="A136" s="427"/>
      <c r="B136" s="442" t="s">
        <v>53</v>
      </c>
      <c r="C136" s="444" t="s">
        <v>60</v>
      </c>
      <c r="D136" s="43" t="s">
        <v>95</v>
      </c>
      <c r="E136" s="441" t="s">
        <v>66</v>
      </c>
      <c r="F136" s="118" t="s">
        <v>54</v>
      </c>
      <c r="G136" s="136"/>
      <c r="H136" s="136"/>
      <c r="I136" s="126"/>
      <c r="J136" s="126"/>
      <c r="K136" s="127"/>
      <c r="L136" s="18"/>
      <c r="M136" s="18"/>
      <c r="N136" s="80"/>
      <c r="O136" s="126">
        <f>Jan!BB277</f>
        <v>1839</v>
      </c>
      <c r="P136" s="126">
        <f>Jan!BC277</f>
        <v>303</v>
      </c>
      <c r="Q136" s="126">
        <f>Jan!BA277</f>
        <v>2</v>
      </c>
      <c r="R136" s="436"/>
      <c r="S136" s="436"/>
      <c r="T136" s="18"/>
      <c r="U136" s="18"/>
      <c r="V136" s="18">
        <f>O136-T136-U136+V116</f>
        <v>4225</v>
      </c>
      <c r="W136" s="45"/>
      <c r="X136" s="36"/>
    </row>
    <row r="137" spans="1:25" ht="14.25" customHeight="1">
      <c r="A137" s="427"/>
      <c r="B137" s="439"/>
      <c r="C137" s="445"/>
      <c r="D137" s="43" t="s">
        <v>98</v>
      </c>
      <c r="E137" s="425"/>
      <c r="F137" s="118" t="s">
        <v>54</v>
      </c>
      <c r="G137" s="136"/>
      <c r="H137" s="37"/>
      <c r="I137" s="126"/>
      <c r="J137" s="126"/>
      <c r="K137" s="18"/>
      <c r="L137" s="18"/>
      <c r="M137" s="18"/>
      <c r="N137" s="80"/>
      <c r="O137" s="126">
        <f>Jan!BB278</f>
        <v>10712</v>
      </c>
      <c r="P137" s="126">
        <f>Jan!BC278</f>
        <v>12040</v>
      </c>
      <c r="Q137" s="126">
        <f>Jan!BA278</f>
        <v>40</v>
      </c>
      <c r="R137" s="436"/>
      <c r="S137" s="436"/>
      <c r="T137" s="18">
        <v>10882</v>
      </c>
      <c r="U137" s="18"/>
      <c r="V137" s="18">
        <f>O137-T137-U137+V117</f>
        <v>676</v>
      </c>
      <c r="W137" s="45"/>
      <c r="X137" s="36"/>
    </row>
    <row r="138" spans="1:25" ht="14.25" customHeight="1">
      <c r="A138" s="427"/>
      <c r="B138" s="443"/>
      <c r="C138" s="446"/>
      <c r="D138" s="43" t="s">
        <v>127</v>
      </c>
      <c r="E138" s="424" t="s">
        <v>25</v>
      </c>
      <c r="F138" s="118"/>
      <c r="G138" s="136"/>
      <c r="H138" s="126">
        <v>3465</v>
      </c>
      <c r="I138" s="126"/>
      <c r="J138" s="126"/>
      <c r="K138" s="18"/>
      <c r="L138" s="18"/>
      <c r="M138" s="18"/>
      <c r="N138" s="80"/>
      <c r="O138" s="126"/>
      <c r="P138" s="126"/>
      <c r="Q138" s="126"/>
      <c r="R138" s="436"/>
      <c r="S138" s="436"/>
      <c r="T138" s="18"/>
      <c r="U138" s="18"/>
      <c r="V138" s="18"/>
      <c r="W138" s="45"/>
      <c r="X138" s="67"/>
    </row>
    <row r="139" spans="1:25" ht="14.25" customHeight="1">
      <c r="A139" s="427"/>
      <c r="B139" s="122" t="s">
        <v>55</v>
      </c>
      <c r="C139" s="180" t="s">
        <v>133</v>
      </c>
      <c r="D139" s="48" t="s">
        <v>56</v>
      </c>
      <c r="E139" s="441"/>
      <c r="F139" s="118" t="s">
        <v>67</v>
      </c>
      <c r="G139" s="136"/>
      <c r="H139" s="37"/>
      <c r="I139" s="126"/>
      <c r="J139" s="126"/>
      <c r="K139" s="18"/>
      <c r="L139" s="18"/>
      <c r="M139" s="18"/>
      <c r="N139" s="80"/>
      <c r="O139" s="126"/>
      <c r="P139" s="126"/>
      <c r="Q139" s="126"/>
      <c r="R139" s="436"/>
      <c r="S139" s="436"/>
      <c r="T139" s="18"/>
      <c r="U139" s="18"/>
      <c r="V139" s="18"/>
      <c r="W139" s="45"/>
      <c r="X139" s="67"/>
    </row>
    <row r="140" spans="1:25" ht="14.25" customHeight="1">
      <c r="A140" s="427"/>
      <c r="B140" s="122" t="s">
        <v>122</v>
      </c>
      <c r="C140" s="180" t="s">
        <v>123</v>
      </c>
      <c r="D140" s="48" t="s">
        <v>56</v>
      </c>
      <c r="E140" s="441"/>
      <c r="F140" s="155" t="s">
        <v>64</v>
      </c>
      <c r="G140" s="136"/>
      <c r="H140" s="135"/>
      <c r="I140" s="158"/>
      <c r="J140" s="158"/>
      <c r="K140" s="128"/>
      <c r="L140" s="128"/>
      <c r="M140" s="128"/>
      <c r="N140" s="164"/>
      <c r="O140" s="158">
        <f>Jan!BB285</f>
        <v>3000</v>
      </c>
      <c r="P140" s="158">
        <f>Jan!BC285</f>
        <v>1754</v>
      </c>
      <c r="Q140" s="158">
        <f>Jan!BA285</f>
        <v>5</v>
      </c>
      <c r="R140" s="436"/>
      <c r="S140" s="436"/>
      <c r="T140" s="18"/>
      <c r="U140" s="18"/>
      <c r="V140" s="18">
        <f>O140-T140-U140+V120</f>
        <v>9020</v>
      </c>
      <c r="W140" s="45"/>
      <c r="X140" s="67"/>
    </row>
    <row r="141" spans="1:25" ht="14.25" customHeight="1">
      <c r="A141" s="427"/>
      <c r="B141" s="122" t="s">
        <v>125</v>
      </c>
      <c r="C141" s="180" t="s">
        <v>88</v>
      </c>
      <c r="D141" s="48" t="s">
        <v>124</v>
      </c>
      <c r="E141" s="441"/>
      <c r="F141" s="118" t="s">
        <v>64</v>
      </c>
      <c r="G141" s="37"/>
      <c r="H141" s="37"/>
      <c r="I141" s="126"/>
      <c r="J141" s="126"/>
      <c r="K141" s="18">
        <v>7400</v>
      </c>
      <c r="L141" s="18">
        <v>1</v>
      </c>
      <c r="M141" s="18">
        <v>132600</v>
      </c>
      <c r="N141" s="80">
        <v>18</v>
      </c>
      <c r="O141" s="126"/>
      <c r="P141" s="126">
        <f>Jan!BC283</f>
        <v>1689</v>
      </c>
      <c r="Q141" s="126">
        <f>Jan!BA283</f>
        <v>8</v>
      </c>
      <c r="R141" s="436"/>
      <c r="S141" s="436"/>
      <c r="T141" s="18"/>
      <c r="U141" s="18"/>
      <c r="V141" s="18">
        <f>O141-T141-U141+V121</f>
        <v>2226</v>
      </c>
      <c r="W141" s="45"/>
      <c r="X141" s="67"/>
    </row>
    <row r="142" spans="1:25" ht="30.75" customHeight="1">
      <c r="A142" s="427"/>
      <c r="B142" s="122" t="s">
        <v>58</v>
      </c>
      <c r="C142" s="180" t="s">
        <v>136</v>
      </c>
      <c r="D142" s="48" t="s">
        <v>56</v>
      </c>
      <c r="E142" s="441"/>
      <c r="F142" s="118" t="s">
        <v>67</v>
      </c>
      <c r="G142" s="119"/>
      <c r="H142" s="126"/>
      <c r="I142" s="126"/>
      <c r="J142" s="2"/>
      <c r="K142" s="18"/>
      <c r="L142" s="18"/>
      <c r="M142" s="18"/>
      <c r="N142" s="18"/>
      <c r="O142" s="126"/>
      <c r="P142" s="126"/>
      <c r="Q142" s="126"/>
      <c r="R142" s="436"/>
      <c r="S142" s="436"/>
      <c r="T142" s="18"/>
      <c r="U142" s="18"/>
      <c r="V142" s="18">
        <f>O142-T142-U142+V122</f>
        <v>43</v>
      </c>
      <c r="W142" s="45"/>
      <c r="X142" s="67"/>
    </row>
    <row r="143" spans="1:25" ht="21" customHeight="1">
      <c r="A143" s="427"/>
      <c r="B143" s="122" t="s">
        <v>47</v>
      </c>
      <c r="C143" s="180" t="s">
        <v>100</v>
      </c>
      <c r="D143" s="48" t="s">
        <v>99</v>
      </c>
      <c r="E143" s="441"/>
      <c r="F143" s="118" t="s">
        <v>71</v>
      </c>
      <c r="G143" s="119"/>
      <c r="H143" s="126"/>
      <c r="I143" s="126"/>
      <c r="J143" s="2"/>
      <c r="K143" s="18"/>
      <c r="L143" s="18"/>
      <c r="M143" s="18">
        <v>18000</v>
      </c>
      <c r="N143" s="18">
        <v>3</v>
      </c>
      <c r="O143" s="126">
        <f>Jan!BB284</f>
        <v>1144</v>
      </c>
      <c r="P143" s="126">
        <f>Jan!BC284</f>
        <v>863</v>
      </c>
      <c r="Q143" s="126">
        <f>Jan!BA284</f>
        <v>3</v>
      </c>
      <c r="R143" s="436"/>
      <c r="S143" s="436"/>
      <c r="T143" s="18"/>
      <c r="U143" s="18"/>
      <c r="V143" s="18">
        <f>O143-T143-U143+V123</f>
        <v>3303</v>
      </c>
      <c r="W143" s="45"/>
      <c r="X143" s="67"/>
    </row>
    <row r="144" spans="1:25" ht="21" customHeight="1">
      <c r="A144" s="427"/>
      <c r="B144" s="122" t="s">
        <v>101</v>
      </c>
      <c r="C144" s="180" t="s">
        <v>193</v>
      </c>
      <c r="D144" s="48" t="s">
        <v>102</v>
      </c>
      <c r="E144" s="441"/>
      <c r="F144" s="118" t="s">
        <v>64</v>
      </c>
      <c r="G144" s="119"/>
      <c r="H144" s="126"/>
      <c r="I144" s="126"/>
      <c r="J144" s="2"/>
      <c r="K144" s="18"/>
      <c r="L144" s="18"/>
      <c r="M144" s="18"/>
      <c r="N144" s="18"/>
      <c r="O144" s="126"/>
      <c r="P144" s="126"/>
      <c r="Q144" s="126">
        <f>Jan!BA290</f>
        <v>1</v>
      </c>
      <c r="R144" s="436"/>
      <c r="S144" s="436"/>
      <c r="T144" s="18"/>
      <c r="U144" s="18"/>
      <c r="V144" s="18"/>
      <c r="W144" s="45"/>
      <c r="X144" s="67"/>
    </row>
    <row r="145" spans="1:25" ht="21" customHeight="1">
      <c r="A145" s="427"/>
      <c r="B145" s="122" t="s">
        <v>103</v>
      </c>
      <c r="C145" s="180" t="s">
        <v>197</v>
      </c>
      <c r="D145" s="48" t="s">
        <v>104</v>
      </c>
      <c r="E145" s="441"/>
      <c r="F145" s="118" t="s">
        <v>105</v>
      </c>
      <c r="G145" s="119"/>
      <c r="H145" s="126"/>
      <c r="I145" s="126"/>
      <c r="J145" s="2"/>
      <c r="K145" s="18"/>
      <c r="L145" s="18"/>
      <c r="M145" s="18"/>
      <c r="N145" s="18"/>
      <c r="O145" s="126"/>
      <c r="P145" s="126"/>
      <c r="Q145" s="126">
        <f>Jan!BA291</f>
        <v>1</v>
      </c>
      <c r="R145" s="436"/>
      <c r="S145" s="436"/>
      <c r="T145" s="18"/>
      <c r="U145" s="18"/>
      <c r="V145" s="18"/>
      <c r="W145" s="45"/>
      <c r="X145" s="67"/>
    </row>
    <row r="146" spans="1:25" ht="21" customHeight="1">
      <c r="A146" s="427"/>
      <c r="B146" s="137" t="s">
        <v>112</v>
      </c>
      <c r="C146" s="157" t="s">
        <v>197</v>
      </c>
      <c r="D146" s="48" t="s">
        <v>104</v>
      </c>
      <c r="E146" s="441"/>
      <c r="F146" s="118" t="s">
        <v>113</v>
      </c>
      <c r="G146" s="119"/>
      <c r="H146" s="126"/>
      <c r="I146" s="126"/>
      <c r="J146" s="2"/>
      <c r="K146" s="18"/>
      <c r="L146" s="18"/>
      <c r="M146" s="18"/>
      <c r="N146" s="18"/>
      <c r="O146" s="126"/>
      <c r="P146" s="126"/>
      <c r="Q146" s="126">
        <f>Jan!BA294</f>
        <v>1</v>
      </c>
      <c r="R146" s="436"/>
      <c r="S146" s="436"/>
      <c r="T146" s="18"/>
      <c r="U146" s="18"/>
      <c r="V146" s="18"/>
      <c r="W146" s="45"/>
      <c r="X146" s="67"/>
    </row>
    <row r="147" spans="1:25" ht="21" customHeight="1">
      <c r="A147" s="427"/>
      <c r="B147" s="137" t="s">
        <v>106</v>
      </c>
      <c r="C147" s="157" t="s">
        <v>141</v>
      </c>
      <c r="D147" s="48" t="s">
        <v>68</v>
      </c>
      <c r="E147" s="441"/>
      <c r="F147" s="118" t="s">
        <v>67</v>
      </c>
      <c r="G147" s="119"/>
      <c r="H147" s="126"/>
      <c r="I147" s="126"/>
      <c r="J147" s="2"/>
      <c r="K147" s="18"/>
      <c r="L147" s="18"/>
      <c r="M147" s="18"/>
      <c r="N147" s="18"/>
      <c r="O147" s="126"/>
      <c r="P147" s="126"/>
      <c r="Q147" s="126">
        <f>Jan!BA292</f>
        <v>1</v>
      </c>
      <c r="R147" s="436"/>
      <c r="S147" s="436"/>
      <c r="T147" s="18"/>
      <c r="U147" s="18"/>
      <c r="V147" s="18"/>
      <c r="W147" s="45"/>
      <c r="X147" s="67"/>
    </row>
    <row r="148" spans="1:25" ht="21" customHeight="1" thickBot="1">
      <c r="A148" s="428"/>
      <c r="B148" s="44" t="s">
        <v>107</v>
      </c>
      <c r="C148" s="181" t="s">
        <v>195</v>
      </c>
      <c r="D148" s="61" t="s">
        <v>108</v>
      </c>
      <c r="E148" s="447"/>
      <c r="F148" s="133" t="s">
        <v>48</v>
      </c>
      <c r="G148" s="132"/>
      <c r="H148" s="109"/>
      <c r="I148" s="134"/>
      <c r="J148" s="129"/>
      <c r="K148" s="130"/>
      <c r="L148" s="130"/>
      <c r="M148" s="130"/>
      <c r="N148" s="130"/>
      <c r="O148" s="134"/>
      <c r="P148" s="134"/>
      <c r="Q148" s="134">
        <f>Jan!BA293</f>
        <v>1</v>
      </c>
      <c r="R148" s="437"/>
      <c r="S148" s="437"/>
      <c r="T148" s="130"/>
      <c r="U148" s="130"/>
      <c r="V148" s="128"/>
      <c r="W148" s="85"/>
      <c r="X148" s="67"/>
    </row>
    <row r="149" spans="1:25" ht="15" customHeight="1">
      <c r="A149" s="426">
        <v>46032</v>
      </c>
      <c r="B149" s="429" t="s">
        <v>44</v>
      </c>
      <c r="C149" s="432" t="s">
        <v>240</v>
      </c>
      <c r="D149" s="19" t="s">
        <v>37</v>
      </c>
      <c r="E149" s="19" t="s">
        <v>25</v>
      </c>
      <c r="F149" s="39" t="s">
        <v>40</v>
      </c>
      <c r="G149" s="41"/>
      <c r="H149" s="32"/>
      <c r="I149" s="32"/>
      <c r="J149" s="32"/>
      <c r="K149" s="20"/>
      <c r="L149" s="20"/>
      <c r="M149" s="20">
        <v>152000</v>
      </c>
      <c r="N149" s="84">
        <v>19</v>
      </c>
      <c r="O149" s="32">
        <f>Jan!BE272</f>
        <v>23151</v>
      </c>
      <c r="P149" s="32">
        <f>Jan!BF272</f>
        <v>26935</v>
      </c>
      <c r="Q149" s="32">
        <f>Jan!BD272</f>
        <v>83</v>
      </c>
      <c r="R149" s="435">
        <f>Jan!BE296</f>
        <v>76559</v>
      </c>
      <c r="S149" s="435">
        <f>Jan!BF296</f>
        <v>66501</v>
      </c>
      <c r="T149" s="20"/>
      <c r="U149" s="20"/>
      <c r="V149" s="20">
        <f>O149-T149-U149+V129</f>
        <v>43943</v>
      </c>
      <c r="W149" s="77"/>
      <c r="X149" s="36"/>
    </row>
    <row r="150" spans="1:25" ht="15" customHeight="1">
      <c r="A150" s="427"/>
      <c r="B150" s="430"/>
      <c r="C150" s="433"/>
      <c r="D150" s="113" t="s">
        <v>69</v>
      </c>
      <c r="E150" s="438" t="s">
        <v>24</v>
      </c>
      <c r="F150" s="118" t="s">
        <v>40</v>
      </c>
      <c r="G150" s="38"/>
      <c r="H150" s="37"/>
      <c r="I150" s="125"/>
      <c r="J150" s="125"/>
      <c r="K150" s="127"/>
      <c r="L150" s="127"/>
      <c r="M150" s="127">
        <v>80000</v>
      </c>
      <c r="N150" s="81">
        <v>10</v>
      </c>
      <c r="O150" s="125">
        <f>Jan!BE274</f>
        <v>15712</v>
      </c>
      <c r="P150" s="125">
        <f>Jan!BF274</f>
        <v>14927</v>
      </c>
      <c r="Q150" s="125">
        <f>Jan!BD274</f>
        <v>42</v>
      </c>
      <c r="R150" s="436"/>
      <c r="S150" s="436"/>
      <c r="T150" s="127"/>
      <c r="U150" s="127"/>
      <c r="V150" s="127">
        <f>O150-T150-U150+V130</f>
        <v>18565</v>
      </c>
      <c r="W150" s="46"/>
      <c r="X150" s="67"/>
    </row>
    <row r="151" spans="1:25" ht="15" customHeight="1">
      <c r="A151" s="427"/>
      <c r="B151" s="431"/>
      <c r="C151" s="434"/>
      <c r="D151" s="113" t="s">
        <v>128</v>
      </c>
      <c r="E151" s="431"/>
      <c r="F151" s="114" t="s">
        <v>40</v>
      </c>
      <c r="G151" s="170">
        <v>2749.05</v>
      </c>
      <c r="H151" s="135"/>
      <c r="I151" s="125"/>
      <c r="J151" s="125"/>
      <c r="K151" s="18"/>
      <c r="L151" s="127"/>
      <c r="M151" s="127">
        <v>40000</v>
      </c>
      <c r="N151" s="81">
        <v>5</v>
      </c>
      <c r="O151" s="126"/>
      <c r="P151" s="125"/>
      <c r="Q151" s="125"/>
      <c r="R151" s="436"/>
      <c r="S151" s="436"/>
      <c r="T151" s="127"/>
      <c r="U151" s="127"/>
      <c r="V151" s="127"/>
      <c r="W151" s="46"/>
      <c r="X151" s="67"/>
    </row>
    <row r="152" spans="1:25" ht="15" customHeight="1">
      <c r="A152" s="427"/>
      <c r="B152" s="442" t="s">
        <v>45</v>
      </c>
      <c r="C152" s="448" t="s">
        <v>59</v>
      </c>
      <c r="D152" s="118" t="s">
        <v>75</v>
      </c>
      <c r="E152" s="131" t="s">
        <v>25</v>
      </c>
      <c r="F152" s="131" t="s">
        <v>57</v>
      </c>
      <c r="G152" s="87"/>
      <c r="H152" s="136"/>
      <c r="I152" s="126"/>
      <c r="J152" s="2"/>
      <c r="K152" s="127"/>
      <c r="L152" s="18"/>
      <c r="M152" s="18">
        <v>100900</v>
      </c>
      <c r="N152" s="80">
        <v>20</v>
      </c>
      <c r="O152" s="126">
        <f>Jan!BE280</f>
        <v>5646</v>
      </c>
      <c r="P152" s="126">
        <f>Jan!BF280</f>
        <v>2229</v>
      </c>
      <c r="Q152" s="2">
        <f>Jan!BD280</f>
        <v>10</v>
      </c>
      <c r="R152" s="436"/>
      <c r="S152" s="436"/>
      <c r="T152" s="18">
        <v>23938</v>
      </c>
      <c r="U152" s="18"/>
      <c r="V152" s="18">
        <f>O152-T152-U152+V132</f>
        <v>25818</v>
      </c>
      <c r="W152" s="46"/>
      <c r="Y152" s="13"/>
    </row>
    <row r="153" spans="1:25">
      <c r="A153" s="427"/>
      <c r="B153" s="439"/>
      <c r="C153" s="440"/>
      <c r="D153" s="118" t="s">
        <v>72</v>
      </c>
      <c r="E153" s="155" t="s">
        <v>24</v>
      </c>
      <c r="F153" s="131" t="s">
        <v>57</v>
      </c>
      <c r="G153" s="136"/>
      <c r="H153" s="136"/>
      <c r="I153" s="126"/>
      <c r="J153" s="126"/>
      <c r="K153" s="127"/>
      <c r="L153" s="18"/>
      <c r="M153" s="18">
        <v>15000</v>
      </c>
      <c r="N153" s="80">
        <v>3</v>
      </c>
      <c r="O153" s="126">
        <f>Jan!BE281</f>
        <v>5451</v>
      </c>
      <c r="P153" s="126">
        <f>Jan!BF281</f>
        <v>3845</v>
      </c>
      <c r="Q153" s="126">
        <f>Jan!BD281</f>
        <v>17</v>
      </c>
      <c r="R153" s="436"/>
      <c r="S153" s="436"/>
      <c r="T153" s="18"/>
      <c r="U153" s="18"/>
      <c r="V153" s="18">
        <f>O153-T153-U153+V133</f>
        <v>35895</v>
      </c>
      <c r="W153" s="46"/>
      <c r="Y153" s="13"/>
    </row>
    <row r="154" spans="1:25">
      <c r="A154" s="427"/>
      <c r="B154" s="439"/>
      <c r="C154" s="440"/>
      <c r="D154" s="115" t="s">
        <v>79</v>
      </c>
      <c r="E154" s="424" t="s">
        <v>65</v>
      </c>
      <c r="F154" s="131" t="s">
        <v>57</v>
      </c>
      <c r="G154" s="136"/>
      <c r="H154" s="136"/>
      <c r="I154" s="126"/>
      <c r="J154" s="126"/>
      <c r="K154" s="127"/>
      <c r="L154" s="18"/>
      <c r="M154" s="18"/>
      <c r="N154" s="80"/>
      <c r="O154" s="126">
        <f>Jan!BE282</f>
        <v>5942</v>
      </c>
      <c r="P154" s="126">
        <f>Jan!BF282</f>
        <v>4409</v>
      </c>
      <c r="Q154" s="126">
        <f>Jan!BD282</f>
        <v>20</v>
      </c>
      <c r="R154" s="436"/>
      <c r="S154" s="436"/>
      <c r="T154" s="18"/>
      <c r="U154" s="18"/>
      <c r="V154" s="18">
        <f>O154-T154-U154+V135</f>
        <v>17032</v>
      </c>
      <c r="W154" s="46"/>
      <c r="Y154" s="13"/>
    </row>
    <row r="155" spans="1:25">
      <c r="A155" s="427"/>
      <c r="B155" s="443"/>
      <c r="C155" s="449"/>
      <c r="D155" s="115" t="s">
        <v>80</v>
      </c>
      <c r="E155" s="425"/>
      <c r="F155" s="131"/>
      <c r="G155" s="136"/>
      <c r="H155" s="152">
        <v>1980</v>
      </c>
      <c r="I155" s="126"/>
      <c r="J155" s="126"/>
      <c r="K155" s="127"/>
      <c r="L155" s="18"/>
      <c r="M155" s="18"/>
      <c r="N155" s="80"/>
      <c r="O155" s="126"/>
      <c r="P155" s="126"/>
      <c r="Q155" s="126"/>
      <c r="R155" s="436"/>
      <c r="S155" s="436"/>
      <c r="T155" s="153"/>
      <c r="U155" s="153"/>
      <c r="V155" s="153"/>
      <c r="W155" s="46"/>
      <c r="Y155" s="13"/>
    </row>
    <row r="156" spans="1:25" ht="14.25" customHeight="1">
      <c r="A156" s="427"/>
      <c r="B156" s="442" t="s">
        <v>53</v>
      </c>
      <c r="C156" s="444" t="s">
        <v>60</v>
      </c>
      <c r="D156" s="43" t="s">
        <v>95</v>
      </c>
      <c r="E156" s="441" t="s">
        <v>66</v>
      </c>
      <c r="F156" s="118" t="s">
        <v>54</v>
      </c>
      <c r="G156" s="136"/>
      <c r="H156" s="136"/>
      <c r="I156" s="126"/>
      <c r="J156" s="126"/>
      <c r="K156" s="127"/>
      <c r="L156" s="18"/>
      <c r="M156" s="18"/>
      <c r="N156" s="80"/>
      <c r="O156" s="126"/>
      <c r="P156" s="126"/>
      <c r="Q156" s="126"/>
      <c r="R156" s="436"/>
      <c r="S156" s="436"/>
      <c r="T156" s="153"/>
      <c r="U156" s="153"/>
      <c r="V156" s="153">
        <f>O156-T156-U156+V136</f>
        <v>4225</v>
      </c>
      <c r="W156" s="46"/>
      <c r="X156" s="36"/>
    </row>
    <row r="157" spans="1:25" ht="14.25" customHeight="1">
      <c r="A157" s="427"/>
      <c r="B157" s="439"/>
      <c r="C157" s="445"/>
      <c r="D157" s="43" t="s">
        <v>98</v>
      </c>
      <c r="E157" s="441"/>
      <c r="F157" s="118" t="s">
        <v>54</v>
      </c>
      <c r="G157" s="136"/>
      <c r="H157" s="136"/>
      <c r="I157" s="126"/>
      <c r="J157" s="126"/>
      <c r="K157" s="127"/>
      <c r="L157" s="18"/>
      <c r="M157" s="18"/>
      <c r="N157" s="80"/>
      <c r="O157" s="126">
        <f>Jan!BE278</f>
        <v>18003</v>
      </c>
      <c r="P157" s="126">
        <f>Jan!BF278</f>
        <v>9804</v>
      </c>
      <c r="Q157" s="126">
        <f>Jan!BD278</f>
        <v>33</v>
      </c>
      <c r="R157" s="436"/>
      <c r="S157" s="436"/>
      <c r="T157" s="18"/>
      <c r="U157" s="18"/>
      <c r="V157" s="18">
        <f>O157-T157-U157+V137</f>
        <v>18679</v>
      </c>
      <c r="W157" s="45"/>
      <c r="X157" s="36"/>
    </row>
    <row r="158" spans="1:25" ht="14.25" customHeight="1">
      <c r="A158" s="427"/>
      <c r="B158" s="443"/>
      <c r="C158" s="446"/>
      <c r="D158" s="43" t="s">
        <v>130</v>
      </c>
      <c r="E158" s="425"/>
      <c r="F158" s="118" t="s">
        <v>54</v>
      </c>
      <c r="G158" s="87">
        <v>2558.94</v>
      </c>
      <c r="H158" s="37"/>
      <c r="I158" s="126"/>
      <c r="J158" s="126"/>
      <c r="K158" s="18"/>
      <c r="L158" s="18"/>
      <c r="M158" s="18">
        <v>36000</v>
      </c>
      <c r="N158" s="80">
        <v>6</v>
      </c>
      <c r="O158" s="126"/>
      <c r="P158" s="126"/>
      <c r="Q158" s="126"/>
      <c r="R158" s="436"/>
      <c r="S158" s="436"/>
      <c r="T158" s="18"/>
      <c r="U158" s="18"/>
      <c r="V158" s="18"/>
      <c r="W158" s="45"/>
      <c r="X158" s="36"/>
    </row>
    <row r="159" spans="1:25" ht="14.25" customHeight="1">
      <c r="A159" s="427"/>
      <c r="B159" s="122" t="s">
        <v>55</v>
      </c>
      <c r="C159" s="180" t="s">
        <v>133</v>
      </c>
      <c r="D159" s="48" t="s">
        <v>56</v>
      </c>
      <c r="E159" s="424" t="s">
        <v>25</v>
      </c>
      <c r="F159" s="118" t="s">
        <v>67</v>
      </c>
      <c r="G159" s="136"/>
      <c r="H159" s="37"/>
      <c r="I159" s="126"/>
      <c r="J159" s="126"/>
      <c r="K159" s="18"/>
      <c r="L159" s="18"/>
      <c r="M159" s="18"/>
      <c r="N159" s="80"/>
      <c r="O159" s="126"/>
      <c r="P159" s="126"/>
      <c r="Q159" s="126"/>
      <c r="R159" s="436"/>
      <c r="S159" s="436"/>
      <c r="T159" s="18"/>
      <c r="U159" s="18"/>
      <c r="V159" s="18"/>
      <c r="W159" s="45"/>
      <c r="X159" s="67"/>
    </row>
    <row r="160" spans="1:25" ht="14.25" customHeight="1">
      <c r="A160" s="427"/>
      <c r="B160" s="442" t="s">
        <v>122</v>
      </c>
      <c r="C160" s="444" t="s">
        <v>123</v>
      </c>
      <c r="D160" s="48" t="s">
        <v>56</v>
      </c>
      <c r="E160" s="441"/>
      <c r="F160" s="155" t="s">
        <v>64</v>
      </c>
      <c r="G160" s="136"/>
      <c r="H160" s="37"/>
      <c r="I160" s="126"/>
      <c r="J160" s="126"/>
      <c r="K160" s="18"/>
      <c r="L160" s="18"/>
      <c r="M160" s="18"/>
      <c r="N160" s="80"/>
      <c r="O160" s="126">
        <f>Jan!BE285</f>
        <v>462</v>
      </c>
      <c r="P160" s="126">
        <f>Jan!BF285</f>
        <v>1681</v>
      </c>
      <c r="Q160" s="126">
        <f>Jan!BD285</f>
        <v>5</v>
      </c>
      <c r="R160" s="436"/>
      <c r="S160" s="436"/>
      <c r="T160" s="18"/>
      <c r="U160" s="18"/>
      <c r="V160" s="18">
        <f>O160-T160-U160+V140</f>
        <v>9482</v>
      </c>
      <c r="W160" s="45"/>
      <c r="X160" s="67"/>
    </row>
    <row r="161" spans="1:25" ht="14.25" customHeight="1">
      <c r="A161" s="427"/>
      <c r="B161" s="443"/>
      <c r="C161" s="446"/>
      <c r="D161" s="48" t="s">
        <v>129</v>
      </c>
      <c r="E161" s="441"/>
      <c r="F161" s="155"/>
      <c r="G161" s="136"/>
      <c r="H161" s="158">
        <v>750</v>
      </c>
      <c r="I161" s="158"/>
      <c r="J161" s="158"/>
      <c r="K161" s="128"/>
      <c r="L161" s="128"/>
      <c r="M161" s="128"/>
      <c r="N161" s="164"/>
      <c r="O161" s="158"/>
      <c r="P161" s="158"/>
      <c r="Q161" s="158"/>
      <c r="R161" s="436"/>
      <c r="S161" s="436"/>
      <c r="T161" s="18"/>
      <c r="U161" s="18"/>
      <c r="V161" s="18"/>
      <c r="W161" s="45"/>
      <c r="X161" s="67"/>
    </row>
    <row r="162" spans="1:25" ht="14.25" customHeight="1">
      <c r="A162" s="427"/>
      <c r="B162" s="122" t="s">
        <v>125</v>
      </c>
      <c r="C162" s="180" t="s">
        <v>88</v>
      </c>
      <c r="D162" s="48" t="s">
        <v>124</v>
      </c>
      <c r="E162" s="441"/>
      <c r="F162" s="118" t="s">
        <v>64</v>
      </c>
      <c r="G162" s="37"/>
      <c r="H162" s="37"/>
      <c r="I162" s="126"/>
      <c r="J162" s="126"/>
      <c r="K162" s="18"/>
      <c r="L162" s="18"/>
      <c r="M162" s="18">
        <v>132600</v>
      </c>
      <c r="N162" s="80">
        <v>18</v>
      </c>
      <c r="O162" s="126">
        <f>Jan!BE283</f>
        <v>692</v>
      </c>
      <c r="P162" s="126">
        <f>Jan!BF283</f>
        <v>1824</v>
      </c>
      <c r="Q162" s="126">
        <f>Jan!BD283</f>
        <v>8</v>
      </c>
      <c r="R162" s="436"/>
      <c r="S162" s="436"/>
      <c r="T162" s="18"/>
      <c r="U162" s="18"/>
      <c r="V162" s="18">
        <f>O162-T162-U162+V141</f>
        <v>2918</v>
      </c>
      <c r="W162" s="45"/>
      <c r="X162" s="67"/>
    </row>
    <row r="163" spans="1:25" ht="30.75" customHeight="1">
      <c r="A163" s="427"/>
      <c r="B163" s="122" t="s">
        <v>58</v>
      </c>
      <c r="C163" s="180" t="s">
        <v>136</v>
      </c>
      <c r="D163" s="48" t="s">
        <v>56</v>
      </c>
      <c r="E163" s="441"/>
      <c r="F163" s="118" t="s">
        <v>67</v>
      </c>
      <c r="G163" s="119"/>
      <c r="H163" s="126"/>
      <c r="I163" s="126"/>
      <c r="J163" s="2"/>
      <c r="K163" s="18"/>
      <c r="L163" s="18"/>
      <c r="M163" s="18"/>
      <c r="N163" s="18"/>
      <c r="O163" s="126"/>
      <c r="P163" s="126"/>
      <c r="Q163" s="126"/>
      <c r="R163" s="436"/>
      <c r="S163" s="436"/>
      <c r="T163" s="18"/>
      <c r="U163" s="18"/>
      <c r="V163" s="18">
        <f>O163-T163-U163+V142</f>
        <v>43</v>
      </c>
      <c r="W163" s="45"/>
      <c r="X163" s="67"/>
    </row>
    <row r="164" spans="1:25" ht="19.5" customHeight="1">
      <c r="A164" s="427"/>
      <c r="B164" s="122" t="s">
        <v>47</v>
      </c>
      <c r="C164" s="180" t="s">
        <v>100</v>
      </c>
      <c r="D164" s="48" t="s">
        <v>99</v>
      </c>
      <c r="E164" s="441"/>
      <c r="F164" s="118" t="s">
        <v>71</v>
      </c>
      <c r="G164" s="119"/>
      <c r="H164" s="126"/>
      <c r="I164" s="126"/>
      <c r="J164" s="2"/>
      <c r="K164" s="18"/>
      <c r="L164" s="18"/>
      <c r="M164" s="18">
        <v>18000</v>
      </c>
      <c r="N164" s="18">
        <v>3</v>
      </c>
      <c r="O164" s="126">
        <f>Jan!BE284</f>
        <v>1500</v>
      </c>
      <c r="P164" s="126">
        <f>Jan!BF284</f>
        <v>847</v>
      </c>
      <c r="Q164" s="126">
        <f>Jan!BD284</f>
        <v>3</v>
      </c>
      <c r="R164" s="436"/>
      <c r="S164" s="436"/>
      <c r="T164" s="18"/>
      <c r="U164" s="18"/>
      <c r="V164" s="18">
        <f>O164-T164-U164+V143</f>
        <v>4803</v>
      </c>
      <c r="W164" s="45"/>
      <c r="X164" s="67"/>
    </row>
    <row r="165" spans="1:25" ht="19.5" customHeight="1">
      <c r="A165" s="427"/>
      <c r="B165" s="122" t="s">
        <v>101</v>
      </c>
      <c r="C165" s="180" t="s">
        <v>193</v>
      </c>
      <c r="D165" s="48" t="s">
        <v>102</v>
      </c>
      <c r="E165" s="441"/>
      <c r="F165" s="118" t="s">
        <v>64</v>
      </c>
      <c r="G165" s="119"/>
      <c r="H165" s="126"/>
      <c r="I165" s="126"/>
      <c r="J165" s="2"/>
      <c r="K165" s="18"/>
      <c r="L165" s="18"/>
      <c r="M165" s="18"/>
      <c r="N165" s="18"/>
      <c r="O165" s="126"/>
      <c r="P165" s="126"/>
      <c r="Q165" s="126">
        <f>Jan!BD290</f>
        <v>1</v>
      </c>
      <c r="R165" s="436"/>
      <c r="S165" s="436"/>
      <c r="T165" s="18"/>
      <c r="U165" s="18"/>
      <c r="V165" s="18"/>
      <c r="W165" s="45"/>
      <c r="X165" s="67"/>
    </row>
    <row r="166" spans="1:25" ht="19.5" customHeight="1">
      <c r="A166" s="427"/>
      <c r="B166" s="122" t="s">
        <v>103</v>
      </c>
      <c r="C166" s="180" t="s">
        <v>197</v>
      </c>
      <c r="D166" s="48" t="s">
        <v>104</v>
      </c>
      <c r="E166" s="441"/>
      <c r="F166" s="118" t="s">
        <v>105</v>
      </c>
      <c r="G166" s="119"/>
      <c r="H166" s="126"/>
      <c r="I166" s="126"/>
      <c r="J166" s="2"/>
      <c r="K166" s="18"/>
      <c r="L166" s="18"/>
      <c r="M166" s="18"/>
      <c r="N166" s="18"/>
      <c r="O166" s="126"/>
      <c r="P166" s="126"/>
      <c r="Q166" s="126">
        <f>Jan!BD291</f>
        <v>1</v>
      </c>
      <c r="R166" s="436"/>
      <c r="S166" s="436"/>
      <c r="T166" s="18"/>
      <c r="U166" s="18"/>
      <c r="V166" s="18"/>
      <c r="W166" s="45"/>
      <c r="X166" s="67"/>
    </row>
    <row r="167" spans="1:25" ht="19.5" customHeight="1">
      <c r="A167" s="427"/>
      <c r="B167" s="137" t="s">
        <v>112</v>
      </c>
      <c r="C167" s="157" t="s">
        <v>197</v>
      </c>
      <c r="D167" s="48" t="s">
        <v>104</v>
      </c>
      <c r="E167" s="441"/>
      <c r="F167" s="118" t="s">
        <v>113</v>
      </c>
      <c r="G167" s="119"/>
      <c r="H167" s="126"/>
      <c r="I167" s="126"/>
      <c r="J167" s="2"/>
      <c r="K167" s="18"/>
      <c r="L167" s="18"/>
      <c r="M167" s="18"/>
      <c r="N167" s="18"/>
      <c r="O167" s="126"/>
      <c r="P167" s="126"/>
      <c r="Q167" s="126">
        <f>Jan!BD294</f>
        <v>1</v>
      </c>
      <c r="R167" s="436"/>
      <c r="S167" s="436"/>
      <c r="T167" s="18"/>
      <c r="U167" s="18"/>
      <c r="V167" s="18"/>
      <c r="W167" s="45"/>
      <c r="X167" s="67"/>
    </row>
    <row r="168" spans="1:25" ht="19.5" customHeight="1">
      <c r="A168" s="427"/>
      <c r="B168" s="137" t="s">
        <v>106</v>
      </c>
      <c r="C168" s="157" t="s">
        <v>141</v>
      </c>
      <c r="D168" s="48" t="s">
        <v>68</v>
      </c>
      <c r="E168" s="441"/>
      <c r="F168" s="118" t="s">
        <v>67</v>
      </c>
      <c r="G168" s="119"/>
      <c r="H168" s="126"/>
      <c r="I168" s="126"/>
      <c r="J168" s="2"/>
      <c r="K168" s="18"/>
      <c r="L168" s="18"/>
      <c r="M168" s="18"/>
      <c r="N168" s="18"/>
      <c r="O168" s="126"/>
      <c r="P168" s="126"/>
      <c r="Q168" s="126">
        <f>Jan!BD292</f>
        <v>1</v>
      </c>
      <c r="R168" s="436"/>
      <c r="S168" s="436"/>
      <c r="T168" s="18"/>
      <c r="U168" s="18"/>
      <c r="V168" s="18"/>
      <c r="W168" s="45"/>
      <c r="X168" s="67"/>
    </row>
    <row r="169" spans="1:25" ht="19.5" customHeight="1" thickBot="1">
      <c r="A169" s="428"/>
      <c r="B169" s="44" t="s">
        <v>107</v>
      </c>
      <c r="C169" s="181" t="s">
        <v>195</v>
      </c>
      <c r="D169" s="61" t="s">
        <v>108</v>
      </c>
      <c r="E169" s="447"/>
      <c r="F169" s="133" t="s">
        <v>48</v>
      </c>
      <c r="G169" s="132"/>
      <c r="H169" s="109"/>
      <c r="I169" s="134"/>
      <c r="J169" s="129"/>
      <c r="K169" s="130"/>
      <c r="L169" s="130"/>
      <c r="M169" s="130"/>
      <c r="N169" s="130"/>
      <c r="O169" s="134"/>
      <c r="P169" s="134"/>
      <c r="Q169" s="134">
        <f>Jan!BD293</f>
        <v>1</v>
      </c>
      <c r="R169" s="437"/>
      <c r="S169" s="437"/>
      <c r="T169" s="130"/>
      <c r="U169" s="130"/>
      <c r="V169" s="128"/>
      <c r="W169" s="85"/>
      <c r="X169" s="67"/>
    </row>
    <row r="170" spans="1:25" ht="15" customHeight="1">
      <c r="A170" s="426">
        <v>46034</v>
      </c>
      <c r="B170" s="429" t="s">
        <v>44</v>
      </c>
      <c r="C170" s="432" t="s">
        <v>240</v>
      </c>
      <c r="D170" s="19" t="s">
        <v>37</v>
      </c>
      <c r="E170" s="19" t="s">
        <v>25</v>
      </c>
      <c r="F170" s="39" t="s">
        <v>40</v>
      </c>
      <c r="G170" s="41"/>
      <c r="H170" s="32">
        <v>6912</v>
      </c>
      <c r="I170" s="32"/>
      <c r="J170" s="474">
        <v>22.1</v>
      </c>
      <c r="K170" s="20"/>
      <c r="L170" s="20"/>
      <c r="M170" s="20">
        <v>152000</v>
      </c>
      <c r="N170" s="84">
        <v>19</v>
      </c>
      <c r="O170" s="32">
        <f>Jan!BK272</f>
        <v>26728</v>
      </c>
      <c r="P170" s="32">
        <f>Jan!BL272</f>
        <v>26275</v>
      </c>
      <c r="Q170" s="32">
        <f>Jan!BJ272</f>
        <v>73</v>
      </c>
      <c r="R170" s="435">
        <f>Jan!BK296</f>
        <v>69154</v>
      </c>
      <c r="S170" s="435">
        <f>Jan!BL296</f>
        <v>68110</v>
      </c>
      <c r="T170" s="20">
        <v>52894</v>
      </c>
      <c r="U170" s="20">
        <v>19</v>
      </c>
      <c r="V170" s="20">
        <f t="shared" ref="V170:V175" si="0">O170-T170-U170+V149</f>
        <v>17758</v>
      </c>
      <c r="W170" s="77"/>
      <c r="X170" s="36"/>
    </row>
    <row r="171" spans="1:25" ht="15" customHeight="1">
      <c r="A171" s="427"/>
      <c r="B171" s="430"/>
      <c r="C171" s="433"/>
      <c r="D171" s="113" t="s">
        <v>69</v>
      </c>
      <c r="E171" s="438" t="s">
        <v>24</v>
      </c>
      <c r="F171" s="118" t="s">
        <v>40</v>
      </c>
      <c r="G171" s="38"/>
      <c r="H171" s="37"/>
      <c r="I171" s="125"/>
      <c r="J171" s="475"/>
      <c r="K171" s="127">
        <v>72000</v>
      </c>
      <c r="L171" s="127">
        <v>9</v>
      </c>
      <c r="M171" s="127">
        <v>8000</v>
      </c>
      <c r="N171" s="81">
        <v>1</v>
      </c>
      <c r="O171" s="125">
        <f>Jan!BK274</f>
        <v>19162</v>
      </c>
      <c r="P171" s="125">
        <f>Jan!BL274</f>
        <v>16376</v>
      </c>
      <c r="Q171" s="125">
        <f>Jan!BJ274</f>
        <v>45</v>
      </c>
      <c r="R171" s="436"/>
      <c r="S171" s="436"/>
      <c r="T171" s="127">
        <v>25815</v>
      </c>
      <c r="U171" s="127">
        <v>190</v>
      </c>
      <c r="V171" s="127">
        <f t="shared" si="0"/>
        <v>11722</v>
      </c>
      <c r="W171" s="46"/>
      <c r="X171" s="67"/>
    </row>
    <row r="172" spans="1:25" ht="15" customHeight="1">
      <c r="A172" s="427"/>
      <c r="B172" s="431"/>
      <c r="C172" s="434"/>
      <c r="D172" s="113" t="s">
        <v>128</v>
      </c>
      <c r="E172" s="431"/>
      <c r="F172" s="114" t="s">
        <v>40</v>
      </c>
      <c r="G172" s="135"/>
      <c r="H172" s="158">
        <v>6075</v>
      </c>
      <c r="I172" s="125"/>
      <c r="J172" s="475"/>
      <c r="K172" s="18">
        <v>8000</v>
      </c>
      <c r="L172" s="127">
        <v>1</v>
      </c>
      <c r="M172" s="127">
        <v>32000</v>
      </c>
      <c r="N172" s="81">
        <v>4</v>
      </c>
      <c r="O172" s="126"/>
      <c r="P172" s="125"/>
      <c r="Q172" s="125"/>
      <c r="R172" s="436"/>
      <c r="S172" s="436"/>
      <c r="T172" s="127"/>
      <c r="U172" s="127"/>
      <c r="V172" s="127">
        <f t="shared" si="0"/>
        <v>0</v>
      </c>
      <c r="W172" s="46"/>
      <c r="X172" s="67"/>
    </row>
    <row r="173" spans="1:25">
      <c r="A173" s="427"/>
      <c r="B173" s="439" t="s">
        <v>45</v>
      </c>
      <c r="C173" s="440" t="s">
        <v>59</v>
      </c>
      <c r="D173" s="118" t="s">
        <v>75</v>
      </c>
      <c r="E173" s="131" t="s">
        <v>25</v>
      </c>
      <c r="F173" s="131" t="s">
        <v>57</v>
      </c>
      <c r="G173" s="87"/>
      <c r="H173" s="152"/>
      <c r="I173" s="126"/>
      <c r="J173" s="475"/>
      <c r="K173" s="127"/>
      <c r="L173" s="18"/>
      <c r="M173" s="18">
        <v>100900</v>
      </c>
      <c r="N173" s="80">
        <v>20</v>
      </c>
      <c r="O173" s="126">
        <f>Jan!BK280</f>
        <v>760</v>
      </c>
      <c r="P173" s="126">
        <f>Jan!BL280</f>
        <v>1411</v>
      </c>
      <c r="Q173" s="2">
        <f>Jan!BJ280</f>
        <v>7</v>
      </c>
      <c r="R173" s="436"/>
      <c r="S173" s="436"/>
      <c r="T173" s="18">
        <v>11148</v>
      </c>
      <c r="U173" s="18"/>
      <c r="V173" s="18">
        <f t="shared" si="0"/>
        <v>15430</v>
      </c>
      <c r="W173" s="46"/>
      <c r="Y173" s="13"/>
    </row>
    <row r="174" spans="1:25">
      <c r="A174" s="427"/>
      <c r="B174" s="439"/>
      <c r="C174" s="440"/>
      <c r="D174" s="118" t="s">
        <v>72</v>
      </c>
      <c r="E174" s="155" t="s">
        <v>24</v>
      </c>
      <c r="F174" s="131" t="s">
        <v>57</v>
      </c>
      <c r="G174" s="136"/>
      <c r="H174" s="152"/>
      <c r="I174" s="126"/>
      <c r="J174" s="475"/>
      <c r="K174" s="127"/>
      <c r="L174" s="18"/>
      <c r="M174" s="18">
        <v>15000</v>
      </c>
      <c r="N174" s="80">
        <v>3</v>
      </c>
      <c r="O174" s="126">
        <f>Jan!BK281</f>
        <v>3725</v>
      </c>
      <c r="P174" s="126">
        <f>Jan!BL281</f>
        <v>4027</v>
      </c>
      <c r="Q174" s="126">
        <f>Jan!BJ281</f>
        <v>17</v>
      </c>
      <c r="R174" s="436"/>
      <c r="S174" s="436"/>
      <c r="T174" s="18"/>
      <c r="U174" s="18"/>
      <c r="V174" s="18">
        <f t="shared" si="0"/>
        <v>39620</v>
      </c>
      <c r="W174" s="46"/>
      <c r="Y174" s="13"/>
    </row>
    <row r="175" spans="1:25">
      <c r="A175" s="427"/>
      <c r="B175" s="439"/>
      <c r="C175" s="440"/>
      <c r="D175" s="115" t="s">
        <v>79</v>
      </c>
      <c r="E175" s="118" t="s">
        <v>65</v>
      </c>
      <c r="F175" s="131" t="s">
        <v>57</v>
      </c>
      <c r="G175" s="136"/>
      <c r="H175" s="152"/>
      <c r="I175" s="126"/>
      <c r="J175" s="475"/>
      <c r="K175" s="127"/>
      <c r="L175" s="18"/>
      <c r="M175" s="18"/>
      <c r="N175" s="80"/>
      <c r="O175" s="126">
        <f>Jan!BK282</f>
        <v>7021</v>
      </c>
      <c r="P175" s="126">
        <f>Jan!BL282</f>
        <v>4588</v>
      </c>
      <c r="Q175" s="126">
        <f>Jan!BJ282</f>
        <v>20</v>
      </c>
      <c r="R175" s="436"/>
      <c r="S175" s="436"/>
      <c r="T175" s="18"/>
      <c r="U175" s="18"/>
      <c r="V175" s="18">
        <f t="shared" si="0"/>
        <v>24053</v>
      </c>
      <c r="W175" s="46"/>
      <c r="Y175" s="13"/>
    </row>
    <row r="176" spans="1:25" ht="14.25" customHeight="1">
      <c r="A176" s="427"/>
      <c r="B176" s="442" t="s">
        <v>53</v>
      </c>
      <c r="C176" s="444" t="s">
        <v>60</v>
      </c>
      <c r="D176" s="43" t="s">
        <v>95</v>
      </c>
      <c r="E176" s="441" t="s">
        <v>66</v>
      </c>
      <c r="F176" s="118" t="s">
        <v>54</v>
      </c>
      <c r="G176" s="136"/>
      <c r="H176" s="152"/>
      <c r="I176" s="126"/>
      <c r="J176" s="475"/>
      <c r="K176" s="127"/>
      <c r="L176" s="18"/>
      <c r="M176" s="18"/>
      <c r="N176" s="80"/>
      <c r="O176" s="126"/>
      <c r="P176" s="126"/>
      <c r="Q176" s="126"/>
      <c r="R176" s="436"/>
      <c r="S176" s="436"/>
      <c r="T176" s="153">
        <v>1839</v>
      </c>
      <c r="U176" s="153"/>
      <c r="V176" s="153"/>
      <c r="W176" s="46"/>
      <c r="X176" s="36"/>
    </row>
    <row r="177" spans="1:24" ht="14.25" customHeight="1">
      <c r="A177" s="427"/>
      <c r="B177" s="439"/>
      <c r="C177" s="445"/>
      <c r="D177" s="43" t="s">
        <v>98</v>
      </c>
      <c r="E177" s="441"/>
      <c r="F177" s="118" t="s">
        <v>54</v>
      </c>
      <c r="G177" s="136"/>
      <c r="H177" s="152"/>
      <c r="I177" s="126"/>
      <c r="J177" s="475"/>
      <c r="K177" s="127"/>
      <c r="L177" s="18"/>
      <c r="M177" s="18"/>
      <c r="N177" s="80"/>
      <c r="O177" s="126">
        <f>Jan!BK278</f>
        <v>9358</v>
      </c>
      <c r="P177" s="126">
        <f>Jan!BL278</f>
        <v>10734</v>
      </c>
      <c r="Q177" s="126">
        <f>Jan!BJ278</f>
        <v>33</v>
      </c>
      <c r="R177" s="436"/>
      <c r="S177" s="436"/>
      <c r="T177" s="18">
        <v>22729</v>
      </c>
      <c r="U177" s="18">
        <v>3</v>
      </c>
      <c r="V177" s="18">
        <f>O177-T177-U177+V157</f>
        <v>5305</v>
      </c>
      <c r="W177" s="45"/>
      <c r="X177" s="36"/>
    </row>
    <row r="178" spans="1:24" ht="14.25" customHeight="1">
      <c r="A178" s="427"/>
      <c r="B178" s="443"/>
      <c r="C178" s="446"/>
      <c r="D178" s="43" t="s">
        <v>130</v>
      </c>
      <c r="E178" s="425"/>
      <c r="F178" s="118" t="s">
        <v>54</v>
      </c>
      <c r="G178" s="87">
        <v>2558.94</v>
      </c>
      <c r="H178" s="126"/>
      <c r="I178" s="126"/>
      <c r="J178" s="475"/>
      <c r="K178" s="18"/>
      <c r="L178" s="18"/>
      <c r="M178" s="18">
        <v>72000</v>
      </c>
      <c r="N178" s="80">
        <v>12</v>
      </c>
      <c r="O178" s="126"/>
      <c r="P178" s="126"/>
      <c r="Q178" s="126"/>
      <c r="R178" s="436"/>
      <c r="S178" s="436"/>
      <c r="T178" s="18"/>
      <c r="U178" s="18"/>
      <c r="V178" s="18"/>
      <c r="W178" s="45"/>
      <c r="X178" s="36"/>
    </row>
    <row r="179" spans="1:24" ht="14.25" customHeight="1">
      <c r="A179" s="427"/>
      <c r="B179" s="442" t="s">
        <v>55</v>
      </c>
      <c r="C179" s="444" t="s">
        <v>133</v>
      </c>
      <c r="D179" s="48" t="s">
        <v>56</v>
      </c>
      <c r="E179" s="424" t="s">
        <v>25</v>
      </c>
      <c r="F179" s="118" t="s">
        <v>67</v>
      </c>
      <c r="G179" s="87">
        <v>693.28</v>
      </c>
      <c r="H179" s="126"/>
      <c r="I179" s="126"/>
      <c r="J179" s="475"/>
      <c r="K179" s="18">
        <v>2800</v>
      </c>
      <c r="L179" s="18">
        <v>1</v>
      </c>
      <c r="M179" s="18">
        <v>2800</v>
      </c>
      <c r="N179" s="80">
        <v>1</v>
      </c>
      <c r="O179" s="126"/>
      <c r="P179" s="126">
        <f>Jan!BL295</f>
        <v>294</v>
      </c>
      <c r="Q179" s="126">
        <f>Jan!BJ295</f>
        <v>1</v>
      </c>
      <c r="R179" s="436"/>
      <c r="S179" s="436"/>
      <c r="T179" s="18"/>
      <c r="U179" s="18"/>
      <c r="V179" s="18">
        <f>O179-T179-U179+V159</f>
        <v>0</v>
      </c>
      <c r="W179" s="45"/>
      <c r="X179" s="67"/>
    </row>
    <row r="180" spans="1:24" ht="14.25" customHeight="1">
      <c r="A180" s="427"/>
      <c r="B180" s="443"/>
      <c r="C180" s="446"/>
      <c r="D180" s="48" t="s">
        <v>68</v>
      </c>
      <c r="E180" s="441"/>
      <c r="F180" s="155"/>
      <c r="G180" s="136"/>
      <c r="H180" s="126">
        <v>180</v>
      </c>
      <c r="I180" s="126"/>
      <c r="J180" s="475"/>
      <c r="K180" s="18"/>
      <c r="L180" s="18"/>
      <c r="M180" s="18"/>
      <c r="N180" s="80"/>
      <c r="O180" s="126"/>
      <c r="P180" s="126"/>
      <c r="Q180" s="126"/>
      <c r="R180" s="436"/>
      <c r="S180" s="436"/>
      <c r="T180" s="18"/>
      <c r="U180" s="18"/>
      <c r="V180" s="18"/>
      <c r="W180" s="45"/>
      <c r="X180" s="67"/>
    </row>
    <row r="181" spans="1:24" ht="14.25" customHeight="1">
      <c r="A181" s="427"/>
      <c r="B181" s="122" t="s">
        <v>122</v>
      </c>
      <c r="C181" s="180" t="s">
        <v>123</v>
      </c>
      <c r="D181" s="48" t="s">
        <v>56</v>
      </c>
      <c r="E181" s="441"/>
      <c r="F181" s="155" t="s">
        <v>64</v>
      </c>
      <c r="G181" s="136"/>
      <c r="H181" s="158"/>
      <c r="I181" s="158"/>
      <c r="J181" s="475"/>
      <c r="K181" s="128"/>
      <c r="L181" s="128"/>
      <c r="M181" s="128"/>
      <c r="N181" s="164"/>
      <c r="O181" s="158">
        <f>Jan!BK285</f>
        <v>2400</v>
      </c>
      <c r="P181" s="158">
        <f>Jan!BL285</f>
        <v>1396</v>
      </c>
      <c r="Q181" s="158">
        <f>Jan!BJ285</f>
        <v>4</v>
      </c>
      <c r="R181" s="436"/>
      <c r="S181" s="436"/>
      <c r="T181" s="18"/>
      <c r="U181" s="18"/>
      <c r="V181" s="18">
        <f>O181-T181-U181+V160</f>
        <v>11882</v>
      </c>
      <c r="W181" s="45"/>
      <c r="X181" s="67"/>
    </row>
    <row r="182" spans="1:24" ht="14.25" customHeight="1">
      <c r="A182" s="427"/>
      <c r="B182" s="122" t="s">
        <v>125</v>
      </c>
      <c r="C182" s="180" t="s">
        <v>88</v>
      </c>
      <c r="D182" s="48" t="s">
        <v>124</v>
      </c>
      <c r="E182" s="441"/>
      <c r="F182" s="118" t="s">
        <v>64</v>
      </c>
      <c r="G182" s="37"/>
      <c r="H182" s="126">
        <v>344</v>
      </c>
      <c r="I182" s="126"/>
      <c r="J182" s="475"/>
      <c r="K182" s="18">
        <v>14800</v>
      </c>
      <c r="L182" s="18">
        <v>2</v>
      </c>
      <c r="M182" s="18">
        <v>117800</v>
      </c>
      <c r="N182" s="80">
        <v>16</v>
      </c>
      <c r="O182" s="126"/>
      <c r="P182" s="126">
        <f>Jan!BL283</f>
        <v>1938</v>
      </c>
      <c r="Q182" s="126">
        <f>Jan!BJ283</f>
        <v>8</v>
      </c>
      <c r="R182" s="436"/>
      <c r="S182" s="436"/>
      <c r="T182" s="18"/>
      <c r="U182" s="18"/>
      <c r="V182" s="18">
        <f>O182-T182-U182+V162</f>
        <v>2918</v>
      </c>
      <c r="W182" s="45"/>
      <c r="X182" s="67"/>
    </row>
    <row r="183" spans="1:24" ht="25.5" customHeight="1">
      <c r="A183" s="427"/>
      <c r="B183" s="122" t="s">
        <v>58</v>
      </c>
      <c r="C183" s="180" t="s">
        <v>136</v>
      </c>
      <c r="D183" s="48" t="s">
        <v>56</v>
      </c>
      <c r="E183" s="441"/>
      <c r="F183" s="118" t="s">
        <v>67</v>
      </c>
      <c r="G183" s="119"/>
      <c r="H183" s="126"/>
      <c r="I183" s="126"/>
      <c r="J183" s="475"/>
      <c r="K183" s="18"/>
      <c r="L183" s="18"/>
      <c r="M183" s="18"/>
      <c r="N183" s="18"/>
      <c r="O183" s="126"/>
      <c r="P183" s="126"/>
      <c r="Q183" s="126"/>
      <c r="R183" s="436"/>
      <c r="S183" s="436"/>
      <c r="T183" s="18"/>
      <c r="U183" s="18"/>
      <c r="V183" s="18">
        <f>O183-T183-U183+V163</f>
        <v>43</v>
      </c>
      <c r="W183" s="45"/>
      <c r="X183" s="67"/>
    </row>
    <row r="184" spans="1:24" ht="17.25" customHeight="1">
      <c r="A184" s="427"/>
      <c r="B184" s="122" t="s">
        <v>47</v>
      </c>
      <c r="C184" s="180" t="s">
        <v>100</v>
      </c>
      <c r="D184" s="48" t="s">
        <v>99</v>
      </c>
      <c r="E184" s="441"/>
      <c r="F184" s="118" t="s">
        <v>71</v>
      </c>
      <c r="G184" s="173">
        <v>328.2</v>
      </c>
      <c r="H184" s="126"/>
      <c r="I184" s="126"/>
      <c r="J184" s="475"/>
      <c r="K184" s="18">
        <v>6000</v>
      </c>
      <c r="L184" s="18">
        <v>1</v>
      </c>
      <c r="M184" s="18">
        <v>18000</v>
      </c>
      <c r="N184" s="18">
        <v>3</v>
      </c>
      <c r="O184" s="126"/>
      <c r="P184" s="126">
        <f>Jan!BL284</f>
        <v>1071</v>
      </c>
      <c r="Q184" s="126">
        <f>Jan!BJ284</f>
        <v>4</v>
      </c>
      <c r="R184" s="436"/>
      <c r="S184" s="436"/>
      <c r="T184" s="18"/>
      <c r="U184" s="18"/>
      <c r="V184" s="18">
        <f>O184-T184-U184+V164</f>
        <v>4803</v>
      </c>
      <c r="W184" s="45"/>
      <c r="X184" s="67"/>
    </row>
    <row r="185" spans="1:24" ht="17.25" customHeight="1">
      <c r="A185" s="427"/>
      <c r="B185" s="122" t="s">
        <v>101</v>
      </c>
      <c r="C185" s="180" t="s">
        <v>193</v>
      </c>
      <c r="D185" s="48" t="s">
        <v>102</v>
      </c>
      <c r="E185" s="441"/>
      <c r="F185" s="118" t="s">
        <v>64</v>
      </c>
      <c r="G185" s="119"/>
      <c r="H185" s="126"/>
      <c r="I185" s="126"/>
      <c r="J185" s="475"/>
      <c r="K185" s="18"/>
      <c r="L185" s="18"/>
      <c r="M185" s="18"/>
      <c r="N185" s="18"/>
      <c r="O185" s="126"/>
      <c r="P185" s="126"/>
      <c r="Q185" s="126">
        <f>Jan!BJ290</f>
        <v>1</v>
      </c>
      <c r="R185" s="436"/>
      <c r="S185" s="436"/>
      <c r="T185" s="18"/>
      <c r="U185" s="18"/>
      <c r="V185" s="18"/>
      <c r="W185" s="45"/>
      <c r="X185" s="67"/>
    </row>
    <row r="186" spans="1:24" ht="17.25" customHeight="1">
      <c r="A186" s="427"/>
      <c r="B186" s="122" t="s">
        <v>103</v>
      </c>
      <c r="C186" s="157" t="s">
        <v>197</v>
      </c>
      <c r="D186" s="48" t="s">
        <v>104</v>
      </c>
      <c r="E186" s="441"/>
      <c r="F186" s="118" t="s">
        <v>105</v>
      </c>
      <c r="G186" s="119"/>
      <c r="H186" s="126"/>
      <c r="I186" s="126"/>
      <c r="J186" s="475"/>
      <c r="K186" s="18"/>
      <c r="L186" s="18"/>
      <c r="M186" s="18"/>
      <c r="N186" s="18"/>
      <c r="O186" s="126"/>
      <c r="P186" s="126"/>
      <c r="Q186" s="126">
        <f>Jan!BJ291</f>
        <v>1</v>
      </c>
      <c r="R186" s="436"/>
      <c r="S186" s="436"/>
      <c r="T186" s="18"/>
      <c r="U186" s="18"/>
      <c r="V186" s="18"/>
      <c r="W186" s="45"/>
      <c r="X186" s="67"/>
    </row>
    <row r="187" spans="1:24" ht="17.25" customHeight="1">
      <c r="A187" s="427"/>
      <c r="B187" s="137" t="s">
        <v>112</v>
      </c>
      <c r="C187" s="157" t="s">
        <v>197</v>
      </c>
      <c r="D187" s="48" t="s">
        <v>104</v>
      </c>
      <c r="E187" s="441"/>
      <c r="F187" s="118" t="s">
        <v>113</v>
      </c>
      <c r="G187" s="119"/>
      <c r="H187" s="126"/>
      <c r="I187" s="126"/>
      <c r="J187" s="475"/>
      <c r="K187" s="18"/>
      <c r="L187" s="18"/>
      <c r="M187" s="18"/>
      <c r="N187" s="18"/>
      <c r="O187" s="126"/>
      <c r="P187" s="126"/>
      <c r="Q187" s="126">
        <f>Jan!BJ294</f>
        <v>1</v>
      </c>
      <c r="R187" s="436"/>
      <c r="S187" s="436"/>
      <c r="T187" s="18"/>
      <c r="U187" s="18"/>
      <c r="V187" s="18"/>
      <c r="W187" s="45"/>
      <c r="X187" s="67"/>
    </row>
    <row r="188" spans="1:24" ht="17.25" customHeight="1">
      <c r="A188" s="427"/>
      <c r="B188" s="137" t="s">
        <v>106</v>
      </c>
      <c r="C188" s="157" t="s">
        <v>141</v>
      </c>
      <c r="D188" s="48" t="s">
        <v>68</v>
      </c>
      <c r="E188" s="441"/>
      <c r="F188" s="118" t="s">
        <v>67</v>
      </c>
      <c r="G188" s="119"/>
      <c r="H188" s="126"/>
      <c r="I188" s="126"/>
      <c r="J188" s="475"/>
      <c r="K188" s="18"/>
      <c r="L188" s="18"/>
      <c r="M188" s="18"/>
      <c r="N188" s="18"/>
      <c r="O188" s="126"/>
      <c r="P188" s="126"/>
      <c r="Q188" s="126">
        <f>Jan!BJ292</f>
        <v>1</v>
      </c>
      <c r="R188" s="436"/>
      <c r="S188" s="436"/>
      <c r="T188" s="18"/>
      <c r="U188" s="18"/>
      <c r="V188" s="18"/>
      <c r="W188" s="45"/>
      <c r="X188" s="67"/>
    </row>
    <row r="189" spans="1:24" ht="17.25" customHeight="1" thickBot="1">
      <c r="A189" s="428"/>
      <c r="B189" s="44" t="s">
        <v>107</v>
      </c>
      <c r="C189" s="181" t="s">
        <v>195</v>
      </c>
      <c r="D189" s="61" t="s">
        <v>108</v>
      </c>
      <c r="E189" s="447"/>
      <c r="F189" s="133" t="s">
        <v>48</v>
      </c>
      <c r="G189" s="132"/>
      <c r="H189" s="109"/>
      <c r="I189" s="134"/>
      <c r="J189" s="476"/>
      <c r="K189" s="130"/>
      <c r="L189" s="130"/>
      <c r="M189" s="130"/>
      <c r="N189" s="130"/>
      <c r="O189" s="134"/>
      <c r="P189" s="134"/>
      <c r="Q189" s="134">
        <f>Jan!BJ293</f>
        <v>1</v>
      </c>
      <c r="R189" s="437"/>
      <c r="S189" s="437"/>
      <c r="T189" s="130"/>
      <c r="U189" s="130"/>
      <c r="V189" s="128"/>
      <c r="W189" s="85"/>
      <c r="X189" s="67"/>
    </row>
    <row r="190" spans="1:24" ht="15" customHeight="1">
      <c r="A190" s="426">
        <v>46035</v>
      </c>
      <c r="B190" s="429" t="s">
        <v>44</v>
      </c>
      <c r="C190" s="432" t="s">
        <v>240</v>
      </c>
      <c r="D190" s="19" t="s">
        <v>37</v>
      </c>
      <c r="E190" s="19" t="s">
        <v>25</v>
      </c>
      <c r="F190" s="39" t="s">
        <v>40</v>
      </c>
      <c r="G190" s="41"/>
      <c r="H190" s="32"/>
      <c r="I190" s="32"/>
      <c r="J190" s="32"/>
      <c r="K190" s="20"/>
      <c r="L190" s="20"/>
      <c r="M190" s="20">
        <v>152000</v>
      </c>
      <c r="N190" s="84">
        <v>19</v>
      </c>
      <c r="O190" s="32">
        <f>Jan!BN272</f>
        <v>26156</v>
      </c>
      <c r="P190" s="32">
        <f>Jan!BO272</f>
        <v>24586</v>
      </c>
      <c r="Q190" s="32">
        <f>Jan!BM272</f>
        <v>67</v>
      </c>
      <c r="R190" s="435">
        <f>Jan!BN296</f>
        <v>67443</v>
      </c>
      <c r="S190" s="435">
        <f>Jan!BO296</f>
        <v>65892</v>
      </c>
      <c r="T190" s="20">
        <v>28718</v>
      </c>
      <c r="U190" s="20">
        <v>10</v>
      </c>
      <c r="V190" s="20">
        <f>O190-T190-U190+V170</f>
        <v>15186</v>
      </c>
      <c r="W190" s="77"/>
      <c r="X190" s="36"/>
    </row>
    <row r="191" spans="1:24" ht="15" customHeight="1">
      <c r="A191" s="427"/>
      <c r="B191" s="430"/>
      <c r="C191" s="433"/>
      <c r="D191" s="113" t="s">
        <v>69</v>
      </c>
      <c r="E191" s="438" t="s">
        <v>24</v>
      </c>
      <c r="F191" s="118" t="s">
        <v>40</v>
      </c>
      <c r="H191" s="37"/>
      <c r="I191" s="125"/>
      <c r="J191" s="125"/>
      <c r="K191" s="127"/>
      <c r="L191" s="127"/>
      <c r="M191" s="127">
        <v>8000</v>
      </c>
      <c r="N191" s="81">
        <v>1</v>
      </c>
      <c r="O191" s="125">
        <f>Jan!BN274</f>
        <v>14998</v>
      </c>
      <c r="P191" s="125">
        <f>Jan!BO274</f>
        <v>16777</v>
      </c>
      <c r="Q191" s="125">
        <f>Jan!BM274</f>
        <v>46</v>
      </c>
      <c r="R191" s="436"/>
      <c r="S191" s="436"/>
      <c r="T191" s="127">
        <v>25197</v>
      </c>
      <c r="U191" s="127">
        <v>10</v>
      </c>
      <c r="V191" s="127">
        <f>O191-T191-U191+V171</f>
        <v>1513</v>
      </c>
      <c r="W191" s="46"/>
      <c r="X191" s="67"/>
    </row>
    <row r="192" spans="1:24" ht="15" customHeight="1">
      <c r="A192" s="427"/>
      <c r="B192" s="431"/>
      <c r="C192" s="434"/>
      <c r="D192" s="113" t="s">
        <v>128</v>
      </c>
      <c r="E192" s="431"/>
      <c r="F192" s="114" t="s">
        <v>40</v>
      </c>
      <c r="G192" s="38">
        <v>5456.86</v>
      </c>
      <c r="H192" s="135"/>
      <c r="I192" s="125"/>
      <c r="J192" s="125"/>
      <c r="K192" s="18"/>
      <c r="L192" s="127"/>
      <c r="M192" s="127">
        <v>111400</v>
      </c>
      <c r="N192" s="81">
        <v>14</v>
      </c>
      <c r="O192" s="126"/>
      <c r="P192" s="125"/>
      <c r="Q192" s="125"/>
      <c r="R192" s="436"/>
      <c r="S192" s="436"/>
      <c r="T192" s="127"/>
      <c r="U192" s="127"/>
      <c r="V192" s="127">
        <f>O192-T192-U192+V172</f>
        <v>0</v>
      </c>
      <c r="W192" s="46"/>
      <c r="X192" s="67"/>
    </row>
    <row r="193" spans="1:25">
      <c r="A193" s="427"/>
      <c r="B193" s="439" t="s">
        <v>45</v>
      </c>
      <c r="C193" s="440" t="s">
        <v>59</v>
      </c>
      <c r="D193" s="118" t="s">
        <v>75</v>
      </c>
      <c r="E193" s="438" t="s">
        <v>25</v>
      </c>
      <c r="F193" s="131" t="s">
        <v>57</v>
      </c>
      <c r="G193" s="87"/>
      <c r="H193" s="136"/>
      <c r="I193" s="126"/>
      <c r="J193" s="2"/>
      <c r="K193" s="127"/>
      <c r="L193" s="18"/>
      <c r="M193" s="18">
        <v>100900</v>
      </c>
      <c r="N193" s="80">
        <v>20</v>
      </c>
      <c r="O193" s="126">
        <f>Jan!BN280</f>
        <v>2447</v>
      </c>
      <c r="P193" s="126">
        <f>Jan!BO280</f>
        <v>1185</v>
      </c>
      <c r="Q193" s="2">
        <f>Jan!BM280</f>
        <v>7</v>
      </c>
      <c r="R193" s="436"/>
      <c r="S193" s="436"/>
      <c r="T193" s="18">
        <v>6481</v>
      </c>
      <c r="U193" s="18"/>
      <c r="V193" s="18">
        <f>O193-T193-U193+V173</f>
        <v>11396</v>
      </c>
      <c r="W193" s="46"/>
      <c r="Y193" s="13"/>
    </row>
    <row r="194" spans="1:25">
      <c r="A194" s="427"/>
      <c r="B194" s="439"/>
      <c r="C194" s="440"/>
      <c r="D194" s="118" t="s">
        <v>94</v>
      </c>
      <c r="E194" s="431"/>
      <c r="F194" s="131"/>
      <c r="G194" s="87"/>
      <c r="H194" s="152">
        <v>486</v>
      </c>
      <c r="I194" s="126"/>
      <c r="J194" s="2"/>
      <c r="K194" s="127"/>
      <c r="L194" s="18"/>
      <c r="M194" s="18"/>
      <c r="N194" s="80"/>
      <c r="O194" s="126"/>
      <c r="P194" s="126"/>
      <c r="Q194" s="2"/>
      <c r="R194" s="436"/>
      <c r="S194" s="436"/>
      <c r="T194" s="18"/>
      <c r="U194" s="18"/>
      <c r="V194" s="18"/>
      <c r="W194" s="46"/>
      <c r="Y194" s="13"/>
    </row>
    <row r="195" spans="1:25">
      <c r="A195" s="427"/>
      <c r="B195" s="439"/>
      <c r="C195" s="440"/>
      <c r="D195" s="118" t="s">
        <v>72</v>
      </c>
      <c r="E195" s="155" t="s">
        <v>24</v>
      </c>
      <c r="F195" s="131" t="s">
        <v>57</v>
      </c>
      <c r="G195" s="136"/>
      <c r="H195" s="136"/>
      <c r="I195" s="126"/>
      <c r="J195" s="126"/>
      <c r="K195" s="127"/>
      <c r="L195" s="18"/>
      <c r="M195" s="18">
        <v>15000</v>
      </c>
      <c r="N195" s="80">
        <v>3</v>
      </c>
      <c r="O195" s="126">
        <f>Jan!BN281</f>
        <v>4356</v>
      </c>
      <c r="P195" s="126">
        <f>Jan!BO281</f>
        <v>4025</v>
      </c>
      <c r="Q195" s="126">
        <f>Jan!BM281</f>
        <v>17</v>
      </c>
      <c r="R195" s="436"/>
      <c r="S195" s="436"/>
      <c r="T195" s="18">
        <v>9877</v>
      </c>
      <c r="U195" s="18">
        <v>6</v>
      </c>
      <c r="V195" s="18">
        <f>O195-T195-U195+V174</f>
        <v>34093</v>
      </c>
      <c r="W195" s="46"/>
      <c r="Y195" s="13"/>
    </row>
    <row r="196" spans="1:25">
      <c r="A196" s="427"/>
      <c r="B196" s="439"/>
      <c r="C196" s="440"/>
      <c r="D196" s="115" t="s">
        <v>79</v>
      </c>
      <c r="E196" s="118" t="s">
        <v>65</v>
      </c>
      <c r="F196" s="131" t="s">
        <v>57</v>
      </c>
      <c r="G196" s="136"/>
      <c r="H196" s="136"/>
      <c r="I196" s="126"/>
      <c r="J196" s="126"/>
      <c r="K196" s="127"/>
      <c r="L196" s="18"/>
      <c r="M196" s="18"/>
      <c r="N196" s="80"/>
      <c r="O196" s="126">
        <f>Jan!BN282</f>
        <v>2299</v>
      </c>
      <c r="P196" s="126">
        <f>Jan!BO282</f>
        <v>4604</v>
      </c>
      <c r="Q196" s="126">
        <f>Jan!BM282</f>
        <v>20</v>
      </c>
      <c r="R196" s="436"/>
      <c r="S196" s="436"/>
      <c r="T196" s="18"/>
      <c r="U196" s="18"/>
      <c r="V196" s="18">
        <f>O196-T196-U196+V175</f>
        <v>26352</v>
      </c>
      <c r="W196" s="46"/>
      <c r="Y196" s="13"/>
    </row>
    <row r="197" spans="1:25" ht="14.25" customHeight="1">
      <c r="A197" s="427"/>
      <c r="B197" s="442" t="s">
        <v>53</v>
      </c>
      <c r="C197" s="444" t="s">
        <v>60</v>
      </c>
      <c r="D197" s="43" t="s">
        <v>95</v>
      </c>
      <c r="E197" s="441" t="s">
        <v>66</v>
      </c>
      <c r="F197" s="118" t="s">
        <v>54</v>
      </c>
      <c r="G197" s="136"/>
      <c r="H197" s="136"/>
      <c r="I197" s="126"/>
      <c r="J197" s="126"/>
      <c r="K197" s="127"/>
      <c r="L197" s="18"/>
      <c r="M197" s="18"/>
      <c r="N197" s="80"/>
      <c r="O197" s="126"/>
      <c r="P197" s="126"/>
      <c r="Q197" s="126"/>
      <c r="R197" s="436"/>
      <c r="S197" s="436"/>
      <c r="T197" s="153"/>
      <c r="U197" s="153"/>
      <c r="V197" s="153"/>
      <c r="W197" s="46"/>
      <c r="X197" s="36"/>
    </row>
    <row r="198" spans="1:25" ht="14.25" customHeight="1">
      <c r="A198" s="427"/>
      <c r="B198" s="439"/>
      <c r="C198" s="445"/>
      <c r="D198" s="43" t="s">
        <v>98</v>
      </c>
      <c r="E198" s="441"/>
      <c r="F198" s="118" t="s">
        <v>54</v>
      </c>
      <c r="G198" s="136"/>
      <c r="H198" s="136"/>
      <c r="I198" s="126"/>
      <c r="J198" s="126"/>
      <c r="K198" s="127"/>
      <c r="L198" s="18"/>
      <c r="M198" s="18"/>
      <c r="N198" s="80"/>
      <c r="O198" s="126">
        <f>Jan!BN278</f>
        <v>14270</v>
      </c>
      <c r="P198" s="126">
        <f>Jan!BO278</f>
        <v>10321</v>
      </c>
      <c r="Q198" s="126">
        <f>Jan!BM278</f>
        <v>33</v>
      </c>
      <c r="R198" s="436"/>
      <c r="S198" s="436"/>
      <c r="T198" s="18">
        <v>17584</v>
      </c>
      <c r="U198" s="18"/>
      <c r="V198" s="18">
        <f>O198-T198-U198+V177</f>
        <v>1991</v>
      </c>
      <c r="W198" s="45"/>
      <c r="X198" s="36"/>
    </row>
    <row r="199" spans="1:25" ht="14.25" customHeight="1">
      <c r="A199" s="427"/>
      <c r="B199" s="439"/>
      <c r="C199" s="445"/>
      <c r="D199" s="43" t="s">
        <v>130</v>
      </c>
      <c r="E199" s="425"/>
      <c r="F199" s="118" t="s">
        <v>54</v>
      </c>
      <c r="G199" s="136"/>
      <c r="H199" s="37"/>
      <c r="I199" s="126"/>
      <c r="J199" s="126"/>
      <c r="K199" s="18"/>
      <c r="L199" s="18"/>
      <c r="M199" s="18">
        <v>72000</v>
      </c>
      <c r="N199" s="80">
        <v>12</v>
      </c>
      <c r="O199" s="126"/>
      <c r="P199" s="126"/>
      <c r="Q199" s="126"/>
      <c r="R199" s="436"/>
      <c r="S199" s="436"/>
      <c r="T199" s="18"/>
      <c r="U199" s="18"/>
      <c r="V199" s="18"/>
      <c r="W199" s="45"/>
      <c r="X199" s="36"/>
    </row>
    <row r="200" spans="1:25" ht="14.25" customHeight="1">
      <c r="A200" s="427"/>
      <c r="B200" s="443"/>
      <c r="C200" s="446"/>
      <c r="D200" s="43" t="s">
        <v>127</v>
      </c>
      <c r="E200" s="424" t="s">
        <v>25</v>
      </c>
      <c r="F200" s="118"/>
      <c r="G200" s="136"/>
      <c r="H200" s="126">
        <v>1155</v>
      </c>
      <c r="I200" s="126"/>
      <c r="J200" s="126"/>
      <c r="K200" s="18"/>
      <c r="L200" s="18"/>
      <c r="M200" s="18"/>
      <c r="N200" s="80"/>
      <c r="O200" s="126"/>
      <c r="P200" s="126"/>
      <c r="Q200" s="126"/>
      <c r="R200" s="436"/>
      <c r="S200" s="436"/>
      <c r="T200" s="18"/>
      <c r="U200" s="18"/>
      <c r="V200" s="18"/>
      <c r="W200" s="45"/>
      <c r="X200" s="67"/>
    </row>
    <row r="201" spans="1:25" ht="14.25" customHeight="1">
      <c r="A201" s="427"/>
      <c r="B201" s="122" t="s">
        <v>55</v>
      </c>
      <c r="C201" s="180" t="s">
        <v>133</v>
      </c>
      <c r="D201" s="48" t="s">
        <v>56</v>
      </c>
      <c r="E201" s="441"/>
      <c r="F201" s="118" t="s">
        <v>67</v>
      </c>
      <c r="G201" s="136"/>
      <c r="H201" s="37"/>
      <c r="I201" s="126"/>
      <c r="J201" s="126"/>
      <c r="K201" s="18"/>
      <c r="L201" s="18"/>
      <c r="M201" s="18">
        <v>2800</v>
      </c>
      <c r="N201" s="80">
        <v>1</v>
      </c>
      <c r="O201" s="126">
        <f>Jan!BN295</f>
        <v>350</v>
      </c>
      <c r="P201" s="126">
        <f>Jan!BO295</f>
        <v>56</v>
      </c>
      <c r="Q201" s="126">
        <f>Jan!BM295</f>
        <v>1</v>
      </c>
      <c r="R201" s="436"/>
      <c r="S201" s="436"/>
      <c r="T201" s="18">
        <v>350</v>
      </c>
      <c r="U201" s="18"/>
      <c r="V201" s="18">
        <f>O201-T201-U201+V179</f>
        <v>0</v>
      </c>
      <c r="W201" s="45"/>
      <c r="X201" s="67"/>
    </row>
    <row r="202" spans="1:25" ht="14.25" customHeight="1">
      <c r="A202" s="427"/>
      <c r="B202" s="442" t="s">
        <v>122</v>
      </c>
      <c r="C202" s="444" t="s">
        <v>123</v>
      </c>
      <c r="D202" s="48" t="s">
        <v>56</v>
      </c>
      <c r="E202" s="441"/>
      <c r="F202" s="155" t="s">
        <v>64</v>
      </c>
      <c r="G202" s="136"/>
      <c r="H202" s="37"/>
      <c r="I202" s="126"/>
      <c r="J202" s="126"/>
      <c r="K202" s="18"/>
      <c r="L202" s="18"/>
      <c r="M202" s="18"/>
      <c r="N202" s="80"/>
      <c r="O202" s="126">
        <f>Jan!BN285</f>
        <v>608</v>
      </c>
      <c r="P202" s="126">
        <f>Jan!BO285</f>
        <v>1356</v>
      </c>
      <c r="Q202" s="126">
        <f>Jan!BM285</f>
        <v>4</v>
      </c>
      <c r="R202" s="436"/>
      <c r="S202" s="436"/>
      <c r="T202" s="18"/>
      <c r="U202" s="18"/>
      <c r="V202" s="18">
        <f>O202-T202-U202+V181</f>
        <v>12490</v>
      </c>
      <c r="W202" s="45"/>
      <c r="X202" s="67"/>
    </row>
    <row r="203" spans="1:25" ht="14.25" customHeight="1">
      <c r="A203" s="427"/>
      <c r="B203" s="443"/>
      <c r="C203" s="446"/>
      <c r="D203" s="48" t="s">
        <v>129</v>
      </c>
      <c r="E203" s="441"/>
      <c r="F203" s="155"/>
      <c r="G203" s="136"/>
      <c r="H203" s="158">
        <v>525</v>
      </c>
      <c r="I203" s="158"/>
      <c r="J203" s="158"/>
      <c r="K203" s="128"/>
      <c r="L203" s="128"/>
      <c r="M203" s="128"/>
      <c r="N203" s="164"/>
      <c r="O203" s="158"/>
      <c r="P203" s="158"/>
      <c r="Q203" s="158"/>
      <c r="R203" s="436"/>
      <c r="S203" s="436"/>
      <c r="T203" s="18"/>
      <c r="U203" s="18"/>
      <c r="V203" s="18"/>
      <c r="W203" s="45"/>
      <c r="X203" s="67"/>
    </row>
    <row r="204" spans="1:25" ht="14.25" customHeight="1">
      <c r="A204" s="427"/>
      <c r="B204" s="122" t="s">
        <v>125</v>
      </c>
      <c r="C204" s="180" t="s">
        <v>88</v>
      </c>
      <c r="D204" s="48" t="s">
        <v>124</v>
      </c>
      <c r="E204" s="441"/>
      <c r="F204" s="118" t="s">
        <v>64</v>
      </c>
      <c r="G204" s="37"/>
      <c r="H204" s="126">
        <v>576</v>
      </c>
      <c r="I204" s="126"/>
      <c r="J204" s="126"/>
      <c r="K204" s="18"/>
      <c r="L204" s="18"/>
      <c r="M204" s="18">
        <v>117800</v>
      </c>
      <c r="N204" s="80">
        <v>16</v>
      </c>
      <c r="O204" s="126">
        <f>Jan!BN283</f>
        <v>0</v>
      </c>
      <c r="P204" s="126">
        <f>Jan!BO283</f>
        <v>1941</v>
      </c>
      <c r="Q204" s="126">
        <f>Jan!BM283</f>
        <v>8</v>
      </c>
      <c r="R204" s="436"/>
      <c r="S204" s="436"/>
      <c r="T204" s="18"/>
      <c r="U204" s="18"/>
      <c r="V204" s="18">
        <f>O204-T204-U204+V182</f>
        <v>2918</v>
      </c>
      <c r="W204" s="45"/>
      <c r="X204" s="67"/>
    </row>
    <row r="205" spans="1:25" ht="24.75" customHeight="1">
      <c r="A205" s="427"/>
      <c r="B205" s="122" t="s">
        <v>58</v>
      </c>
      <c r="C205" s="180" t="s">
        <v>136</v>
      </c>
      <c r="D205" s="48" t="s">
        <v>56</v>
      </c>
      <c r="E205" s="441"/>
      <c r="F205" s="118" t="s">
        <v>67</v>
      </c>
      <c r="G205" s="119"/>
      <c r="H205" s="126"/>
      <c r="I205" s="126"/>
      <c r="J205" s="2"/>
      <c r="K205" s="18"/>
      <c r="L205" s="18"/>
      <c r="M205" s="18"/>
      <c r="N205" s="18"/>
      <c r="O205" s="126"/>
      <c r="P205" s="126"/>
      <c r="Q205" s="126"/>
      <c r="R205" s="436"/>
      <c r="S205" s="436"/>
      <c r="T205" s="18"/>
      <c r="U205" s="18"/>
      <c r="V205" s="18">
        <f>O205-T205-U205+V183</f>
        <v>43</v>
      </c>
      <c r="W205" s="45"/>
      <c r="X205" s="67"/>
    </row>
    <row r="206" spans="1:25" ht="18.75" customHeight="1">
      <c r="A206" s="427"/>
      <c r="B206" s="122" t="s">
        <v>47</v>
      </c>
      <c r="C206" s="180" t="s">
        <v>100</v>
      </c>
      <c r="D206" s="48" t="s">
        <v>99</v>
      </c>
      <c r="E206" s="441"/>
      <c r="F206" s="118" t="s">
        <v>71</v>
      </c>
      <c r="G206" s="119"/>
      <c r="H206" s="126"/>
      <c r="I206" s="126"/>
      <c r="J206" s="2"/>
      <c r="K206" s="18"/>
      <c r="L206" s="18"/>
      <c r="M206" s="18">
        <v>18000</v>
      </c>
      <c r="N206" s="18">
        <v>3</v>
      </c>
      <c r="O206" s="126">
        <f>Jan!BN284</f>
        <v>1959</v>
      </c>
      <c r="P206" s="126">
        <f>Jan!BO284</f>
        <v>1041</v>
      </c>
      <c r="Q206" s="126">
        <f>Jan!BM284</f>
        <v>4</v>
      </c>
      <c r="R206" s="436"/>
      <c r="S206" s="436"/>
      <c r="T206" s="18"/>
      <c r="U206" s="18"/>
      <c r="V206" s="18">
        <f>O206-T206-U206+V184</f>
        <v>6762</v>
      </c>
      <c r="W206" s="45"/>
      <c r="X206" s="67"/>
    </row>
    <row r="207" spans="1:25" ht="18.75" customHeight="1">
      <c r="A207" s="427"/>
      <c r="B207" s="122" t="s">
        <v>101</v>
      </c>
      <c r="C207" s="180" t="s">
        <v>193</v>
      </c>
      <c r="D207" s="48" t="s">
        <v>102</v>
      </c>
      <c r="E207" s="441"/>
      <c r="F207" s="118" t="s">
        <v>64</v>
      </c>
      <c r="G207" s="119"/>
      <c r="H207" s="126"/>
      <c r="I207" s="126"/>
      <c r="J207" s="2"/>
      <c r="K207" s="18"/>
      <c r="L207" s="18"/>
      <c r="M207" s="18"/>
      <c r="N207" s="18"/>
      <c r="O207" s="126"/>
      <c r="P207" s="126"/>
      <c r="Q207" s="126">
        <f>Jan!BM290</f>
        <v>1</v>
      </c>
      <c r="R207" s="436"/>
      <c r="S207" s="436"/>
      <c r="T207" s="18"/>
      <c r="U207" s="18"/>
      <c r="V207" s="18"/>
      <c r="W207" s="45"/>
      <c r="X207" s="67"/>
    </row>
    <row r="208" spans="1:25" ht="18.75" customHeight="1">
      <c r="A208" s="427"/>
      <c r="B208" s="122" t="s">
        <v>103</v>
      </c>
      <c r="C208" s="157" t="s">
        <v>197</v>
      </c>
      <c r="D208" s="48" t="s">
        <v>104</v>
      </c>
      <c r="E208" s="441"/>
      <c r="F208" s="118" t="s">
        <v>105</v>
      </c>
      <c r="G208" s="119"/>
      <c r="H208" s="126"/>
      <c r="I208" s="126"/>
      <c r="J208" s="2"/>
      <c r="K208" s="18"/>
      <c r="L208" s="18"/>
      <c r="M208" s="18"/>
      <c r="N208" s="18"/>
      <c r="O208" s="126"/>
      <c r="P208" s="126"/>
      <c r="Q208" s="126">
        <f>Jan!BM291</f>
        <v>1</v>
      </c>
      <c r="R208" s="436"/>
      <c r="S208" s="436"/>
      <c r="T208" s="18"/>
      <c r="U208" s="18"/>
      <c r="V208" s="18"/>
      <c r="W208" s="45"/>
      <c r="X208" s="67"/>
    </row>
    <row r="209" spans="1:25" ht="18.75" customHeight="1">
      <c r="A209" s="427"/>
      <c r="B209" s="137" t="s">
        <v>112</v>
      </c>
      <c r="C209" s="157" t="s">
        <v>197</v>
      </c>
      <c r="D209" s="48" t="s">
        <v>104</v>
      </c>
      <c r="E209" s="441"/>
      <c r="F209" s="118" t="s">
        <v>113</v>
      </c>
      <c r="G209" s="119"/>
      <c r="H209" s="126"/>
      <c r="I209" s="126"/>
      <c r="J209" s="2"/>
      <c r="K209" s="18"/>
      <c r="L209" s="18"/>
      <c r="M209" s="18"/>
      <c r="N209" s="18"/>
      <c r="O209" s="126"/>
      <c r="P209" s="126"/>
      <c r="Q209" s="126">
        <f>Jan!BM294</f>
        <v>1</v>
      </c>
      <c r="R209" s="436"/>
      <c r="S209" s="436"/>
      <c r="T209" s="18"/>
      <c r="U209" s="18"/>
      <c r="V209" s="18"/>
      <c r="W209" s="45"/>
      <c r="X209" s="67"/>
    </row>
    <row r="210" spans="1:25" ht="18.75" customHeight="1">
      <c r="A210" s="427"/>
      <c r="B210" s="137" t="s">
        <v>106</v>
      </c>
      <c r="C210" s="157" t="s">
        <v>141</v>
      </c>
      <c r="D210" s="48" t="s">
        <v>68</v>
      </c>
      <c r="E210" s="441"/>
      <c r="F210" s="118" t="s">
        <v>67</v>
      </c>
      <c r="G210" s="119"/>
      <c r="H210" s="126"/>
      <c r="I210" s="126"/>
      <c r="J210" s="2"/>
      <c r="K210" s="18"/>
      <c r="L210" s="18"/>
      <c r="M210" s="18"/>
      <c r="N210" s="18"/>
      <c r="O210" s="126"/>
      <c r="P210" s="126"/>
      <c r="Q210" s="126">
        <f>Jan!BM292</f>
        <v>1</v>
      </c>
      <c r="R210" s="436"/>
      <c r="S210" s="436"/>
      <c r="T210" s="18"/>
      <c r="U210" s="18"/>
      <c r="V210" s="18"/>
      <c r="W210" s="45"/>
      <c r="X210" s="67"/>
    </row>
    <row r="211" spans="1:25" ht="18.75" customHeight="1" thickBot="1">
      <c r="A211" s="428"/>
      <c r="B211" s="44" t="s">
        <v>107</v>
      </c>
      <c r="C211" s="181" t="s">
        <v>195</v>
      </c>
      <c r="D211" s="61" t="s">
        <v>108</v>
      </c>
      <c r="E211" s="447"/>
      <c r="F211" s="133" t="s">
        <v>48</v>
      </c>
      <c r="G211" s="132"/>
      <c r="H211" s="109"/>
      <c r="I211" s="134"/>
      <c r="J211" s="129"/>
      <c r="K211" s="130"/>
      <c r="L211" s="130"/>
      <c r="M211" s="130"/>
      <c r="N211" s="130"/>
      <c r="O211" s="134"/>
      <c r="P211" s="134"/>
      <c r="Q211" s="134">
        <f>Jan!BM293</f>
        <v>1</v>
      </c>
      <c r="R211" s="437"/>
      <c r="S211" s="437"/>
      <c r="T211" s="130"/>
      <c r="U211" s="130"/>
      <c r="V211" s="128"/>
      <c r="W211" s="85"/>
      <c r="X211" s="67"/>
    </row>
    <row r="212" spans="1:25" ht="15" customHeight="1">
      <c r="A212" s="426">
        <v>46036</v>
      </c>
      <c r="B212" s="429" t="s">
        <v>44</v>
      </c>
      <c r="C212" s="432" t="s">
        <v>240</v>
      </c>
      <c r="D212" s="19" t="s">
        <v>37</v>
      </c>
      <c r="E212" s="19" t="s">
        <v>25</v>
      </c>
      <c r="F212" s="39" t="s">
        <v>40</v>
      </c>
      <c r="G212" s="41"/>
      <c r="H212" s="32"/>
      <c r="I212" s="32"/>
      <c r="J212" s="32"/>
      <c r="K212" s="20"/>
      <c r="L212" s="20"/>
      <c r="M212" s="20">
        <v>152000</v>
      </c>
      <c r="N212" s="84">
        <v>19</v>
      </c>
      <c r="O212" s="32">
        <f>Jan!BQ272</f>
        <v>37869</v>
      </c>
      <c r="P212" s="32">
        <f>Jan!BR272</f>
        <v>24523</v>
      </c>
      <c r="Q212" s="32">
        <f>Jan!BP272</f>
        <v>68</v>
      </c>
      <c r="R212" s="435">
        <f>Jan!BQ296</f>
        <v>76508</v>
      </c>
      <c r="S212" s="435">
        <f>Jan!BR296</f>
        <v>65496</v>
      </c>
      <c r="T212" s="20">
        <v>35068</v>
      </c>
      <c r="U212" s="20">
        <v>12</v>
      </c>
      <c r="V212" s="20">
        <f>O212-T212-U212+V190</f>
        <v>17975</v>
      </c>
      <c r="W212" s="77"/>
      <c r="X212" s="36"/>
    </row>
    <row r="213" spans="1:25" ht="15" customHeight="1">
      <c r="A213" s="427"/>
      <c r="B213" s="430"/>
      <c r="C213" s="433"/>
      <c r="D213" s="113" t="s">
        <v>69</v>
      </c>
      <c r="E213" s="438" t="s">
        <v>24</v>
      </c>
      <c r="F213" s="118" t="s">
        <v>40</v>
      </c>
      <c r="G213" s="38"/>
      <c r="H213" s="37"/>
      <c r="I213" s="125"/>
      <c r="J213" s="125"/>
      <c r="K213" s="127"/>
      <c r="L213" s="127"/>
      <c r="M213" s="127">
        <v>8000</v>
      </c>
      <c r="N213" s="81">
        <v>1</v>
      </c>
      <c r="O213" s="125">
        <f>Jan!BQ274</f>
        <v>11157</v>
      </c>
      <c r="P213" s="125">
        <f>Jan!BR274</f>
        <v>16999</v>
      </c>
      <c r="Q213" s="125">
        <f>Jan!BP274</f>
        <v>48</v>
      </c>
      <c r="R213" s="436"/>
      <c r="S213" s="436"/>
      <c r="T213" s="127">
        <v>6759</v>
      </c>
      <c r="U213" s="127"/>
      <c r="V213" s="127">
        <f>O213-T213-U213+V191</f>
        <v>5911</v>
      </c>
      <c r="W213" s="46"/>
      <c r="X213" s="67"/>
    </row>
    <row r="214" spans="1:25" ht="15" customHeight="1">
      <c r="A214" s="427"/>
      <c r="B214" s="431"/>
      <c r="C214" s="434"/>
      <c r="D214" s="113" t="s">
        <v>128</v>
      </c>
      <c r="E214" s="431"/>
      <c r="F214" s="114" t="s">
        <v>40</v>
      </c>
      <c r="G214" s="135"/>
      <c r="H214" s="135"/>
      <c r="I214" s="125"/>
      <c r="J214" s="125"/>
      <c r="K214" s="18"/>
      <c r="L214" s="127"/>
      <c r="M214" s="127">
        <v>111400</v>
      </c>
      <c r="N214" s="81">
        <v>14</v>
      </c>
      <c r="O214" s="126"/>
      <c r="P214" s="125"/>
      <c r="Q214" s="125"/>
      <c r="R214" s="436"/>
      <c r="S214" s="436"/>
      <c r="T214" s="127"/>
      <c r="U214" s="127"/>
      <c r="V214" s="127"/>
      <c r="W214" s="46"/>
      <c r="X214" s="67"/>
    </row>
    <row r="215" spans="1:25">
      <c r="A215" s="427"/>
      <c r="B215" s="439" t="s">
        <v>45</v>
      </c>
      <c r="C215" s="440" t="s">
        <v>59</v>
      </c>
      <c r="D215" s="118" t="s">
        <v>75</v>
      </c>
      <c r="E215" s="131" t="s">
        <v>25</v>
      </c>
      <c r="F215" s="131" t="s">
        <v>57</v>
      </c>
      <c r="G215" s="87"/>
      <c r="H215" s="136"/>
      <c r="I215" s="126"/>
      <c r="J215" s="2"/>
      <c r="K215" s="127"/>
      <c r="L215" s="18"/>
      <c r="M215" s="18">
        <v>100900</v>
      </c>
      <c r="N215" s="80">
        <v>20</v>
      </c>
      <c r="O215" s="126">
        <f>Jan!BQ280</f>
        <v>6391</v>
      </c>
      <c r="P215" s="126">
        <f>Jan!BR280</f>
        <v>1296</v>
      </c>
      <c r="Q215" s="2">
        <f>Jan!BP280</f>
        <v>6</v>
      </c>
      <c r="R215" s="436"/>
      <c r="S215" s="436"/>
      <c r="T215" s="18">
        <v>6973</v>
      </c>
      <c r="U215" s="18"/>
      <c r="V215" s="18">
        <f>O215-T215-U215+V193</f>
        <v>10814</v>
      </c>
      <c r="W215" s="46"/>
      <c r="Y215" s="13"/>
    </row>
    <row r="216" spans="1:25">
      <c r="A216" s="427"/>
      <c r="B216" s="439"/>
      <c r="C216" s="440"/>
      <c r="D216" s="118" t="s">
        <v>72</v>
      </c>
      <c r="E216" s="155" t="s">
        <v>24</v>
      </c>
      <c r="F216" s="131" t="s">
        <v>57</v>
      </c>
      <c r="G216" s="136"/>
      <c r="H216" s="136"/>
      <c r="I216" s="126"/>
      <c r="J216" s="126"/>
      <c r="K216" s="127"/>
      <c r="L216" s="18"/>
      <c r="M216" s="18">
        <v>15000</v>
      </c>
      <c r="N216" s="80">
        <v>3</v>
      </c>
      <c r="O216" s="126">
        <f>Jan!BQ281</f>
        <v>3768</v>
      </c>
      <c r="P216" s="126">
        <f>Jan!BR281</f>
        <v>4002</v>
      </c>
      <c r="Q216" s="126">
        <f>Jan!BP281</f>
        <v>17</v>
      </c>
      <c r="R216" s="436"/>
      <c r="S216" s="436"/>
      <c r="T216" s="18">
        <v>11146</v>
      </c>
      <c r="U216" s="18"/>
      <c r="V216" s="18">
        <f>O216-T216-U216+V195</f>
        <v>26715</v>
      </c>
      <c r="W216" s="46"/>
      <c r="Y216" s="13"/>
    </row>
    <row r="217" spans="1:25">
      <c r="A217" s="427"/>
      <c r="B217" s="439"/>
      <c r="C217" s="440"/>
      <c r="D217" s="115" t="s">
        <v>79</v>
      </c>
      <c r="E217" s="118" t="s">
        <v>65</v>
      </c>
      <c r="F217" s="131" t="s">
        <v>57</v>
      </c>
      <c r="G217" s="136"/>
      <c r="H217" s="136"/>
      <c r="I217" s="126"/>
      <c r="J217" s="126"/>
      <c r="K217" s="127"/>
      <c r="L217" s="18"/>
      <c r="M217" s="18"/>
      <c r="N217" s="80"/>
      <c r="O217" s="126">
        <f>Jan!BQ282</f>
        <v>5600</v>
      </c>
      <c r="P217" s="126">
        <f>Jan!BR282</f>
        <v>4609</v>
      </c>
      <c r="Q217" s="126">
        <f>Jan!BP282</f>
        <v>20</v>
      </c>
      <c r="R217" s="436"/>
      <c r="S217" s="436"/>
      <c r="T217" s="18">
        <v>11621</v>
      </c>
      <c r="U217" s="18"/>
      <c r="V217" s="18">
        <f>O217-T217-U217+V196</f>
        <v>20331</v>
      </c>
      <c r="W217" s="46"/>
      <c r="Y217" s="13"/>
    </row>
    <row r="218" spans="1:25" ht="14.25" customHeight="1">
      <c r="A218" s="427"/>
      <c r="B218" s="442" t="s">
        <v>53</v>
      </c>
      <c r="C218" s="444" t="s">
        <v>60</v>
      </c>
      <c r="D218" s="43" t="s">
        <v>98</v>
      </c>
      <c r="E218" s="441" t="s">
        <v>66</v>
      </c>
      <c r="F218" s="118" t="s">
        <v>54</v>
      </c>
      <c r="G218" s="136"/>
      <c r="H218" s="136"/>
      <c r="I218" s="126"/>
      <c r="J218" s="126"/>
      <c r="K218" s="127"/>
      <c r="L218" s="18"/>
      <c r="M218" s="18"/>
      <c r="N218" s="80"/>
      <c r="O218" s="126">
        <f>Jan!BQ278</f>
        <v>3833</v>
      </c>
      <c r="P218" s="126">
        <f>Jan!BR278</f>
        <v>10748</v>
      </c>
      <c r="Q218" s="126">
        <f>Jan!BP278</f>
        <v>31</v>
      </c>
      <c r="R218" s="436"/>
      <c r="S218" s="436"/>
      <c r="T218" s="18"/>
      <c r="U218" s="18"/>
      <c r="V218" s="18">
        <f>O218-T218-U218+V198</f>
        <v>5824</v>
      </c>
      <c r="W218" s="45"/>
      <c r="X218" s="36"/>
    </row>
    <row r="219" spans="1:25" ht="14.25" customHeight="1">
      <c r="A219" s="427"/>
      <c r="B219" s="443"/>
      <c r="C219" s="446"/>
      <c r="D219" s="43" t="s">
        <v>130</v>
      </c>
      <c r="E219" s="425"/>
      <c r="F219" s="118" t="s">
        <v>54</v>
      </c>
      <c r="G219" s="136"/>
      <c r="H219" s="37"/>
      <c r="I219" s="126"/>
      <c r="J219" s="126"/>
      <c r="K219" s="18">
        <v>6000</v>
      </c>
      <c r="L219" s="18">
        <v>1</v>
      </c>
      <c r="M219" s="18">
        <v>66000</v>
      </c>
      <c r="N219" s="80">
        <v>11</v>
      </c>
      <c r="O219" s="126"/>
      <c r="P219" s="126">
        <f>Jan!BR279</f>
        <v>303</v>
      </c>
      <c r="Q219" s="126">
        <f>Jan!BP279</f>
        <v>1</v>
      </c>
      <c r="R219" s="436"/>
      <c r="S219" s="436"/>
      <c r="T219" s="18"/>
      <c r="U219" s="18"/>
      <c r="V219" s="18"/>
      <c r="W219" s="45"/>
      <c r="X219" s="36"/>
    </row>
    <row r="220" spans="1:25" ht="14.25" customHeight="1">
      <c r="A220" s="427"/>
      <c r="B220" s="122" t="s">
        <v>55</v>
      </c>
      <c r="C220" s="180" t="s">
        <v>133</v>
      </c>
      <c r="D220" s="48" t="s">
        <v>56</v>
      </c>
      <c r="E220" s="424" t="s">
        <v>25</v>
      </c>
      <c r="F220" s="118" t="s">
        <v>67</v>
      </c>
      <c r="G220" s="136"/>
      <c r="H220" s="37"/>
      <c r="I220" s="126"/>
      <c r="J220" s="126"/>
      <c r="K220" s="18"/>
      <c r="L220" s="18"/>
      <c r="M220" s="18">
        <v>2800</v>
      </c>
      <c r="N220" s="80">
        <v>1</v>
      </c>
      <c r="O220" s="126"/>
      <c r="P220" s="126">
        <f>Jan!BR295</f>
        <v>332</v>
      </c>
      <c r="Q220" s="126">
        <f>Jan!BP295</f>
        <v>1</v>
      </c>
      <c r="R220" s="436"/>
      <c r="S220" s="436"/>
      <c r="T220" s="18"/>
      <c r="U220" s="18"/>
      <c r="V220" s="18">
        <f>O220-T220-U220+V201</f>
        <v>0</v>
      </c>
      <c r="W220" s="45"/>
      <c r="X220" s="67"/>
    </row>
    <row r="221" spans="1:25" ht="14.25" customHeight="1">
      <c r="A221" s="427"/>
      <c r="B221" s="122" t="s">
        <v>122</v>
      </c>
      <c r="C221" s="180" t="s">
        <v>123</v>
      </c>
      <c r="D221" s="48" t="s">
        <v>56</v>
      </c>
      <c r="E221" s="441"/>
      <c r="F221" s="155" t="s">
        <v>64</v>
      </c>
      <c r="G221" s="136"/>
      <c r="H221" s="135"/>
      <c r="I221" s="158"/>
      <c r="J221" s="158"/>
      <c r="K221" s="128"/>
      <c r="L221" s="128"/>
      <c r="M221" s="128"/>
      <c r="N221" s="164"/>
      <c r="O221" s="158">
        <f>Jan!BQ285</f>
        <v>1893</v>
      </c>
      <c r="P221" s="158">
        <f>Jan!BR285</f>
        <v>139</v>
      </c>
      <c r="Q221" s="158">
        <f>Jan!BP285</f>
        <v>2</v>
      </c>
      <c r="R221" s="436"/>
      <c r="S221" s="436"/>
      <c r="T221" s="18"/>
      <c r="U221" s="18"/>
      <c r="V221" s="18">
        <f>O221-T221-U221+V202</f>
        <v>14383</v>
      </c>
      <c r="W221" s="45"/>
      <c r="X221" s="67"/>
    </row>
    <row r="222" spans="1:25" ht="14.25" customHeight="1">
      <c r="A222" s="427"/>
      <c r="B222" s="122" t="s">
        <v>125</v>
      </c>
      <c r="C222" s="180" t="s">
        <v>88</v>
      </c>
      <c r="D222" s="48" t="s">
        <v>124</v>
      </c>
      <c r="E222" s="441"/>
      <c r="F222" s="118" t="s">
        <v>64</v>
      </c>
      <c r="G222" s="37"/>
      <c r="H222" s="37"/>
      <c r="I222" s="126"/>
      <c r="J222" s="126"/>
      <c r="K222" s="18"/>
      <c r="L222" s="18"/>
      <c r="M222" s="18">
        <v>117800</v>
      </c>
      <c r="N222" s="80">
        <v>16</v>
      </c>
      <c r="O222" s="126">
        <f>Jan!BQ283</f>
        <v>5391</v>
      </c>
      <c r="P222" s="126">
        <f>Jan!BR283</f>
        <v>1702</v>
      </c>
      <c r="Q222" s="126">
        <f>Jan!BP283</f>
        <v>7</v>
      </c>
      <c r="R222" s="436"/>
      <c r="S222" s="436"/>
      <c r="T222" s="18"/>
      <c r="U222" s="18"/>
      <c r="V222" s="18">
        <f>O222-T222-U222+V204</f>
        <v>8309</v>
      </c>
      <c r="W222" s="45"/>
      <c r="X222" s="67"/>
    </row>
    <row r="223" spans="1:25" ht="27" customHeight="1">
      <c r="A223" s="427"/>
      <c r="B223" s="122" t="s">
        <v>58</v>
      </c>
      <c r="C223" s="180" t="s">
        <v>136</v>
      </c>
      <c r="D223" s="48" t="s">
        <v>56</v>
      </c>
      <c r="E223" s="441"/>
      <c r="F223" s="118" t="s">
        <v>67</v>
      </c>
      <c r="G223" s="119"/>
      <c r="H223" s="126"/>
      <c r="I223" s="126"/>
      <c r="J223" s="2"/>
      <c r="K223" s="18"/>
      <c r="L223" s="18"/>
      <c r="M223" s="18"/>
      <c r="N223" s="18"/>
      <c r="O223" s="126"/>
      <c r="P223" s="126"/>
      <c r="Q223" s="126"/>
      <c r="R223" s="436"/>
      <c r="S223" s="436"/>
      <c r="T223" s="18"/>
      <c r="U223" s="18"/>
      <c r="V223" s="18">
        <f>O223-T223-U223+V205</f>
        <v>43</v>
      </c>
      <c r="W223" s="45"/>
      <c r="X223" s="67"/>
    </row>
    <row r="224" spans="1:25" ht="15.75" customHeight="1">
      <c r="A224" s="427"/>
      <c r="B224" s="122" t="s">
        <v>47</v>
      </c>
      <c r="C224" s="180" t="s">
        <v>100</v>
      </c>
      <c r="D224" s="48" t="s">
        <v>99</v>
      </c>
      <c r="E224" s="441"/>
      <c r="F224" s="118" t="s">
        <v>71</v>
      </c>
      <c r="G224" s="119"/>
      <c r="H224" s="126"/>
      <c r="I224" s="126"/>
      <c r="J224" s="2"/>
      <c r="K224" s="18"/>
      <c r="L224" s="18"/>
      <c r="M224" s="18">
        <v>18000</v>
      </c>
      <c r="N224" s="18">
        <v>3</v>
      </c>
      <c r="O224" s="126">
        <f>Jan!BQ284</f>
        <v>606</v>
      </c>
      <c r="P224" s="126">
        <f>Jan!BR284</f>
        <v>843</v>
      </c>
      <c r="Q224" s="126">
        <f>Jan!BP284</f>
        <v>3</v>
      </c>
      <c r="R224" s="436"/>
      <c r="S224" s="436"/>
      <c r="T224" s="18"/>
      <c r="U224" s="18"/>
      <c r="V224" s="18">
        <f>O224-T224-U224+V206</f>
        <v>7368</v>
      </c>
      <c r="W224" s="45"/>
      <c r="X224" s="67"/>
    </row>
    <row r="225" spans="1:25" ht="15.75" customHeight="1">
      <c r="A225" s="427"/>
      <c r="B225" s="122" t="s">
        <v>101</v>
      </c>
      <c r="C225" s="180" t="s">
        <v>193</v>
      </c>
      <c r="D225" s="48" t="s">
        <v>102</v>
      </c>
      <c r="E225" s="441"/>
      <c r="F225" s="118" t="s">
        <v>64</v>
      </c>
      <c r="G225" s="119"/>
      <c r="H225" s="126"/>
      <c r="I225" s="126"/>
      <c r="J225" s="2"/>
      <c r="K225" s="18"/>
      <c r="L225" s="18"/>
      <c r="M225" s="18"/>
      <c r="N225" s="18"/>
      <c r="O225" s="126"/>
      <c r="P225" s="126"/>
      <c r="Q225" s="126">
        <f>Jan!BP290</f>
        <v>1</v>
      </c>
      <c r="R225" s="436"/>
      <c r="S225" s="436"/>
      <c r="T225" s="18"/>
      <c r="U225" s="18"/>
      <c r="V225" s="18"/>
      <c r="W225" s="45"/>
      <c r="X225" s="67"/>
    </row>
    <row r="226" spans="1:25" ht="15.75" customHeight="1">
      <c r="A226" s="427"/>
      <c r="B226" s="122" t="s">
        <v>103</v>
      </c>
      <c r="C226" s="157" t="s">
        <v>197</v>
      </c>
      <c r="D226" s="48" t="s">
        <v>104</v>
      </c>
      <c r="E226" s="441"/>
      <c r="F226" s="118" t="s">
        <v>105</v>
      </c>
      <c r="G226" s="119"/>
      <c r="H226" s="126"/>
      <c r="I226" s="126"/>
      <c r="J226" s="2"/>
      <c r="K226" s="18"/>
      <c r="L226" s="18"/>
      <c r="M226" s="18"/>
      <c r="N226" s="18"/>
      <c r="O226" s="126"/>
      <c r="P226" s="126"/>
      <c r="Q226" s="126">
        <f>Jan!BP291</f>
        <v>1</v>
      </c>
      <c r="R226" s="436"/>
      <c r="S226" s="436"/>
      <c r="T226" s="18"/>
      <c r="U226" s="18"/>
      <c r="V226" s="18"/>
      <c r="W226" s="45"/>
      <c r="X226" s="67"/>
    </row>
    <row r="227" spans="1:25" ht="15.75" customHeight="1">
      <c r="A227" s="427"/>
      <c r="B227" s="137" t="s">
        <v>112</v>
      </c>
      <c r="C227" s="157" t="s">
        <v>197</v>
      </c>
      <c r="D227" s="48" t="s">
        <v>104</v>
      </c>
      <c r="E227" s="441"/>
      <c r="F227" s="118" t="s">
        <v>113</v>
      </c>
      <c r="G227" s="119"/>
      <c r="H227" s="126"/>
      <c r="I227" s="126"/>
      <c r="J227" s="2"/>
      <c r="K227" s="18"/>
      <c r="L227" s="18"/>
      <c r="M227" s="18"/>
      <c r="N227" s="18"/>
      <c r="O227" s="126"/>
      <c r="P227" s="126"/>
      <c r="Q227" s="126">
        <f>Jan!BP294</f>
        <v>1</v>
      </c>
      <c r="R227" s="436"/>
      <c r="S227" s="436"/>
      <c r="T227" s="18"/>
      <c r="U227" s="18"/>
      <c r="V227" s="18"/>
      <c r="W227" s="45"/>
      <c r="X227" s="67"/>
    </row>
    <row r="228" spans="1:25" ht="15.75" customHeight="1">
      <c r="A228" s="427"/>
      <c r="B228" s="137" t="s">
        <v>106</v>
      </c>
      <c r="C228" s="157" t="s">
        <v>141</v>
      </c>
      <c r="D228" s="48" t="s">
        <v>68</v>
      </c>
      <c r="E228" s="441"/>
      <c r="F228" s="118" t="s">
        <v>67</v>
      </c>
      <c r="G228" s="119"/>
      <c r="H228" s="126"/>
      <c r="I228" s="126"/>
      <c r="J228" s="2"/>
      <c r="K228" s="18"/>
      <c r="L228" s="18"/>
      <c r="M228" s="18"/>
      <c r="N228" s="18"/>
      <c r="O228" s="126"/>
      <c r="P228" s="126"/>
      <c r="Q228" s="126">
        <f>Jan!BP292</f>
        <v>1</v>
      </c>
      <c r="R228" s="436"/>
      <c r="S228" s="436"/>
      <c r="T228" s="18"/>
      <c r="U228" s="18"/>
      <c r="V228" s="18"/>
      <c r="W228" s="45"/>
      <c r="X228" s="67"/>
    </row>
    <row r="229" spans="1:25" ht="15.75" customHeight="1" thickBot="1">
      <c r="A229" s="428"/>
      <c r="B229" s="44" t="s">
        <v>107</v>
      </c>
      <c r="C229" s="181" t="s">
        <v>195</v>
      </c>
      <c r="D229" s="61" t="s">
        <v>108</v>
      </c>
      <c r="E229" s="447"/>
      <c r="F229" s="133" t="s">
        <v>48</v>
      </c>
      <c r="G229" s="132"/>
      <c r="H229" s="109"/>
      <c r="I229" s="134"/>
      <c r="J229" s="129"/>
      <c r="K229" s="130"/>
      <c r="L229" s="130"/>
      <c r="M229" s="130"/>
      <c r="N229" s="130"/>
      <c r="O229" s="134"/>
      <c r="P229" s="134"/>
      <c r="Q229" s="134">
        <f>Jan!BP293</f>
        <v>1</v>
      </c>
      <c r="R229" s="437"/>
      <c r="S229" s="437"/>
      <c r="T229" s="130"/>
      <c r="U229" s="130"/>
      <c r="V229" s="128"/>
      <c r="W229" s="85"/>
      <c r="X229" s="67"/>
    </row>
    <row r="230" spans="1:25" ht="15" customHeight="1">
      <c r="A230" s="426">
        <v>46037</v>
      </c>
      <c r="B230" s="429" t="s">
        <v>44</v>
      </c>
      <c r="C230" s="432" t="s">
        <v>240</v>
      </c>
      <c r="D230" s="19" t="s">
        <v>37</v>
      </c>
      <c r="E230" s="19" t="s">
        <v>25</v>
      </c>
      <c r="F230" s="39" t="s">
        <v>40</v>
      </c>
      <c r="G230" s="41"/>
      <c r="H230" s="32"/>
      <c r="I230" s="32"/>
      <c r="J230" s="32"/>
      <c r="K230" s="20"/>
      <c r="L230" s="20"/>
      <c r="M230" s="20">
        <v>152000</v>
      </c>
      <c r="N230" s="84">
        <v>19</v>
      </c>
      <c r="O230" s="32">
        <f>Jan!BT272</f>
        <v>17436</v>
      </c>
      <c r="P230" s="32">
        <f>Jan!BU272</f>
        <v>24912</v>
      </c>
      <c r="Q230" s="32">
        <f>Jan!BS272</f>
        <v>68</v>
      </c>
      <c r="R230" s="435">
        <f>Jan!BT296</f>
        <v>62809</v>
      </c>
      <c r="S230" s="435">
        <f>Jan!BU296</f>
        <v>65817</v>
      </c>
      <c r="T230" s="20">
        <v>17702</v>
      </c>
      <c r="U230" s="20"/>
      <c r="V230" s="20">
        <f>O230-T230-U230+V212</f>
        <v>17709</v>
      </c>
      <c r="W230" s="77"/>
      <c r="X230" s="36"/>
    </row>
    <row r="231" spans="1:25" ht="15" customHeight="1">
      <c r="A231" s="427"/>
      <c r="B231" s="430"/>
      <c r="C231" s="433"/>
      <c r="D231" s="113" t="s">
        <v>69</v>
      </c>
      <c r="E231" s="438" t="s">
        <v>24</v>
      </c>
      <c r="F231" s="118" t="s">
        <v>40</v>
      </c>
      <c r="G231" s="38"/>
      <c r="H231" s="37"/>
      <c r="I231" s="125"/>
      <c r="J231" s="125"/>
      <c r="K231" s="127"/>
      <c r="L231" s="127"/>
      <c r="M231" s="127">
        <v>8000</v>
      </c>
      <c r="N231" s="81">
        <v>1</v>
      </c>
      <c r="O231" s="125">
        <f>Jan!BT274</f>
        <v>21187</v>
      </c>
      <c r="P231" s="125">
        <f>Jan!BU274</f>
        <v>16970</v>
      </c>
      <c r="Q231" s="125">
        <f>Jan!BS274</f>
        <v>47</v>
      </c>
      <c r="R231" s="436"/>
      <c r="S231" s="436"/>
      <c r="T231" s="127">
        <v>24883</v>
      </c>
      <c r="U231" s="127">
        <v>3</v>
      </c>
      <c r="V231" s="127">
        <f>O231-T231-U231+V213</f>
        <v>2212</v>
      </c>
      <c r="W231" s="46"/>
      <c r="X231" s="67"/>
    </row>
    <row r="232" spans="1:25" ht="15" customHeight="1">
      <c r="A232" s="427"/>
      <c r="B232" s="431"/>
      <c r="C232" s="434"/>
      <c r="D232" s="113" t="s">
        <v>128</v>
      </c>
      <c r="E232" s="431"/>
      <c r="F232" s="114" t="s">
        <v>40</v>
      </c>
      <c r="G232" s="170">
        <v>3848.67</v>
      </c>
      <c r="H232" s="135"/>
      <c r="I232" s="125"/>
      <c r="J232" s="125"/>
      <c r="K232" s="18"/>
      <c r="L232" s="127"/>
      <c r="M232" s="127">
        <v>167400</v>
      </c>
      <c r="N232" s="81">
        <v>21</v>
      </c>
      <c r="O232" s="126"/>
      <c r="P232" s="125"/>
      <c r="Q232" s="125"/>
      <c r="R232" s="436"/>
      <c r="S232" s="436"/>
      <c r="T232" s="127"/>
      <c r="U232" s="127"/>
      <c r="V232" s="127"/>
      <c r="W232" s="46"/>
      <c r="X232" s="67"/>
    </row>
    <row r="233" spans="1:25" ht="15" customHeight="1">
      <c r="A233" s="427"/>
      <c r="B233" s="442" t="s">
        <v>45</v>
      </c>
      <c r="C233" s="448" t="s">
        <v>59</v>
      </c>
      <c r="D233" s="118" t="s">
        <v>75</v>
      </c>
      <c r="E233" s="131" t="s">
        <v>25</v>
      </c>
      <c r="F233" s="131" t="s">
        <v>57</v>
      </c>
      <c r="G233" s="87"/>
      <c r="H233" s="136"/>
      <c r="I233" s="126"/>
      <c r="J233" s="2"/>
      <c r="K233" s="127"/>
      <c r="L233" s="18"/>
      <c r="M233" s="18">
        <v>100900</v>
      </c>
      <c r="N233" s="80">
        <v>20</v>
      </c>
      <c r="O233" s="126">
        <f>Jan!BT280</f>
        <v>613</v>
      </c>
      <c r="P233" s="126">
        <f>Jan!BU280</f>
        <v>1393</v>
      </c>
      <c r="Q233" s="2">
        <f>Jan!BS280</f>
        <v>6</v>
      </c>
      <c r="R233" s="436"/>
      <c r="S233" s="436"/>
      <c r="T233" s="18"/>
      <c r="U233" s="18"/>
      <c r="V233" s="18">
        <f>O233-T233-U233+V215</f>
        <v>11427</v>
      </c>
      <c r="W233" s="46"/>
      <c r="Y233" s="13"/>
    </row>
    <row r="234" spans="1:25">
      <c r="A234" s="427"/>
      <c r="B234" s="439"/>
      <c r="C234" s="440"/>
      <c r="D234" s="118" t="s">
        <v>72</v>
      </c>
      <c r="E234" s="155" t="s">
        <v>24</v>
      </c>
      <c r="F234" s="131" t="s">
        <v>57</v>
      </c>
      <c r="G234" s="152">
        <v>4659</v>
      </c>
      <c r="H234" s="136"/>
      <c r="I234" s="126"/>
      <c r="J234" s="126"/>
      <c r="K234" s="127">
        <v>15000</v>
      </c>
      <c r="L234" s="18">
        <v>3</v>
      </c>
      <c r="M234" s="18">
        <v>60000</v>
      </c>
      <c r="N234" s="80">
        <v>12</v>
      </c>
      <c r="O234" s="126">
        <f>Jan!BT281</f>
        <v>3177</v>
      </c>
      <c r="P234" s="126">
        <f>Jan!BU281</f>
        <v>3891</v>
      </c>
      <c r="Q234" s="126">
        <f>Jan!BS281</f>
        <v>17</v>
      </c>
      <c r="R234" s="436"/>
      <c r="S234" s="436"/>
      <c r="T234" s="18">
        <v>24859</v>
      </c>
      <c r="U234" s="18"/>
      <c r="V234" s="18">
        <f>O234-T234-U234+V216</f>
        <v>5033</v>
      </c>
      <c r="W234" s="46"/>
      <c r="Y234" s="13"/>
    </row>
    <row r="235" spans="1:25">
      <c r="A235" s="427"/>
      <c r="B235" s="439"/>
      <c r="C235" s="440"/>
      <c r="D235" s="115" t="s">
        <v>79</v>
      </c>
      <c r="E235" s="424" t="s">
        <v>65</v>
      </c>
      <c r="F235" s="131" t="s">
        <v>57</v>
      </c>
      <c r="G235" s="136"/>
      <c r="H235" s="136"/>
      <c r="I235" s="126"/>
      <c r="J235" s="126"/>
      <c r="K235" s="127"/>
      <c r="L235" s="18"/>
      <c r="M235" s="18"/>
      <c r="N235" s="80"/>
      <c r="O235" s="126">
        <f>Jan!BT282</f>
        <v>5393</v>
      </c>
      <c r="P235" s="126">
        <f>Jan!BU282</f>
        <v>4643</v>
      </c>
      <c r="Q235" s="126">
        <f>Jan!BS282</f>
        <v>20</v>
      </c>
      <c r="R235" s="436"/>
      <c r="S235" s="436"/>
      <c r="T235" s="18">
        <v>18655</v>
      </c>
      <c r="U235" s="18">
        <v>70</v>
      </c>
      <c r="V235" s="18">
        <f>O235-T235-U235+V217</f>
        <v>6999</v>
      </c>
      <c r="W235" s="46"/>
      <c r="Y235" s="13"/>
    </row>
    <row r="236" spans="1:25">
      <c r="A236" s="427"/>
      <c r="B236" s="443"/>
      <c r="C236" s="449"/>
      <c r="D236" s="115" t="s">
        <v>80</v>
      </c>
      <c r="E236" s="425"/>
      <c r="F236" s="131"/>
      <c r="G236" s="136"/>
      <c r="H236" s="136">
        <v>1220.4000000000001</v>
      </c>
      <c r="I236" s="126"/>
      <c r="J236" s="126"/>
      <c r="K236" s="127"/>
      <c r="L236" s="18"/>
      <c r="M236" s="18"/>
      <c r="N236" s="80"/>
      <c r="O236" s="126"/>
      <c r="P236" s="126"/>
      <c r="Q236" s="126"/>
      <c r="R236" s="436"/>
      <c r="S236" s="436"/>
      <c r="T236" s="153"/>
      <c r="U236" s="153"/>
      <c r="V236" s="153"/>
      <c r="W236" s="46"/>
      <c r="Y236" s="13"/>
    </row>
    <row r="237" spans="1:25" ht="14.25" customHeight="1">
      <c r="A237" s="427"/>
      <c r="B237" s="442" t="s">
        <v>53</v>
      </c>
      <c r="C237" s="444" t="s">
        <v>60</v>
      </c>
      <c r="D237" s="43" t="s">
        <v>98</v>
      </c>
      <c r="E237" s="441" t="s">
        <v>66</v>
      </c>
      <c r="F237" s="118" t="s">
        <v>54</v>
      </c>
      <c r="G237" s="136"/>
      <c r="H237" s="136"/>
      <c r="I237" s="126"/>
      <c r="J237" s="126"/>
      <c r="K237" s="127"/>
      <c r="L237" s="18"/>
      <c r="M237" s="18"/>
      <c r="N237" s="80"/>
      <c r="O237" s="126">
        <f>Jan!BT278</f>
        <v>13142</v>
      </c>
      <c r="P237" s="126">
        <f>Jan!BU278</f>
        <v>9972</v>
      </c>
      <c r="Q237" s="126">
        <f>Jan!BS278</f>
        <v>31</v>
      </c>
      <c r="R237" s="436"/>
      <c r="S237" s="436"/>
      <c r="T237" s="18">
        <v>13136</v>
      </c>
      <c r="U237" s="18">
        <v>26</v>
      </c>
      <c r="V237" s="18">
        <f>O237-T237-U237+V218</f>
        <v>5804</v>
      </c>
      <c r="W237" s="45"/>
      <c r="X237" s="36"/>
    </row>
    <row r="238" spans="1:25" ht="14.25" customHeight="1">
      <c r="A238" s="427"/>
      <c r="B238" s="439"/>
      <c r="C238" s="445"/>
      <c r="D238" s="43" t="s">
        <v>130</v>
      </c>
      <c r="E238" s="425"/>
      <c r="F238" s="118" t="s">
        <v>54</v>
      </c>
      <c r="G238" s="87">
        <v>3255.54</v>
      </c>
      <c r="H238" s="37"/>
      <c r="I238" s="126"/>
      <c r="J238" s="126"/>
      <c r="K238" s="18">
        <v>12000</v>
      </c>
      <c r="L238" s="18">
        <v>2</v>
      </c>
      <c r="M238" s="18">
        <v>99800</v>
      </c>
      <c r="N238" s="80">
        <v>17</v>
      </c>
      <c r="O238" s="126"/>
      <c r="P238" s="126">
        <f>Jan!BU279</f>
        <v>934</v>
      </c>
      <c r="Q238" s="126">
        <f>Jan!BS279</f>
        <v>3</v>
      </c>
      <c r="R238" s="436"/>
      <c r="S238" s="436"/>
      <c r="T238" s="18"/>
      <c r="U238" s="18"/>
      <c r="V238" s="18">
        <f>O238-T238-U238+V219</f>
        <v>0</v>
      </c>
      <c r="W238" s="45"/>
      <c r="X238" s="36"/>
    </row>
    <row r="239" spans="1:25" ht="14.25" customHeight="1">
      <c r="A239" s="427"/>
      <c r="B239" s="443"/>
      <c r="C239" s="446"/>
      <c r="D239" s="43" t="s">
        <v>96</v>
      </c>
      <c r="E239" s="114" t="s">
        <v>65</v>
      </c>
      <c r="F239" s="118"/>
      <c r="G239" s="136"/>
      <c r="H239" s="37">
        <v>642.6</v>
      </c>
      <c r="I239" s="126"/>
      <c r="J239" s="126"/>
      <c r="K239" s="18"/>
      <c r="L239" s="18"/>
      <c r="M239" s="18"/>
      <c r="N239" s="80"/>
      <c r="O239" s="126"/>
      <c r="P239" s="126"/>
      <c r="Q239" s="126"/>
      <c r="R239" s="436"/>
      <c r="S239" s="436"/>
      <c r="T239" s="18"/>
      <c r="U239" s="18"/>
      <c r="V239" s="18"/>
      <c r="W239" s="45"/>
      <c r="X239" s="67"/>
    </row>
    <row r="240" spans="1:25" ht="14.25" customHeight="1">
      <c r="A240" s="427"/>
      <c r="B240" s="122" t="s">
        <v>55</v>
      </c>
      <c r="C240" s="180" t="s">
        <v>133</v>
      </c>
      <c r="D240" s="48" t="s">
        <v>56</v>
      </c>
      <c r="E240" s="424" t="s">
        <v>25</v>
      </c>
      <c r="F240" s="118" t="s">
        <v>67</v>
      </c>
      <c r="G240" s="136"/>
      <c r="H240" s="37"/>
      <c r="I240" s="126"/>
      <c r="J240" s="126"/>
      <c r="K240" s="18"/>
      <c r="L240" s="18"/>
      <c r="M240" s="18">
        <v>2800</v>
      </c>
      <c r="N240" s="80">
        <v>1</v>
      </c>
      <c r="O240" s="126">
        <f>Jan!BT295</f>
        <v>361</v>
      </c>
      <c r="P240" s="126">
        <f>Jan!BU295</f>
        <v>29</v>
      </c>
      <c r="Q240" s="126">
        <f>Jan!BS295</f>
        <v>1</v>
      </c>
      <c r="R240" s="436"/>
      <c r="S240" s="436"/>
      <c r="T240" s="18">
        <v>359</v>
      </c>
      <c r="U240" s="18">
        <v>2</v>
      </c>
      <c r="V240" s="18">
        <f>O240-T240-U240+V220</f>
        <v>0</v>
      </c>
      <c r="W240" s="45"/>
      <c r="X240" s="67"/>
    </row>
    <row r="241" spans="1:25" ht="14.25" customHeight="1">
      <c r="A241" s="427"/>
      <c r="B241" s="122" t="s">
        <v>122</v>
      </c>
      <c r="C241" s="180" t="s">
        <v>123</v>
      </c>
      <c r="D241" s="48" t="s">
        <v>56</v>
      </c>
      <c r="E241" s="441"/>
      <c r="F241" s="155" t="s">
        <v>64</v>
      </c>
      <c r="G241" s="136"/>
      <c r="H241" s="135"/>
      <c r="I241" s="158"/>
      <c r="J241" s="158"/>
      <c r="K241" s="128"/>
      <c r="L241" s="128"/>
      <c r="M241" s="128"/>
      <c r="N241" s="164"/>
      <c r="O241" s="158"/>
      <c r="P241" s="158"/>
      <c r="Q241" s="158"/>
      <c r="R241" s="436"/>
      <c r="S241" s="436"/>
      <c r="T241" s="18"/>
      <c r="U241" s="18"/>
      <c r="V241" s="18">
        <f>O241-T241-U241+V221</f>
        <v>14383</v>
      </c>
      <c r="W241" s="45"/>
      <c r="X241" s="67"/>
    </row>
    <row r="242" spans="1:25" ht="14.25" customHeight="1">
      <c r="A242" s="427"/>
      <c r="B242" s="122" t="s">
        <v>125</v>
      </c>
      <c r="C242" s="180" t="s">
        <v>88</v>
      </c>
      <c r="D242" s="48" t="s">
        <v>124</v>
      </c>
      <c r="E242" s="441"/>
      <c r="F242" s="118" t="s">
        <v>64</v>
      </c>
      <c r="G242" s="37"/>
      <c r="H242" s="37"/>
      <c r="I242" s="126"/>
      <c r="J242" s="126"/>
      <c r="K242" s="18"/>
      <c r="L242" s="18"/>
      <c r="M242" s="18">
        <v>117800</v>
      </c>
      <c r="N242" s="80">
        <v>16</v>
      </c>
      <c r="O242" s="126"/>
      <c r="P242" s="126">
        <f>Jan!BU283</f>
        <v>1695</v>
      </c>
      <c r="Q242" s="126">
        <f>Jan!BS283</f>
        <v>7</v>
      </c>
      <c r="R242" s="436"/>
      <c r="S242" s="436"/>
      <c r="T242" s="18"/>
      <c r="U242" s="18"/>
      <c r="V242" s="18">
        <f>O242-T242-U242+V222</f>
        <v>8309</v>
      </c>
      <c r="W242" s="45"/>
      <c r="X242" s="67"/>
    </row>
    <row r="243" spans="1:25" ht="15" customHeight="1">
      <c r="A243" s="427"/>
      <c r="B243" s="122" t="s">
        <v>58</v>
      </c>
      <c r="C243" s="180" t="s">
        <v>136</v>
      </c>
      <c r="D243" s="48" t="s">
        <v>56</v>
      </c>
      <c r="E243" s="441"/>
      <c r="F243" s="118"/>
      <c r="G243" s="119"/>
      <c r="H243" s="126"/>
      <c r="I243" s="126"/>
      <c r="J243" s="2"/>
      <c r="K243" s="18"/>
      <c r="L243" s="18"/>
      <c r="M243" s="18"/>
      <c r="N243" s="18"/>
      <c r="O243" s="126"/>
      <c r="P243" s="126"/>
      <c r="Q243" s="126"/>
      <c r="R243" s="436"/>
      <c r="S243" s="436"/>
      <c r="T243" s="18"/>
      <c r="U243" s="18"/>
      <c r="V243" s="18">
        <f>O243-T243-U243+V223</f>
        <v>43</v>
      </c>
      <c r="W243" s="45"/>
      <c r="X243" s="67"/>
    </row>
    <row r="244" spans="1:25" ht="15" customHeight="1">
      <c r="A244" s="427"/>
      <c r="B244" s="122" t="s">
        <v>47</v>
      </c>
      <c r="C244" s="180" t="s">
        <v>100</v>
      </c>
      <c r="D244" s="48" t="s">
        <v>99</v>
      </c>
      <c r="E244" s="441"/>
      <c r="F244" s="118" t="s">
        <v>71</v>
      </c>
      <c r="G244" s="119"/>
      <c r="H244" s="126"/>
      <c r="I244" s="126"/>
      <c r="J244" s="2"/>
      <c r="K244" s="18">
        <v>6000</v>
      </c>
      <c r="L244" s="18">
        <v>1</v>
      </c>
      <c r="M244" s="18">
        <v>12000</v>
      </c>
      <c r="N244" s="18">
        <v>2</v>
      </c>
      <c r="O244" s="126">
        <f>Jan!BT284</f>
        <v>1500</v>
      </c>
      <c r="P244" s="126">
        <f>Jan!BU284</f>
        <v>1098</v>
      </c>
      <c r="Q244" s="126">
        <f>Jan!BS284</f>
        <v>4</v>
      </c>
      <c r="R244" s="436"/>
      <c r="S244" s="436"/>
      <c r="T244" s="18"/>
      <c r="U244" s="18"/>
      <c r="V244" s="18">
        <f>O244-T244-U244+V224</f>
        <v>8868</v>
      </c>
      <c r="W244" s="45"/>
      <c r="X244" s="67"/>
    </row>
    <row r="245" spans="1:25" ht="15" customHeight="1">
      <c r="A245" s="427"/>
      <c r="B245" s="122" t="s">
        <v>131</v>
      </c>
      <c r="C245" s="180" t="s">
        <v>194</v>
      </c>
      <c r="D245" s="48" t="s">
        <v>132</v>
      </c>
      <c r="E245" s="441"/>
      <c r="F245" s="118" t="s">
        <v>64</v>
      </c>
      <c r="G245" s="119">
        <v>167.24</v>
      </c>
      <c r="H245" s="126"/>
      <c r="I245" s="126"/>
      <c r="J245" s="2"/>
      <c r="K245" s="18">
        <v>1950</v>
      </c>
      <c r="L245" s="18">
        <v>1</v>
      </c>
      <c r="M245" s="18"/>
      <c r="N245" s="18"/>
      <c r="O245" s="126"/>
      <c r="P245" s="126">
        <f>Jan!BU289</f>
        <v>280</v>
      </c>
      <c r="Q245" s="126">
        <f>Jan!BS289</f>
        <v>1</v>
      </c>
      <c r="R245" s="436"/>
      <c r="S245" s="436"/>
      <c r="T245" s="18"/>
      <c r="U245" s="18"/>
      <c r="V245" s="18"/>
      <c r="W245" s="45"/>
      <c r="X245" s="67"/>
    </row>
    <row r="246" spans="1:25" ht="15" customHeight="1">
      <c r="A246" s="427"/>
      <c r="B246" s="122" t="s">
        <v>101</v>
      </c>
      <c r="C246" s="180" t="s">
        <v>193</v>
      </c>
      <c r="D246" s="48" t="s">
        <v>102</v>
      </c>
      <c r="E246" s="441"/>
      <c r="F246" s="118" t="s">
        <v>64</v>
      </c>
      <c r="G246" s="119"/>
      <c r="H246" s="126"/>
      <c r="I246" s="126"/>
      <c r="J246" s="2"/>
      <c r="K246" s="18"/>
      <c r="L246" s="18"/>
      <c r="M246" s="18"/>
      <c r="N246" s="18"/>
      <c r="O246" s="126"/>
      <c r="P246" s="126"/>
      <c r="Q246" s="126"/>
      <c r="R246" s="436"/>
      <c r="S246" s="436"/>
      <c r="T246" s="18"/>
      <c r="U246" s="18"/>
      <c r="V246" s="18"/>
      <c r="W246" s="45"/>
      <c r="X246" s="67"/>
    </row>
    <row r="247" spans="1:25" ht="15" customHeight="1">
      <c r="A247" s="427"/>
      <c r="B247" s="122" t="s">
        <v>103</v>
      </c>
      <c r="C247" s="157" t="s">
        <v>197</v>
      </c>
      <c r="D247" s="48" t="s">
        <v>104</v>
      </c>
      <c r="E247" s="441"/>
      <c r="F247" s="118" t="s">
        <v>105</v>
      </c>
      <c r="G247" s="119"/>
      <c r="H247" s="126"/>
      <c r="I247" s="126"/>
      <c r="J247" s="2"/>
      <c r="K247" s="18"/>
      <c r="L247" s="18"/>
      <c r="M247" s="18"/>
      <c r="N247" s="18"/>
      <c r="O247" s="126"/>
      <c r="P247" s="126"/>
      <c r="Q247" s="126"/>
      <c r="R247" s="436"/>
      <c r="S247" s="436"/>
      <c r="T247" s="18"/>
      <c r="U247" s="18"/>
      <c r="V247" s="18"/>
      <c r="W247" s="45"/>
      <c r="X247" s="67"/>
    </row>
    <row r="248" spans="1:25" ht="15" customHeight="1">
      <c r="A248" s="427"/>
      <c r="B248" s="137" t="s">
        <v>112</v>
      </c>
      <c r="C248" s="157" t="s">
        <v>197</v>
      </c>
      <c r="D248" s="48" t="s">
        <v>104</v>
      </c>
      <c r="E248" s="441"/>
      <c r="F248" s="118" t="s">
        <v>113</v>
      </c>
      <c r="G248" s="119"/>
      <c r="H248" s="126"/>
      <c r="I248" s="126"/>
      <c r="J248" s="2"/>
      <c r="K248" s="18"/>
      <c r="L248" s="18"/>
      <c r="M248" s="18"/>
      <c r="N248" s="18"/>
      <c r="O248" s="126"/>
      <c r="P248" s="126"/>
      <c r="Q248" s="126"/>
      <c r="R248" s="436"/>
      <c r="S248" s="436"/>
      <c r="T248" s="18"/>
      <c r="U248" s="18"/>
      <c r="V248" s="18"/>
      <c r="W248" s="45"/>
      <c r="X248" s="67"/>
    </row>
    <row r="249" spans="1:25" ht="15" customHeight="1">
      <c r="A249" s="427"/>
      <c r="B249" s="137" t="s">
        <v>106</v>
      </c>
      <c r="C249" s="157" t="s">
        <v>141</v>
      </c>
      <c r="D249" s="48" t="s">
        <v>68</v>
      </c>
      <c r="E249" s="441"/>
      <c r="F249" s="118" t="s">
        <v>67</v>
      </c>
      <c r="G249" s="119"/>
      <c r="H249" s="126"/>
      <c r="I249" s="126"/>
      <c r="J249" s="2"/>
      <c r="K249" s="18"/>
      <c r="L249" s="18"/>
      <c r="M249" s="18"/>
      <c r="N249" s="18"/>
      <c r="O249" s="126"/>
      <c r="P249" s="126"/>
      <c r="Q249" s="126"/>
      <c r="R249" s="436"/>
      <c r="S249" s="436"/>
      <c r="T249" s="18"/>
      <c r="U249" s="18"/>
      <c r="V249" s="18"/>
      <c r="W249" s="45"/>
      <c r="X249" s="67"/>
    </row>
    <row r="250" spans="1:25" ht="15" customHeight="1" thickBot="1">
      <c r="A250" s="428"/>
      <c r="B250" s="44" t="s">
        <v>107</v>
      </c>
      <c r="C250" s="181" t="s">
        <v>195</v>
      </c>
      <c r="D250" s="61" t="s">
        <v>108</v>
      </c>
      <c r="E250" s="447"/>
      <c r="F250" s="133" t="s">
        <v>48</v>
      </c>
      <c r="G250" s="132"/>
      <c r="H250" s="109"/>
      <c r="I250" s="134"/>
      <c r="J250" s="129"/>
      <c r="K250" s="130"/>
      <c r="L250" s="130"/>
      <c r="M250" s="130"/>
      <c r="N250" s="130"/>
      <c r="O250" s="134"/>
      <c r="P250" s="134"/>
      <c r="Q250" s="134"/>
      <c r="R250" s="437"/>
      <c r="S250" s="437"/>
      <c r="T250" s="130"/>
      <c r="U250" s="130"/>
      <c r="V250" s="128"/>
      <c r="W250" s="85"/>
      <c r="X250" s="67"/>
    </row>
    <row r="251" spans="1:25" ht="15" customHeight="1">
      <c r="A251" s="426">
        <v>46038</v>
      </c>
      <c r="B251" s="429" t="s">
        <v>44</v>
      </c>
      <c r="C251" s="432" t="s">
        <v>240</v>
      </c>
      <c r="D251" s="19" t="s">
        <v>37</v>
      </c>
      <c r="E251" s="19" t="s">
        <v>25</v>
      </c>
      <c r="F251" s="39" t="s">
        <v>40</v>
      </c>
      <c r="G251" s="41"/>
      <c r="H251" s="32">
        <v>4032</v>
      </c>
      <c r="I251" s="32"/>
      <c r="J251" s="32"/>
      <c r="K251" s="20">
        <v>16000</v>
      </c>
      <c r="L251" s="20">
        <v>2</v>
      </c>
      <c r="M251" s="20">
        <v>136000</v>
      </c>
      <c r="N251" s="84">
        <v>17</v>
      </c>
      <c r="O251" s="32">
        <f>Jan!BW272</f>
        <v>24184</v>
      </c>
      <c r="P251" s="32">
        <f>Jan!BX272</f>
        <v>25363</v>
      </c>
      <c r="Q251" s="32">
        <f>Jan!BV272</f>
        <v>70</v>
      </c>
      <c r="R251" s="435">
        <f>Jan!BW296</f>
        <v>72924</v>
      </c>
      <c r="S251" s="435">
        <f>Jan!BX296</f>
        <v>63138</v>
      </c>
      <c r="T251" s="20">
        <v>24949</v>
      </c>
      <c r="U251" s="20">
        <v>25</v>
      </c>
      <c r="V251" s="20">
        <f>O251-T251-U251+V230</f>
        <v>16919</v>
      </c>
      <c r="W251" s="77"/>
      <c r="X251" s="36"/>
    </row>
    <row r="252" spans="1:25" ht="15" customHeight="1">
      <c r="A252" s="427"/>
      <c r="B252" s="430"/>
      <c r="C252" s="433"/>
      <c r="D252" s="113" t="s">
        <v>69</v>
      </c>
      <c r="E252" s="438" t="s">
        <v>24</v>
      </c>
      <c r="F252" s="118" t="s">
        <v>40</v>
      </c>
      <c r="G252" s="38"/>
      <c r="H252" s="38"/>
      <c r="I252" s="125"/>
      <c r="J252" s="125"/>
      <c r="K252" s="127">
        <v>8000</v>
      </c>
      <c r="L252" s="127">
        <v>1</v>
      </c>
      <c r="M252" s="127"/>
      <c r="N252" s="81"/>
      <c r="O252" s="125">
        <f>Jan!BW274</f>
        <v>22130</v>
      </c>
      <c r="P252" s="125">
        <f>Jan!BX274</f>
        <v>15501</v>
      </c>
      <c r="Q252" s="125">
        <f>Jan!BV274</f>
        <v>44</v>
      </c>
      <c r="R252" s="436"/>
      <c r="S252" s="436"/>
      <c r="T252" s="127">
        <v>15612</v>
      </c>
      <c r="U252" s="127">
        <v>8</v>
      </c>
      <c r="V252" s="127">
        <f>O252-T252-U252+V231</f>
        <v>8722</v>
      </c>
      <c r="W252" s="46"/>
      <c r="X252" s="67"/>
    </row>
    <row r="253" spans="1:25" ht="15" customHeight="1">
      <c r="A253" s="427"/>
      <c r="B253" s="431"/>
      <c r="C253" s="434"/>
      <c r="D253" s="113" t="s">
        <v>128</v>
      </c>
      <c r="E253" s="431"/>
      <c r="F253" s="114" t="s">
        <v>40</v>
      </c>
      <c r="G253" s="135"/>
      <c r="H253" s="135">
        <v>3037.5</v>
      </c>
      <c r="I253" s="125"/>
      <c r="J253" s="125"/>
      <c r="K253" s="18">
        <v>8000</v>
      </c>
      <c r="L253" s="127">
        <v>1</v>
      </c>
      <c r="M253" s="127">
        <v>159400</v>
      </c>
      <c r="N253" s="81">
        <v>20</v>
      </c>
      <c r="O253" s="126"/>
      <c r="P253" s="125"/>
      <c r="Q253" s="125"/>
      <c r="R253" s="436"/>
      <c r="S253" s="436"/>
      <c r="T253" s="127"/>
      <c r="U253" s="127"/>
      <c r="V253" s="127">
        <f>O253-T253-U253+V232</f>
        <v>0</v>
      </c>
      <c r="W253" s="46"/>
      <c r="X253" s="67"/>
    </row>
    <row r="254" spans="1:25" ht="15" customHeight="1">
      <c r="A254" s="427"/>
      <c r="B254" s="442" t="s">
        <v>45</v>
      </c>
      <c r="C254" s="448" t="s">
        <v>59</v>
      </c>
      <c r="D254" s="118" t="s">
        <v>75</v>
      </c>
      <c r="E254" s="131" t="s">
        <v>25</v>
      </c>
      <c r="F254" s="131" t="s">
        <v>57</v>
      </c>
      <c r="G254" s="87"/>
      <c r="H254" s="136"/>
      <c r="I254" s="126"/>
      <c r="J254" s="2"/>
      <c r="K254" s="127"/>
      <c r="L254" s="18"/>
      <c r="M254" s="18">
        <v>100900</v>
      </c>
      <c r="N254" s="80">
        <v>20</v>
      </c>
      <c r="O254" s="126">
        <f>Jan!BW280</f>
        <v>2460</v>
      </c>
      <c r="P254" s="126">
        <f>Jan!BX280</f>
        <v>1149</v>
      </c>
      <c r="Q254" s="2">
        <f>Jan!BV280</f>
        <v>5</v>
      </c>
      <c r="R254" s="436"/>
      <c r="S254" s="436"/>
      <c r="T254" s="18">
        <v>10104</v>
      </c>
      <c r="U254" s="18"/>
      <c r="V254" s="18">
        <f>O254-T254-U254+V233</f>
        <v>3783</v>
      </c>
      <c r="W254" s="46"/>
      <c r="Y254" s="13"/>
    </row>
    <row r="255" spans="1:25">
      <c r="A255" s="427"/>
      <c r="B255" s="439"/>
      <c r="C255" s="440"/>
      <c r="D255" s="118" t="s">
        <v>72</v>
      </c>
      <c r="E255" s="424" t="s">
        <v>24</v>
      </c>
      <c r="F255" s="131" t="s">
        <v>57</v>
      </c>
      <c r="G255" s="152">
        <v>3106</v>
      </c>
      <c r="H255" s="136"/>
      <c r="I255" s="126"/>
      <c r="J255" s="126"/>
      <c r="K255" s="127">
        <v>25000</v>
      </c>
      <c r="L255" s="18">
        <v>5</v>
      </c>
      <c r="M255" s="18">
        <v>75000</v>
      </c>
      <c r="N255" s="80">
        <v>15</v>
      </c>
      <c r="O255" s="126">
        <f>Jan!BW281</f>
        <v>6418</v>
      </c>
      <c r="P255" s="126">
        <f>Jan!BX281</f>
        <v>3661</v>
      </c>
      <c r="Q255" s="126">
        <f>Jan!BV281</f>
        <v>16</v>
      </c>
      <c r="R255" s="436"/>
      <c r="S255" s="436"/>
      <c r="T255" s="18"/>
      <c r="U255" s="18"/>
      <c r="V255" s="18">
        <f>O255-T255-U255+V234</f>
        <v>11451</v>
      </c>
      <c r="W255" s="46"/>
      <c r="Y255" s="13"/>
    </row>
    <row r="256" spans="1:25">
      <c r="A256" s="427"/>
      <c r="B256" s="439"/>
      <c r="C256" s="440"/>
      <c r="D256" s="115" t="s">
        <v>73</v>
      </c>
      <c r="E256" s="425"/>
      <c r="F256" s="131"/>
      <c r="G256" s="136"/>
      <c r="H256" s="136">
        <v>1848.8</v>
      </c>
      <c r="I256" s="126"/>
      <c r="J256" s="126"/>
      <c r="K256" s="127"/>
      <c r="L256" s="177"/>
      <c r="M256" s="18"/>
      <c r="N256" s="80"/>
      <c r="O256" s="126"/>
      <c r="P256" s="126"/>
      <c r="Q256" s="126"/>
      <c r="R256" s="436"/>
      <c r="S256" s="436"/>
      <c r="T256" s="18"/>
      <c r="U256" s="18"/>
      <c r="V256" s="18"/>
      <c r="W256" s="46"/>
      <c r="Y256" s="13"/>
    </row>
    <row r="257" spans="1:25">
      <c r="A257" s="427"/>
      <c r="B257" s="439"/>
      <c r="C257" s="440"/>
      <c r="D257" s="115" t="s">
        <v>79</v>
      </c>
      <c r="E257" s="477" t="s">
        <v>65</v>
      </c>
      <c r="F257" s="131" t="s">
        <v>57</v>
      </c>
      <c r="G257" s="136"/>
      <c r="H257" s="87"/>
      <c r="I257" s="126"/>
      <c r="J257" s="126"/>
      <c r="K257" s="127"/>
      <c r="L257" s="18"/>
      <c r="M257" s="18"/>
      <c r="N257" s="80"/>
      <c r="O257" s="126">
        <f>Jan!BW282</f>
        <v>3952</v>
      </c>
      <c r="P257" s="126">
        <f>Jan!BX282</f>
        <v>4648</v>
      </c>
      <c r="Q257" s="126">
        <f>Jan!BV282</f>
        <v>20</v>
      </c>
      <c r="R257" s="436"/>
      <c r="S257" s="436"/>
      <c r="T257" s="18">
        <v>6622</v>
      </c>
      <c r="U257" s="18"/>
      <c r="V257" s="18">
        <f>O257-T257-U257+V235</f>
        <v>4329</v>
      </c>
      <c r="W257" s="46"/>
      <c r="Y257" s="13"/>
    </row>
    <row r="258" spans="1:25">
      <c r="A258" s="427"/>
      <c r="B258" s="443"/>
      <c r="C258" s="449"/>
      <c r="D258" s="115" t="s">
        <v>80</v>
      </c>
      <c r="E258" s="425"/>
      <c r="F258" s="131"/>
      <c r="G258" s="136"/>
      <c r="H258" s="152">
        <v>1320</v>
      </c>
      <c r="I258" s="126"/>
      <c r="J258" s="126"/>
      <c r="K258" s="127"/>
      <c r="L258" s="18"/>
      <c r="M258" s="18"/>
      <c r="N258" s="80"/>
      <c r="O258" s="126"/>
      <c r="P258" s="126"/>
      <c r="Q258" s="126"/>
      <c r="R258" s="436"/>
      <c r="S258" s="436"/>
      <c r="T258" s="153"/>
      <c r="U258" s="153"/>
      <c r="V258" s="153"/>
      <c r="W258" s="46"/>
      <c r="Y258" s="13"/>
    </row>
    <row r="259" spans="1:25" ht="14.25" customHeight="1">
      <c r="A259" s="427"/>
      <c r="B259" s="442" t="s">
        <v>53</v>
      </c>
      <c r="C259" s="444" t="s">
        <v>60</v>
      </c>
      <c r="D259" s="43" t="s">
        <v>98</v>
      </c>
      <c r="E259" s="441" t="s">
        <v>66</v>
      </c>
      <c r="F259" s="118" t="s">
        <v>54</v>
      </c>
      <c r="G259" s="136"/>
      <c r="H259" s="87"/>
      <c r="I259" s="126"/>
      <c r="J259" s="126"/>
      <c r="K259" s="127"/>
      <c r="L259" s="18"/>
      <c r="M259" s="18"/>
      <c r="N259" s="80"/>
      <c r="O259" s="126">
        <f>Jan!BW278</f>
        <v>9480</v>
      </c>
      <c r="P259" s="126">
        <f>Jan!BX278</f>
        <v>8195</v>
      </c>
      <c r="Q259" s="126">
        <f>Jan!BV278</f>
        <v>26</v>
      </c>
      <c r="R259" s="436"/>
      <c r="S259" s="436"/>
      <c r="T259" s="18">
        <v>13336</v>
      </c>
      <c r="U259" s="18"/>
      <c r="V259" s="18">
        <f>O259-T259-U259+V237</f>
        <v>1948</v>
      </c>
      <c r="W259" s="45"/>
      <c r="X259" s="36"/>
    </row>
    <row r="260" spans="1:25" ht="14.25" customHeight="1">
      <c r="A260" s="427"/>
      <c r="B260" s="439"/>
      <c r="C260" s="445"/>
      <c r="D260" s="43" t="s">
        <v>130</v>
      </c>
      <c r="E260" s="425"/>
      <c r="F260" s="118" t="s">
        <v>54</v>
      </c>
      <c r="G260" s="136"/>
      <c r="H260" s="38"/>
      <c r="I260" s="126"/>
      <c r="J260" s="126"/>
      <c r="K260" s="18">
        <v>6000</v>
      </c>
      <c r="L260" s="18">
        <v>1</v>
      </c>
      <c r="M260" s="18">
        <v>93800</v>
      </c>
      <c r="N260" s="80">
        <v>16</v>
      </c>
      <c r="O260" s="126"/>
      <c r="P260" s="126">
        <f>Jan!BX279</f>
        <v>1327</v>
      </c>
      <c r="Q260" s="126">
        <f>Jan!BV279</f>
        <v>4</v>
      </c>
      <c r="R260" s="436"/>
      <c r="S260" s="436"/>
      <c r="T260" s="18"/>
      <c r="U260" s="18"/>
      <c r="V260" s="18">
        <f>O260-T260-U260+V238</f>
        <v>0</v>
      </c>
      <c r="W260" s="45"/>
      <c r="X260" s="36"/>
    </row>
    <row r="261" spans="1:25" ht="14.25" customHeight="1">
      <c r="A261" s="427"/>
      <c r="B261" s="443"/>
      <c r="C261" s="446"/>
      <c r="D261" s="43" t="s">
        <v>127</v>
      </c>
      <c r="E261" s="424" t="s">
        <v>25</v>
      </c>
      <c r="F261" s="118"/>
      <c r="G261" s="136"/>
      <c r="H261" s="126">
        <v>2310</v>
      </c>
      <c r="I261" s="126"/>
      <c r="J261" s="126"/>
      <c r="K261" s="18"/>
      <c r="L261" s="18"/>
      <c r="M261" s="18"/>
      <c r="N261" s="80"/>
      <c r="O261" s="126"/>
      <c r="P261" s="126"/>
      <c r="Q261" s="126"/>
      <c r="R261" s="436"/>
      <c r="S261" s="436"/>
      <c r="T261" s="18"/>
      <c r="U261" s="18"/>
      <c r="V261" s="18"/>
      <c r="W261" s="45"/>
      <c r="X261" s="67"/>
    </row>
    <row r="262" spans="1:25" ht="14.25" customHeight="1">
      <c r="A262" s="427"/>
      <c r="B262" s="122" t="s">
        <v>55</v>
      </c>
      <c r="C262" s="180" t="s">
        <v>133</v>
      </c>
      <c r="D262" s="48" t="s">
        <v>56</v>
      </c>
      <c r="E262" s="441"/>
      <c r="F262" s="118" t="s">
        <v>67</v>
      </c>
      <c r="G262" s="136"/>
      <c r="H262" s="38"/>
      <c r="I262" s="126"/>
      <c r="J262" s="126"/>
      <c r="K262" s="18"/>
      <c r="L262" s="18"/>
      <c r="M262" s="18">
        <v>2800</v>
      </c>
      <c r="N262" s="80">
        <v>1</v>
      </c>
      <c r="O262" s="126"/>
      <c r="P262" s="126">
        <f>Jan!BX295</f>
        <v>306</v>
      </c>
      <c r="Q262" s="126">
        <f>Jan!BV295</f>
        <v>1</v>
      </c>
      <c r="R262" s="436"/>
      <c r="S262" s="436"/>
      <c r="T262" s="18"/>
      <c r="U262" s="18"/>
      <c r="V262" s="18">
        <f t="shared" ref="V262:V267" si="1">O262-T262-U262+V240</f>
        <v>0</v>
      </c>
      <c r="W262" s="45"/>
      <c r="X262" s="67"/>
    </row>
    <row r="263" spans="1:25" ht="14.25" customHeight="1">
      <c r="A263" s="427"/>
      <c r="B263" s="122" t="s">
        <v>122</v>
      </c>
      <c r="C263" s="180" t="s">
        <v>123</v>
      </c>
      <c r="D263" s="48" t="s">
        <v>56</v>
      </c>
      <c r="E263" s="441"/>
      <c r="F263" s="155" t="s">
        <v>64</v>
      </c>
      <c r="G263" s="136"/>
      <c r="H263" s="135"/>
      <c r="I263" s="158"/>
      <c r="J263" s="158"/>
      <c r="K263" s="128"/>
      <c r="L263" s="128"/>
      <c r="M263" s="128"/>
      <c r="N263" s="164"/>
      <c r="O263" s="158"/>
      <c r="P263" s="158"/>
      <c r="Q263" s="158"/>
      <c r="R263" s="436"/>
      <c r="S263" s="436"/>
      <c r="T263" s="18"/>
      <c r="U263" s="18"/>
      <c r="V263" s="18">
        <f t="shared" si="1"/>
        <v>14383</v>
      </c>
      <c r="W263" s="45"/>
      <c r="X263" s="67"/>
    </row>
    <row r="264" spans="1:25" ht="14.25" customHeight="1">
      <c r="A264" s="427"/>
      <c r="B264" s="122" t="s">
        <v>125</v>
      </c>
      <c r="C264" s="180" t="s">
        <v>88</v>
      </c>
      <c r="D264" s="48" t="s">
        <v>124</v>
      </c>
      <c r="E264" s="441"/>
      <c r="F264" s="118" t="s">
        <v>64</v>
      </c>
      <c r="G264" s="37"/>
      <c r="H264" s="37"/>
      <c r="I264" s="126"/>
      <c r="J264" s="126"/>
      <c r="K264" s="18"/>
      <c r="L264" s="18"/>
      <c r="M264" s="18">
        <v>117800</v>
      </c>
      <c r="N264" s="80">
        <v>16</v>
      </c>
      <c r="O264" s="126">
        <f>Jan!BW283</f>
        <v>4000</v>
      </c>
      <c r="P264" s="126">
        <f>Jan!BX283</f>
        <v>1835</v>
      </c>
      <c r="Q264" s="126">
        <f>Jan!BV283</f>
        <v>8</v>
      </c>
      <c r="R264" s="436"/>
      <c r="S264" s="436"/>
      <c r="T264" s="18"/>
      <c r="U264" s="18"/>
      <c r="V264" s="18">
        <f t="shared" si="1"/>
        <v>12309</v>
      </c>
      <c r="W264" s="45"/>
      <c r="X264" s="67"/>
    </row>
    <row r="265" spans="1:25" ht="26.25" customHeight="1">
      <c r="A265" s="427"/>
      <c r="B265" s="122" t="s">
        <v>58</v>
      </c>
      <c r="C265" s="180" t="s">
        <v>136</v>
      </c>
      <c r="D265" s="48" t="s">
        <v>56</v>
      </c>
      <c r="E265" s="441"/>
      <c r="F265" s="118" t="s">
        <v>67</v>
      </c>
      <c r="G265" s="119"/>
      <c r="H265" s="126"/>
      <c r="I265" s="126"/>
      <c r="J265" s="2"/>
      <c r="K265" s="18"/>
      <c r="L265" s="18"/>
      <c r="M265" s="18"/>
      <c r="N265" s="18"/>
      <c r="O265" s="126"/>
      <c r="P265" s="126"/>
      <c r="Q265" s="126"/>
      <c r="R265" s="436"/>
      <c r="S265" s="436"/>
      <c r="T265" s="18"/>
      <c r="U265" s="18"/>
      <c r="V265" s="18">
        <f t="shared" si="1"/>
        <v>43</v>
      </c>
      <c r="W265" s="45"/>
      <c r="X265" s="67"/>
    </row>
    <row r="266" spans="1:25" ht="16.5" customHeight="1">
      <c r="A266" s="427"/>
      <c r="B266" s="122" t="s">
        <v>47</v>
      </c>
      <c r="C266" s="180" t="s">
        <v>100</v>
      </c>
      <c r="D266" s="48" t="s">
        <v>99</v>
      </c>
      <c r="E266" s="441"/>
      <c r="F266" s="118" t="s">
        <v>71</v>
      </c>
      <c r="G266" s="119"/>
      <c r="H266" s="126"/>
      <c r="I266" s="126"/>
      <c r="J266" s="2"/>
      <c r="K266" s="18"/>
      <c r="L266" s="18"/>
      <c r="M266" s="18">
        <v>12000</v>
      </c>
      <c r="N266" s="18">
        <v>2</v>
      </c>
      <c r="O266" s="126"/>
      <c r="P266" s="126">
        <f>Jan!BX284</f>
        <v>1133</v>
      </c>
      <c r="Q266" s="126">
        <f>Jan!BV284</f>
        <v>4</v>
      </c>
      <c r="R266" s="436"/>
      <c r="S266" s="436"/>
      <c r="T266" s="18"/>
      <c r="U266" s="18"/>
      <c r="V266" s="18">
        <f t="shared" si="1"/>
        <v>8868</v>
      </c>
      <c r="W266" s="45"/>
      <c r="X266" s="67"/>
    </row>
    <row r="267" spans="1:25" ht="14.25" customHeight="1">
      <c r="A267" s="427"/>
      <c r="B267" s="122" t="s">
        <v>131</v>
      </c>
      <c r="C267" s="180" t="s">
        <v>194</v>
      </c>
      <c r="D267" s="48" t="s">
        <v>132</v>
      </c>
      <c r="E267" s="441"/>
      <c r="F267" s="118" t="s">
        <v>64</v>
      </c>
      <c r="G267" s="119"/>
      <c r="H267" s="37">
        <v>40.4</v>
      </c>
      <c r="I267" s="126"/>
      <c r="J267" s="2"/>
      <c r="K267" s="18"/>
      <c r="L267" s="18"/>
      <c r="M267" s="18"/>
      <c r="N267" s="18"/>
      <c r="O267" s="126">
        <f>Jan!BW289</f>
        <v>300</v>
      </c>
      <c r="P267" s="126">
        <f>Jan!BX289</f>
        <v>20</v>
      </c>
      <c r="Q267" s="126">
        <f>Jan!BV289</f>
        <v>1</v>
      </c>
      <c r="R267" s="436"/>
      <c r="S267" s="436"/>
      <c r="T267" s="18">
        <v>300</v>
      </c>
      <c r="U267" s="18"/>
      <c r="V267" s="18">
        <f t="shared" si="1"/>
        <v>0</v>
      </c>
      <c r="W267" s="45"/>
      <c r="X267" s="67"/>
    </row>
    <row r="268" spans="1:25" ht="14.25" customHeight="1">
      <c r="A268" s="427"/>
      <c r="B268" s="122" t="s">
        <v>101</v>
      </c>
      <c r="C268" s="180" t="s">
        <v>193</v>
      </c>
      <c r="D268" s="48" t="s">
        <v>102</v>
      </c>
      <c r="E268" s="441"/>
      <c r="F268" s="118" t="s">
        <v>64</v>
      </c>
      <c r="G268" s="119"/>
      <c r="H268" s="126"/>
      <c r="I268" s="126"/>
      <c r="J268" s="2"/>
      <c r="K268" s="18"/>
      <c r="L268" s="18"/>
      <c r="M268" s="18"/>
      <c r="N268" s="18"/>
      <c r="O268" s="126"/>
      <c r="P268" s="126"/>
      <c r="Q268" s="126">
        <f>Jan!BV290</f>
        <v>1</v>
      </c>
      <c r="R268" s="436"/>
      <c r="S268" s="436"/>
      <c r="T268" s="18"/>
      <c r="U268" s="18"/>
      <c r="V268" s="18"/>
      <c r="W268" s="45"/>
      <c r="X268" s="67"/>
    </row>
    <row r="269" spans="1:25" ht="14.25" customHeight="1">
      <c r="A269" s="427"/>
      <c r="B269" s="122" t="s">
        <v>103</v>
      </c>
      <c r="C269" s="157" t="s">
        <v>197</v>
      </c>
      <c r="D269" s="48" t="s">
        <v>104</v>
      </c>
      <c r="E269" s="441"/>
      <c r="F269" s="118" t="s">
        <v>105</v>
      </c>
      <c r="G269" s="119"/>
      <c r="H269" s="126"/>
      <c r="I269" s="126"/>
      <c r="J269" s="2"/>
      <c r="K269" s="18"/>
      <c r="L269" s="18"/>
      <c r="M269" s="18"/>
      <c r="N269" s="18"/>
      <c r="O269" s="126"/>
      <c r="P269" s="126"/>
      <c r="Q269" s="126">
        <f>Jan!BV291</f>
        <v>1</v>
      </c>
      <c r="R269" s="436"/>
      <c r="S269" s="436"/>
      <c r="T269" s="18"/>
      <c r="U269" s="18"/>
      <c r="V269" s="18"/>
      <c r="W269" s="45"/>
      <c r="X269" s="67"/>
    </row>
    <row r="270" spans="1:25" ht="14.25" customHeight="1">
      <c r="A270" s="427"/>
      <c r="B270" s="137" t="s">
        <v>112</v>
      </c>
      <c r="C270" s="157" t="s">
        <v>197</v>
      </c>
      <c r="D270" s="48" t="s">
        <v>104</v>
      </c>
      <c r="E270" s="441"/>
      <c r="F270" s="118" t="s">
        <v>113</v>
      </c>
      <c r="G270" s="119"/>
      <c r="H270" s="126"/>
      <c r="I270" s="126"/>
      <c r="J270" s="2"/>
      <c r="K270" s="18"/>
      <c r="L270" s="18"/>
      <c r="M270" s="18"/>
      <c r="N270" s="18"/>
      <c r="O270" s="126"/>
      <c r="P270" s="126"/>
      <c r="Q270" s="126">
        <f>Jan!BV294</f>
        <v>1</v>
      </c>
      <c r="R270" s="436"/>
      <c r="S270" s="436"/>
      <c r="T270" s="18"/>
      <c r="U270" s="18"/>
      <c r="V270" s="18"/>
      <c r="W270" s="45"/>
      <c r="X270" s="67"/>
    </row>
    <row r="271" spans="1:25" ht="14.25" customHeight="1">
      <c r="A271" s="427"/>
      <c r="B271" s="137" t="s">
        <v>106</v>
      </c>
      <c r="C271" s="157" t="s">
        <v>141</v>
      </c>
      <c r="D271" s="48" t="s">
        <v>68</v>
      </c>
      <c r="E271" s="441"/>
      <c r="F271" s="118" t="s">
        <v>67</v>
      </c>
      <c r="G271" s="119"/>
      <c r="H271" s="126"/>
      <c r="I271" s="126"/>
      <c r="J271" s="2"/>
      <c r="K271" s="18"/>
      <c r="L271" s="18"/>
      <c r="M271" s="18"/>
      <c r="N271" s="18"/>
      <c r="O271" s="126"/>
      <c r="P271" s="126"/>
      <c r="Q271" s="126">
        <f>Jan!BV292</f>
        <v>1</v>
      </c>
      <c r="R271" s="436"/>
      <c r="S271" s="436"/>
      <c r="T271" s="18"/>
      <c r="U271" s="18"/>
      <c r="V271" s="18"/>
      <c r="W271" s="45"/>
      <c r="X271" s="67"/>
    </row>
    <row r="272" spans="1:25" ht="14.25" customHeight="1" thickBot="1">
      <c r="A272" s="428"/>
      <c r="B272" s="44" t="s">
        <v>107</v>
      </c>
      <c r="C272" s="181" t="s">
        <v>195</v>
      </c>
      <c r="D272" s="61" t="s">
        <v>108</v>
      </c>
      <c r="E272" s="447"/>
      <c r="F272" s="133" t="s">
        <v>48</v>
      </c>
      <c r="G272" s="132"/>
      <c r="H272" s="109"/>
      <c r="I272" s="134"/>
      <c r="J272" s="129"/>
      <c r="K272" s="130"/>
      <c r="L272" s="130"/>
      <c r="M272" s="130"/>
      <c r="N272" s="130"/>
      <c r="O272" s="134"/>
      <c r="P272" s="134"/>
      <c r="Q272" s="134">
        <f>Jan!BV293</f>
        <v>1</v>
      </c>
      <c r="R272" s="437"/>
      <c r="S272" s="437"/>
      <c r="T272" s="130"/>
      <c r="U272" s="130"/>
      <c r="V272" s="128"/>
      <c r="W272" s="85"/>
      <c r="X272" s="67"/>
    </row>
    <row r="273" spans="1:25" ht="15" customHeight="1">
      <c r="A273" s="426">
        <v>46039</v>
      </c>
      <c r="B273" s="429" t="s">
        <v>44</v>
      </c>
      <c r="C273" s="432" t="s">
        <v>240</v>
      </c>
      <c r="D273" s="19" t="s">
        <v>37</v>
      </c>
      <c r="E273" s="19" t="s">
        <v>25</v>
      </c>
      <c r="F273" s="39" t="s">
        <v>40</v>
      </c>
      <c r="G273" s="41"/>
      <c r="H273" s="32"/>
      <c r="I273" s="32"/>
      <c r="J273" s="32"/>
      <c r="K273" s="20">
        <v>56000</v>
      </c>
      <c r="L273" s="20">
        <v>7</v>
      </c>
      <c r="M273" s="20">
        <v>80000</v>
      </c>
      <c r="N273" s="84">
        <v>10</v>
      </c>
      <c r="O273" s="32">
        <f>Jan!BZ272</f>
        <v>32434</v>
      </c>
      <c r="P273" s="32">
        <f>Jan!CA272</f>
        <v>23899</v>
      </c>
      <c r="Q273" s="32">
        <f>Jan!BY272</f>
        <v>70</v>
      </c>
      <c r="R273" s="435">
        <f>Jan!BZ296</f>
        <v>67507</v>
      </c>
      <c r="S273" s="435">
        <f>Jan!CA296</f>
        <v>57867</v>
      </c>
      <c r="T273" s="20">
        <v>26722</v>
      </c>
      <c r="U273" s="20">
        <v>55</v>
      </c>
      <c r="V273" s="20">
        <f>O273-T273-U273+V251</f>
        <v>22576</v>
      </c>
      <c r="W273" s="77"/>
      <c r="X273" s="36"/>
    </row>
    <row r="274" spans="1:25" ht="15" customHeight="1">
      <c r="A274" s="427"/>
      <c r="B274" s="430"/>
      <c r="C274" s="433"/>
      <c r="D274" s="113" t="s">
        <v>69</v>
      </c>
      <c r="E274" s="438" t="s">
        <v>24</v>
      </c>
      <c r="F274" s="118" t="s">
        <v>40</v>
      </c>
      <c r="G274" s="38"/>
      <c r="H274" s="37"/>
      <c r="I274" s="125"/>
      <c r="J274" s="125"/>
      <c r="K274" s="127"/>
      <c r="L274" s="127"/>
      <c r="M274" s="127"/>
      <c r="N274" s="81"/>
      <c r="O274" s="125">
        <f>Jan!BZ274</f>
        <v>15596</v>
      </c>
      <c r="P274" s="125">
        <f>Jan!CA274</f>
        <v>13282</v>
      </c>
      <c r="Q274" s="125">
        <f>Jan!BY274</f>
        <v>41</v>
      </c>
      <c r="R274" s="436"/>
      <c r="S274" s="436"/>
      <c r="T274" s="127">
        <v>17865</v>
      </c>
      <c r="U274" s="127">
        <v>108</v>
      </c>
      <c r="V274" s="127">
        <f>O274-T274-U274+V252</f>
        <v>6345</v>
      </c>
      <c r="W274" s="46"/>
      <c r="X274" s="67"/>
    </row>
    <row r="275" spans="1:25" ht="15" customHeight="1">
      <c r="A275" s="427"/>
      <c r="B275" s="431"/>
      <c r="C275" s="434"/>
      <c r="D275" s="113" t="s">
        <v>128</v>
      </c>
      <c r="E275" s="431"/>
      <c r="F275" s="114" t="s">
        <v>40</v>
      </c>
      <c r="G275" s="135"/>
      <c r="H275" s="135"/>
      <c r="I275" s="125"/>
      <c r="J275" s="125"/>
      <c r="K275" s="18">
        <v>47400</v>
      </c>
      <c r="L275" s="127">
        <v>6</v>
      </c>
      <c r="M275" s="127">
        <v>112000</v>
      </c>
      <c r="N275" s="81">
        <v>14</v>
      </c>
      <c r="O275" s="126"/>
      <c r="P275" s="125"/>
      <c r="Q275" s="125"/>
      <c r="R275" s="436"/>
      <c r="S275" s="436"/>
      <c r="T275" s="127"/>
      <c r="U275" s="127"/>
      <c r="V275" s="127">
        <f>O275-T275-U275+V253</f>
        <v>0</v>
      </c>
      <c r="W275" s="46"/>
      <c r="X275" s="67"/>
    </row>
    <row r="276" spans="1:25" ht="15" customHeight="1">
      <c r="A276" s="427"/>
      <c r="B276" s="439" t="s">
        <v>45</v>
      </c>
      <c r="C276" s="440" t="s">
        <v>59</v>
      </c>
      <c r="D276" s="118" t="s">
        <v>75</v>
      </c>
      <c r="E276" s="131" t="s">
        <v>25</v>
      </c>
      <c r="F276" s="131" t="s">
        <v>57</v>
      </c>
      <c r="G276" s="87"/>
      <c r="H276" s="136"/>
      <c r="I276" s="126"/>
      <c r="J276" s="2"/>
      <c r="K276" s="127">
        <v>20000</v>
      </c>
      <c r="L276" s="18">
        <v>4</v>
      </c>
      <c r="M276" s="18">
        <v>80900</v>
      </c>
      <c r="N276" s="80">
        <v>16</v>
      </c>
      <c r="O276" s="126">
        <f>Jan!BZ280</f>
        <v>0</v>
      </c>
      <c r="P276" s="126">
        <f>Jan!CA280</f>
        <v>1117</v>
      </c>
      <c r="Q276" s="2">
        <f>Jan!BY280</f>
        <v>5</v>
      </c>
      <c r="R276" s="436"/>
      <c r="S276" s="436"/>
      <c r="T276" s="18"/>
      <c r="U276" s="18"/>
      <c r="V276" s="18">
        <f>O276-T276-U276+V254</f>
        <v>3783</v>
      </c>
      <c r="W276" s="46"/>
      <c r="Y276" s="13"/>
    </row>
    <row r="277" spans="1:25">
      <c r="A277" s="427"/>
      <c r="B277" s="439"/>
      <c r="C277" s="440"/>
      <c r="D277" s="118" t="s">
        <v>72</v>
      </c>
      <c r="E277" s="155" t="s">
        <v>24</v>
      </c>
      <c r="F277" s="131" t="s">
        <v>57</v>
      </c>
      <c r="G277" s="136"/>
      <c r="H277" s="136"/>
      <c r="I277" s="126"/>
      <c r="J277" s="126"/>
      <c r="K277" s="127"/>
      <c r="L277" s="18"/>
      <c r="M277" s="18">
        <v>75000</v>
      </c>
      <c r="N277" s="80">
        <v>15</v>
      </c>
      <c r="O277" s="126">
        <f>Jan!BZ281</f>
        <v>942</v>
      </c>
      <c r="P277" s="126">
        <f>Jan!CA281</f>
        <v>3383</v>
      </c>
      <c r="Q277" s="126">
        <f>Jan!BY281</f>
        <v>15</v>
      </c>
      <c r="R277" s="436"/>
      <c r="S277" s="436"/>
      <c r="T277" s="18">
        <v>10695</v>
      </c>
      <c r="U277" s="18"/>
      <c r="V277" s="18">
        <f>O277-T277-U277+V255</f>
        <v>1698</v>
      </c>
      <c r="W277" s="46"/>
      <c r="Y277" s="13"/>
    </row>
    <row r="278" spans="1:25">
      <c r="A278" s="427"/>
      <c r="B278" s="439"/>
      <c r="C278" s="440"/>
      <c r="D278" s="115" t="s">
        <v>79</v>
      </c>
      <c r="E278" s="118" t="s">
        <v>65</v>
      </c>
      <c r="F278" s="131" t="s">
        <v>57</v>
      </c>
      <c r="G278" s="136"/>
      <c r="H278" s="136"/>
      <c r="I278" s="126"/>
      <c r="J278" s="126"/>
      <c r="K278" s="127"/>
      <c r="L278" s="18"/>
      <c r="M278" s="18"/>
      <c r="N278" s="80"/>
      <c r="O278" s="126">
        <f>Jan!BZ282</f>
        <v>2949</v>
      </c>
      <c r="P278" s="126">
        <f>Jan!CA282</f>
        <v>4414</v>
      </c>
      <c r="Q278" s="126">
        <f>Jan!BY282</f>
        <v>20</v>
      </c>
      <c r="R278" s="436"/>
      <c r="S278" s="436"/>
      <c r="T278" s="18"/>
      <c r="U278" s="18"/>
      <c r="V278" s="18">
        <f>O278-T278-U278+V257</f>
        <v>7278</v>
      </c>
      <c r="W278" s="46"/>
      <c r="Y278" s="13"/>
    </row>
    <row r="279" spans="1:25" ht="14.25" customHeight="1">
      <c r="A279" s="427"/>
      <c r="B279" s="442" t="s">
        <v>53</v>
      </c>
      <c r="C279" s="444" t="s">
        <v>60</v>
      </c>
      <c r="D279" s="43" t="s">
        <v>98</v>
      </c>
      <c r="E279" s="441" t="s">
        <v>66</v>
      </c>
      <c r="F279" s="118" t="s">
        <v>54</v>
      </c>
      <c r="G279" s="136"/>
      <c r="H279" s="136"/>
      <c r="I279" s="126"/>
      <c r="J279" s="126"/>
      <c r="K279" s="127"/>
      <c r="L279" s="18"/>
      <c r="M279" s="18"/>
      <c r="N279" s="80"/>
      <c r="O279" s="126">
        <f>Jan!BZ278</f>
        <v>11701</v>
      </c>
      <c r="P279" s="126">
        <f>Jan!CA278</f>
        <v>7042</v>
      </c>
      <c r="Q279" s="126">
        <f>Jan!BY278</f>
        <v>22</v>
      </c>
      <c r="R279" s="436"/>
      <c r="S279" s="436"/>
      <c r="T279" s="18">
        <v>13638</v>
      </c>
      <c r="U279" s="18">
        <v>6</v>
      </c>
      <c r="V279" s="18">
        <f>O279-T279-U279+V259</f>
        <v>5</v>
      </c>
      <c r="W279" s="45"/>
      <c r="X279" s="36"/>
    </row>
    <row r="280" spans="1:25" ht="14.25" customHeight="1">
      <c r="A280" s="427"/>
      <c r="B280" s="443"/>
      <c r="C280" s="446"/>
      <c r="D280" s="43" t="s">
        <v>130</v>
      </c>
      <c r="E280" s="425"/>
      <c r="F280" s="118" t="s">
        <v>54</v>
      </c>
      <c r="G280" s="136"/>
      <c r="H280" s="37"/>
      <c r="I280" s="126"/>
      <c r="J280" s="126"/>
      <c r="K280" s="18">
        <v>6000</v>
      </c>
      <c r="L280" s="18">
        <v>1</v>
      </c>
      <c r="M280" s="18">
        <v>87800</v>
      </c>
      <c r="N280" s="80">
        <v>15</v>
      </c>
      <c r="O280" s="126">
        <f>Jan!BZ279</f>
        <v>1200</v>
      </c>
      <c r="P280" s="126">
        <f>Jan!CA279</f>
        <v>1564</v>
      </c>
      <c r="Q280" s="126">
        <f>Jan!BY279</f>
        <v>5</v>
      </c>
      <c r="R280" s="436"/>
      <c r="S280" s="436"/>
      <c r="T280" s="18"/>
      <c r="U280" s="18"/>
      <c r="V280" s="18">
        <f>O280-T280-U280+V260</f>
        <v>1200</v>
      </c>
      <c r="W280" s="45"/>
      <c r="X280" s="36"/>
    </row>
    <row r="281" spans="1:25" ht="14.25" customHeight="1">
      <c r="A281" s="427"/>
      <c r="B281" s="122" t="s">
        <v>55</v>
      </c>
      <c r="C281" s="180" t="s">
        <v>133</v>
      </c>
      <c r="D281" s="48" t="s">
        <v>56</v>
      </c>
      <c r="E281" s="424" t="s">
        <v>25</v>
      </c>
      <c r="F281" s="118" t="s">
        <v>67</v>
      </c>
      <c r="G281" s="136"/>
      <c r="H281" s="37"/>
      <c r="I281" s="126"/>
      <c r="J281" s="126"/>
      <c r="K281" s="18"/>
      <c r="L281" s="18"/>
      <c r="M281" s="18">
        <v>2800</v>
      </c>
      <c r="N281" s="80">
        <v>1</v>
      </c>
      <c r="O281" s="126"/>
      <c r="P281" s="126">
        <f>Jan!CA295</f>
        <v>94</v>
      </c>
      <c r="Q281" s="126">
        <f>Jan!BY295</f>
        <v>1</v>
      </c>
      <c r="R281" s="436"/>
      <c r="S281" s="436"/>
      <c r="T281" s="18"/>
      <c r="U281" s="18"/>
      <c r="V281" s="18">
        <f t="shared" ref="V281:V286" si="2">O281-T281-U281+V262</f>
        <v>0</v>
      </c>
      <c r="W281" s="45"/>
      <c r="X281" s="67"/>
    </row>
    <row r="282" spans="1:25" ht="14.25" customHeight="1">
      <c r="A282" s="427"/>
      <c r="B282" s="122" t="s">
        <v>122</v>
      </c>
      <c r="C282" s="180" t="s">
        <v>123</v>
      </c>
      <c r="D282" s="48" t="s">
        <v>56</v>
      </c>
      <c r="E282" s="441"/>
      <c r="F282" s="155" t="s">
        <v>64</v>
      </c>
      <c r="G282" s="136"/>
      <c r="H282" s="135"/>
      <c r="I282" s="158"/>
      <c r="J282" s="158"/>
      <c r="K282" s="128"/>
      <c r="L282" s="128"/>
      <c r="M282" s="128"/>
      <c r="N282" s="164"/>
      <c r="O282" s="158"/>
      <c r="P282" s="158"/>
      <c r="Q282" s="158"/>
      <c r="R282" s="436"/>
      <c r="S282" s="436"/>
      <c r="T282" s="18"/>
      <c r="U282" s="18"/>
      <c r="V282" s="18">
        <f t="shared" si="2"/>
        <v>14383</v>
      </c>
      <c r="W282" s="45"/>
      <c r="X282" s="67"/>
    </row>
    <row r="283" spans="1:25" ht="14.25" customHeight="1">
      <c r="A283" s="427"/>
      <c r="B283" s="122" t="s">
        <v>125</v>
      </c>
      <c r="C283" s="180" t="s">
        <v>88</v>
      </c>
      <c r="D283" s="48" t="s">
        <v>124</v>
      </c>
      <c r="E283" s="441"/>
      <c r="F283" s="118" t="s">
        <v>64</v>
      </c>
      <c r="G283" s="37"/>
      <c r="H283" s="37"/>
      <c r="I283" s="126"/>
      <c r="J283" s="126"/>
      <c r="K283" s="18"/>
      <c r="L283" s="18"/>
      <c r="M283" s="18">
        <v>117800</v>
      </c>
      <c r="N283" s="80">
        <v>16</v>
      </c>
      <c r="O283" s="126">
        <f>Jan!BZ283</f>
        <v>2685</v>
      </c>
      <c r="P283" s="126">
        <f>Jan!CA283</f>
        <v>2016</v>
      </c>
      <c r="Q283" s="126">
        <f>Jan!BY283</f>
        <v>9</v>
      </c>
      <c r="R283" s="436"/>
      <c r="S283" s="436"/>
      <c r="T283" s="18"/>
      <c r="U283" s="18"/>
      <c r="V283" s="18">
        <f t="shared" si="2"/>
        <v>14994</v>
      </c>
      <c r="W283" s="45"/>
      <c r="X283" s="67"/>
    </row>
    <row r="284" spans="1:25" ht="30.75" customHeight="1">
      <c r="A284" s="427"/>
      <c r="B284" s="122" t="s">
        <v>58</v>
      </c>
      <c r="C284" s="180" t="s">
        <v>136</v>
      </c>
      <c r="D284" s="48" t="s">
        <v>56</v>
      </c>
      <c r="E284" s="441"/>
      <c r="F284" s="118" t="s">
        <v>67</v>
      </c>
      <c r="G284" s="119"/>
      <c r="H284" s="126"/>
      <c r="I284" s="126"/>
      <c r="J284" s="2"/>
      <c r="K284" s="18"/>
      <c r="L284" s="18"/>
      <c r="M284" s="18"/>
      <c r="N284" s="18"/>
      <c r="O284" s="126"/>
      <c r="P284" s="126"/>
      <c r="Q284" s="126"/>
      <c r="R284" s="436"/>
      <c r="S284" s="436"/>
      <c r="T284" s="18"/>
      <c r="U284" s="18"/>
      <c r="V284" s="18">
        <f t="shared" si="2"/>
        <v>43</v>
      </c>
      <c r="W284" s="45"/>
      <c r="X284" s="67"/>
    </row>
    <row r="285" spans="1:25" ht="15" customHeight="1">
      <c r="A285" s="427"/>
      <c r="B285" s="122" t="s">
        <v>47</v>
      </c>
      <c r="C285" s="180" t="s">
        <v>100</v>
      </c>
      <c r="D285" s="48" t="s">
        <v>99</v>
      </c>
      <c r="E285" s="441"/>
      <c r="F285" s="118" t="s">
        <v>71</v>
      </c>
      <c r="G285" s="119"/>
      <c r="H285" s="126"/>
      <c r="I285" s="126"/>
      <c r="J285" s="2"/>
      <c r="K285" s="18"/>
      <c r="L285" s="18"/>
      <c r="M285" s="18">
        <v>12000</v>
      </c>
      <c r="N285" s="18">
        <v>2</v>
      </c>
      <c r="O285" s="126"/>
      <c r="P285" s="126">
        <f>Jan!CA284</f>
        <v>1056</v>
      </c>
      <c r="Q285" s="126">
        <f>Jan!BY284</f>
        <v>4</v>
      </c>
      <c r="R285" s="436"/>
      <c r="S285" s="436"/>
      <c r="T285" s="18"/>
      <c r="U285" s="18"/>
      <c r="V285" s="18">
        <f t="shared" si="2"/>
        <v>8868</v>
      </c>
      <c r="W285" s="45"/>
      <c r="X285" s="67"/>
    </row>
    <row r="286" spans="1:25" ht="15" customHeight="1">
      <c r="A286" s="427"/>
      <c r="B286" s="122" t="s">
        <v>131</v>
      </c>
      <c r="C286" s="180" t="s">
        <v>194</v>
      </c>
      <c r="D286" s="48" t="s">
        <v>132</v>
      </c>
      <c r="E286" s="441"/>
      <c r="F286" s="118" t="s">
        <v>64</v>
      </c>
      <c r="G286" s="119"/>
      <c r="H286" s="126"/>
      <c r="I286" s="126"/>
      <c r="J286" s="2"/>
      <c r="K286" s="18"/>
      <c r="L286" s="18"/>
      <c r="M286" s="18"/>
      <c r="N286" s="18"/>
      <c r="O286" s="126"/>
      <c r="P286" s="126"/>
      <c r="Q286" s="126">
        <f>Jan!BY289</f>
        <v>1</v>
      </c>
      <c r="R286" s="436"/>
      <c r="S286" s="436"/>
      <c r="T286" s="18"/>
      <c r="U286" s="18"/>
      <c r="V286" s="18">
        <f t="shared" si="2"/>
        <v>0</v>
      </c>
      <c r="W286" s="45"/>
      <c r="X286" s="67"/>
    </row>
    <row r="287" spans="1:25" ht="15" customHeight="1">
      <c r="A287" s="427"/>
      <c r="B287" s="122" t="s">
        <v>101</v>
      </c>
      <c r="C287" s="180" t="s">
        <v>193</v>
      </c>
      <c r="D287" s="48" t="s">
        <v>102</v>
      </c>
      <c r="E287" s="441"/>
      <c r="F287" s="118" t="s">
        <v>64</v>
      </c>
      <c r="G287" s="119"/>
      <c r="H287" s="126"/>
      <c r="I287" s="126"/>
      <c r="J287" s="2"/>
      <c r="K287" s="18"/>
      <c r="L287" s="18"/>
      <c r="M287" s="18"/>
      <c r="N287" s="18"/>
      <c r="O287" s="126"/>
      <c r="P287" s="126"/>
      <c r="Q287" s="126">
        <f>Jan!BY290</f>
        <v>1</v>
      </c>
      <c r="R287" s="436"/>
      <c r="S287" s="436"/>
      <c r="T287" s="18"/>
      <c r="U287" s="18"/>
      <c r="V287" s="18"/>
      <c r="W287" s="45"/>
      <c r="X287" s="67"/>
    </row>
    <row r="288" spans="1:25" ht="15" customHeight="1">
      <c r="A288" s="427"/>
      <c r="B288" s="122" t="s">
        <v>103</v>
      </c>
      <c r="C288" s="157" t="s">
        <v>197</v>
      </c>
      <c r="D288" s="48" t="s">
        <v>104</v>
      </c>
      <c r="E288" s="441"/>
      <c r="F288" s="118" t="s">
        <v>105</v>
      </c>
      <c r="G288" s="119"/>
      <c r="H288" s="126"/>
      <c r="I288" s="126"/>
      <c r="J288" s="2"/>
      <c r="K288" s="18"/>
      <c r="L288" s="18"/>
      <c r="M288" s="18"/>
      <c r="N288" s="18"/>
      <c r="O288" s="126"/>
      <c r="P288" s="126"/>
      <c r="Q288" s="126">
        <f>Jan!BY291</f>
        <v>1</v>
      </c>
      <c r="R288" s="436"/>
      <c r="S288" s="436"/>
      <c r="T288" s="18"/>
      <c r="U288" s="18"/>
      <c r="V288" s="18"/>
      <c r="W288" s="45"/>
      <c r="X288" s="67"/>
    </row>
    <row r="289" spans="1:25" ht="15" customHeight="1">
      <c r="A289" s="427"/>
      <c r="B289" s="137" t="s">
        <v>112</v>
      </c>
      <c r="C289" s="157" t="s">
        <v>197</v>
      </c>
      <c r="D289" s="48" t="s">
        <v>104</v>
      </c>
      <c r="E289" s="441"/>
      <c r="F289" s="118" t="s">
        <v>113</v>
      </c>
      <c r="G289" s="119"/>
      <c r="H289" s="126"/>
      <c r="I289" s="126"/>
      <c r="J289" s="2"/>
      <c r="K289" s="18"/>
      <c r="L289" s="18"/>
      <c r="M289" s="18"/>
      <c r="N289" s="18"/>
      <c r="O289" s="126"/>
      <c r="P289" s="126"/>
      <c r="Q289" s="126">
        <f>Jan!BY294</f>
        <v>1</v>
      </c>
      <c r="R289" s="436"/>
      <c r="S289" s="436"/>
      <c r="T289" s="18"/>
      <c r="U289" s="18"/>
      <c r="V289" s="18"/>
      <c r="W289" s="45"/>
      <c r="X289" s="67"/>
    </row>
    <row r="290" spans="1:25" ht="15" customHeight="1">
      <c r="A290" s="427"/>
      <c r="B290" s="137" t="s">
        <v>106</v>
      </c>
      <c r="C290" s="157" t="s">
        <v>141</v>
      </c>
      <c r="D290" s="48" t="s">
        <v>68</v>
      </c>
      <c r="E290" s="441"/>
      <c r="F290" s="118" t="s">
        <v>67</v>
      </c>
      <c r="G290" s="119"/>
      <c r="H290" s="126"/>
      <c r="I290" s="126"/>
      <c r="J290" s="2"/>
      <c r="K290" s="18"/>
      <c r="L290" s="18"/>
      <c r="M290" s="18"/>
      <c r="N290" s="18"/>
      <c r="O290" s="126"/>
      <c r="P290" s="126"/>
      <c r="Q290" s="126">
        <f>Jan!BY292</f>
        <v>1</v>
      </c>
      <c r="R290" s="436"/>
      <c r="S290" s="436"/>
      <c r="T290" s="18"/>
      <c r="U290" s="18"/>
      <c r="V290" s="18"/>
      <c r="W290" s="45"/>
      <c r="X290" s="67"/>
    </row>
    <row r="291" spans="1:25" ht="15" customHeight="1" thickBot="1">
      <c r="A291" s="428"/>
      <c r="B291" s="44" t="s">
        <v>107</v>
      </c>
      <c r="C291" s="181" t="s">
        <v>195</v>
      </c>
      <c r="D291" s="61" t="s">
        <v>108</v>
      </c>
      <c r="E291" s="447"/>
      <c r="F291" s="133" t="s">
        <v>48</v>
      </c>
      <c r="G291" s="132"/>
      <c r="H291" s="109"/>
      <c r="I291" s="134"/>
      <c r="J291" s="129"/>
      <c r="K291" s="130"/>
      <c r="L291" s="130"/>
      <c r="M291" s="130"/>
      <c r="N291" s="130"/>
      <c r="O291" s="134"/>
      <c r="P291" s="134"/>
      <c r="Q291" s="134">
        <f>Jan!BY293</f>
        <v>1</v>
      </c>
      <c r="R291" s="437"/>
      <c r="S291" s="437"/>
      <c r="T291" s="130"/>
      <c r="U291" s="130"/>
      <c r="V291" s="128"/>
      <c r="W291" s="85"/>
      <c r="X291" s="67"/>
    </row>
    <row r="292" spans="1:25" ht="15" customHeight="1">
      <c r="A292" s="426">
        <v>46041</v>
      </c>
      <c r="B292" s="429" t="s">
        <v>44</v>
      </c>
      <c r="C292" s="432" t="s">
        <v>240</v>
      </c>
      <c r="D292" s="19" t="s">
        <v>37</v>
      </c>
      <c r="E292" s="19" t="s">
        <v>25</v>
      </c>
      <c r="F292" s="39" t="s">
        <v>40</v>
      </c>
      <c r="G292" s="41">
        <v>12645.63</v>
      </c>
      <c r="H292" s="32">
        <v>5760</v>
      </c>
      <c r="I292" s="32"/>
      <c r="J292" s="32"/>
      <c r="K292" s="20">
        <v>8000</v>
      </c>
      <c r="L292" s="20">
        <v>1</v>
      </c>
      <c r="M292" s="20">
        <v>256000</v>
      </c>
      <c r="N292" s="84">
        <v>32</v>
      </c>
      <c r="O292" s="32">
        <f>Jan!CF272</f>
        <v>24496</v>
      </c>
      <c r="P292" s="32">
        <f>Jan!CG272</f>
        <v>23714</v>
      </c>
      <c r="Q292" s="32">
        <f>Jan!CE272</f>
        <v>66</v>
      </c>
      <c r="R292" s="435">
        <f>Jan!CF296</f>
        <v>57875</v>
      </c>
      <c r="S292" s="435">
        <f>Jan!CG296</f>
        <v>59981</v>
      </c>
      <c r="T292" s="20">
        <v>33398</v>
      </c>
      <c r="U292" s="20">
        <v>23</v>
      </c>
      <c r="V292" s="20">
        <f>O292-T292-U292+V273</f>
        <v>13651</v>
      </c>
      <c r="W292" s="77"/>
      <c r="X292" s="36"/>
    </row>
    <row r="293" spans="1:25" ht="15" customHeight="1">
      <c r="A293" s="427"/>
      <c r="B293" s="430"/>
      <c r="C293" s="433"/>
      <c r="D293" s="113" t="s">
        <v>69</v>
      </c>
      <c r="E293" s="438" t="s">
        <v>24</v>
      </c>
      <c r="F293" s="118" t="s">
        <v>40</v>
      </c>
      <c r="G293" s="38"/>
      <c r="H293" s="37"/>
      <c r="I293" s="125"/>
      <c r="J293" s="125"/>
      <c r="K293" s="127"/>
      <c r="L293" s="127"/>
      <c r="M293" s="127"/>
      <c r="N293" s="81"/>
      <c r="O293" s="125">
        <f>Jan!CF274</f>
        <v>10353</v>
      </c>
      <c r="P293" s="125">
        <f>Jan!CG274</f>
        <v>13459</v>
      </c>
      <c r="Q293" s="125">
        <f>Jan!CE274</f>
        <v>40</v>
      </c>
      <c r="R293" s="436"/>
      <c r="S293" s="436"/>
      <c r="T293" s="127">
        <v>16799</v>
      </c>
      <c r="U293" s="127">
        <v>8</v>
      </c>
      <c r="V293" s="127"/>
      <c r="W293" s="46"/>
      <c r="X293" s="67"/>
    </row>
    <row r="294" spans="1:25" ht="15" customHeight="1">
      <c r="A294" s="427"/>
      <c r="B294" s="431"/>
      <c r="C294" s="434"/>
      <c r="D294" s="113" t="s">
        <v>128</v>
      </c>
      <c r="E294" s="431"/>
      <c r="F294" s="114" t="s">
        <v>40</v>
      </c>
      <c r="G294" s="135"/>
      <c r="H294" s="135"/>
      <c r="I294" s="125"/>
      <c r="J294" s="125"/>
      <c r="K294" s="18"/>
      <c r="L294" s="127"/>
      <c r="M294" s="127">
        <v>112000</v>
      </c>
      <c r="N294" s="81">
        <v>14</v>
      </c>
      <c r="O294" s="126"/>
      <c r="P294" s="125">
        <f>Jan!CG275</f>
        <v>907</v>
      </c>
      <c r="Q294" s="125">
        <f>Jan!CE275</f>
        <v>4</v>
      </c>
      <c r="R294" s="436"/>
      <c r="S294" s="436"/>
      <c r="T294" s="127"/>
      <c r="U294" s="127"/>
      <c r="V294" s="127"/>
      <c r="W294" s="46"/>
      <c r="X294" s="67"/>
    </row>
    <row r="295" spans="1:25" ht="15" customHeight="1">
      <c r="A295" s="427"/>
      <c r="B295" s="439" t="s">
        <v>45</v>
      </c>
      <c r="C295" s="440" t="s">
        <v>59</v>
      </c>
      <c r="D295" s="118" t="s">
        <v>75</v>
      </c>
      <c r="E295" s="131" t="s">
        <v>25</v>
      </c>
      <c r="F295" s="131" t="s">
        <v>57</v>
      </c>
      <c r="G295" s="87"/>
      <c r="H295" s="136"/>
      <c r="I295" s="126"/>
      <c r="J295" s="2"/>
      <c r="K295" s="127"/>
      <c r="L295" s="18"/>
      <c r="M295" s="18">
        <v>80900</v>
      </c>
      <c r="N295" s="80">
        <v>16</v>
      </c>
      <c r="O295" s="126">
        <f>Jan!CF280</f>
        <v>2200</v>
      </c>
      <c r="P295" s="126">
        <f>Jan!CG280</f>
        <v>1166</v>
      </c>
      <c r="Q295" s="2">
        <f>Jan!CE280</f>
        <v>5</v>
      </c>
      <c r="R295" s="436"/>
      <c r="S295" s="436"/>
      <c r="T295" s="18"/>
      <c r="U295" s="18"/>
      <c r="V295" s="18">
        <f t="shared" ref="V295:V304" si="3">O295-T295-U295+V276</f>
        <v>5983</v>
      </c>
      <c r="W295" s="46"/>
      <c r="Y295" s="13"/>
    </row>
    <row r="296" spans="1:25">
      <c r="A296" s="427"/>
      <c r="B296" s="439"/>
      <c r="C296" s="440"/>
      <c r="D296" s="118" t="s">
        <v>72</v>
      </c>
      <c r="E296" s="155" t="s">
        <v>24</v>
      </c>
      <c r="F296" s="131" t="s">
        <v>57</v>
      </c>
      <c r="G296" s="136"/>
      <c r="H296" s="136"/>
      <c r="I296" s="126"/>
      <c r="J296" s="126"/>
      <c r="K296" s="127"/>
      <c r="L296" s="18"/>
      <c r="M296" s="18">
        <v>75000</v>
      </c>
      <c r="N296" s="80">
        <v>15</v>
      </c>
      <c r="O296" s="126">
        <f>Jan!CF281</f>
        <v>5847</v>
      </c>
      <c r="P296" s="126">
        <f>Jan!CG281</f>
        <v>3524</v>
      </c>
      <c r="Q296" s="126">
        <f>Jan!CE281</f>
        <v>15</v>
      </c>
      <c r="R296" s="436"/>
      <c r="S296" s="436"/>
      <c r="T296" s="18"/>
      <c r="U296" s="18"/>
      <c r="V296" s="18">
        <f t="shared" si="3"/>
        <v>7545</v>
      </c>
      <c r="W296" s="46"/>
      <c r="Y296" s="13"/>
    </row>
    <row r="297" spans="1:25">
      <c r="A297" s="427"/>
      <c r="B297" s="439"/>
      <c r="C297" s="440"/>
      <c r="D297" s="115" t="s">
        <v>79</v>
      </c>
      <c r="E297" s="118" t="s">
        <v>65</v>
      </c>
      <c r="F297" s="131" t="s">
        <v>57</v>
      </c>
      <c r="G297" s="136">
        <v>2329.5</v>
      </c>
      <c r="H297" s="136"/>
      <c r="I297" s="126"/>
      <c r="J297" s="126"/>
      <c r="K297" s="127"/>
      <c r="L297" s="18"/>
      <c r="M297" s="18">
        <v>30000</v>
      </c>
      <c r="N297" s="80">
        <v>6</v>
      </c>
      <c r="O297" s="126">
        <f>Jan!CF282</f>
        <v>5094</v>
      </c>
      <c r="P297" s="126">
        <f>Jan!CG282</f>
        <v>4444</v>
      </c>
      <c r="Q297" s="126">
        <f>Jan!CE282</f>
        <v>20</v>
      </c>
      <c r="R297" s="436"/>
      <c r="S297" s="436"/>
      <c r="T297" s="18">
        <v>7276</v>
      </c>
      <c r="U297" s="18"/>
      <c r="V297" s="18">
        <f t="shared" si="3"/>
        <v>5096</v>
      </c>
      <c r="W297" s="46"/>
      <c r="Y297" s="13"/>
    </row>
    <row r="298" spans="1:25" ht="14.25" customHeight="1">
      <c r="A298" s="427"/>
      <c r="B298" s="442" t="s">
        <v>53</v>
      </c>
      <c r="C298" s="444" t="s">
        <v>60</v>
      </c>
      <c r="D298" s="43" t="s">
        <v>98</v>
      </c>
      <c r="E298" s="441" t="s">
        <v>66</v>
      </c>
      <c r="F298" s="118" t="s">
        <v>54</v>
      </c>
      <c r="G298" s="136"/>
      <c r="H298" s="136"/>
      <c r="I298" s="126"/>
      <c r="J298" s="126"/>
      <c r="K298" s="127"/>
      <c r="L298" s="18"/>
      <c r="M298" s="18"/>
      <c r="N298" s="80"/>
      <c r="O298" s="126">
        <f>Jan!CF278</f>
        <v>3293</v>
      </c>
      <c r="P298" s="126">
        <f>Jan!CG278</f>
        <v>6937</v>
      </c>
      <c r="Q298" s="126">
        <f>Jan!CE278</f>
        <v>21</v>
      </c>
      <c r="R298" s="436"/>
      <c r="S298" s="436"/>
      <c r="T298" s="18"/>
      <c r="U298" s="18"/>
      <c r="V298" s="18">
        <f t="shared" si="3"/>
        <v>3298</v>
      </c>
      <c r="W298" s="45"/>
      <c r="X298" s="36"/>
    </row>
    <row r="299" spans="1:25" ht="14.25" customHeight="1">
      <c r="A299" s="427"/>
      <c r="B299" s="443"/>
      <c r="C299" s="446"/>
      <c r="D299" s="43" t="s">
        <v>130</v>
      </c>
      <c r="E299" s="425"/>
      <c r="F299" s="118" t="s">
        <v>54</v>
      </c>
      <c r="G299" s="136"/>
      <c r="H299" s="37"/>
      <c r="I299" s="126"/>
      <c r="J299" s="126"/>
      <c r="K299" s="18">
        <v>18000</v>
      </c>
      <c r="L299" s="18">
        <v>3</v>
      </c>
      <c r="M299" s="18">
        <v>69800</v>
      </c>
      <c r="N299" s="80">
        <v>12</v>
      </c>
      <c r="O299" s="126">
        <f>Jan!CF279</f>
        <v>3200</v>
      </c>
      <c r="P299" s="126">
        <f>Jan!CG279</f>
        <v>2565</v>
      </c>
      <c r="Q299" s="126">
        <f>Jan!CE279</f>
        <v>8</v>
      </c>
      <c r="R299" s="436"/>
      <c r="S299" s="436"/>
      <c r="T299" s="18"/>
      <c r="U299" s="18"/>
      <c r="V299" s="18">
        <f t="shared" si="3"/>
        <v>4400</v>
      </c>
      <c r="W299" s="45"/>
      <c r="X299" s="36"/>
    </row>
    <row r="300" spans="1:25" ht="14.25" customHeight="1">
      <c r="A300" s="427"/>
      <c r="B300" s="122" t="s">
        <v>55</v>
      </c>
      <c r="C300" s="180" t="s">
        <v>133</v>
      </c>
      <c r="D300" s="48" t="s">
        <v>56</v>
      </c>
      <c r="E300" s="424" t="s">
        <v>25</v>
      </c>
      <c r="F300" s="118" t="s">
        <v>67</v>
      </c>
      <c r="G300" s="136"/>
      <c r="H300" s="37"/>
      <c r="I300" s="126"/>
      <c r="J300" s="126"/>
      <c r="K300" s="18"/>
      <c r="L300" s="18"/>
      <c r="M300" s="18">
        <v>2800</v>
      </c>
      <c r="N300" s="80">
        <v>1</v>
      </c>
      <c r="O300" s="126"/>
      <c r="P300" s="126"/>
      <c r="Q300" s="126">
        <f>Jan!CE295</f>
        <v>1</v>
      </c>
      <c r="R300" s="436"/>
      <c r="S300" s="436"/>
      <c r="T300" s="18"/>
      <c r="U300" s="18"/>
      <c r="V300" s="18">
        <f t="shared" si="3"/>
        <v>0</v>
      </c>
      <c r="W300" s="45"/>
      <c r="X300" s="67"/>
    </row>
    <row r="301" spans="1:25" ht="14.25" customHeight="1">
      <c r="A301" s="427"/>
      <c r="B301" s="122" t="s">
        <v>122</v>
      </c>
      <c r="C301" s="180" t="s">
        <v>123</v>
      </c>
      <c r="D301" s="48" t="s">
        <v>56</v>
      </c>
      <c r="E301" s="441"/>
      <c r="F301" s="155" t="s">
        <v>64</v>
      </c>
      <c r="G301" s="136"/>
      <c r="H301" s="135"/>
      <c r="I301" s="158"/>
      <c r="J301" s="158"/>
      <c r="K301" s="128"/>
      <c r="L301" s="128"/>
      <c r="M301" s="128"/>
      <c r="N301" s="164"/>
      <c r="O301" s="158"/>
      <c r="P301" s="158"/>
      <c r="Q301" s="158"/>
      <c r="R301" s="436"/>
      <c r="S301" s="436"/>
      <c r="T301" s="18"/>
      <c r="U301" s="18"/>
      <c r="V301" s="18">
        <f t="shared" si="3"/>
        <v>14383</v>
      </c>
      <c r="W301" s="45"/>
      <c r="X301" s="67"/>
    </row>
    <row r="302" spans="1:25" ht="14.25" customHeight="1">
      <c r="A302" s="427"/>
      <c r="B302" s="122" t="s">
        <v>125</v>
      </c>
      <c r="C302" s="180" t="s">
        <v>88</v>
      </c>
      <c r="D302" s="48" t="s">
        <v>124</v>
      </c>
      <c r="E302" s="441"/>
      <c r="F302" s="118" t="s">
        <v>64</v>
      </c>
      <c r="G302" s="37"/>
      <c r="H302" s="37"/>
      <c r="I302" s="126"/>
      <c r="J302" s="126"/>
      <c r="K302" s="18"/>
      <c r="L302" s="18"/>
      <c r="M302" s="18">
        <v>117800</v>
      </c>
      <c r="N302" s="80">
        <v>16</v>
      </c>
      <c r="O302" s="126">
        <f>Jan!CF283</f>
        <v>1892</v>
      </c>
      <c r="P302" s="126">
        <f>Jan!CG283</f>
        <v>2139</v>
      </c>
      <c r="Q302" s="126">
        <f>Jan!CE283</f>
        <v>9</v>
      </c>
      <c r="R302" s="436"/>
      <c r="S302" s="436"/>
      <c r="T302" s="18"/>
      <c r="U302" s="18"/>
      <c r="V302" s="18">
        <f t="shared" si="3"/>
        <v>16886</v>
      </c>
      <c r="W302" s="45"/>
      <c r="X302" s="67"/>
    </row>
    <row r="303" spans="1:25" ht="30.75" customHeight="1">
      <c r="A303" s="427"/>
      <c r="B303" s="122" t="s">
        <v>58</v>
      </c>
      <c r="C303" s="180" t="s">
        <v>136</v>
      </c>
      <c r="D303" s="48" t="s">
        <v>56</v>
      </c>
      <c r="E303" s="441"/>
      <c r="F303" s="118" t="s">
        <v>67</v>
      </c>
      <c r="G303" s="131"/>
      <c r="H303" s="126"/>
      <c r="I303" s="126"/>
      <c r="J303" s="2"/>
      <c r="K303" s="18"/>
      <c r="L303" s="18"/>
      <c r="M303" s="18"/>
      <c r="N303" s="18"/>
      <c r="O303" s="126"/>
      <c r="P303" s="126"/>
      <c r="Q303" s="126"/>
      <c r="R303" s="436"/>
      <c r="S303" s="436"/>
      <c r="T303" s="18"/>
      <c r="U303" s="18"/>
      <c r="V303" s="18">
        <f t="shared" si="3"/>
        <v>43</v>
      </c>
      <c r="W303" s="45"/>
      <c r="X303" s="67"/>
    </row>
    <row r="304" spans="1:25" ht="15" customHeight="1">
      <c r="A304" s="427"/>
      <c r="B304" s="122" t="s">
        <v>47</v>
      </c>
      <c r="C304" s="180" t="s">
        <v>100</v>
      </c>
      <c r="D304" s="48" t="s">
        <v>99</v>
      </c>
      <c r="E304" s="441"/>
      <c r="F304" s="118" t="s">
        <v>71</v>
      </c>
      <c r="G304" s="37">
        <v>1312.8</v>
      </c>
      <c r="H304" s="126"/>
      <c r="I304" s="126"/>
      <c r="J304" s="2"/>
      <c r="K304" s="18"/>
      <c r="L304" s="18"/>
      <c r="M304" s="18">
        <v>36000</v>
      </c>
      <c r="N304" s="18">
        <v>6</v>
      </c>
      <c r="O304" s="126">
        <f>Jan!CF284</f>
        <v>1500</v>
      </c>
      <c r="P304" s="126">
        <f>Jan!CG284</f>
        <v>1126</v>
      </c>
      <c r="Q304" s="126">
        <f>Jan!CE284</f>
        <v>4</v>
      </c>
      <c r="R304" s="436"/>
      <c r="S304" s="436"/>
      <c r="T304" s="18"/>
      <c r="U304" s="18"/>
      <c r="V304" s="18">
        <f t="shared" si="3"/>
        <v>10368</v>
      </c>
      <c r="W304" s="45"/>
      <c r="X304" s="67"/>
    </row>
    <row r="305" spans="1:25" ht="15" customHeight="1">
      <c r="A305" s="427"/>
      <c r="B305" s="122" t="s">
        <v>131</v>
      </c>
      <c r="C305" s="180" t="s">
        <v>194</v>
      </c>
      <c r="D305" s="48" t="s">
        <v>132</v>
      </c>
      <c r="E305" s="441"/>
      <c r="F305" s="118" t="s">
        <v>64</v>
      </c>
      <c r="G305" s="119"/>
      <c r="H305" s="126"/>
      <c r="I305" s="126"/>
      <c r="J305" s="2"/>
      <c r="K305" s="18"/>
      <c r="L305" s="18"/>
      <c r="M305" s="18"/>
      <c r="N305" s="18"/>
      <c r="O305" s="126"/>
      <c r="P305" s="126"/>
      <c r="Q305" s="126">
        <f>Jan!CE289</f>
        <v>1</v>
      </c>
      <c r="R305" s="436"/>
      <c r="S305" s="436"/>
      <c r="T305" s="18"/>
      <c r="U305" s="18"/>
      <c r="V305" s="18"/>
      <c r="W305" s="45"/>
      <c r="X305" s="67"/>
    </row>
    <row r="306" spans="1:25" ht="15" customHeight="1">
      <c r="A306" s="427"/>
      <c r="B306" s="122" t="s">
        <v>101</v>
      </c>
      <c r="C306" s="180" t="s">
        <v>193</v>
      </c>
      <c r="D306" s="48" t="s">
        <v>102</v>
      </c>
      <c r="E306" s="441"/>
      <c r="F306" s="118" t="s">
        <v>64</v>
      </c>
      <c r="G306" s="119"/>
      <c r="H306" s="126"/>
      <c r="I306" s="126"/>
      <c r="J306" s="2"/>
      <c r="K306" s="18"/>
      <c r="L306" s="18"/>
      <c r="M306" s="18"/>
      <c r="N306" s="18"/>
      <c r="O306" s="126"/>
      <c r="P306" s="126"/>
      <c r="Q306" s="126">
        <f>Jan!CE290</f>
        <v>1</v>
      </c>
      <c r="R306" s="436"/>
      <c r="S306" s="436"/>
      <c r="T306" s="18"/>
      <c r="U306" s="18"/>
      <c r="V306" s="18"/>
      <c r="W306" s="45"/>
      <c r="X306" s="67"/>
    </row>
    <row r="307" spans="1:25" ht="15" customHeight="1">
      <c r="A307" s="427"/>
      <c r="B307" s="122" t="s">
        <v>103</v>
      </c>
      <c r="C307" s="157" t="s">
        <v>197</v>
      </c>
      <c r="D307" s="48" t="s">
        <v>104</v>
      </c>
      <c r="E307" s="441"/>
      <c r="F307" s="118" t="s">
        <v>105</v>
      </c>
      <c r="G307" s="119"/>
      <c r="H307" s="126"/>
      <c r="I307" s="126"/>
      <c r="J307" s="2"/>
      <c r="K307" s="18"/>
      <c r="L307" s="18"/>
      <c r="M307" s="18"/>
      <c r="N307" s="18"/>
      <c r="O307" s="126"/>
      <c r="P307" s="126"/>
      <c r="Q307" s="126">
        <f>Jan!CE291</f>
        <v>1</v>
      </c>
      <c r="R307" s="436"/>
      <c r="S307" s="436"/>
      <c r="T307" s="18"/>
      <c r="U307" s="18"/>
      <c r="V307" s="18"/>
      <c r="W307" s="45"/>
      <c r="X307" s="67"/>
    </row>
    <row r="308" spans="1:25" ht="15" customHeight="1">
      <c r="A308" s="427"/>
      <c r="B308" s="137" t="s">
        <v>112</v>
      </c>
      <c r="C308" s="157" t="s">
        <v>197</v>
      </c>
      <c r="D308" s="48" t="s">
        <v>104</v>
      </c>
      <c r="E308" s="441"/>
      <c r="F308" s="118" t="s">
        <v>113</v>
      </c>
      <c r="G308" s="119"/>
      <c r="H308" s="126"/>
      <c r="I308" s="126"/>
      <c r="J308" s="2"/>
      <c r="K308" s="18"/>
      <c r="L308" s="18"/>
      <c r="M308" s="18"/>
      <c r="N308" s="18"/>
      <c r="O308" s="126"/>
      <c r="P308" s="126"/>
      <c r="Q308" s="126">
        <f>Jan!CE294</f>
        <v>1</v>
      </c>
      <c r="R308" s="436"/>
      <c r="S308" s="436"/>
      <c r="T308" s="18"/>
      <c r="U308" s="18"/>
      <c r="V308" s="18"/>
      <c r="W308" s="45"/>
      <c r="X308" s="67"/>
    </row>
    <row r="309" spans="1:25" ht="15" customHeight="1">
      <c r="A309" s="427"/>
      <c r="B309" s="137" t="s">
        <v>106</v>
      </c>
      <c r="C309" s="157" t="s">
        <v>141</v>
      </c>
      <c r="D309" s="48" t="s">
        <v>68</v>
      </c>
      <c r="E309" s="441"/>
      <c r="F309" s="118" t="s">
        <v>67</v>
      </c>
      <c r="G309" s="119"/>
      <c r="H309" s="126"/>
      <c r="I309" s="126"/>
      <c r="J309" s="2"/>
      <c r="K309" s="18"/>
      <c r="L309" s="18"/>
      <c r="M309" s="18"/>
      <c r="N309" s="18"/>
      <c r="O309" s="126"/>
      <c r="P309" s="126"/>
      <c r="Q309" s="126">
        <f>Jan!CE292</f>
        <v>1</v>
      </c>
      <c r="R309" s="436"/>
      <c r="S309" s="436"/>
      <c r="T309" s="18"/>
      <c r="U309" s="18"/>
      <c r="V309" s="18"/>
      <c r="W309" s="45"/>
      <c r="X309" s="67"/>
    </row>
    <row r="310" spans="1:25" ht="15" customHeight="1" thickBot="1">
      <c r="A310" s="428"/>
      <c r="B310" s="44" t="s">
        <v>107</v>
      </c>
      <c r="C310" s="181" t="s">
        <v>195</v>
      </c>
      <c r="D310" s="61" t="s">
        <v>108</v>
      </c>
      <c r="E310" s="447"/>
      <c r="F310" s="133" t="s">
        <v>48</v>
      </c>
      <c r="G310" s="132"/>
      <c r="H310" s="109"/>
      <c r="I310" s="134"/>
      <c r="J310" s="129"/>
      <c r="K310" s="130"/>
      <c r="L310" s="130"/>
      <c r="M310" s="130"/>
      <c r="N310" s="130"/>
      <c r="O310" s="134"/>
      <c r="P310" s="134"/>
      <c r="Q310" s="134">
        <f>Jan!CE293</f>
        <v>1</v>
      </c>
      <c r="R310" s="437"/>
      <c r="S310" s="437"/>
      <c r="T310" s="130"/>
      <c r="U310" s="130"/>
      <c r="V310" s="128"/>
      <c r="W310" s="85"/>
      <c r="X310" s="67"/>
    </row>
    <row r="311" spans="1:25" ht="15" customHeight="1">
      <c r="A311" s="426">
        <v>46042</v>
      </c>
      <c r="B311" s="429" t="s">
        <v>44</v>
      </c>
      <c r="C311" s="432" t="s">
        <v>240</v>
      </c>
      <c r="D311" s="19" t="s">
        <v>37</v>
      </c>
      <c r="E311" s="19" t="s">
        <v>25</v>
      </c>
      <c r="F311" s="39" t="s">
        <v>40</v>
      </c>
      <c r="G311" s="41"/>
      <c r="H311" s="32"/>
      <c r="I311" s="32"/>
      <c r="J311" s="32"/>
      <c r="K311" s="20">
        <v>32000</v>
      </c>
      <c r="L311" s="20">
        <v>4</v>
      </c>
      <c r="M311" s="20">
        <v>224000</v>
      </c>
      <c r="N311" s="84">
        <v>28</v>
      </c>
      <c r="O311" s="32">
        <f>Jan!CI272</f>
        <v>19731</v>
      </c>
      <c r="P311" s="32">
        <f>Jan!CJ272</f>
        <v>23785</v>
      </c>
      <c r="Q311" s="32">
        <f>Jan!CH272</f>
        <v>78</v>
      </c>
      <c r="R311" s="435">
        <f>Jan!CI296</f>
        <v>50434</v>
      </c>
      <c r="S311" s="435">
        <f>Jan!CJ296</f>
        <v>64827</v>
      </c>
      <c r="T311" s="20">
        <v>15613</v>
      </c>
      <c r="U311" s="20"/>
      <c r="V311" s="20">
        <f t="shared" ref="V311:V316" si="4">O311-T311-U311+V292</f>
        <v>17769</v>
      </c>
      <c r="W311" s="77"/>
      <c r="X311" s="36"/>
    </row>
    <row r="312" spans="1:25" ht="15" customHeight="1">
      <c r="A312" s="427"/>
      <c r="B312" s="430"/>
      <c r="C312" s="433"/>
      <c r="D312" s="113" t="s">
        <v>69</v>
      </c>
      <c r="E312" s="438" t="s">
        <v>24</v>
      </c>
      <c r="F312" s="118" t="s">
        <v>40</v>
      </c>
      <c r="G312" s="38"/>
      <c r="H312" s="37"/>
      <c r="I312" s="125"/>
      <c r="J312" s="125"/>
      <c r="K312" s="127"/>
      <c r="L312" s="127"/>
      <c r="M312" s="127"/>
      <c r="N312" s="81"/>
      <c r="O312" s="125">
        <f>Jan!CI274</f>
        <v>9159</v>
      </c>
      <c r="P312" s="125">
        <f>Jan!CJ274</f>
        <v>12091</v>
      </c>
      <c r="Q312" s="125">
        <f>Jan!CH274</f>
        <v>36</v>
      </c>
      <c r="R312" s="436"/>
      <c r="S312" s="436"/>
      <c r="T312" s="127">
        <v>7599</v>
      </c>
      <c r="U312" s="127"/>
      <c r="V312" s="127">
        <f t="shared" si="4"/>
        <v>1560</v>
      </c>
      <c r="W312" s="46"/>
      <c r="X312" s="67"/>
    </row>
    <row r="313" spans="1:25" ht="15" customHeight="1">
      <c r="A313" s="427"/>
      <c r="B313" s="431"/>
      <c r="C313" s="434"/>
      <c r="D313" s="113" t="s">
        <v>128</v>
      </c>
      <c r="E313" s="431"/>
      <c r="F313" s="114" t="s">
        <v>40</v>
      </c>
      <c r="G313" s="135"/>
      <c r="H313" s="135"/>
      <c r="I313" s="125"/>
      <c r="J313" s="125"/>
      <c r="K313" s="18">
        <v>40000</v>
      </c>
      <c r="L313" s="127">
        <v>5</v>
      </c>
      <c r="M313" s="127">
        <v>72000</v>
      </c>
      <c r="N313" s="81">
        <v>9</v>
      </c>
      <c r="O313" s="126"/>
      <c r="P313" s="125">
        <f>Jan!CJ275</f>
        <v>4453</v>
      </c>
      <c r="Q313" s="125">
        <f>Jan!CH275</f>
        <v>13</v>
      </c>
      <c r="R313" s="436"/>
      <c r="S313" s="436"/>
      <c r="T313" s="127"/>
      <c r="U313" s="127"/>
      <c r="V313" s="127">
        <f t="shared" si="4"/>
        <v>0</v>
      </c>
      <c r="W313" s="46"/>
      <c r="X313" s="67"/>
    </row>
    <row r="314" spans="1:25" ht="15" customHeight="1">
      <c r="A314" s="427"/>
      <c r="B314" s="442" t="s">
        <v>45</v>
      </c>
      <c r="C314" s="448" t="s">
        <v>59</v>
      </c>
      <c r="D314" s="118" t="s">
        <v>75</v>
      </c>
      <c r="E314" s="131" t="s">
        <v>25</v>
      </c>
      <c r="F314" s="131" t="s">
        <v>57</v>
      </c>
      <c r="G314" s="87"/>
      <c r="H314" s="136"/>
      <c r="I314" s="126"/>
      <c r="J314" s="2"/>
      <c r="K314" s="127"/>
      <c r="L314" s="18"/>
      <c r="M314" s="18">
        <v>80900</v>
      </c>
      <c r="N314" s="80">
        <v>16</v>
      </c>
      <c r="O314" s="126">
        <f>Jan!CI280</f>
        <v>1256</v>
      </c>
      <c r="P314" s="126">
        <f>Jan!CJ280</f>
        <v>2034</v>
      </c>
      <c r="Q314" s="2">
        <f>Jan!CH280</f>
        <v>9</v>
      </c>
      <c r="R314" s="436"/>
      <c r="S314" s="436"/>
      <c r="T314" s="18"/>
      <c r="U314" s="18"/>
      <c r="V314" s="18">
        <f t="shared" si="4"/>
        <v>7239</v>
      </c>
      <c r="W314" s="46"/>
      <c r="Y314" s="13"/>
    </row>
    <row r="315" spans="1:25">
      <c r="A315" s="427"/>
      <c r="B315" s="439"/>
      <c r="C315" s="440"/>
      <c r="D315" s="118" t="s">
        <v>72</v>
      </c>
      <c r="E315" s="155" t="s">
        <v>24</v>
      </c>
      <c r="F315" s="131" t="s">
        <v>57</v>
      </c>
      <c r="G315" s="136"/>
      <c r="H315" s="136"/>
      <c r="I315" s="126"/>
      <c r="J315" s="126"/>
      <c r="K315" s="127"/>
      <c r="L315" s="18"/>
      <c r="M315" s="18">
        <v>75000</v>
      </c>
      <c r="N315" s="80">
        <v>15</v>
      </c>
      <c r="O315" s="126">
        <f>Jan!CI281</f>
        <v>2200</v>
      </c>
      <c r="P315" s="126">
        <f>Jan!CJ281</f>
        <v>3473</v>
      </c>
      <c r="Q315" s="126">
        <f>Jan!CH281</f>
        <v>16</v>
      </c>
      <c r="R315" s="436"/>
      <c r="S315" s="436"/>
      <c r="T315" s="18">
        <v>7212</v>
      </c>
      <c r="U315" s="18"/>
      <c r="V315" s="18">
        <f t="shared" si="4"/>
        <v>2533</v>
      </c>
      <c r="W315" s="46"/>
      <c r="Y315" s="13"/>
    </row>
    <row r="316" spans="1:25">
      <c r="A316" s="427"/>
      <c r="B316" s="439"/>
      <c r="C316" s="440"/>
      <c r="D316" s="115" t="s">
        <v>79</v>
      </c>
      <c r="E316" s="424" t="s">
        <v>65</v>
      </c>
      <c r="F316" s="131" t="s">
        <v>57</v>
      </c>
      <c r="G316" s="136"/>
      <c r="H316" s="136"/>
      <c r="I316" s="126"/>
      <c r="J316" s="126"/>
      <c r="K316" s="127">
        <v>5000</v>
      </c>
      <c r="L316" s="18">
        <v>1</v>
      </c>
      <c r="M316" s="18">
        <v>25000</v>
      </c>
      <c r="N316" s="80">
        <v>5</v>
      </c>
      <c r="O316" s="126">
        <f>Jan!CI282</f>
        <v>5600</v>
      </c>
      <c r="P316" s="126">
        <f>Jan!CJ282</f>
        <v>4646</v>
      </c>
      <c r="Q316" s="126">
        <f>Jan!CH282</f>
        <v>20</v>
      </c>
      <c r="R316" s="436"/>
      <c r="S316" s="436"/>
      <c r="T316" s="18">
        <v>5094</v>
      </c>
      <c r="U316" s="18"/>
      <c r="V316" s="18">
        <f t="shared" si="4"/>
        <v>5602</v>
      </c>
      <c r="W316" s="46"/>
      <c r="Y316" s="13"/>
    </row>
    <row r="317" spans="1:25">
      <c r="A317" s="427"/>
      <c r="B317" s="443"/>
      <c r="C317" s="449"/>
      <c r="D317" s="115" t="s">
        <v>80</v>
      </c>
      <c r="E317" s="425"/>
      <c r="F317" s="131"/>
      <c r="G317" s="136"/>
      <c r="H317" s="136">
        <v>982.9</v>
      </c>
      <c r="I317" s="126"/>
      <c r="J317" s="126"/>
      <c r="K317" s="127"/>
      <c r="L317" s="18"/>
      <c r="M317" s="18"/>
      <c r="N317" s="80"/>
      <c r="O317" s="126"/>
      <c r="P317" s="126"/>
      <c r="Q317" s="126"/>
      <c r="R317" s="436"/>
      <c r="S317" s="436"/>
      <c r="T317" s="18"/>
      <c r="U317" s="18"/>
      <c r="V317" s="18"/>
      <c r="W317" s="46"/>
      <c r="Y317" s="13"/>
    </row>
    <row r="318" spans="1:25" ht="14.25" customHeight="1">
      <c r="A318" s="427"/>
      <c r="B318" s="442" t="s">
        <v>53</v>
      </c>
      <c r="C318" s="444" t="s">
        <v>60</v>
      </c>
      <c r="D318" s="43" t="s">
        <v>98</v>
      </c>
      <c r="E318" s="441" t="s">
        <v>66</v>
      </c>
      <c r="F318" s="118" t="s">
        <v>54</v>
      </c>
      <c r="G318" s="136"/>
      <c r="H318" s="136"/>
      <c r="I318" s="126"/>
      <c r="J318" s="126"/>
      <c r="K318" s="127"/>
      <c r="L318" s="18"/>
      <c r="M318" s="18"/>
      <c r="N318" s="80"/>
      <c r="O318" s="126">
        <f>Jan!CI278</f>
        <v>7852</v>
      </c>
      <c r="P318" s="126">
        <f>Jan!CJ278</f>
        <v>6121</v>
      </c>
      <c r="Q318" s="126">
        <f>Jan!CH278</f>
        <v>18</v>
      </c>
      <c r="R318" s="436"/>
      <c r="S318" s="436"/>
      <c r="T318" s="18">
        <v>5442</v>
      </c>
      <c r="U318" s="18"/>
      <c r="V318" s="18">
        <f t="shared" ref="V318:V324" si="5">O318-T318-U318+V298</f>
        <v>5708</v>
      </c>
      <c r="W318" s="45"/>
      <c r="X318" s="36"/>
    </row>
    <row r="319" spans="1:25" ht="14.25" customHeight="1">
      <c r="A319" s="427"/>
      <c r="B319" s="443"/>
      <c r="C319" s="446"/>
      <c r="D319" s="43" t="s">
        <v>130</v>
      </c>
      <c r="E319" s="425"/>
      <c r="F319" s="118" t="s">
        <v>54</v>
      </c>
      <c r="G319" s="136"/>
      <c r="H319" s="37"/>
      <c r="I319" s="126"/>
      <c r="J319" s="126"/>
      <c r="K319" s="18">
        <v>22900</v>
      </c>
      <c r="L319" s="18">
        <v>4</v>
      </c>
      <c r="M319" s="18">
        <v>46900</v>
      </c>
      <c r="N319" s="80">
        <v>8</v>
      </c>
      <c r="O319" s="126"/>
      <c r="P319" s="126">
        <f>Jan!CJ279</f>
        <v>3949</v>
      </c>
      <c r="Q319" s="126">
        <f>Jan!CH279</f>
        <v>12</v>
      </c>
      <c r="R319" s="436"/>
      <c r="S319" s="436"/>
      <c r="T319" s="18">
        <v>4390</v>
      </c>
      <c r="U319" s="18">
        <v>10</v>
      </c>
      <c r="V319" s="18">
        <f t="shared" si="5"/>
        <v>0</v>
      </c>
      <c r="W319" s="45"/>
      <c r="X319" s="36"/>
    </row>
    <row r="320" spans="1:25" ht="14.25" customHeight="1">
      <c r="A320" s="427"/>
      <c r="B320" s="122" t="s">
        <v>55</v>
      </c>
      <c r="C320" s="180" t="s">
        <v>133</v>
      </c>
      <c r="D320" s="48" t="s">
        <v>56</v>
      </c>
      <c r="E320" s="424" t="s">
        <v>25</v>
      </c>
      <c r="F320" s="118" t="s">
        <v>67</v>
      </c>
      <c r="G320" s="136"/>
      <c r="H320" s="37"/>
      <c r="I320" s="126"/>
      <c r="J320" s="126"/>
      <c r="K320" s="18"/>
      <c r="L320" s="18"/>
      <c r="M320" s="18">
        <v>2800</v>
      </c>
      <c r="N320" s="80">
        <v>1</v>
      </c>
      <c r="O320" s="126"/>
      <c r="P320" s="126"/>
      <c r="Q320" s="126">
        <f>Jan!CH295</f>
        <v>1</v>
      </c>
      <c r="R320" s="436"/>
      <c r="S320" s="436"/>
      <c r="T320" s="18"/>
      <c r="U320" s="18"/>
      <c r="V320" s="18">
        <f t="shared" si="5"/>
        <v>0</v>
      </c>
      <c r="W320" s="45"/>
      <c r="X320" s="67"/>
    </row>
    <row r="321" spans="1:25" ht="14.25" customHeight="1">
      <c r="A321" s="427"/>
      <c r="B321" s="122" t="s">
        <v>122</v>
      </c>
      <c r="C321" s="180" t="s">
        <v>123</v>
      </c>
      <c r="D321" s="48" t="s">
        <v>56</v>
      </c>
      <c r="E321" s="441"/>
      <c r="F321" s="155" t="s">
        <v>64</v>
      </c>
      <c r="G321" s="152">
        <v>928</v>
      </c>
      <c r="H321" s="135"/>
      <c r="I321" s="158"/>
      <c r="J321" s="158"/>
      <c r="K321" s="128"/>
      <c r="L321" s="128"/>
      <c r="M321" s="128">
        <v>8000</v>
      </c>
      <c r="N321" s="164">
        <v>3</v>
      </c>
      <c r="O321" s="158"/>
      <c r="P321" s="158"/>
      <c r="Q321" s="158"/>
      <c r="R321" s="436"/>
      <c r="S321" s="436"/>
      <c r="T321" s="18"/>
      <c r="U321" s="18"/>
      <c r="V321" s="18">
        <f t="shared" si="5"/>
        <v>14383</v>
      </c>
      <c r="W321" s="45"/>
      <c r="X321" s="67"/>
    </row>
    <row r="322" spans="1:25" ht="14.25" customHeight="1">
      <c r="A322" s="427"/>
      <c r="B322" s="122" t="s">
        <v>125</v>
      </c>
      <c r="C322" s="180" t="s">
        <v>88</v>
      </c>
      <c r="D322" s="48" t="s">
        <v>124</v>
      </c>
      <c r="E322" s="441"/>
      <c r="F322" s="118" t="s">
        <v>64</v>
      </c>
      <c r="G322" s="37"/>
      <c r="H322" s="126">
        <v>576</v>
      </c>
      <c r="I322" s="126"/>
      <c r="J322" s="126"/>
      <c r="K322" s="18">
        <v>22200</v>
      </c>
      <c r="L322" s="18">
        <v>3</v>
      </c>
      <c r="M322" s="18">
        <v>95600</v>
      </c>
      <c r="N322" s="80">
        <v>13</v>
      </c>
      <c r="O322" s="126">
        <f>Jan!CI283</f>
        <v>2000</v>
      </c>
      <c r="P322" s="126">
        <f>Jan!CJ283</f>
        <v>2634</v>
      </c>
      <c r="Q322" s="126">
        <f>Jan!CH283</f>
        <v>12</v>
      </c>
      <c r="R322" s="436"/>
      <c r="S322" s="436"/>
      <c r="T322" s="18"/>
      <c r="U322" s="18"/>
      <c r="V322" s="18">
        <f t="shared" si="5"/>
        <v>18886</v>
      </c>
      <c r="W322" s="45"/>
      <c r="X322" s="67"/>
    </row>
    <row r="323" spans="1:25" ht="30.75" customHeight="1">
      <c r="A323" s="427"/>
      <c r="B323" s="122" t="s">
        <v>58</v>
      </c>
      <c r="C323" s="180" t="s">
        <v>136</v>
      </c>
      <c r="D323" s="48" t="s">
        <v>56</v>
      </c>
      <c r="E323" s="441"/>
      <c r="F323" s="118" t="s">
        <v>67</v>
      </c>
      <c r="G323" s="119"/>
      <c r="H323" s="126"/>
      <c r="I323" s="126"/>
      <c r="J323" s="2"/>
      <c r="K323" s="18"/>
      <c r="L323" s="18"/>
      <c r="M323" s="18"/>
      <c r="N323" s="18"/>
      <c r="O323" s="126"/>
      <c r="P323" s="126"/>
      <c r="Q323" s="126"/>
      <c r="R323" s="436"/>
      <c r="S323" s="436"/>
      <c r="T323" s="18"/>
      <c r="U323" s="18"/>
      <c r="V323" s="18">
        <f t="shared" si="5"/>
        <v>43</v>
      </c>
      <c r="W323" s="45"/>
      <c r="X323" s="67"/>
    </row>
    <row r="324" spans="1:25" ht="15" customHeight="1">
      <c r="A324" s="427"/>
      <c r="B324" s="442" t="s">
        <v>47</v>
      </c>
      <c r="C324" s="444" t="s">
        <v>100</v>
      </c>
      <c r="D324" s="48" t="s">
        <v>99</v>
      </c>
      <c r="E324" s="441"/>
      <c r="F324" s="118" t="s">
        <v>71</v>
      </c>
      <c r="G324" s="119"/>
      <c r="H324" s="126"/>
      <c r="I324" s="126"/>
      <c r="J324" s="2"/>
      <c r="K324" s="18">
        <v>12000</v>
      </c>
      <c r="L324" s="18">
        <v>2</v>
      </c>
      <c r="M324" s="18">
        <v>24000</v>
      </c>
      <c r="N324" s="18">
        <v>4</v>
      </c>
      <c r="O324" s="126">
        <f>Jan!CI284</f>
        <v>2636</v>
      </c>
      <c r="P324" s="126">
        <f>Jan!CJ284</f>
        <v>1641</v>
      </c>
      <c r="Q324" s="126">
        <f>Jan!CH284</f>
        <v>6</v>
      </c>
      <c r="R324" s="436"/>
      <c r="S324" s="436"/>
      <c r="T324" s="18"/>
      <c r="U324" s="18"/>
      <c r="V324" s="18">
        <f t="shared" si="5"/>
        <v>13004</v>
      </c>
      <c r="W324" s="45"/>
      <c r="X324" s="67"/>
    </row>
    <row r="325" spans="1:25" ht="15" customHeight="1">
      <c r="A325" s="427"/>
      <c r="B325" s="443"/>
      <c r="C325" s="446"/>
      <c r="D325" s="48" t="s">
        <v>121</v>
      </c>
      <c r="E325" s="441"/>
      <c r="F325" s="118"/>
      <c r="G325" s="119"/>
      <c r="H325" s="126">
        <v>612</v>
      </c>
      <c r="I325" s="126"/>
      <c r="J325" s="2"/>
      <c r="K325" s="18"/>
      <c r="L325" s="18"/>
      <c r="M325" s="18"/>
      <c r="N325" s="18"/>
      <c r="O325" s="126"/>
      <c r="P325" s="126"/>
      <c r="Q325" s="126"/>
      <c r="R325" s="436"/>
      <c r="S325" s="436"/>
      <c r="T325" s="18"/>
      <c r="U325" s="18"/>
      <c r="V325" s="18"/>
      <c r="W325" s="45"/>
      <c r="X325" s="67"/>
    </row>
    <row r="326" spans="1:25" ht="15" customHeight="1">
      <c r="A326" s="427"/>
      <c r="B326" s="122" t="s">
        <v>131</v>
      </c>
      <c r="C326" s="180" t="s">
        <v>194</v>
      </c>
      <c r="D326" s="48" t="s">
        <v>132</v>
      </c>
      <c r="E326" s="441"/>
      <c r="F326" s="118" t="s">
        <v>64</v>
      </c>
      <c r="G326" s="119"/>
      <c r="H326" s="126"/>
      <c r="I326" s="126"/>
      <c r="J326" s="2"/>
      <c r="K326" s="18"/>
      <c r="L326" s="18"/>
      <c r="M326" s="18"/>
      <c r="N326" s="18"/>
      <c r="O326" s="126"/>
      <c r="P326" s="126"/>
      <c r="Q326" s="126">
        <f>Jan!CH289</f>
        <v>1</v>
      </c>
      <c r="R326" s="436"/>
      <c r="S326" s="436"/>
      <c r="T326" s="18"/>
      <c r="U326" s="18"/>
      <c r="V326" s="18"/>
      <c r="W326" s="45"/>
      <c r="X326" s="67"/>
    </row>
    <row r="327" spans="1:25" ht="15" customHeight="1">
      <c r="A327" s="427"/>
      <c r="B327" s="122" t="s">
        <v>101</v>
      </c>
      <c r="C327" s="180" t="s">
        <v>193</v>
      </c>
      <c r="D327" s="48" t="s">
        <v>102</v>
      </c>
      <c r="E327" s="441"/>
      <c r="F327" s="118" t="s">
        <v>64</v>
      </c>
      <c r="G327" s="119"/>
      <c r="H327" s="126"/>
      <c r="I327" s="126"/>
      <c r="J327" s="2"/>
      <c r="K327" s="18"/>
      <c r="L327" s="18"/>
      <c r="M327" s="18"/>
      <c r="N327" s="18"/>
      <c r="O327" s="126"/>
      <c r="P327" s="126"/>
      <c r="Q327" s="126">
        <f>Jan!CH290</f>
        <v>1</v>
      </c>
      <c r="R327" s="436"/>
      <c r="S327" s="436"/>
      <c r="T327" s="18"/>
      <c r="U327" s="18"/>
      <c r="V327" s="18"/>
      <c r="W327" s="45"/>
      <c r="X327" s="67"/>
    </row>
    <row r="328" spans="1:25" ht="15" customHeight="1">
      <c r="A328" s="427"/>
      <c r="B328" s="122" t="s">
        <v>103</v>
      </c>
      <c r="C328" s="157" t="s">
        <v>197</v>
      </c>
      <c r="D328" s="48" t="s">
        <v>104</v>
      </c>
      <c r="E328" s="441"/>
      <c r="F328" s="118" t="s">
        <v>105</v>
      </c>
      <c r="G328" s="119"/>
      <c r="H328" s="126"/>
      <c r="I328" s="126"/>
      <c r="J328" s="2"/>
      <c r="K328" s="18"/>
      <c r="L328" s="18"/>
      <c r="M328" s="18"/>
      <c r="N328" s="18"/>
      <c r="O328" s="126"/>
      <c r="P328" s="126"/>
      <c r="Q328" s="126">
        <f>Jan!CH291</f>
        <v>1</v>
      </c>
      <c r="R328" s="436"/>
      <c r="S328" s="436"/>
      <c r="T328" s="18"/>
      <c r="U328" s="18"/>
      <c r="V328" s="18"/>
      <c r="W328" s="45"/>
      <c r="X328" s="67"/>
    </row>
    <row r="329" spans="1:25" ht="15" customHeight="1">
      <c r="A329" s="427"/>
      <c r="B329" s="137" t="s">
        <v>112</v>
      </c>
      <c r="C329" s="157" t="s">
        <v>197</v>
      </c>
      <c r="D329" s="48" t="s">
        <v>104</v>
      </c>
      <c r="E329" s="441"/>
      <c r="F329" s="118" t="s">
        <v>113</v>
      </c>
      <c r="G329" s="119"/>
      <c r="H329" s="126"/>
      <c r="I329" s="126"/>
      <c r="J329" s="2"/>
      <c r="K329" s="18"/>
      <c r="L329" s="18"/>
      <c r="M329" s="18"/>
      <c r="N329" s="18"/>
      <c r="O329" s="126"/>
      <c r="P329" s="126"/>
      <c r="Q329" s="126">
        <f>Jan!CH294</f>
        <v>1</v>
      </c>
      <c r="R329" s="436"/>
      <c r="S329" s="436"/>
      <c r="T329" s="18"/>
      <c r="U329" s="18"/>
      <c r="V329" s="18"/>
      <c r="W329" s="45"/>
      <c r="X329" s="67"/>
    </row>
    <row r="330" spans="1:25" ht="15" customHeight="1">
      <c r="A330" s="427"/>
      <c r="B330" s="137" t="s">
        <v>106</v>
      </c>
      <c r="C330" s="157" t="s">
        <v>141</v>
      </c>
      <c r="D330" s="48" t="s">
        <v>68</v>
      </c>
      <c r="E330" s="441"/>
      <c r="F330" s="118" t="s">
        <v>67</v>
      </c>
      <c r="G330" s="119"/>
      <c r="H330" s="126"/>
      <c r="I330" s="126"/>
      <c r="J330" s="2"/>
      <c r="K330" s="18"/>
      <c r="L330" s="18"/>
      <c r="M330" s="18"/>
      <c r="N330" s="18"/>
      <c r="O330" s="126"/>
      <c r="P330" s="126"/>
      <c r="Q330" s="126">
        <f>Jan!CH292</f>
        <v>1</v>
      </c>
      <c r="R330" s="436"/>
      <c r="S330" s="436"/>
      <c r="T330" s="18"/>
      <c r="U330" s="18"/>
      <c r="V330" s="18"/>
      <c r="W330" s="45"/>
      <c r="X330" s="67"/>
    </row>
    <row r="331" spans="1:25" ht="15" customHeight="1" thickBot="1">
      <c r="A331" s="428"/>
      <c r="B331" s="44" t="s">
        <v>107</v>
      </c>
      <c r="C331" s="181" t="s">
        <v>195</v>
      </c>
      <c r="D331" s="61" t="s">
        <v>108</v>
      </c>
      <c r="E331" s="447"/>
      <c r="F331" s="133" t="s">
        <v>48</v>
      </c>
      <c r="G331" s="132"/>
      <c r="H331" s="109"/>
      <c r="I331" s="134"/>
      <c r="J331" s="129"/>
      <c r="K331" s="130"/>
      <c r="L331" s="130"/>
      <c r="M331" s="130"/>
      <c r="N331" s="130"/>
      <c r="O331" s="134"/>
      <c r="P331" s="134"/>
      <c r="Q331" s="134">
        <f>Jan!CH293</f>
        <v>1</v>
      </c>
      <c r="R331" s="437"/>
      <c r="S331" s="437"/>
      <c r="T331" s="130"/>
      <c r="U331" s="130"/>
      <c r="V331" s="128"/>
      <c r="W331" s="85"/>
      <c r="X331" s="67"/>
    </row>
    <row r="332" spans="1:25" ht="15" customHeight="1">
      <c r="A332" s="426">
        <v>46043</v>
      </c>
      <c r="B332" s="429" t="s">
        <v>44</v>
      </c>
      <c r="C332" s="432" t="s">
        <v>240</v>
      </c>
      <c r="D332" s="19" t="s">
        <v>37</v>
      </c>
      <c r="E332" s="19" t="s">
        <v>25</v>
      </c>
      <c r="F332" s="39" t="s">
        <v>40</v>
      </c>
      <c r="G332" s="41"/>
      <c r="H332" s="32"/>
      <c r="I332" s="32"/>
      <c r="J332" s="32"/>
      <c r="K332" s="20">
        <v>48000</v>
      </c>
      <c r="L332" s="20">
        <v>6</v>
      </c>
      <c r="M332" s="20">
        <v>176000</v>
      </c>
      <c r="N332" s="84">
        <v>22</v>
      </c>
      <c r="O332" s="32">
        <f>Jan!CL272</f>
        <v>21003</v>
      </c>
      <c r="P332" s="32">
        <f>Jan!CM272</f>
        <v>23910</v>
      </c>
      <c r="Q332" s="32">
        <f>Jan!CK272</f>
        <v>73</v>
      </c>
      <c r="R332" s="435">
        <f>Jan!CL296</f>
        <v>61451</v>
      </c>
      <c r="S332" s="435">
        <f>Jan!CM296</f>
        <v>65399</v>
      </c>
      <c r="T332" s="20">
        <v>27247</v>
      </c>
      <c r="U332" s="20">
        <v>38</v>
      </c>
      <c r="V332" s="20">
        <f>O332-T332-U332+V311</f>
        <v>11487</v>
      </c>
      <c r="W332" s="77"/>
      <c r="X332" s="36"/>
    </row>
    <row r="333" spans="1:25" ht="15" customHeight="1">
      <c r="A333" s="427"/>
      <c r="B333" s="430"/>
      <c r="C333" s="433"/>
      <c r="D333" s="113" t="s">
        <v>69</v>
      </c>
      <c r="E333" s="438" t="s">
        <v>24</v>
      </c>
      <c r="F333" s="118" t="s">
        <v>40</v>
      </c>
      <c r="G333" s="38"/>
      <c r="H333" s="37"/>
      <c r="I333" s="125"/>
      <c r="J333" s="125"/>
      <c r="K333" s="127"/>
      <c r="L333" s="127"/>
      <c r="M333" s="127"/>
      <c r="N333" s="81"/>
      <c r="O333" s="125">
        <f>Jan!CL274</f>
        <v>18104</v>
      </c>
      <c r="P333" s="125">
        <f>Jan!CM274</f>
        <v>11310</v>
      </c>
      <c r="Q333" s="125">
        <f>Jan!CK274</f>
        <v>32</v>
      </c>
      <c r="R333" s="436"/>
      <c r="S333" s="436"/>
      <c r="T333" s="127">
        <v>16131</v>
      </c>
      <c r="U333" s="127"/>
      <c r="V333" s="127">
        <f>O333-T333-U333+V312</f>
        <v>3533</v>
      </c>
      <c r="W333" s="46"/>
      <c r="X333" s="67"/>
    </row>
    <row r="334" spans="1:25" ht="15" customHeight="1">
      <c r="A334" s="427"/>
      <c r="B334" s="431"/>
      <c r="C334" s="434"/>
      <c r="D334" s="113" t="s">
        <v>128</v>
      </c>
      <c r="E334" s="431"/>
      <c r="F334" s="114" t="s">
        <v>40</v>
      </c>
      <c r="G334" s="135"/>
      <c r="H334" s="135"/>
      <c r="I334" s="125"/>
      <c r="J334" s="125"/>
      <c r="K334" s="18">
        <v>32000</v>
      </c>
      <c r="L334" s="127">
        <v>4</v>
      </c>
      <c r="M334" s="127">
        <v>40000</v>
      </c>
      <c r="N334" s="81">
        <v>5</v>
      </c>
      <c r="O334" s="126">
        <f>Jan!CL275</f>
        <v>1371</v>
      </c>
      <c r="P334" s="125">
        <f>Jan!CM275</f>
        <v>5814</v>
      </c>
      <c r="Q334" s="125">
        <f>Jan!CK275</f>
        <v>17</v>
      </c>
      <c r="R334" s="436"/>
      <c r="S334" s="436"/>
      <c r="T334" s="127"/>
      <c r="U334" s="127"/>
      <c r="V334" s="127">
        <f>O334-T334-U334+V313</f>
        <v>1371</v>
      </c>
      <c r="W334" s="46"/>
      <c r="X334" s="67"/>
    </row>
    <row r="335" spans="1:25" ht="15" customHeight="1">
      <c r="A335" s="427"/>
      <c r="B335" s="439" t="s">
        <v>45</v>
      </c>
      <c r="C335" s="440" t="s">
        <v>59</v>
      </c>
      <c r="D335" s="118" t="s">
        <v>75</v>
      </c>
      <c r="E335" s="131" t="s">
        <v>25</v>
      </c>
      <c r="F335" s="131" t="s">
        <v>57</v>
      </c>
      <c r="G335" s="87"/>
      <c r="H335" s="136"/>
      <c r="I335" s="126"/>
      <c r="J335" s="2"/>
      <c r="K335" s="127"/>
      <c r="L335" s="18"/>
      <c r="M335" s="18">
        <v>80900</v>
      </c>
      <c r="N335" s="80">
        <v>16</v>
      </c>
      <c r="O335" s="126">
        <f>Jan!CL280</f>
        <v>0</v>
      </c>
      <c r="P335" s="126">
        <f>Jan!CM280</f>
        <v>2305</v>
      </c>
      <c r="Q335" s="2">
        <f>Jan!CK280</f>
        <v>10</v>
      </c>
      <c r="R335" s="436"/>
      <c r="S335" s="436"/>
      <c r="T335" s="18"/>
      <c r="U335" s="18"/>
      <c r="V335" s="18">
        <f>O335-T335-U335+V314</f>
        <v>7239</v>
      </c>
      <c r="W335" s="46"/>
      <c r="Y335" s="13"/>
    </row>
    <row r="336" spans="1:25">
      <c r="A336" s="427"/>
      <c r="B336" s="439"/>
      <c r="C336" s="440"/>
      <c r="D336" s="118" t="s">
        <v>72</v>
      </c>
      <c r="E336" s="424" t="s">
        <v>24</v>
      </c>
      <c r="F336" s="131" t="s">
        <v>57</v>
      </c>
      <c r="G336" s="136"/>
      <c r="H336" s="136"/>
      <c r="I336" s="126"/>
      <c r="J336" s="126"/>
      <c r="K336" s="127"/>
      <c r="L336" s="18"/>
      <c r="M336" s="18">
        <v>75000</v>
      </c>
      <c r="N336" s="80">
        <v>15</v>
      </c>
      <c r="O336" s="126">
        <f>Jan!CL281</f>
        <v>5023</v>
      </c>
      <c r="P336" s="126">
        <f>Jan!CM281</f>
        <v>3362</v>
      </c>
      <c r="Q336" s="126">
        <f>Jan!CK281</f>
        <v>15</v>
      </c>
      <c r="R336" s="436"/>
      <c r="S336" s="436"/>
      <c r="T336" s="18"/>
      <c r="U336" s="18"/>
      <c r="V336" s="18">
        <f>O336-T336-U336+V315</f>
        <v>7556</v>
      </c>
      <c r="W336" s="46"/>
      <c r="Y336" s="13"/>
    </row>
    <row r="337" spans="1:25">
      <c r="A337" s="427"/>
      <c r="B337" s="439"/>
      <c r="C337" s="440"/>
      <c r="D337" s="115" t="s">
        <v>73</v>
      </c>
      <c r="E337" s="425"/>
      <c r="F337" s="131"/>
      <c r="G337" s="136"/>
      <c r="H337" s="152">
        <v>1320</v>
      </c>
      <c r="I337" s="126"/>
      <c r="J337" s="126"/>
      <c r="K337" s="127"/>
      <c r="L337" s="18"/>
      <c r="M337" s="18"/>
      <c r="N337" s="80"/>
      <c r="O337" s="126"/>
      <c r="P337" s="126"/>
      <c r="Q337" s="126"/>
      <c r="R337" s="436"/>
      <c r="S337" s="436"/>
      <c r="T337" s="18"/>
      <c r="U337" s="18"/>
      <c r="V337" s="18"/>
      <c r="W337" s="46"/>
      <c r="Y337" s="13"/>
    </row>
    <row r="338" spans="1:25">
      <c r="A338" s="427"/>
      <c r="B338" s="439"/>
      <c r="C338" s="440"/>
      <c r="D338" s="115" t="s">
        <v>79</v>
      </c>
      <c r="E338" s="118" t="s">
        <v>65</v>
      </c>
      <c r="F338" s="131" t="s">
        <v>57</v>
      </c>
      <c r="G338" s="136"/>
      <c r="H338" s="136"/>
      <c r="I338" s="126"/>
      <c r="J338" s="126"/>
      <c r="K338" s="127">
        <v>25000</v>
      </c>
      <c r="L338" s="18">
        <v>5</v>
      </c>
      <c r="M338" s="18"/>
      <c r="N338" s="80"/>
      <c r="O338" s="126">
        <f>Jan!CL282</f>
        <v>4208</v>
      </c>
      <c r="P338" s="126">
        <f>Jan!CM282</f>
        <v>4624</v>
      </c>
      <c r="Q338" s="126">
        <f>Jan!CK282</f>
        <v>20</v>
      </c>
      <c r="R338" s="436"/>
      <c r="S338" s="436"/>
      <c r="T338" s="18"/>
      <c r="U338" s="18"/>
      <c r="V338" s="18">
        <f>O338-T338-U338+V316</f>
        <v>9810</v>
      </c>
      <c r="W338" s="46"/>
      <c r="Y338" s="13"/>
    </row>
    <row r="339" spans="1:25" ht="14.25" customHeight="1">
      <c r="A339" s="427"/>
      <c r="B339" s="442" t="s">
        <v>53</v>
      </c>
      <c r="C339" s="444" t="s">
        <v>60</v>
      </c>
      <c r="D339" s="43" t="s">
        <v>98</v>
      </c>
      <c r="E339" s="441" t="s">
        <v>66</v>
      </c>
      <c r="F339" s="118" t="s">
        <v>54</v>
      </c>
      <c r="G339" s="136"/>
      <c r="H339" s="136"/>
      <c r="I339" s="126"/>
      <c r="J339" s="126"/>
      <c r="K339" s="127"/>
      <c r="L339" s="18"/>
      <c r="M339" s="18"/>
      <c r="N339" s="80"/>
      <c r="O339" s="126">
        <f>Jan!CL278</f>
        <v>9333</v>
      </c>
      <c r="P339" s="126">
        <f>Jan!CM278</f>
        <v>4834</v>
      </c>
      <c r="Q339" s="126">
        <f>Jan!CK278</f>
        <v>15</v>
      </c>
      <c r="R339" s="436"/>
      <c r="S339" s="436"/>
      <c r="T339" s="18">
        <v>13585</v>
      </c>
      <c r="U339" s="18"/>
      <c r="V339" s="18">
        <f>O339-T339-U339+V318</f>
        <v>1456</v>
      </c>
      <c r="W339" s="45"/>
      <c r="X339" s="36"/>
    </row>
    <row r="340" spans="1:25" ht="14.25" customHeight="1">
      <c r="A340" s="427"/>
      <c r="B340" s="443"/>
      <c r="C340" s="446"/>
      <c r="D340" s="43" t="s">
        <v>130</v>
      </c>
      <c r="E340" s="425"/>
      <c r="F340" s="118" t="s">
        <v>54</v>
      </c>
      <c r="G340" s="136"/>
      <c r="H340" s="37"/>
      <c r="I340" s="126"/>
      <c r="J340" s="126"/>
      <c r="K340" s="18">
        <v>12000</v>
      </c>
      <c r="L340" s="18">
        <v>2</v>
      </c>
      <c r="M340" s="18">
        <v>34900</v>
      </c>
      <c r="N340" s="80">
        <v>6</v>
      </c>
      <c r="O340" s="126">
        <f>Jan!CL279</f>
        <v>2409</v>
      </c>
      <c r="P340" s="126">
        <f>Jan!CM279</f>
        <v>4514</v>
      </c>
      <c r="Q340" s="126">
        <f>Jan!CK279</f>
        <v>14</v>
      </c>
      <c r="R340" s="436"/>
      <c r="S340" s="436"/>
      <c r="T340" s="18"/>
      <c r="U340" s="18"/>
      <c r="V340" s="18">
        <f>O340-T340-U340+V319</f>
        <v>2409</v>
      </c>
      <c r="W340" s="45"/>
      <c r="X340" s="36"/>
    </row>
    <row r="341" spans="1:25" ht="14.25" customHeight="1">
      <c r="A341" s="427"/>
      <c r="B341" s="122" t="s">
        <v>55</v>
      </c>
      <c r="C341" s="180" t="s">
        <v>133</v>
      </c>
      <c r="D341" s="48" t="s">
        <v>56</v>
      </c>
      <c r="E341" s="424" t="s">
        <v>25</v>
      </c>
      <c r="F341" s="118" t="s">
        <v>67</v>
      </c>
      <c r="G341" s="136"/>
      <c r="H341" s="37"/>
      <c r="I341" s="126"/>
      <c r="J341" s="126"/>
      <c r="K341" s="18"/>
      <c r="L341" s="18"/>
      <c r="M341" s="18">
        <v>2800</v>
      </c>
      <c r="N341" s="80">
        <v>1</v>
      </c>
      <c r="O341" s="126"/>
      <c r="P341" s="126"/>
      <c r="Q341" s="126">
        <f>Jan!CK295</f>
        <v>1</v>
      </c>
      <c r="R341" s="436"/>
      <c r="S341" s="436"/>
      <c r="T341" s="18"/>
      <c r="U341" s="18"/>
      <c r="V341" s="18">
        <f>O341-T341-U341+V320</f>
        <v>0</v>
      </c>
      <c r="W341" s="45"/>
      <c r="X341" s="67"/>
    </row>
    <row r="342" spans="1:25" ht="14.25" customHeight="1">
      <c r="A342" s="427"/>
      <c r="B342" s="122" t="s">
        <v>122</v>
      </c>
      <c r="C342" s="180" t="s">
        <v>123</v>
      </c>
      <c r="D342" s="48" t="s">
        <v>56</v>
      </c>
      <c r="E342" s="441"/>
      <c r="F342" s="155" t="s">
        <v>64</v>
      </c>
      <c r="G342" s="136"/>
      <c r="H342" s="135"/>
      <c r="I342" s="158"/>
      <c r="J342" s="158"/>
      <c r="K342" s="128">
        <v>5000</v>
      </c>
      <c r="L342" s="128">
        <v>2</v>
      </c>
      <c r="M342" s="128">
        <v>3000</v>
      </c>
      <c r="N342" s="164">
        <v>1</v>
      </c>
      <c r="O342" s="158"/>
      <c r="P342" s="158"/>
      <c r="Q342" s="158">
        <f>Jan!CK285</f>
        <v>2</v>
      </c>
      <c r="R342" s="436"/>
      <c r="S342" s="436"/>
      <c r="T342" s="18"/>
      <c r="U342" s="18"/>
      <c r="V342" s="18">
        <f>O342-T342-U342+V321</f>
        <v>14383</v>
      </c>
      <c r="W342" s="45"/>
      <c r="X342" s="67"/>
    </row>
    <row r="343" spans="1:25" ht="14.25" customHeight="1">
      <c r="A343" s="427"/>
      <c r="B343" s="122" t="s">
        <v>125</v>
      </c>
      <c r="C343" s="180" t="s">
        <v>88</v>
      </c>
      <c r="D343" s="48" t="s">
        <v>124</v>
      </c>
      <c r="E343" s="441"/>
      <c r="F343" s="118" t="s">
        <v>64</v>
      </c>
      <c r="G343" s="37"/>
      <c r="H343" s="37"/>
      <c r="I343" s="126"/>
      <c r="J343" s="126"/>
      <c r="K343" s="18"/>
      <c r="L343" s="18"/>
      <c r="M343" s="18">
        <v>95600</v>
      </c>
      <c r="N343" s="80">
        <v>13</v>
      </c>
      <c r="O343" s="126"/>
      <c r="P343" s="126">
        <f>Jan!CM283</f>
        <v>3068</v>
      </c>
      <c r="Q343" s="126">
        <f>Jan!CK283</f>
        <v>13</v>
      </c>
      <c r="R343" s="436"/>
      <c r="S343" s="436"/>
      <c r="T343" s="18">
        <v>19043</v>
      </c>
      <c r="U343" s="18">
        <v>13</v>
      </c>
      <c r="V343" s="18"/>
      <c r="W343" s="45"/>
      <c r="X343" s="67"/>
    </row>
    <row r="344" spans="1:25" ht="30.75" customHeight="1">
      <c r="A344" s="427"/>
      <c r="B344" s="122" t="s">
        <v>58</v>
      </c>
      <c r="C344" s="180" t="s">
        <v>136</v>
      </c>
      <c r="D344" s="48" t="s">
        <v>56</v>
      </c>
      <c r="E344" s="441"/>
      <c r="F344" s="118" t="s">
        <v>67</v>
      </c>
      <c r="G344" s="119"/>
      <c r="H344" s="126"/>
      <c r="I344" s="126"/>
      <c r="J344" s="2"/>
      <c r="K344" s="18"/>
      <c r="L344" s="18"/>
      <c r="M344" s="18"/>
      <c r="N344" s="18"/>
      <c r="O344" s="126"/>
      <c r="P344" s="126"/>
      <c r="Q344" s="126"/>
      <c r="R344" s="436"/>
      <c r="S344" s="436"/>
      <c r="T344" s="18"/>
      <c r="U344" s="18"/>
      <c r="V344" s="18">
        <f>O344-T344-U344+V323</f>
        <v>43</v>
      </c>
      <c r="W344" s="45"/>
      <c r="X344" s="67"/>
    </row>
    <row r="345" spans="1:25" ht="15" customHeight="1">
      <c r="A345" s="427"/>
      <c r="B345" s="122" t="s">
        <v>47</v>
      </c>
      <c r="C345" s="180" t="s">
        <v>100</v>
      </c>
      <c r="D345" s="48" t="s">
        <v>99</v>
      </c>
      <c r="E345" s="441"/>
      <c r="F345" s="118" t="s">
        <v>71</v>
      </c>
      <c r="G345" s="119"/>
      <c r="H345" s="126"/>
      <c r="I345" s="126"/>
      <c r="J345" s="2"/>
      <c r="K345" s="18"/>
      <c r="L345" s="18"/>
      <c r="M345" s="18">
        <v>24000</v>
      </c>
      <c r="N345" s="18">
        <v>4</v>
      </c>
      <c r="O345" s="126"/>
      <c r="P345" s="126">
        <f>Jan!CM284</f>
        <v>1658</v>
      </c>
      <c r="Q345" s="126">
        <f>Jan!CK284</f>
        <v>6</v>
      </c>
      <c r="R345" s="436"/>
      <c r="S345" s="436"/>
      <c r="T345" s="18"/>
      <c r="U345" s="18"/>
      <c r="V345" s="18">
        <f>O345-T345-U345+V324</f>
        <v>13004</v>
      </c>
      <c r="W345" s="45"/>
      <c r="X345" s="67"/>
    </row>
    <row r="346" spans="1:25" ht="15" customHeight="1">
      <c r="A346" s="427"/>
      <c r="B346" s="122" t="s">
        <v>131</v>
      </c>
      <c r="C346" s="180" t="s">
        <v>194</v>
      </c>
      <c r="D346" s="48" t="s">
        <v>132</v>
      </c>
      <c r="E346" s="441"/>
      <c r="F346" s="118" t="s">
        <v>64</v>
      </c>
      <c r="G346" s="119"/>
      <c r="H346" s="126"/>
      <c r="I346" s="126"/>
      <c r="J346" s="2"/>
      <c r="K346" s="18"/>
      <c r="L346" s="18"/>
      <c r="M346" s="18"/>
      <c r="N346" s="18"/>
      <c r="O346" s="126"/>
      <c r="P346" s="126"/>
      <c r="Q346" s="126">
        <f>Jan!CK289</f>
        <v>1</v>
      </c>
      <c r="R346" s="436"/>
      <c r="S346" s="436"/>
      <c r="T346" s="18"/>
      <c r="U346" s="18"/>
      <c r="V346" s="18"/>
      <c r="W346" s="45"/>
      <c r="X346" s="67"/>
    </row>
    <row r="347" spans="1:25" ht="15" customHeight="1">
      <c r="A347" s="427"/>
      <c r="B347" s="122" t="s">
        <v>101</v>
      </c>
      <c r="C347" s="180" t="s">
        <v>193</v>
      </c>
      <c r="D347" s="48" t="s">
        <v>102</v>
      </c>
      <c r="E347" s="441"/>
      <c r="F347" s="118" t="s">
        <v>64</v>
      </c>
      <c r="G347" s="119"/>
      <c r="H347" s="126"/>
      <c r="I347" s="126"/>
      <c r="J347" s="2"/>
      <c r="K347" s="18"/>
      <c r="L347" s="18"/>
      <c r="M347" s="18"/>
      <c r="N347" s="18"/>
      <c r="O347" s="126"/>
      <c r="P347" s="126"/>
      <c r="Q347" s="126">
        <f>Jan!CK290</f>
        <v>1</v>
      </c>
      <c r="R347" s="436"/>
      <c r="S347" s="436"/>
      <c r="T347" s="18"/>
      <c r="U347" s="18"/>
      <c r="V347" s="18"/>
      <c r="W347" s="45"/>
      <c r="X347" s="67"/>
    </row>
    <row r="348" spans="1:25" ht="15" customHeight="1">
      <c r="A348" s="427"/>
      <c r="B348" s="122" t="s">
        <v>103</v>
      </c>
      <c r="C348" s="157" t="s">
        <v>197</v>
      </c>
      <c r="D348" s="48" t="s">
        <v>104</v>
      </c>
      <c r="E348" s="441"/>
      <c r="F348" s="118" t="s">
        <v>105</v>
      </c>
      <c r="G348" s="119"/>
      <c r="H348" s="126"/>
      <c r="I348" s="126"/>
      <c r="J348" s="2"/>
      <c r="K348" s="18"/>
      <c r="L348" s="18"/>
      <c r="M348" s="18"/>
      <c r="N348" s="18"/>
      <c r="O348" s="126"/>
      <c r="P348" s="126"/>
      <c r="Q348" s="126">
        <f>Jan!CK291</f>
        <v>1</v>
      </c>
      <c r="R348" s="436"/>
      <c r="S348" s="436"/>
      <c r="T348" s="18"/>
      <c r="U348" s="18"/>
      <c r="V348" s="18"/>
      <c r="W348" s="45"/>
      <c r="X348" s="67"/>
    </row>
    <row r="349" spans="1:25" ht="15" customHeight="1">
      <c r="A349" s="427"/>
      <c r="B349" s="137" t="s">
        <v>112</v>
      </c>
      <c r="C349" s="157" t="s">
        <v>197</v>
      </c>
      <c r="D349" s="48" t="s">
        <v>104</v>
      </c>
      <c r="E349" s="441"/>
      <c r="F349" s="118" t="s">
        <v>113</v>
      </c>
      <c r="G349" s="119"/>
      <c r="H349" s="126"/>
      <c r="I349" s="126"/>
      <c r="J349" s="2"/>
      <c r="K349" s="18"/>
      <c r="L349" s="18"/>
      <c r="M349" s="18"/>
      <c r="N349" s="18"/>
      <c r="O349" s="126"/>
      <c r="P349" s="126"/>
      <c r="Q349" s="126">
        <f>Jan!CK294</f>
        <v>1</v>
      </c>
      <c r="R349" s="436"/>
      <c r="S349" s="436"/>
      <c r="T349" s="18"/>
      <c r="U349" s="18"/>
      <c r="V349" s="18"/>
      <c r="W349" s="45"/>
      <c r="X349" s="67"/>
    </row>
    <row r="350" spans="1:25" ht="15" customHeight="1">
      <c r="A350" s="427"/>
      <c r="B350" s="137" t="s">
        <v>106</v>
      </c>
      <c r="C350" s="157" t="s">
        <v>141</v>
      </c>
      <c r="D350" s="48" t="s">
        <v>68</v>
      </c>
      <c r="E350" s="441"/>
      <c r="F350" s="118" t="s">
        <v>67</v>
      </c>
      <c r="G350" s="119"/>
      <c r="H350" s="126"/>
      <c r="I350" s="126"/>
      <c r="J350" s="2"/>
      <c r="K350" s="18"/>
      <c r="L350" s="18"/>
      <c r="M350" s="18"/>
      <c r="N350" s="18"/>
      <c r="O350" s="126"/>
      <c r="P350" s="126"/>
      <c r="Q350" s="126">
        <f>Jan!CK292</f>
        <v>1</v>
      </c>
      <c r="R350" s="436"/>
      <c r="S350" s="436"/>
      <c r="T350" s="18"/>
      <c r="U350" s="18"/>
      <c r="V350" s="18"/>
      <c r="W350" s="45"/>
      <c r="X350" s="67"/>
    </row>
    <row r="351" spans="1:25" ht="15" customHeight="1" thickBot="1">
      <c r="A351" s="428"/>
      <c r="B351" s="44" t="s">
        <v>107</v>
      </c>
      <c r="C351" s="181" t="s">
        <v>195</v>
      </c>
      <c r="D351" s="61" t="s">
        <v>108</v>
      </c>
      <c r="E351" s="447"/>
      <c r="F351" s="133" t="s">
        <v>48</v>
      </c>
      <c r="G351" s="132"/>
      <c r="H351" s="109"/>
      <c r="I351" s="134"/>
      <c r="J351" s="129"/>
      <c r="K351" s="130"/>
      <c r="L351" s="130"/>
      <c r="M351" s="130"/>
      <c r="N351" s="130"/>
      <c r="O351" s="134"/>
      <c r="P351" s="134"/>
      <c r="Q351" s="134">
        <f>Jan!CK293</f>
        <v>1</v>
      </c>
      <c r="R351" s="437"/>
      <c r="S351" s="437"/>
      <c r="T351" s="130"/>
      <c r="U351" s="130"/>
      <c r="V351" s="128"/>
      <c r="W351" s="85"/>
      <c r="X351" s="67"/>
    </row>
    <row r="352" spans="1:25" ht="15" customHeight="1">
      <c r="A352" s="426">
        <v>46044</v>
      </c>
      <c r="B352" s="429" t="s">
        <v>44</v>
      </c>
      <c r="C352" s="432" t="s">
        <v>240</v>
      </c>
      <c r="D352" s="19" t="s">
        <v>37</v>
      </c>
      <c r="E352" s="19" t="s">
        <v>25</v>
      </c>
      <c r="F352" s="39" t="s">
        <v>40</v>
      </c>
      <c r="G352" s="41"/>
      <c r="H352" s="32"/>
      <c r="I352" s="32"/>
      <c r="J352" s="32"/>
      <c r="K352" s="20">
        <v>72000</v>
      </c>
      <c r="L352" s="20">
        <v>9</v>
      </c>
      <c r="M352" s="20">
        <v>104000</v>
      </c>
      <c r="N352" s="84">
        <v>13</v>
      </c>
      <c r="O352" s="32">
        <f>Jan!CO272</f>
        <v>25744</v>
      </c>
      <c r="P352" s="32">
        <f>Jan!CP272</f>
        <v>22609</v>
      </c>
      <c r="Q352" s="32">
        <f>Jan!CN272</f>
        <v>72</v>
      </c>
      <c r="R352" s="435">
        <f>Jan!CO296</f>
        <v>62188</v>
      </c>
      <c r="S352" s="435">
        <f>Jan!CP296</f>
        <v>63976</v>
      </c>
      <c r="T352" s="20">
        <v>24184</v>
      </c>
      <c r="U352" s="20">
        <v>18</v>
      </c>
      <c r="V352" s="20">
        <f>O352-T352-U352+V332</f>
        <v>13029</v>
      </c>
      <c r="W352" s="77"/>
      <c r="X352" s="36"/>
    </row>
    <row r="353" spans="1:25" ht="15" customHeight="1">
      <c r="A353" s="427"/>
      <c r="B353" s="430"/>
      <c r="C353" s="433"/>
      <c r="D353" s="113" t="s">
        <v>69</v>
      </c>
      <c r="E353" s="438" t="s">
        <v>24</v>
      </c>
      <c r="F353" s="118" t="s">
        <v>40</v>
      </c>
      <c r="G353" s="38"/>
      <c r="H353" s="37"/>
      <c r="I353" s="125"/>
      <c r="J353" s="125"/>
      <c r="K353" s="127"/>
      <c r="L353" s="127"/>
      <c r="M353" s="127"/>
      <c r="N353" s="81"/>
      <c r="O353" s="125">
        <f>Jan!CO274</f>
        <v>14268</v>
      </c>
      <c r="P353" s="125">
        <f>Jan!CP274</f>
        <v>9197</v>
      </c>
      <c r="Q353" s="125">
        <f>Jan!CN274</f>
        <v>28</v>
      </c>
      <c r="R353" s="436"/>
      <c r="S353" s="436"/>
      <c r="T353" s="127">
        <v>16077</v>
      </c>
      <c r="U353" s="127">
        <v>3</v>
      </c>
      <c r="V353" s="127">
        <f>O353-T353-U353+V333</f>
        <v>1721</v>
      </c>
      <c r="W353" s="46"/>
      <c r="X353" s="67"/>
    </row>
    <row r="354" spans="1:25" ht="15" customHeight="1">
      <c r="A354" s="427"/>
      <c r="B354" s="431"/>
      <c r="C354" s="434"/>
      <c r="D354" s="113" t="s">
        <v>128</v>
      </c>
      <c r="E354" s="431"/>
      <c r="F354" s="114" t="s">
        <v>40</v>
      </c>
      <c r="G354" s="135"/>
      <c r="H354" s="135">
        <v>3037.5</v>
      </c>
      <c r="I354" s="125"/>
      <c r="J354" s="125"/>
      <c r="K354" s="18">
        <v>32000</v>
      </c>
      <c r="L354" s="127">
        <v>4</v>
      </c>
      <c r="M354" s="127">
        <v>8000</v>
      </c>
      <c r="N354" s="81">
        <v>1</v>
      </c>
      <c r="O354" s="126">
        <f>Jan!CO275</f>
        <v>374</v>
      </c>
      <c r="P354" s="125">
        <f>Jan!CP275</f>
        <v>6661</v>
      </c>
      <c r="Q354" s="125">
        <f>Jan!CN275</f>
        <v>21</v>
      </c>
      <c r="R354" s="436"/>
      <c r="S354" s="436"/>
      <c r="T354" s="127">
        <v>781</v>
      </c>
      <c r="U354" s="127">
        <v>5</v>
      </c>
      <c r="V354" s="127">
        <f>O354-T354-U354+V334</f>
        <v>959</v>
      </c>
      <c r="W354" s="46"/>
      <c r="X354" s="67"/>
    </row>
    <row r="355" spans="1:25" ht="15" customHeight="1">
      <c r="A355" s="427"/>
      <c r="B355" s="439" t="s">
        <v>45</v>
      </c>
      <c r="C355" s="440" t="s">
        <v>59</v>
      </c>
      <c r="D355" s="118" t="s">
        <v>75</v>
      </c>
      <c r="E355" s="131" t="s">
        <v>25</v>
      </c>
      <c r="F355" s="131" t="s">
        <v>57</v>
      </c>
      <c r="G355" s="87"/>
      <c r="H355" s="136"/>
      <c r="I355" s="126"/>
      <c r="J355" s="2"/>
      <c r="K355" s="127"/>
      <c r="L355" s="18"/>
      <c r="M355" s="18">
        <v>80900</v>
      </c>
      <c r="N355" s="80">
        <v>16</v>
      </c>
      <c r="O355" s="126">
        <f>Jan!CO280</f>
        <v>1634</v>
      </c>
      <c r="P355" s="126">
        <f>Jan!CP280</f>
        <v>2315</v>
      </c>
      <c r="Q355" s="2">
        <f>Jan!CN280</f>
        <v>10</v>
      </c>
      <c r="R355" s="436"/>
      <c r="S355" s="436"/>
      <c r="T355" s="18"/>
      <c r="U355" s="18"/>
      <c r="V355" s="18">
        <f>O355-T355-U355+V335</f>
        <v>8873</v>
      </c>
      <c r="W355" s="46"/>
      <c r="Y355" s="13"/>
    </row>
    <row r="356" spans="1:25">
      <c r="A356" s="427"/>
      <c r="B356" s="439"/>
      <c r="C356" s="440"/>
      <c r="D356" s="118" t="s">
        <v>72</v>
      </c>
      <c r="E356" s="155" t="s">
        <v>24</v>
      </c>
      <c r="F356" s="131" t="s">
        <v>57</v>
      </c>
      <c r="G356" s="136"/>
      <c r="H356" s="136"/>
      <c r="I356" s="126"/>
      <c r="J356" s="126"/>
      <c r="K356" s="127"/>
      <c r="L356" s="18"/>
      <c r="M356" s="18">
        <v>75000</v>
      </c>
      <c r="N356" s="80">
        <v>15</v>
      </c>
      <c r="O356" s="126">
        <f>Jan!CO281</f>
        <v>2226</v>
      </c>
      <c r="P356" s="126">
        <f>Jan!CP281</f>
        <v>2591</v>
      </c>
      <c r="Q356" s="126">
        <f>Jan!CN281</f>
        <v>13</v>
      </c>
      <c r="R356" s="436"/>
      <c r="S356" s="436"/>
      <c r="T356" s="18"/>
      <c r="U356" s="18"/>
      <c r="V356" s="18">
        <f>O356-T356-U356+V336</f>
        <v>9782</v>
      </c>
      <c r="W356" s="46"/>
      <c r="Y356" s="13"/>
    </row>
    <row r="357" spans="1:25">
      <c r="A357" s="427"/>
      <c r="B357" s="439"/>
      <c r="C357" s="440"/>
      <c r="D357" s="115" t="s">
        <v>79</v>
      </c>
      <c r="E357" s="118" t="s">
        <v>65</v>
      </c>
      <c r="F357" s="131" t="s">
        <v>57</v>
      </c>
      <c r="G357" s="87">
        <v>5357.84</v>
      </c>
      <c r="H357" s="136"/>
      <c r="I357" s="126"/>
      <c r="J357" s="126"/>
      <c r="K357" s="127"/>
      <c r="L357" s="18"/>
      <c r="M357" s="18">
        <v>69000</v>
      </c>
      <c r="N357" s="80">
        <v>14</v>
      </c>
      <c r="O357" s="126">
        <f>Jan!CO282</f>
        <v>5600</v>
      </c>
      <c r="P357" s="126">
        <f>Jan!CP282</f>
        <v>4896</v>
      </c>
      <c r="Q357" s="126">
        <f>Jan!CN282</f>
        <v>21</v>
      </c>
      <c r="R357" s="436"/>
      <c r="S357" s="436"/>
      <c r="T357" s="18"/>
      <c r="U357" s="18"/>
      <c r="V357" s="18">
        <f>O357-T357-U357+V338</f>
        <v>15410</v>
      </c>
      <c r="W357" s="46"/>
      <c r="Y357" s="13"/>
    </row>
    <row r="358" spans="1:25" ht="14.25" customHeight="1">
      <c r="A358" s="427"/>
      <c r="B358" s="442" t="s">
        <v>53</v>
      </c>
      <c r="C358" s="444" t="s">
        <v>60</v>
      </c>
      <c r="D358" s="43" t="s">
        <v>98</v>
      </c>
      <c r="E358" s="441" t="s">
        <v>66</v>
      </c>
      <c r="F358" s="118" t="s">
        <v>54</v>
      </c>
      <c r="G358" s="136"/>
      <c r="H358" s="136"/>
      <c r="I358" s="126"/>
      <c r="J358" s="126"/>
      <c r="K358" s="127"/>
      <c r="L358" s="18"/>
      <c r="M358" s="18"/>
      <c r="N358" s="80"/>
      <c r="O358" s="126">
        <f>Jan!CO278</f>
        <v>6205</v>
      </c>
      <c r="P358" s="126">
        <f>Jan!CP278</f>
        <v>3761</v>
      </c>
      <c r="Q358" s="126">
        <f>Jan!CN278</f>
        <v>11</v>
      </c>
      <c r="R358" s="436"/>
      <c r="S358" s="436"/>
      <c r="T358" s="18">
        <v>7359</v>
      </c>
      <c r="U358" s="18">
        <v>3</v>
      </c>
      <c r="V358" s="18">
        <f>O358-T358-U358+V339</f>
        <v>299</v>
      </c>
      <c r="W358" s="45"/>
      <c r="X358" s="36"/>
    </row>
    <row r="359" spans="1:25" ht="14.25" customHeight="1">
      <c r="A359" s="427"/>
      <c r="B359" s="439"/>
      <c r="C359" s="445"/>
      <c r="D359" s="43" t="s">
        <v>130</v>
      </c>
      <c r="E359" s="425"/>
      <c r="F359" s="118" t="s">
        <v>54</v>
      </c>
      <c r="G359" s="136"/>
      <c r="H359" s="37"/>
      <c r="I359" s="126"/>
      <c r="J359" s="126"/>
      <c r="K359" s="18">
        <v>34900</v>
      </c>
      <c r="L359" s="18">
        <v>6</v>
      </c>
      <c r="M359" s="18"/>
      <c r="N359" s="80"/>
      <c r="O359" s="126">
        <f>Jan!CO279</f>
        <v>4637</v>
      </c>
      <c r="P359" s="126">
        <f>Jan!CP279</f>
        <v>6558</v>
      </c>
      <c r="Q359" s="126">
        <f>Jan!CN279</f>
        <v>20</v>
      </c>
      <c r="R359" s="436"/>
      <c r="S359" s="436"/>
      <c r="T359" s="18">
        <v>7036</v>
      </c>
      <c r="U359" s="18">
        <v>10</v>
      </c>
      <c r="V359" s="18">
        <f>O359-T359-U359+V340</f>
        <v>0</v>
      </c>
      <c r="W359" s="45"/>
      <c r="X359" s="36"/>
    </row>
    <row r="360" spans="1:25" ht="14.25" customHeight="1">
      <c r="A360" s="427"/>
      <c r="B360" s="443"/>
      <c r="C360" s="446"/>
      <c r="D360" s="43" t="s">
        <v>127</v>
      </c>
      <c r="E360" s="424" t="s">
        <v>25</v>
      </c>
      <c r="F360" s="118"/>
      <c r="G360" s="136"/>
      <c r="H360" s="126">
        <v>1650</v>
      </c>
      <c r="I360" s="126"/>
      <c r="J360" s="126"/>
      <c r="K360" s="18"/>
      <c r="L360" s="18"/>
      <c r="M360" s="18"/>
      <c r="N360" s="80"/>
      <c r="O360" s="126"/>
      <c r="P360" s="126"/>
      <c r="Q360" s="126"/>
      <c r="R360" s="436"/>
      <c r="S360" s="436"/>
      <c r="T360" s="18"/>
      <c r="U360" s="18"/>
      <c r="V360" s="18"/>
      <c r="W360" s="45"/>
      <c r="X360" s="67"/>
    </row>
    <row r="361" spans="1:25" ht="14.25" customHeight="1">
      <c r="A361" s="427"/>
      <c r="B361" s="122" t="s">
        <v>55</v>
      </c>
      <c r="C361" s="180" t="s">
        <v>133</v>
      </c>
      <c r="D361" s="48" t="s">
        <v>56</v>
      </c>
      <c r="E361" s="441"/>
      <c r="F361" s="118" t="s">
        <v>67</v>
      </c>
      <c r="G361" s="136"/>
      <c r="H361" s="37"/>
      <c r="I361" s="126"/>
      <c r="J361" s="126"/>
      <c r="K361" s="18"/>
      <c r="L361" s="18"/>
      <c r="M361" s="18">
        <v>2800</v>
      </c>
      <c r="N361" s="80">
        <v>1</v>
      </c>
      <c r="O361" s="126"/>
      <c r="P361" s="126"/>
      <c r="Q361" s="126">
        <f>Jan!CN295</f>
        <v>1</v>
      </c>
      <c r="R361" s="436"/>
      <c r="S361" s="436"/>
      <c r="T361" s="18"/>
      <c r="U361" s="18"/>
      <c r="V361" s="18">
        <f>O361-T361-U361+V341</f>
        <v>0</v>
      </c>
      <c r="W361" s="45"/>
      <c r="X361" s="67"/>
    </row>
    <row r="362" spans="1:25" ht="14.25" customHeight="1">
      <c r="A362" s="427"/>
      <c r="B362" s="122" t="s">
        <v>122</v>
      </c>
      <c r="C362" s="180" t="s">
        <v>123</v>
      </c>
      <c r="D362" s="48" t="s">
        <v>56</v>
      </c>
      <c r="E362" s="441"/>
      <c r="F362" s="155" t="s">
        <v>64</v>
      </c>
      <c r="G362" s="136"/>
      <c r="H362" s="135"/>
      <c r="I362" s="158"/>
      <c r="J362" s="158"/>
      <c r="K362" s="128">
        <v>3000</v>
      </c>
      <c r="L362" s="128">
        <v>1</v>
      </c>
      <c r="M362" s="128"/>
      <c r="N362" s="164"/>
      <c r="O362" s="158"/>
      <c r="P362" s="158">
        <f>Jan!CP285</f>
        <v>678</v>
      </c>
      <c r="Q362" s="158">
        <f>Jan!CN285</f>
        <v>3</v>
      </c>
      <c r="R362" s="436"/>
      <c r="S362" s="436"/>
      <c r="T362" s="18"/>
      <c r="U362" s="18"/>
      <c r="V362" s="18">
        <f>O362-T362-U362+V342</f>
        <v>14383</v>
      </c>
      <c r="W362" s="45"/>
      <c r="X362" s="67"/>
    </row>
    <row r="363" spans="1:25" ht="14.25" customHeight="1">
      <c r="A363" s="427"/>
      <c r="B363" s="122" t="s">
        <v>125</v>
      </c>
      <c r="C363" s="180" t="s">
        <v>88</v>
      </c>
      <c r="D363" s="48" t="s">
        <v>124</v>
      </c>
      <c r="E363" s="441"/>
      <c r="F363" s="118" t="s">
        <v>64</v>
      </c>
      <c r="G363" s="37"/>
      <c r="H363" s="37"/>
      <c r="I363" s="126"/>
      <c r="J363" s="126"/>
      <c r="K363" s="18"/>
      <c r="L363" s="18"/>
      <c r="M363" s="18">
        <v>95600</v>
      </c>
      <c r="N363" s="80">
        <v>13</v>
      </c>
      <c r="O363" s="126"/>
      <c r="P363" s="126">
        <f>Jan!CP283</f>
        <v>3073</v>
      </c>
      <c r="Q363" s="126">
        <f>Jan!CN283</f>
        <v>13</v>
      </c>
      <c r="R363" s="436"/>
      <c r="S363" s="436"/>
      <c r="T363" s="18"/>
      <c r="U363" s="18"/>
      <c r="V363" s="18">
        <f>O363-T363-U363+V343</f>
        <v>0</v>
      </c>
      <c r="W363" s="45"/>
      <c r="X363" s="67"/>
    </row>
    <row r="364" spans="1:25" ht="30.75" customHeight="1">
      <c r="A364" s="427"/>
      <c r="B364" s="122" t="s">
        <v>58</v>
      </c>
      <c r="C364" s="180" t="s">
        <v>136</v>
      </c>
      <c r="D364" s="48" t="s">
        <v>56</v>
      </c>
      <c r="E364" s="441"/>
      <c r="F364" s="118" t="s">
        <v>67</v>
      </c>
      <c r="G364" s="119"/>
      <c r="H364" s="126"/>
      <c r="I364" s="126"/>
      <c r="J364" s="2"/>
      <c r="K364" s="18"/>
      <c r="L364" s="18"/>
      <c r="M364" s="18"/>
      <c r="N364" s="18"/>
      <c r="O364" s="126"/>
      <c r="P364" s="126"/>
      <c r="Q364" s="126"/>
      <c r="R364" s="436"/>
      <c r="S364" s="436"/>
      <c r="T364" s="18"/>
      <c r="U364" s="18"/>
      <c r="V364" s="18">
        <f>O364-T364-U364+V344</f>
        <v>43</v>
      </c>
      <c r="W364" s="45"/>
      <c r="X364" s="67"/>
    </row>
    <row r="365" spans="1:25" ht="15" customHeight="1">
      <c r="A365" s="427"/>
      <c r="B365" s="122" t="s">
        <v>47</v>
      </c>
      <c r="C365" s="180" t="s">
        <v>100</v>
      </c>
      <c r="D365" s="48" t="s">
        <v>99</v>
      </c>
      <c r="E365" s="441"/>
      <c r="F365" s="118" t="s">
        <v>71</v>
      </c>
      <c r="G365" s="119"/>
      <c r="H365" s="126"/>
      <c r="I365" s="126"/>
      <c r="J365" s="2"/>
      <c r="K365" s="18"/>
      <c r="L365" s="18"/>
      <c r="M365" s="18">
        <v>24000</v>
      </c>
      <c r="N365" s="18">
        <v>4</v>
      </c>
      <c r="O365" s="126">
        <f>Jan!CO284</f>
        <v>1500</v>
      </c>
      <c r="P365" s="126">
        <f>Jan!CP284</f>
        <v>1637</v>
      </c>
      <c r="Q365" s="126">
        <f>Jan!CN284</f>
        <v>6</v>
      </c>
      <c r="R365" s="436"/>
      <c r="S365" s="436"/>
      <c r="T365" s="18"/>
      <c r="U365" s="18"/>
      <c r="V365" s="18">
        <f>O365-T365-U365+V345</f>
        <v>14504</v>
      </c>
      <c r="W365" s="45"/>
      <c r="X365" s="67"/>
    </row>
    <row r="366" spans="1:25" ht="15" customHeight="1">
      <c r="A366" s="427"/>
      <c r="B366" s="122" t="s">
        <v>134</v>
      </c>
      <c r="C366" s="180" t="s">
        <v>63</v>
      </c>
      <c r="D366" s="48" t="s">
        <v>135</v>
      </c>
      <c r="E366" s="441"/>
      <c r="F366" s="118" t="s">
        <v>64</v>
      </c>
      <c r="G366" s="170">
        <v>1946.35</v>
      </c>
      <c r="H366" s="126">
        <v>187</v>
      </c>
      <c r="I366" s="126"/>
      <c r="J366" s="2"/>
      <c r="K366" s="18"/>
      <c r="L366" s="18"/>
      <c r="M366" s="18">
        <v>41500</v>
      </c>
      <c r="N366" s="18">
        <v>5</v>
      </c>
      <c r="O366" s="126"/>
      <c r="P366" s="126"/>
      <c r="Q366" s="126"/>
      <c r="R366" s="436"/>
      <c r="S366" s="436"/>
      <c r="T366" s="18"/>
      <c r="U366" s="18"/>
      <c r="V366" s="18"/>
      <c r="W366" s="45"/>
      <c r="X366" s="67"/>
    </row>
    <row r="367" spans="1:25" ht="15" customHeight="1">
      <c r="A367" s="427"/>
      <c r="B367" s="122" t="s">
        <v>131</v>
      </c>
      <c r="C367" s="180" t="s">
        <v>194</v>
      </c>
      <c r="D367" s="48" t="s">
        <v>132</v>
      </c>
      <c r="E367" s="441"/>
      <c r="F367" s="118" t="s">
        <v>64</v>
      </c>
      <c r="G367" s="119"/>
      <c r="H367" s="126"/>
      <c r="I367" s="126"/>
      <c r="J367" s="2"/>
      <c r="K367" s="18"/>
      <c r="L367" s="18"/>
      <c r="M367" s="18"/>
      <c r="N367" s="18"/>
      <c r="O367" s="126"/>
      <c r="P367" s="126"/>
      <c r="Q367" s="126">
        <f>Jan!CN289</f>
        <v>1</v>
      </c>
      <c r="R367" s="436"/>
      <c r="S367" s="436"/>
      <c r="T367" s="18"/>
      <c r="U367" s="18"/>
      <c r="V367" s="18"/>
      <c r="W367" s="45"/>
      <c r="X367" s="67"/>
    </row>
    <row r="368" spans="1:25" ht="15" customHeight="1">
      <c r="A368" s="427"/>
      <c r="B368" s="122" t="s">
        <v>101</v>
      </c>
      <c r="C368" s="180" t="s">
        <v>193</v>
      </c>
      <c r="D368" s="48" t="s">
        <v>102</v>
      </c>
      <c r="E368" s="441"/>
      <c r="F368" s="118" t="s">
        <v>64</v>
      </c>
      <c r="G368" s="119"/>
      <c r="H368" s="126"/>
      <c r="I368" s="126"/>
      <c r="J368" s="2"/>
      <c r="K368" s="18"/>
      <c r="L368" s="18"/>
      <c r="M368" s="18"/>
      <c r="N368" s="18"/>
      <c r="O368" s="126"/>
      <c r="P368" s="126"/>
      <c r="Q368" s="126">
        <f>Jan!CN290</f>
        <v>1</v>
      </c>
      <c r="R368" s="436"/>
      <c r="S368" s="436"/>
      <c r="T368" s="18"/>
      <c r="U368" s="18"/>
      <c r="V368" s="18"/>
      <c r="W368" s="45"/>
      <c r="X368" s="67"/>
    </row>
    <row r="369" spans="1:25" ht="15" customHeight="1">
      <c r="A369" s="427"/>
      <c r="B369" s="122" t="s">
        <v>103</v>
      </c>
      <c r="C369" s="157" t="s">
        <v>197</v>
      </c>
      <c r="D369" s="48" t="s">
        <v>104</v>
      </c>
      <c r="E369" s="441"/>
      <c r="F369" s="118" t="s">
        <v>105</v>
      </c>
      <c r="G369" s="119"/>
      <c r="H369" s="126"/>
      <c r="I369" s="126"/>
      <c r="J369" s="2"/>
      <c r="K369" s="18"/>
      <c r="L369" s="18"/>
      <c r="M369" s="18"/>
      <c r="N369" s="18"/>
      <c r="O369" s="126"/>
      <c r="P369" s="126"/>
      <c r="Q369" s="126">
        <f>Jan!CN291</f>
        <v>1</v>
      </c>
      <c r="R369" s="436"/>
      <c r="S369" s="436"/>
      <c r="T369" s="18"/>
      <c r="U369" s="18"/>
      <c r="V369" s="18"/>
      <c r="W369" s="45"/>
      <c r="X369" s="67"/>
    </row>
    <row r="370" spans="1:25" ht="15" customHeight="1">
      <c r="A370" s="427"/>
      <c r="B370" s="137" t="s">
        <v>112</v>
      </c>
      <c r="C370" s="157" t="s">
        <v>197</v>
      </c>
      <c r="D370" s="48" t="s">
        <v>104</v>
      </c>
      <c r="E370" s="441"/>
      <c r="F370" s="118" t="s">
        <v>113</v>
      </c>
      <c r="G370" s="119"/>
      <c r="H370" s="126"/>
      <c r="I370" s="126"/>
      <c r="J370" s="2"/>
      <c r="K370" s="18"/>
      <c r="L370" s="18"/>
      <c r="M370" s="18"/>
      <c r="N370" s="18"/>
      <c r="O370" s="126"/>
      <c r="P370" s="126"/>
      <c r="Q370" s="126">
        <f>Jan!CN294</f>
        <v>1</v>
      </c>
      <c r="R370" s="436"/>
      <c r="S370" s="436"/>
      <c r="T370" s="18"/>
      <c r="U370" s="18"/>
      <c r="V370" s="18"/>
      <c r="W370" s="45"/>
      <c r="X370" s="67"/>
    </row>
    <row r="371" spans="1:25" ht="15" customHeight="1">
      <c r="A371" s="427"/>
      <c r="B371" s="137" t="s">
        <v>106</v>
      </c>
      <c r="C371" s="157" t="s">
        <v>141</v>
      </c>
      <c r="D371" s="48" t="s">
        <v>68</v>
      </c>
      <c r="E371" s="441"/>
      <c r="F371" s="118" t="s">
        <v>67</v>
      </c>
      <c r="G371" s="119"/>
      <c r="H371" s="126"/>
      <c r="I371" s="126"/>
      <c r="J371" s="2"/>
      <c r="K371" s="18"/>
      <c r="L371" s="18"/>
      <c r="M371" s="18"/>
      <c r="N371" s="18"/>
      <c r="O371" s="126"/>
      <c r="P371" s="126"/>
      <c r="Q371" s="126">
        <f>Jan!CN292</f>
        <v>1</v>
      </c>
      <c r="R371" s="436"/>
      <c r="S371" s="436"/>
      <c r="T371" s="18"/>
      <c r="U371" s="18"/>
      <c r="V371" s="18"/>
      <c r="W371" s="45"/>
      <c r="X371" s="67"/>
    </row>
    <row r="372" spans="1:25" ht="15" customHeight="1" thickBot="1">
      <c r="A372" s="428"/>
      <c r="B372" s="44" t="s">
        <v>107</v>
      </c>
      <c r="C372" s="181" t="s">
        <v>195</v>
      </c>
      <c r="D372" s="61" t="s">
        <v>108</v>
      </c>
      <c r="E372" s="447"/>
      <c r="F372" s="133" t="s">
        <v>48</v>
      </c>
      <c r="G372" s="132"/>
      <c r="H372" s="109"/>
      <c r="I372" s="134"/>
      <c r="J372" s="129"/>
      <c r="K372" s="130"/>
      <c r="L372" s="130"/>
      <c r="M372" s="130"/>
      <c r="N372" s="130"/>
      <c r="O372" s="134"/>
      <c r="P372" s="134"/>
      <c r="Q372" s="134">
        <f>Jan!CN293</f>
        <v>1</v>
      </c>
      <c r="R372" s="437"/>
      <c r="S372" s="437"/>
      <c r="T372" s="130"/>
      <c r="U372" s="130"/>
      <c r="V372" s="128"/>
      <c r="W372" s="85"/>
      <c r="X372" s="67"/>
    </row>
    <row r="373" spans="1:25" ht="15" customHeight="1">
      <c r="A373" s="426">
        <v>46045</v>
      </c>
      <c r="B373" s="429" t="s">
        <v>44</v>
      </c>
      <c r="C373" s="432" t="s">
        <v>240</v>
      </c>
      <c r="D373" s="19" t="s">
        <v>37</v>
      </c>
      <c r="E373" s="19" t="s">
        <v>25</v>
      </c>
      <c r="F373" s="39" t="s">
        <v>40</v>
      </c>
      <c r="G373" s="41"/>
      <c r="H373" s="32">
        <v>5744</v>
      </c>
      <c r="I373" s="32"/>
      <c r="J373" s="32"/>
      <c r="K373" s="20">
        <v>72000</v>
      </c>
      <c r="L373" s="20">
        <v>9</v>
      </c>
      <c r="M373" s="20">
        <v>32000</v>
      </c>
      <c r="N373" s="84">
        <v>4</v>
      </c>
      <c r="O373" s="32">
        <f>Jan!CR272</f>
        <v>18713</v>
      </c>
      <c r="P373" s="32">
        <f>Jan!CS272</f>
        <v>24515</v>
      </c>
      <c r="Q373" s="32">
        <f>Jan!CQ272</f>
        <v>72</v>
      </c>
      <c r="R373" s="435">
        <f>Jan!CR296</f>
        <v>63931</v>
      </c>
      <c r="S373" s="435">
        <f>Jan!CS296</f>
        <v>67272</v>
      </c>
      <c r="T373" s="20">
        <v>16625</v>
      </c>
      <c r="U373" s="20">
        <v>11</v>
      </c>
      <c r="V373" s="20">
        <f>O373-T373-U373+V352</f>
        <v>15106</v>
      </c>
      <c r="W373" s="77"/>
      <c r="X373" s="36"/>
    </row>
    <row r="374" spans="1:25" ht="15" customHeight="1">
      <c r="A374" s="427"/>
      <c r="B374" s="430"/>
      <c r="C374" s="433"/>
      <c r="D374" s="113" t="s">
        <v>69</v>
      </c>
      <c r="E374" s="438" t="s">
        <v>24</v>
      </c>
      <c r="F374" s="118" t="s">
        <v>40</v>
      </c>
      <c r="G374" s="38"/>
      <c r="H374" s="37"/>
      <c r="I374" s="125"/>
      <c r="J374" s="125"/>
      <c r="K374" s="127"/>
      <c r="L374" s="127"/>
      <c r="M374" s="127"/>
      <c r="N374" s="81"/>
      <c r="O374" s="125">
        <f>Jan!CR274</f>
        <v>13384</v>
      </c>
      <c r="P374" s="125">
        <f>Jan!CS274</f>
        <v>7611</v>
      </c>
      <c r="Q374" s="125">
        <f>Jan!CQ274</f>
        <v>22</v>
      </c>
      <c r="R374" s="436"/>
      <c r="S374" s="436"/>
      <c r="T374" s="127">
        <v>15014</v>
      </c>
      <c r="U374" s="127"/>
      <c r="V374" s="127">
        <f>O374-T374-U374+V353</f>
        <v>91</v>
      </c>
      <c r="W374" s="46"/>
      <c r="X374" s="67"/>
    </row>
    <row r="375" spans="1:25" ht="15" customHeight="1">
      <c r="A375" s="427"/>
      <c r="B375" s="431"/>
      <c r="C375" s="434"/>
      <c r="D375" s="113" t="s">
        <v>128</v>
      </c>
      <c r="E375" s="431"/>
      <c r="F375" s="114" t="s">
        <v>40</v>
      </c>
      <c r="G375" s="135"/>
      <c r="H375" s="135"/>
      <c r="I375" s="125"/>
      <c r="J375" s="125"/>
      <c r="K375" s="18"/>
      <c r="L375" s="127"/>
      <c r="M375" s="127">
        <v>8000</v>
      </c>
      <c r="N375" s="81">
        <v>1</v>
      </c>
      <c r="O375" s="126">
        <f>Jan!CR275</f>
        <v>8014</v>
      </c>
      <c r="P375" s="125">
        <f>Jan!CS275</f>
        <v>7711</v>
      </c>
      <c r="Q375" s="125">
        <f>Jan!CQ275</f>
        <v>21</v>
      </c>
      <c r="R375" s="436"/>
      <c r="S375" s="436"/>
      <c r="T375" s="127">
        <v>6447</v>
      </c>
      <c r="U375" s="127">
        <v>7</v>
      </c>
      <c r="V375" s="127">
        <f>O375-T375-U375+V354</f>
        <v>2519</v>
      </c>
      <c r="W375" s="46"/>
      <c r="X375" s="67"/>
    </row>
    <row r="376" spans="1:25" ht="15" customHeight="1">
      <c r="A376" s="427"/>
      <c r="B376" s="442" t="s">
        <v>45</v>
      </c>
      <c r="C376" s="448" t="s">
        <v>59</v>
      </c>
      <c r="D376" s="118" t="s">
        <v>75</v>
      </c>
      <c r="E376" s="438" t="s">
        <v>25</v>
      </c>
      <c r="F376" s="131" t="s">
        <v>57</v>
      </c>
      <c r="G376" s="87"/>
      <c r="H376" s="136"/>
      <c r="I376" s="126"/>
      <c r="J376" s="2"/>
      <c r="K376" s="127"/>
      <c r="L376" s="18"/>
      <c r="M376" s="18">
        <v>80900</v>
      </c>
      <c r="N376" s="80">
        <v>16</v>
      </c>
      <c r="O376" s="126">
        <f>Jan!CR280</f>
        <v>1508</v>
      </c>
      <c r="P376" s="126">
        <f>Jan!CS280</f>
        <v>2384</v>
      </c>
      <c r="Q376" s="2">
        <f>Jan!CQ280</f>
        <v>11</v>
      </c>
      <c r="R376" s="436"/>
      <c r="S376" s="436"/>
      <c r="T376" s="18"/>
      <c r="U376" s="18"/>
      <c r="V376" s="18">
        <f>O376-T376-U376+V355</f>
        <v>10381</v>
      </c>
      <c r="W376" s="46"/>
      <c r="Y376" s="13"/>
    </row>
    <row r="377" spans="1:25" ht="15" customHeight="1">
      <c r="A377" s="427"/>
      <c r="B377" s="439"/>
      <c r="C377" s="440"/>
      <c r="D377" s="118" t="s">
        <v>94</v>
      </c>
      <c r="E377" s="431"/>
      <c r="F377" s="131"/>
      <c r="G377" s="87"/>
      <c r="H377" s="152">
        <v>1782</v>
      </c>
      <c r="I377" s="126"/>
      <c r="J377" s="2"/>
      <c r="K377" s="127"/>
      <c r="L377" s="18"/>
      <c r="M377" s="18"/>
      <c r="N377" s="80"/>
      <c r="O377" s="126"/>
      <c r="P377" s="126"/>
      <c r="Q377" s="2"/>
      <c r="R377" s="436"/>
      <c r="S377" s="436"/>
      <c r="T377" s="18"/>
      <c r="U377" s="18"/>
      <c r="V377" s="18"/>
      <c r="W377" s="46"/>
      <c r="Y377" s="13"/>
    </row>
    <row r="378" spans="1:25">
      <c r="A378" s="427"/>
      <c r="B378" s="439"/>
      <c r="C378" s="440"/>
      <c r="D378" s="118" t="s">
        <v>72</v>
      </c>
      <c r="E378" s="155" t="s">
        <v>24</v>
      </c>
      <c r="F378" s="131" t="s">
        <v>57</v>
      </c>
      <c r="G378" s="136"/>
      <c r="H378" s="136"/>
      <c r="I378" s="126"/>
      <c r="J378" s="126"/>
      <c r="K378" s="127">
        <v>10000</v>
      </c>
      <c r="L378" s="18">
        <v>4</v>
      </c>
      <c r="M378" s="18">
        <v>65000</v>
      </c>
      <c r="N378" s="80">
        <v>13</v>
      </c>
      <c r="O378" s="126">
        <f>Jan!CR281</f>
        <v>4545</v>
      </c>
      <c r="P378" s="126">
        <f>Jan!CS281</f>
        <v>3111</v>
      </c>
      <c r="Q378" s="126">
        <f>Jan!CQ281</f>
        <v>19</v>
      </c>
      <c r="R378" s="436"/>
      <c r="S378" s="436"/>
      <c r="T378" s="18"/>
      <c r="U378" s="18"/>
      <c r="V378" s="18">
        <f>O378-T378-U378+V356</f>
        <v>14327</v>
      </c>
      <c r="W378" s="46"/>
      <c r="Y378" s="13"/>
    </row>
    <row r="379" spans="1:25">
      <c r="A379" s="427"/>
      <c r="B379" s="439"/>
      <c r="C379" s="440"/>
      <c r="D379" s="115" t="s">
        <v>79</v>
      </c>
      <c r="E379" s="424" t="s">
        <v>65</v>
      </c>
      <c r="F379" s="131" t="s">
        <v>57</v>
      </c>
      <c r="G379" s="136"/>
      <c r="H379" s="136"/>
      <c r="I379" s="126"/>
      <c r="J379" s="126"/>
      <c r="K379" s="127"/>
      <c r="L379" s="18"/>
      <c r="M379" s="18">
        <v>69000</v>
      </c>
      <c r="N379" s="80">
        <v>14</v>
      </c>
      <c r="O379" s="126">
        <f>Jan!CR282</f>
        <v>4000</v>
      </c>
      <c r="P379" s="126">
        <f>Jan!CS282</f>
        <v>4882</v>
      </c>
      <c r="Q379" s="126">
        <f>Jan!CQ282</f>
        <v>21</v>
      </c>
      <c r="R379" s="436"/>
      <c r="S379" s="436"/>
      <c r="T379" s="18">
        <v>12000</v>
      </c>
      <c r="U379" s="18"/>
      <c r="V379" s="18">
        <f>O379-T379-U379+V357</f>
        <v>7410</v>
      </c>
      <c r="W379" s="46"/>
      <c r="Y379" s="13"/>
    </row>
    <row r="380" spans="1:25">
      <c r="A380" s="427"/>
      <c r="B380" s="443"/>
      <c r="C380" s="449"/>
      <c r="D380" s="115" t="s">
        <v>80</v>
      </c>
      <c r="E380" s="425"/>
      <c r="F380" s="131"/>
      <c r="G380" s="136"/>
      <c r="H380" s="136">
        <v>1756.8</v>
      </c>
      <c r="I380" s="126"/>
      <c r="J380" s="126"/>
      <c r="K380" s="127"/>
      <c r="L380" s="18"/>
      <c r="M380" s="18"/>
      <c r="N380" s="80"/>
      <c r="O380" s="126"/>
      <c r="P380" s="126"/>
      <c r="Q380" s="126"/>
      <c r="R380" s="436"/>
      <c r="S380" s="436"/>
      <c r="T380" s="18"/>
      <c r="U380" s="18"/>
      <c r="V380" s="18"/>
      <c r="W380" s="46"/>
      <c r="Y380" s="13"/>
    </row>
    <row r="381" spans="1:25" ht="14.25" customHeight="1">
      <c r="A381" s="427"/>
      <c r="B381" s="442" t="s">
        <v>53</v>
      </c>
      <c r="C381" s="444" t="s">
        <v>60</v>
      </c>
      <c r="D381" s="43" t="s">
        <v>98</v>
      </c>
      <c r="E381" s="441" t="s">
        <v>66</v>
      </c>
      <c r="F381" s="118" t="s">
        <v>54</v>
      </c>
      <c r="G381" s="136"/>
      <c r="H381" s="136"/>
      <c r="I381" s="126"/>
      <c r="J381" s="126"/>
      <c r="K381" s="127"/>
      <c r="L381" s="18"/>
      <c r="M381" s="18"/>
      <c r="N381" s="80"/>
      <c r="O381" s="126">
        <f>Jan!CR278</f>
        <v>2537</v>
      </c>
      <c r="P381" s="126">
        <f>Jan!CS278</f>
        <v>3440</v>
      </c>
      <c r="Q381" s="126">
        <f>Jan!CQ278</f>
        <v>10</v>
      </c>
      <c r="R381" s="436"/>
      <c r="S381" s="436"/>
      <c r="T381" s="18"/>
      <c r="U381" s="18"/>
      <c r="V381" s="18">
        <f>O381-T381-U381+V358</f>
        <v>2836</v>
      </c>
      <c r="W381" s="45"/>
      <c r="X381" s="36"/>
    </row>
    <row r="382" spans="1:25" ht="14.25" customHeight="1">
      <c r="A382" s="427"/>
      <c r="B382" s="439"/>
      <c r="C382" s="445"/>
      <c r="D382" s="43" t="s">
        <v>130</v>
      </c>
      <c r="E382" s="425"/>
      <c r="F382" s="118" t="s">
        <v>54</v>
      </c>
      <c r="G382" s="87">
        <v>1258.17</v>
      </c>
      <c r="H382" s="37"/>
      <c r="I382" s="126"/>
      <c r="J382" s="126"/>
      <c r="K382" s="18"/>
      <c r="L382" s="18"/>
      <c r="M382" s="18">
        <v>17700</v>
      </c>
      <c r="N382" s="80">
        <v>3</v>
      </c>
      <c r="O382" s="126">
        <f>Jan!CR279</f>
        <v>5820</v>
      </c>
      <c r="P382" s="126">
        <f>Jan!CS279</f>
        <v>6889</v>
      </c>
      <c r="Q382" s="126">
        <f>Jan!CQ279</f>
        <v>20</v>
      </c>
      <c r="R382" s="436"/>
      <c r="S382" s="436"/>
      <c r="T382" s="18"/>
      <c r="U382" s="18"/>
      <c r="V382" s="18">
        <f>O382-T382-U382+V359</f>
        <v>5820</v>
      </c>
      <c r="W382" s="45"/>
      <c r="X382" s="36"/>
    </row>
    <row r="383" spans="1:25" ht="14.25" customHeight="1">
      <c r="A383" s="427"/>
      <c r="B383" s="443"/>
      <c r="C383" s="446"/>
      <c r="D383" s="43" t="s">
        <v>96</v>
      </c>
      <c r="E383" s="114" t="s">
        <v>65</v>
      </c>
      <c r="F383" s="118"/>
      <c r="G383" s="136"/>
      <c r="H383" s="126">
        <v>612</v>
      </c>
      <c r="I383" s="126"/>
      <c r="J383" s="126"/>
      <c r="K383" s="18"/>
      <c r="L383" s="18"/>
      <c r="M383" s="18"/>
      <c r="N383" s="80"/>
      <c r="O383" s="126"/>
      <c r="P383" s="126"/>
      <c r="Q383" s="126"/>
      <c r="R383" s="436"/>
      <c r="S383" s="436"/>
      <c r="T383" s="18"/>
      <c r="U383" s="18"/>
      <c r="V383" s="18"/>
      <c r="W383" s="45"/>
      <c r="X383" s="67"/>
    </row>
    <row r="384" spans="1:25" ht="14.25" customHeight="1">
      <c r="A384" s="427"/>
      <c r="B384" s="122" t="s">
        <v>55</v>
      </c>
      <c r="C384" s="53" t="s">
        <v>133</v>
      </c>
      <c r="D384" s="48" t="s">
        <v>56</v>
      </c>
      <c r="E384" s="424" t="s">
        <v>25</v>
      </c>
      <c r="F384" s="118" t="s">
        <v>67</v>
      </c>
      <c r="G384" s="136"/>
      <c r="H384" s="37"/>
      <c r="I384" s="126"/>
      <c r="J384" s="126"/>
      <c r="K384" s="18"/>
      <c r="L384" s="18"/>
      <c r="M384" s="18">
        <v>2800</v>
      </c>
      <c r="N384" s="80">
        <v>1</v>
      </c>
      <c r="O384" s="126"/>
      <c r="P384" s="126"/>
      <c r="Q384" s="126">
        <f>Jan!CQ295</f>
        <v>1</v>
      </c>
      <c r="R384" s="436"/>
      <c r="S384" s="436"/>
      <c r="T384" s="18"/>
      <c r="U384" s="18"/>
      <c r="V384" s="18">
        <f t="shared" ref="V384:V389" si="6">O384-T384-U384+V361</f>
        <v>0</v>
      </c>
      <c r="W384" s="45"/>
      <c r="X384" s="67"/>
    </row>
    <row r="385" spans="1:25" ht="14.25" customHeight="1">
      <c r="A385" s="427"/>
      <c r="B385" s="122" t="s">
        <v>122</v>
      </c>
      <c r="C385" s="180" t="s">
        <v>123</v>
      </c>
      <c r="D385" s="48" t="s">
        <v>56</v>
      </c>
      <c r="E385" s="441"/>
      <c r="F385" s="155" t="s">
        <v>64</v>
      </c>
      <c r="G385" s="136"/>
      <c r="H385" s="135"/>
      <c r="I385" s="158"/>
      <c r="J385" s="158"/>
      <c r="K385" s="128"/>
      <c r="L385" s="128"/>
      <c r="M385" s="128"/>
      <c r="N385" s="164"/>
      <c r="O385" s="158">
        <f>Jan!CR285</f>
        <v>1008</v>
      </c>
      <c r="P385" s="158">
        <f>Jan!CS285</f>
        <v>1046</v>
      </c>
      <c r="Q385" s="158">
        <f>Jan!CQ285</f>
        <v>3</v>
      </c>
      <c r="R385" s="436"/>
      <c r="S385" s="436"/>
      <c r="T385" s="18"/>
      <c r="U385" s="18"/>
      <c r="V385" s="18">
        <f t="shared" si="6"/>
        <v>15391</v>
      </c>
      <c r="W385" s="45"/>
      <c r="X385" s="67"/>
    </row>
    <row r="386" spans="1:25" ht="14.25" customHeight="1">
      <c r="A386" s="427"/>
      <c r="B386" s="122" t="s">
        <v>125</v>
      </c>
      <c r="C386" s="53" t="s">
        <v>88</v>
      </c>
      <c r="D386" s="48" t="s">
        <v>124</v>
      </c>
      <c r="E386" s="441"/>
      <c r="F386" s="118" t="s">
        <v>64</v>
      </c>
      <c r="G386" s="37"/>
      <c r="H386" s="126">
        <v>576</v>
      </c>
      <c r="I386" s="126"/>
      <c r="J386" s="126"/>
      <c r="K386" s="18"/>
      <c r="L386" s="18"/>
      <c r="M386" s="18">
        <v>95600</v>
      </c>
      <c r="N386" s="80">
        <v>13</v>
      </c>
      <c r="O386" s="126">
        <f>Jan!CR283</f>
        <v>2000</v>
      </c>
      <c r="P386" s="126">
        <f>Jan!CS283</f>
        <v>3052</v>
      </c>
      <c r="Q386" s="126">
        <f>Jan!CQ283</f>
        <v>13</v>
      </c>
      <c r="R386" s="436"/>
      <c r="S386" s="436"/>
      <c r="T386" s="18"/>
      <c r="U386" s="18"/>
      <c r="V386" s="18">
        <f t="shared" si="6"/>
        <v>2000</v>
      </c>
      <c r="W386" s="45"/>
      <c r="X386" s="67"/>
    </row>
    <row r="387" spans="1:25" ht="30.75" customHeight="1">
      <c r="A387" s="427"/>
      <c r="B387" s="122" t="s">
        <v>58</v>
      </c>
      <c r="C387" s="180" t="s">
        <v>139</v>
      </c>
      <c r="D387" s="48" t="s">
        <v>56</v>
      </c>
      <c r="E387" s="441"/>
      <c r="F387" s="118" t="s">
        <v>67</v>
      </c>
      <c r="G387" s="119"/>
      <c r="H387" s="126"/>
      <c r="I387" s="126"/>
      <c r="J387" s="2"/>
      <c r="K387" s="18"/>
      <c r="L387" s="18"/>
      <c r="M387" s="18"/>
      <c r="N387" s="18"/>
      <c r="O387" s="126"/>
      <c r="P387" s="126"/>
      <c r="Q387" s="126"/>
      <c r="R387" s="436"/>
      <c r="S387" s="436"/>
      <c r="T387" s="18"/>
      <c r="U387" s="18"/>
      <c r="V387" s="18">
        <f t="shared" si="6"/>
        <v>43</v>
      </c>
      <c r="W387" s="45"/>
      <c r="X387" s="67"/>
    </row>
    <row r="388" spans="1:25" ht="15" customHeight="1">
      <c r="A388" s="427"/>
      <c r="B388" s="122" t="s">
        <v>47</v>
      </c>
      <c r="C388" s="53" t="s">
        <v>100</v>
      </c>
      <c r="D388" s="48" t="s">
        <v>99</v>
      </c>
      <c r="E388" s="441"/>
      <c r="F388" s="118" t="s">
        <v>71</v>
      </c>
      <c r="G388" s="119"/>
      <c r="H388" s="126"/>
      <c r="I388" s="126"/>
      <c r="J388" s="2"/>
      <c r="K388" s="18"/>
      <c r="L388" s="18"/>
      <c r="M388" s="18">
        <v>24000</v>
      </c>
      <c r="N388" s="18">
        <v>4</v>
      </c>
      <c r="O388" s="126">
        <f>Jan!CR284</f>
        <v>2169</v>
      </c>
      <c r="P388" s="126">
        <f>Jan!CS284</f>
        <v>1613</v>
      </c>
      <c r="Q388" s="126">
        <f>Jan!CQ284</f>
        <v>6</v>
      </c>
      <c r="R388" s="436"/>
      <c r="S388" s="436"/>
      <c r="T388" s="18"/>
      <c r="U388" s="18"/>
      <c r="V388" s="18">
        <f t="shared" si="6"/>
        <v>16673</v>
      </c>
      <c r="W388" s="45"/>
      <c r="X388" s="67"/>
    </row>
    <row r="389" spans="1:25" ht="15" customHeight="1">
      <c r="A389" s="427"/>
      <c r="B389" s="122" t="s">
        <v>134</v>
      </c>
      <c r="C389" s="53" t="s">
        <v>63</v>
      </c>
      <c r="D389" s="48" t="s">
        <v>135</v>
      </c>
      <c r="E389" s="441"/>
      <c r="F389" s="118" t="s">
        <v>64</v>
      </c>
      <c r="G389" s="119"/>
      <c r="H389" s="126"/>
      <c r="I389" s="126"/>
      <c r="J389" s="2"/>
      <c r="K389" s="18">
        <v>33200</v>
      </c>
      <c r="L389" s="18">
        <v>4</v>
      </c>
      <c r="M389" s="18">
        <v>8300</v>
      </c>
      <c r="N389" s="18">
        <v>1</v>
      </c>
      <c r="O389" s="126">
        <f>Jan!CR288</f>
        <v>233</v>
      </c>
      <c r="P389" s="126">
        <f>Jan!CS288</f>
        <v>1018</v>
      </c>
      <c r="Q389" s="126">
        <f>Jan!CQ288</f>
        <v>4</v>
      </c>
      <c r="R389" s="436"/>
      <c r="S389" s="436"/>
      <c r="T389" s="18"/>
      <c r="U389" s="18"/>
      <c r="V389" s="18">
        <f t="shared" si="6"/>
        <v>233</v>
      </c>
      <c r="W389" s="45"/>
      <c r="X389" s="67"/>
    </row>
    <row r="390" spans="1:25" ht="15" customHeight="1">
      <c r="A390" s="427"/>
      <c r="B390" s="122" t="s">
        <v>131</v>
      </c>
      <c r="C390" s="180" t="s">
        <v>194</v>
      </c>
      <c r="D390" s="48" t="s">
        <v>132</v>
      </c>
      <c r="E390" s="441"/>
      <c r="F390" s="118" t="s">
        <v>64</v>
      </c>
      <c r="G390" s="119"/>
      <c r="H390" s="126"/>
      <c r="I390" s="126"/>
      <c r="J390" s="2"/>
      <c r="K390" s="18"/>
      <c r="L390" s="18"/>
      <c r="M390" s="18"/>
      <c r="N390" s="18"/>
      <c r="O390" s="126"/>
      <c r="P390" s="126"/>
      <c r="Q390" s="126">
        <f>Jan!CQ289</f>
        <v>1</v>
      </c>
      <c r="R390" s="436"/>
      <c r="S390" s="436"/>
      <c r="T390" s="18"/>
      <c r="U390" s="18"/>
      <c r="V390" s="18"/>
      <c r="W390" s="45"/>
      <c r="X390" s="67"/>
    </row>
    <row r="391" spans="1:25" ht="15" customHeight="1">
      <c r="A391" s="427"/>
      <c r="B391" s="122" t="s">
        <v>101</v>
      </c>
      <c r="C391" s="180" t="s">
        <v>193</v>
      </c>
      <c r="D391" s="48" t="s">
        <v>102</v>
      </c>
      <c r="E391" s="441"/>
      <c r="F391" s="118" t="s">
        <v>64</v>
      </c>
      <c r="G391" s="119"/>
      <c r="H391" s="126"/>
      <c r="I391" s="126"/>
      <c r="J391" s="2"/>
      <c r="K391" s="18"/>
      <c r="L391" s="18"/>
      <c r="M391" s="18"/>
      <c r="N391" s="18"/>
      <c r="O391" s="126"/>
      <c r="P391" s="126"/>
      <c r="Q391" s="126">
        <f>Jan!CQ290</f>
        <v>1</v>
      </c>
      <c r="R391" s="436"/>
      <c r="S391" s="436"/>
      <c r="T391" s="18"/>
      <c r="U391" s="18"/>
      <c r="V391" s="18"/>
      <c r="W391" s="45"/>
      <c r="X391" s="67"/>
    </row>
    <row r="392" spans="1:25" ht="15" customHeight="1">
      <c r="A392" s="427"/>
      <c r="B392" s="122" t="s">
        <v>103</v>
      </c>
      <c r="C392" s="157" t="s">
        <v>197</v>
      </c>
      <c r="D392" s="48" t="s">
        <v>104</v>
      </c>
      <c r="E392" s="441"/>
      <c r="F392" s="118" t="s">
        <v>105</v>
      </c>
      <c r="G392" s="119"/>
      <c r="H392" s="126"/>
      <c r="I392" s="126"/>
      <c r="J392" s="2"/>
      <c r="K392" s="18"/>
      <c r="L392" s="18"/>
      <c r="M392" s="18"/>
      <c r="N392" s="18"/>
      <c r="O392" s="126"/>
      <c r="P392" s="126"/>
      <c r="Q392" s="126">
        <f>Jan!CQ291</f>
        <v>1</v>
      </c>
      <c r="R392" s="436"/>
      <c r="S392" s="436"/>
      <c r="T392" s="18"/>
      <c r="U392" s="18"/>
      <c r="V392" s="18"/>
      <c r="W392" s="45"/>
      <c r="X392" s="67"/>
    </row>
    <row r="393" spans="1:25" ht="15" customHeight="1">
      <c r="A393" s="427"/>
      <c r="B393" s="137" t="s">
        <v>112</v>
      </c>
      <c r="C393" s="157" t="s">
        <v>197</v>
      </c>
      <c r="D393" s="48" t="s">
        <v>104</v>
      </c>
      <c r="E393" s="441"/>
      <c r="F393" s="118" t="s">
        <v>113</v>
      </c>
      <c r="G393" s="119"/>
      <c r="H393" s="126"/>
      <c r="I393" s="126"/>
      <c r="J393" s="2"/>
      <c r="K393" s="18"/>
      <c r="L393" s="18"/>
      <c r="M393" s="18"/>
      <c r="N393" s="18"/>
      <c r="O393" s="126"/>
      <c r="P393" s="126"/>
      <c r="Q393" s="126">
        <f>Jan!CQ294</f>
        <v>1</v>
      </c>
      <c r="R393" s="436"/>
      <c r="S393" s="436"/>
      <c r="T393" s="18"/>
      <c r="U393" s="18"/>
      <c r="V393" s="18"/>
      <c r="W393" s="45"/>
      <c r="X393" s="67"/>
    </row>
    <row r="394" spans="1:25" ht="15" customHeight="1">
      <c r="A394" s="427"/>
      <c r="B394" s="137" t="s">
        <v>106</v>
      </c>
      <c r="C394" s="157" t="s">
        <v>141</v>
      </c>
      <c r="D394" s="48" t="s">
        <v>68</v>
      </c>
      <c r="E394" s="441"/>
      <c r="F394" s="118" t="s">
        <v>67</v>
      </c>
      <c r="G394" s="119"/>
      <c r="H394" s="126"/>
      <c r="I394" s="126"/>
      <c r="J394" s="2"/>
      <c r="K394" s="18"/>
      <c r="L394" s="18"/>
      <c r="M394" s="18"/>
      <c r="N394" s="18"/>
      <c r="O394" s="126"/>
      <c r="P394" s="126"/>
      <c r="Q394" s="126">
        <f>Jan!CQ292</f>
        <v>1</v>
      </c>
      <c r="R394" s="436"/>
      <c r="S394" s="436"/>
      <c r="T394" s="18"/>
      <c r="U394" s="18"/>
      <c r="V394" s="18"/>
      <c r="W394" s="45"/>
      <c r="X394" s="67"/>
    </row>
    <row r="395" spans="1:25" ht="15" customHeight="1" thickBot="1">
      <c r="A395" s="428"/>
      <c r="B395" s="44" t="s">
        <v>107</v>
      </c>
      <c r="C395" s="181" t="s">
        <v>195</v>
      </c>
      <c r="D395" s="61" t="s">
        <v>108</v>
      </c>
      <c r="E395" s="447"/>
      <c r="F395" s="133" t="s">
        <v>48</v>
      </c>
      <c r="G395" s="132"/>
      <c r="H395" s="109"/>
      <c r="I395" s="134"/>
      <c r="J395" s="129"/>
      <c r="K395" s="130"/>
      <c r="L395" s="130"/>
      <c r="M395" s="130"/>
      <c r="N395" s="130"/>
      <c r="O395" s="134"/>
      <c r="P395" s="134"/>
      <c r="Q395" s="134">
        <f>Jan!CQ293</f>
        <v>1</v>
      </c>
      <c r="R395" s="437"/>
      <c r="S395" s="437"/>
      <c r="T395" s="130"/>
      <c r="U395" s="130"/>
      <c r="V395" s="128"/>
      <c r="W395" s="85"/>
      <c r="X395" s="67"/>
    </row>
    <row r="396" spans="1:25" ht="15" customHeight="1">
      <c r="A396" s="426">
        <v>46046</v>
      </c>
      <c r="B396" s="429" t="s">
        <v>44</v>
      </c>
      <c r="C396" s="432" t="s">
        <v>240</v>
      </c>
      <c r="D396" s="19" t="s">
        <v>37</v>
      </c>
      <c r="E396" s="19" t="s">
        <v>25</v>
      </c>
      <c r="F396" s="39" t="s">
        <v>40</v>
      </c>
      <c r="G396" s="41"/>
      <c r="H396" s="32"/>
      <c r="I396" s="32"/>
      <c r="J396" s="32"/>
      <c r="K396" s="20">
        <v>24000</v>
      </c>
      <c r="L396" s="20">
        <v>3</v>
      </c>
      <c r="M396" s="20">
        <v>8000</v>
      </c>
      <c r="N396" s="84">
        <v>1</v>
      </c>
      <c r="O396" s="32">
        <f>Jan!CU272</f>
        <v>38274</v>
      </c>
      <c r="P396" s="32">
        <f>Jan!CV272</f>
        <v>23207</v>
      </c>
      <c r="Q396" s="32">
        <f>Jan!CT272</f>
        <v>70</v>
      </c>
      <c r="R396" s="435">
        <f>Jan!CU296</f>
        <v>78526</v>
      </c>
      <c r="S396" s="435">
        <f>Jan!CV296</f>
        <v>64583</v>
      </c>
      <c r="T396" s="20">
        <v>14079</v>
      </c>
      <c r="U396" s="20"/>
      <c r="V396" s="20">
        <f>O396-T396-U396+V373</f>
        <v>39301</v>
      </c>
      <c r="W396" s="77"/>
      <c r="X396" s="36"/>
    </row>
    <row r="397" spans="1:25" ht="15" customHeight="1">
      <c r="A397" s="427"/>
      <c r="B397" s="430"/>
      <c r="C397" s="433"/>
      <c r="D397" s="113" t="s">
        <v>69</v>
      </c>
      <c r="E397" s="438" t="s">
        <v>24</v>
      </c>
      <c r="F397" s="118" t="s">
        <v>40</v>
      </c>
      <c r="G397" s="38"/>
      <c r="H397" s="37"/>
      <c r="I397" s="125"/>
      <c r="J397" s="125"/>
      <c r="K397" s="127"/>
      <c r="L397" s="127"/>
      <c r="M397" s="127"/>
      <c r="N397" s="81"/>
      <c r="O397" s="125">
        <f>Jan!CU274</f>
        <v>6513</v>
      </c>
      <c r="P397" s="125">
        <f>Jan!CV274</f>
        <v>6870</v>
      </c>
      <c r="Q397" s="125">
        <f>Jan!CT274</f>
        <v>20</v>
      </c>
      <c r="R397" s="436"/>
      <c r="S397" s="436"/>
      <c r="T397" s="127"/>
      <c r="U397" s="127"/>
      <c r="V397" s="127">
        <f>O397-T397-U397+V374</f>
        <v>6604</v>
      </c>
      <c r="W397" s="46"/>
      <c r="X397" s="67"/>
    </row>
    <row r="398" spans="1:25" ht="15" customHeight="1">
      <c r="A398" s="427"/>
      <c r="B398" s="431"/>
      <c r="C398" s="434"/>
      <c r="D398" s="113" t="s">
        <v>128</v>
      </c>
      <c r="E398" s="431"/>
      <c r="F398" s="114" t="s">
        <v>40</v>
      </c>
      <c r="G398" s="135"/>
      <c r="H398" s="135">
        <v>3037.5</v>
      </c>
      <c r="I398" s="125"/>
      <c r="J398" s="125"/>
      <c r="K398" s="18">
        <v>8000</v>
      </c>
      <c r="L398" s="127">
        <v>1</v>
      </c>
      <c r="M398" s="127"/>
      <c r="N398" s="81"/>
      <c r="O398" s="126">
        <f>Jan!CU275</f>
        <v>10824</v>
      </c>
      <c r="P398" s="125">
        <f>Jan!CV275</f>
        <v>7624</v>
      </c>
      <c r="Q398" s="125">
        <f>Jan!CT275</f>
        <v>22</v>
      </c>
      <c r="R398" s="436"/>
      <c r="S398" s="436"/>
      <c r="T398" s="127">
        <v>7105</v>
      </c>
      <c r="U398" s="127"/>
      <c r="V398" s="127">
        <f>O398-T398-U398+V375</f>
        <v>6238</v>
      </c>
      <c r="W398" s="46"/>
      <c r="X398" s="67"/>
    </row>
    <row r="399" spans="1:25" ht="15" customHeight="1">
      <c r="A399" s="427"/>
      <c r="B399" s="439" t="s">
        <v>45</v>
      </c>
      <c r="C399" s="440" t="s">
        <v>59</v>
      </c>
      <c r="D399" s="118" t="s">
        <v>75</v>
      </c>
      <c r="E399" s="131" t="s">
        <v>25</v>
      </c>
      <c r="F399" s="131" t="s">
        <v>57</v>
      </c>
      <c r="G399" s="87"/>
      <c r="H399" s="136"/>
      <c r="I399" s="126"/>
      <c r="J399" s="2"/>
      <c r="K399" s="127"/>
      <c r="L399" s="18"/>
      <c r="M399" s="18">
        <v>80900</v>
      </c>
      <c r="N399" s="80">
        <v>16</v>
      </c>
      <c r="O399" s="126">
        <f>Jan!CU280</f>
        <v>4695</v>
      </c>
      <c r="P399" s="126">
        <f>Jan!CV280</f>
        <v>2532</v>
      </c>
      <c r="Q399" s="2">
        <f>Jan!CT280</f>
        <v>12</v>
      </c>
      <c r="R399" s="436"/>
      <c r="S399" s="436"/>
      <c r="T399" s="18"/>
      <c r="U399" s="18"/>
      <c r="V399" s="18">
        <f>O399-T399-U399+V376</f>
        <v>15076</v>
      </c>
      <c r="W399" s="46"/>
      <c r="Y399" s="13"/>
    </row>
    <row r="400" spans="1:25">
      <c r="A400" s="427"/>
      <c r="B400" s="439"/>
      <c r="C400" s="440"/>
      <c r="D400" s="118" t="s">
        <v>72</v>
      </c>
      <c r="E400" s="424" t="s">
        <v>24</v>
      </c>
      <c r="F400" s="131" t="s">
        <v>57</v>
      </c>
      <c r="G400" s="136"/>
      <c r="H400" s="136"/>
      <c r="I400" s="126"/>
      <c r="J400" s="126"/>
      <c r="K400" s="127">
        <v>15000</v>
      </c>
      <c r="L400" s="18">
        <v>3</v>
      </c>
      <c r="M400" s="18">
        <v>50000</v>
      </c>
      <c r="N400" s="80">
        <v>10</v>
      </c>
      <c r="O400" s="126">
        <f>Jan!CU281</f>
        <v>1926</v>
      </c>
      <c r="P400" s="126">
        <f>Jan!CV281</f>
        <v>3084</v>
      </c>
      <c r="Q400" s="126">
        <f>Jan!CT281</f>
        <v>15</v>
      </c>
      <c r="R400" s="436"/>
      <c r="S400" s="436"/>
      <c r="T400" s="18"/>
      <c r="U400" s="18"/>
      <c r="V400" s="18">
        <f>O400-T400-U400+V378</f>
        <v>16253</v>
      </c>
      <c r="W400" s="46"/>
      <c r="Y400" s="13"/>
    </row>
    <row r="401" spans="1:25">
      <c r="A401" s="427"/>
      <c r="B401" s="439"/>
      <c r="C401" s="440"/>
      <c r="D401" s="115" t="s">
        <v>73</v>
      </c>
      <c r="E401" s="425"/>
      <c r="F401" s="131"/>
      <c r="G401" s="136"/>
      <c r="H401" s="152">
        <v>1650</v>
      </c>
      <c r="I401" s="126"/>
      <c r="J401" s="126"/>
      <c r="K401" s="127"/>
      <c r="L401" s="18"/>
      <c r="M401" s="18"/>
      <c r="N401" s="80"/>
      <c r="O401" s="126"/>
      <c r="P401" s="126"/>
      <c r="Q401" s="126"/>
      <c r="R401" s="436"/>
      <c r="S401" s="436"/>
      <c r="T401" s="18"/>
      <c r="U401" s="18"/>
      <c r="V401" s="18"/>
      <c r="W401" s="46"/>
      <c r="Y401" s="13"/>
    </row>
    <row r="402" spans="1:25">
      <c r="A402" s="427"/>
      <c r="B402" s="439"/>
      <c r="C402" s="440"/>
      <c r="D402" s="115" t="s">
        <v>79</v>
      </c>
      <c r="E402" s="118" t="s">
        <v>65</v>
      </c>
      <c r="F402" s="131" t="s">
        <v>57</v>
      </c>
      <c r="G402" s="136"/>
      <c r="H402" s="136"/>
      <c r="I402" s="126"/>
      <c r="J402" s="126"/>
      <c r="K402" s="127"/>
      <c r="L402" s="18"/>
      <c r="M402" s="18">
        <v>69000</v>
      </c>
      <c r="N402" s="80">
        <v>14</v>
      </c>
      <c r="O402" s="126">
        <f>Jan!CU282</f>
        <v>4601</v>
      </c>
      <c r="P402" s="126">
        <f>Jan!CV282</f>
        <v>4797</v>
      </c>
      <c r="Q402" s="126">
        <f>Jan!CT282</f>
        <v>22</v>
      </c>
      <c r="R402" s="436"/>
      <c r="S402" s="436"/>
      <c r="T402" s="18">
        <v>4797</v>
      </c>
      <c r="U402" s="18">
        <v>3</v>
      </c>
      <c r="V402" s="18">
        <f>O402-T402-U402+V379</f>
        <v>7211</v>
      </c>
      <c r="W402" s="46"/>
      <c r="Y402" s="13"/>
    </row>
    <row r="403" spans="1:25" ht="14.25" customHeight="1">
      <c r="A403" s="427"/>
      <c r="B403" s="442" t="s">
        <v>53</v>
      </c>
      <c r="C403" s="444" t="s">
        <v>60</v>
      </c>
      <c r="D403" s="43" t="s">
        <v>98</v>
      </c>
      <c r="E403" s="441" t="s">
        <v>66</v>
      </c>
      <c r="F403" s="118" t="s">
        <v>54</v>
      </c>
      <c r="G403" s="136"/>
      <c r="H403" s="136"/>
      <c r="I403" s="126"/>
      <c r="J403" s="126"/>
      <c r="K403" s="127"/>
      <c r="L403" s="18"/>
      <c r="M403" s="18"/>
      <c r="N403" s="80"/>
      <c r="O403" s="126">
        <f>Jan!CU278</f>
        <v>3012</v>
      </c>
      <c r="P403" s="126">
        <f>Jan!CV278</f>
        <v>2481</v>
      </c>
      <c r="Q403" s="126">
        <f>Jan!CT278</f>
        <v>8</v>
      </c>
      <c r="R403" s="436"/>
      <c r="S403" s="436"/>
      <c r="T403" s="18">
        <v>5913</v>
      </c>
      <c r="U403" s="18"/>
      <c r="V403" s="18"/>
      <c r="W403" s="45"/>
      <c r="X403" s="36"/>
    </row>
    <row r="404" spans="1:25" ht="14.25" customHeight="1">
      <c r="A404" s="427"/>
      <c r="B404" s="443"/>
      <c r="C404" s="446"/>
      <c r="D404" s="43" t="s">
        <v>130</v>
      </c>
      <c r="E404" s="425"/>
      <c r="F404" s="118" t="s">
        <v>54</v>
      </c>
      <c r="G404" s="87">
        <v>2935.73</v>
      </c>
      <c r="H404" s="37"/>
      <c r="I404" s="126"/>
      <c r="J404" s="126"/>
      <c r="K404" s="18">
        <v>17700</v>
      </c>
      <c r="L404" s="18">
        <v>3</v>
      </c>
      <c r="M404" s="18">
        <v>41300</v>
      </c>
      <c r="N404" s="80">
        <v>7</v>
      </c>
      <c r="O404" s="126">
        <f>Jan!CU279</f>
        <v>6734</v>
      </c>
      <c r="P404" s="126">
        <f>Jan!CV279</f>
        <v>7390</v>
      </c>
      <c r="Q404" s="126">
        <f>Jan!CT279</f>
        <v>23</v>
      </c>
      <c r="R404" s="436"/>
      <c r="S404" s="436"/>
      <c r="T404" s="18">
        <v>6464</v>
      </c>
      <c r="U404" s="18"/>
      <c r="V404" s="18">
        <f>O404-T404-U404+V382</f>
        <v>6090</v>
      </c>
      <c r="W404" s="45"/>
      <c r="X404" s="36"/>
    </row>
    <row r="405" spans="1:25" ht="14.25" customHeight="1">
      <c r="A405" s="427"/>
      <c r="B405" s="122" t="s">
        <v>55</v>
      </c>
      <c r="C405" s="180" t="s">
        <v>133</v>
      </c>
      <c r="D405" s="48" t="s">
        <v>56</v>
      </c>
      <c r="E405" s="424" t="s">
        <v>25</v>
      </c>
      <c r="F405" s="118" t="s">
        <v>67</v>
      </c>
      <c r="G405" s="136"/>
      <c r="H405" s="37"/>
      <c r="I405" s="126"/>
      <c r="J405" s="126"/>
      <c r="K405" s="18"/>
      <c r="L405" s="18"/>
      <c r="M405" s="18">
        <v>2800</v>
      </c>
      <c r="N405" s="80">
        <v>1</v>
      </c>
      <c r="O405" s="126"/>
      <c r="P405" s="126"/>
      <c r="Q405" s="126">
        <f>Jan!CT295</f>
        <v>1</v>
      </c>
      <c r="R405" s="436"/>
      <c r="S405" s="436"/>
      <c r="T405" s="18"/>
      <c r="U405" s="18"/>
      <c r="V405" s="18">
        <f>O405-T405-U405+V384</f>
        <v>0</v>
      </c>
      <c r="W405" s="45"/>
      <c r="X405" s="67"/>
    </row>
    <row r="406" spans="1:25" ht="14.25" customHeight="1">
      <c r="A406" s="427"/>
      <c r="B406" s="122" t="s">
        <v>122</v>
      </c>
      <c r="C406" s="180" t="s">
        <v>123</v>
      </c>
      <c r="D406" s="48" t="s">
        <v>56</v>
      </c>
      <c r="E406" s="441"/>
      <c r="F406" s="155" t="s">
        <v>64</v>
      </c>
      <c r="G406" s="136"/>
      <c r="H406" s="135"/>
      <c r="I406" s="158"/>
      <c r="J406" s="158"/>
      <c r="K406" s="128"/>
      <c r="L406" s="128"/>
      <c r="M406" s="128"/>
      <c r="N406" s="164"/>
      <c r="O406" s="158">
        <f>Jan!CU285</f>
        <v>811</v>
      </c>
      <c r="P406" s="158">
        <f>Jan!CV285</f>
        <v>960</v>
      </c>
      <c r="Q406" s="158">
        <f>Jan!CT285</f>
        <v>3</v>
      </c>
      <c r="R406" s="436"/>
      <c r="S406" s="436"/>
      <c r="T406" s="18"/>
      <c r="U406" s="18"/>
      <c r="V406" s="18">
        <f>O406-T406-U406+V385</f>
        <v>16202</v>
      </c>
      <c r="W406" s="45"/>
      <c r="X406" s="67"/>
    </row>
    <row r="407" spans="1:25" ht="14.25" customHeight="1">
      <c r="A407" s="427"/>
      <c r="B407" s="122" t="s">
        <v>125</v>
      </c>
      <c r="C407" s="180" t="s">
        <v>88</v>
      </c>
      <c r="D407" s="48" t="s">
        <v>124</v>
      </c>
      <c r="E407" s="441"/>
      <c r="F407" s="118" t="s">
        <v>64</v>
      </c>
      <c r="G407" s="37"/>
      <c r="H407" s="37"/>
      <c r="I407" s="126"/>
      <c r="J407" s="126"/>
      <c r="K407" s="18"/>
      <c r="L407" s="18"/>
      <c r="M407" s="18">
        <v>95600</v>
      </c>
      <c r="N407" s="80">
        <v>13</v>
      </c>
      <c r="O407" s="126"/>
      <c r="P407" s="126">
        <f>Jan!CV283</f>
        <v>2851</v>
      </c>
      <c r="Q407" s="126">
        <f>Jan!CT283</f>
        <v>13</v>
      </c>
      <c r="R407" s="436"/>
      <c r="S407" s="436"/>
      <c r="T407" s="18"/>
      <c r="U407" s="18"/>
      <c r="V407" s="18">
        <f>O407-T407-U407+V386</f>
        <v>2000</v>
      </c>
      <c r="W407" s="45"/>
      <c r="X407" s="67"/>
    </row>
    <row r="408" spans="1:25" ht="18" customHeight="1">
      <c r="A408" s="427"/>
      <c r="B408" s="442" t="s">
        <v>58</v>
      </c>
      <c r="C408" s="444" t="s">
        <v>139</v>
      </c>
      <c r="D408" s="48" t="s">
        <v>56</v>
      </c>
      <c r="E408" s="441"/>
      <c r="F408" s="118" t="s">
        <v>67</v>
      </c>
      <c r="G408" s="119"/>
      <c r="H408" s="126"/>
      <c r="I408" s="126"/>
      <c r="J408" s="2"/>
      <c r="K408" s="18"/>
      <c r="L408" s="18"/>
      <c r="M408" s="18"/>
      <c r="N408" s="18"/>
      <c r="O408" s="126"/>
      <c r="P408" s="126"/>
      <c r="Q408" s="126"/>
      <c r="R408" s="436"/>
      <c r="S408" s="436"/>
      <c r="T408" s="18"/>
      <c r="U408" s="18"/>
      <c r="V408" s="18">
        <f>O408-T408-U408+V387</f>
        <v>43</v>
      </c>
      <c r="W408" s="45"/>
      <c r="X408" s="67"/>
    </row>
    <row r="409" spans="1:25" ht="15.75" customHeight="1">
      <c r="A409" s="427"/>
      <c r="B409" s="439"/>
      <c r="C409" s="445"/>
      <c r="D409" s="48" t="s">
        <v>56</v>
      </c>
      <c r="E409" s="441"/>
      <c r="F409" s="118" t="s">
        <v>140</v>
      </c>
      <c r="G409" s="152">
        <v>1044</v>
      </c>
      <c r="H409" s="126"/>
      <c r="I409" s="126"/>
      <c r="J409" s="2"/>
      <c r="K409" s="18"/>
      <c r="L409" s="18"/>
      <c r="M409" s="18">
        <v>9000</v>
      </c>
      <c r="N409" s="18">
        <v>3</v>
      </c>
      <c r="O409" s="126"/>
      <c r="P409" s="126"/>
      <c r="Q409" s="126"/>
      <c r="R409" s="436"/>
      <c r="S409" s="436"/>
      <c r="T409" s="18"/>
      <c r="U409" s="18"/>
      <c r="V409" s="18"/>
      <c r="W409" s="45"/>
      <c r="X409" s="67"/>
    </row>
    <row r="410" spans="1:25" ht="15.75" customHeight="1">
      <c r="A410" s="427"/>
      <c r="B410" s="443"/>
      <c r="C410" s="446"/>
      <c r="D410" s="48" t="s">
        <v>92</v>
      </c>
      <c r="E410" s="441"/>
      <c r="F410" s="118"/>
      <c r="G410" s="119"/>
      <c r="H410" s="126">
        <v>750</v>
      </c>
      <c r="I410" s="126"/>
      <c r="J410" s="2"/>
      <c r="K410" s="18"/>
      <c r="L410" s="18"/>
      <c r="M410" s="18"/>
      <c r="N410" s="18"/>
      <c r="O410" s="126"/>
      <c r="P410" s="126"/>
      <c r="Q410" s="126"/>
      <c r="R410" s="436"/>
      <c r="S410" s="436"/>
      <c r="T410" s="18"/>
      <c r="U410" s="18"/>
      <c r="V410" s="18"/>
      <c r="W410" s="45"/>
      <c r="X410" s="67"/>
    </row>
    <row r="411" spans="1:25" ht="15" customHeight="1">
      <c r="A411" s="427"/>
      <c r="B411" s="122" t="s">
        <v>47</v>
      </c>
      <c r="C411" s="180" t="s">
        <v>100</v>
      </c>
      <c r="D411" s="48" t="s">
        <v>99</v>
      </c>
      <c r="E411" s="441"/>
      <c r="F411" s="118" t="s">
        <v>71</v>
      </c>
      <c r="G411" s="119"/>
      <c r="H411" s="126"/>
      <c r="I411" s="126"/>
      <c r="J411" s="2"/>
      <c r="K411" s="18"/>
      <c r="L411" s="18"/>
      <c r="M411" s="18">
        <v>24000</v>
      </c>
      <c r="N411" s="18">
        <v>4</v>
      </c>
      <c r="O411" s="126">
        <f>Jan!CU284</f>
        <v>562</v>
      </c>
      <c r="P411" s="126">
        <f>Jan!CV284</f>
        <v>1516</v>
      </c>
      <c r="Q411" s="126">
        <f>Jan!CT284</f>
        <v>6</v>
      </c>
      <c r="R411" s="436"/>
      <c r="S411" s="436"/>
      <c r="T411" s="18"/>
      <c r="U411" s="18"/>
      <c r="V411" s="18">
        <f>O411-T411-U411+V388</f>
        <v>17235</v>
      </c>
      <c r="W411" s="45"/>
      <c r="X411" s="67"/>
    </row>
    <row r="412" spans="1:25" ht="15" customHeight="1">
      <c r="A412" s="427"/>
      <c r="B412" s="122" t="s">
        <v>134</v>
      </c>
      <c r="C412" s="180" t="s">
        <v>63</v>
      </c>
      <c r="D412" s="48" t="s">
        <v>135</v>
      </c>
      <c r="E412" s="441"/>
      <c r="F412" s="118" t="s">
        <v>64</v>
      </c>
      <c r="G412" s="119"/>
      <c r="H412" s="126">
        <v>612</v>
      </c>
      <c r="I412" s="126"/>
      <c r="J412" s="2"/>
      <c r="K412" s="18"/>
      <c r="L412" s="18"/>
      <c r="M412" s="18">
        <v>8300</v>
      </c>
      <c r="N412" s="18">
        <v>1</v>
      </c>
      <c r="O412" s="126">
        <f>Jan!CU288</f>
        <v>574</v>
      </c>
      <c r="P412" s="126">
        <f>Jan!CV288</f>
        <v>1075</v>
      </c>
      <c r="Q412" s="126">
        <f>Jan!CT288</f>
        <v>4</v>
      </c>
      <c r="R412" s="436"/>
      <c r="S412" s="436"/>
      <c r="T412" s="18"/>
      <c r="U412" s="18"/>
      <c r="V412" s="18">
        <f>O412-T412-U412+V389</f>
        <v>807</v>
      </c>
      <c r="W412" s="45"/>
      <c r="X412" s="67"/>
    </row>
    <row r="413" spans="1:25" ht="15" customHeight="1">
      <c r="A413" s="427"/>
      <c r="B413" s="122" t="s">
        <v>131</v>
      </c>
      <c r="C413" s="180" t="s">
        <v>194</v>
      </c>
      <c r="D413" s="48" t="s">
        <v>132</v>
      </c>
      <c r="E413" s="441"/>
      <c r="F413" s="118" t="s">
        <v>64</v>
      </c>
      <c r="G413" s="119"/>
      <c r="H413" s="126"/>
      <c r="I413" s="126"/>
      <c r="J413" s="2"/>
      <c r="K413" s="18"/>
      <c r="L413" s="18"/>
      <c r="M413" s="18"/>
      <c r="N413" s="18"/>
      <c r="O413" s="126"/>
      <c r="P413" s="126"/>
      <c r="Q413" s="126">
        <f>Jan!CT289</f>
        <v>1</v>
      </c>
      <c r="R413" s="436"/>
      <c r="S413" s="436"/>
      <c r="T413" s="18"/>
      <c r="U413" s="18"/>
      <c r="V413" s="18"/>
      <c r="W413" s="45"/>
      <c r="X413" s="67"/>
    </row>
    <row r="414" spans="1:25" ht="15" customHeight="1">
      <c r="A414" s="427"/>
      <c r="B414" s="122" t="s">
        <v>101</v>
      </c>
      <c r="C414" s="180" t="s">
        <v>193</v>
      </c>
      <c r="D414" s="48" t="s">
        <v>102</v>
      </c>
      <c r="E414" s="441"/>
      <c r="F414" s="118" t="s">
        <v>64</v>
      </c>
      <c r="G414" s="119"/>
      <c r="H414" s="126"/>
      <c r="I414" s="126"/>
      <c r="J414" s="2"/>
      <c r="K414" s="18"/>
      <c r="L414" s="18"/>
      <c r="M414" s="18"/>
      <c r="N414" s="18"/>
      <c r="O414" s="126"/>
      <c r="P414" s="126"/>
      <c r="Q414" s="126">
        <f>Jan!CT290</f>
        <v>1</v>
      </c>
      <c r="R414" s="436"/>
      <c r="S414" s="436"/>
      <c r="T414" s="18"/>
      <c r="U414" s="18"/>
      <c r="V414" s="18"/>
      <c r="W414" s="45"/>
      <c r="X414" s="67"/>
    </row>
    <row r="415" spans="1:25" ht="15" customHeight="1">
      <c r="A415" s="427"/>
      <c r="B415" s="122" t="s">
        <v>103</v>
      </c>
      <c r="C415" s="157" t="s">
        <v>197</v>
      </c>
      <c r="D415" s="48" t="s">
        <v>104</v>
      </c>
      <c r="E415" s="441"/>
      <c r="F415" s="118" t="s">
        <v>105</v>
      </c>
      <c r="G415" s="119"/>
      <c r="H415" s="126"/>
      <c r="I415" s="126"/>
      <c r="J415" s="2"/>
      <c r="K415" s="18"/>
      <c r="L415" s="18"/>
      <c r="M415" s="18"/>
      <c r="N415" s="18"/>
      <c r="O415" s="126"/>
      <c r="P415" s="126"/>
      <c r="Q415" s="126">
        <f>Jan!CT291</f>
        <v>1</v>
      </c>
      <c r="R415" s="436"/>
      <c r="S415" s="436"/>
      <c r="T415" s="18"/>
      <c r="U415" s="18"/>
      <c r="V415" s="18"/>
      <c r="W415" s="45"/>
      <c r="X415" s="67"/>
    </row>
    <row r="416" spans="1:25" ht="15" customHeight="1">
      <c r="A416" s="427"/>
      <c r="B416" s="137" t="s">
        <v>112</v>
      </c>
      <c r="C416" s="157" t="s">
        <v>197</v>
      </c>
      <c r="D416" s="48" t="s">
        <v>104</v>
      </c>
      <c r="E416" s="441"/>
      <c r="F416" s="118" t="s">
        <v>113</v>
      </c>
      <c r="G416" s="119"/>
      <c r="H416" s="126"/>
      <c r="I416" s="126"/>
      <c r="J416" s="2"/>
      <c r="K416" s="18"/>
      <c r="L416" s="18"/>
      <c r="M416" s="18"/>
      <c r="N416" s="18"/>
      <c r="O416" s="126"/>
      <c r="P416" s="126"/>
      <c r="Q416" s="126">
        <f>Jan!CT294</f>
        <v>1</v>
      </c>
      <c r="R416" s="436"/>
      <c r="S416" s="436"/>
      <c r="T416" s="18"/>
      <c r="U416" s="18"/>
      <c r="V416" s="18"/>
      <c r="W416" s="45"/>
      <c r="X416" s="67"/>
    </row>
    <row r="417" spans="1:25" ht="15" customHeight="1">
      <c r="A417" s="427"/>
      <c r="B417" s="137" t="s">
        <v>106</v>
      </c>
      <c r="C417" s="157" t="s">
        <v>141</v>
      </c>
      <c r="D417" s="48" t="s">
        <v>68</v>
      </c>
      <c r="E417" s="441"/>
      <c r="F417" s="118" t="s">
        <v>67</v>
      </c>
      <c r="G417" s="119"/>
      <c r="H417" s="126"/>
      <c r="I417" s="126"/>
      <c r="J417" s="2"/>
      <c r="K417" s="18"/>
      <c r="L417" s="18"/>
      <c r="M417" s="18"/>
      <c r="N417" s="18"/>
      <c r="O417" s="126"/>
      <c r="P417" s="126">
        <f>Jan!CV292</f>
        <v>196</v>
      </c>
      <c r="Q417" s="126">
        <f>Jan!CT292</f>
        <v>1</v>
      </c>
      <c r="R417" s="436"/>
      <c r="S417" s="436"/>
      <c r="T417" s="18"/>
      <c r="U417" s="18"/>
      <c r="V417" s="18"/>
      <c r="W417" s="45"/>
      <c r="X417" s="67"/>
    </row>
    <row r="418" spans="1:25" ht="15" customHeight="1" thickBot="1">
      <c r="A418" s="428"/>
      <c r="B418" s="44" t="s">
        <v>107</v>
      </c>
      <c r="C418" s="181" t="s">
        <v>195</v>
      </c>
      <c r="D418" s="61" t="s">
        <v>108</v>
      </c>
      <c r="E418" s="447"/>
      <c r="F418" s="133" t="s">
        <v>48</v>
      </c>
      <c r="G418" s="132"/>
      <c r="H418" s="109"/>
      <c r="I418" s="134"/>
      <c r="J418" s="129"/>
      <c r="K418" s="130"/>
      <c r="L418" s="130"/>
      <c r="M418" s="130"/>
      <c r="N418" s="130"/>
      <c r="O418" s="134"/>
      <c r="P418" s="134"/>
      <c r="Q418" s="134">
        <f>Jan!CT293</f>
        <v>1</v>
      </c>
      <c r="R418" s="437"/>
      <c r="S418" s="437"/>
      <c r="T418" s="130"/>
      <c r="U418" s="130"/>
      <c r="V418" s="128"/>
      <c r="W418" s="85"/>
      <c r="X418" s="67"/>
    </row>
    <row r="419" spans="1:25" ht="15" customHeight="1">
      <c r="A419" s="426">
        <v>46048</v>
      </c>
      <c r="B419" s="429" t="s">
        <v>44</v>
      </c>
      <c r="C419" s="432" t="s">
        <v>240</v>
      </c>
      <c r="D419" s="19" t="s">
        <v>37</v>
      </c>
      <c r="E419" s="19" t="s">
        <v>25</v>
      </c>
      <c r="F419" s="39" t="s">
        <v>40</v>
      </c>
      <c r="G419" s="41"/>
      <c r="H419" s="32"/>
      <c r="I419" s="32"/>
      <c r="J419" s="32"/>
      <c r="K419" s="20">
        <v>8000</v>
      </c>
      <c r="L419" s="20">
        <v>1</v>
      </c>
      <c r="M419" s="20"/>
      <c r="N419" s="84"/>
      <c r="O419" s="32">
        <f>Jan!DA272</f>
        <v>18785</v>
      </c>
      <c r="P419" s="32">
        <f>Jan!DB272</f>
        <v>23322</v>
      </c>
      <c r="Q419" s="32">
        <f>Jan!CZ272</f>
        <v>66</v>
      </c>
      <c r="R419" s="435">
        <f>Jan!DA296</f>
        <v>57781</v>
      </c>
      <c r="S419" s="435">
        <f>Jan!DB296</f>
        <v>66704</v>
      </c>
      <c r="T419" s="20">
        <v>44766</v>
      </c>
      <c r="U419" s="20">
        <v>14</v>
      </c>
      <c r="V419" s="20">
        <f>O419-T419-U419+V396</f>
        <v>13306</v>
      </c>
      <c r="W419" s="77"/>
      <c r="X419" s="36"/>
    </row>
    <row r="420" spans="1:25" ht="15" customHeight="1">
      <c r="A420" s="427"/>
      <c r="B420" s="430"/>
      <c r="C420" s="433"/>
      <c r="D420" s="113" t="s">
        <v>69</v>
      </c>
      <c r="E420" s="438" t="s">
        <v>24</v>
      </c>
      <c r="F420" s="118" t="s">
        <v>40</v>
      </c>
      <c r="G420" s="38"/>
      <c r="H420" s="37"/>
      <c r="I420" s="125"/>
      <c r="J420" s="125"/>
      <c r="K420" s="127"/>
      <c r="L420" s="127"/>
      <c r="M420" s="127"/>
      <c r="N420" s="81"/>
      <c r="O420" s="125">
        <f>Jan!DA274</f>
        <v>5175</v>
      </c>
      <c r="P420" s="125">
        <f>Jan!DB274</f>
        <v>7290</v>
      </c>
      <c r="Q420" s="125">
        <f>Jan!CZ274</f>
        <v>20</v>
      </c>
      <c r="R420" s="436"/>
      <c r="S420" s="436"/>
      <c r="T420" s="127">
        <v>8073</v>
      </c>
      <c r="U420" s="127"/>
      <c r="V420" s="127">
        <f>O420-T420-U420+V397</f>
        <v>3706</v>
      </c>
      <c r="W420" s="46"/>
      <c r="X420" s="67"/>
    </row>
    <row r="421" spans="1:25" ht="15" customHeight="1">
      <c r="A421" s="427"/>
      <c r="B421" s="431"/>
      <c r="C421" s="434"/>
      <c r="D421" s="113" t="s">
        <v>128</v>
      </c>
      <c r="E421" s="431"/>
      <c r="F421" s="114" t="s">
        <v>40</v>
      </c>
      <c r="G421" s="135"/>
      <c r="H421" s="135"/>
      <c r="I421" s="125"/>
      <c r="J421" s="125"/>
      <c r="K421" s="18"/>
      <c r="L421" s="127"/>
      <c r="M421" s="127"/>
      <c r="N421" s="81"/>
      <c r="O421" s="126">
        <f>Jan!DA275</f>
        <v>3468</v>
      </c>
      <c r="P421" s="125">
        <f>Jan!DB275</f>
        <v>8099</v>
      </c>
      <c r="Q421" s="125">
        <f>Jan!CZ275</f>
        <v>22</v>
      </c>
      <c r="R421" s="436"/>
      <c r="S421" s="436"/>
      <c r="T421" s="127">
        <v>9325</v>
      </c>
      <c r="U421" s="127"/>
      <c r="V421" s="127">
        <f>O421-T421-U421+V398</f>
        <v>381</v>
      </c>
      <c r="W421" s="46"/>
      <c r="X421" s="67"/>
    </row>
    <row r="422" spans="1:25" ht="15" customHeight="1">
      <c r="A422" s="427"/>
      <c r="B422" s="442" t="s">
        <v>45</v>
      </c>
      <c r="C422" s="448" t="s">
        <v>59</v>
      </c>
      <c r="D422" s="118" t="s">
        <v>75</v>
      </c>
      <c r="E422" s="131" t="s">
        <v>25</v>
      </c>
      <c r="F422" s="131" t="s">
        <v>57</v>
      </c>
      <c r="G422" s="87"/>
      <c r="H422" s="136"/>
      <c r="I422" s="126"/>
      <c r="J422" s="2"/>
      <c r="K422" s="127"/>
      <c r="L422" s="18"/>
      <c r="M422" s="18">
        <v>80900</v>
      </c>
      <c r="N422" s="80">
        <v>16</v>
      </c>
      <c r="O422" s="126">
        <f>Jan!DA280</f>
        <v>3117</v>
      </c>
      <c r="P422" s="126">
        <f>Jan!DB280</f>
        <v>2775</v>
      </c>
      <c r="Q422" s="2">
        <f>Jan!CZ280</f>
        <v>12</v>
      </c>
      <c r="R422" s="436"/>
      <c r="S422" s="436"/>
      <c r="T422" s="18"/>
      <c r="U422" s="18"/>
      <c r="V422" s="18">
        <f>O422-T422-U422+V399</f>
        <v>18193</v>
      </c>
      <c r="W422" s="46"/>
      <c r="Y422" s="13"/>
    </row>
    <row r="423" spans="1:25">
      <c r="A423" s="427"/>
      <c r="B423" s="439"/>
      <c r="C423" s="440"/>
      <c r="D423" s="118" t="s">
        <v>72</v>
      </c>
      <c r="E423" s="155" t="s">
        <v>24</v>
      </c>
      <c r="F423" s="131" t="s">
        <v>57</v>
      </c>
      <c r="G423" s="136"/>
      <c r="H423" s="136"/>
      <c r="I423" s="126"/>
      <c r="J423" s="126"/>
      <c r="K423" s="127"/>
      <c r="L423" s="18"/>
      <c r="M423" s="18">
        <v>50000</v>
      </c>
      <c r="N423" s="80">
        <v>10</v>
      </c>
      <c r="O423" s="126">
        <f>Jan!DA281</f>
        <v>3124</v>
      </c>
      <c r="P423" s="126">
        <f>Jan!DB281</f>
        <v>3031</v>
      </c>
      <c r="Q423" s="126">
        <f>Jan!CZ281</f>
        <v>13</v>
      </c>
      <c r="R423" s="436"/>
      <c r="S423" s="436"/>
      <c r="T423" s="18"/>
      <c r="U423" s="18"/>
      <c r="V423" s="18">
        <f>O423-T423-U423+V400</f>
        <v>19377</v>
      </c>
      <c r="W423" s="46"/>
      <c r="Y423" s="13"/>
    </row>
    <row r="424" spans="1:25">
      <c r="A424" s="427"/>
      <c r="B424" s="439"/>
      <c r="C424" s="440"/>
      <c r="D424" s="115" t="s">
        <v>79</v>
      </c>
      <c r="E424" s="424" t="s">
        <v>65</v>
      </c>
      <c r="F424" s="131" t="s">
        <v>57</v>
      </c>
      <c r="G424" s="136"/>
      <c r="H424" s="136"/>
      <c r="I424" s="126"/>
      <c r="J424" s="126"/>
      <c r="K424" s="127"/>
      <c r="L424" s="18"/>
      <c r="M424" s="18">
        <v>69000</v>
      </c>
      <c r="N424" s="80">
        <v>14</v>
      </c>
      <c r="O424" s="126">
        <f>Jan!DA282</f>
        <v>2053</v>
      </c>
      <c r="P424" s="126">
        <f>Jan!DB282</f>
        <v>4906</v>
      </c>
      <c r="Q424" s="126">
        <f>Jan!CZ282</f>
        <v>22</v>
      </c>
      <c r="R424" s="436"/>
      <c r="S424" s="436"/>
      <c r="T424" s="18">
        <v>6519</v>
      </c>
      <c r="U424" s="18">
        <v>7</v>
      </c>
      <c r="V424" s="18">
        <f>O424-T424-U424+V402</f>
        <v>2738</v>
      </c>
      <c r="W424" s="46"/>
      <c r="Y424" s="13"/>
    </row>
    <row r="425" spans="1:25">
      <c r="A425" s="427"/>
      <c r="B425" s="443"/>
      <c r="C425" s="449"/>
      <c r="D425" s="115" t="s">
        <v>80</v>
      </c>
      <c r="E425" s="425"/>
      <c r="F425" s="131"/>
      <c r="G425" s="136"/>
      <c r="H425" s="152">
        <v>1980</v>
      </c>
      <c r="I425" s="126"/>
      <c r="J425" s="126"/>
      <c r="K425" s="127"/>
      <c r="L425" s="18"/>
      <c r="M425" s="18"/>
      <c r="N425" s="80"/>
      <c r="O425" s="126"/>
      <c r="P425" s="126"/>
      <c r="Q425" s="126"/>
      <c r="R425" s="436"/>
      <c r="S425" s="436"/>
      <c r="T425" s="18"/>
      <c r="U425" s="18"/>
      <c r="V425" s="18"/>
      <c r="W425" s="46"/>
      <c r="Y425" s="13"/>
    </row>
    <row r="426" spans="1:25" ht="14.25" customHeight="1">
      <c r="A426" s="427"/>
      <c r="B426" s="442" t="s">
        <v>53</v>
      </c>
      <c r="C426" s="444" t="s">
        <v>60</v>
      </c>
      <c r="D426" s="43" t="s">
        <v>98</v>
      </c>
      <c r="E426" s="441" t="s">
        <v>66</v>
      </c>
      <c r="F426" s="118" t="s">
        <v>54</v>
      </c>
      <c r="G426" s="136"/>
      <c r="H426" s="136"/>
      <c r="I426" s="126"/>
      <c r="J426" s="126"/>
      <c r="K426" s="127"/>
      <c r="L426" s="18"/>
      <c r="M426" s="18"/>
      <c r="N426" s="80"/>
      <c r="O426" s="126">
        <f>Jan!DA278</f>
        <v>5280</v>
      </c>
      <c r="P426" s="126">
        <f>Jan!DB278</f>
        <v>1446</v>
      </c>
      <c r="Q426" s="126">
        <f>Jan!CZ278</f>
        <v>5</v>
      </c>
      <c r="R426" s="436"/>
      <c r="S426" s="436"/>
      <c r="T426" s="18"/>
      <c r="U426" s="18"/>
      <c r="V426" s="18">
        <f>O426-T426-U426+V403</f>
        <v>5280</v>
      </c>
      <c r="W426" s="45"/>
      <c r="X426" s="36"/>
    </row>
    <row r="427" spans="1:25" ht="14.25" customHeight="1">
      <c r="A427" s="427"/>
      <c r="B427" s="439"/>
      <c r="C427" s="445"/>
      <c r="D427" s="43" t="s">
        <v>130</v>
      </c>
      <c r="E427" s="425"/>
      <c r="F427" s="118" t="s">
        <v>54</v>
      </c>
      <c r="G427" s="87">
        <v>4179.68</v>
      </c>
      <c r="H427" s="37"/>
      <c r="I427" s="126"/>
      <c r="J427" s="126"/>
      <c r="K427" s="18">
        <v>11800</v>
      </c>
      <c r="L427" s="18">
        <v>2</v>
      </c>
      <c r="M427" s="18">
        <v>29500</v>
      </c>
      <c r="N427" s="80">
        <v>5</v>
      </c>
      <c r="O427" s="126">
        <f>Jan!DA279</f>
        <v>7200</v>
      </c>
      <c r="P427" s="126">
        <f>Jan!DB279</f>
        <v>8495</v>
      </c>
      <c r="Q427" s="126">
        <f>Jan!CZ279</f>
        <v>25</v>
      </c>
      <c r="R427" s="436"/>
      <c r="S427" s="436"/>
      <c r="T427" s="18">
        <v>13289</v>
      </c>
      <c r="U427" s="18"/>
      <c r="V427" s="18"/>
      <c r="W427" s="45"/>
      <c r="X427" s="36"/>
    </row>
    <row r="428" spans="1:25" ht="14.25" customHeight="1">
      <c r="A428" s="427"/>
      <c r="B428" s="443"/>
      <c r="C428" s="446"/>
      <c r="D428" s="43" t="s">
        <v>127</v>
      </c>
      <c r="E428" s="424" t="s">
        <v>25</v>
      </c>
      <c r="F428" s="118"/>
      <c r="G428" s="136"/>
      <c r="H428" s="126">
        <v>2310</v>
      </c>
      <c r="I428" s="126"/>
      <c r="J428" s="126"/>
      <c r="K428" s="18"/>
      <c r="L428" s="18"/>
      <c r="M428" s="18"/>
      <c r="N428" s="80"/>
      <c r="O428" s="126"/>
      <c r="P428" s="126"/>
      <c r="Q428" s="126"/>
      <c r="R428" s="436"/>
      <c r="S428" s="436"/>
      <c r="T428" s="18"/>
      <c r="U428" s="18"/>
      <c r="V428" s="18"/>
      <c r="W428" s="45"/>
      <c r="X428" s="67"/>
    </row>
    <row r="429" spans="1:25" ht="14.25" customHeight="1">
      <c r="A429" s="427"/>
      <c r="B429" s="122" t="s">
        <v>55</v>
      </c>
      <c r="C429" s="180" t="s">
        <v>133</v>
      </c>
      <c r="D429" s="48" t="s">
        <v>56</v>
      </c>
      <c r="E429" s="441"/>
      <c r="F429" s="118" t="s">
        <v>67</v>
      </c>
      <c r="G429" s="136"/>
      <c r="H429" s="37"/>
      <c r="I429" s="126"/>
      <c r="J429" s="126"/>
      <c r="K429" s="18"/>
      <c r="L429" s="18"/>
      <c r="M429" s="18">
        <v>2800</v>
      </c>
      <c r="N429" s="80">
        <v>1</v>
      </c>
      <c r="O429" s="126"/>
      <c r="P429" s="126"/>
      <c r="Q429" s="126">
        <f>Jan!CZ295</f>
        <v>1</v>
      </c>
      <c r="R429" s="436"/>
      <c r="S429" s="436"/>
      <c r="T429" s="18"/>
      <c r="U429" s="18"/>
      <c r="V429" s="18">
        <f>O429-T429-U429+V405</f>
        <v>0</v>
      </c>
      <c r="W429" s="45"/>
      <c r="X429" s="67"/>
    </row>
    <row r="430" spans="1:25" ht="14.25" customHeight="1">
      <c r="A430" s="427"/>
      <c r="B430" s="442" t="s">
        <v>122</v>
      </c>
      <c r="C430" s="444" t="s">
        <v>123</v>
      </c>
      <c r="D430" s="48" t="s">
        <v>56</v>
      </c>
      <c r="E430" s="441"/>
      <c r="F430" s="155" t="s">
        <v>64</v>
      </c>
      <c r="G430" s="152">
        <v>348</v>
      </c>
      <c r="H430" s="182"/>
      <c r="I430" s="125"/>
      <c r="J430" s="125"/>
      <c r="K430" s="127">
        <v>3000</v>
      </c>
      <c r="L430" s="127">
        <v>1</v>
      </c>
      <c r="M430" s="127"/>
      <c r="N430" s="171"/>
      <c r="O430" s="125">
        <f>Jan!DA285</f>
        <v>1200</v>
      </c>
      <c r="P430" s="125">
        <f>Jan!DB285</f>
        <v>1052</v>
      </c>
      <c r="Q430" s="125">
        <f>Jan!CZ285</f>
        <v>3</v>
      </c>
      <c r="R430" s="436"/>
      <c r="S430" s="436"/>
      <c r="T430" s="18"/>
      <c r="U430" s="18"/>
      <c r="V430" s="18">
        <f>O430-T430-U430+V406</f>
        <v>17402</v>
      </c>
      <c r="W430" s="45"/>
      <c r="X430" s="67"/>
    </row>
    <row r="431" spans="1:25" ht="14.25" customHeight="1">
      <c r="A431" s="427"/>
      <c r="B431" s="443"/>
      <c r="C431" s="446"/>
      <c r="D431" s="48" t="s">
        <v>129</v>
      </c>
      <c r="E431" s="441"/>
      <c r="F431" s="155"/>
      <c r="G431" s="136"/>
      <c r="H431" s="158">
        <v>750</v>
      </c>
      <c r="I431" s="158"/>
      <c r="J431" s="158"/>
      <c r="K431" s="128"/>
      <c r="L431" s="128"/>
      <c r="M431" s="128"/>
      <c r="N431" s="164"/>
      <c r="O431" s="158"/>
      <c r="P431" s="158"/>
      <c r="Q431" s="158"/>
      <c r="R431" s="436"/>
      <c r="S431" s="436"/>
      <c r="T431" s="18"/>
      <c r="U431" s="18"/>
      <c r="V431" s="18"/>
      <c r="W431" s="45"/>
      <c r="X431" s="67"/>
    </row>
    <row r="432" spans="1:25" ht="14.25" customHeight="1">
      <c r="A432" s="427"/>
      <c r="B432" s="122" t="s">
        <v>125</v>
      </c>
      <c r="C432" s="180" t="s">
        <v>88</v>
      </c>
      <c r="D432" s="48" t="s">
        <v>124</v>
      </c>
      <c r="E432" s="441"/>
      <c r="F432" s="118" t="s">
        <v>64</v>
      </c>
      <c r="G432" s="37"/>
      <c r="H432" s="37"/>
      <c r="I432" s="126"/>
      <c r="J432" s="126"/>
      <c r="K432" s="18"/>
      <c r="L432" s="18"/>
      <c r="M432" s="18">
        <v>95600</v>
      </c>
      <c r="N432" s="80">
        <v>13</v>
      </c>
      <c r="O432" s="126">
        <f>Jan!DA283</f>
        <v>3488</v>
      </c>
      <c r="P432" s="126">
        <f>Jan!DB283</f>
        <v>3066</v>
      </c>
      <c r="Q432" s="126">
        <f>Jan!CZ283</f>
        <v>13</v>
      </c>
      <c r="R432" s="436"/>
      <c r="S432" s="436"/>
      <c r="T432" s="18"/>
      <c r="U432" s="18"/>
      <c r="V432" s="18">
        <f>O432-T432-U432+V407</f>
        <v>5488</v>
      </c>
      <c r="W432" s="45"/>
      <c r="X432" s="67"/>
    </row>
    <row r="433" spans="1:24" ht="13.5" customHeight="1">
      <c r="A433" s="427"/>
      <c r="B433" s="442" t="s">
        <v>58</v>
      </c>
      <c r="C433" s="444" t="s">
        <v>139</v>
      </c>
      <c r="D433" s="48" t="s">
        <v>56</v>
      </c>
      <c r="E433" s="441"/>
      <c r="F433" s="118" t="s">
        <v>67</v>
      </c>
      <c r="G433" s="119"/>
      <c r="H433" s="126"/>
      <c r="I433" s="126"/>
      <c r="J433" s="2"/>
      <c r="K433" s="18"/>
      <c r="L433" s="18"/>
      <c r="M433" s="18"/>
      <c r="N433" s="18"/>
      <c r="O433" s="126"/>
      <c r="P433" s="126"/>
      <c r="Q433" s="126"/>
      <c r="R433" s="436"/>
      <c r="S433" s="436"/>
      <c r="T433" s="18"/>
      <c r="U433" s="18"/>
      <c r="V433" s="18">
        <f>O433-T433-U433+V408</f>
        <v>43</v>
      </c>
      <c r="W433" s="45"/>
      <c r="X433" s="67"/>
    </row>
    <row r="434" spans="1:24" ht="15.75" customHeight="1">
      <c r="A434" s="427"/>
      <c r="B434" s="439"/>
      <c r="C434" s="445"/>
      <c r="D434" s="48" t="s">
        <v>56</v>
      </c>
      <c r="E434" s="441"/>
      <c r="F434" s="118" t="s">
        <v>140</v>
      </c>
      <c r="G434" s="119"/>
      <c r="H434" s="126"/>
      <c r="I434" s="126"/>
      <c r="J434" s="2"/>
      <c r="K434" s="18">
        <v>6000</v>
      </c>
      <c r="L434" s="18">
        <v>2</v>
      </c>
      <c r="M434" s="18">
        <v>3000</v>
      </c>
      <c r="N434" s="18">
        <v>1</v>
      </c>
      <c r="O434" s="126"/>
      <c r="P434" s="126"/>
      <c r="Q434" s="126">
        <f>Jan!CZ286</f>
        <v>2</v>
      </c>
      <c r="R434" s="436"/>
      <c r="S434" s="436"/>
      <c r="T434" s="18"/>
      <c r="U434" s="18"/>
      <c r="V434" s="18"/>
      <c r="W434" s="45"/>
      <c r="X434" s="67"/>
    </row>
    <row r="435" spans="1:24" ht="15.75" customHeight="1">
      <c r="A435" s="427"/>
      <c r="B435" s="443"/>
      <c r="C435" s="446"/>
      <c r="D435" s="48" t="s">
        <v>92</v>
      </c>
      <c r="E435" s="441"/>
      <c r="F435" s="118"/>
      <c r="G435" s="119"/>
      <c r="H435" s="126"/>
      <c r="I435" s="126"/>
      <c r="J435" s="2"/>
      <c r="K435" s="18"/>
      <c r="L435" s="18"/>
      <c r="M435" s="18"/>
      <c r="N435" s="18"/>
      <c r="O435" s="126"/>
      <c r="P435" s="126"/>
      <c r="Q435" s="126"/>
      <c r="R435" s="436"/>
      <c r="S435" s="436"/>
      <c r="T435" s="18"/>
      <c r="U435" s="18"/>
      <c r="V435" s="18"/>
      <c r="W435" s="45"/>
      <c r="X435" s="67"/>
    </row>
    <row r="436" spans="1:24" ht="15" customHeight="1">
      <c r="A436" s="427"/>
      <c r="B436" s="442" t="s">
        <v>47</v>
      </c>
      <c r="C436" s="444" t="s">
        <v>100</v>
      </c>
      <c r="D436" s="48" t="s">
        <v>99</v>
      </c>
      <c r="E436" s="441"/>
      <c r="F436" s="118" t="s">
        <v>71</v>
      </c>
      <c r="G436" s="119"/>
      <c r="H436" s="126"/>
      <c r="I436" s="126"/>
      <c r="J436" s="2"/>
      <c r="K436" s="18">
        <v>6000</v>
      </c>
      <c r="L436" s="18">
        <v>1</v>
      </c>
      <c r="M436" s="18">
        <v>18000</v>
      </c>
      <c r="N436" s="18">
        <v>3</v>
      </c>
      <c r="O436" s="126">
        <f>Jan!DA284</f>
        <v>3453</v>
      </c>
      <c r="P436" s="126">
        <f>Jan!DB284</f>
        <v>1791</v>
      </c>
      <c r="Q436" s="126">
        <f>Jan!CZ284</f>
        <v>7</v>
      </c>
      <c r="R436" s="436"/>
      <c r="S436" s="436"/>
      <c r="T436" s="18"/>
      <c r="U436" s="18"/>
      <c r="V436" s="18">
        <f>O436-T436-U436+V411</f>
        <v>20688</v>
      </c>
      <c r="W436" s="45"/>
      <c r="X436" s="67"/>
    </row>
    <row r="437" spans="1:24" ht="15" customHeight="1">
      <c r="A437" s="427"/>
      <c r="B437" s="443"/>
      <c r="C437" s="446"/>
      <c r="D437" s="48" t="s">
        <v>121</v>
      </c>
      <c r="E437" s="441"/>
      <c r="F437" s="118"/>
      <c r="G437" s="119"/>
      <c r="H437" s="126">
        <v>612</v>
      </c>
      <c r="I437" s="126"/>
      <c r="J437" s="2"/>
      <c r="K437" s="18"/>
      <c r="L437" s="18"/>
      <c r="M437" s="18"/>
      <c r="N437" s="18"/>
      <c r="O437" s="126"/>
      <c r="P437" s="126"/>
      <c r="Q437" s="126"/>
      <c r="R437" s="436"/>
      <c r="S437" s="436"/>
      <c r="T437" s="18"/>
      <c r="U437" s="18"/>
      <c r="V437" s="18"/>
      <c r="W437" s="45"/>
      <c r="X437" s="67"/>
    </row>
    <row r="438" spans="1:24" ht="15" customHeight="1">
      <c r="A438" s="427"/>
      <c r="B438" s="122" t="s">
        <v>134</v>
      </c>
      <c r="C438" s="180" t="s">
        <v>63</v>
      </c>
      <c r="D438" s="48" t="s">
        <v>135</v>
      </c>
      <c r="E438" s="441"/>
      <c r="F438" s="118" t="s">
        <v>64</v>
      </c>
      <c r="G438" s="119"/>
      <c r="H438" s="126"/>
      <c r="I438" s="126"/>
      <c r="J438" s="2"/>
      <c r="K438" s="18"/>
      <c r="L438" s="18"/>
      <c r="M438" s="18">
        <v>8300</v>
      </c>
      <c r="N438" s="18">
        <v>1</v>
      </c>
      <c r="O438" s="126">
        <f>Jan!DA288</f>
        <v>938</v>
      </c>
      <c r="P438" s="126">
        <f>Jan!DB288</f>
        <v>1115</v>
      </c>
      <c r="Q438" s="126">
        <f>Jan!CZ288</f>
        <v>4</v>
      </c>
      <c r="R438" s="436"/>
      <c r="S438" s="436"/>
      <c r="T438" s="18"/>
      <c r="U438" s="18"/>
      <c r="V438" s="18">
        <f>O438-T438-U438+V412</f>
        <v>1745</v>
      </c>
      <c r="W438" s="45"/>
      <c r="X438" s="67"/>
    </row>
    <row r="439" spans="1:24" ht="15" customHeight="1">
      <c r="A439" s="427"/>
      <c r="B439" s="122" t="s">
        <v>131</v>
      </c>
      <c r="C439" s="180" t="s">
        <v>194</v>
      </c>
      <c r="D439" s="48" t="s">
        <v>132</v>
      </c>
      <c r="E439" s="441"/>
      <c r="F439" s="118" t="s">
        <v>64</v>
      </c>
      <c r="G439" s="119"/>
      <c r="H439" s="126"/>
      <c r="I439" s="126"/>
      <c r="J439" s="2"/>
      <c r="K439" s="18"/>
      <c r="L439" s="18"/>
      <c r="M439" s="18"/>
      <c r="N439" s="18"/>
      <c r="O439" s="126"/>
      <c r="P439" s="126"/>
      <c r="Q439" s="126">
        <f>Jan!CZ289</f>
        <v>1</v>
      </c>
      <c r="R439" s="436"/>
      <c r="S439" s="436"/>
      <c r="T439" s="18"/>
      <c r="U439" s="18"/>
      <c r="V439" s="18"/>
      <c r="W439" s="45"/>
      <c r="X439" s="67"/>
    </row>
    <row r="440" spans="1:24" ht="15" customHeight="1">
      <c r="A440" s="427"/>
      <c r="B440" s="122" t="s">
        <v>101</v>
      </c>
      <c r="C440" s="180" t="s">
        <v>193</v>
      </c>
      <c r="D440" s="48" t="s">
        <v>102</v>
      </c>
      <c r="E440" s="441"/>
      <c r="F440" s="118" t="s">
        <v>64</v>
      </c>
      <c r="G440" s="119"/>
      <c r="H440" s="126"/>
      <c r="I440" s="126"/>
      <c r="J440" s="2"/>
      <c r="K440" s="18"/>
      <c r="L440" s="18"/>
      <c r="M440" s="18"/>
      <c r="N440" s="18"/>
      <c r="O440" s="126"/>
      <c r="P440" s="126"/>
      <c r="Q440" s="126">
        <f>Jan!CZ290</f>
        <v>1</v>
      </c>
      <c r="R440" s="436"/>
      <c r="S440" s="436"/>
      <c r="T440" s="18"/>
      <c r="U440" s="18"/>
      <c r="V440" s="18"/>
      <c r="W440" s="45"/>
      <c r="X440" s="67"/>
    </row>
    <row r="441" spans="1:24" ht="15" customHeight="1">
      <c r="A441" s="427"/>
      <c r="B441" s="122" t="s">
        <v>103</v>
      </c>
      <c r="C441" s="157" t="s">
        <v>197</v>
      </c>
      <c r="D441" s="48" t="s">
        <v>104</v>
      </c>
      <c r="E441" s="441"/>
      <c r="F441" s="118" t="s">
        <v>105</v>
      </c>
      <c r="G441" s="119"/>
      <c r="H441" s="126"/>
      <c r="I441" s="126"/>
      <c r="J441" s="2"/>
      <c r="K441" s="18"/>
      <c r="L441" s="18"/>
      <c r="M441" s="18"/>
      <c r="N441" s="18"/>
      <c r="O441" s="126"/>
      <c r="P441" s="126"/>
      <c r="Q441" s="126">
        <f>Jan!CZ291</f>
        <v>1</v>
      </c>
      <c r="R441" s="436"/>
      <c r="S441" s="436"/>
      <c r="T441" s="18"/>
      <c r="U441" s="18"/>
      <c r="V441" s="18"/>
      <c r="W441" s="45"/>
      <c r="X441" s="67"/>
    </row>
    <row r="442" spans="1:24" ht="15" customHeight="1">
      <c r="A442" s="427"/>
      <c r="B442" s="137" t="s">
        <v>112</v>
      </c>
      <c r="C442" s="157" t="s">
        <v>197</v>
      </c>
      <c r="D442" s="48" t="s">
        <v>104</v>
      </c>
      <c r="E442" s="441"/>
      <c r="F442" s="118" t="s">
        <v>113</v>
      </c>
      <c r="G442" s="119"/>
      <c r="H442" s="126"/>
      <c r="I442" s="126"/>
      <c r="J442" s="2"/>
      <c r="K442" s="18"/>
      <c r="L442" s="18"/>
      <c r="M442" s="18"/>
      <c r="N442" s="18"/>
      <c r="O442" s="126"/>
      <c r="P442" s="126"/>
      <c r="Q442" s="126">
        <f>Jan!CZ294</f>
        <v>1</v>
      </c>
      <c r="R442" s="436"/>
      <c r="S442" s="436"/>
      <c r="T442" s="18"/>
      <c r="U442" s="18"/>
      <c r="V442" s="18"/>
      <c r="W442" s="45"/>
      <c r="X442" s="67"/>
    </row>
    <row r="443" spans="1:24" ht="15" customHeight="1">
      <c r="A443" s="427"/>
      <c r="B443" s="442" t="s">
        <v>106</v>
      </c>
      <c r="C443" s="444" t="s">
        <v>141</v>
      </c>
      <c r="D443" s="48" t="s">
        <v>68</v>
      </c>
      <c r="E443" s="441"/>
      <c r="F443" s="118" t="s">
        <v>67</v>
      </c>
      <c r="G443" s="87">
        <v>228.13</v>
      </c>
      <c r="H443" s="126"/>
      <c r="I443" s="126"/>
      <c r="J443" s="2"/>
      <c r="K443" s="18"/>
      <c r="L443" s="18"/>
      <c r="M443" s="18"/>
      <c r="N443" s="18"/>
      <c r="O443" s="126">
        <f>Jan!DA292</f>
        <v>500</v>
      </c>
      <c r="P443" s="126">
        <f>Jan!DB292</f>
        <v>316</v>
      </c>
      <c r="Q443" s="126">
        <f>Jan!CZ292</f>
        <v>1</v>
      </c>
      <c r="R443" s="436"/>
      <c r="S443" s="436"/>
      <c r="T443" s="18"/>
      <c r="U443" s="18"/>
      <c r="V443" s="18">
        <f>O443-T443-U443+V417</f>
        <v>500</v>
      </c>
      <c r="W443" s="45"/>
      <c r="X443" s="67"/>
    </row>
    <row r="444" spans="1:24" ht="15" customHeight="1">
      <c r="A444" s="427"/>
      <c r="B444" s="443"/>
      <c r="C444" s="446"/>
      <c r="D444" s="48" t="s">
        <v>109</v>
      </c>
      <c r="E444" s="441"/>
      <c r="F444" s="118"/>
      <c r="G444" s="119"/>
      <c r="H444" s="126">
        <v>36</v>
      </c>
      <c r="I444" s="126"/>
      <c r="J444" s="2"/>
      <c r="K444" s="18"/>
      <c r="L444" s="18"/>
      <c r="M444" s="18"/>
      <c r="N444" s="18"/>
      <c r="O444" s="126"/>
      <c r="P444" s="126"/>
      <c r="Q444" s="126"/>
      <c r="R444" s="436"/>
      <c r="S444" s="436"/>
      <c r="T444" s="127"/>
      <c r="U444" s="127"/>
      <c r="V444" s="127"/>
      <c r="W444" s="46"/>
      <c r="X444" s="67"/>
    </row>
    <row r="445" spans="1:24" ht="15" customHeight="1" thickBot="1">
      <c r="A445" s="428"/>
      <c r="B445" s="44" t="s">
        <v>107</v>
      </c>
      <c r="C445" s="181" t="s">
        <v>195</v>
      </c>
      <c r="D445" s="61" t="s">
        <v>108</v>
      </c>
      <c r="E445" s="447"/>
      <c r="F445" s="133" t="s">
        <v>48</v>
      </c>
      <c r="G445" s="132"/>
      <c r="H445" s="109"/>
      <c r="I445" s="134"/>
      <c r="J445" s="129"/>
      <c r="K445" s="130"/>
      <c r="L445" s="130"/>
      <c r="M445" s="130"/>
      <c r="N445" s="130"/>
      <c r="O445" s="134"/>
      <c r="P445" s="134"/>
      <c r="Q445" s="134">
        <f>Jan!CZ293</f>
        <v>1</v>
      </c>
      <c r="R445" s="437"/>
      <c r="S445" s="437"/>
      <c r="T445" s="130"/>
      <c r="U445" s="130"/>
      <c r="V445" s="128"/>
      <c r="W445" s="85"/>
      <c r="X445" s="67"/>
    </row>
    <row r="446" spans="1:24" ht="15" customHeight="1">
      <c r="A446" s="426">
        <v>46049</v>
      </c>
      <c r="B446" s="429" t="s">
        <v>44</v>
      </c>
      <c r="C446" s="432" t="s">
        <v>240</v>
      </c>
      <c r="D446" s="19" t="s">
        <v>37</v>
      </c>
      <c r="E446" s="19" t="s">
        <v>25</v>
      </c>
      <c r="F446" s="39" t="s">
        <v>40</v>
      </c>
      <c r="G446" s="41">
        <v>6047.91</v>
      </c>
      <c r="H446" s="32"/>
      <c r="I446" s="32"/>
      <c r="J446" s="32"/>
      <c r="K446" s="20">
        <v>24000</v>
      </c>
      <c r="L446" s="20">
        <v>3</v>
      </c>
      <c r="M446" s="20">
        <v>64000</v>
      </c>
      <c r="N446" s="84">
        <v>8</v>
      </c>
      <c r="O446" s="32">
        <f>Jan!DD272</f>
        <v>18195</v>
      </c>
      <c r="P446" s="32">
        <f>Jan!DE272</f>
        <v>22547</v>
      </c>
      <c r="Q446" s="32">
        <f>Jan!DC272</f>
        <v>66</v>
      </c>
      <c r="R446" s="435">
        <f>Jan!DD296</f>
        <v>59195</v>
      </c>
      <c r="S446" s="435">
        <f>Jan!DE296</f>
        <v>64384</v>
      </c>
      <c r="T446" s="20">
        <v>15966</v>
      </c>
      <c r="U446" s="20">
        <v>12</v>
      </c>
      <c r="V446" s="20">
        <f>O446-T446-U446+V419</f>
        <v>15523</v>
      </c>
      <c r="W446" s="77"/>
      <c r="X446" s="36"/>
    </row>
    <row r="447" spans="1:24" ht="15" customHeight="1">
      <c r="A447" s="427"/>
      <c r="B447" s="430"/>
      <c r="C447" s="433"/>
      <c r="D447" s="113" t="s">
        <v>69</v>
      </c>
      <c r="E447" s="438" t="s">
        <v>24</v>
      </c>
      <c r="F447" s="118" t="s">
        <v>40</v>
      </c>
      <c r="G447" s="38"/>
      <c r="H447" s="37"/>
      <c r="I447" s="125"/>
      <c r="J447" s="125"/>
      <c r="K447" s="127"/>
      <c r="L447" s="127"/>
      <c r="M447" s="127"/>
      <c r="N447" s="81"/>
      <c r="O447" s="125">
        <f>Jan!DD274</f>
        <v>7798</v>
      </c>
      <c r="P447" s="125">
        <f>Jan!DE274</f>
        <v>5825</v>
      </c>
      <c r="Q447" s="125">
        <f>Jan!DC274</f>
        <v>17</v>
      </c>
      <c r="R447" s="436"/>
      <c r="S447" s="436"/>
      <c r="T447" s="127">
        <v>8265</v>
      </c>
      <c r="U447" s="127"/>
      <c r="V447" s="127">
        <f>O447-T447-U447+V420</f>
        <v>3239</v>
      </c>
      <c r="W447" s="46"/>
      <c r="X447" s="67"/>
    </row>
    <row r="448" spans="1:24" ht="15" customHeight="1">
      <c r="A448" s="427"/>
      <c r="B448" s="431"/>
      <c r="C448" s="434"/>
      <c r="D448" s="113" t="s">
        <v>128</v>
      </c>
      <c r="E448" s="431"/>
      <c r="F448" s="114" t="s">
        <v>40</v>
      </c>
      <c r="G448" s="135"/>
      <c r="H448" s="135">
        <v>1016.8</v>
      </c>
      <c r="I448" s="125"/>
      <c r="J448" s="125"/>
      <c r="K448" s="18"/>
      <c r="L448" s="127"/>
      <c r="M448" s="127"/>
      <c r="N448" s="81"/>
      <c r="O448" s="126">
        <f>Jan!DD275</f>
        <v>7522</v>
      </c>
      <c r="P448" s="125">
        <f>Jan!DE275</f>
        <v>7937</v>
      </c>
      <c r="Q448" s="125">
        <f>Jan!DC275</f>
        <v>22</v>
      </c>
      <c r="R448" s="436"/>
      <c r="S448" s="436"/>
      <c r="T448" s="127">
        <v>6188</v>
      </c>
      <c r="U448" s="127">
        <v>55</v>
      </c>
      <c r="V448" s="127">
        <f>O448-T448-U448+V421</f>
        <v>1660</v>
      </c>
      <c r="W448" s="46"/>
      <c r="X448" s="67"/>
    </row>
    <row r="449" spans="1:25" ht="15" customHeight="1">
      <c r="A449" s="427"/>
      <c r="B449" s="439" t="s">
        <v>45</v>
      </c>
      <c r="C449" s="440" t="s">
        <v>59</v>
      </c>
      <c r="D449" s="118" t="s">
        <v>75</v>
      </c>
      <c r="E449" s="438" t="s">
        <v>25</v>
      </c>
      <c r="F449" s="131" t="s">
        <v>57</v>
      </c>
      <c r="G449" s="87"/>
      <c r="H449" s="136"/>
      <c r="I449" s="126"/>
      <c r="J449" s="2"/>
      <c r="K449" s="127"/>
      <c r="L449" s="18"/>
      <c r="M449" s="18">
        <v>80900</v>
      </c>
      <c r="N449" s="80">
        <v>16</v>
      </c>
      <c r="O449" s="126">
        <f>Jan!DD280</f>
        <v>639</v>
      </c>
      <c r="P449" s="126">
        <f>Jan!DE280</f>
        <v>2745</v>
      </c>
      <c r="Q449" s="2">
        <f>Jan!DC280</f>
        <v>12</v>
      </c>
      <c r="R449" s="436"/>
      <c r="S449" s="436"/>
      <c r="T449" s="18"/>
      <c r="U449" s="18"/>
      <c r="V449" s="18">
        <f>O449-T449-U449+V422</f>
        <v>18832</v>
      </c>
      <c r="W449" s="46"/>
      <c r="Y449" s="13"/>
    </row>
    <row r="450" spans="1:25" ht="15" customHeight="1">
      <c r="A450" s="427"/>
      <c r="B450" s="439"/>
      <c r="C450" s="440"/>
      <c r="D450" s="118" t="s">
        <v>94</v>
      </c>
      <c r="E450" s="431"/>
      <c r="F450" s="131"/>
      <c r="G450" s="87"/>
      <c r="H450" s="152">
        <v>1134</v>
      </c>
      <c r="I450" s="126"/>
      <c r="J450" s="2"/>
      <c r="K450" s="127"/>
      <c r="L450" s="18"/>
      <c r="M450" s="18"/>
      <c r="N450" s="80"/>
      <c r="O450" s="126"/>
      <c r="P450" s="126"/>
      <c r="Q450" s="2"/>
      <c r="R450" s="436"/>
      <c r="S450" s="436"/>
      <c r="T450" s="18"/>
      <c r="U450" s="18"/>
      <c r="V450" s="18"/>
      <c r="W450" s="46"/>
      <c r="Y450" s="13"/>
    </row>
    <row r="451" spans="1:25">
      <c r="A451" s="427"/>
      <c r="B451" s="439"/>
      <c r="C451" s="440"/>
      <c r="D451" s="118" t="s">
        <v>72</v>
      </c>
      <c r="E451" s="155" t="s">
        <v>24</v>
      </c>
      <c r="F451" s="131" t="s">
        <v>57</v>
      </c>
      <c r="G451" s="136"/>
      <c r="H451" s="136"/>
      <c r="I451" s="126"/>
      <c r="J451" s="126"/>
      <c r="K451" s="127"/>
      <c r="L451" s="18"/>
      <c r="M451" s="18">
        <v>50000</v>
      </c>
      <c r="N451" s="80">
        <v>10</v>
      </c>
      <c r="O451" s="126">
        <f>Jan!DD281</f>
        <v>885</v>
      </c>
      <c r="P451" s="126">
        <f>Jan!DE281</f>
        <v>2990</v>
      </c>
      <c r="Q451" s="126">
        <f>Jan!DC281</f>
        <v>13</v>
      </c>
      <c r="R451" s="436"/>
      <c r="S451" s="436"/>
      <c r="T451" s="18"/>
      <c r="U451" s="18"/>
      <c r="V451" s="18">
        <f>O451-T451-U451+V423</f>
        <v>20262</v>
      </c>
      <c r="W451" s="46"/>
      <c r="Y451" s="13"/>
    </row>
    <row r="452" spans="1:25">
      <c r="A452" s="427"/>
      <c r="B452" s="439"/>
      <c r="C452" s="440"/>
      <c r="D452" s="115" t="s">
        <v>79</v>
      </c>
      <c r="E452" s="118" t="s">
        <v>65</v>
      </c>
      <c r="F452" s="131" t="s">
        <v>57</v>
      </c>
      <c r="G452" s="136"/>
      <c r="H452" s="136"/>
      <c r="I452" s="126"/>
      <c r="J452" s="126"/>
      <c r="K452" s="127">
        <v>5000</v>
      </c>
      <c r="L452" s="18">
        <v>1</v>
      </c>
      <c r="M452" s="18">
        <v>64000</v>
      </c>
      <c r="N452" s="80">
        <v>13</v>
      </c>
      <c r="O452" s="126">
        <f>Jan!DD282</f>
        <v>8641</v>
      </c>
      <c r="P452" s="126">
        <f>Jan!DE282</f>
        <v>4676</v>
      </c>
      <c r="Q452" s="126">
        <f>Jan!DC282</f>
        <v>22</v>
      </c>
      <c r="R452" s="436"/>
      <c r="S452" s="436"/>
      <c r="T452" s="18">
        <v>5124</v>
      </c>
      <c r="U452" s="18">
        <v>12</v>
      </c>
      <c r="V452" s="18">
        <f>O452-T452-U452+V424</f>
        <v>6243</v>
      </c>
      <c r="W452" s="46"/>
      <c r="Y452" s="13"/>
    </row>
    <row r="453" spans="1:25" ht="14.25" customHeight="1">
      <c r="A453" s="427"/>
      <c r="B453" s="442" t="s">
        <v>53</v>
      </c>
      <c r="C453" s="444" t="s">
        <v>60</v>
      </c>
      <c r="D453" s="43" t="s">
        <v>98</v>
      </c>
      <c r="E453" s="441" t="s">
        <v>66</v>
      </c>
      <c r="F453" s="118" t="s">
        <v>54</v>
      </c>
      <c r="G453" s="136"/>
      <c r="H453" s="136"/>
      <c r="I453" s="126"/>
      <c r="J453" s="126"/>
      <c r="K453" s="127"/>
      <c r="L453" s="18"/>
      <c r="M453" s="18"/>
      <c r="N453" s="80"/>
      <c r="O453" s="126">
        <f>Jan!DD278</f>
        <v>1375</v>
      </c>
      <c r="P453" s="126">
        <f>Jan!DE278</f>
        <v>343</v>
      </c>
      <c r="Q453" s="126">
        <f>Jan!DC278</f>
        <v>1</v>
      </c>
      <c r="R453" s="436"/>
      <c r="S453" s="436"/>
      <c r="T453" s="18">
        <v>6851</v>
      </c>
      <c r="U453" s="18"/>
      <c r="V453" s="18"/>
      <c r="W453" s="45"/>
      <c r="X453" s="36"/>
    </row>
    <row r="454" spans="1:25" ht="14.25" customHeight="1">
      <c r="A454" s="427"/>
      <c r="B454" s="443"/>
      <c r="C454" s="446"/>
      <c r="D454" s="43" t="s">
        <v>130</v>
      </c>
      <c r="E454" s="425"/>
      <c r="F454" s="118" t="s">
        <v>54</v>
      </c>
      <c r="G454" s="136"/>
      <c r="H454" s="37"/>
      <c r="I454" s="126"/>
      <c r="J454" s="126"/>
      <c r="K454" s="18">
        <v>17750</v>
      </c>
      <c r="L454" s="18">
        <v>3</v>
      </c>
      <c r="M454" s="18">
        <v>70550</v>
      </c>
      <c r="N454" s="80">
        <v>12</v>
      </c>
      <c r="O454" s="126">
        <f>Jan!DD279</f>
        <v>5799</v>
      </c>
      <c r="P454" s="126">
        <f>Jan!DE279</f>
        <v>9384</v>
      </c>
      <c r="Q454" s="126">
        <f>Jan!DC279</f>
        <v>28</v>
      </c>
      <c r="R454" s="436"/>
      <c r="S454" s="436"/>
      <c r="T454" s="18"/>
      <c r="U454" s="18"/>
      <c r="V454" s="18">
        <f>O454-T454-U454+V427</f>
        <v>5799</v>
      </c>
      <c r="W454" s="45"/>
      <c r="X454" s="36"/>
    </row>
    <row r="455" spans="1:25" ht="14.25" customHeight="1">
      <c r="A455" s="427"/>
      <c r="B455" s="122" t="s">
        <v>55</v>
      </c>
      <c r="C455" s="180" t="s">
        <v>133</v>
      </c>
      <c r="D455" s="48" t="s">
        <v>56</v>
      </c>
      <c r="E455" s="424" t="s">
        <v>25</v>
      </c>
      <c r="F455" s="118" t="s">
        <v>67</v>
      </c>
      <c r="G455" s="136"/>
      <c r="H455" s="37"/>
      <c r="I455" s="126"/>
      <c r="J455" s="126"/>
      <c r="K455" s="18"/>
      <c r="L455" s="18"/>
      <c r="M455" s="18">
        <v>2800</v>
      </c>
      <c r="N455" s="80">
        <v>1</v>
      </c>
      <c r="O455" s="126"/>
      <c r="P455" s="126"/>
      <c r="Q455" s="126">
        <f>Jan!DC295</f>
        <v>1</v>
      </c>
      <c r="R455" s="436"/>
      <c r="S455" s="436"/>
      <c r="T455" s="18"/>
      <c r="U455" s="18"/>
      <c r="V455" s="18">
        <f>O455-T455-U455+V429</f>
        <v>0</v>
      </c>
      <c r="W455" s="45"/>
      <c r="X455" s="67"/>
    </row>
    <row r="456" spans="1:25" ht="14.25" customHeight="1">
      <c r="A456" s="427"/>
      <c r="B456" s="122" t="s">
        <v>122</v>
      </c>
      <c r="C456" s="180" t="s">
        <v>123</v>
      </c>
      <c r="D456" s="48" t="s">
        <v>56</v>
      </c>
      <c r="E456" s="441"/>
      <c r="F456" s="155" t="s">
        <v>64</v>
      </c>
      <c r="G456" s="136"/>
      <c r="H456" s="135"/>
      <c r="I456" s="158"/>
      <c r="J456" s="158"/>
      <c r="K456" s="128"/>
      <c r="L456" s="128"/>
      <c r="M456" s="128"/>
      <c r="N456" s="164"/>
      <c r="O456" s="158">
        <f>Jan!DD285</f>
        <v>959</v>
      </c>
      <c r="P456" s="158">
        <f>Jan!DE285</f>
        <v>1200</v>
      </c>
      <c r="Q456" s="158">
        <f>Jan!DC285</f>
        <v>4</v>
      </c>
      <c r="R456" s="436"/>
      <c r="S456" s="436"/>
      <c r="T456" s="18"/>
      <c r="U456" s="18"/>
      <c r="V456" s="18">
        <f>O456-T456-U456+V430</f>
        <v>18361</v>
      </c>
      <c r="W456" s="45"/>
      <c r="X456" s="67"/>
    </row>
    <row r="457" spans="1:25" ht="14.25" customHeight="1">
      <c r="A457" s="427"/>
      <c r="B457" s="122" t="s">
        <v>125</v>
      </c>
      <c r="C457" s="180" t="s">
        <v>88</v>
      </c>
      <c r="D457" s="48" t="s">
        <v>124</v>
      </c>
      <c r="E457" s="441"/>
      <c r="F457" s="118" t="s">
        <v>64</v>
      </c>
      <c r="G457" s="37"/>
      <c r="H457" s="37"/>
      <c r="I457" s="126"/>
      <c r="J457" s="126"/>
      <c r="K457" s="18">
        <v>7400</v>
      </c>
      <c r="L457" s="18">
        <v>1</v>
      </c>
      <c r="M457" s="18">
        <v>88200</v>
      </c>
      <c r="N457" s="80">
        <v>12</v>
      </c>
      <c r="O457" s="126">
        <f>Jan!DD283</f>
        <v>5882</v>
      </c>
      <c r="P457" s="126">
        <f>Jan!DE283</f>
        <v>3035</v>
      </c>
      <c r="Q457" s="126">
        <f>Jan!DC283</f>
        <v>14</v>
      </c>
      <c r="R457" s="436"/>
      <c r="S457" s="436"/>
      <c r="T457" s="18"/>
      <c r="U457" s="18"/>
      <c r="V457" s="18">
        <f>O457-T457-U457+V432</f>
        <v>11370</v>
      </c>
      <c r="W457" s="45"/>
      <c r="X457" s="67"/>
    </row>
    <row r="458" spans="1:25" ht="13.5" customHeight="1">
      <c r="A458" s="427"/>
      <c r="B458" s="442" t="s">
        <v>58</v>
      </c>
      <c r="C458" s="444" t="s">
        <v>139</v>
      </c>
      <c r="D458" s="48" t="s">
        <v>56</v>
      </c>
      <c r="E458" s="441"/>
      <c r="F458" s="118" t="s">
        <v>67</v>
      </c>
      <c r="G458" s="119"/>
      <c r="H458" s="126"/>
      <c r="I458" s="126"/>
      <c r="J458" s="2"/>
      <c r="K458" s="18"/>
      <c r="L458" s="18"/>
      <c r="M458" s="18"/>
      <c r="N458" s="18"/>
      <c r="O458" s="126"/>
      <c r="P458" s="126"/>
      <c r="Q458" s="126"/>
      <c r="R458" s="436"/>
      <c r="S458" s="436"/>
      <c r="T458" s="18"/>
      <c r="U458" s="18"/>
      <c r="V458" s="18">
        <f>O458-T458-U458+V433</f>
        <v>43</v>
      </c>
      <c r="W458" s="45"/>
      <c r="X458" s="67"/>
    </row>
    <row r="459" spans="1:25" ht="15.75" customHeight="1">
      <c r="A459" s="427"/>
      <c r="B459" s="439"/>
      <c r="C459" s="445"/>
      <c r="D459" s="48" t="s">
        <v>56</v>
      </c>
      <c r="E459" s="441"/>
      <c r="F459" s="118" t="s">
        <v>140</v>
      </c>
      <c r="G459" s="119"/>
      <c r="H459" s="126"/>
      <c r="I459" s="126"/>
      <c r="J459" s="2"/>
      <c r="K459" s="18">
        <v>3000</v>
      </c>
      <c r="L459" s="18">
        <v>1</v>
      </c>
      <c r="M459" s="18"/>
      <c r="N459" s="18"/>
      <c r="O459" s="126"/>
      <c r="P459" s="126">
        <f>Jan!DE286</f>
        <v>603</v>
      </c>
      <c r="Q459" s="126">
        <f>Jan!DC286</f>
        <v>3</v>
      </c>
      <c r="R459" s="436"/>
      <c r="S459" s="436"/>
      <c r="T459" s="18"/>
      <c r="U459" s="18"/>
      <c r="V459" s="18"/>
      <c r="W459" s="45"/>
      <c r="X459" s="67"/>
    </row>
    <row r="460" spans="1:25" ht="15" customHeight="1">
      <c r="A460" s="427"/>
      <c r="B460" s="122" t="s">
        <v>47</v>
      </c>
      <c r="C460" s="180" t="s">
        <v>100</v>
      </c>
      <c r="D460" s="48" t="s">
        <v>99</v>
      </c>
      <c r="E460" s="441"/>
      <c r="F460" s="118" t="s">
        <v>71</v>
      </c>
      <c r="G460" s="119"/>
      <c r="H460" s="126"/>
      <c r="I460" s="126"/>
      <c r="J460" s="2"/>
      <c r="K460" s="18">
        <v>6000</v>
      </c>
      <c r="L460" s="18">
        <v>1</v>
      </c>
      <c r="M460" s="18">
        <v>12000</v>
      </c>
      <c r="N460" s="18">
        <v>2</v>
      </c>
      <c r="O460" s="126">
        <f>Jan!DD284</f>
        <v>1500</v>
      </c>
      <c r="P460" s="126">
        <f>Jan!DE284</f>
        <v>2081</v>
      </c>
      <c r="Q460" s="126">
        <f>Jan!DC284</f>
        <v>8</v>
      </c>
      <c r="R460" s="436"/>
      <c r="S460" s="436"/>
      <c r="T460" s="18"/>
      <c r="U460" s="18"/>
      <c r="V460" s="18">
        <f>O460-T460-U460+V436</f>
        <v>22188</v>
      </c>
      <c r="W460" s="45"/>
      <c r="X460" s="67"/>
    </row>
    <row r="461" spans="1:25" ht="15" customHeight="1">
      <c r="A461" s="427"/>
      <c r="B461" s="122" t="s">
        <v>134</v>
      </c>
      <c r="C461" s="180" t="s">
        <v>63</v>
      </c>
      <c r="D461" s="48" t="s">
        <v>135</v>
      </c>
      <c r="E461" s="441"/>
      <c r="F461" s="118" t="s">
        <v>64</v>
      </c>
      <c r="G461" s="119"/>
      <c r="H461" s="126"/>
      <c r="I461" s="126"/>
      <c r="J461" s="2"/>
      <c r="K461" s="18"/>
      <c r="L461" s="18"/>
      <c r="M461" s="18">
        <v>8300</v>
      </c>
      <c r="N461" s="18">
        <v>1</v>
      </c>
      <c r="O461" s="126"/>
      <c r="P461" s="126">
        <f>Jan!DE288</f>
        <v>1018</v>
      </c>
      <c r="Q461" s="126">
        <f>Jan!DC288</f>
        <v>4</v>
      </c>
      <c r="R461" s="436"/>
      <c r="S461" s="436"/>
      <c r="T461" s="18"/>
      <c r="U461" s="18"/>
      <c r="V461" s="18">
        <f>O461-T461-U461+V438</f>
        <v>1745</v>
      </c>
      <c r="W461" s="45"/>
      <c r="X461" s="67"/>
    </row>
    <row r="462" spans="1:25" ht="15" customHeight="1">
      <c r="A462" s="427"/>
      <c r="B462" s="442" t="s">
        <v>61</v>
      </c>
      <c r="C462" s="444" t="s">
        <v>137</v>
      </c>
      <c r="D462" s="48" t="s">
        <v>56</v>
      </c>
      <c r="E462" s="441"/>
      <c r="F462" s="118" t="s">
        <v>67</v>
      </c>
      <c r="G462" s="192">
        <v>696</v>
      </c>
      <c r="H462" s="126"/>
      <c r="I462" s="126"/>
      <c r="J462" s="2"/>
      <c r="K462" s="18">
        <v>6000</v>
      </c>
      <c r="L462" s="18">
        <v>2</v>
      </c>
      <c r="M462" s="18"/>
      <c r="N462" s="18"/>
      <c r="O462" s="126"/>
      <c r="P462" s="126"/>
      <c r="Q462" s="126">
        <f>Jan!DC287</f>
        <v>2</v>
      </c>
      <c r="R462" s="436"/>
      <c r="S462" s="436"/>
      <c r="T462" s="18"/>
      <c r="U462" s="18"/>
      <c r="V462" s="18"/>
      <c r="W462" s="45"/>
      <c r="X462" s="67"/>
    </row>
    <row r="463" spans="1:25" ht="15" customHeight="1">
      <c r="A463" s="427"/>
      <c r="B463" s="443"/>
      <c r="C463" s="446"/>
      <c r="D463" s="48" t="s">
        <v>129</v>
      </c>
      <c r="E463" s="441"/>
      <c r="F463" s="118"/>
      <c r="G463" s="119"/>
      <c r="H463" s="126">
        <v>750</v>
      </c>
      <c r="I463" s="126"/>
      <c r="J463" s="2"/>
      <c r="K463" s="18"/>
      <c r="L463" s="18"/>
      <c r="M463" s="18"/>
      <c r="N463" s="18"/>
      <c r="O463" s="126"/>
      <c r="P463" s="126"/>
      <c r="Q463" s="126"/>
      <c r="R463" s="436"/>
      <c r="S463" s="436"/>
      <c r="T463" s="18"/>
      <c r="U463" s="18"/>
      <c r="V463" s="18"/>
      <c r="W463" s="45"/>
      <c r="X463" s="67"/>
    </row>
    <row r="464" spans="1:25" ht="15" customHeight="1">
      <c r="A464" s="427"/>
      <c r="B464" s="122" t="s">
        <v>131</v>
      </c>
      <c r="C464" s="180" t="s">
        <v>194</v>
      </c>
      <c r="D464" s="48" t="s">
        <v>132</v>
      </c>
      <c r="E464" s="441"/>
      <c r="F464" s="118" t="s">
        <v>64</v>
      </c>
      <c r="G464" s="119"/>
      <c r="H464" s="126"/>
      <c r="I464" s="126"/>
      <c r="J464" s="2"/>
      <c r="K464" s="18"/>
      <c r="L464" s="18"/>
      <c r="M464" s="18"/>
      <c r="N464" s="18"/>
      <c r="O464" s="126"/>
      <c r="P464" s="126"/>
      <c r="Q464" s="126">
        <f>Jan!DC289</f>
        <v>1</v>
      </c>
      <c r="R464" s="436"/>
      <c r="S464" s="436"/>
      <c r="T464" s="18"/>
      <c r="U464" s="18"/>
      <c r="V464" s="18"/>
      <c r="W464" s="45"/>
      <c r="X464" s="67"/>
    </row>
    <row r="465" spans="1:25" ht="15" customHeight="1">
      <c r="A465" s="427"/>
      <c r="B465" s="122" t="s">
        <v>101</v>
      </c>
      <c r="C465" s="180" t="s">
        <v>193</v>
      </c>
      <c r="D465" s="48" t="s">
        <v>102</v>
      </c>
      <c r="E465" s="441"/>
      <c r="F465" s="118" t="s">
        <v>64</v>
      </c>
      <c r="G465" s="119"/>
      <c r="H465" s="126"/>
      <c r="I465" s="126"/>
      <c r="J465" s="2"/>
      <c r="K465" s="18"/>
      <c r="L465" s="18"/>
      <c r="M465" s="18"/>
      <c r="N465" s="18"/>
      <c r="O465" s="126"/>
      <c r="P465" s="126"/>
      <c r="Q465" s="126">
        <f>Jan!DC290</f>
        <v>1</v>
      </c>
      <c r="R465" s="436"/>
      <c r="S465" s="436"/>
      <c r="T465" s="18"/>
      <c r="U465" s="18"/>
      <c r="V465" s="18"/>
      <c r="W465" s="45"/>
      <c r="X465" s="67"/>
    </row>
    <row r="466" spans="1:25" ht="15" customHeight="1">
      <c r="A466" s="427"/>
      <c r="B466" s="122" t="s">
        <v>103</v>
      </c>
      <c r="C466" s="157" t="s">
        <v>197</v>
      </c>
      <c r="D466" s="48" t="s">
        <v>104</v>
      </c>
      <c r="E466" s="441"/>
      <c r="F466" s="118" t="s">
        <v>105</v>
      </c>
      <c r="G466" s="119"/>
      <c r="H466" s="126"/>
      <c r="I466" s="126"/>
      <c r="J466" s="2"/>
      <c r="K466" s="18"/>
      <c r="L466" s="18"/>
      <c r="M466" s="18"/>
      <c r="N466" s="18"/>
      <c r="O466" s="126"/>
      <c r="P466" s="126"/>
      <c r="Q466" s="126">
        <f>Jan!DC291</f>
        <v>1</v>
      </c>
      <c r="R466" s="436"/>
      <c r="S466" s="436"/>
      <c r="T466" s="18"/>
      <c r="U466" s="18"/>
      <c r="V466" s="18"/>
      <c r="W466" s="45"/>
      <c r="X466" s="67"/>
    </row>
    <row r="467" spans="1:25" ht="15" customHeight="1">
      <c r="A467" s="427"/>
      <c r="B467" s="137" t="s">
        <v>112</v>
      </c>
      <c r="C467" s="157" t="s">
        <v>197</v>
      </c>
      <c r="D467" s="48" t="s">
        <v>104</v>
      </c>
      <c r="E467" s="441"/>
      <c r="F467" s="118" t="s">
        <v>113</v>
      </c>
      <c r="G467" s="119"/>
      <c r="H467" s="126"/>
      <c r="I467" s="126"/>
      <c r="J467" s="2"/>
      <c r="K467" s="18"/>
      <c r="L467" s="18"/>
      <c r="M467" s="18"/>
      <c r="N467" s="18"/>
      <c r="O467" s="126"/>
      <c r="P467" s="126"/>
      <c r="Q467" s="126">
        <f>Jan!DC294</f>
        <v>1</v>
      </c>
      <c r="R467" s="436"/>
      <c r="S467" s="436"/>
      <c r="T467" s="18"/>
      <c r="U467" s="18"/>
      <c r="V467" s="18"/>
      <c r="W467" s="45"/>
      <c r="X467" s="67"/>
    </row>
    <row r="468" spans="1:25" ht="15" customHeight="1">
      <c r="A468" s="427"/>
      <c r="B468" s="137" t="s">
        <v>106</v>
      </c>
      <c r="C468" s="157" t="s">
        <v>141</v>
      </c>
      <c r="D468" s="48" t="s">
        <v>68</v>
      </c>
      <c r="E468" s="441"/>
      <c r="F468" s="118" t="s">
        <v>67</v>
      </c>
      <c r="G468" s="119"/>
      <c r="H468" s="126"/>
      <c r="I468" s="126"/>
      <c r="J468" s="2"/>
      <c r="K468" s="18"/>
      <c r="L468" s="18"/>
      <c r="M468" s="18"/>
      <c r="N468" s="18"/>
      <c r="O468" s="126"/>
      <c r="P468" s="126"/>
      <c r="Q468" s="126">
        <f>Jan!DC292</f>
        <v>1</v>
      </c>
      <c r="R468" s="436"/>
      <c r="S468" s="436"/>
      <c r="T468" s="18">
        <v>500</v>
      </c>
      <c r="U468" s="18"/>
      <c r="V468" s="18">
        <f>O468-T468-U468+V443</f>
        <v>0</v>
      </c>
      <c r="W468" s="45"/>
      <c r="X468" s="67"/>
    </row>
    <row r="469" spans="1:25" ht="15" customHeight="1" thickBot="1">
      <c r="A469" s="428"/>
      <c r="B469" s="44" t="s">
        <v>107</v>
      </c>
      <c r="C469" s="181" t="s">
        <v>195</v>
      </c>
      <c r="D469" s="61" t="s">
        <v>108</v>
      </c>
      <c r="E469" s="447"/>
      <c r="F469" s="133" t="s">
        <v>48</v>
      </c>
      <c r="G469" s="132"/>
      <c r="H469" s="109"/>
      <c r="I469" s="134"/>
      <c r="J469" s="129"/>
      <c r="K469" s="130"/>
      <c r="L469" s="130"/>
      <c r="M469" s="130"/>
      <c r="N469" s="130"/>
      <c r="O469" s="134"/>
      <c r="P469" s="134"/>
      <c r="Q469" s="134">
        <f>Jan!DC293</f>
        <v>1</v>
      </c>
      <c r="R469" s="437"/>
      <c r="S469" s="437"/>
      <c r="T469" s="130"/>
      <c r="U469" s="130"/>
      <c r="V469" s="128"/>
      <c r="W469" s="85"/>
      <c r="X469" s="67"/>
    </row>
    <row r="470" spans="1:25" ht="15" customHeight="1">
      <c r="A470" s="426">
        <v>46050</v>
      </c>
      <c r="B470" s="429" t="s">
        <v>44</v>
      </c>
      <c r="C470" s="432" t="s">
        <v>240</v>
      </c>
      <c r="D470" s="19" t="s">
        <v>37</v>
      </c>
      <c r="E470" s="19" t="s">
        <v>25</v>
      </c>
      <c r="F470" s="39" t="s">
        <v>40</v>
      </c>
      <c r="G470" s="41">
        <v>6597.72</v>
      </c>
      <c r="H470" s="32"/>
      <c r="I470" s="32"/>
      <c r="J470" s="32"/>
      <c r="K470" s="20">
        <v>96000</v>
      </c>
      <c r="L470" s="20">
        <v>12</v>
      </c>
      <c r="M470" s="20">
        <v>64000</v>
      </c>
      <c r="N470" s="84">
        <v>8</v>
      </c>
      <c r="O470" s="32">
        <f>Jan!DG272</f>
        <v>20592</v>
      </c>
      <c r="P470" s="32">
        <f>Jan!DH272</f>
        <v>24903</v>
      </c>
      <c r="Q470" s="32">
        <f>Jan!DF272</f>
        <v>71</v>
      </c>
      <c r="R470" s="435">
        <f>Jan!DG296</f>
        <v>74500</v>
      </c>
      <c r="S470" s="435">
        <f>Jan!DH296</f>
        <v>69212</v>
      </c>
      <c r="T470" s="20">
        <v>17768</v>
      </c>
      <c r="U470" s="20">
        <v>30</v>
      </c>
      <c r="V470" s="20">
        <f>O470-T470-U470+V446</f>
        <v>18317</v>
      </c>
      <c r="W470" s="77"/>
      <c r="X470" s="36"/>
    </row>
    <row r="471" spans="1:25" ht="15" customHeight="1">
      <c r="A471" s="427"/>
      <c r="B471" s="430"/>
      <c r="C471" s="433"/>
      <c r="D471" s="113" t="s">
        <v>69</v>
      </c>
      <c r="E471" s="438" t="s">
        <v>24</v>
      </c>
      <c r="F471" s="118" t="s">
        <v>40</v>
      </c>
      <c r="G471" s="38"/>
      <c r="H471" s="37"/>
      <c r="I471" s="125"/>
      <c r="J471" s="125"/>
      <c r="K471" s="127"/>
      <c r="L471" s="127"/>
      <c r="M471" s="127"/>
      <c r="N471" s="81"/>
      <c r="O471" s="125">
        <f>Jan!DG274</f>
        <v>10009</v>
      </c>
      <c r="P471" s="125">
        <f>Jan!DH274</f>
        <v>4801</v>
      </c>
      <c r="Q471" s="125">
        <f>Jan!DF274</f>
        <v>14</v>
      </c>
      <c r="R471" s="436"/>
      <c r="S471" s="436"/>
      <c r="T471" s="127">
        <v>6679</v>
      </c>
      <c r="U471" s="127"/>
      <c r="V471" s="127">
        <f>O471-T471-U471+V447</f>
        <v>6569</v>
      </c>
      <c r="W471" s="46"/>
      <c r="X471" s="67"/>
    </row>
    <row r="472" spans="1:25" ht="15" customHeight="1">
      <c r="A472" s="427"/>
      <c r="B472" s="431"/>
      <c r="C472" s="434"/>
      <c r="D472" s="113" t="s">
        <v>128</v>
      </c>
      <c r="E472" s="431"/>
      <c r="F472" s="114" t="s">
        <v>40</v>
      </c>
      <c r="G472" s="170">
        <v>2199.2399999999998</v>
      </c>
      <c r="H472" s="135"/>
      <c r="I472" s="125"/>
      <c r="J472" s="125"/>
      <c r="K472" s="18">
        <v>24000</v>
      </c>
      <c r="L472" s="127">
        <v>3</v>
      </c>
      <c r="M472" s="127">
        <v>8000</v>
      </c>
      <c r="N472" s="81">
        <v>1</v>
      </c>
      <c r="O472" s="126">
        <f>Jan!DG275</f>
        <v>12874</v>
      </c>
      <c r="P472" s="125">
        <f>Jan!DH275</f>
        <v>8695</v>
      </c>
      <c r="Q472" s="125">
        <f>Jan!DF275</f>
        <v>25</v>
      </c>
      <c r="R472" s="436"/>
      <c r="S472" s="436"/>
      <c r="T472" s="127">
        <v>7439</v>
      </c>
      <c r="U472" s="127"/>
      <c r="V472" s="127">
        <f>O472-T472-U472+V448</f>
        <v>7095</v>
      </c>
      <c r="W472" s="46"/>
      <c r="X472" s="67"/>
    </row>
    <row r="473" spans="1:25" ht="15" customHeight="1">
      <c r="A473" s="427"/>
      <c r="B473" s="439" t="s">
        <v>45</v>
      </c>
      <c r="C473" s="440" t="s">
        <v>59</v>
      </c>
      <c r="D473" s="118" t="s">
        <v>75</v>
      </c>
      <c r="E473" s="131" t="s">
        <v>25</v>
      </c>
      <c r="F473" s="131" t="s">
        <v>57</v>
      </c>
      <c r="G473" s="87"/>
      <c r="H473" s="136"/>
      <c r="I473" s="126"/>
      <c r="J473" s="2"/>
      <c r="K473" s="127">
        <v>20300</v>
      </c>
      <c r="L473" s="18">
        <v>4</v>
      </c>
      <c r="M473" s="18">
        <v>60600</v>
      </c>
      <c r="N473" s="80">
        <v>12</v>
      </c>
      <c r="O473" s="126">
        <f>Jan!DG280</f>
        <v>2234</v>
      </c>
      <c r="P473" s="126">
        <f>Jan!DH280</f>
        <v>3701</v>
      </c>
      <c r="Q473" s="2">
        <f>Jan!DF280</f>
        <v>17</v>
      </c>
      <c r="R473" s="436"/>
      <c r="S473" s="436"/>
      <c r="T473" s="18"/>
      <c r="U473" s="18"/>
      <c r="V473" s="18">
        <f>O473-T473-U473+V449</f>
        <v>21066</v>
      </c>
      <c r="W473" s="46"/>
      <c r="Y473" s="13"/>
    </row>
    <row r="474" spans="1:25">
      <c r="A474" s="427"/>
      <c r="B474" s="439"/>
      <c r="C474" s="440"/>
      <c r="D474" s="118" t="s">
        <v>72</v>
      </c>
      <c r="E474" s="155" t="s">
        <v>24</v>
      </c>
      <c r="F474" s="131" t="s">
        <v>57</v>
      </c>
      <c r="G474" s="136"/>
      <c r="H474" s="136"/>
      <c r="I474" s="126"/>
      <c r="J474" s="126"/>
      <c r="K474" s="127"/>
      <c r="L474" s="18"/>
      <c r="M474" s="18">
        <v>50000</v>
      </c>
      <c r="N474" s="80">
        <v>10</v>
      </c>
      <c r="O474" s="126">
        <f>Jan!DG281</f>
        <v>5192</v>
      </c>
      <c r="P474" s="126">
        <f>Jan!DH281</f>
        <v>3028</v>
      </c>
      <c r="Q474" s="126">
        <f>Jan!DF281</f>
        <v>13</v>
      </c>
      <c r="R474" s="436"/>
      <c r="S474" s="436"/>
      <c r="T474" s="18"/>
      <c r="U474" s="18"/>
      <c r="V474" s="18">
        <f>O474-T474-U474+V451</f>
        <v>25454</v>
      </c>
      <c r="W474" s="46"/>
      <c r="Y474" s="13"/>
    </row>
    <row r="475" spans="1:25">
      <c r="A475" s="427"/>
      <c r="B475" s="439"/>
      <c r="C475" s="440"/>
      <c r="D475" s="115" t="s">
        <v>79</v>
      </c>
      <c r="E475" s="118" t="s">
        <v>65</v>
      </c>
      <c r="F475" s="131" t="s">
        <v>57</v>
      </c>
      <c r="G475" s="136"/>
      <c r="H475" s="136"/>
      <c r="I475" s="126"/>
      <c r="J475" s="126"/>
      <c r="K475" s="127">
        <v>20000</v>
      </c>
      <c r="L475" s="18">
        <v>4</v>
      </c>
      <c r="M475" s="18">
        <v>44000</v>
      </c>
      <c r="N475" s="80">
        <v>9</v>
      </c>
      <c r="O475" s="126">
        <f>Jan!DG282</f>
        <v>3316</v>
      </c>
      <c r="P475" s="126">
        <f>Jan!DH282</f>
        <v>5005</v>
      </c>
      <c r="Q475" s="126">
        <f>Jan!DF282</f>
        <v>24</v>
      </c>
      <c r="R475" s="436"/>
      <c r="S475" s="436"/>
      <c r="T475" s="18">
        <v>7219</v>
      </c>
      <c r="U475" s="18"/>
      <c r="V475" s="18">
        <f>O475-T475-U475+V452</f>
        <v>2340</v>
      </c>
      <c r="W475" s="46"/>
      <c r="Y475" s="13"/>
    </row>
    <row r="476" spans="1:25" ht="14.25" customHeight="1">
      <c r="A476" s="427"/>
      <c r="B476" s="442" t="s">
        <v>53</v>
      </c>
      <c r="C476" s="444" t="s">
        <v>60</v>
      </c>
      <c r="D476" s="43" t="s">
        <v>98</v>
      </c>
      <c r="E476" s="441" t="s">
        <v>66</v>
      </c>
      <c r="F476" s="118" t="s">
        <v>54</v>
      </c>
      <c r="G476" s="136"/>
      <c r="H476" s="136"/>
      <c r="I476" s="126"/>
      <c r="J476" s="126"/>
      <c r="K476" s="127"/>
      <c r="L476" s="18"/>
      <c r="M476" s="18"/>
      <c r="N476" s="80"/>
      <c r="O476" s="126">
        <f>Jan!DG278</f>
        <v>886</v>
      </c>
      <c r="P476" s="126">
        <f>Jan!DH278</f>
        <v>36</v>
      </c>
      <c r="Q476" s="126"/>
      <c r="R476" s="436"/>
      <c r="S476" s="436"/>
      <c r="T476" s="18">
        <v>1569</v>
      </c>
      <c r="U476" s="18"/>
      <c r="V476" s="18"/>
      <c r="W476" s="45"/>
      <c r="X476" s="36"/>
    </row>
    <row r="477" spans="1:25" ht="14.25" customHeight="1">
      <c r="A477" s="427"/>
      <c r="B477" s="443"/>
      <c r="C477" s="446"/>
      <c r="D477" s="43" t="s">
        <v>130</v>
      </c>
      <c r="E477" s="425"/>
      <c r="F477" s="118" t="s">
        <v>54</v>
      </c>
      <c r="G477" s="136"/>
      <c r="H477" s="37"/>
      <c r="I477" s="126"/>
      <c r="J477" s="126"/>
      <c r="K477" s="18">
        <v>11800</v>
      </c>
      <c r="L477" s="18">
        <v>2</v>
      </c>
      <c r="M477" s="18">
        <v>58750</v>
      </c>
      <c r="N477" s="80">
        <v>10</v>
      </c>
      <c r="O477" s="126">
        <f>Jan!DG279</f>
        <v>9870</v>
      </c>
      <c r="P477" s="126">
        <f>Jan!DH279</f>
        <v>10121</v>
      </c>
      <c r="Q477" s="126">
        <f>Jan!DF279</f>
        <v>30</v>
      </c>
      <c r="R477" s="436"/>
      <c r="S477" s="436"/>
      <c r="T477" s="18">
        <v>14204</v>
      </c>
      <c r="U477" s="18">
        <v>5</v>
      </c>
      <c r="V477" s="18">
        <f t="shared" ref="V477:V485" si="7">O477-T477-U477+V454</f>
        <v>1460</v>
      </c>
      <c r="W477" s="45"/>
      <c r="X477" s="36"/>
    </row>
    <row r="478" spans="1:25" ht="14.25" customHeight="1">
      <c r="A478" s="427"/>
      <c r="B478" s="122" t="s">
        <v>55</v>
      </c>
      <c r="C478" s="180" t="s">
        <v>133</v>
      </c>
      <c r="D478" s="48" t="s">
        <v>56</v>
      </c>
      <c r="E478" s="424" t="s">
        <v>25</v>
      </c>
      <c r="F478" s="118" t="s">
        <v>67</v>
      </c>
      <c r="G478" s="136"/>
      <c r="H478" s="37"/>
      <c r="I478" s="126"/>
      <c r="J478" s="126"/>
      <c r="K478" s="18"/>
      <c r="L478" s="18"/>
      <c r="M478" s="18">
        <v>2800</v>
      </c>
      <c r="N478" s="80">
        <v>1</v>
      </c>
      <c r="O478" s="126"/>
      <c r="P478" s="126"/>
      <c r="Q478" s="126">
        <f>Jan!DF295</f>
        <v>1</v>
      </c>
      <c r="R478" s="436"/>
      <c r="S478" s="436"/>
      <c r="T478" s="18"/>
      <c r="U478" s="18"/>
      <c r="V478" s="18">
        <f t="shared" si="7"/>
        <v>0</v>
      </c>
      <c r="W478" s="45"/>
      <c r="X478" s="67"/>
    </row>
    <row r="479" spans="1:25" ht="14.25" customHeight="1">
      <c r="A479" s="427"/>
      <c r="B479" s="122" t="s">
        <v>122</v>
      </c>
      <c r="C479" s="180" t="s">
        <v>123</v>
      </c>
      <c r="D479" s="48" t="s">
        <v>56</v>
      </c>
      <c r="E479" s="441"/>
      <c r="F479" s="155" t="s">
        <v>64</v>
      </c>
      <c r="G479" s="136">
        <v>2157.6</v>
      </c>
      <c r="H479" s="135"/>
      <c r="I479" s="158"/>
      <c r="J479" s="158"/>
      <c r="K479" s="128"/>
      <c r="L479" s="128"/>
      <c r="M479" s="128">
        <v>18600</v>
      </c>
      <c r="N479" s="164">
        <v>6</v>
      </c>
      <c r="O479" s="158">
        <f>Jan!DG285</f>
        <v>991</v>
      </c>
      <c r="P479" s="158">
        <f>Jan!DH285</f>
        <v>1312</v>
      </c>
      <c r="Q479" s="158">
        <f>Jan!DF285</f>
        <v>4</v>
      </c>
      <c r="R479" s="436"/>
      <c r="S479" s="436"/>
      <c r="T479" s="18"/>
      <c r="U479" s="18"/>
      <c r="V479" s="18">
        <f t="shared" si="7"/>
        <v>19352</v>
      </c>
      <c r="W479" s="45"/>
      <c r="X479" s="67"/>
    </row>
    <row r="480" spans="1:25" ht="14.25" customHeight="1">
      <c r="A480" s="427"/>
      <c r="B480" s="122" t="s">
        <v>125</v>
      </c>
      <c r="C480" s="180" t="s">
        <v>88</v>
      </c>
      <c r="D480" s="48" t="s">
        <v>124</v>
      </c>
      <c r="E480" s="441"/>
      <c r="F480" s="118" t="s">
        <v>64</v>
      </c>
      <c r="G480" s="37"/>
      <c r="H480" s="37"/>
      <c r="I480" s="126"/>
      <c r="J480" s="126"/>
      <c r="K480" s="18"/>
      <c r="L480" s="18"/>
      <c r="M480" s="18">
        <v>88200</v>
      </c>
      <c r="N480" s="80">
        <v>12</v>
      </c>
      <c r="O480" s="126">
        <f>Jan!DG283</f>
        <v>7491</v>
      </c>
      <c r="P480" s="126">
        <f>Jan!DH283</f>
        <v>3270</v>
      </c>
      <c r="Q480" s="126">
        <f>Jan!DF283</f>
        <v>14</v>
      </c>
      <c r="R480" s="436"/>
      <c r="S480" s="436"/>
      <c r="T480" s="18">
        <v>10849</v>
      </c>
      <c r="U480" s="18"/>
      <c r="V480" s="18">
        <f t="shared" si="7"/>
        <v>8012</v>
      </c>
      <c r="W480" s="45"/>
      <c r="X480" s="67"/>
    </row>
    <row r="481" spans="1:25" ht="13.5" customHeight="1">
      <c r="A481" s="427"/>
      <c r="B481" s="442" t="s">
        <v>58</v>
      </c>
      <c r="C481" s="444" t="s">
        <v>136</v>
      </c>
      <c r="D481" s="48" t="s">
        <v>56</v>
      </c>
      <c r="E481" s="441"/>
      <c r="F481" s="118" t="s">
        <v>67</v>
      </c>
      <c r="G481" s="119"/>
      <c r="H481" s="126"/>
      <c r="I481" s="126"/>
      <c r="J481" s="2"/>
      <c r="K481" s="18"/>
      <c r="L481" s="18"/>
      <c r="M481" s="18"/>
      <c r="N481" s="18"/>
      <c r="O481" s="126"/>
      <c r="P481" s="126"/>
      <c r="Q481" s="126"/>
      <c r="R481" s="436"/>
      <c r="S481" s="436"/>
      <c r="T481" s="18"/>
      <c r="U481" s="18"/>
      <c r="V481" s="18">
        <f t="shared" si="7"/>
        <v>43</v>
      </c>
      <c r="W481" s="45"/>
      <c r="X481" s="67"/>
    </row>
    <row r="482" spans="1:25" ht="15.75" customHeight="1">
      <c r="A482" s="427"/>
      <c r="B482" s="439"/>
      <c r="C482" s="445"/>
      <c r="D482" s="48" t="s">
        <v>56</v>
      </c>
      <c r="E482" s="441"/>
      <c r="F482" s="118" t="s">
        <v>140</v>
      </c>
      <c r="G482" s="119"/>
      <c r="H482" s="126"/>
      <c r="I482" s="126"/>
      <c r="J482" s="2"/>
      <c r="K482" s="18"/>
      <c r="L482" s="18"/>
      <c r="M482" s="18"/>
      <c r="N482" s="18"/>
      <c r="O482" s="126"/>
      <c r="P482" s="126">
        <f>Jan!DH286</f>
        <v>855</v>
      </c>
      <c r="Q482" s="126">
        <f>Jan!DF286</f>
        <v>3</v>
      </c>
      <c r="R482" s="436"/>
      <c r="S482" s="436"/>
      <c r="T482" s="18"/>
      <c r="U482" s="18"/>
      <c r="V482" s="18">
        <f t="shared" si="7"/>
        <v>0</v>
      </c>
      <c r="W482" s="45"/>
      <c r="X482" s="67"/>
    </row>
    <row r="483" spans="1:25" ht="15" customHeight="1">
      <c r="A483" s="427"/>
      <c r="B483" s="122" t="s">
        <v>47</v>
      </c>
      <c r="C483" s="180" t="s">
        <v>100</v>
      </c>
      <c r="D483" s="48" t="s">
        <v>99</v>
      </c>
      <c r="E483" s="441"/>
      <c r="F483" s="118" t="s">
        <v>71</v>
      </c>
      <c r="G483" s="119"/>
      <c r="H483" s="126"/>
      <c r="I483" s="126"/>
      <c r="J483" s="2"/>
      <c r="K483" s="18"/>
      <c r="L483" s="18"/>
      <c r="M483" s="18">
        <v>12000</v>
      </c>
      <c r="N483" s="18">
        <v>2</v>
      </c>
      <c r="O483" s="126">
        <f>Jan!DG284</f>
        <v>1045</v>
      </c>
      <c r="P483" s="126">
        <f>Jan!DH284</f>
        <v>2111</v>
      </c>
      <c r="Q483" s="126">
        <f>Jan!DF284</f>
        <v>8</v>
      </c>
      <c r="R483" s="436"/>
      <c r="S483" s="436"/>
      <c r="T483" s="18"/>
      <c r="U483" s="18"/>
      <c r="V483" s="18">
        <f t="shared" si="7"/>
        <v>23233</v>
      </c>
      <c r="W483" s="45"/>
      <c r="X483" s="67"/>
    </row>
    <row r="484" spans="1:25" ht="15" customHeight="1">
      <c r="A484" s="427"/>
      <c r="B484" s="122" t="s">
        <v>134</v>
      </c>
      <c r="C484" s="180" t="s">
        <v>63</v>
      </c>
      <c r="D484" s="48" t="s">
        <v>135</v>
      </c>
      <c r="E484" s="441"/>
      <c r="F484" s="118" t="s">
        <v>64</v>
      </c>
      <c r="G484" s="119"/>
      <c r="H484" s="126"/>
      <c r="I484" s="126"/>
      <c r="J484" s="2"/>
      <c r="K484" s="18"/>
      <c r="L484" s="18"/>
      <c r="M484" s="18">
        <v>8300</v>
      </c>
      <c r="N484" s="18">
        <v>1</v>
      </c>
      <c r="O484" s="126"/>
      <c r="P484" s="126">
        <f>Jan!DH288</f>
        <v>1115</v>
      </c>
      <c r="Q484" s="126">
        <f>Jan!DF288</f>
        <v>4</v>
      </c>
      <c r="R484" s="436"/>
      <c r="S484" s="436"/>
      <c r="T484" s="18"/>
      <c r="U484" s="18"/>
      <c r="V484" s="18">
        <f t="shared" si="7"/>
        <v>1745</v>
      </c>
      <c r="W484" s="45"/>
      <c r="X484" s="67"/>
    </row>
    <row r="485" spans="1:25" ht="15" customHeight="1">
      <c r="A485" s="427"/>
      <c r="B485" s="122" t="s">
        <v>61</v>
      </c>
      <c r="C485" s="180" t="s">
        <v>137</v>
      </c>
      <c r="D485" s="48" t="s">
        <v>56</v>
      </c>
      <c r="E485" s="441"/>
      <c r="F485" s="118" t="s">
        <v>67</v>
      </c>
      <c r="G485" s="119"/>
      <c r="H485" s="126"/>
      <c r="I485" s="126"/>
      <c r="J485" s="2"/>
      <c r="K485" s="18"/>
      <c r="L485" s="18"/>
      <c r="M485" s="18"/>
      <c r="N485" s="18"/>
      <c r="O485" s="126"/>
      <c r="P485" s="126">
        <f>Jan!DH287</f>
        <v>259</v>
      </c>
      <c r="Q485" s="126">
        <f>Jan!DF287</f>
        <v>2</v>
      </c>
      <c r="R485" s="436"/>
      <c r="S485" s="436"/>
      <c r="T485" s="18"/>
      <c r="U485" s="18"/>
      <c r="V485" s="18">
        <f t="shared" si="7"/>
        <v>0</v>
      </c>
      <c r="W485" s="45"/>
      <c r="X485" s="67"/>
    </row>
    <row r="486" spans="1:25" ht="15" customHeight="1">
      <c r="A486" s="427"/>
      <c r="B486" s="122" t="s">
        <v>131</v>
      </c>
      <c r="C486" s="180" t="s">
        <v>194</v>
      </c>
      <c r="D486" s="48" t="s">
        <v>132</v>
      </c>
      <c r="E486" s="441"/>
      <c r="F486" s="118" t="s">
        <v>64</v>
      </c>
      <c r="G486" s="119"/>
      <c r="H486" s="126"/>
      <c r="I486" s="126"/>
      <c r="J486" s="2"/>
      <c r="K486" s="18"/>
      <c r="L486" s="18"/>
      <c r="M486" s="18"/>
      <c r="N486" s="18"/>
      <c r="O486" s="126"/>
      <c r="P486" s="126"/>
      <c r="Q486" s="126">
        <f>Jan!DF289</f>
        <v>1</v>
      </c>
      <c r="R486" s="436"/>
      <c r="S486" s="436"/>
      <c r="T486" s="18"/>
      <c r="U486" s="18"/>
      <c r="V486" s="18"/>
      <c r="W486" s="45"/>
      <c r="X486" s="67"/>
    </row>
    <row r="487" spans="1:25" ht="15" customHeight="1">
      <c r="A487" s="427"/>
      <c r="B487" s="122" t="s">
        <v>101</v>
      </c>
      <c r="C487" s="180" t="s">
        <v>193</v>
      </c>
      <c r="D487" s="48" t="s">
        <v>102</v>
      </c>
      <c r="E487" s="441"/>
      <c r="F487" s="118" t="s">
        <v>64</v>
      </c>
      <c r="G487" s="119"/>
      <c r="H487" s="126"/>
      <c r="I487" s="126"/>
      <c r="J487" s="2"/>
      <c r="K487" s="18"/>
      <c r="L487" s="18"/>
      <c r="M487" s="18"/>
      <c r="N487" s="18"/>
      <c r="O487" s="126"/>
      <c r="P487" s="126"/>
      <c r="Q487" s="126">
        <f>Jan!DF290</f>
        <v>1</v>
      </c>
      <c r="R487" s="436"/>
      <c r="S487" s="436"/>
      <c r="T487" s="18"/>
      <c r="U487" s="18"/>
      <c r="V487" s="18"/>
      <c r="W487" s="45"/>
      <c r="X487" s="67"/>
    </row>
    <row r="488" spans="1:25" ht="15" customHeight="1">
      <c r="A488" s="427"/>
      <c r="B488" s="122" t="s">
        <v>103</v>
      </c>
      <c r="C488" s="157" t="s">
        <v>197</v>
      </c>
      <c r="D488" s="48" t="s">
        <v>104</v>
      </c>
      <c r="E488" s="441"/>
      <c r="F488" s="118" t="s">
        <v>105</v>
      </c>
      <c r="G488" s="119"/>
      <c r="H488" s="126"/>
      <c r="I488" s="126"/>
      <c r="J488" s="2"/>
      <c r="K488" s="18"/>
      <c r="L488" s="18"/>
      <c r="M488" s="18"/>
      <c r="N488" s="18"/>
      <c r="O488" s="126"/>
      <c r="P488" s="126"/>
      <c r="Q488" s="126">
        <f>Jan!DF291</f>
        <v>1</v>
      </c>
      <c r="R488" s="436"/>
      <c r="S488" s="436"/>
      <c r="T488" s="18"/>
      <c r="U488" s="18"/>
      <c r="V488" s="18"/>
      <c r="W488" s="45"/>
      <c r="X488" s="67"/>
    </row>
    <row r="489" spans="1:25" ht="15" customHeight="1">
      <c r="A489" s="427"/>
      <c r="B489" s="137" t="s">
        <v>112</v>
      </c>
      <c r="C489" s="157" t="s">
        <v>197</v>
      </c>
      <c r="D489" s="48" t="s">
        <v>104</v>
      </c>
      <c r="E489" s="441"/>
      <c r="F489" s="118" t="s">
        <v>113</v>
      </c>
      <c r="G489" s="119"/>
      <c r="H489" s="126"/>
      <c r="I489" s="126"/>
      <c r="J489" s="2"/>
      <c r="K489" s="18"/>
      <c r="L489" s="18"/>
      <c r="M489" s="18"/>
      <c r="N489" s="18"/>
      <c r="O489" s="126"/>
      <c r="P489" s="126"/>
      <c r="Q489" s="126">
        <f>Jan!DF294</f>
        <v>1</v>
      </c>
      <c r="R489" s="436"/>
      <c r="S489" s="436"/>
      <c r="T489" s="18"/>
      <c r="U489" s="18"/>
      <c r="V489" s="18"/>
      <c r="W489" s="45"/>
      <c r="X489" s="67"/>
    </row>
    <row r="490" spans="1:25" ht="15" customHeight="1">
      <c r="A490" s="427"/>
      <c r="B490" s="137" t="s">
        <v>106</v>
      </c>
      <c r="C490" s="157" t="s">
        <v>141</v>
      </c>
      <c r="D490" s="48" t="s">
        <v>68</v>
      </c>
      <c r="E490" s="441"/>
      <c r="F490" s="118" t="s">
        <v>67</v>
      </c>
      <c r="G490" s="119"/>
      <c r="H490" s="126"/>
      <c r="I490" s="126"/>
      <c r="J490" s="2"/>
      <c r="K490" s="18"/>
      <c r="L490" s="18"/>
      <c r="M490" s="18"/>
      <c r="N490" s="18"/>
      <c r="O490" s="126"/>
      <c r="P490" s="126"/>
      <c r="Q490" s="126">
        <f>Jan!DF292</f>
        <v>1</v>
      </c>
      <c r="R490" s="436"/>
      <c r="S490" s="436"/>
      <c r="T490" s="18"/>
      <c r="U490" s="18"/>
      <c r="V490" s="18"/>
      <c r="W490" s="45"/>
      <c r="X490" s="67"/>
    </row>
    <row r="491" spans="1:25" ht="15" customHeight="1" thickBot="1">
      <c r="A491" s="428"/>
      <c r="B491" s="44" t="s">
        <v>107</v>
      </c>
      <c r="C491" s="181" t="s">
        <v>195</v>
      </c>
      <c r="D491" s="61" t="s">
        <v>108</v>
      </c>
      <c r="E491" s="447"/>
      <c r="F491" s="133" t="s">
        <v>48</v>
      </c>
      <c r="G491" s="132"/>
      <c r="H491" s="109"/>
      <c r="I491" s="134"/>
      <c r="J491" s="129"/>
      <c r="K491" s="130"/>
      <c r="L491" s="130"/>
      <c r="M491" s="130"/>
      <c r="N491" s="130"/>
      <c r="O491" s="134"/>
      <c r="P491" s="134"/>
      <c r="Q491" s="134">
        <f>Jan!DF293</f>
        <v>1</v>
      </c>
      <c r="R491" s="437"/>
      <c r="S491" s="437"/>
      <c r="T491" s="130"/>
      <c r="U491" s="130"/>
      <c r="V491" s="128"/>
      <c r="W491" s="85"/>
      <c r="X491" s="67"/>
    </row>
    <row r="492" spans="1:25" ht="15" customHeight="1">
      <c r="A492" s="426">
        <v>46051</v>
      </c>
      <c r="B492" s="429" t="s">
        <v>44</v>
      </c>
      <c r="C492" s="432" t="s">
        <v>240</v>
      </c>
      <c r="D492" s="19" t="s">
        <v>37</v>
      </c>
      <c r="E492" s="19" t="s">
        <v>25</v>
      </c>
      <c r="F492" s="39" t="s">
        <v>40</v>
      </c>
      <c r="G492" s="41"/>
      <c r="H492" s="32">
        <v>5760</v>
      </c>
      <c r="I492" s="32"/>
      <c r="J492" s="32"/>
      <c r="K492" s="20">
        <v>8000</v>
      </c>
      <c r="L492" s="20">
        <v>1</v>
      </c>
      <c r="M492" s="20">
        <v>56000</v>
      </c>
      <c r="N492" s="84">
        <v>7</v>
      </c>
      <c r="O492" s="32">
        <f>Jan!DJ272</f>
        <v>30941</v>
      </c>
      <c r="P492" s="32">
        <f>Jan!DK272</f>
        <v>25802</v>
      </c>
      <c r="Q492" s="32">
        <f>Jan!DI272</f>
        <v>72</v>
      </c>
      <c r="R492" s="435">
        <f>Jan!DJ296</f>
        <v>73617</v>
      </c>
      <c r="S492" s="435">
        <f>Jan!DK296</f>
        <v>72121</v>
      </c>
      <c r="T492" s="20">
        <v>24942</v>
      </c>
      <c r="U492" s="20"/>
      <c r="V492" s="20">
        <f>O492-T492-U492+V470</f>
        <v>24316</v>
      </c>
      <c r="W492" s="77"/>
      <c r="X492" s="36"/>
    </row>
    <row r="493" spans="1:25" ht="15" customHeight="1">
      <c r="A493" s="427"/>
      <c r="B493" s="430"/>
      <c r="C493" s="433"/>
      <c r="D493" s="113" t="s">
        <v>69</v>
      </c>
      <c r="E493" s="438" t="s">
        <v>24</v>
      </c>
      <c r="F493" s="118" t="s">
        <v>40</v>
      </c>
      <c r="G493" s="38"/>
      <c r="H493" s="37"/>
      <c r="I493" s="125"/>
      <c r="J493" s="125"/>
      <c r="K493" s="127"/>
      <c r="L493" s="127"/>
      <c r="M493" s="127"/>
      <c r="N493" s="81"/>
      <c r="O493" s="125">
        <f>Jan!DJ274</f>
        <v>5108</v>
      </c>
      <c r="P493" s="125">
        <f>Jan!DK274</f>
        <v>4254</v>
      </c>
      <c r="Q493" s="125">
        <f>Jan!DI274</f>
        <v>12</v>
      </c>
      <c r="R493" s="436"/>
      <c r="S493" s="436"/>
      <c r="T493" s="127">
        <v>8835</v>
      </c>
      <c r="U493" s="127">
        <v>4</v>
      </c>
      <c r="V493" s="127">
        <f>O493-T493-U493+V471</f>
        <v>2838</v>
      </c>
      <c r="W493" s="46"/>
      <c r="X493" s="67"/>
    </row>
    <row r="494" spans="1:25" ht="15" customHeight="1">
      <c r="A494" s="427"/>
      <c r="B494" s="431"/>
      <c r="C494" s="434"/>
      <c r="D494" s="113" t="s">
        <v>128</v>
      </c>
      <c r="E494" s="431"/>
      <c r="F494" s="114" t="s">
        <v>40</v>
      </c>
      <c r="G494" s="170">
        <v>4948.29</v>
      </c>
      <c r="H494" s="135"/>
      <c r="I494" s="125"/>
      <c r="J494" s="125"/>
      <c r="K494" s="18">
        <v>8000</v>
      </c>
      <c r="L494" s="127">
        <v>1</v>
      </c>
      <c r="M494" s="127">
        <v>72000</v>
      </c>
      <c r="N494" s="81">
        <v>9</v>
      </c>
      <c r="O494" s="126">
        <f>Jan!DJ275</f>
        <v>8176</v>
      </c>
      <c r="P494" s="125">
        <f>Jan!DK275</f>
        <v>9415</v>
      </c>
      <c r="Q494" s="125">
        <f>Jan!DI275</f>
        <v>26</v>
      </c>
      <c r="R494" s="436"/>
      <c r="S494" s="436"/>
      <c r="T494" s="127">
        <v>8990</v>
      </c>
      <c r="U494" s="127">
        <v>10</v>
      </c>
      <c r="V494" s="127">
        <f>O494-T494-U494+V472</f>
        <v>6271</v>
      </c>
      <c r="W494" s="46"/>
      <c r="X494" s="67"/>
    </row>
    <row r="495" spans="1:25" ht="15" customHeight="1">
      <c r="A495" s="427"/>
      <c r="B495" s="442" t="s">
        <v>45</v>
      </c>
      <c r="C495" s="448" t="s">
        <v>59</v>
      </c>
      <c r="D495" s="118" t="s">
        <v>75</v>
      </c>
      <c r="E495" s="131" t="s">
        <v>25</v>
      </c>
      <c r="F495" s="131" t="s">
        <v>57</v>
      </c>
      <c r="G495" s="87"/>
      <c r="H495" s="136"/>
      <c r="I495" s="126"/>
      <c r="J495" s="2"/>
      <c r="K495" s="127">
        <v>5000</v>
      </c>
      <c r="L495" s="18">
        <v>1</v>
      </c>
      <c r="M495" s="18">
        <v>55600</v>
      </c>
      <c r="N495" s="80">
        <v>11</v>
      </c>
      <c r="O495" s="126">
        <f>Jan!DJ280</f>
        <v>3701</v>
      </c>
      <c r="P495" s="126">
        <f>Jan!DK280</f>
        <v>3750</v>
      </c>
      <c r="Q495" s="2">
        <f>Jan!DI280</f>
        <v>16</v>
      </c>
      <c r="R495" s="436"/>
      <c r="S495" s="436"/>
      <c r="T495" s="18"/>
      <c r="U495" s="18"/>
      <c r="V495" s="18">
        <f>O495-T495-U495+V473</f>
        <v>24767</v>
      </c>
      <c r="W495" s="46"/>
      <c r="Y495" s="13"/>
    </row>
    <row r="496" spans="1:25">
      <c r="A496" s="427"/>
      <c r="B496" s="439"/>
      <c r="C496" s="440"/>
      <c r="D496" s="118" t="s">
        <v>72</v>
      </c>
      <c r="E496" s="424" t="s">
        <v>24</v>
      </c>
      <c r="F496" s="131" t="s">
        <v>57</v>
      </c>
      <c r="G496" s="136"/>
      <c r="H496" s="136"/>
      <c r="I496" s="126"/>
      <c r="J496" s="126"/>
      <c r="K496" s="127">
        <v>5000</v>
      </c>
      <c r="L496" s="18">
        <v>1</v>
      </c>
      <c r="M496" s="18">
        <v>45000</v>
      </c>
      <c r="N496" s="80">
        <v>9</v>
      </c>
      <c r="O496" s="126">
        <f>Jan!DJ281</f>
        <v>3687</v>
      </c>
      <c r="P496" s="126">
        <f>Jan!DK281</f>
        <v>3199</v>
      </c>
      <c r="Q496" s="126">
        <f>Jan!DI281</f>
        <v>14</v>
      </c>
      <c r="R496" s="436"/>
      <c r="S496" s="436"/>
      <c r="T496" s="18"/>
      <c r="U496" s="18"/>
      <c r="V496" s="18">
        <f>O496-T496-U496+V474</f>
        <v>29141</v>
      </c>
      <c r="W496" s="46"/>
      <c r="Y496" s="13"/>
    </row>
    <row r="497" spans="1:25">
      <c r="A497" s="427"/>
      <c r="B497" s="439"/>
      <c r="C497" s="440"/>
      <c r="D497" s="115" t="s">
        <v>73</v>
      </c>
      <c r="E497" s="425"/>
      <c r="F497" s="131"/>
      <c r="G497" s="136"/>
      <c r="H497" s="136"/>
      <c r="I497" s="126"/>
      <c r="J497" s="126"/>
      <c r="K497" s="127"/>
      <c r="L497" s="18"/>
      <c r="M497" s="18"/>
      <c r="N497" s="80"/>
      <c r="O497" s="126"/>
      <c r="P497" s="126"/>
      <c r="Q497" s="126"/>
      <c r="R497" s="436"/>
      <c r="S497" s="436"/>
      <c r="T497" s="18"/>
      <c r="U497" s="18"/>
      <c r="V497" s="18"/>
      <c r="W497" s="46"/>
      <c r="Y497" s="13"/>
    </row>
    <row r="498" spans="1:25">
      <c r="A498" s="427"/>
      <c r="B498" s="439"/>
      <c r="C498" s="440"/>
      <c r="D498" s="115" t="s">
        <v>79</v>
      </c>
      <c r="E498" s="424" t="s">
        <v>65</v>
      </c>
      <c r="F498" s="131" t="s">
        <v>57</v>
      </c>
      <c r="G498" s="136"/>
      <c r="H498" s="136"/>
      <c r="I498" s="126"/>
      <c r="J498" s="126"/>
      <c r="K498" s="127">
        <v>25000</v>
      </c>
      <c r="L498" s="18">
        <v>5</v>
      </c>
      <c r="M498" s="18">
        <v>19000</v>
      </c>
      <c r="N498" s="80">
        <v>4</v>
      </c>
      <c r="O498" s="126">
        <f>Jan!DJ282</f>
        <v>5635</v>
      </c>
      <c r="P498" s="126">
        <f>Jan!DK282</f>
        <v>5375</v>
      </c>
      <c r="Q498" s="126">
        <f>Jan!DI282</f>
        <v>26</v>
      </c>
      <c r="R498" s="436"/>
      <c r="S498" s="436"/>
      <c r="T498" s="18">
        <v>4590</v>
      </c>
      <c r="U498" s="18"/>
      <c r="V498" s="18">
        <f>O498-T498-U498+V475</f>
        <v>3385</v>
      </c>
      <c r="W498" s="46"/>
      <c r="Y498" s="13"/>
    </row>
    <row r="499" spans="1:25">
      <c r="A499" s="427"/>
      <c r="B499" s="443"/>
      <c r="C499" s="449"/>
      <c r="D499" s="115" t="s">
        <v>80</v>
      </c>
      <c r="E499" s="425"/>
      <c r="F499" s="131"/>
      <c r="G499" s="136"/>
      <c r="H499" s="152">
        <v>1980</v>
      </c>
      <c r="I499" s="126"/>
      <c r="J499" s="126"/>
      <c r="K499" s="127"/>
      <c r="L499" s="18"/>
      <c r="M499" s="18"/>
      <c r="N499" s="80"/>
      <c r="O499" s="126"/>
      <c r="P499" s="126"/>
      <c r="Q499" s="126"/>
      <c r="R499" s="436"/>
      <c r="S499" s="436"/>
      <c r="T499" s="18"/>
      <c r="U499" s="18"/>
      <c r="V499" s="18"/>
      <c r="W499" s="46"/>
      <c r="Y499" s="13"/>
    </row>
    <row r="500" spans="1:25" ht="14.25" customHeight="1">
      <c r="A500" s="427"/>
      <c r="B500" s="442" t="s">
        <v>53</v>
      </c>
      <c r="C500" s="444" t="s">
        <v>60</v>
      </c>
      <c r="D500" s="43" t="s">
        <v>98</v>
      </c>
      <c r="E500" s="441" t="s">
        <v>66</v>
      </c>
      <c r="F500" s="118" t="s">
        <v>54</v>
      </c>
      <c r="G500" s="136"/>
      <c r="H500" s="136"/>
      <c r="I500" s="126"/>
      <c r="J500" s="126"/>
      <c r="K500" s="127"/>
      <c r="L500" s="18"/>
      <c r="M500" s="18"/>
      <c r="N500" s="80"/>
      <c r="O500" s="126"/>
      <c r="P500" s="126"/>
      <c r="Q500" s="126"/>
      <c r="R500" s="436"/>
      <c r="S500" s="436"/>
      <c r="T500" s="18"/>
      <c r="U500" s="18"/>
      <c r="V500" s="18"/>
      <c r="W500" s="45"/>
      <c r="X500" s="36"/>
    </row>
    <row r="501" spans="1:25" ht="14.25" customHeight="1">
      <c r="A501" s="427"/>
      <c r="B501" s="443"/>
      <c r="C501" s="446"/>
      <c r="D501" s="43" t="s">
        <v>130</v>
      </c>
      <c r="E501" s="425"/>
      <c r="F501" s="118" t="s">
        <v>54</v>
      </c>
      <c r="G501" s="136"/>
      <c r="H501" s="37"/>
      <c r="I501" s="126"/>
      <c r="J501" s="126"/>
      <c r="K501" s="18"/>
      <c r="L501" s="18"/>
      <c r="M501" s="18">
        <v>58750</v>
      </c>
      <c r="N501" s="80">
        <v>10</v>
      </c>
      <c r="O501" s="126">
        <f>Jan!DJ279</f>
        <v>9524</v>
      </c>
      <c r="P501" s="126">
        <f>Jan!DK279</f>
        <v>10346</v>
      </c>
      <c r="Q501" s="126">
        <f>Jan!DI279</f>
        <v>30</v>
      </c>
      <c r="R501" s="436"/>
      <c r="S501" s="436"/>
      <c r="T501" s="18">
        <v>7124</v>
      </c>
      <c r="U501" s="18"/>
      <c r="V501" s="18">
        <f>O501-T501-U501+V477</f>
        <v>3860</v>
      </c>
      <c r="W501" s="45"/>
      <c r="X501" s="36"/>
    </row>
    <row r="502" spans="1:25" ht="14.25" customHeight="1">
      <c r="A502" s="427"/>
      <c r="B502" s="122" t="s">
        <v>55</v>
      </c>
      <c r="C502" s="180" t="s">
        <v>133</v>
      </c>
      <c r="D502" s="48" t="s">
        <v>56</v>
      </c>
      <c r="E502" s="424" t="s">
        <v>25</v>
      </c>
      <c r="F502" s="118" t="s">
        <v>67</v>
      </c>
      <c r="G502" s="136"/>
      <c r="H502" s="37"/>
      <c r="I502" s="126"/>
      <c r="J502" s="126"/>
      <c r="K502" s="18"/>
      <c r="L502" s="18"/>
      <c r="M502" s="18">
        <v>2800</v>
      </c>
      <c r="N502" s="80">
        <v>1</v>
      </c>
      <c r="O502" s="126">
        <f>Jan!DJ295</f>
        <v>400</v>
      </c>
      <c r="P502" s="126">
        <f>Jan!DK295</f>
        <v>406</v>
      </c>
      <c r="Q502" s="126">
        <f>Jan!DI295</f>
        <v>1</v>
      </c>
      <c r="R502" s="436"/>
      <c r="S502" s="436"/>
      <c r="T502" s="18">
        <v>395</v>
      </c>
      <c r="U502" s="18">
        <v>5</v>
      </c>
      <c r="V502" s="18">
        <f>O502-T502-U502+V478</f>
        <v>0</v>
      </c>
      <c r="W502" s="45"/>
      <c r="X502" s="67"/>
    </row>
    <row r="503" spans="1:25" ht="14.25" customHeight="1">
      <c r="A503" s="427"/>
      <c r="B503" s="442" t="s">
        <v>122</v>
      </c>
      <c r="C503" s="444" t="s">
        <v>123</v>
      </c>
      <c r="D503" s="48" t="s">
        <v>56</v>
      </c>
      <c r="E503" s="441"/>
      <c r="F503" s="155" t="s">
        <v>64</v>
      </c>
      <c r="G503" s="37"/>
      <c r="H503" s="37"/>
      <c r="I503" s="126"/>
      <c r="J503" s="126"/>
      <c r="K503" s="18">
        <v>3000</v>
      </c>
      <c r="L503" s="18">
        <v>1</v>
      </c>
      <c r="M503" s="18">
        <v>15600</v>
      </c>
      <c r="N503" s="80">
        <v>5</v>
      </c>
      <c r="O503" s="126">
        <f>Jan!DJ285</f>
        <v>1159</v>
      </c>
      <c r="P503" s="126">
        <f>Jan!DK285</f>
        <v>1358</v>
      </c>
      <c r="Q503" s="126">
        <f>Jan!DI285</f>
        <v>4</v>
      </c>
      <c r="R503" s="436"/>
      <c r="S503" s="436"/>
      <c r="T503" s="18">
        <v>600</v>
      </c>
      <c r="U503" s="18"/>
      <c r="V503" s="18">
        <f>O503-T503-U503+V479</f>
        <v>19911</v>
      </c>
      <c r="W503" s="45"/>
      <c r="X503" s="67"/>
    </row>
    <row r="504" spans="1:25" ht="14.25" customHeight="1">
      <c r="A504" s="427"/>
      <c r="B504" s="443"/>
      <c r="C504" s="446"/>
      <c r="D504" s="48" t="s">
        <v>129</v>
      </c>
      <c r="E504" s="441"/>
      <c r="F504" s="155"/>
      <c r="G504" s="135"/>
      <c r="H504" s="158">
        <v>750</v>
      </c>
      <c r="I504" s="158"/>
      <c r="J504" s="158"/>
      <c r="K504" s="128"/>
      <c r="L504" s="128"/>
      <c r="M504" s="128"/>
      <c r="N504" s="164"/>
      <c r="O504" s="158"/>
      <c r="P504" s="158"/>
      <c r="Q504" s="158"/>
      <c r="R504" s="436"/>
      <c r="S504" s="436"/>
      <c r="T504" s="18"/>
      <c r="U504" s="18"/>
      <c r="V504" s="18"/>
      <c r="W504" s="45"/>
      <c r="X504" s="67"/>
    </row>
    <row r="505" spans="1:25" ht="14.25" customHeight="1">
      <c r="A505" s="427"/>
      <c r="B505" s="122" t="s">
        <v>125</v>
      </c>
      <c r="C505" s="180" t="s">
        <v>88</v>
      </c>
      <c r="D505" s="48" t="s">
        <v>124</v>
      </c>
      <c r="E505" s="441"/>
      <c r="F505" s="118" t="s">
        <v>64</v>
      </c>
      <c r="G505" s="37"/>
      <c r="H505" s="126">
        <v>576</v>
      </c>
      <c r="I505" s="126"/>
      <c r="J505" s="126"/>
      <c r="K505" s="18"/>
      <c r="L505" s="18"/>
      <c r="M505" s="18">
        <v>88200</v>
      </c>
      <c r="N505" s="80">
        <v>12</v>
      </c>
      <c r="O505" s="126">
        <f>Jan!DJ283</f>
        <v>618</v>
      </c>
      <c r="P505" s="126">
        <f>Jan!DK283</f>
        <v>3274</v>
      </c>
      <c r="Q505" s="126">
        <f>Jan!DI283</f>
        <v>14</v>
      </c>
      <c r="R505" s="436"/>
      <c r="S505" s="436"/>
      <c r="T505" s="18">
        <v>8012</v>
      </c>
      <c r="U505" s="18"/>
      <c r="V505" s="18">
        <f>O505-T505-U505+V480</f>
        <v>618</v>
      </c>
      <c r="W505" s="45"/>
      <c r="X505" s="67"/>
    </row>
    <row r="506" spans="1:25" ht="13.5" customHeight="1">
      <c r="A506" s="427"/>
      <c r="B506" s="442" t="s">
        <v>58</v>
      </c>
      <c r="C506" s="444" t="s">
        <v>136</v>
      </c>
      <c r="D506" s="48" t="s">
        <v>56</v>
      </c>
      <c r="E506" s="441"/>
      <c r="F506" s="118" t="s">
        <v>67</v>
      </c>
      <c r="G506" s="119"/>
      <c r="H506" s="126"/>
      <c r="I506" s="126"/>
      <c r="J506" s="2"/>
      <c r="K506" s="18"/>
      <c r="L506" s="18"/>
      <c r="M506" s="18"/>
      <c r="N506" s="18"/>
      <c r="O506" s="126"/>
      <c r="P506" s="126"/>
      <c r="Q506" s="126"/>
      <c r="R506" s="436"/>
      <c r="S506" s="436"/>
      <c r="T506" s="18"/>
      <c r="U506" s="18"/>
      <c r="V506" s="18">
        <f>O506-T506-U506+V481</f>
        <v>43</v>
      </c>
      <c r="W506" s="45"/>
      <c r="X506" s="67"/>
    </row>
    <row r="507" spans="1:25" ht="15.75" customHeight="1">
      <c r="A507" s="427"/>
      <c r="B507" s="439"/>
      <c r="C507" s="445"/>
      <c r="D507" s="48" t="s">
        <v>56</v>
      </c>
      <c r="E507" s="441"/>
      <c r="F507" s="118" t="s">
        <v>140</v>
      </c>
      <c r="G507" s="119"/>
      <c r="H507" s="126"/>
      <c r="I507" s="126"/>
      <c r="J507" s="2"/>
      <c r="K507" s="18"/>
      <c r="L507" s="18"/>
      <c r="M507" s="18"/>
      <c r="N507" s="18"/>
      <c r="O507" s="126">
        <f>Jan!DJ286</f>
        <v>1770</v>
      </c>
      <c r="P507" s="126">
        <f>Jan!DK286</f>
        <v>861</v>
      </c>
      <c r="Q507" s="126">
        <f>Jan!DI286</f>
        <v>3</v>
      </c>
      <c r="R507" s="436"/>
      <c r="S507" s="436"/>
      <c r="T507" s="18"/>
      <c r="U507" s="18"/>
      <c r="V507" s="18">
        <f>O507-T507-U507+V482</f>
        <v>1770</v>
      </c>
      <c r="W507" s="45"/>
      <c r="X507" s="67"/>
    </row>
    <row r="508" spans="1:25" ht="15.75" customHeight="1">
      <c r="A508" s="427"/>
      <c r="B508" s="443"/>
      <c r="C508" s="446"/>
      <c r="D508" s="48" t="s">
        <v>92</v>
      </c>
      <c r="E508" s="441"/>
      <c r="F508" s="118"/>
      <c r="G508" s="119"/>
      <c r="H508" s="126"/>
      <c r="I508" s="126"/>
      <c r="J508" s="2"/>
      <c r="K508" s="18"/>
      <c r="L508" s="18"/>
      <c r="M508" s="18"/>
      <c r="N508" s="18"/>
      <c r="O508" s="126"/>
      <c r="P508" s="126"/>
      <c r="Q508" s="126"/>
      <c r="R508" s="436"/>
      <c r="S508" s="436"/>
      <c r="T508" s="18"/>
      <c r="U508" s="18"/>
      <c r="V508" s="18"/>
      <c r="W508" s="45"/>
      <c r="X508" s="67"/>
    </row>
    <row r="509" spans="1:25" ht="15" customHeight="1">
      <c r="A509" s="427"/>
      <c r="B509" s="122" t="s">
        <v>47</v>
      </c>
      <c r="C509" s="180" t="s">
        <v>100</v>
      </c>
      <c r="D509" s="48" t="s">
        <v>99</v>
      </c>
      <c r="E509" s="441"/>
      <c r="F509" s="118" t="s">
        <v>71</v>
      </c>
      <c r="G509" s="135">
        <v>1969.2</v>
      </c>
      <c r="H509" s="126"/>
      <c r="I509" s="126"/>
      <c r="J509" s="2"/>
      <c r="K509" s="18">
        <v>6000</v>
      </c>
      <c r="L509" s="18">
        <v>1</v>
      </c>
      <c r="M509" s="18">
        <v>42000</v>
      </c>
      <c r="N509" s="18">
        <v>7</v>
      </c>
      <c r="O509" s="126">
        <f>Jan!DJ284</f>
        <v>379</v>
      </c>
      <c r="P509" s="126">
        <f>Jan!DK284</f>
        <v>2300</v>
      </c>
      <c r="Q509" s="126">
        <f>Jan!DI284</f>
        <v>9</v>
      </c>
      <c r="R509" s="436"/>
      <c r="S509" s="436"/>
      <c r="T509" s="18">
        <v>1500</v>
      </c>
      <c r="U509" s="18"/>
      <c r="V509" s="18">
        <f>O509-T509-U509+V483</f>
        <v>22112</v>
      </c>
      <c r="W509" s="45"/>
      <c r="X509" s="67"/>
    </row>
    <row r="510" spans="1:25" ht="15" customHeight="1">
      <c r="A510" s="427"/>
      <c r="B510" s="122" t="s">
        <v>134</v>
      </c>
      <c r="C510" s="180" t="s">
        <v>63</v>
      </c>
      <c r="D510" s="48" t="s">
        <v>135</v>
      </c>
      <c r="E510" s="441"/>
      <c r="F510" s="118" t="s">
        <v>64</v>
      </c>
      <c r="G510" s="119"/>
      <c r="H510" s="126"/>
      <c r="I510" s="126"/>
      <c r="J510" s="2"/>
      <c r="K510" s="18"/>
      <c r="L510" s="18"/>
      <c r="M510" s="18">
        <v>8300</v>
      </c>
      <c r="N510" s="18">
        <v>1</v>
      </c>
      <c r="O510" s="126">
        <f>Jan!DJ288</f>
        <v>2519</v>
      </c>
      <c r="P510" s="126">
        <f>Jan!DK288</f>
        <v>1110</v>
      </c>
      <c r="Q510" s="126">
        <f>Jan!DI288</f>
        <v>4</v>
      </c>
      <c r="R510" s="436"/>
      <c r="S510" s="436"/>
      <c r="T510" s="18"/>
      <c r="U510" s="18"/>
      <c r="V510" s="18">
        <f>O510-T510-U510+V484</f>
        <v>4264</v>
      </c>
      <c r="W510" s="45"/>
      <c r="X510" s="67"/>
    </row>
    <row r="511" spans="1:25" ht="15" customHeight="1">
      <c r="A511" s="427"/>
      <c r="B511" s="122" t="s">
        <v>61</v>
      </c>
      <c r="C511" s="180" t="s">
        <v>137</v>
      </c>
      <c r="D511" s="48" t="s">
        <v>56</v>
      </c>
      <c r="E511" s="441"/>
      <c r="F511" s="118" t="s">
        <v>67</v>
      </c>
      <c r="G511" s="119"/>
      <c r="H511" s="126"/>
      <c r="I511" s="126"/>
      <c r="J511" s="2"/>
      <c r="K511" s="18"/>
      <c r="L511" s="18"/>
      <c r="M511" s="18"/>
      <c r="N511" s="18"/>
      <c r="O511" s="126"/>
      <c r="P511" s="126">
        <f>Jan!DK287</f>
        <v>671</v>
      </c>
      <c r="Q511" s="126">
        <f>Jan!DI287</f>
        <v>2</v>
      </c>
      <c r="R511" s="436"/>
      <c r="S511" s="436"/>
      <c r="T511" s="18"/>
      <c r="U511" s="18"/>
      <c r="V511" s="18">
        <f>O511-T511-U511+V485</f>
        <v>0</v>
      </c>
      <c r="W511" s="45"/>
      <c r="X511" s="67"/>
    </row>
    <row r="512" spans="1:25" ht="15" customHeight="1">
      <c r="A512" s="427"/>
      <c r="B512" s="122" t="s">
        <v>131</v>
      </c>
      <c r="C512" s="180" t="s">
        <v>194</v>
      </c>
      <c r="D512" s="48" t="s">
        <v>132</v>
      </c>
      <c r="E512" s="441"/>
      <c r="F512" s="118" t="s">
        <v>64</v>
      </c>
      <c r="G512" s="119"/>
      <c r="H512" s="126"/>
      <c r="I512" s="126"/>
      <c r="J512" s="2"/>
      <c r="K512" s="18"/>
      <c r="L512" s="18"/>
      <c r="M512" s="18"/>
      <c r="N512" s="18"/>
      <c r="O512" s="126"/>
      <c r="P512" s="126"/>
      <c r="Q512" s="126">
        <f>Jan!DI289</f>
        <v>1</v>
      </c>
      <c r="R512" s="436"/>
      <c r="S512" s="436"/>
      <c r="T512" s="18"/>
      <c r="U512" s="18"/>
      <c r="V512" s="18"/>
      <c r="W512" s="45"/>
      <c r="X512" s="67"/>
    </row>
    <row r="513" spans="1:25" ht="15" customHeight="1">
      <c r="A513" s="427"/>
      <c r="B513" s="122" t="s">
        <v>101</v>
      </c>
      <c r="C513" s="180" t="s">
        <v>193</v>
      </c>
      <c r="D513" s="48" t="s">
        <v>102</v>
      </c>
      <c r="E513" s="441"/>
      <c r="F513" s="118" t="s">
        <v>64</v>
      </c>
      <c r="G513" s="119"/>
      <c r="H513" s="126"/>
      <c r="I513" s="126"/>
      <c r="J513" s="2"/>
      <c r="K513" s="18"/>
      <c r="L513" s="18"/>
      <c r="M513" s="18"/>
      <c r="N513" s="18"/>
      <c r="O513" s="126"/>
      <c r="P513" s="126"/>
      <c r="Q513" s="126">
        <f>Jan!DI290</f>
        <v>1</v>
      </c>
      <c r="R513" s="436"/>
      <c r="S513" s="436"/>
      <c r="T513" s="18"/>
      <c r="U513" s="18"/>
      <c r="V513" s="18"/>
      <c r="W513" s="45"/>
      <c r="X513" s="67"/>
    </row>
    <row r="514" spans="1:25" ht="15" customHeight="1">
      <c r="A514" s="427"/>
      <c r="B514" s="122" t="s">
        <v>103</v>
      </c>
      <c r="C514" s="157" t="s">
        <v>197</v>
      </c>
      <c r="D514" s="48" t="s">
        <v>104</v>
      </c>
      <c r="E514" s="441"/>
      <c r="F514" s="118" t="s">
        <v>105</v>
      </c>
      <c r="G514" s="119"/>
      <c r="H514" s="126"/>
      <c r="I514" s="126"/>
      <c r="J514" s="2"/>
      <c r="K514" s="18"/>
      <c r="L514" s="18"/>
      <c r="M514" s="18"/>
      <c r="N514" s="18"/>
      <c r="O514" s="126"/>
      <c r="P514" s="126"/>
      <c r="Q514" s="126">
        <f>Jan!DI291</f>
        <v>1</v>
      </c>
      <c r="R514" s="436"/>
      <c r="S514" s="436"/>
      <c r="T514" s="18"/>
      <c r="U514" s="18"/>
      <c r="V514" s="18"/>
      <c r="W514" s="45"/>
      <c r="X514" s="67"/>
    </row>
    <row r="515" spans="1:25" ht="15" customHeight="1">
      <c r="A515" s="427"/>
      <c r="B515" s="137" t="s">
        <v>112</v>
      </c>
      <c r="C515" s="157" t="s">
        <v>197</v>
      </c>
      <c r="D515" s="48" t="s">
        <v>104</v>
      </c>
      <c r="E515" s="441"/>
      <c r="F515" s="118" t="s">
        <v>113</v>
      </c>
      <c r="G515" s="119"/>
      <c r="H515" s="126"/>
      <c r="I515" s="126"/>
      <c r="J515" s="2"/>
      <c r="K515" s="18"/>
      <c r="L515" s="18"/>
      <c r="M515" s="18"/>
      <c r="N515" s="18"/>
      <c r="O515" s="126"/>
      <c r="P515" s="126"/>
      <c r="Q515" s="126">
        <f>Jan!DI294</f>
        <v>1</v>
      </c>
      <c r="R515" s="436"/>
      <c r="S515" s="436"/>
      <c r="T515" s="18"/>
      <c r="U515" s="18"/>
      <c r="V515" s="18"/>
      <c r="W515" s="45"/>
      <c r="X515" s="67"/>
    </row>
    <row r="516" spans="1:25" ht="15" customHeight="1">
      <c r="A516" s="427"/>
      <c r="B516" s="137" t="s">
        <v>106</v>
      </c>
      <c r="C516" s="157" t="s">
        <v>141</v>
      </c>
      <c r="D516" s="48" t="s">
        <v>68</v>
      </c>
      <c r="E516" s="441"/>
      <c r="F516" s="118" t="s">
        <v>67</v>
      </c>
      <c r="G516" s="119"/>
      <c r="H516" s="126"/>
      <c r="I516" s="126"/>
      <c r="J516" s="2"/>
      <c r="K516" s="18"/>
      <c r="L516" s="18"/>
      <c r="M516" s="18"/>
      <c r="N516" s="18"/>
      <c r="O516" s="126"/>
      <c r="P516" s="126"/>
      <c r="Q516" s="126">
        <f>Jan!DI292</f>
        <v>1</v>
      </c>
      <c r="R516" s="436"/>
      <c r="S516" s="436"/>
      <c r="T516" s="18"/>
      <c r="U516" s="18"/>
      <c r="V516" s="18"/>
      <c r="W516" s="45"/>
      <c r="X516" s="67"/>
    </row>
    <row r="517" spans="1:25" ht="15" customHeight="1" thickBot="1">
      <c r="A517" s="428"/>
      <c r="B517" s="44" t="s">
        <v>107</v>
      </c>
      <c r="C517" s="181" t="s">
        <v>195</v>
      </c>
      <c r="D517" s="61" t="s">
        <v>108</v>
      </c>
      <c r="E517" s="447"/>
      <c r="F517" s="133" t="s">
        <v>48</v>
      </c>
      <c r="G517" s="132"/>
      <c r="H517" s="109"/>
      <c r="I517" s="134"/>
      <c r="J517" s="129"/>
      <c r="K517" s="130"/>
      <c r="L517" s="130"/>
      <c r="M517" s="130"/>
      <c r="N517" s="130"/>
      <c r="O517" s="134"/>
      <c r="P517" s="134"/>
      <c r="Q517" s="134">
        <f>Jan!DI293</f>
        <v>1</v>
      </c>
      <c r="R517" s="437"/>
      <c r="S517" s="437"/>
      <c r="T517" s="130"/>
      <c r="U517" s="130"/>
      <c r="V517" s="128"/>
      <c r="W517" s="85"/>
      <c r="X517" s="67"/>
    </row>
    <row r="518" spans="1:25" ht="15" customHeight="1">
      <c r="A518" s="426">
        <v>46052</v>
      </c>
      <c r="B518" s="429" t="s">
        <v>44</v>
      </c>
      <c r="C518" s="432" t="s">
        <v>240</v>
      </c>
      <c r="D518" s="19" t="s">
        <v>37</v>
      </c>
      <c r="E518" s="19" t="s">
        <v>25</v>
      </c>
      <c r="F518" s="39" t="s">
        <v>40</v>
      </c>
      <c r="G518" s="41"/>
      <c r="H518" s="32"/>
      <c r="I518" s="32"/>
      <c r="J518" s="32"/>
      <c r="K518" s="20">
        <v>8000</v>
      </c>
      <c r="L518" s="20">
        <v>1</v>
      </c>
      <c r="M518" s="20">
        <v>48000</v>
      </c>
      <c r="N518" s="84">
        <v>6</v>
      </c>
      <c r="O518" s="32">
        <f>Jan!DM272</f>
        <v>23496</v>
      </c>
      <c r="P518" s="32">
        <f>Jan!DN272</f>
        <v>25755</v>
      </c>
      <c r="Q518" s="32">
        <f>Jan!DL272</f>
        <v>71</v>
      </c>
      <c r="R518" s="435">
        <f>Jan!DM296</f>
        <v>64519</v>
      </c>
      <c r="S518" s="435">
        <f>Jan!DN296</f>
        <v>72694</v>
      </c>
      <c r="T518" s="20">
        <v>25789</v>
      </c>
      <c r="U518" s="20">
        <v>12</v>
      </c>
      <c r="V518" s="20">
        <f>O518-T518-U518+V492</f>
        <v>22011</v>
      </c>
      <c r="W518" s="77"/>
      <c r="X518" s="36"/>
    </row>
    <row r="519" spans="1:25" ht="15" customHeight="1">
      <c r="A519" s="427"/>
      <c r="B519" s="430"/>
      <c r="C519" s="433"/>
      <c r="D519" s="113" t="s">
        <v>69</v>
      </c>
      <c r="E519" s="438" t="s">
        <v>24</v>
      </c>
      <c r="F519" s="118" t="s">
        <v>40</v>
      </c>
      <c r="G519" s="38"/>
      <c r="H519" s="37"/>
      <c r="I519" s="125"/>
      <c r="J519" s="125"/>
      <c r="K519" s="127"/>
      <c r="L519" s="127"/>
      <c r="M519" s="127"/>
      <c r="N519" s="81"/>
      <c r="O519" s="125">
        <f>Jan!DM274</f>
        <v>1560</v>
      </c>
      <c r="P519" s="125">
        <f>Jan!DN274</f>
        <v>4018</v>
      </c>
      <c r="Q519" s="125">
        <f>Jan!DL274</f>
        <v>11</v>
      </c>
      <c r="R519" s="436"/>
      <c r="S519" s="436"/>
      <c r="T519" s="127"/>
      <c r="U519" s="127"/>
      <c r="V519" s="127">
        <f>O519-T519-U519+V493</f>
        <v>4398</v>
      </c>
      <c r="W519" s="46"/>
      <c r="X519" s="67"/>
    </row>
    <row r="520" spans="1:25" ht="15" customHeight="1">
      <c r="A520" s="427"/>
      <c r="B520" s="431"/>
      <c r="C520" s="434"/>
      <c r="D520" s="113" t="s">
        <v>128</v>
      </c>
      <c r="E520" s="431"/>
      <c r="F520" s="114" t="s">
        <v>40</v>
      </c>
      <c r="G520" s="170">
        <v>4907.05</v>
      </c>
      <c r="H520" s="158">
        <v>2940</v>
      </c>
      <c r="I520" s="125"/>
      <c r="J520" s="125"/>
      <c r="K520" s="18">
        <v>16000</v>
      </c>
      <c r="L520" s="127">
        <v>2</v>
      </c>
      <c r="M520" s="127">
        <v>127400</v>
      </c>
      <c r="N520" s="81">
        <v>16</v>
      </c>
      <c r="O520" s="126">
        <f>Jan!DM275</f>
        <v>3658</v>
      </c>
      <c r="P520" s="125">
        <f>Jan!DN275</f>
        <v>10175</v>
      </c>
      <c r="Q520" s="125">
        <f>Jan!DL275</f>
        <v>28</v>
      </c>
      <c r="R520" s="436"/>
      <c r="S520" s="436"/>
      <c r="T520" s="127">
        <v>8630</v>
      </c>
      <c r="U520" s="127">
        <v>22</v>
      </c>
      <c r="V520" s="127">
        <f>O520-T520-U520+V494</f>
        <v>1277</v>
      </c>
      <c r="W520" s="46"/>
      <c r="X520" s="67"/>
    </row>
    <row r="521" spans="1:25" ht="15" customHeight="1">
      <c r="A521" s="427"/>
      <c r="B521" s="439" t="s">
        <v>45</v>
      </c>
      <c r="C521" s="440" t="s">
        <v>59</v>
      </c>
      <c r="D521" s="118" t="s">
        <v>75</v>
      </c>
      <c r="E521" s="438" t="s">
        <v>25</v>
      </c>
      <c r="F521" s="131" t="s">
        <v>57</v>
      </c>
      <c r="G521" s="87"/>
      <c r="H521" s="136"/>
      <c r="I521" s="126"/>
      <c r="J521" s="2"/>
      <c r="K521" s="127">
        <v>5000</v>
      </c>
      <c r="L521" s="18">
        <v>1</v>
      </c>
      <c r="M521" s="18">
        <v>50600</v>
      </c>
      <c r="N521" s="80">
        <v>10</v>
      </c>
      <c r="O521" s="126">
        <f>Jan!DM280</f>
        <v>4189</v>
      </c>
      <c r="P521" s="126">
        <f>Jan!DN280</f>
        <v>3688</v>
      </c>
      <c r="Q521" s="2">
        <f>Jan!DL280</f>
        <v>16</v>
      </c>
      <c r="R521" s="436"/>
      <c r="S521" s="436"/>
      <c r="T521" s="18"/>
      <c r="U521" s="18"/>
      <c r="V521" s="18">
        <f>O521-T521-U521+V495</f>
        <v>28956</v>
      </c>
      <c r="W521" s="46"/>
      <c r="Y521" s="13"/>
    </row>
    <row r="522" spans="1:25" ht="15" customHeight="1">
      <c r="A522" s="427"/>
      <c r="B522" s="439"/>
      <c r="C522" s="440"/>
      <c r="D522" s="118" t="s">
        <v>94</v>
      </c>
      <c r="E522" s="431"/>
      <c r="F522" s="131"/>
      <c r="G522" s="87"/>
      <c r="H522" s="152">
        <v>1134</v>
      </c>
      <c r="I522" s="126"/>
      <c r="J522" s="2"/>
      <c r="K522" s="127"/>
      <c r="L522" s="18"/>
      <c r="M522" s="18"/>
      <c r="N522" s="80"/>
      <c r="O522" s="126"/>
      <c r="P522" s="126"/>
      <c r="Q522" s="2"/>
      <c r="R522" s="436"/>
      <c r="S522" s="436"/>
      <c r="T522" s="18"/>
      <c r="U522" s="18"/>
      <c r="V522" s="18"/>
      <c r="W522" s="46"/>
      <c r="Y522" s="13"/>
    </row>
    <row r="523" spans="1:25">
      <c r="A523" s="427"/>
      <c r="B523" s="439"/>
      <c r="C523" s="440"/>
      <c r="D523" s="118" t="s">
        <v>72</v>
      </c>
      <c r="E523" s="424" t="s">
        <v>24</v>
      </c>
      <c r="F523" s="131" t="s">
        <v>57</v>
      </c>
      <c r="G523" s="136"/>
      <c r="H523" s="136"/>
      <c r="I523" s="126"/>
      <c r="J523" s="126"/>
      <c r="K523" s="127"/>
      <c r="L523" s="18"/>
      <c r="M523" s="18">
        <v>45000</v>
      </c>
      <c r="N523" s="80">
        <v>9</v>
      </c>
      <c r="O523" s="126">
        <f>Jan!DM281</f>
        <v>2648</v>
      </c>
      <c r="P523" s="126">
        <f>Jan!DN281</f>
        <v>3239</v>
      </c>
      <c r="Q523" s="126">
        <f>Jan!DL281</f>
        <v>14</v>
      </c>
      <c r="R523" s="436"/>
      <c r="S523" s="436"/>
      <c r="T523" s="18"/>
      <c r="U523" s="18"/>
      <c r="V523" s="18">
        <f>O523-T523-U523+V496</f>
        <v>31789</v>
      </c>
      <c r="W523" s="46"/>
      <c r="Y523" s="13"/>
    </row>
    <row r="524" spans="1:25">
      <c r="A524" s="427"/>
      <c r="B524" s="439"/>
      <c r="C524" s="440"/>
      <c r="D524" s="115" t="s">
        <v>73</v>
      </c>
      <c r="E524" s="425"/>
      <c r="F524" s="131"/>
      <c r="G524" s="136"/>
      <c r="H524" s="152">
        <v>1320</v>
      </c>
      <c r="I524" s="126"/>
      <c r="J524" s="126"/>
      <c r="K524" s="127"/>
      <c r="L524" s="18"/>
      <c r="M524" s="18"/>
      <c r="N524" s="80"/>
      <c r="O524" s="126"/>
      <c r="P524" s="126"/>
      <c r="Q524" s="126"/>
      <c r="R524" s="436"/>
      <c r="S524" s="436"/>
      <c r="T524" s="18"/>
      <c r="U524" s="18"/>
      <c r="V524" s="18"/>
      <c r="W524" s="46"/>
      <c r="Y524" s="13"/>
    </row>
    <row r="525" spans="1:25">
      <c r="A525" s="427"/>
      <c r="B525" s="439"/>
      <c r="C525" s="440"/>
      <c r="D525" s="115" t="s">
        <v>79</v>
      </c>
      <c r="E525" s="118" t="s">
        <v>65</v>
      </c>
      <c r="F525" s="131" t="s">
        <v>57</v>
      </c>
      <c r="G525" s="87">
        <v>1941.25</v>
      </c>
      <c r="H525" s="136"/>
      <c r="I525" s="126"/>
      <c r="J525" s="126"/>
      <c r="K525" s="127">
        <v>14000</v>
      </c>
      <c r="L525" s="18">
        <v>3</v>
      </c>
      <c r="M525" s="18">
        <v>30000</v>
      </c>
      <c r="N525" s="80">
        <v>6</v>
      </c>
      <c r="O525" s="126">
        <f>Jan!DM282</f>
        <v>4641</v>
      </c>
      <c r="P525" s="126">
        <f>Jan!DN282</f>
        <v>5584</v>
      </c>
      <c r="Q525" s="126">
        <f>Jan!DL282</f>
        <v>25</v>
      </c>
      <c r="R525" s="436"/>
      <c r="S525" s="436"/>
      <c r="T525" s="18">
        <v>5956</v>
      </c>
      <c r="U525" s="18">
        <v>11</v>
      </c>
      <c r="V525" s="18">
        <f>O525-T525-U525+V498</f>
        <v>2059</v>
      </c>
      <c r="W525" s="46"/>
      <c r="Y525" s="13"/>
    </row>
    <row r="526" spans="1:25" ht="14.25" customHeight="1">
      <c r="A526" s="427"/>
      <c r="B526" s="442" t="s">
        <v>53</v>
      </c>
      <c r="C526" s="444" t="s">
        <v>60</v>
      </c>
      <c r="D526" s="43" t="s">
        <v>98</v>
      </c>
      <c r="E526" s="441" t="s">
        <v>66</v>
      </c>
      <c r="F526" s="118" t="s">
        <v>54</v>
      </c>
      <c r="G526" s="136"/>
      <c r="H526" s="136"/>
      <c r="I526" s="126"/>
      <c r="J526" s="126"/>
      <c r="K526" s="127"/>
      <c r="L526" s="18"/>
      <c r="M526" s="18"/>
      <c r="N526" s="80"/>
      <c r="O526" s="126"/>
      <c r="P526" s="126"/>
      <c r="Q526" s="126"/>
      <c r="R526" s="436"/>
      <c r="S526" s="436"/>
      <c r="T526" s="18"/>
      <c r="U526" s="18"/>
      <c r="V526" s="18"/>
      <c r="W526" s="45"/>
      <c r="X526" s="36"/>
    </row>
    <row r="527" spans="1:25" ht="14.25" customHeight="1">
      <c r="A527" s="427"/>
      <c r="B527" s="439"/>
      <c r="C527" s="445"/>
      <c r="D527" s="43" t="s">
        <v>130</v>
      </c>
      <c r="E527" s="425"/>
      <c r="F527" s="118" t="s">
        <v>54</v>
      </c>
      <c r="G527" s="136"/>
      <c r="H527" s="37"/>
      <c r="I527" s="126"/>
      <c r="J527" s="126"/>
      <c r="K527" s="18"/>
      <c r="L527" s="18"/>
      <c r="M527" s="18">
        <v>58750</v>
      </c>
      <c r="N527" s="80">
        <v>10</v>
      </c>
      <c r="O527" s="126">
        <f>Jan!DM279</f>
        <v>11001</v>
      </c>
      <c r="P527" s="126">
        <f>Jan!DN279</f>
        <v>10308</v>
      </c>
      <c r="Q527" s="126">
        <f>Jan!DL279</f>
        <v>30</v>
      </c>
      <c r="R527" s="436"/>
      <c r="S527" s="436"/>
      <c r="T527" s="18">
        <v>14415</v>
      </c>
      <c r="U527" s="18"/>
      <c r="V527" s="18">
        <f>O527-T527-U527+V501</f>
        <v>446</v>
      </c>
      <c r="W527" s="45"/>
      <c r="X527" s="36"/>
    </row>
    <row r="528" spans="1:25" ht="14.25" customHeight="1">
      <c r="A528" s="427"/>
      <c r="B528" s="443"/>
      <c r="C528" s="446"/>
      <c r="D528" s="43" t="s">
        <v>127</v>
      </c>
      <c r="E528" s="424" t="s">
        <v>25</v>
      </c>
      <c r="F528" s="118"/>
      <c r="G528" s="136"/>
      <c r="H528" s="126">
        <v>2310</v>
      </c>
      <c r="I528" s="126"/>
      <c r="J528" s="126"/>
      <c r="K528" s="18"/>
      <c r="L528" s="18"/>
      <c r="M528" s="18"/>
      <c r="N528" s="80"/>
      <c r="O528" s="126"/>
      <c r="P528" s="126"/>
      <c r="Q528" s="126"/>
      <c r="R528" s="436"/>
      <c r="S528" s="436"/>
      <c r="T528" s="18"/>
      <c r="U528" s="18"/>
      <c r="V528" s="18"/>
      <c r="W528" s="45"/>
      <c r="X528" s="67"/>
    </row>
    <row r="529" spans="1:24" ht="14.25" customHeight="1">
      <c r="A529" s="427"/>
      <c r="B529" s="122" t="s">
        <v>55</v>
      </c>
      <c r="C529" s="180" t="s">
        <v>133</v>
      </c>
      <c r="D529" s="48" t="s">
        <v>56</v>
      </c>
      <c r="E529" s="441"/>
      <c r="F529" s="118" t="s">
        <v>67</v>
      </c>
      <c r="G529" s="136"/>
      <c r="H529" s="37"/>
      <c r="I529" s="126"/>
      <c r="J529" s="126"/>
      <c r="K529" s="18"/>
      <c r="L529" s="18"/>
      <c r="M529" s="18">
        <v>2800</v>
      </c>
      <c r="N529" s="80">
        <v>1</v>
      </c>
      <c r="O529" s="126">
        <f>Jan!DM295</f>
        <v>500</v>
      </c>
      <c r="P529" s="126">
        <f>Jan!DN295</f>
        <v>94</v>
      </c>
      <c r="Q529" s="126">
        <f>Jan!DL295</f>
        <v>1</v>
      </c>
      <c r="R529" s="436"/>
      <c r="S529" s="436"/>
      <c r="T529" s="18"/>
      <c r="U529" s="18"/>
      <c r="V529" s="18">
        <f>O529-T529-U529+V502</f>
        <v>500</v>
      </c>
      <c r="W529" s="45"/>
      <c r="X529" s="67"/>
    </row>
    <row r="530" spans="1:24" ht="14.25" customHeight="1">
      <c r="A530" s="427"/>
      <c r="B530" s="122" t="s">
        <v>122</v>
      </c>
      <c r="C530" s="180" t="s">
        <v>123</v>
      </c>
      <c r="D530" s="48" t="s">
        <v>56</v>
      </c>
      <c r="E530" s="441"/>
      <c r="F530" s="155" t="s">
        <v>64</v>
      </c>
      <c r="G530" s="136"/>
      <c r="H530" s="135"/>
      <c r="I530" s="158"/>
      <c r="J530" s="158"/>
      <c r="K530" s="128"/>
      <c r="L530" s="128"/>
      <c r="M530" s="128">
        <v>15600</v>
      </c>
      <c r="N530" s="164">
        <v>5</v>
      </c>
      <c r="O530" s="158">
        <f>Jan!DM285</f>
        <v>2238</v>
      </c>
      <c r="P530" s="158">
        <f>Jan!DN285</f>
        <v>1449</v>
      </c>
      <c r="Q530" s="158">
        <f>Jan!DL285</f>
        <v>4</v>
      </c>
      <c r="R530" s="436"/>
      <c r="S530" s="436"/>
      <c r="T530" s="18"/>
      <c r="U530" s="18"/>
      <c r="V530" s="18">
        <f>O530-T530-U530+V503</f>
        <v>22149</v>
      </c>
      <c r="W530" s="45"/>
      <c r="X530" s="67"/>
    </row>
    <row r="531" spans="1:24" ht="14.25" customHeight="1">
      <c r="A531" s="427"/>
      <c r="B531" s="122" t="s">
        <v>125</v>
      </c>
      <c r="C531" s="180" t="s">
        <v>88</v>
      </c>
      <c r="D531" s="48" t="s">
        <v>124</v>
      </c>
      <c r="E531" s="441"/>
      <c r="F531" s="118" t="s">
        <v>64</v>
      </c>
      <c r="G531" s="37"/>
      <c r="H531" s="37"/>
      <c r="I531" s="126"/>
      <c r="J531" s="126"/>
      <c r="K531" s="18"/>
      <c r="L531" s="18"/>
      <c r="M531" s="18">
        <v>88200</v>
      </c>
      <c r="N531" s="80">
        <v>12</v>
      </c>
      <c r="O531" s="126">
        <f>Jan!DM283</f>
        <v>6000</v>
      </c>
      <c r="P531" s="126">
        <f>Jan!DN283</f>
        <v>3278</v>
      </c>
      <c r="Q531" s="126">
        <f>Jan!DL283</f>
        <v>14</v>
      </c>
      <c r="R531" s="436"/>
      <c r="S531" s="436"/>
      <c r="T531" s="18"/>
      <c r="U531" s="18"/>
      <c r="V531" s="18">
        <f>O531-T531-U531+V505</f>
        <v>6618</v>
      </c>
      <c r="W531" s="45"/>
      <c r="X531" s="67"/>
    </row>
    <row r="532" spans="1:24" ht="13.5" customHeight="1">
      <c r="A532" s="427"/>
      <c r="B532" s="442" t="s">
        <v>58</v>
      </c>
      <c r="C532" s="444" t="s">
        <v>136</v>
      </c>
      <c r="D532" s="48" t="s">
        <v>56</v>
      </c>
      <c r="E532" s="441"/>
      <c r="F532" s="118" t="s">
        <v>67</v>
      </c>
      <c r="G532" s="119"/>
      <c r="H532" s="126"/>
      <c r="I532" s="126"/>
      <c r="J532" s="2"/>
      <c r="K532" s="18"/>
      <c r="L532" s="18"/>
      <c r="M532" s="18"/>
      <c r="N532" s="18"/>
      <c r="O532" s="126"/>
      <c r="P532" s="126"/>
      <c r="Q532" s="126"/>
      <c r="R532" s="436"/>
      <c r="S532" s="436"/>
      <c r="T532" s="18"/>
      <c r="U532" s="18"/>
      <c r="V532" s="18">
        <f>O532-T532-U532+V506</f>
        <v>43</v>
      </c>
      <c r="W532" s="45"/>
      <c r="X532" s="67"/>
    </row>
    <row r="533" spans="1:24" ht="15.75" customHeight="1">
      <c r="A533" s="427"/>
      <c r="B533" s="439"/>
      <c r="C533" s="445"/>
      <c r="D533" s="48" t="s">
        <v>56</v>
      </c>
      <c r="E533" s="441"/>
      <c r="F533" s="118" t="s">
        <v>140</v>
      </c>
      <c r="G533" s="119"/>
      <c r="H533" s="126"/>
      <c r="I533" s="126"/>
      <c r="J533" s="2"/>
      <c r="K533" s="18"/>
      <c r="L533" s="18"/>
      <c r="M533" s="18"/>
      <c r="N533" s="18"/>
      <c r="O533" s="126">
        <f>Jan!DM286</f>
        <v>0</v>
      </c>
      <c r="P533" s="126">
        <f>Jan!DN286</f>
        <v>855</v>
      </c>
      <c r="Q533" s="126">
        <f>Jan!DL286</f>
        <v>3</v>
      </c>
      <c r="R533" s="436"/>
      <c r="S533" s="436"/>
      <c r="T533" s="18"/>
      <c r="U533" s="18"/>
      <c r="V533" s="18">
        <f>O533-T533-U533+V507</f>
        <v>1770</v>
      </c>
      <c r="W533" s="45"/>
      <c r="X533" s="67"/>
    </row>
    <row r="534" spans="1:24" ht="15.75" customHeight="1">
      <c r="A534" s="427"/>
      <c r="B534" s="443"/>
      <c r="C534" s="446"/>
      <c r="D534" s="48" t="s">
        <v>92</v>
      </c>
      <c r="E534" s="441"/>
      <c r="F534" s="118"/>
      <c r="G534" s="119"/>
      <c r="H534" s="126">
        <v>525</v>
      </c>
      <c r="I534" s="126"/>
      <c r="J534" s="2"/>
      <c r="K534" s="18"/>
      <c r="L534" s="18"/>
      <c r="M534" s="18"/>
      <c r="N534" s="18"/>
      <c r="O534" s="126"/>
      <c r="P534" s="126"/>
      <c r="Q534" s="126"/>
      <c r="R534" s="436"/>
      <c r="S534" s="436"/>
      <c r="T534" s="18"/>
      <c r="U534" s="18"/>
      <c r="V534" s="18"/>
      <c r="W534" s="45"/>
      <c r="X534" s="67"/>
    </row>
    <row r="535" spans="1:24" ht="15" customHeight="1">
      <c r="A535" s="427"/>
      <c r="B535" s="122" t="s">
        <v>47</v>
      </c>
      <c r="C535" s="180" t="s">
        <v>100</v>
      </c>
      <c r="D535" s="48" t="s">
        <v>99</v>
      </c>
      <c r="E535" s="441"/>
      <c r="F535" s="118" t="s">
        <v>71</v>
      </c>
      <c r="G535" s="119"/>
      <c r="H535" s="126"/>
      <c r="I535" s="126"/>
      <c r="J535" s="2"/>
      <c r="K535" s="18">
        <v>6000</v>
      </c>
      <c r="L535" s="18">
        <v>1</v>
      </c>
      <c r="M535" s="18">
        <v>36000</v>
      </c>
      <c r="N535" s="18">
        <v>6</v>
      </c>
      <c r="O535" s="126">
        <f>Jan!DM284</f>
        <v>3572</v>
      </c>
      <c r="P535" s="126">
        <f>Jan!DN284</f>
        <v>2083</v>
      </c>
      <c r="Q535" s="126">
        <f>Jan!DL284</f>
        <v>8</v>
      </c>
      <c r="R535" s="436"/>
      <c r="S535" s="436"/>
      <c r="T535" s="18"/>
      <c r="U535" s="18"/>
      <c r="V535" s="18">
        <f>O535-T535-U535+V509</f>
        <v>25684</v>
      </c>
      <c r="W535" s="45"/>
      <c r="X535" s="67"/>
    </row>
    <row r="536" spans="1:24" ht="15" customHeight="1">
      <c r="A536" s="427"/>
      <c r="B536" s="122" t="s">
        <v>134</v>
      </c>
      <c r="C536" s="180" t="s">
        <v>63</v>
      </c>
      <c r="D536" s="48" t="s">
        <v>135</v>
      </c>
      <c r="E536" s="441"/>
      <c r="F536" s="118" t="s">
        <v>64</v>
      </c>
      <c r="G536" s="119"/>
      <c r="H536" s="126"/>
      <c r="I536" s="126"/>
      <c r="J536" s="2"/>
      <c r="K536" s="18">
        <v>8300</v>
      </c>
      <c r="L536" s="18">
        <v>1</v>
      </c>
      <c r="M536" s="18"/>
      <c r="N536" s="18"/>
      <c r="O536" s="126">
        <f>Jan!DM288</f>
        <v>0</v>
      </c>
      <c r="P536" s="126">
        <f>Jan!DN288</f>
        <v>1398</v>
      </c>
      <c r="Q536" s="126">
        <f>Jan!DL288</f>
        <v>5</v>
      </c>
      <c r="R536" s="436"/>
      <c r="S536" s="436"/>
      <c r="T536" s="18"/>
      <c r="U536" s="18"/>
      <c r="V536" s="18">
        <f>O536-T536-U536+V510</f>
        <v>4264</v>
      </c>
      <c r="W536" s="45"/>
      <c r="X536" s="67"/>
    </row>
    <row r="537" spans="1:24" ht="15" customHeight="1">
      <c r="A537" s="427"/>
      <c r="B537" s="122" t="s">
        <v>61</v>
      </c>
      <c r="C537" s="180" t="s">
        <v>137</v>
      </c>
      <c r="D537" s="48" t="s">
        <v>56</v>
      </c>
      <c r="E537" s="441"/>
      <c r="F537" s="118" t="s">
        <v>67</v>
      </c>
      <c r="G537" s="119"/>
      <c r="H537" s="126"/>
      <c r="I537" s="126"/>
      <c r="J537" s="2"/>
      <c r="K537" s="18"/>
      <c r="L537" s="18"/>
      <c r="M537" s="18"/>
      <c r="N537" s="18"/>
      <c r="O537" s="126">
        <f>Jan!DM287</f>
        <v>1016</v>
      </c>
      <c r="P537" s="126">
        <f>Jan!DN287</f>
        <v>770</v>
      </c>
      <c r="Q537" s="126">
        <f>Jan!DL287</f>
        <v>2</v>
      </c>
      <c r="R537" s="436"/>
      <c r="S537" s="436"/>
      <c r="T537" s="18"/>
      <c r="U537" s="18"/>
      <c r="V537" s="18">
        <f>O537-T537-U537+V511</f>
        <v>1016</v>
      </c>
      <c r="W537" s="45"/>
      <c r="X537" s="67"/>
    </row>
    <row r="538" spans="1:24" ht="15" customHeight="1">
      <c r="A538" s="427"/>
      <c r="B538" s="122" t="s">
        <v>131</v>
      </c>
      <c r="C538" s="180" t="s">
        <v>194</v>
      </c>
      <c r="D538" s="48" t="s">
        <v>132</v>
      </c>
      <c r="E538" s="441"/>
      <c r="F538" s="118" t="s">
        <v>64</v>
      </c>
      <c r="G538" s="119"/>
      <c r="H538" s="126"/>
      <c r="I538" s="126"/>
      <c r="J538" s="2"/>
      <c r="K538" s="18"/>
      <c r="L538" s="18"/>
      <c r="M538" s="18"/>
      <c r="N538" s="18"/>
      <c r="O538" s="126"/>
      <c r="P538" s="126"/>
      <c r="Q538" s="126">
        <f>Jan!DL289</f>
        <v>1</v>
      </c>
      <c r="R538" s="436"/>
      <c r="S538" s="436"/>
      <c r="T538" s="18"/>
      <c r="U538" s="18"/>
      <c r="V538" s="18"/>
      <c r="W538" s="45"/>
      <c r="X538" s="67"/>
    </row>
    <row r="539" spans="1:24" ht="15" customHeight="1">
      <c r="A539" s="427"/>
      <c r="B539" s="122" t="s">
        <v>101</v>
      </c>
      <c r="C539" s="180" t="s">
        <v>193</v>
      </c>
      <c r="D539" s="48" t="s">
        <v>102</v>
      </c>
      <c r="E539" s="441"/>
      <c r="F539" s="118" t="s">
        <v>64</v>
      </c>
      <c r="G539" s="119"/>
      <c r="H539" s="126"/>
      <c r="I539" s="126"/>
      <c r="J539" s="2"/>
      <c r="K539" s="18"/>
      <c r="L539" s="18"/>
      <c r="M539" s="18"/>
      <c r="N539" s="18"/>
      <c r="O539" s="126"/>
      <c r="P539" s="126"/>
      <c r="Q539" s="126">
        <f>Jan!DL290</f>
        <v>1</v>
      </c>
      <c r="R539" s="436"/>
      <c r="S539" s="436"/>
      <c r="T539" s="18"/>
      <c r="U539" s="18"/>
      <c r="V539" s="18"/>
      <c r="W539" s="45"/>
      <c r="X539" s="67"/>
    </row>
    <row r="540" spans="1:24" ht="15" customHeight="1">
      <c r="A540" s="427"/>
      <c r="B540" s="122" t="s">
        <v>103</v>
      </c>
      <c r="C540" s="157" t="s">
        <v>197</v>
      </c>
      <c r="D540" s="48" t="s">
        <v>104</v>
      </c>
      <c r="E540" s="441"/>
      <c r="F540" s="118" t="s">
        <v>105</v>
      </c>
      <c r="G540" s="119"/>
      <c r="H540" s="126"/>
      <c r="I540" s="126"/>
      <c r="J540" s="2"/>
      <c r="K540" s="18"/>
      <c r="L540" s="18"/>
      <c r="M540" s="18"/>
      <c r="N540" s="18"/>
      <c r="O540" s="126"/>
      <c r="P540" s="126"/>
      <c r="Q540" s="126">
        <f>Jan!DL291</f>
        <v>1</v>
      </c>
      <c r="R540" s="436"/>
      <c r="S540" s="436"/>
      <c r="T540" s="18"/>
      <c r="U540" s="18"/>
      <c r="V540" s="18"/>
      <c r="W540" s="45"/>
      <c r="X540" s="67"/>
    </row>
    <row r="541" spans="1:24" ht="15" customHeight="1">
      <c r="A541" s="427"/>
      <c r="B541" s="137" t="s">
        <v>112</v>
      </c>
      <c r="C541" s="157" t="s">
        <v>197</v>
      </c>
      <c r="D541" s="48" t="s">
        <v>104</v>
      </c>
      <c r="E541" s="441"/>
      <c r="F541" s="118" t="s">
        <v>113</v>
      </c>
      <c r="G541" s="119"/>
      <c r="H541" s="126"/>
      <c r="I541" s="126"/>
      <c r="J541" s="2"/>
      <c r="K541" s="18"/>
      <c r="L541" s="18"/>
      <c r="M541" s="18"/>
      <c r="N541" s="18"/>
      <c r="O541" s="126"/>
      <c r="P541" s="126"/>
      <c r="Q541" s="126">
        <f>Jan!DL294</f>
        <v>1</v>
      </c>
      <c r="R541" s="436"/>
      <c r="S541" s="436"/>
      <c r="T541" s="18"/>
      <c r="U541" s="18"/>
      <c r="V541" s="18"/>
      <c r="W541" s="45"/>
      <c r="X541" s="67"/>
    </row>
    <row r="542" spans="1:24" ht="15" customHeight="1">
      <c r="A542" s="427"/>
      <c r="B542" s="137" t="s">
        <v>106</v>
      </c>
      <c r="C542" s="157" t="s">
        <v>141</v>
      </c>
      <c r="D542" s="48" t="s">
        <v>68</v>
      </c>
      <c r="E542" s="441"/>
      <c r="F542" s="118" t="s">
        <v>67</v>
      </c>
      <c r="G542" s="119"/>
      <c r="H542" s="126"/>
      <c r="I542" s="126"/>
      <c r="J542" s="2"/>
      <c r="K542" s="18"/>
      <c r="L542" s="18"/>
      <c r="M542" s="18"/>
      <c r="N542" s="18"/>
      <c r="O542" s="126"/>
      <c r="P542" s="126"/>
      <c r="Q542" s="126">
        <f>Jan!DL292</f>
        <v>1</v>
      </c>
      <c r="R542" s="436"/>
      <c r="S542" s="436"/>
      <c r="T542" s="18"/>
      <c r="U542" s="18"/>
      <c r="V542" s="18"/>
      <c r="W542" s="45"/>
      <c r="X542" s="67"/>
    </row>
    <row r="543" spans="1:24" ht="15" customHeight="1" thickBot="1">
      <c r="A543" s="428"/>
      <c r="B543" s="44" t="s">
        <v>107</v>
      </c>
      <c r="C543" s="181" t="s">
        <v>195</v>
      </c>
      <c r="D543" s="61" t="s">
        <v>108</v>
      </c>
      <c r="E543" s="447"/>
      <c r="F543" s="133" t="s">
        <v>48</v>
      </c>
      <c r="G543" s="132"/>
      <c r="H543" s="109"/>
      <c r="I543" s="134"/>
      <c r="J543" s="129"/>
      <c r="K543" s="130"/>
      <c r="L543" s="130"/>
      <c r="M543" s="130"/>
      <c r="N543" s="130"/>
      <c r="O543" s="134"/>
      <c r="P543" s="134"/>
      <c r="Q543" s="134">
        <f>Jan!DL293</f>
        <v>1</v>
      </c>
      <c r="R543" s="437"/>
      <c r="S543" s="437"/>
      <c r="T543" s="130"/>
      <c r="U543" s="130"/>
      <c r="V543" s="128"/>
      <c r="W543" s="85"/>
      <c r="X543" s="67"/>
    </row>
    <row r="544" spans="1:24" ht="15" customHeight="1">
      <c r="A544" s="426">
        <v>46053</v>
      </c>
      <c r="B544" s="429" t="s">
        <v>44</v>
      </c>
      <c r="C544" s="432" t="s">
        <v>240</v>
      </c>
      <c r="D544" s="19" t="s">
        <v>37</v>
      </c>
      <c r="E544" s="19" t="s">
        <v>25</v>
      </c>
      <c r="F544" s="39" t="s">
        <v>40</v>
      </c>
      <c r="G544" s="41"/>
      <c r="H544" s="32"/>
      <c r="I544" s="32"/>
      <c r="J544" s="32"/>
      <c r="K544" s="20"/>
      <c r="L544" s="20"/>
      <c r="M544" s="20">
        <v>48000</v>
      </c>
      <c r="N544" s="84">
        <v>6</v>
      </c>
      <c r="O544" s="32">
        <f>Jan!DP272</f>
        <v>18706</v>
      </c>
      <c r="P544" s="32">
        <f>Jan!DQ272</f>
        <v>23086</v>
      </c>
      <c r="Q544" s="32">
        <f>Jan!DO272</f>
        <v>70</v>
      </c>
      <c r="R544" s="435">
        <f>Jan!DP296</f>
        <v>56213</v>
      </c>
      <c r="S544" s="435">
        <f>Jan!DQ296</f>
        <v>65357</v>
      </c>
      <c r="T544" s="20">
        <v>18692</v>
      </c>
      <c r="U544" s="20">
        <v>18</v>
      </c>
      <c r="V544" s="20">
        <f>O544-T544-U544+V518</f>
        <v>22007</v>
      </c>
      <c r="W544" s="77"/>
      <c r="X544" s="36"/>
    </row>
    <row r="545" spans="1:25" ht="15" customHeight="1">
      <c r="A545" s="427"/>
      <c r="B545" s="430"/>
      <c r="C545" s="433"/>
      <c r="D545" s="113" t="s">
        <v>69</v>
      </c>
      <c r="E545" s="438" t="s">
        <v>24</v>
      </c>
      <c r="F545" s="118" t="s">
        <v>40</v>
      </c>
      <c r="G545" s="38"/>
      <c r="H545" s="37"/>
      <c r="I545" s="125"/>
      <c r="J545" s="125"/>
      <c r="K545" s="127"/>
      <c r="L545" s="127"/>
      <c r="M545" s="127"/>
      <c r="N545" s="81"/>
      <c r="O545" s="125">
        <f>Jan!DP274</f>
        <v>4620</v>
      </c>
      <c r="P545" s="125">
        <f>Jan!DQ274</f>
        <v>3647</v>
      </c>
      <c r="Q545" s="125">
        <f>Jan!DO274</f>
        <v>11</v>
      </c>
      <c r="R545" s="436"/>
      <c r="S545" s="436"/>
      <c r="T545" s="127">
        <v>8161</v>
      </c>
      <c r="U545" s="127">
        <v>7</v>
      </c>
      <c r="V545" s="127">
        <f>O545-T545-U545+V519</f>
        <v>850</v>
      </c>
      <c r="W545" s="46"/>
      <c r="X545" s="67"/>
    </row>
    <row r="546" spans="1:25" ht="15" customHeight="1">
      <c r="A546" s="427"/>
      <c r="B546" s="431"/>
      <c r="C546" s="434"/>
      <c r="D546" s="113" t="s">
        <v>128</v>
      </c>
      <c r="E546" s="431"/>
      <c r="F546" s="114" t="s">
        <v>40</v>
      </c>
      <c r="G546" s="135"/>
      <c r="H546" s="135"/>
      <c r="I546" s="125"/>
      <c r="J546" s="125"/>
      <c r="K546" s="18"/>
      <c r="L546" s="127"/>
      <c r="M546" s="127">
        <v>127400</v>
      </c>
      <c r="N546" s="81">
        <v>16</v>
      </c>
      <c r="O546" s="126">
        <f>Jan!DP275</f>
        <v>8086</v>
      </c>
      <c r="P546" s="125">
        <f>Jan!DQ275</f>
        <v>9275</v>
      </c>
      <c r="Q546" s="125">
        <f>Jan!DO275</f>
        <v>28</v>
      </c>
      <c r="R546" s="436"/>
      <c r="S546" s="436"/>
      <c r="T546" s="127"/>
      <c r="U546" s="127"/>
      <c r="V546" s="127">
        <f>O546-T546-U546+V520</f>
        <v>9363</v>
      </c>
      <c r="W546" s="46"/>
      <c r="X546" s="67"/>
    </row>
    <row r="547" spans="1:25" ht="15" customHeight="1">
      <c r="A547" s="427"/>
      <c r="B547" s="439" t="s">
        <v>45</v>
      </c>
      <c r="C547" s="440" t="s">
        <v>59</v>
      </c>
      <c r="D547" s="118" t="s">
        <v>75</v>
      </c>
      <c r="E547" s="131" t="s">
        <v>25</v>
      </c>
      <c r="F547" s="131" t="s">
        <v>57</v>
      </c>
      <c r="G547" s="87"/>
      <c r="H547" s="136"/>
      <c r="I547" s="126"/>
      <c r="J547" s="2"/>
      <c r="K547" s="127"/>
      <c r="L547" s="18"/>
      <c r="M547" s="18">
        <v>50600</v>
      </c>
      <c r="N547" s="80">
        <v>10</v>
      </c>
      <c r="O547" s="126">
        <f>Jan!DP280</f>
        <v>2059</v>
      </c>
      <c r="P547" s="126">
        <f>Jan!DQ280</f>
        <v>3063</v>
      </c>
      <c r="Q547" s="2">
        <f>Jan!DO280</f>
        <v>15</v>
      </c>
      <c r="R547" s="436"/>
      <c r="S547" s="436"/>
      <c r="T547" s="18"/>
      <c r="U547" s="18"/>
      <c r="V547" s="18">
        <f>O547-T547-U547+V521</f>
        <v>31015</v>
      </c>
      <c r="W547" s="46"/>
      <c r="Y547" s="13"/>
    </row>
    <row r="548" spans="1:25">
      <c r="A548" s="427"/>
      <c r="B548" s="439"/>
      <c r="C548" s="440"/>
      <c r="D548" s="118" t="s">
        <v>72</v>
      </c>
      <c r="E548" s="424" t="s">
        <v>24</v>
      </c>
      <c r="F548" s="131" t="s">
        <v>57</v>
      </c>
      <c r="G548" s="136"/>
      <c r="H548" s="136"/>
      <c r="I548" s="126"/>
      <c r="J548" s="126"/>
      <c r="K548" s="127">
        <v>5000</v>
      </c>
      <c r="L548" s="18">
        <v>1</v>
      </c>
      <c r="M548" s="18">
        <v>40000</v>
      </c>
      <c r="N548" s="80">
        <v>8</v>
      </c>
      <c r="O548" s="126">
        <f>Jan!DP281</f>
        <v>2447</v>
      </c>
      <c r="P548" s="126">
        <f>Jan!DQ281</f>
        <v>3043</v>
      </c>
      <c r="Q548" s="126">
        <f>Jan!DO281</f>
        <v>15</v>
      </c>
      <c r="R548" s="436"/>
      <c r="S548" s="436"/>
      <c r="T548" s="18"/>
      <c r="U548" s="18"/>
      <c r="V548" s="18">
        <f>O548-T548-U548+V523</f>
        <v>34236</v>
      </c>
      <c r="W548" s="46"/>
      <c r="Y548" s="13"/>
    </row>
    <row r="549" spans="1:25">
      <c r="A549" s="427"/>
      <c r="B549" s="439"/>
      <c r="C549" s="440"/>
      <c r="D549" s="115" t="s">
        <v>73</v>
      </c>
      <c r="E549" s="425"/>
      <c r="F549" s="131"/>
      <c r="G549" s="136"/>
      <c r="H549" s="136"/>
      <c r="I549" s="126"/>
      <c r="J549" s="126"/>
      <c r="K549" s="127"/>
      <c r="L549" s="18"/>
      <c r="M549" s="18"/>
      <c r="N549" s="80"/>
      <c r="O549" s="126"/>
      <c r="P549" s="126"/>
      <c r="Q549" s="126"/>
      <c r="R549" s="436"/>
      <c r="S549" s="436"/>
      <c r="T549" s="18"/>
      <c r="U549" s="18"/>
      <c r="V549" s="18"/>
      <c r="W549" s="46"/>
      <c r="Y549" s="13"/>
    </row>
    <row r="550" spans="1:25">
      <c r="A550" s="427"/>
      <c r="B550" s="439"/>
      <c r="C550" s="440"/>
      <c r="D550" s="115" t="s">
        <v>79</v>
      </c>
      <c r="E550" s="118" t="s">
        <v>65</v>
      </c>
      <c r="F550" s="131" t="s">
        <v>57</v>
      </c>
      <c r="G550" s="136">
        <v>3882.5</v>
      </c>
      <c r="H550" s="136"/>
      <c r="I550" s="126"/>
      <c r="J550" s="126"/>
      <c r="K550" s="127">
        <v>20000</v>
      </c>
      <c r="L550" s="18">
        <v>4</v>
      </c>
      <c r="M550" s="18">
        <v>60000</v>
      </c>
      <c r="N550" s="80">
        <v>12</v>
      </c>
      <c r="O550" s="126">
        <f>Jan!DP282</f>
        <v>3913</v>
      </c>
      <c r="P550" s="126">
        <f>Jan!DQ282</f>
        <v>5108</v>
      </c>
      <c r="Q550" s="126">
        <f>Jan!DO282</f>
        <v>26</v>
      </c>
      <c r="R550" s="436"/>
      <c r="S550" s="436"/>
      <c r="T550" s="18">
        <v>3367</v>
      </c>
      <c r="U550" s="18"/>
      <c r="V550" s="18">
        <f>O550-T550-U550+V525</f>
        <v>2605</v>
      </c>
      <c r="W550" s="46"/>
      <c r="Y550" s="13"/>
    </row>
    <row r="551" spans="1:25" ht="14.25" customHeight="1">
      <c r="A551" s="427"/>
      <c r="B551" s="442" t="s">
        <v>53</v>
      </c>
      <c r="C551" s="444" t="s">
        <v>60</v>
      </c>
      <c r="D551" s="43" t="s">
        <v>130</v>
      </c>
      <c r="E551" s="115" t="s">
        <v>66</v>
      </c>
      <c r="F551" s="118" t="s">
        <v>54</v>
      </c>
      <c r="G551" s="136"/>
      <c r="H551" s="37"/>
      <c r="I551" s="126"/>
      <c r="J551" s="126"/>
      <c r="K551" s="18"/>
      <c r="L551" s="18"/>
      <c r="M551" s="18">
        <v>58750</v>
      </c>
      <c r="N551" s="80">
        <v>10</v>
      </c>
      <c r="O551" s="126">
        <f>Jan!DP279</f>
        <v>8816</v>
      </c>
      <c r="P551" s="126">
        <f>Jan!DQ279</f>
        <v>9404</v>
      </c>
      <c r="Q551" s="126">
        <f>Jan!DO279</f>
        <v>30</v>
      </c>
      <c r="R551" s="436"/>
      <c r="S551" s="436"/>
      <c r="T551" s="18">
        <v>4427</v>
      </c>
      <c r="U551" s="18">
        <v>20</v>
      </c>
      <c r="V551" s="18">
        <f>O551-T551-U551+V527</f>
        <v>4815</v>
      </c>
      <c r="W551" s="45"/>
      <c r="X551" s="36"/>
    </row>
    <row r="552" spans="1:25" ht="14.25" customHeight="1">
      <c r="A552" s="427"/>
      <c r="B552" s="443"/>
      <c r="C552" s="446"/>
      <c r="D552" s="43" t="s">
        <v>96</v>
      </c>
      <c r="E552" s="114" t="s">
        <v>65</v>
      </c>
      <c r="F552" s="118"/>
      <c r="G552" s="136"/>
      <c r="H552" s="126">
        <v>612</v>
      </c>
      <c r="I552" s="126"/>
      <c r="J552" s="126"/>
      <c r="K552" s="18"/>
      <c r="L552" s="18"/>
      <c r="M552" s="18"/>
      <c r="N552" s="80"/>
      <c r="O552" s="126"/>
      <c r="P552" s="126"/>
      <c r="Q552" s="126"/>
      <c r="R552" s="436"/>
      <c r="S552" s="436"/>
      <c r="T552" s="18"/>
      <c r="U552" s="18"/>
      <c r="V552" s="18"/>
      <c r="W552" s="45"/>
      <c r="X552" s="67"/>
    </row>
    <row r="553" spans="1:25" ht="14.25" customHeight="1">
      <c r="A553" s="427"/>
      <c r="B553" s="122" t="s">
        <v>55</v>
      </c>
      <c r="C553" s="180" t="s">
        <v>133</v>
      </c>
      <c r="D553" s="48" t="s">
        <v>56</v>
      </c>
      <c r="E553" s="424" t="s">
        <v>25</v>
      </c>
      <c r="F553" s="118" t="s">
        <v>67</v>
      </c>
      <c r="G553" s="136"/>
      <c r="H553" s="37"/>
      <c r="I553" s="126"/>
      <c r="J553" s="126"/>
      <c r="K553" s="18"/>
      <c r="L553" s="18"/>
      <c r="M553" s="18">
        <v>2800</v>
      </c>
      <c r="N553" s="80">
        <v>1</v>
      </c>
      <c r="O553" s="126"/>
      <c r="P553" s="126"/>
      <c r="Q553" s="126">
        <f>Jan!DO295</f>
        <v>1</v>
      </c>
      <c r="R553" s="436"/>
      <c r="S553" s="436"/>
      <c r="T553" s="18"/>
      <c r="U553" s="18"/>
      <c r="V553" s="18">
        <f>O553-T553-U553+V529</f>
        <v>500</v>
      </c>
      <c r="W553" s="45"/>
      <c r="X553" s="67"/>
    </row>
    <row r="554" spans="1:25" ht="14.25" customHeight="1">
      <c r="A554" s="427"/>
      <c r="B554" s="122" t="s">
        <v>122</v>
      </c>
      <c r="C554" s="180" t="s">
        <v>123</v>
      </c>
      <c r="D554" s="48" t="s">
        <v>56</v>
      </c>
      <c r="E554" s="441"/>
      <c r="F554" s="155" t="s">
        <v>64</v>
      </c>
      <c r="G554" s="136"/>
      <c r="H554" s="135"/>
      <c r="I554" s="158"/>
      <c r="J554" s="158"/>
      <c r="K554" s="128"/>
      <c r="L554" s="128"/>
      <c r="M554" s="128">
        <v>15600</v>
      </c>
      <c r="N554" s="164">
        <v>5</v>
      </c>
      <c r="O554" s="158">
        <f>Jan!DP285</f>
        <v>1163</v>
      </c>
      <c r="P554" s="158">
        <f>Jan!DQ285</f>
        <v>1148</v>
      </c>
      <c r="Q554" s="158">
        <f>Jan!DO285</f>
        <v>4</v>
      </c>
      <c r="R554" s="436"/>
      <c r="S554" s="436"/>
      <c r="T554" s="18"/>
      <c r="U554" s="18"/>
      <c r="V554" s="18">
        <f>O554-T554-U554+V530</f>
        <v>23312</v>
      </c>
      <c r="W554" s="45"/>
      <c r="X554" s="67"/>
    </row>
    <row r="555" spans="1:25" ht="14.25" customHeight="1">
      <c r="A555" s="427"/>
      <c r="B555" s="122" t="s">
        <v>125</v>
      </c>
      <c r="C555" s="180" t="s">
        <v>88</v>
      </c>
      <c r="D555" s="48" t="s">
        <v>124</v>
      </c>
      <c r="E555" s="441"/>
      <c r="F555" s="118" t="s">
        <v>64</v>
      </c>
      <c r="G555" s="37"/>
      <c r="H555" s="126">
        <v>576</v>
      </c>
      <c r="I555" s="126"/>
      <c r="J555" s="126"/>
      <c r="K555" s="18"/>
      <c r="L555" s="18"/>
      <c r="M555" s="18">
        <v>88200</v>
      </c>
      <c r="N555" s="80">
        <v>12</v>
      </c>
      <c r="O555" s="126">
        <f>Jan!DP283</f>
        <v>1034</v>
      </c>
      <c r="P555" s="126">
        <f>Jan!DQ283</f>
        <v>2964</v>
      </c>
      <c r="Q555" s="126">
        <f>Jan!DO283</f>
        <v>14</v>
      </c>
      <c r="R555" s="436"/>
      <c r="S555" s="436"/>
      <c r="T555" s="18"/>
      <c r="U555" s="18"/>
      <c r="V555" s="18">
        <f>O555-T555-U555+V531</f>
        <v>7652</v>
      </c>
      <c r="W555" s="45"/>
      <c r="X555" s="67"/>
    </row>
    <row r="556" spans="1:25" ht="13.5" customHeight="1">
      <c r="A556" s="427"/>
      <c r="B556" s="442" t="s">
        <v>58</v>
      </c>
      <c r="C556" s="444" t="s">
        <v>136</v>
      </c>
      <c r="D556" s="48" t="s">
        <v>56</v>
      </c>
      <c r="E556" s="441"/>
      <c r="F556" s="118" t="s">
        <v>67</v>
      </c>
      <c r="G556" s="119"/>
      <c r="H556" s="126"/>
      <c r="I556" s="126"/>
      <c r="J556" s="2"/>
      <c r="K556" s="18"/>
      <c r="L556" s="18"/>
      <c r="M556" s="18"/>
      <c r="N556" s="18"/>
      <c r="O556" s="126"/>
      <c r="P556" s="126"/>
      <c r="Q556" s="126"/>
      <c r="R556" s="436"/>
      <c r="S556" s="436"/>
      <c r="T556" s="18"/>
      <c r="U556" s="18"/>
      <c r="V556" s="18">
        <f>O556-T556-U556+V532</f>
        <v>43</v>
      </c>
      <c r="W556" s="45"/>
      <c r="X556" s="67"/>
    </row>
    <row r="557" spans="1:25" ht="15.75" customHeight="1">
      <c r="A557" s="427"/>
      <c r="B557" s="439"/>
      <c r="C557" s="445"/>
      <c r="D557" s="48" t="s">
        <v>56</v>
      </c>
      <c r="E557" s="441"/>
      <c r="F557" s="118" t="s">
        <v>140</v>
      </c>
      <c r="G557" s="119"/>
      <c r="H557" s="126"/>
      <c r="I557" s="126"/>
      <c r="J557" s="2"/>
      <c r="K557" s="18"/>
      <c r="L557" s="18"/>
      <c r="M557" s="18"/>
      <c r="N557" s="18"/>
      <c r="O557" s="126">
        <f>Jan!DP286</f>
        <v>1800</v>
      </c>
      <c r="P557" s="126">
        <f>Jan!DQ286</f>
        <v>778</v>
      </c>
      <c r="Q557" s="126">
        <f>Jan!DO286</f>
        <v>3</v>
      </c>
      <c r="R557" s="436"/>
      <c r="S557" s="436"/>
      <c r="T557" s="18"/>
      <c r="U557" s="18"/>
      <c r="V557" s="18">
        <f>O557-T557-U557+V533</f>
        <v>3570</v>
      </c>
      <c r="W557" s="45"/>
      <c r="X557" s="67"/>
    </row>
    <row r="558" spans="1:25" ht="15.75" customHeight="1">
      <c r="A558" s="427"/>
      <c r="B558" s="443"/>
      <c r="C558" s="446"/>
      <c r="D558" s="48" t="s">
        <v>92</v>
      </c>
      <c r="E558" s="441"/>
      <c r="F558" s="118"/>
      <c r="G558" s="119"/>
      <c r="H558" s="126"/>
      <c r="I558" s="126"/>
      <c r="J558" s="2"/>
      <c r="K558" s="18"/>
      <c r="L558" s="18"/>
      <c r="M558" s="18"/>
      <c r="N558" s="18"/>
      <c r="O558" s="126"/>
      <c r="P558" s="126"/>
      <c r="Q558" s="126"/>
      <c r="R558" s="436"/>
      <c r="S558" s="436"/>
      <c r="T558" s="18"/>
      <c r="U558" s="18"/>
      <c r="V558" s="18"/>
      <c r="W558" s="45"/>
      <c r="X558" s="67"/>
    </row>
    <row r="559" spans="1:25" ht="15" customHeight="1">
      <c r="A559" s="427"/>
      <c r="B559" s="442" t="s">
        <v>47</v>
      </c>
      <c r="C559" s="444" t="s">
        <v>100</v>
      </c>
      <c r="D559" s="48" t="s">
        <v>99</v>
      </c>
      <c r="E559" s="441"/>
      <c r="F559" s="118" t="s">
        <v>71</v>
      </c>
      <c r="G559" s="119"/>
      <c r="H559" s="126"/>
      <c r="I559" s="126"/>
      <c r="J559" s="2"/>
      <c r="K559" s="18"/>
      <c r="L559" s="18"/>
      <c r="M559" s="18">
        <v>36000</v>
      </c>
      <c r="N559" s="18">
        <v>6</v>
      </c>
      <c r="O559" s="126"/>
      <c r="P559" s="126">
        <f>Jan!DQ284</f>
        <v>1888</v>
      </c>
      <c r="Q559" s="126">
        <f>Jan!DO284</f>
        <v>8</v>
      </c>
      <c r="R559" s="436"/>
      <c r="S559" s="436"/>
      <c r="T559" s="18"/>
      <c r="U559" s="18"/>
      <c r="V559" s="18">
        <f>O559-T559-U559+V535</f>
        <v>25684</v>
      </c>
      <c r="W559" s="45"/>
      <c r="X559" s="67"/>
    </row>
    <row r="560" spans="1:25" ht="15" customHeight="1">
      <c r="A560" s="427"/>
      <c r="B560" s="443"/>
      <c r="C560" s="446"/>
      <c r="D560" s="48" t="s">
        <v>121</v>
      </c>
      <c r="E560" s="441"/>
      <c r="F560" s="118"/>
      <c r="G560" s="119"/>
      <c r="H560" s="126">
        <v>612</v>
      </c>
      <c r="I560" s="126"/>
      <c r="J560" s="2"/>
      <c r="K560" s="18"/>
      <c r="L560" s="18"/>
      <c r="M560" s="18"/>
      <c r="N560" s="18"/>
      <c r="O560" s="126"/>
      <c r="P560" s="126"/>
      <c r="Q560" s="126"/>
      <c r="R560" s="436"/>
      <c r="S560" s="436"/>
      <c r="T560" s="18"/>
      <c r="U560" s="18"/>
      <c r="V560" s="18"/>
      <c r="W560" s="45"/>
      <c r="X560" s="67"/>
    </row>
    <row r="561" spans="1:26" ht="15" customHeight="1">
      <c r="A561" s="427"/>
      <c r="B561" s="122" t="s">
        <v>134</v>
      </c>
      <c r="C561" s="180" t="s">
        <v>63</v>
      </c>
      <c r="D561" s="48" t="s">
        <v>135</v>
      </c>
      <c r="E561" s="441"/>
      <c r="F561" s="118" t="s">
        <v>64</v>
      </c>
      <c r="G561" s="119"/>
      <c r="H561" s="126"/>
      <c r="I561" s="126"/>
      <c r="J561" s="2"/>
      <c r="K561" s="18"/>
      <c r="L561" s="18"/>
      <c r="M561" s="18"/>
      <c r="N561" s="18"/>
      <c r="O561" s="126">
        <f>Jan!DP288</f>
        <v>2581</v>
      </c>
      <c r="P561" s="126">
        <f>Jan!DQ288</f>
        <v>1263</v>
      </c>
      <c r="Q561" s="126">
        <f>Jan!DO288</f>
        <v>5</v>
      </c>
      <c r="R561" s="436"/>
      <c r="S561" s="436"/>
      <c r="T561" s="18"/>
      <c r="U561" s="18"/>
      <c r="V561" s="18">
        <f>O561-T561-U561+V536</f>
        <v>6845</v>
      </c>
      <c r="W561" s="45"/>
      <c r="X561" s="67"/>
    </row>
    <row r="562" spans="1:26" ht="15" customHeight="1">
      <c r="A562" s="427"/>
      <c r="B562" s="122" t="s">
        <v>61</v>
      </c>
      <c r="C562" s="180" t="s">
        <v>137</v>
      </c>
      <c r="D562" s="48" t="s">
        <v>56</v>
      </c>
      <c r="E562" s="441"/>
      <c r="F562" s="118" t="s">
        <v>67</v>
      </c>
      <c r="G562" s="119"/>
      <c r="H562" s="126"/>
      <c r="I562" s="126"/>
      <c r="J562" s="2"/>
      <c r="K562" s="18"/>
      <c r="L562" s="18"/>
      <c r="M562" s="18"/>
      <c r="N562" s="18"/>
      <c r="O562" s="126">
        <f>Jan!DP287</f>
        <v>988</v>
      </c>
      <c r="P562" s="126">
        <f>Jan!DQ287</f>
        <v>690</v>
      </c>
      <c r="Q562" s="126">
        <f>Jan!DO287</f>
        <v>2</v>
      </c>
      <c r="R562" s="436"/>
      <c r="S562" s="436"/>
      <c r="T562" s="18"/>
      <c r="U562" s="18"/>
      <c r="V562" s="18">
        <f>O562-T562-U562+V537</f>
        <v>2004</v>
      </c>
      <c r="W562" s="45"/>
      <c r="X562" s="67"/>
    </row>
    <row r="563" spans="1:26" ht="15" customHeight="1">
      <c r="A563" s="427"/>
      <c r="B563" s="122" t="s">
        <v>131</v>
      </c>
      <c r="C563" s="180" t="s">
        <v>194</v>
      </c>
      <c r="D563" s="48" t="s">
        <v>132</v>
      </c>
      <c r="E563" s="441"/>
      <c r="F563" s="118" t="s">
        <v>64</v>
      </c>
      <c r="G563" s="119"/>
      <c r="H563" s="126"/>
      <c r="I563" s="126"/>
      <c r="J563" s="2"/>
      <c r="K563" s="18"/>
      <c r="L563" s="18"/>
      <c r="M563" s="18"/>
      <c r="N563" s="18"/>
      <c r="O563" s="126"/>
      <c r="P563" s="126"/>
      <c r="Q563" s="126">
        <f>Jan!DO289</f>
        <v>1</v>
      </c>
      <c r="R563" s="436"/>
      <c r="S563" s="436"/>
      <c r="T563" s="18"/>
      <c r="U563" s="18"/>
      <c r="V563" s="18"/>
      <c r="W563" s="45"/>
      <c r="X563" s="67"/>
    </row>
    <row r="564" spans="1:26" ht="15" customHeight="1">
      <c r="A564" s="427"/>
      <c r="B564" s="122" t="s">
        <v>101</v>
      </c>
      <c r="C564" s="180" t="s">
        <v>193</v>
      </c>
      <c r="D564" s="48" t="s">
        <v>102</v>
      </c>
      <c r="E564" s="441"/>
      <c r="F564" s="118" t="s">
        <v>64</v>
      </c>
      <c r="G564" s="119"/>
      <c r="H564" s="126"/>
      <c r="I564" s="126"/>
      <c r="J564" s="2"/>
      <c r="K564" s="18"/>
      <c r="L564" s="18"/>
      <c r="M564" s="18"/>
      <c r="N564" s="18"/>
      <c r="O564" s="126"/>
      <c r="P564" s="126"/>
      <c r="Q564" s="126">
        <f>Jan!DO290</f>
        <v>1</v>
      </c>
      <c r="R564" s="436"/>
      <c r="S564" s="436"/>
      <c r="T564" s="18"/>
      <c r="U564" s="18"/>
      <c r="V564" s="18"/>
      <c r="W564" s="45"/>
      <c r="X564" s="67"/>
    </row>
    <row r="565" spans="1:26" ht="15" customHeight="1">
      <c r="A565" s="427"/>
      <c r="B565" s="122" t="s">
        <v>103</v>
      </c>
      <c r="C565" s="157" t="s">
        <v>197</v>
      </c>
      <c r="D565" s="48" t="s">
        <v>104</v>
      </c>
      <c r="E565" s="441"/>
      <c r="F565" s="118" t="s">
        <v>105</v>
      </c>
      <c r="G565" s="119"/>
      <c r="H565" s="126"/>
      <c r="I565" s="126"/>
      <c r="J565" s="2"/>
      <c r="K565" s="18"/>
      <c r="L565" s="18"/>
      <c r="M565" s="18"/>
      <c r="N565" s="18"/>
      <c r="O565" s="126"/>
      <c r="P565" s="126"/>
      <c r="Q565" s="126">
        <f>Jan!DO291</f>
        <v>1</v>
      </c>
      <c r="R565" s="436"/>
      <c r="S565" s="436"/>
      <c r="T565" s="18"/>
      <c r="U565" s="18"/>
      <c r="V565" s="18"/>
      <c r="W565" s="45"/>
      <c r="X565" s="67"/>
    </row>
    <row r="566" spans="1:26" ht="15" customHeight="1">
      <c r="A566" s="427"/>
      <c r="B566" s="137" t="s">
        <v>112</v>
      </c>
      <c r="C566" s="157" t="s">
        <v>197</v>
      </c>
      <c r="D566" s="48" t="s">
        <v>104</v>
      </c>
      <c r="E566" s="441"/>
      <c r="F566" s="118" t="s">
        <v>113</v>
      </c>
      <c r="G566" s="119"/>
      <c r="H566" s="126"/>
      <c r="I566" s="126"/>
      <c r="J566" s="2"/>
      <c r="K566" s="18"/>
      <c r="L566" s="18"/>
      <c r="M566" s="18"/>
      <c r="N566" s="18"/>
      <c r="O566" s="126"/>
      <c r="P566" s="126"/>
      <c r="Q566" s="126">
        <f>Jan!DO294</f>
        <v>1</v>
      </c>
      <c r="R566" s="436"/>
      <c r="S566" s="436"/>
      <c r="T566" s="18"/>
      <c r="U566" s="18"/>
      <c r="V566" s="18"/>
      <c r="W566" s="45"/>
      <c r="X566" s="67"/>
    </row>
    <row r="567" spans="1:26" ht="15" customHeight="1">
      <c r="A567" s="427"/>
      <c r="B567" s="137" t="s">
        <v>106</v>
      </c>
      <c r="C567" s="157" t="s">
        <v>141</v>
      </c>
      <c r="D567" s="48" t="s">
        <v>68</v>
      </c>
      <c r="E567" s="441"/>
      <c r="F567" s="118" t="s">
        <v>67</v>
      </c>
      <c r="G567" s="119"/>
      <c r="H567" s="126"/>
      <c r="I567" s="126"/>
      <c r="J567" s="2"/>
      <c r="K567" s="18"/>
      <c r="L567" s="18"/>
      <c r="M567" s="18"/>
      <c r="N567" s="18"/>
      <c r="O567" s="126"/>
      <c r="P567" s="126"/>
      <c r="Q567" s="126">
        <f>Jan!DO292</f>
        <v>1</v>
      </c>
      <c r="R567" s="436"/>
      <c r="S567" s="436"/>
      <c r="T567" s="18"/>
      <c r="U567" s="18"/>
      <c r="V567" s="18"/>
      <c r="W567" s="45"/>
      <c r="X567" s="67"/>
    </row>
    <row r="568" spans="1:26" ht="15" customHeight="1" thickBot="1">
      <c r="A568" s="428"/>
      <c r="B568" s="44" t="s">
        <v>107</v>
      </c>
      <c r="C568" s="181" t="s">
        <v>195</v>
      </c>
      <c r="D568" s="61" t="s">
        <v>108</v>
      </c>
      <c r="E568" s="447"/>
      <c r="F568" s="133" t="s">
        <v>48</v>
      </c>
      <c r="G568" s="132"/>
      <c r="H568" s="109"/>
      <c r="I568" s="134"/>
      <c r="J568" s="129"/>
      <c r="K568" s="130"/>
      <c r="L568" s="130"/>
      <c r="M568" s="130"/>
      <c r="N568" s="130"/>
      <c r="O568" s="134"/>
      <c r="P568" s="134"/>
      <c r="Q568" s="134">
        <f>Jan!DO293</f>
        <v>1</v>
      </c>
      <c r="R568" s="437"/>
      <c r="S568" s="437"/>
      <c r="T568" s="130"/>
      <c r="U568" s="130"/>
      <c r="V568" s="128"/>
      <c r="W568" s="85"/>
      <c r="X568" s="67"/>
    </row>
    <row r="569" spans="1:26" ht="15" customHeight="1">
      <c r="A569" s="450" t="s">
        <v>126</v>
      </c>
      <c r="B569" s="429" t="s">
        <v>44</v>
      </c>
      <c r="C569" s="432" t="s">
        <v>241</v>
      </c>
      <c r="D569" s="19" t="s">
        <v>37</v>
      </c>
      <c r="E569" s="19" t="s">
        <v>25</v>
      </c>
      <c r="F569" s="39" t="s">
        <v>40</v>
      </c>
      <c r="G569" s="120">
        <f>SUMIF($D$4:$D$568,"SC-1020",$G$4:$G$568)</f>
        <v>37936.89</v>
      </c>
      <c r="H569" s="30">
        <f>SUMIF($D$4:$D$568,"SC-1020",$H$4:$H$568)</f>
        <v>45472</v>
      </c>
      <c r="I569" s="481">
        <f>SUM(I4:I46)</f>
        <v>654</v>
      </c>
      <c r="J569" s="478">
        <f>SUM(J4:J189)</f>
        <v>22.1</v>
      </c>
      <c r="K569" s="30">
        <f>SUMIFS($K$4:$K$568,$D$4:$D$568,"SC-1020",$F$4:$F$568,"65""")</f>
        <v>543900</v>
      </c>
      <c r="L569" s="30">
        <f>SUMIFS($L$4:$L$568,$D$4:$D$568,"SC-1020",$F$4:$F$568,"65""")</f>
        <v>68</v>
      </c>
      <c r="M569" s="30">
        <f>M544</f>
        <v>48000</v>
      </c>
      <c r="N569" s="30">
        <f>N544</f>
        <v>6</v>
      </c>
      <c r="O569" s="30">
        <f>SUMIFS($O$4:$O$568,$D$4:$D$568,"SC-1020",$F$4:$F$568,"65""")</f>
        <v>687699</v>
      </c>
      <c r="P569" s="30">
        <f>SUMIFS($P$4:$P$568,$D$4:$D$568,"SC-1020",$F$4:$F$568,"65""")</f>
        <v>683911</v>
      </c>
      <c r="Q569" s="30"/>
      <c r="R569" s="453">
        <f>SUM(R4:R568)</f>
        <v>1816251</v>
      </c>
      <c r="S569" s="453">
        <f>SUM(S4:S568)</f>
        <v>1811167</v>
      </c>
      <c r="T569" s="208">
        <f>SUMIFS($T$4:$T$568,$D$4:$D$568,"SC-1020",$F$4:$F$568,"65""")</f>
        <v>680797</v>
      </c>
      <c r="U569" s="208">
        <f>SUMIFS($U$4:$U$568,$D$4:$D$568,"SC-1020",$F$4:$F$568,"65""")</f>
        <v>648</v>
      </c>
      <c r="V569" s="208">
        <f>V544</f>
        <v>22007</v>
      </c>
      <c r="W569" s="19"/>
    </row>
    <row r="570" spans="1:26" ht="15" customHeight="1">
      <c r="A570" s="451"/>
      <c r="B570" s="430"/>
      <c r="C570" s="433"/>
      <c r="D570" s="119" t="s">
        <v>69</v>
      </c>
      <c r="E570" s="424" t="s">
        <v>24</v>
      </c>
      <c r="F570" s="115" t="s">
        <v>48</v>
      </c>
      <c r="G570" s="47"/>
      <c r="H570" s="12"/>
      <c r="I570" s="482"/>
      <c r="J570" s="479"/>
      <c r="K570" s="12"/>
      <c r="L570" s="12"/>
      <c r="M570" s="117"/>
      <c r="N570" s="117"/>
      <c r="O570" s="12">
        <f>SUMIFS($O$4:$O$568,$D$4:$D$568,"011-3",$F$4:$F$568,"61""")</f>
        <v>16899</v>
      </c>
      <c r="P570" s="12">
        <f>SUMIFS($P$4:$P$568,$D$4:$D$568,"011-3",$F$4:$F$568,"61""")</f>
        <v>5278</v>
      </c>
      <c r="Q570" s="117"/>
      <c r="R570" s="454"/>
      <c r="S570" s="454"/>
      <c r="T570" s="194">
        <f>SUMIFS($T$4:$T$568,$D$4:$D$568,"011-3",$F$4:$F$568,"61""")</f>
        <v>26280</v>
      </c>
      <c r="U570" s="194">
        <f>SUMIFS($U$4:$U$568,$D$4:$D$568,"011-3",$F$4:$F$568,"61""")</f>
        <v>29</v>
      </c>
      <c r="V570" s="194"/>
      <c r="W570" s="113"/>
    </row>
    <row r="571" spans="1:26" ht="16.5" customHeight="1">
      <c r="A571" s="451"/>
      <c r="B571" s="430"/>
      <c r="C571" s="433"/>
      <c r="D571" s="119" t="s">
        <v>69</v>
      </c>
      <c r="E571" s="441"/>
      <c r="F571" s="118" t="s">
        <v>40</v>
      </c>
      <c r="G571" s="47"/>
      <c r="H571" s="12"/>
      <c r="I571" s="482"/>
      <c r="J571" s="479"/>
      <c r="K571" s="12">
        <f>SUMIFS($K$4:$K$568,$D$4:$D$568,"011-3",$F$4:$F$568,"65""")</f>
        <v>159000</v>
      </c>
      <c r="L571" s="12">
        <f>SUMIFS($L$4:$L$568,$D$4:$D$568,"011-3",$F$4:$F$568,"65""")</f>
        <v>20</v>
      </c>
      <c r="M571" s="12"/>
      <c r="N571" s="12"/>
      <c r="O571" s="12">
        <f>SUMIFS($O$4:$O$568,$D$4:$D$568,"011-3",$F$4:$F$568,"65""")</f>
        <v>318456</v>
      </c>
      <c r="P571" s="12">
        <f>SUMIFS($P$4:$P$568,$D$4:$D$568,"011-3",$F$4:$F$568,"65""")</f>
        <v>306901</v>
      </c>
      <c r="Q571" s="117"/>
      <c r="R571" s="454"/>
      <c r="S571" s="454"/>
      <c r="T571" s="194">
        <f>SUMIFS($T$4:$T$568,$D$4:$D$568,"011-3",$F$4:$F$568,"65""")</f>
        <v>328084</v>
      </c>
      <c r="U571" s="194">
        <f>SUMIFS($U$4:$U$568,$D$4:$D$568,"011-3",$F$4:$F$568,"65""")</f>
        <v>447</v>
      </c>
      <c r="V571" s="194">
        <f>V545</f>
        <v>850</v>
      </c>
      <c r="W571" s="113"/>
    </row>
    <row r="572" spans="1:26" ht="16.5" customHeight="1">
      <c r="A572" s="451"/>
      <c r="B572" s="431"/>
      <c r="C572" s="434"/>
      <c r="D572" s="119" t="s">
        <v>128</v>
      </c>
      <c r="E572" s="425"/>
      <c r="F572" s="118" t="s">
        <v>40</v>
      </c>
      <c r="G572" s="47">
        <f>SUMIF($D$4:$D$568,"011-4",$G$4:$G$568)</f>
        <v>24109.16</v>
      </c>
      <c r="H572" s="31">
        <f>SUMIF($D$4:$D$568,"011-4",$H$4:$H$568)</f>
        <v>24866.799999999999</v>
      </c>
      <c r="I572" s="482"/>
      <c r="J572" s="479"/>
      <c r="K572" s="12">
        <f>SUMIFS($K$4:$K$568,$D$4:$D$568,"011-4",$F$4:$F$568,"65""")</f>
        <v>223400</v>
      </c>
      <c r="L572" s="12">
        <f>SUMIFS($L$4:$L$568,$D$4:$D$568,"011-4",$F$4:$F$568,"65""")</f>
        <v>28</v>
      </c>
      <c r="M572" s="12">
        <f>M546</f>
        <v>127400</v>
      </c>
      <c r="N572" s="12">
        <f>N546</f>
        <v>16</v>
      </c>
      <c r="O572" s="12">
        <f>SUMIFS($O$4:$O$568,$D$4:$D$568,"011-4",$F$4:$F$568,"65""")</f>
        <v>64367</v>
      </c>
      <c r="P572" s="12">
        <f>SUMIFS($P$4:$P$568,$D$4:$D$568,"011-4",$F$4:$F$568,"65""")</f>
        <v>86766</v>
      </c>
      <c r="Q572" s="117"/>
      <c r="R572" s="454"/>
      <c r="S572" s="454"/>
      <c r="T572" s="194">
        <f>SUMIFS($T$4:$T$568,$D$4:$D$568,"011-4",$F$4:$F$568,"65""")</f>
        <v>54905</v>
      </c>
      <c r="U572" s="194">
        <f>SUMIFS($U$4:$U$568,$D$4:$D$568,"011-4",$F$4:$F$568,"65""")</f>
        <v>99</v>
      </c>
      <c r="V572" s="194">
        <f>V546</f>
        <v>9363</v>
      </c>
      <c r="W572" s="113"/>
    </row>
    <row r="573" spans="1:26">
      <c r="A573" s="451"/>
      <c r="B573" s="452" t="s">
        <v>45</v>
      </c>
      <c r="C573" s="471" t="s">
        <v>59</v>
      </c>
      <c r="D573" s="118" t="s">
        <v>75</v>
      </c>
      <c r="E573" s="441" t="s">
        <v>25</v>
      </c>
      <c r="F573" s="119" t="s">
        <v>57</v>
      </c>
      <c r="G573" s="47">
        <f>SUMIF($D$4:$D$568,"AAZ43",$G$4:$G$568)</f>
        <v>8223.1200000000008</v>
      </c>
      <c r="H573" s="12"/>
      <c r="I573" s="482"/>
      <c r="J573" s="479"/>
      <c r="K573" s="12">
        <f>SUMIFS($K$4:$K$568,$D$4:$D$568,"AAZ43",$F$4:$F$568,"66.5""")</f>
        <v>55300</v>
      </c>
      <c r="L573" s="12">
        <f>SUMIFS($L$4:$L$568,$D$4:$D$568,"AAZ43",$F$4:$F$568,"66.5""")</f>
        <v>11</v>
      </c>
      <c r="M573" s="12">
        <f>M547</f>
        <v>50600</v>
      </c>
      <c r="N573" s="12">
        <f>N547</f>
        <v>10</v>
      </c>
      <c r="O573" s="12">
        <f>SUMIFS($O$4:$O$568,$D$4:$D$568,"AAZ43",$F$4:$F$568,"66.5""")</f>
        <v>116834</v>
      </c>
      <c r="P573" s="12">
        <f>SUMIFS($P$4:$P$568,$D$4:$D$568,"AAZ43",$F$4:$F$568,"66.5""")</f>
        <v>96480</v>
      </c>
      <c r="Q573" s="12"/>
      <c r="R573" s="454"/>
      <c r="S573" s="454"/>
      <c r="T573" s="194">
        <f>SUMIFS($T$4:$T$568,$D$4:$D$568,"AAZ43",$F$4:$F$568,"66.5""")</f>
        <v>155223</v>
      </c>
      <c r="U573" s="194"/>
      <c r="V573" s="183">
        <f>V547</f>
        <v>31015</v>
      </c>
      <c r="W573" s="119"/>
    </row>
    <row r="574" spans="1:26">
      <c r="A574" s="451"/>
      <c r="B574" s="452"/>
      <c r="C574" s="471"/>
      <c r="D574" s="48" t="s">
        <v>94</v>
      </c>
      <c r="E574" s="425"/>
      <c r="F574" s="119"/>
      <c r="G574" s="47"/>
      <c r="H574" s="12">
        <f>SUMIF($D$4:$D$568,"AAZ86",$H$4:$H$568)</f>
        <v>10854</v>
      </c>
      <c r="I574" s="482"/>
      <c r="J574" s="479"/>
      <c r="K574" s="12"/>
      <c r="L574" s="12"/>
      <c r="M574" s="12"/>
      <c r="N574" s="12"/>
      <c r="O574" s="12"/>
      <c r="P574" s="12"/>
      <c r="Q574" s="12"/>
      <c r="R574" s="454"/>
      <c r="S574" s="454"/>
      <c r="T574" s="117"/>
      <c r="U574" s="117"/>
      <c r="V574" s="12"/>
      <c r="W574" s="119"/>
      <c r="Y574" s="13"/>
      <c r="Z574" s="13"/>
    </row>
    <row r="575" spans="1:26" ht="20.25" customHeight="1">
      <c r="A575" s="451"/>
      <c r="B575" s="452"/>
      <c r="C575" s="471"/>
      <c r="D575" s="118" t="s">
        <v>72</v>
      </c>
      <c r="E575" s="118" t="s">
        <v>24</v>
      </c>
      <c r="F575" s="119" t="s">
        <v>57</v>
      </c>
      <c r="G575" s="12">
        <f>SUMIF($D$4:$D$568,"1800A",$G$4:$G$568)</f>
        <v>7765</v>
      </c>
      <c r="H575" s="119"/>
      <c r="I575" s="482"/>
      <c r="J575" s="479"/>
      <c r="K575" s="12">
        <f>SUMIFS($K$4:$K$568,$D$4:$D$568,"1800A",$F$4:$F$568,"66.5""")</f>
        <v>75000</v>
      </c>
      <c r="L575" s="12">
        <f>SUMIFS($L$4:$L$568,$D$4:$D$568,"1800A",$F$4:$F$568,"66.5""")</f>
        <v>17</v>
      </c>
      <c r="M575" s="12">
        <f>M548</f>
        <v>40000</v>
      </c>
      <c r="N575" s="12">
        <f>N548</f>
        <v>8</v>
      </c>
      <c r="O575" s="12">
        <f>SUMIFS($O$4:$O$568,$D$4:$D$568,"1800A",$F$4:$F$568,"66.5""")</f>
        <v>94380</v>
      </c>
      <c r="P575" s="12">
        <f>SUMIFS($P$4:$P$568,$D$4:$D$568,"1800A",$F$4:$F$568,"66.5""")</f>
        <v>92358</v>
      </c>
      <c r="Q575" s="12"/>
      <c r="R575" s="454"/>
      <c r="S575" s="454"/>
      <c r="T575" s="194">
        <f>SUMIFS($T$4:$T$568,$D$4:$D$568,"1800A",$F$4:$F$568,"66.5""")</f>
        <v>63789</v>
      </c>
      <c r="U575" s="194">
        <f>SUMIFS($U$4:$U$568,$D$4:$D$568,"1800A",$F$4:$F$568,"66.5""")</f>
        <v>6</v>
      </c>
      <c r="V575" s="183">
        <f>V548</f>
        <v>34236</v>
      </c>
      <c r="W575" s="119"/>
    </row>
    <row r="576" spans="1:26" ht="15" customHeight="1">
      <c r="A576" s="451"/>
      <c r="B576" s="452"/>
      <c r="C576" s="471"/>
      <c r="D576" s="115" t="s">
        <v>79</v>
      </c>
      <c r="E576" s="114" t="s">
        <v>65</v>
      </c>
      <c r="F576" s="119" t="s">
        <v>57</v>
      </c>
      <c r="G576" s="47">
        <f>SUMIF($D$4:$D$568,"DJ-234",$G$4:$G$568)</f>
        <v>16927.690000000002</v>
      </c>
      <c r="H576" s="119"/>
      <c r="I576" s="482"/>
      <c r="J576" s="479"/>
      <c r="K576" s="12">
        <f>SUMIFS($K$4:$K$568,$D$4:$D$568,"DJ-234",$F$4:$F$568,"66.5""")</f>
        <v>198000</v>
      </c>
      <c r="L576" s="12">
        <f>SUMIFS($L$4:$L$568,$D$4:$D$568,"DJ-234",$F$4:$F$568,"66.5""")</f>
        <v>40</v>
      </c>
      <c r="M576" s="12">
        <f>M550</f>
        <v>60000</v>
      </c>
      <c r="N576" s="12">
        <f>N550</f>
        <v>12</v>
      </c>
      <c r="O576" s="12">
        <f>SUMIFS($O$4:$O$568,$D$4:$D$568,"DJ-234",$F$4:$F$568,"66.5""")</f>
        <v>100548</v>
      </c>
      <c r="P576" s="12">
        <f>SUMIFS($P$4:$P$568,$D$4:$D$568,"DJ-234",$F$4:$F$568,"66.5""")</f>
        <v>110785</v>
      </c>
      <c r="Q576" s="12"/>
      <c r="R576" s="454"/>
      <c r="S576" s="454"/>
      <c r="T576" s="117">
        <f>SUMIFS($T$4:$T$568,$D$4:$D$568,"DJ-234",$F$4:$F$568,"66.5""")</f>
        <v>98840</v>
      </c>
      <c r="U576" s="117">
        <f>SUMIFS($U$4:$U$568,$D$4:$D$568,"DJ-234",$F$4:$F$568,"66.5""")</f>
        <v>103</v>
      </c>
      <c r="V576" s="12">
        <f>V550</f>
        <v>2605</v>
      </c>
      <c r="W576" s="119"/>
    </row>
    <row r="577" spans="1:26" ht="15" customHeight="1">
      <c r="A577" s="451"/>
      <c r="B577" s="452"/>
      <c r="C577" s="471"/>
      <c r="D577" s="118" t="s">
        <v>73</v>
      </c>
      <c r="E577" s="118" t="s">
        <v>24</v>
      </c>
      <c r="F577" s="119"/>
      <c r="G577" s="12"/>
      <c r="H577" s="31">
        <f>SUMIF($D$4:$D$568,"1801D",$H$4:$H$568)</f>
        <v>11909.6</v>
      </c>
      <c r="I577" s="482"/>
      <c r="J577" s="479"/>
      <c r="K577" s="12"/>
      <c r="L577" s="12"/>
      <c r="M577" s="12"/>
      <c r="N577" s="12"/>
      <c r="O577" s="12"/>
      <c r="P577" s="12"/>
      <c r="Q577" s="12"/>
      <c r="R577" s="454"/>
      <c r="S577" s="454"/>
      <c r="T577" s="12"/>
      <c r="U577" s="12"/>
      <c r="V577" s="12"/>
      <c r="W577" s="119"/>
    </row>
    <row r="578" spans="1:26" ht="15" customHeight="1">
      <c r="A578" s="451"/>
      <c r="B578" s="452"/>
      <c r="C578" s="471"/>
      <c r="D578" s="115" t="s">
        <v>80</v>
      </c>
      <c r="E578" s="118" t="s">
        <v>65</v>
      </c>
      <c r="F578" s="119"/>
      <c r="G578" s="119"/>
      <c r="H578" s="31">
        <f>SUMIF($D$4:$D$568,"DJ-232A",$H$4:$H$568)</f>
        <v>13200.099999999999</v>
      </c>
      <c r="I578" s="482"/>
      <c r="J578" s="479"/>
      <c r="K578" s="12"/>
      <c r="L578" s="12"/>
      <c r="M578" s="12"/>
      <c r="N578" s="12"/>
      <c r="O578" s="12"/>
      <c r="P578" s="12"/>
      <c r="Q578" s="119"/>
      <c r="R578" s="454"/>
      <c r="S578" s="454"/>
      <c r="T578" s="117"/>
      <c r="U578" s="117"/>
      <c r="V578" s="12"/>
      <c r="W578" s="119"/>
    </row>
    <row r="579" spans="1:26" ht="15" customHeight="1">
      <c r="A579" s="451"/>
      <c r="B579" s="452"/>
      <c r="C579" s="471"/>
      <c r="D579" s="115" t="s">
        <v>42</v>
      </c>
      <c r="E579" s="118" t="s">
        <v>25</v>
      </c>
      <c r="F579" s="119"/>
      <c r="G579" s="119"/>
      <c r="H579" s="12"/>
      <c r="I579" s="482"/>
      <c r="J579" s="479"/>
      <c r="K579" s="12"/>
      <c r="L579" s="12"/>
      <c r="M579" s="12">
        <v>2743</v>
      </c>
      <c r="N579" s="12">
        <v>1</v>
      </c>
      <c r="O579" s="12"/>
      <c r="P579" s="12"/>
      <c r="Q579" s="119"/>
      <c r="R579" s="454"/>
      <c r="S579" s="454"/>
      <c r="T579" s="117"/>
      <c r="U579" s="117"/>
      <c r="V579" s="12"/>
      <c r="W579" s="119"/>
    </row>
    <row r="580" spans="1:26" ht="20.25" customHeight="1">
      <c r="A580" s="451"/>
      <c r="B580" s="442" t="s">
        <v>53</v>
      </c>
      <c r="C580" s="444" t="s">
        <v>60</v>
      </c>
      <c r="D580" s="43" t="s">
        <v>89</v>
      </c>
      <c r="E580" s="448" t="s">
        <v>66</v>
      </c>
      <c r="F580" s="118" t="s">
        <v>54</v>
      </c>
      <c r="G580" s="47"/>
      <c r="H580" s="119"/>
      <c r="I580" s="482"/>
      <c r="J580" s="479"/>
      <c r="K580" s="12"/>
      <c r="L580" s="12"/>
      <c r="M580" s="12"/>
      <c r="N580" s="12"/>
      <c r="O580" s="12"/>
      <c r="P580" s="12"/>
      <c r="Q580" s="12"/>
      <c r="R580" s="454"/>
      <c r="S580" s="454"/>
      <c r="T580" s="117">
        <f>SUMIFS($T$4:$T$568,$D$4:$D$568,"ABZ85,DR856Z",$F$4:$F$568,"67""")</f>
        <v>1926</v>
      </c>
      <c r="U580" s="117"/>
      <c r="V580" s="12"/>
      <c r="W580" s="119"/>
    </row>
    <row r="581" spans="1:26" ht="20.25" customHeight="1">
      <c r="A581" s="451"/>
      <c r="B581" s="439"/>
      <c r="C581" s="445"/>
      <c r="D581" s="43" t="s">
        <v>95</v>
      </c>
      <c r="E581" s="440"/>
      <c r="F581" s="118" t="s">
        <v>54</v>
      </c>
      <c r="G581" s="47"/>
      <c r="H581" s="119"/>
      <c r="I581" s="482"/>
      <c r="J581" s="479"/>
      <c r="K581" s="12"/>
      <c r="L581" s="12"/>
      <c r="M581" s="12"/>
      <c r="N581" s="12"/>
      <c r="O581" s="12">
        <f>SUMIFS($O$4:$O$568,$D$4:$D$568,"ABZ85,DR794Z,DR856Z",$F$4:$F$568,"67""")</f>
        <v>29958</v>
      </c>
      <c r="P581" s="12">
        <f>SUMIFS($P$4:$P$568,$D$4:$D$568,"ABZ85,DR794Z,DR856Z",$F$4:$F$568,"67""")</f>
        <v>17546</v>
      </c>
      <c r="Q581" s="12"/>
      <c r="R581" s="454"/>
      <c r="S581" s="454"/>
      <c r="T581" s="117">
        <f>SUMIFS($T$4:$T$568,$D$4:$D$568,"ABZ85,DR794Z,DR856Z",$F$4:$F$568,"67""")</f>
        <v>30870</v>
      </c>
      <c r="U581" s="117">
        <f>SUMIFS($U$4:$U$568,$D$4:$D$568,"ABZ85,DR794Z,DR856Z",$F$4:$F$568,"67""")</f>
        <v>2</v>
      </c>
      <c r="V581" s="12"/>
      <c r="W581" s="119"/>
      <c r="Y581" s="13"/>
    </row>
    <row r="582" spans="1:26" ht="20.25" customHeight="1">
      <c r="A582" s="451"/>
      <c r="B582" s="439"/>
      <c r="C582" s="445"/>
      <c r="D582" s="43" t="s">
        <v>98</v>
      </c>
      <c r="E582" s="440"/>
      <c r="F582" s="118" t="s">
        <v>54</v>
      </c>
      <c r="G582" s="47"/>
      <c r="H582" s="119"/>
      <c r="I582" s="482"/>
      <c r="J582" s="479"/>
      <c r="K582" s="12">
        <f>SUMIFS($K$4:$K$568,$D$4:$D$568,"DR1073Z,DR856Z",$F$4:$F$568,"67""")</f>
        <v>75800</v>
      </c>
      <c r="L582" s="12">
        <f>SUMIFS($L$4:$L$568,$D$4:$D$568,"DR1073Z,DR856Z",$F$4:$F$568,"67""")</f>
        <v>13</v>
      </c>
      <c r="M582" s="12"/>
      <c r="N582" s="12"/>
      <c r="O582" s="12">
        <f>SUMIFS($O$4:$O$568,$D$4:$D$568,"DR1073Z,DR856Z",$F$4:$F$568,"67""")</f>
        <v>197418</v>
      </c>
      <c r="P582" s="12">
        <f>SUMIFS($P$4:$P$568,$D$4:$D$568,"DR1073Z,DR856Z",$F$4:$F$568,"67""")</f>
        <v>182989</v>
      </c>
      <c r="Q582" s="12"/>
      <c r="R582" s="454"/>
      <c r="S582" s="454"/>
      <c r="T582" s="117">
        <f>SUMIFS($T$4:$T$568,$D$4:$D$568,"DR1073Z,DR856Z",$F$4:$F$568,"67""")</f>
        <v>200817</v>
      </c>
      <c r="U582" s="117">
        <f>SUMIFS($U$4:$U$568,$D$4:$D$568,"DR1073Z,DR856Z",$F$4:$F$568,"67""")</f>
        <v>38</v>
      </c>
      <c r="V582" s="12"/>
      <c r="W582" s="119"/>
    </row>
    <row r="583" spans="1:26" ht="20.25" customHeight="1">
      <c r="A583" s="451"/>
      <c r="B583" s="439"/>
      <c r="C583" s="445"/>
      <c r="D583" s="43" t="s">
        <v>130</v>
      </c>
      <c r="E583" s="449"/>
      <c r="F583" s="118" t="s">
        <v>54</v>
      </c>
      <c r="G583" s="12">
        <f>SUMIF($D$4:$D$568,"RD225Z,DR1074Z",$G$4:$G$568)</f>
        <v>16747</v>
      </c>
      <c r="H583" s="113"/>
      <c r="I583" s="482"/>
      <c r="J583" s="479"/>
      <c r="K583" s="12">
        <f>SUMIFS($K$4:$K$568,$D$4:$D$568,"RD225Z,DR1074Z",$F$4:$F$568,"67""")</f>
        <v>176850</v>
      </c>
      <c r="L583" s="12">
        <f>SUMIFS($L$4:$L$568,$D$4:$D$568,"RD225Z,DR1074Z",$F$4:$F$568,"67""")</f>
        <v>30</v>
      </c>
      <c r="M583" s="12">
        <f>M551</f>
        <v>58750</v>
      </c>
      <c r="N583" s="12">
        <f>N551</f>
        <v>10</v>
      </c>
      <c r="O583" s="12">
        <f>SUMIFS($O$4:$O$568,$D$4:$D$568,"RD225Z,DR1074Z",$F$4:$F$568,"67""")</f>
        <v>76210</v>
      </c>
      <c r="P583" s="12">
        <f>SUMIFS($P$4:$P$568,$D$4:$D$568,"RD225Z,DR1074Z",$F$4:$F$568,"67""")</f>
        <v>94051</v>
      </c>
      <c r="Q583" s="12"/>
      <c r="R583" s="454"/>
      <c r="S583" s="454"/>
      <c r="T583" s="117">
        <f>SUMIFS($T$4:$T$568,$D$4:$D$568,"RD225Z,DR1074Z",$F$4:$F$568,"67""")</f>
        <v>71349</v>
      </c>
      <c r="U583" s="117">
        <f>SUMIFS($U$4:$U$568,$D$4:$D$568,"RD225Z,DR1074Z",$F$4:$F$568,"67""")</f>
        <v>45</v>
      </c>
      <c r="V583" s="12">
        <f>V551</f>
        <v>4815</v>
      </c>
      <c r="W583" s="119"/>
    </row>
    <row r="584" spans="1:26" ht="15" customHeight="1">
      <c r="A584" s="451"/>
      <c r="B584" s="439"/>
      <c r="C584" s="445"/>
      <c r="D584" s="48" t="s">
        <v>91</v>
      </c>
      <c r="E584" s="424" t="s">
        <v>25</v>
      </c>
      <c r="F584" s="119"/>
      <c r="G584" s="12"/>
      <c r="H584" s="161">
        <f>SUMIF($D$4:$D$568,"DR1073Z",$H$4:$H$568)</f>
        <v>979.8</v>
      </c>
      <c r="I584" s="482"/>
      <c r="J584" s="479"/>
      <c r="K584" s="12"/>
      <c r="L584" s="12"/>
      <c r="M584" s="12"/>
      <c r="N584" s="12"/>
      <c r="O584" s="12"/>
      <c r="P584" s="117"/>
      <c r="Q584" s="119"/>
      <c r="R584" s="454"/>
      <c r="S584" s="454"/>
      <c r="T584" s="12"/>
      <c r="U584" s="117"/>
      <c r="V584" s="12"/>
      <c r="W584" s="119"/>
    </row>
    <row r="585" spans="1:26" ht="15" customHeight="1">
      <c r="A585" s="451"/>
      <c r="B585" s="439"/>
      <c r="C585" s="445"/>
      <c r="D585" s="48" t="s">
        <v>127</v>
      </c>
      <c r="E585" s="425"/>
      <c r="F585" s="119"/>
      <c r="G585" s="12"/>
      <c r="H585" s="207">
        <f>SUMIF($D$4:$D$568,"ABZ85",$H$4:$H$568)</f>
        <v>15671.73</v>
      </c>
      <c r="I585" s="482"/>
      <c r="J585" s="479"/>
      <c r="K585" s="12"/>
      <c r="L585" s="12"/>
      <c r="M585" s="12"/>
      <c r="N585" s="12"/>
      <c r="O585" s="12"/>
      <c r="P585" s="117"/>
      <c r="Q585" s="119"/>
      <c r="R585" s="454"/>
      <c r="S585" s="454"/>
      <c r="T585" s="117"/>
      <c r="U585" s="117"/>
      <c r="V585" s="116"/>
      <c r="W585" s="119"/>
    </row>
    <row r="586" spans="1:26" ht="15" customHeight="1">
      <c r="A586" s="451"/>
      <c r="B586" s="443"/>
      <c r="C586" s="446"/>
      <c r="D586" s="48" t="s">
        <v>96</v>
      </c>
      <c r="E586" s="113" t="s">
        <v>65</v>
      </c>
      <c r="F586" s="119"/>
      <c r="G586" s="47"/>
      <c r="H586" s="31">
        <f>SUMIF($D$4:$D$568,"DR1075Z",$H$4:$H$568)</f>
        <v>3151.8</v>
      </c>
      <c r="I586" s="482"/>
      <c r="J586" s="479"/>
      <c r="K586" s="12"/>
      <c r="L586" s="12"/>
      <c r="M586" s="12"/>
      <c r="N586" s="12"/>
      <c r="O586" s="12"/>
      <c r="P586" s="117"/>
      <c r="Q586" s="119"/>
      <c r="R586" s="454"/>
      <c r="S586" s="454"/>
      <c r="T586" s="117"/>
      <c r="U586" s="117"/>
      <c r="V586" s="116"/>
      <c r="W586" s="119"/>
    </row>
    <row r="587" spans="1:26" ht="18.75" customHeight="1">
      <c r="A587" s="451"/>
      <c r="B587" s="442" t="s">
        <v>55</v>
      </c>
      <c r="C587" s="444" t="s">
        <v>133</v>
      </c>
      <c r="D587" s="43" t="s">
        <v>56</v>
      </c>
      <c r="E587" s="430" t="s">
        <v>25</v>
      </c>
      <c r="F587" s="48" t="s">
        <v>67</v>
      </c>
      <c r="G587" s="196">
        <f>SUMIFS($G$4:$G$568,$D$4:$D$568,"ACZ07",$F$4:$F$568,"56""",$C$4:$C$568,"P/OX 600D*300D, 64T, 135GR/SQM, recycle 67%")</f>
        <v>693.28</v>
      </c>
      <c r="H587" s="31">
        <f>SUMIFS($H$4:$H$568,$D$4:$D$568,"ACZ07",$F$4:$F$568,"56""")</f>
        <v>192.6</v>
      </c>
      <c r="I587" s="482"/>
      <c r="J587" s="479"/>
      <c r="K587" s="183">
        <f>SUMIFS($K$4:$K$568,$D$4:$D$568,"ACZ07",$F$4:$F$568,"56""",$C$4:$C$568,"P/OX 600D*300D, 64T, 135GR/SQM, recycle 67%")</f>
        <v>2800</v>
      </c>
      <c r="L587" s="183">
        <f>SUMIFS($L$4:$L$568,$D$4:$D$568,"ACZ07",$F$4:$F$568,"56""",$C$4:$C$568,"P/OX 600D*300D, 64T, 135GR/SQM, recycle 67%")</f>
        <v>1</v>
      </c>
      <c r="M587" s="117">
        <f>M553</f>
        <v>2800</v>
      </c>
      <c r="N587" s="117">
        <f>N553</f>
        <v>1</v>
      </c>
      <c r="O587" s="183">
        <f>SUMIFS($O$4:$O$568,$D$4:$D$568,"ACZ07",$F$4:$F$568,"56""",$C$4:$C$568,"P/OX 600D*300D, 64T, 135GR/SQM, recycle 67%")</f>
        <v>3768</v>
      </c>
      <c r="P587" s="183">
        <f>SUMIFS($P$4:$P$568,$D$4:$D$568,"ACZ07",$F$4:$F$568,"56""",$C$4:$C$568,"P/OX 600D*300D, 64T, 135GR/SQM, recycle 67%")</f>
        <v>3768</v>
      </c>
      <c r="Q587" s="117"/>
      <c r="R587" s="454"/>
      <c r="S587" s="454"/>
      <c r="T587" s="183">
        <f>SUMIFS($T$4:$T$568,$D$4:$D$568,"ACZ07",$F$4:$F$568,"56""",$C$4:$C$568,"P/OX 600D*300D, 64T, 135GR/SQM, recycle 67%")</f>
        <v>3761</v>
      </c>
      <c r="U587" s="183">
        <f>SUMIFS($U$4:$U$568,$D$4:$D$568,"ACZ07",$F$4:$F$568,"56""",$C$4:$C$568,"P/OX 600D*300D, 64T, 135GR/SQM, recycle 67%")</f>
        <v>7</v>
      </c>
      <c r="V587" s="12">
        <f>V553</f>
        <v>500</v>
      </c>
      <c r="W587" s="2"/>
      <c r="Y587" s="13"/>
    </row>
    <row r="588" spans="1:26" ht="18.75" customHeight="1">
      <c r="A588" s="451"/>
      <c r="B588" s="443"/>
      <c r="C588" s="446"/>
      <c r="D588" s="43" t="s">
        <v>68</v>
      </c>
      <c r="E588" s="430"/>
      <c r="F588" s="48"/>
      <c r="G588" s="47"/>
      <c r="H588" s="117">
        <f>SUMIF($D$4:$D$568,"1T3035ZC-35",$H$4:$H$568)</f>
        <v>252</v>
      </c>
      <c r="I588" s="482"/>
      <c r="J588" s="479"/>
      <c r="K588" s="12"/>
      <c r="L588" s="12"/>
      <c r="M588" s="117"/>
      <c r="N588" s="117"/>
      <c r="O588" s="12"/>
      <c r="P588" s="12"/>
      <c r="Q588" s="117"/>
      <c r="R588" s="454"/>
      <c r="S588" s="454"/>
      <c r="T588" s="117"/>
      <c r="U588" s="117"/>
      <c r="V588" s="12"/>
      <c r="W588" s="2"/>
      <c r="Y588" s="13"/>
      <c r="Z588" s="13"/>
    </row>
    <row r="589" spans="1:26" ht="18.75" customHeight="1">
      <c r="A589" s="451"/>
      <c r="B589" s="442" t="s">
        <v>122</v>
      </c>
      <c r="C589" s="444" t="s">
        <v>123</v>
      </c>
      <c r="D589" s="48" t="s">
        <v>56</v>
      </c>
      <c r="E589" s="430"/>
      <c r="F589" s="48" t="s">
        <v>64</v>
      </c>
      <c r="G589" s="218">
        <f>SUMIFS($G$4:$G$568,$D$4:$D$568,"ACZ07",$F$4:$F$568,"60""",$C$4:$C$568,"P/OX 300D* P/SPUN 10'S, Recycle 60""")</f>
        <v>5196.7999999999993</v>
      </c>
      <c r="H589" s="12"/>
      <c r="I589" s="482"/>
      <c r="J589" s="479"/>
      <c r="K589" s="183">
        <f>SUMIFS($K$4:$K$568,$D$4:$D$568,"ACZ07",$F$4:$F$568,"60""",$C$4:$C$568,"P/OX 300D* P/SPUN 10'S, Recycle 60""")</f>
        <v>29200</v>
      </c>
      <c r="L589" s="183">
        <f>SUMIFS($L$4:$L$568,$D$4:$D$568,"ACZ07",$F$4:$F$568,"60""",$C$4:$C$568,"P/OX 300D* P/SPUN 10'S, Recycle 60""")</f>
        <v>10</v>
      </c>
      <c r="M589" s="117">
        <f>M554</f>
        <v>15600</v>
      </c>
      <c r="N589" s="117">
        <f>N554</f>
        <v>5</v>
      </c>
      <c r="O589" s="183">
        <f>SUMIFS($O$4:$O$568,$D$4:$D$568,"ACZ07",$F$4:$F$568,"60""",$C$4:$C$568,"P/OX 300D* P/SPUN 10'S, Recycle 60""")</f>
        <v>23912</v>
      </c>
      <c r="P589" s="183">
        <f>SUMIFS($P$4:$P$568,$D$4:$D$568,"ACZ07",$F$4:$F$568,"60""",$C$4:$C$568,"P/OX 300D* P/SPUN 10'S, Recycle 60""")</f>
        <v>24586</v>
      </c>
      <c r="Q589" s="117"/>
      <c r="R589" s="454"/>
      <c r="S589" s="454"/>
      <c r="T589" s="12">
        <f>SUMIFS($T$4:$T$568,$D$4:$D$568,"ACZ07",$F$4:$F$568,"60""")</f>
        <v>600</v>
      </c>
      <c r="U589" s="117"/>
      <c r="V589" s="12">
        <f>V554</f>
        <v>23312</v>
      </c>
      <c r="W589" s="2"/>
      <c r="Y589" s="13"/>
    </row>
    <row r="590" spans="1:26" ht="18.75" customHeight="1">
      <c r="A590" s="451"/>
      <c r="B590" s="443"/>
      <c r="C590" s="446"/>
      <c r="D590" s="48" t="s">
        <v>129</v>
      </c>
      <c r="E590" s="430"/>
      <c r="F590" s="48"/>
      <c r="G590" s="31"/>
      <c r="H590" s="12">
        <f>SUMIF($D$4:$D$568,"JY-BMAJ10",$H$4:$H$568)</f>
        <v>5025</v>
      </c>
      <c r="I590" s="482"/>
      <c r="J590" s="479"/>
      <c r="K590" s="117"/>
      <c r="L590" s="117"/>
      <c r="M590" s="117"/>
      <c r="N590" s="117"/>
      <c r="O590" s="12"/>
      <c r="P590" s="12"/>
      <c r="Q590" s="117"/>
      <c r="R590" s="454"/>
      <c r="S590" s="454"/>
      <c r="T590" s="117"/>
      <c r="U590" s="117"/>
      <c r="V590" s="12"/>
      <c r="W590" s="2"/>
      <c r="Y590" s="13"/>
    </row>
    <row r="591" spans="1:26" ht="18.75" customHeight="1">
      <c r="A591" s="451"/>
      <c r="B591" s="122" t="s">
        <v>125</v>
      </c>
      <c r="C591" s="180" t="s">
        <v>88</v>
      </c>
      <c r="D591" s="48" t="s">
        <v>124</v>
      </c>
      <c r="E591" s="430"/>
      <c r="F591" s="48" t="s">
        <v>64</v>
      </c>
      <c r="G591" s="31">
        <f>SUMIF($D$4:$D$568,"SC-1004",$G$4:$G$568)</f>
        <v>10013.5</v>
      </c>
      <c r="H591" s="116">
        <f>SUMIF($D$4:$D$568,"SC-1004",$H$4:$H$568)</f>
        <v>3984</v>
      </c>
      <c r="I591" s="482"/>
      <c r="J591" s="479"/>
      <c r="K591" s="12">
        <f>SUMIFS($K$4:$K$568,$D$4:$D$568,"SC-1004",$F$4:$F$568,"60""")</f>
        <v>103600</v>
      </c>
      <c r="L591" s="12">
        <f>SUMIFS($L$4:$L$568,$D$4:$D$568,"SC-1004",$F$4:$F$568,"60""")</f>
        <v>14</v>
      </c>
      <c r="M591" s="117">
        <f>M555</f>
        <v>88200</v>
      </c>
      <c r="N591" s="117">
        <f>N555</f>
        <v>12</v>
      </c>
      <c r="O591" s="12">
        <f>SUMIFS($O$4:$O$568,$D$4:$D$568,"SC-1004",$F$4:$F$568,"60""")</f>
        <v>45399</v>
      </c>
      <c r="P591" s="12">
        <f>SUMIFS($P$4:$P$568,$D$4:$D$568,"SC-1004",$F$4:$F$568,"60""")</f>
        <v>56229</v>
      </c>
      <c r="Q591" s="117"/>
      <c r="R591" s="454"/>
      <c r="S591" s="454"/>
      <c r="T591" s="117">
        <f>SUMIFS($T$4:$T$568,$D$4:$D$568,"SC-1004",$F$4:$F$568,"60""")</f>
        <v>37904</v>
      </c>
      <c r="U591" s="117">
        <f>SUMIFS($U$4:$U$568,$D$4:$D$568,"SC-1004",$F$4:$F$568,"60""")</f>
        <v>13</v>
      </c>
      <c r="V591" s="12">
        <f>V555</f>
        <v>7652</v>
      </c>
      <c r="W591" s="2"/>
      <c r="Y591" s="13"/>
    </row>
    <row r="592" spans="1:26">
      <c r="A592" s="451"/>
      <c r="B592" s="122" t="s">
        <v>101</v>
      </c>
      <c r="C592" s="180" t="s">
        <v>193</v>
      </c>
      <c r="D592" s="48" t="s">
        <v>102</v>
      </c>
      <c r="E592" s="430"/>
      <c r="F592" s="48" t="s">
        <v>64</v>
      </c>
      <c r="G592" s="12"/>
      <c r="H592" s="31"/>
      <c r="I592" s="482"/>
      <c r="J592" s="479"/>
      <c r="K592" s="116"/>
      <c r="L592" s="116"/>
      <c r="M592" s="12"/>
      <c r="N592" s="12"/>
      <c r="O592" s="12">
        <f>SUMIFS($O$4:$O$568,$D$4:$D$568,"XB061218",$F$4:$F$568,"60""")</f>
        <v>0</v>
      </c>
      <c r="P592" s="12">
        <f>SUMIFS($P$4:$P$568,$D$4:$D$568,"XB061218",$F$4:$F$568,"60""")</f>
        <v>0</v>
      </c>
      <c r="Q592" s="12"/>
      <c r="R592" s="454"/>
      <c r="S592" s="454"/>
      <c r="T592" s="12"/>
      <c r="U592" s="12"/>
      <c r="V592" s="12"/>
      <c r="W592" s="119"/>
      <c r="Y592" s="13"/>
    </row>
    <row r="593" spans="1:26">
      <c r="A593" s="451"/>
      <c r="B593" s="442" t="s">
        <v>47</v>
      </c>
      <c r="C593" s="472" t="s">
        <v>100</v>
      </c>
      <c r="D593" s="89" t="s">
        <v>99</v>
      </c>
      <c r="E593" s="430"/>
      <c r="F593" s="89" t="s">
        <v>71</v>
      </c>
      <c r="G593" s="31">
        <f>SUMIF($D$4:$D$568,"RD159Z",$G$4:$G$568)</f>
        <v>5251.2</v>
      </c>
      <c r="H593" s="123"/>
      <c r="I593" s="482"/>
      <c r="J593" s="479"/>
      <c r="K593" s="12">
        <f>SUMIFS($K$4:$K$568,$D$4:$D$568,"RD159Z",$F$4:$F$568,"60.5""")</f>
        <v>60000</v>
      </c>
      <c r="L593" s="12">
        <f>SUMIFS($L$4:$L$568,$D$4:$D$568,"RD159Z",$F$4:$F$568,"60.5""")</f>
        <v>10</v>
      </c>
      <c r="M593" s="121">
        <f>M559</f>
        <v>36000</v>
      </c>
      <c r="N593" s="121">
        <f>N559</f>
        <v>6</v>
      </c>
      <c r="O593" s="121">
        <f>SUMIFS($O$4:$O$568,$D$4:$D$568,"RD159Z",$F$4:$F$568,"60.5""")</f>
        <v>27184</v>
      </c>
      <c r="P593" s="121">
        <f>SUMIFS($P$4:$P$568,$D$4:$D$568,"RD159Z",$F$4:$F$568,"60.5""")</f>
        <v>33253</v>
      </c>
      <c r="Q593" s="121"/>
      <c r="R593" s="454"/>
      <c r="S593" s="454"/>
      <c r="T593" s="117">
        <f>SUMIFS($T$4:$T$568,$D$4:$D$568,"RD159Z",$F$4:$F$568,"60.5""")</f>
        <v>1500</v>
      </c>
      <c r="U593" s="12"/>
      <c r="V593" s="12">
        <f>V559</f>
        <v>25684</v>
      </c>
      <c r="W593" s="119"/>
    </row>
    <row r="594" spans="1:26">
      <c r="A594" s="451"/>
      <c r="B594" s="439"/>
      <c r="C594" s="473"/>
      <c r="D594" s="59" t="s">
        <v>121</v>
      </c>
      <c r="E594" s="430"/>
      <c r="F594" s="59"/>
      <c r="G594" s="116"/>
      <c r="H594" s="116">
        <f>SUMIF($D$4:$D$568,"RD152Z",$H$4:$H$568)</f>
        <v>2754</v>
      </c>
      <c r="I594" s="482"/>
      <c r="J594" s="479"/>
      <c r="K594" s="116"/>
      <c r="L594" s="116"/>
      <c r="M594" s="116"/>
      <c r="N594" s="116"/>
      <c r="O594" s="12"/>
      <c r="P594" s="12"/>
      <c r="Q594" s="12"/>
      <c r="R594" s="454"/>
      <c r="S594" s="454"/>
      <c r="T594" s="12"/>
      <c r="U594" s="116"/>
      <c r="V594" s="116"/>
      <c r="W594" s="119"/>
    </row>
    <row r="595" spans="1:26">
      <c r="A595" s="451"/>
      <c r="B595" s="122" t="s">
        <v>134</v>
      </c>
      <c r="C595" s="180" t="s">
        <v>63</v>
      </c>
      <c r="D595" s="48" t="s">
        <v>135</v>
      </c>
      <c r="E595" s="430"/>
      <c r="F595" s="59" t="s">
        <v>64</v>
      </c>
      <c r="G595" s="47">
        <f>SUMIF($D$4:$D$568,"XB080718",$G$4:$G$568)</f>
        <v>1946.35</v>
      </c>
      <c r="H595" s="116">
        <f>SUMIF($D$4:$D$568,"XB080718",$H$4:$H$568)</f>
        <v>799</v>
      </c>
      <c r="I595" s="482"/>
      <c r="J595" s="479"/>
      <c r="K595" s="12">
        <f>SUMIFS($K$4:$K$568,$D$4:$D$568,"XB080718",$F$4:$F$568,"60""")</f>
        <v>41500</v>
      </c>
      <c r="L595" s="12">
        <f>SUMIFS($L$4:$L$568,$D$4:$D$568,"XB080718",$F$4:$F$568,"60""")</f>
        <v>5</v>
      </c>
      <c r="M595" s="116"/>
      <c r="N595" s="12"/>
      <c r="O595" s="12">
        <f>SUMIFS($O$4:$O$568,$D$4:$D$568,"XB080718",$F$4:$F$568,"60""")</f>
        <v>6845</v>
      </c>
      <c r="P595" s="12">
        <f>SUMIFS($P$4:$P$568,$D$4:$D$568,"XB080718",$F$4:$F$568,"60""")</f>
        <v>9112</v>
      </c>
      <c r="Q595" s="12"/>
      <c r="R595" s="454"/>
      <c r="S595" s="454"/>
      <c r="T595" s="117"/>
      <c r="U595" s="116"/>
      <c r="V595" s="116">
        <f>V561</f>
        <v>6845</v>
      </c>
      <c r="W595" s="119"/>
    </row>
    <row r="596" spans="1:26">
      <c r="A596" s="451"/>
      <c r="B596" s="442" t="s">
        <v>58</v>
      </c>
      <c r="C596" s="444" t="s">
        <v>139</v>
      </c>
      <c r="D596" s="48" t="s">
        <v>56</v>
      </c>
      <c r="E596" s="430"/>
      <c r="F596" s="59" t="s">
        <v>67</v>
      </c>
      <c r="G596" s="12"/>
      <c r="H596" s="49"/>
      <c r="I596" s="482"/>
      <c r="J596" s="479"/>
      <c r="K596" s="31"/>
      <c r="L596" s="31"/>
      <c r="M596" s="116"/>
      <c r="N596" s="12"/>
      <c r="O596" s="12"/>
      <c r="P596" s="12"/>
      <c r="Q596" s="12"/>
      <c r="R596" s="454"/>
      <c r="S596" s="454"/>
      <c r="T596" s="117"/>
      <c r="U596" s="116"/>
      <c r="V596" s="116">
        <f>V556</f>
        <v>43</v>
      </c>
      <c r="W596" s="119"/>
    </row>
    <row r="597" spans="1:26" s="4" customFormat="1">
      <c r="A597" s="451"/>
      <c r="B597" s="439"/>
      <c r="C597" s="445"/>
      <c r="D597" s="48" t="s">
        <v>56</v>
      </c>
      <c r="E597" s="430"/>
      <c r="F597" s="59" t="s">
        <v>64</v>
      </c>
      <c r="G597" s="183">
        <f>SUMIFS($G$4:$G$568,$D$4:$D$568,"ACZ07",$F$4:$F$568,"60.""")</f>
        <v>1044</v>
      </c>
      <c r="H597" s="193"/>
      <c r="I597" s="482"/>
      <c r="J597" s="479"/>
      <c r="K597" s="183">
        <f>SUMIFS($K$4:$K$568,$D$4:$D$568,"ACZ07",$F$4:$F$568,"60.""")</f>
        <v>9000</v>
      </c>
      <c r="L597" s="183">
        <f>SUMIFS($L$4:$L$568,$D$4:$D$568,"ACZ07",$F$4:$F$568,"60.""")</f>
        <v>3</v>
      </c>
      <c r="M597" s="191"/>
      <c r="N597" s="183"/>
      <c r="O597" s="183">
        <f>SUMIFS($O$4:$O$568,$D$4:$D$568,"ACZ07",$F$4:$F$568,"60.""")</f>
        <v>3570</v>
      </c>
      <c r="P597" s="183">
        <f>SUMIFS($P$4:$P$568,$D$4:$D$568,"ACZ07",$F$4:$F$568,"60.""")</f>
        <v>3952</v>
      </c>
      <c r="Q597" s="183"/>
      <c r="R597" s="454"/>
      <c r="S597" s="454"/>
      <c r="T597" s="194"/>
      <c r="U597" s="191"/>
      <c r="V597" s="191">
        <f>V557</f>
        <v>3570</v>
      </c>
      <c r="W597" s="122"/>
    </row>
    <row r="598" spans="1:26">
      <c r="A598" s="451"/>
      <c r="B598" s="443"/>
      <c r="C598" s="446"/>
      <c r="D598" s="48" t="s">
        <v>92</v>
      </c>
      <c r="E598" s="430"/>
      <c r="F598" s="59"/>
      <c r="G598" s="116"/>
      <c r="H598" s="116">
        <f>SUMIF($D$4:$D$568,"JY-BMAJ16",$H$4:$H$568)</f>
        <v>1275</v>
      </c>
      <c r="I598" s="482"/>
      <c r="J598" s="479"/>
      <c r="K598" s="31"/>
      <c r="L598" s="31"/>
      <c r="M598" s="116"/>
      <c r="N598" s="12"/>
      <c r="O598" s="12"/>
      <c r="P598" s="12"/>
      <c r="Q598" s="12"/>
      <c r="R598" s="454"/>
      <c r="S598" s="454"/>
      <c r="T598" s="117"/>
      <c r="U598" s="116"/>
      <c r="V598" s="116"/>
      <c r="W598" s="119"/>
      <c r="Z598" s="13"/>
    </row>
    <row r="599" spans="1:26" s="4" customFormat="1">
      <c r="A599" s="451"/>
      <c r="B599" s="122" t="s">
        <v>61</v>
      </c>
      <c r="C599" s="180" t="s">
        <v>137</v>
      </c>
      <c r="D599" s="48" t="s">
        <v>56</v>
      </c>
      <c r="E599" s="430"/>
      <c r="F599" s="59" t="s">
        <v>67</v>
      </c>
      <c r="G599" s="183">
        <f>SUMIFS($G$4:$G$568,$D$4:$D$568,"ACZ07",$F$4:$F$568,"56""",$C$4:$C$568,"P/OX 300D* P/SPUN 10'S, Recycle 56""")</f>
        <v>696</v>
      </c>
      <c r="H599" s="191"/>
      <c r="I599" s="482"/>
      <c r="J599" s="479"/>
      <c r="K599" s="183">
        <f>SUMIFS($K$4:$K$568,$D$4:$D$568,"ACZ07",$F$4:$F$568,"56""",$C$4:$C$568,"P/OX 300D* P/SPUN 10'S, Recycle 56""")</f>
        <v>6000</v>
      </c>
      <c r="L599" s="183">
        <f>SUMIFS($L$4:$L$568,$D$4:$D$568,"ACZ07",$F$4:$F$568,"56""",$C$4:$C$568,"P/OX 300D* P/SPUN 10'S, Recycle 56""")</f>
        <v>2</v>
      </c>
      <c r="M599" s="191"/>
      <c r="N599" s="183"/>
      <c r="O599" s="183">
        <f>SUMIFS($O$4:$O$568,$D$4:$D$568,"ACZ07",$F$4:$F$568,"56""",$C$4:$C$568,"P/OX 300D* P/SPUN 10'S, Recycle 56""")</f>
        <v>2004</v>
      </c>
      <c r="P599" s="183">
        <f>SUMIFS($P$4:$P$568,$D$4:$D$568,"ACZ07",$F$4:$F$568,"56""",$C$4:$C$568,"P/OX 300D* P/SPUN 10'S, Recycle 56""")</f>
        <v>2390</v>
      </c>
      <c r="Q599" s="183"/>
      <c r="R599" s="454"/>
      <c r="S599" s="454"/>
      <c r="T599" s="183">
        <f>SUMIFS($T$4:$T$568,$D$4:$D$568,"ACZ07",$F$4:$F$568,"56""",$C$4:$C$568,"P/OX 300D* P/SPUN 10'S, Recycle 56""")</f>
        <v>0</v>
      </c>
      <c r="U599" s="183">
        <f>SUMIFS($U$4:$U$568,$D$4:$D$568,"ACZ07",$F$4:$F$568,"56""",$C$4:$C$568,"P/OX 300D* P/SPUN 10'S, Recycle 56""")</f>
        <v>0</v>
      </c>
      <c r="V599" s="191">
        <f>V562</f>
        <v>2004</v>
      </c>
      <c r="W599" s="122"/>
    </row>
    <row r="600" spans="1:26">
      <c r="A600" s="451"/>
      <c r="B600" s="122" t="s">
        <v>131</v>
      </c>
      <c r="C600" s="180" t="s">
        <v>194</v>
      </c>
      <c r="D600" s="48" t="s">
        <v>132</v>
      </c>
      <c r="E600" s="430"/>
      <c r="F600" s="59" t="s">
        <v>64</v>
      </c>
      <c r="G600" s="47">
        <f>SUMIF($D$4:$D$568,"M5101413",$G$4:$G$568)</f>
        <v>167.24</v>
      </c>
      <c r="H600" s="49"/>
      <c r="I600" s="482"/>
      <c r="J600" s="479"/>
      <c r="K600" s="12">
        <f>SUMIFS($K$4:$K$568,$D$4:$D$568,"M5101413",$F$4:$F$568,"60""")</f>
        <v>1950</v>
      </c>
      <c r="L600" s="12">
        <f>SUMIFS($L$4:$L$568,$D$4:$D$568,"M5101413",$F$4:$F$568,"60""")</f>
        <v>1</v>
      </c>
      <c r="M600" s="116"/>
      <c r="N600" s="12"/>
      <c r="O600" s="12">
        <f>SUMIFS($O$4:$O$568,$D$4:$D$568,"M5101413",$F$4:$F$568,"60""")</f>
        <v>300</v>
      </c>
      <c r="P600" s="12">
        <f>SUMIFS($P$4:$P$568,$D$4:$D$568,"M5101413",$F$4:$F$568,"60""")</f>
        <v>300</v>
      </c>
      <c r="Q600" s="12"/>
      <c r="R600" s="454"/>
      <c r="S600" s="454"/>
      <c r="T600" s="117">
        <f>SUMIFS($T$4:$T$568,$D$4:$D$568,"M5101413",$F$4:$F$568,"60""")</f>
        <v>300</v>
      </c>
      <c r="U600" s="116"/>
      <c r="V600" s="116"/>
      <c r="W600" s="119"/>
    </row>
    <row r="601" spans="1:26">
      <c r="A601" s="451"/>
      <c r="B601" s="122" t="s">
        <v>103</v>
      </c>
      <c r="C601" s="157" t="s">
        <v>197</v>
      </c>
      <c r="D601" s="48" t="s">
        <v>104</v>
      </c>
      <c r="E601" s="430"/>
      <c r="F601" s="59" t="s">
        <v>105</v>
      </c>
      <c r="G601" s="116"/>
      <c r="H601" s="49"/>
      <c r="I601" s="482"/>
      <c r="J601" s="479"/>
      <c r="K601" s="12"/>
      <c r="L601" s="12"/>
      <c r="M601" s="116"/>
      <c r="N601" s="116"/>
      <c r="O601" s="12">
        <f>SUMIFS($O$4:$O$568,$D$4:$D$568," RD159Z",$F$4:$F$568,"95""")</f>
        <v>0</v>
      </c>
      <c r="P601" s="12">
        <f>SUMIFS($P$4:$P$568,$D$4:$D$568," RD159Z",$F$4:$F$568,"95""")</f>
        <v>0</v>
      </c>
      <c r="Q601" s="12"/>
      <c r="R601" s="454"/>
      <c r="S601" s="454"/>
      <c r="T601" s="12"/>
      <c r="U601" s="116"/>
      <c r="V601" s="116"/>
      <c r="W601" s="119"/>
      <c r="Y601" s="13"/>
    </row>
    <row r="602" spans="1:26">
      <c r="A602" s="451"/>
      <c r="B602" s="442" t="s">
        <v>112</v>
      </c>
      <c r="C602" s="444" t="s">
        <v>197</v>
      </c>
      <c r="D602" s="48" t="s">
        <v>104</v>
      </c>
      <c r="E602" s="430"/>
      <c r="F602" s="59" t="s">
        <v>113</v>
      </c>
      <c r="G602" s="116"/>
      <c r="H602" s="184"/>
      <c r="I602" s="482"/>
      <c r="J602" s="479"/>
      <c r="K602" s="12"/>
      <c r="L602" s="12"/>
      <c r="M602" s="116"/>
      <c r="N602" s="116"/>
      <c r="O602" s="12">
        <f>SUMIFS($O$4:$O$568,$D$4:$D$568," RD159Z",$F$4:$F$568,"94""")</f>
        <v>0</v>
      </c>
      <c r="P602" s="12">
        <f>SUMIFS($P$4:$P$568,$D$4:$D$568," RD159Z",$F$4:$F$568,"94""")</f>
        <v>0</v>
      </c>
      <c r="Q602" s="12"/>
      <c r="R602" s="454"/>
      <c r="S602" s="454"/>
      <c r="T602" s="12"/>
      <c r="U602" s="116"/>
      <c r="V602" s="116"/>
      <c r="W602" s="131"/>
    </row>
    <row r="603" spans="1:26">
      <c r="A603" s="451"/>
      <c r="B603" s="443"/>
      <c r="C603" s="446"/>
      <c r="D603" s="48" t="s">
        <v>85</v>
      </c>
      <c r="E603" s="430"/>
      <c r="F603" s="59"/>
      <c r="G603" s="116"/>
      <c r="H603" s="49"/>
      <c r="I603" s="482"/>
      <c r="J603" s="479"/>
      <c r="K603" s="116"/>
      <c r="L603" s="116"/>
      <c r="M603" s="116"/>
      <c r="N603" s="116"/>
      <c r="O603" s="12"/>
      <c r="P603" s="12"/>
      <c r="Q603" s="12"/>
      <c r="R603" s="454"/>
      <c r="S603" s="454"/>
      <c r="T603" s="12"/>
      <c r="U603" s="116"/>
      <c r="V603" s="116"/>
      <c r="W603" s="131"/>
    </row>
    <row r="604" spans="1:26">
      <c r="A604" s="451"/>
      <c r="B604" s="442" t="s">
        <v>106</v>
      </c>
      <c r="C604" s="444" t="s">
        <v>141</v>
      </c>
      <c r="D604" s="48" t="s">
        <v>68</v>
      </c>
      <c r="E604" s="430"/>
      <c r="F604" s="59" t="s">
        <v>67</v>
      </c>
      <c r="G604" s="47">
        <f>SUMIF($D$4:$D$568,"1T3035ZC-35",$G$4:$G$568)</f>
        <v>228.13</v>
      </c>
      <c r="H604" s="49"/>
      <c r="I604" s="482"/>
      <c r="J604" s="479"/>
      <c r="K604" s="116"/>
      <c r="L604" s="116"/>
      <c r="M604" s="116"/>
      <c r="N604" s="116"/>
      <c r="O604" s="12">
        <f>SUMIFS($O$4:$O$568,$D$4:$D$568,"1T3035ZC-35",$F$4:$F$568,"56""")</f>
        <v>500</v>
      </c>
      <c r="P604" s="12">
        <f>SUMIFS($P$4:$P$568,$D$4:$D$568,"1T3035ZC-35",$F$4:$F$568,"56""")</f>
        <v>512</v>
      </c>
      <c r="Q604" s="12"/>
      <c r="R604" s="454"/>
      <c r="S604" s="454"/>
      <c r="T604" s="117">
        <f>SUMIFS($T$4:$T$568,$D$4:$D$568,"1T3035ZC-35",$F$4:$F$568,"56""")</f>
        <v>500</v>
      </c>
      <c r="U604" s="116"/>
      <c r="V604" s="116"/>
      <c r="W604" s="131"/>
    </row>
    <row r="605" spans="1:26">
      <c r="A605" s="451"/>
      <c r="B605" s="443"/>
      <c r="C605" s="446"/>
      <c r="D605" s="59" t="s">
        <v>109</v>
      </c>
      <c r="E605" s="430"/>
      <c r="F605" s="59"/>
      <c r="G605" s="116"/>
      <c r="H605" s="116">
        <f>SUMIF($D$4:$D$568,"1T2587ZC-46",$H$4:$H$568)+72</f>
        <v>108</v>
      </c>
      <c r="I605" s="482"/>
      <c r="J605" s="479"/>
      <c r="K605" s="116"/>
      <c r="L605" s="116"/>
      <c r="M605" s="116"/>
      <c r="N605" s="116"/>
      <c r="O605" s="12"/>
      <c r="P605" s="12"/>
      <c r="Q605" s="12"/>
      <c r="R605" s="454"/>
      <c r="S605" s="454"/>
      <c r="T605" s="116"/>
      <c r="U605" s="116"/>
      <c r="V605" s="116"/>
      <c r="W605" s="131"/>
    </row>
    <row r="606" spans="1:26" ht="15.75" thickBot="1">
      <c r="A606" s="451"/>
      <c r="B606" s="122" t="s">
        <v>107</v>
      </c>
      <c r="C606" s="180" t="s">
        <v>195</v>
      </c>
      <c r="D606" s="48" t="s">
        <v>108</v>
      </c>
      <c r="E606" s="430"/>
      <c r="F606" s="48" t="s">
        <v>48</v>
      </c>
      <c r="G606" s="12"/>
      <c r="H606" s="49"/>
      <c r="I606" s="483"/>
      <c r="J606" s="480"/>
      <c r="K606" s="116"/>
      <c r="L606" s="116"/>
      <c r="M606" s="12"/>
      <c r="N606" s="12"/>
      <c r="O606" s="121">
        <f>SUMIFS($O$4:$O$568,$D$4:$D$568,"M5102014",$F$4:$F$568,"61""")</f>
        <v>0</v>
      </c>
      <c r="P606" s="121">
        <f>SUMIFS($P$4:$P$568,$D$4:$D$568,"M5102014",$F$4:$F$568,"61""")</f>
        <v>0</v>
      </c>
      <c r="Q606" s="117"/>
      <c r="R606" s="454"/>
      <c r="S606" s="454"/>
      <c r="T606" s="116"/>
      <c r="U606" s="12"/>
      <c r="V606" s="12"/>
      <c r="W606" s="119"/>
    </row>
    <row r="607" spans="1:26" s="111" customFormat="1" ht="18.75" customHeight="1" thickBot="1">
      <c r="A607" s="185" t="s">
        <v>5</v>
      </c>
      <c r="B607" s="186"/>
      <c r="C607" s="187"/>
      <c r="D607" s="186"/>
      <c r="E607" s="186"/>
      <c r="F607" s="186"/>
      <c r="G607" s="188">
        <f>SUM(G569:G606)</f>
        <v>136945.36000000002</v>
      </c>
      <c r="H607" s="188">
        <f>SUM(H569:H606)</f>
        <v>140495.43</v>
      </c>
      <c r="I607" s="189">
        <f>SUM(I569:I569)</f>
        <v>654</v>
      </c>
      <c r="J607" s="190">
        <f>SUM(J569:J569)</f>
        <v>22.1</v>
      </c>
      <c r="K607" s="189">
        <f t="shared" ref="K607:P607" si="8">SUM(K569:K606)</f>
        <v>1761300</v>
      </c>
      <c r="L607" s="189">
        <f t="shared" si="8"/>
        <v>273</v>
      </c>
      <c r="M607" s="189">
        <f t="shared" si="8"/>
        <v>530093</v>
      </c>
      <c r="N607" s="189">
        <f t="shared" si="8"/>
        <v>87</v>
      </c>
      <c r="O607" s="189">
        <f t="shared" si="8"/>
        <v>1816251</v>
      </c>
      <c r="P607" s="189">
        <f t="shared" si="8"/>
        <v>1811167</v>
      </c>
      <c r="Q607" s="189"/>
      <c r="R607" s="189">
        <f>SUM(R569:R606)</f>
        <v>1816251</v>
      </c>
      <c r="S607" s="189">
        <f>SUM(S569:S606)</f>
        <v>1811167</v>
      </c>
      <c r="T607" s="189">
        <f>SUM(T569:T606)</f>
        <v>1757445</v>
      </c>
      <c r="U607" s="189">
        <f>SUM(U569:U606)</f>
        <v>1437</v>
      </c>
      <c r="V607" s="189">
        <f>SUM(V569:V606)</f>
        <v>174501</v>
      </c>
      <c r="W607" s="186"/>
      <c r="Y607" s="201"/>
    </row>
    <row r="608" spans="1:26">
      <c r="G608" s="195"/>
      <c r="K608" s="13"/>
      <c r="L608" s="13"/>
      <c r="M608" s="13"/>
      <c r="N608" s="13"/>
      <c r="Q608" s="13"/>
    </row>
    <row r="609" spans="1:24">
      <c r="K609" s="13"/>
      <c r="L609" s="13"/>
      <c r="M609" s="13"/>
      <c r="N609" s="13"/>
      <c r="Q609" s="13"/>
      <c r="V609" s="197"/>
      <c r="W609" s="13"/>
    </row>
    <row r="610" spans="1:24">
      <c r="K610" s="13"/>
      <c r="L610" s="13"/>
      <c r="M610" s="13"/>
      <c r="N610" s="13"/>
      <c r="Q610" s="13"/>
    </row>
    <row r="613" spans="1:24">
      <c r="H613" s="103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</row>
    <row r="615" spans="1:24">
      <c r="X615" s="4"/>
    </row>
    <row r="620" spans="1:24" s="4" customFormat="1">
      <c r="A620" s="15"/>
      <c r="B620" s="1"/>
      <c r="C620" s="7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3"/>
      <c r="P620" s="13"/>
      <c r="Q620" s="1"/>
      <c r="R620" s="13"/>
      <c r="S620" s="13"/>
      <c r="T620" s="13"/>
      <c r="U620" s="13"/>
      <c r="V620" s="13"/>
      <c r="W620" s="1"/>
      <c r="X620" s="1"/>
    </row>
    <row r="624" spans="1:24">
      <c r="H624" s="103"/>
    </row>
  </sheetData>
  <mergeCells count="429">
    <mergeCell ref="S470:S491"/>
    <mergeCell ref="E471:E472"/>
    <mergeCell ref="B473:B475"/>
    <mergeCell ref="C473:C475"/>
    <mergeCell ref="B476:B477"/>
    <mergeCell ref="C476:C477"/>
    <mergeCell ref="E476:E477"/>
    <mergeCell ref="E478:E491"/>
    <mergeCell ref="B481:B482"/>
    <mergeCell ref="C481:C482"/>
    <mergeCell ref="J569:J606"/>
    <mergeCell ref="I569:I606"/>
    <mergeCell ref="B604:B605"/>
    <mergeCell ref="S419:S445"/>
    <mergeCell ref="E420:E421"/>
    <mergeCell ref="E426:E427"/>
    <mergeCell ref="B433:B435"/>
    <mergeCell ref="C433:C435"/>
    <mergeCell ref="C430:C431"/>
    <mergeCell ref="B430:B431"/>
    <mergeCell ref="C426:C428"/>
    <mergeCell ref="B426:B428"/>
    <mergeCell ref="E428:E445"/>
    <mergeCell ref="C422:C425"/>
    <mergeCell ref="B422:B425"/>
    <mergeCell ref="E424:E425"/>
    <mergeCell ref="C436:C437"/>
    <mergeCell ref="B436:B437"/>
    <mergeCell ref="C443:C444"/>
    <mergeCell ref="B443:B444"/>
    <mergeCell ref="R419:R445"/>
    <mergeCell ref="B470:B472"/>
    <mergeCell ref="C470:C472"/>
    <mergeCell ref="R470:R491"/>
    <mergeCell ref="A373:A395"/>
    <mergeCell ref="B373:B375"/>
    <mergeCell ref="C373:C375"/>
    <mergeCell ref="R373:R395"/>
    <mergeCell ref="S373:S395"/>
    <mergeCell ref="E374:E375"/>
    <mergeCell ref="E381:E382"/>
    <mergeCell ref="E384:E395"/>
    <mergeCell ref="C381:C383"/>
    <mergeCell ref="B381:B383"/>
    <mergeCell ref="C376:C380"/>
    <mergeCell ref="B376:B380"/>
    <mergeCell ref="E379:E380"/>
    <mergeCell ref="E376:E377"/>
    <mergeCell ref="S292:S310"/>
    <mergeCell ref="E293:E294"/>
    <mergeCell ref="B295:B297"/>
    <mergeCell ref="C295:C297"/>
    <mergeCell ref="B298:B299"/>
    <mergeCell ref="C298:C299"/>
    <mergeCell ref="E298:E299"/>
    <mergeCell ref="E300:E310"/>
    <mergeCell ref="A332:A351"/>
    <mergeCell ref="B332:B334"/>
    <mergeCell ref="C332:C334"/>
    <mergeCell ref="R332:R351"/>
    <mergeCell ref="S332:S351"/>
    <mergeCell ref="E333:E334"/>
    <mergeCell ref="B335:B338"/>
    <mergeCell ref="C335:C338"/>
    <mergeCell ref="B339:B340"/>
    <mergeCell ref="C339:C340"/>
    <mergeCell ref="E339:E340"/>
    <mergeCell ref="E341:E351"/>
    <mergeCell ref="E336:E337"/>
    <mergeCell ref="A311:A331"/>
    <mergeCell ref="B311:B313"/>
    <mergeCell ref="C311:C313"/>
    <mergeCell ref="S230:S250"/>
    <mergeCell ref="E231:E232"/>
    <mergeCell ref="E237:E238"/>
    <mergeCell ref="E240:E250"/>
    <mergeCell ref="C233:C236"/>
    <mergeCell ref="B233:B236"/>
    <mergeCell ref="E235:E236"/>
    <mergeCell ref="A273:A291"/>
    <mergeCell ref="B273:B275"/>
    <mergeCell ref="C273:C275"/>
    <mergeCell ref="R273:R291"/>
    <mergeCell ref="S273:S291"/>
    <mergeCell ref="E274:E275"/>
    <mergeCell ref="B276:B278"/>
    <mergeCell ref="C276:C278"/>
    <mergeCell ref="B279:B280"/>
    <mergeCell ref="C279:C280"/>
    <mergeCell ref="E279:E280"/>
    <mergeCell ref="E281:E291"/>
    <mergeCell ref="S251:S272"/>
    <mergeCell ref="R251:R272"/>
    <mergeCell ref="A352:A372"/>
    <mergeCell ref="B352:B354"/>
    <mergeCell ref="C352:C354"/>
    <mergeCell ref="R352:R372"/>
    <mergeCell ref="A230:A250"/>
    <mergeCell ref="B230:B232"/>
    <mergeCell ref="C230:C232"/>
    <mergeCell ref="R230:R250"/>
    <mergeCell ref="A292:A310"/>
    <mergeCell ref="B292:B294"/>
    <mergeCell ref="C292:C294"/>
    <mergeCell ref="R292:R310"/>
    <mergeCell ref="E252:E253"/>
    <mergeCell ref="B259:B261"/>
    <mergeCell ref="C259:C261"/>
    <mergeCell ref="E259:E260"/>
    <mergeCell ref="C254:C258"/>
    <mergeCell ref="B254:B258"/>
    <mergeCell ref="E257:E258"/>
    <mergeCell ref="E255:E256"/>
    <mergeCell ref="E261:E272"/>
    <mergeCell ref="B251:B253"/>
    <mergeCell ref="C251:C253"/>
    <mergeCell ref="A149:A169"/>
    <mergeCell ref="B149:B151"/>
    <mergeCell ref="C149:C151"/>
    <mergeCell ref="R149:R169"/>
    <mergeCell ref="E150:E151"/>
    <mergeCell ref="B156:B158"/>
    <mergeCell ref="C156:C158"/>
    <mergeCell ref="A170:A189"/>
    <mergeCell ref="B218:B219"/>
    <mergeCell ref="S170:S189"/>
    <mergeCell ref="B173:B175"/>
    <mergeCell ref="C173:C175"/>
    <mergeCell ref="B176:B178"/>
    <mergeCell ref="C176:C178"/>
    <mergeCell ref="E176:E178"/>
    <mergeCell ref="E179:E189"/>
    <mergeCell ref="C179:C180"/>
    <mergeCell ref="B179:B180"/>
    <mergeCell ref="A129:A148"/>
    <mergeCell ref="R129:R148"/>
    <mergeCell ref="E130:E131"/>
    <mergeCell ref="B132:B135"/>
    <mergeCell ref="C132:C135"/>
    <mergeCell ref="B136:B138"/>
    <mergeCell ref="C136:C138"/>
    <mergeCell ref="E136:E137"/>
    <mergeCell ref="E138:E148"/>
    <mergeCell ref="C129:C131"/>
    <mergeCell ref="B129:B131"/>
    <mergeCell ref="E90:E91"/>
    <mergeCell ref="E96:E97"/>
    <mergeCell ref="E100:E109"/>
    <mergeCell ref="E93:E94"/>
    <mergeCell ref="E133:E134"/>
    <mergeCell ref="E156:E158"/>
    <mergeCell ref="E159:E169"/>
    <mergeCell ref="E154:E155"/>
    <mergeCell ref="S129:S148"/>
    <mergeCell ref="S149:S169"/>
    <mergeCell ref="A89:A109"/>
    <mergeCell ref="A110:A128"/>
    <mergeCell ref="B113:B115"/>
    <mergeCell ref="B116:B118"/>
    <mergeCell ref="B92:B95"/>
    <mergeCell ref="B96:B99"/>
    <mergeCell ref="B587:B588"/>
    <mergeCell ref="S544:S568"/>
    <mergeCell ref="A190:A211"/>
    <mergeCell ref="B193:B196"/>
    <mergeCell ref="C193:C196"/>
    <mergeCell ref="E197:E199"/>
    <mergeCell ref="E193:E194"/>
    <mergeCell ref="C202:C203"/>
    <mergeCell ref="B202:B203"/>
    <mergeCell ref="C197:C200"/>
    <mergeCell ref="B197:B200"/>
    <mergeCell ref="E200:E211"/>
    <mergeCell ref="A212:A229"/>
    <mergeCell ref="B212:B214"/>
    <mergeCell ref="S212:S229"/>
    <mergeCell ref="B215:B217"/>
    <mergeCell ref="A251:A272"/>
    <mergeCell ref="B237:B239"/>
    <mergeCell ref="S4:S27"/>
    <mergeCell ref="E573:E574"/>
    <mergeCell ref="E8:E9"/>
    <mergeCell ref="R67:R88"/>
    <mergeCell ref="R89:R109"/>
    <mergeCell ref="R110:R128"/>
    <mergeCell ref="E118:E128"/>
    <mergeCell ref="S28:S46"/>
    <mergeCell ref="E29:E30"/>
    <mergeCell ref="E545:E546"/>
    <mergeCell ref="S67:S88"/>
    <mergeCell ref="E68:E69"/>
    <mergeCell ref="E75:E77"/>
    <mergeCell ref="E78:E88"/>
    <mergeCell ref="E73:E74"/>
    <mergeCell ref="E70:E71"/>
    <mergeCell ref="S110:S128"/>
    <mergeCell ref="E111:E112"/>
    <mergeCell ref="E34:E35"/>
    <mergeCell ref="J170:J189"/>
    <mergeCell ref="E171:E172"/>
    <mergeCell ref="S190:S211"/>
    <mergeCell ref="E191:E192"/>
    <mergeCell ref="S89:S109"/>
    <mergeCell ref="C14:C18"/>
    <mergeCell ref="R569:R606"/>
    <mergeCell ref="E587:E606"/>
    <mergeCell ref="C4:C7"/>
    <mergeCell ref="E116:E117"/>
    <mergeCell ref="C170:C172"/>
    <mergeCell ref="R170:R189"/>
    <mergeCell ref="C21:C22"/>
    <mergeCell ref="C580:C586"/>
    <mergeCell ref="C113:C115"/>
    <mergeCell ref="C116:C118"/>
    <mergeCell ref="C92:C95"/>
    <mergeCell ref="C96:C99"/>
    <mergeCell ref="C593:C594"/>
    <mergeCell ref="C212:C214"/>
    <mergeCell ref="R212:R229"/>
    <mergeCell ref="E213:E214"/>
    <mergeCell ref="C215:C217"/>
    <mergeCell ref="E218:E219"/>
    <mergeCell ref="E220:E229"/>
    <mergeCell ref="C218:C219"/>
    <mergeCell ref="R544:R568"/>
    <mergeCell ref="R190:R211"/>
    <mergeCell ref="R4:R27"/>
    <mergeCell ref="B21:B22"/>
    <mergeCell ref="B544:B546"/>
    <mergeCell ref="C544:C546"/>
    <mergeCell ref="C573:C579"/>
    <mergeCell ref="B31:B33"/>
    <mergeCell ref="C31:C33"/>
    <mergeCell ref="B580:B586"/>
    <mergeCell ref="B75:B77"/>
    <mergeCell ref="C75:C77"/>
    <mergeCell ref="C70:C74"/>
    <mergeCell ref="B70:B74"/>
    <mergeCell ref="C152:C155"/>
    <mergeCell ref="B152:B155"/>
    <mergeCell ref="C160:C161"/>
    <mergeCell ref="B160:B161"/>
    <mergeCell ref="B47:B49"/>
    <mergeCell ref="C47:C49"/>
    <mergeCell ref="B170:B172"/>
    <mergeCell ref="B89:B91"/>
    <mergeCell ref="C89:C91"/>
    <mergeCell ref="C110:C112"/>
    <mergeCell ref="B110:B112"/>
    <mergeCell ref="B190:B192"/>
    <mergeCell ref="C190:C192"/>
    <mergeCell ref="W2:W3"/>
    <mergeCell ref="M2:M3"/>
    <mergeCell ref="N2:N3"/>
    <mergeCell ref="O2:O3"/>
    <mergeCell ref="P2:P3"/>
    <mergeCell ref="Q2:Q3"/>
    <mergeCell ref="R2:S2"/>
    <mergeCell ref="A2:A3"/>
    <mergeCell ref="B2:B3"/>
    <mergeCell ref="C2:C3"/>
    <mergeCell ref="D2:D3"/>
    <mergeCell ref="E2:E3"/>
    <mergeCell ref="I2:I3"/>
    <mergeCell ref="K2:K3"/>
    <mergeCell ref="T2:T3"/>
    <mergeCell ref="F2:F3"/>
    <mergeCell ref="G2:G3"/>
    <mergeCell ref="H2:H3"/>
    <mergeCell ref="A67:A88"/>
    <mergeCell ref="B67:B69"/>
    <mergeCell ref="C67:C69"/>
    <mergeCell ref="C79:C80"/>
    <mergeCell ref="B79:B80"/>
    <mergeCell ref="C39:C40"/>
    <mergeCell ref="B39:B40"/>
    <mergeCell ref="U2:U3"/>
    <mergeCell ref="V2:V3"/>
    <mergeCell ref="L2:L3"/>
    <mergeCell ref="J2:J3"/>
    <mergeCell ref="A4:A27"/>
    <mergeCell ref="C8:C13"/>
    <mergeCell ref="B8:B13"/>
    <mergeCell ref="B14:B18"/>
    <mergeCell ref="E36:E46"/>
    <mergeCell ref="I28:I46"/>
    <mergeCell ref="R47:R66"/>
    <mergeCell ref="A28:A46"/>
    <mergeCell ref="B28:B30"/>
    <mergeCell ref="C28:C30"/>
    <mergeCell ref="C34:C35"/>
    <mergeCell ref="B34:B35"/>
    <mergeCell ref="A47:A66"/>
    <mergeCell ref="B4:B7"/>
    <mergeCell ref="E5:E7"/>
    <mergeCell ref="B569:B572"/>
    <mergeCell ref="C569:C572"/>
    <mergeCell ref="E570:E572"/>
    <mergeCell ref="S47:S66"/>
    <mergeCell ref="E48:E49"/>
    <mergeCell ref="B50:B52"/>
    <mergeCell ref="C50:C52"/>
    <mergeCell ref="B53:B55"/>
    <mergeCell ref="C53:C55"/>
    <mergeCell ref="E53:E55"/>
    <mergeCell ref="E56:E66"/>
    <mergeCell ref="C60:C61"/>
    <mergeCell ref="B60:B61"/>
    <mergeCell ref="S569:S606"/>
    <mergeCell ref="E553:E568"/>
    <mergeCell ref="E10:E11"/>
    <mergeCell ref="E14:E16"/>
    <mergeCell ref="E19:E27"/>
    <mergeCell ref="E12:E13"/>
    <mergeCell ref="R28:R46"/>
    <mergeCell ref="B602:B603"/>
    <mergeCell ref="C237:C239"/>
    <mergeCell ref="S311:S331"/>
    <mergeCell ref="E312:E313"/>
    <mergeCell ref="B318:B319"/>
    <mergeCell ref="C318:C319"/>
    <mergeCell ref="E318:E319"/>
    <mergeCell ref="E320:E331"/>
    <mergeCell ref="C314:C317"/>
    <mergeCell ref="B314:B317"/>
    <mergeCell ref="E316:E317"/>
    <mergeCell ref="B324:B325"/>
    <mergeCell ref="C324:C325"/>
    <mergeCell ref="R311:R331"/>
    <mergeCell ref="S352:S372"/>
    <mergeCell ref="E353:E354"/>
    <mergeCell ref="B355:B357"/>
    <mergeCell ref="C355:C357"/>
    <mergeCell ref="E358:E359"/>
    <mergeCell ref="C358:C360"/>
    <mergeCell ref="B358:B360"/>
    <mergeCell ref="E360:E372"/>
    <mergeCell ref="S396:S418"/>
    <mergeCell ref="E397:E398"/>
    <mergeCell ref="B399:B402"/>
    <mergeCell ref="C399:C402"/>
    <mergeCell ref="E400:E401"/>
    <mergeCell ref="B403:B404"/>
    <mergeCell ref="C403:C404"/>
    <mergeCell ref="E403:E404"/>
    <mergeCell ref="E405:E418"/>
    <mergeCell ref="C408:C410"/>
    <mergeCell ref="B408:B410"/>
    <mergeCell ref="R396:R418"/>
    <mergeCell ref="A569:A606"/>
    <mergeCell ref="E584:E585"/>
    <mergeCell ref="C589:C590"/>
    <mergeCell ref="B589:B590"/>
    <mergeCell ref="E580:E583"/>
    <mergeCell ref="C587:C588"/>
    <mergeCell ref="C602:C603"/>
    <mergeCell ref="B573:B579"/>
    <mergeCell ref="B593:B594"/>
    <mergeCell ref="C604:C605"/>
    <mergeCell ref="B596:B598"/>
    <mergeCell ref="C596:C598"/>
    <mergeCell ref="A396:A418"/>
    <mergeCell ref="B396:B398"/>
    <mergeCell ref="C396:C398"/>
    <mergeCell ref="C551:C552"/>
    <mergeCell ref="B551:B552"/>
    <mergeCell ref="B556:B558"/>
    <mergeCell ref="C556:C558"/>
    <mergeCell ref="A419:A445"/>
    <mergeCell ref="B419:B421"/>
    <mergeCell ref="C419:C421"/>
    <mergeCell ref="A446:A469"/>
    <mergeCell ref="B446:B448"/>
    <mergeCell ref="C446:C448"/>
    <mergeCell ref="C462:C463"/>
    <mergeCell ref="B462:B463"/>
    <mergeCell ref="A492:A517"/>
    <mergeCell ref="B492:B494"/>
    <mergeCell ref="C492:C494"/>
    <mergeCell ref="A544:A568"/>
    <mergeCell ref="B547:B550"/>
    <mergeCell ref="C547:C550"/>
    <mergeCell ref="A470:A491"/>
    <mergeCell ref="C559:C560"/>
    <mergeCell ref="B559:B560"/>
    <mergeCell ref="R446:R469"/>
    <mergeCell ref="S446:S469"/>
    <mergeCell ref="E447:E448"/>
    <mergeCell ref="B449:B452"/>
    <mergeCell ref="C449:C452"/>
    <mergeCell ref="B453:B454"/>
    <mergeCell ref="C453:C454"/>
    <mergeCell ref="E453:E454"/>
    <mergeCell ref="E455:E469"/>
    <mergeCell ref="B458:B459"/>
    <mergeCell ref="C458:C459"/>
    <mergeCell ref="E449:E450"/>
    <mergeCell ref="R492:R517"/>
    <mergeCell ref="S492:S517"/>
    <mergeCell ref="E493:E494"/>
    <mergeCell ref="E496:E497"/>
    <mergeCell ref="B500:B501"/>
    <mergeCell ref="C500:C501"/>
    <mergeCell ref="E500:E501"/>
    <mergeCell ref="E502:E517"/>
    <mergeCell ref="B506:B508"/>
    <mergeCell ref="C506:C508"/>
    <mergeCell ref="C495:C499"/>
    <mergeCell ref="B495:B499"/>
    <mergeCell ref="E498:E499"/>
    <mergeCell ref="B503:B504"/>
    <mergeCell ref="C503:C504"/>
    <mergeCell ref="E548:E549"/>
    <mergeCell ref="A518:A543"/>
    <mergeCell ref="B518:B520"/>
    <mergeCell ref="C518:C520"/>
    <mergeCell ref="R518:R543"/>
    <mergeCell ref="S518:S543"/>
    <mergeCell ref="E519:E520"/>
    <mergeCell ref="B521:B525"/>
    <mergeCell ref="C521:C525"/>
    <mergeCell ref="E523:E524"/>
    <mergeCell ref="E526:E527"/>
    <mergeCell ref="B532:B534"/>
    <mergeCell ref="C532:C534"/>
    <mergeCell ref="C526:C528"/>
    <mergeCell ref="B526:B528"/>
    <mergeCell ref="E528:E543"/>
    <mergeCell ref="E521:E522"/>
  </mergeCells>
  <pageMargins left="0.16" right="0.16" top="0.16" bottom="0.18" header="0.16" footer="0.16"/>
  <pageSetup paperSize="8" scale="7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Z293"/>
  <sheetViews>
    <sheetView zoomScale="80" zoomScaleNormal="80" workbookViewId="0">
      <pane xSplit="1" ySplit="4" topLeftCell="S5" activePane="bottomRight" state="frozen"/>
      <selection activeCell="I273" sqref="I273"/>
      <selection pane="topRight" activeCell="I273" sqref="I273"/>
      <selection pane="bottomLeft" activeCell="I273" sqref="I273"/>
      <selection pane="bottomRight" activeCell="A281" sqref="A281"/>
    </sheetView>
  </sheetViews>
  <sheetFormatPr defaultRowHeight="15"/>
  <cols>
    <col min="1" max="1" width="89.140625" style="4" customWidth="1"/>
    <col min="2" max="2" width="10.7109375" style="4" hidden="1" customWidth="1"/>
    <col min="3" max="3" width="9.140625" style="4" hidden="1" customWidth="1"/>
    <col min="4" max="4" width="9.7109375" style="4" hidden="1" customWidth="1"/>
    <col min="5" max="21" width="21" style="139" hidden="1" customWidth="1"/>
    <col min="22" max="23" width="9.140625" style="4" customWidth="1"/>
    <col min="24" max="24" width="10.28515625" style="4" customWidth="1"/>
    <col min="25" max="26" width="9.140625" style="4" customWidth="1"/>
    <col min="27" max="27" width="9.7109375" style="4" customWidth="1"/>
    <col min="28" max="29" width="9.140625" style="4" customWidth="1"/>
    <col min="30" max="30" width="10.85546875" style="4" customWidth="1"/>
    <col min="31" max="32" width="9.140625" style="4" customWidth="1"/>
    <col min="33" max="33" width="9.85546875" style="4" customWidth="1"/>
    <col min="34" max="35" width="9.140625" style="4" customWidth="1"/>
    <col min="36" max="36" width="9.7109375" style="4" customWidth="1"/>
    <col min="37" max="38" width="9.140625" style="4" customWidth="1"/>
    <col min="39" max="39" width="9.7109375" style="4" customWidth="1"/>
    <col min="40" max="41" width="9.140625" style="4" customWidth="1"/>
    <col min="42" max="42" width="9.85546875" style="4" customWidth="1"/>
    <col min="43" max="44" width="9.140625" style="4" customWidth="1"/>
    <col min="45" max="45" width="9.5703125" style="4" customWidth="1"/>
    <col min="46" max="47" width="9.140625" style="4" customWidth="1"/>
    <col min="48" max="48" width="10.28515625" style="4" customWidth="1"/>
    <col min="49" max="49" width="9.7109375" style="4" customWidth="1"/>
    <col min="50" max="50" width="9.140625" style="4" customWidth="1"/>
    <col min="51" max="51" width="10.28515625" style="4" customWidth="1"/>
    <col min="52" max="53" width="9.140625" style="4" customWidth="1"/>
    <col min="54" max="54" width="10.42578125" style="4" customWidth="1"/>
    <col min="55" max="55" width="9.140625" style="4" customWidth="1"/>
    <col min="56" max="56" width="10.28515625" style="4" customWidth="1"/>
    <col min="57" max="57" width="10.42578125" style="4" customWidth="1"/>
    <col min="58" max="59" width="9.140625" style="4" customWidth="1"/>
    <col min="60" max="60" width="10" style="4" customWidth="1"/>
    <col min="61" max="62" width="9.140625" style="4" customWidth="1"/>
    <col min="63" max="63" width="9.85546875" style="4" customWidth="1"/>
    <col min="64" max="65" width="9.140625" style="4" customWidth="1"/>
    <col min="66" max="66" width="9.5703125" style="4" customWidth="1"/>
    <col min="67" max="68" width="9.140625" style="4" customWidth="1"/>
    <col min="69" max="69" width="10.28515625" style="4" customWidth="1"/>
    <col min="70" max="70" width="9.7109375" style="4" customWidth="1"/>
    <col min="71" max="71" width="9.140625" style="4" customWidth="1"/>
    <col min="72" max="72" width="10.42578125" style="4" customWidth="1"/>
    <col min="73" max="74" width="9.140625" style="4" customWidth="1"/>
    <col min="75" max="75" width="9.5703125" style="4" customWidth="1"/>
    <col min="76" max="77" width="9.140625" style="4" customWidth="1"/>
    <col min="78" max="78" width="10.28515625" style="4" customWidth="1"/>
    <col min="79" max="79" width="10.7109375" style="4" customWidth="1"/>
    <col min="80" max="80" width="9.140625" style="4" customWidth="1"/>
    <col min="81" max="81" width="10.42578125" style="4" customWidth="1"/>
    <col min="82" max="82" width="9.140625" style="4" customWidth="1"/>
    <col min="83" max="83" width="10.7109375" style="4" customWidth="1"/>
    <col min="84" max="84" width="9.85546875" style="4" customWidth="1"/>
    <col min="85" max="86" width="9.140625" style="4" customWidth="1"/>
    <col min="87" max="87" width="10.7109375" style="4" customWidth="1"/>
    <col min="88" max="89" width="9.140625" style="4" customWidth="1"/>
    <col min="90" max="90" width="10.7109375" style="4" customWidth="1"/>
    <col min="91" max="91" width="9.7109375" style="4" customWidth="1"/>
    <col min="92" max="92" width="9.140625" style="4" customWidth="1"/>
    <col min="93" max="93" width="9.85546875" style="4" customWidth="1"/>
    <col min="94" max="95" width="9.140625" style="4" customWidth="1"/>
    <col min="96" max="96" width="9.5703125" style="4" customWidth="1"/>
    <col min="97" max="98" width="9.140625" style="4" customWidth="1"/>
    <col min="99" max="99" width="9.7109375" style="4" customWidth="1"/>
    <col min="100" max="100" width="10.7109375" style="4" customWidth="1"/>
    <col min="101" max="101" width="9.140625" style="4" customWidth="1"/>
    <col min="102" max="102" width="9.7109375" style="4" customWidth="1"/>
    <col min="103" max="16384" width="9.140625" style="5"/>
  </cols>
  <sheetData>
    <row r="1" spans="1:102" ht="44.25" customHeight="1">
      <c r="A1" s="21" t="s">
        <v>93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14"/>
      <c r="AY1" s="11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</row>
    <row r="2" spans="1:102">
      <c r="AS2" s="4">
        <f>SUBTOTAL(2,AS5:AS266)</f>
        <v>262</v>
      </c>
      <c r="AV2" s="4">
        <f>SUBTOTAL(2,AV5:AV266)</f>
        <v>262</v>
      </c>
      <c r="AY2" s="4">
        <f>SUBTOTAL(2,AY5:AY266)</f>
        <v>262</v>
      </c>
      <c r="BB2" s="4">
        <f>SUBTOTAL(2,BB5:BB266)</f>
        <v>262</v>
      </c>
      <c r="BC2" s="484" t="s">
        <v>203</v>
      </c>
      <c r="BD2" s="484"/>
      <c r="BE2" s="484"/>
      <c r="BF2" s="484"/>
      <c r="BG2" s="484"/>
      <c r="BH2" s="484"/>
      <c r="BI2" s="484"/>
      <c r="BJ2" s="484"/>
      <c r="BK2" s="484"/>
      <c r="BL2" s="484"/>
      <c r="BM2" s="484"/>
      <c r="BN2" s="484"/>
      <c r="BO2" s="484"/>
      <c r="BP2" s="484"/>
      <c r="BQ2" s="484"/>
      <c r="BR2" s="484"/>
      <c r="BS2" s="484"/>
      <c r="BT2" s="484"/>
      <c r="BU2" s="484"/>
      <c r="BV2" s="484"/>
      <c r="BW2" s="484"/>
      <c r="BX2" s="484"/>
      <c r="BY2" s="484"/>
      <c r="BZ2" s="484"/>
      <c r="CA2" s="484"/>
      <c r="CB2" s="484"/>
      <c r="CC2" s="484"/>
      <c r="CD2" s="484"/>
      <c r="CE2" s="484"/>
      <c r="CF2" s="484"/>
      <c r="CI2" s="4">
        <f>SUBTOTAL(2,CI5:CI266)</f>
        <v>262</v>
      </c>
      <c r="CL2" s="4">
        <f>SUBTOTAL(2,CL5:CL266)</f>
        <v>262</v>
      </c>
      <c r="CO2" s="4">
        <f>SUBTOTAL(2,CO5:CO266)</f>
        <v>262</v>
      </c>
      <c r="CR2" s="4">
        <f>SUBTOTAL(2,CR5:CR266)</f>
        <v>262</v>
      </c>
      <c r="CU2" s="4">
        <f>SUBTOTAL(2,CU5:CU266)</f>
        <v>262</v>
      </c>
      <c r="CX2" s="4">
        <f>SUBTOTAL(2,CX5:CX266)</f>
        <v>262</v>
      </c>
    </row>
    <row r="3" spans="1:102" ht="20.25" customHeight="1">
      <c r="A3" s="6"/>
      <c r="B3" s="6" t="s">
        <v>115</v>
      </c>
      <c r="C3" s="6" t="s">
        <v>26</v>
      </c>
      <c r="D3" s="6" t="s">
        <v>0</v>
      </c>
      <c r="E3" s="33" t="s">
        <v>36</v>
      </c>
      <c r="F3" s="33" t="s">
        <v>36</v>
      </c>
      <c r="G3" s="33" t="s">
        <v>36</v>
      </c>
      <c r="H3" s="33" t="s">
        <v>36</v>
      </c>
      <c r="I3" s="33" t="s">
        <v>36</v>
      </c>
      <c r="J3" s="33" t="s">
        <v>36</v>
      </c>
      <c r="K3" s="33" t="s">
        <v>36</v>
      </c>
      <c r="L3" s="33" t="s">
        <v>36</v>
      </c>
      <c r="M3" s="33" t="s">
        <v>36</v>
      </c>
      <c r="N3" s="33" t="s">
        <v>36</v>
      </c>
      <c r="O3" s="33" t="s">
        <v>36</v>
      </c>
      <c r="P3" s="33" t="s">
        <v>36</v>
      </c>
      <c r="Q3" s="33" t="s">
        <v>36</v>
      </c>
      <c r="R3" s="33" t="s">
        <v>36</v>
      </c>
      <c r="S3" s="33" t="s">
        <v>36</v>
      </c>
      <c r="T3" s="33" t="s">
        <v>36</v>
      </c>
      <c r="U3" s="33" t="s">
        <v>36</v>
      </c>
      <c r="V3" s="6" t="s">
        <v>166</v>
      </c>
      <c r="W3" s="6" t="s">
        <v>4</v>
      </c>
      <c r="X3" s="6" t="s">
        <v>0</v>
      </c>
      <c r="Y3" s="6" t="s">
        <v>167</v>
      </c>
      <c r="Z3" s="6" t="s">
        <v>4</v>
      </c>
      <c r="AA3" s="6" t="s">
        <v>2</v>
      </c>
      <c r="AB3" s="6" t="s">
        <v>168</v>
      </c>
      <c r="AC3" s="6" t="s">
        <v>26</v>
      </c>
      <c r="AD3" s="6" t="s">
        <v>0</v>
      </c>
      <c r="AE3" s="6" t="s">
        <v>169</v>
      </c>
      <c r="AF3" s="6" t="s">
        <v>4</v>
      </c>
      <c r="AG3" s="6" t="s">
        <v>2</v>
      </c>
      <c r="AH3" s="6" t="s">
        <v>170</v>
      </c>
      <c r="AI3" s="6" t="s">
        <v>4</v>
      </c>
      <c r="AJ3" s="6" t="s">
        <v>0</v>
      </c>
      <c r="AK3" s="6" t="s">
        <v>171</v>
      </c>
      <c r="AL3" s="6" t="s">
        <v>4</v>
      </c>
      <c r="AM3" s="6" t="s">
        <v>0</v>
      </c>
      <c r="AN3" s="6" t="s">
        <v>172</v>
      </c>
      <c r="AO3" s="6" t="s">
        <v>4</v>
      </c>
      <c r="AP3" s="6" t="s">
        <v>0</v>
      </c>
      <c r="AQ3" s="6" t="s">
        <v>173</v>
      </c>
      <c r="AR3" s="6" t="s">
        <v>4</v>
      </c>
      <c r="AS3" s="6" t="s">
        <v>0</v>
      </c>
      <c r="AT3" s="6" t="s">
        <v>174</v>
      </c>
      <c r="AU3" s="6" t="s">
        <v>4</v>
      </c>
      <c r="AV3" s="6" t="s">
        <v>0</v>
      </c>
      <c r="AW3" s="6" t="s">
        <v>175</v>
      </c>
      <c r="AX3" s="6" t="s">
        <v>26</v>
      </c>
      <c r="AY3" s="6" t="s">
        <v>2</v>
      </c>
      <c r="AZ3" s="6" t="s">
        <v>176</v>
      </c>
      <c r="BA3" s="6" t="s">
        <v>26</v>
      </c>
      <c r="BB3" s="6" t="s">
        <v>2</v>
      </c>
      <c r="BC3" s="6" t="s">
        <v>177</v>
      </c>
      <c r="BD3" s="6" t="s">
        <v>26</v>
      </c>
      <c r="BE3" s="6" t="s">
        <v>2</v>
      </c>
      <c r="BF3" s="6" t="s">
        <v>178</v>
      </c>
      <c r="BG3" s="6" t="s">
        <v>26</v>
      </c>
      <c r="BH3" s="6" t="s">
        <v>2</v>
      </c>
      <c r="BI3" s="6" t="s">
        <v>179</v>
      </c>
      <c r="BJ3" s="6" t="s">
        <v>26</v>
      </c>
      <c r="BK3" s="6" t="s">
        <v>2</v>
      </c>
      <c r="BL3" s="6" t="s">
        <v>180</v>
      </c>
      <c r="BM3" s="6" t="s">
        <v>26</v>
      </c>
      <c r="BN3" s="6" t="s">
        <v>0</v>
      </c>
      <c r="BO3" s="6" t="s">
        <v>181</v>
      </c>
      <c r="BP3" s="6" t="s">
        <v>26</v>
      </c>
      <c r="BQ3" s="6" t="s">
        <v>0</v>
      </c>
      <c r="BR3" s="6" t="s">
        <v>182</v>
      </c>
      <c r="BS3" s="6" t="s">
        <v>26</v>
      </c>
      <c r="BT3" s="6" t="s">
        <v>0</v>
      </c>
      <c r="BU3" s="6" t="s">
        <v>183</v>
      </c>
      <c r="BV3" s="6" t="s">
        <v>26</v>
      </c>
      <c r="BW3" s="6" t="s">
        <v>0</v>
      </c>
      <c r="BX3" s="6" t="s">
        <v>184</v>
      </c>
      <c r="BY3" s="6" t="s">
        <v>26</v>
      </c>
      <c r="BZ3" s="6" t="s">
        <v>0</v>
      </c>
      <c r="CA3" s="6" t="s">
        <v>185</v>
      </c>
      <c r="CB3" s="6" t="s">
        <v>26</v>
      </c>
      <c r="CC3" s="6" t="s">
        <v>0</v>
      </c>
      <c r="CD3" s="6" t="s">
        <v>186</v>
      </c>
      <c r="CE3" s="6" t="s">
        <v>26</v>
      </c>
      <c r="CF3" s="6" t="s">
        <v>0</v>
      </c>
      <c r="CG3" s="6" t="s">
        <v>187</v>
      </c>
      <c r="CH3" s="6" t="s">
        <v>26</v>
      </c>
      <c r="CI3" s="6" t="s">
        <v>0</v>
      </c>
      <c r="CJ3" s="6" t="s">
        <v>188</v>
      </c>
      <c r="CK3" s="6" t="s">
        <v>26</v>
      </c>
      <c r="CL3" s="6" t="s">
        <v>0</v>
      </c>
      <c r="CM3" s="6" t="s">
        <v>189</v>
      </c>
      <c r="CN3" s="6" t="s">
        <v>26</v>
      </c>
      <c r="CO3" s="6" t="s">
        <v>0</v>
      </c>
      <c r="CP3" s="6" t="s">
        <v>190</v>
      </c>
      <c r="CQ3" s="6" t="s">
        <v>26</v>
      </c>
      <c r="CR3" s="6" t="s">
        <v>0</v>
      </c>
      <c r="CS3" s="6" t="s">
        <v>191</v>
      </c>
      <c r="CT3" s="6" t="s">
        <v>4</v>
      </c>
      <c r="CU3" s="6" t="s">
        <v>0</v>
      </c>
      <c r="CV3" s="6" t="s">
        <v>192</v>
      </c>
      <c r="CW3" s="6" t="s">
        <v>26</v>
      </c>
      <c r="CX3" s="6" t="s">
        <v>0</v>
      </c>
    </row>
    <row r="4" spans="1:102">
      <c r="A4" s="6" t="s">
        <v>35</v>
      </c>
      <c r="B4" s="6"/>
      <c r="C4" s="6"/>
      <c r="D4" s="6"/>
      <c r="E4" s="140">
        <v>46053</v>
      </c>
      <c r="F4" s="140">
        <v>46055</v>
      </c>
      <c r="G4" s="140">
        <v>46056</v>
      </c>
      <c r="H4" s="140">
        <v>46057</v>
      </c>
      <c r="I4" s="140">
        <v>46058</v>
      </c>
      <c r="J4" s="140">
        <v>46059</v>
      </c>
      <c r="K4" s="140">
        <v>46060</v>
      </c>
      <c r="L4" s="140">
        <v>46062</v>
      </c>
      <c r="M4" s="140">
        <v>46063</v>
      </c>
      <c r="N4" s="140">
        <v>46064</v>
      </c>
      <c r="O4" s="140">
        <v>46065</v>
      </c>
      <c r="P4" s="140">
        <v>46076</v>
      </c>
      <c r="Q4" s="140">
        <v>46077</v>
      </c>
      <c r="R4" s="140">
        <v>46078</v>
      </c>
      <c r="S4" s="140">
        <v>46079</v>
      </c>
      <c r="T4" s="140">
        <v>46080</v>
      </c>
      <c r="U4" s="140">
        <v>46081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</row>
    <row r="5" spans="1:102">
      <c r="A5" s="6">
        <v>1</v>
      </c>
      <c r="B5" s="6">
        <v>333</v>
      </c>
      <c r="C5" s="6">
        <v>1565</v>
      </c>
      <c r="D5" s="6">
        <v>337</v>
      </c>
      <c r="E5" s="33" t="s">
        <v>69</v>
      </c>
      <c r="F5" s="33" t="s">
        <v>69</v>
      </c>
      <c r="G5" s="33" t="s">
        <v>69</v>
      </c>
      <c r="H5" s="33" t="s">
        <v>69</v>
      </c>
      <c r="I5" s="33" t="s">
        <v>69</v>
      </c>
      <c r="J5" s="33" t="s">
        <v>69</v>
      </c>
      <c r="K5" s="148" t="s">
        <v>37</v>
      </c>
      <c r="L5" s="33" t="s">
        <v>37</v>
      </c>
      <c r="M5" s="33" t="s">
        <v>37</v>
      </c>
      <c r="N5" s="33" t="s">
        <v>37</v>
      </c>
      <c r="O5" s="33" t="s">
        <v>37</v>
      </c>
      <c r="P5" s="33" t="s">
        <v>37</v>
      </c>
      <c r="Q5" s="33" t="s">
        <v>37</v>
      </c>
      <c r="R5" s="33" t="s">
        <v>37</v>
      </c>
      <c r="S5" s="33" t="s">
        <v>37</v>
      </c>
      <c r="T5" s="33" t="s">
        <v>37</v>
      </c>
      <c r="U5" s="33" t="s">
        <v>37</v>
      </c>
      <c r="V5" s="6">
        <v>718</v>
      </c>
      <c r="W5" s="6"/>
      <c r="X5" s="35">
        <f t="shared" ref="X5:X68" si="0">W5+V5-B5</f>
        <v>385</v>
      </c>
      <c r="Y5" s="35">
        <v>1080</v>
      </c>
      <c r="Z5" s="35"/>
      <c r="AA5" s="35">
        <f>Z5+Y5-V5</f>
        <v>362</v>
      </c>
      <c r="AB5" s="35">
        <v>1444</v>
      </c>
      <c r="AC5" s="6"/>
      <c r="AD5" s="35">
        <f>AC5+AB5-Y5</f>
        <v>364</v>
      </c>
      <c r="AE5" s="6">
        <v>239</v>
      </c>
      <c r="AF5" s="6">
        <v>1560</v>
      </c>
      <c r="AG5" s="34">
        <f>AF5+AE5-AB5</f>
        <v>355</v>
      </c>
      <c r="AH5" s="35">
        <v>0</v>
      </c>
      <c r="AI5" s="35">
        <v>343</v>
      </c>
      <c r="AJ5" s="35">
        <f>AI5+AH5-AE5</f>
        <v>104</v>
      </c>
      <c r="AK5" s="6">
        <v>322</v>
      </c>
      <c r="AL5" s="6"/>
      <c r="AM5" s="35">
        <f>AL5+AK5-AH5</f>
        <v>322</v>
      </c>
      <c r="AN5" s="6"/>
      <c r="AO5" s="6"/>
      <c r="AP5" s="35"/>
      <c r="AQ5" s="35">
        <v>693</v>
      </c>
      <c r="AR5" s="35"/>
      <c r="AS5" s="35">
        <f>AR5+AQ5-AK5</f>
        <v>371</v>
      </c>
      <c r="AT5" s="6">
        <v>1062</v>
      </c>
      <c r="AU5" s="6"/>
      <c r="AV5" s="35">
        <f>AU5+AT5-AQ5</f>
        <v>369</v>
      </c>
      <c r="AW5" s="6">
        <v>1431</v>
      </c>
      <c r="AX5" s="6"/>
      <c r="AY5" s="6">
        <f>AX5+AW5-AT5</f>
        <v>369</v>
      </c>
      <c r="AZ5" s="6">
        <v>1516</v>
      </c>
      <c r="BA5" s="6"/>
      <c r="BB5" s="6">
        <f>BA5+AZ5-AW5</f>
        <v>85</v>
      </c>
      <c r="BC5" s="6"/>
      <c r="BD5" s="6"/>
      <c r="BE5" s="6"/>
      <c r="BF5" s="6"/>
      <c r="BG5" s="6"/>
      <c r="BH5" s="35"/>
      <c r="BI5" s="6"/>
      <c r="BJ5" s="6"/>
      <c r="BK5" s="6"/>
      <c r="BL5" s="6"/>
      <c r="BM5" s="6"/>
      <c r="BN5" s="35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>
        <v>343</v>
      </c>
      <c r="CH5" s="6">
        <v>1560</v>
      </c>
      <c r="CI5" s="6">
        <f>CH5+CG5-AZ5</f>
        <v>387</v>
      </c>
      <c r="CJ5" s="6">
        <v>713</v>
      </c>
      <c r="CK5" s="6"/>
      <c r="CL5" s="6">
        <f>CK5+CJ5-CG5</f>
        <v>370</v>
      </c>
      <c r="CM5" s="6">
        <v>1084</v>
      </c>
      <c r="CN5" s="6"/>
      <c r="CO5" s="6">
        <f>CN5+CM5-CJ5</f>
        <v>371</v>
      </c>
      <c r="CP5" s="6">
        <v>1452</v>
      </c>
      <c r="CQ5" s="6"/>
      <c r="CR5" s="6">
        <f>CQ5+CP5-CM5</f>
        <v>368</v>
      </c>
      <c r="CS5" s="6">
        <v>252</v>
      </c>
      <c r="CT5" s="6">
        <v>1560</v>
      </c>
      <c r="CU5" s="6">
        <f>CT5+CS5-CP5</f>
        <v>360</v>
      </c>
      <c r="CV5" s="6">
        <v>576</v>
      </c>
      <c r="CW5" s="6"/>
      <c r="CX5" s="6">
        <f>CW5+CV5-CS5</f>
        <v>324</v>
      </c>
    </row>
    <row r="6" spans="1:102">
      <c r="A6" s="6">
        <v>2</v>
      </c>
      <c r="B6" s="6">
        <v>751</v>
      </c>
      <c r="C6" s="6"/>
      <c r="D6" s="6">
        <v>215</v>
      </c>
      <c r="E6" s="33" t="s">
        <v>124</v>
      </c>
      <c r="F6" s="33" t="s">
        <v>124</v>
      </c>
      <c r="G6" s="33" t="s">
        <v>124</v>
      </c>
      <c r="H6" s="33" t="s">
        <v>124</v>
      </c>
      <c r="I6" s="33" t="s">
        <v>124</v>
      </c>
      <c r="J6" s="33" t="s">
        <v>124</v>
      </c>
      <c r="K6" s="33" t="s">
        <v>124</v>
      </c>
      <c r="L6" s="33" t="s">
        <v>124</v>
      </c>
      <c r="M6" s="33" t="s">
        <v>124</v>
      </c>
      <c r="N6" s="148" t="s">
        <v>128</v>
      </c>
      <c r="O6" s="33" t="s">
        <v>128</v>
      </c>
      <c r="P6" s="33" t="s">
        <v>128</v>
      </c>
      <c r="Q6" s="33" t="s">
        <v>128</v>
      </c>
      <c r="R6" s="33" t="s">
        <v>128</v>
      </c>
      <c r="S6" s="33" t="s">
        <v>128</v>
      </c>
      <c r="T6" s="33" t="s">
        <v>128</v>
      </c>
      <c r="U6" s="33" t="s">
        <v>128</v>
      </c>
      <c r="V6" s="6">
        <v>999</v>
      </c>
      <c r="W6" s="6"/>
      <c r="X6" s="35">
        <f t="shared" si="0"/>
        <v>248</v>
      </c>
      <c r="Y6" s="35">
        <v>1231</v>
      </c>
      <c r="Z6" s="35"/>
      <c r="AA6" s="35">
        <f t="shared" ref="AA6:AA69" si="1">Z6+Y6-V6</f>
        <v>232</v>
      </c>
      <c r="AB6" s="6">
        <v>1462</v>
      </c>
      <c r="AC6" s="6"/>
      <c r="AD6" s="35">
        <f t="shared" ref="AD6:AD69" si="2">AC6+AB6-Y6</f>
        <v>231</v>
      </c>
      <c r="AE6" s="6">
        <v>1694</v>
      </c>
      <c r="AF6" s="6"/>
      <c r="AG6" s="34">
        <f t="shared" ref="AG6:AG69" si="3">AF6+AE6-AB6</f>
        <v>232</v>
      </c>
      <c r="AH6" s="35">
        <v>1866</v>
      </c>
      <c r="AI6" s="35"/>
      <c r="AJ6" s="35">
        <f t="shared" ref="AJ6:AJ69" si="4">AI6+AH6-AE6</f>
        <v>172</v>
      </c>
      <c r="AK6" s="6">
        <v>86</v>
      </c>
      <c r="AL6" s="6">
        <v>2000</v>
      </c>
      <c r="AM6" s="35">
        <f t="shared" ref="AM6:AM69" si="5">AL6+AK6-AH6</f>
        <v>220</v>
      </c>
      <c r="AN6" s="6"/>
      <c r="AO6" s="6"/>
      <c r="AP6" s="35"/>
      <c r="AQ6" s="35">
        <v>319</v>
      </c>
      <c r="AR6" s="35"/>
      <c r="AS6" s="35">
        <f t="shared" ref="AS6:AS69" si="6">AR6+AQ6-AK6</f>
        <v>233</v>
      </c>
      <c r="AT6" s="6">
        <v>547</v>
      </c>
      <c r="AU6" s="6"/>
      <c r="AV6" s="35">
        <f t="shared" ref="AV6:AV69" si="7">AU6+AT6-AQ6</f>
        <v>228</v>
      </c>
      <c r="AW6" s="6">
        <v>311</v>
      </c>
      <c r="AX6" s="6">
        <v>564</v>
      </c>
      <c r="AY6" s="6">
        <f t="shared" ref="AY6:AY69" si="8">AX6+AW6-AT6</f>
        <v>328</v>
      </c>
      <c r="AZ6" s="6">
        <v>392</v>
      </c>
      <c r="BA6" s="6"/>
      <c r="BB6" s="6">
        <f t="shared" ref="BB6:BB69" si="9">BA6+AZ6-AW6</f>
        <v>81</v>
      </c>
      <c r="BC6" s="6"/>
      <c r="BD6" s="6"/>
      <c r="BE6" s="6"/>
      <c r="BF6" s="6"/>
      <c r="BG6" s="6"/>
      <c r="BH6" s="35"/>
      <c r="BI6" s="6"/>
      <c r="BJ6" s="6"/>
      <c r="BK6" s="6"/>
      <c r="BL6" s="6"/>
      <c r="BM6" s="6"/>
      <c r="BN6" s="35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>
        <v>768</v>
      </c>
      <c r="CH6" s="6"/>
      <c r="CI6" s="6">
        <f t="shared" ref="CI6:CI69" si="10">CH6+CG6-AZ6</f>
        <v>376</v>
      </c>
      <c r="CJ6" s="6">
        <v>1119</v>
      </c>
      <c r="CK6" s="6"/>
      <c r="CL6" s="6">
        <f t="shared" ref="CL6:CL69" si="11">CK6+CJ6-CG6</f>
        <v>351</v>
      </c>
      <c r="CM6" s="6">
        <v>1478</v>
      </c>
      <c r="CN6" s="6"/>
      <c r="CO6" s="6">
        <f t="shared" ref="CO6:CO69" si="12">CN6+CM6-CJ6</f>
        <v>359</v>
      </c>
      <c r="CP6" s="6">
        <v>271</v>
      </c>
      <c r="CQ6" s="6">
        <v>1560</v>
      </c>
      <c r="CR6" s="6">
        <f t="shared" ref="CR6:CR69" si="13">CQ6+CP6-CM6</f>
        <v>353</v>
      </c>
      <c r="CS6" s="6">
        <v>627</v>
      </c>
      <c r="CT6" s="6"/>
      <c r="CU6" s="6">
        <f t="shared" ref="CU6:CU69" si="14">CT6+CS6-CP6</f>
        <v>356</v>
      </c>
      <c r="CV6" s="6">
        <v>955</v>
      </c>
      <c r="CW6" s="6"/>
      <c r="CX6" s="6">
        <f t="shared" ref="CX6:CX69" si="15">CW6+CV6-CS6</f>
        <v>328</v>
      </c>
    </row>
    <row r="7" spans="1:102">
      <c r="A7" s="6">
        <v>3</v>
      </c>
      <c r="B7" s="6">
        <v>0</v>
      </c>
      <c r="C7" s="6">
        <v>760</v>
      </c>
      <c r="D7" s="6">
        <v>268</v>
      </c>
      <c r="E7" s="33" t="s">
        <v>37</v>
      </c>
      <c r="F7" s="148" t="s">
        <v>37</v>
      </c>
      <c r="G7" s="33" t="s">
        <v>37</v>
      </c>
      <c r="H7" s="33" t="s">
        <v>37</v>
      </c>
      <c r="I7" s="33" t="s">
        <v>37</v>
      </c>
      <c r="J7" s="33" t="s">
        <v>37</v>
      </c>
      <c r="K7" s="33" t="s">
        <v>37</v>
      </c>
      <c r="L7" s="33" t="s">
        <v>37</v>
      </c>
      <c r="M7" s="33" t="s">
        <v>37</v>
      </c>
      <c r="N7" s="33" t="s">
        <v>37</v>
      </c>
      <c r="O7" s="33" t="s">
        <v>37</v>
      </c>
      <c r="P7" s="33" t="s">
        <v>37</v>
      </c>
      <c r="Q7" s="33" t="s">
        <v>37</v>
      </c>
      <c r="R7" s="33" t="s">
        <v>37</v>
      </c>
      <c r="S7" s="33" t="s">
        <v>37</v>
      </c>
      <c r="T7" s="33" t="s">
        <v>37</v>
      </c>
      <c r="U7" s="33" t="s">
        <v>37</v>
      </c>
      <c r="V7" s="6">
        <v>333</v>
      </c>
      <c r="W7" s="6"/>
      <c r="X7" s="35">
        <f t="shared" si="0"/>
        <v>333</v>
      </c>
      <c r="Y7" s="35">
        <v>692</v>
      </c>
      <c r="Z7" s="35"/>
      <c r="AA7" s="35">
        <f t="shared" si="1"/>
        <v>359</v>
      </c>
      <c r="AB7" s="35">
        <v>1054</v>
      </c>
      <c r="AC7" s="6"/>
      <c r="AD7" s="35">
        <f t="shared" si="2"/>
        <v>362</v>
      </c>
      <c r="AE7" s="6">
        <v>1422</v>
      </c>
      <c r="AF7" s="6"/>
      <c r="AG7" s="34">
        <f t="shared" si="3"/>
        <v>368</v>
      </c>
      <c r="AH7" s="35">
        <v>131</v>
      </c>
      <c r="AI7" s="35">
        <v>1560</v>
      </c>
      <c r="AJ7" s="35">
        <f t="shared" si="4"/>
        <v>269</v>
      </c>
      <c r="AK7" s="6">
        <v>163</v>
      </c>
      <c r="AL7" s="6">
        <v>316</v>
      </c>
      <c r="AM7" s="35">
        <f t="shared" si="5"/>
        <v>348</v>
      </c>
      <c r="AN7" s="6"/>
      <c r="AO7" s="6"/>
      <c r="AP7" s="35"/>
      <c r="AQ7" s="35">
        <v>527</v>
      </c>
      <c r="AR7" s="35"/>
      <c r="AS7" s="35">
        <f t="shared" si="6"/>
        <v>364</v>
      </c>
      <c r="AT7" s="6">
        <v>884</v>
      </c>
      <c r="AU7" s="6"/>
      <c r="AV7" s="35">
        <f t="shared" si="7"/>
        <v>357</v>
      </c>
      <c r="AW7" s="6">
        <v>1253</v>
      </c>
      <c r="AX7" s="6"/>
      <c r="AY7" s="6">
        <f t="shared" si="8"/>
        <v>369</v>
      </c>
      <c r="AZ7" s="6">
        <v>1338</v>
      </c>
      <c r="BA7" s="6"/>
      <c r="BB7" s="6">
        <f t="shared" si="9"/>
        <v>85</v>
      </c>
      <c r="BC7" s="6"/>
      <c r="BD7" s="6"/>
      <c r="BE7" s="6"/>
      <c r="BF7" s="6"/>
      <c r="BG7" s="6"/>
      <c r="BH7" s="35"/>
      <c r="BI7" s="6"/>
      <c r="BJ7" s="6"/>
      <c r="BK7" s="6"/>
      <c r="BL7" s="6"/>
      <c r="BM7" s="6"/>
      <c r="BN7" s="35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164</v>
      </c>
      <c r="CH7" s="6">
        <v>1560</v>
      </c>
      <c r="CI7" s="6">
        <f t="shared" si="10"/>
        <v>386</v>
      </c>
      <c r="CJ7" s="6">
        <v>529</v>
      </c>
      <c r="CK7" s="6"/>
      <c r="CL7" s="6">
        <f t="shared" si="11"/>
        <v>365</v>
      </c>
      <c r="CM7" s="6">
        <v>900</v>
      </c>
      <c r="CN7" s="6"/>
      <c r="CO7" s="6">
        <f t="shared" si="12"/>
        <v>371</v>
      </c>
      <c r="CP7" s="6">
        <v>1257</v>
      </c>
      <c r="CQ7" s="6"/>
      <c r="CR7" s="6">
        <f t="shared" si="13"/>
        <v>357</v>
      </c>
      <c r="CS7" s="6">
        <v>57</v>
      </c>
      <c r="CT7" s="6">
        <v>1560</v>
      </c>
      <c r="CU7" s="6">
        <f t="shared" si="14"/>
        <v>360</v>
      </c>
      <c r="CV7" s="6">
        <v>388</v>
      </c>
      <c r="CW7" s="6"/>
      <c r="CX7" s="6">
        <f t="shared" si="15"/>
        <v>331</v>
      </c>
    </row>
    <row r="8" spans="1:102">
      <c r="A8" s="6">
        <v>4</v>
      </c>
      <c r="B8" s="6">
        <v>1227</v>
      </c>
      <c r="C8" s="6"/>
      <c r="D8" s="6">
        <v>336</v>
      </c>
      <c r="E8" s="33" t="s">
        <v>37</v>
      </c>
      <c r="F8" s="33" t="s">
        <v>37</v>
      </c>
      <c r="G8" s="33" t="s">
        <v>37</v>
      </c>
      <c r="H8" s="33" t="s">
        <v>37</v>
      </c>
      <c r="I8" s="33" t="s">
        <v>37</v>
      </c>
      <c r="J8" s="33" t="s">
        <v>37</v>
      </c>
      <c r="K8" s="33" t="s">
        <v>37</v>
      </c>
      <c r="L8" s="33" t="s">
        <v>37</v>
      </c>
      <c r="M8" s="33" t="s">
        <v>37</v>
      </c>
      <c r="N8" s="33" t="s">
        <v>37</v>
      </c>
      <c r="O8" s="33" t="s">
        <v>37</v>
      </c>
      <c r="P8" s="33" t="s">
        <v>37</v>
      </c>
      <c r="Q8" s="33" t="s">
        <v>37</v>
      </c>
      <c r="R8" s="33" t="s">
        <v>37</v>
      </c>
      <c r="S8" s="33" t="s">
        <v>37</v>
      </c>
      <c r="T8" s="33" t="s">
        <v>37</v>
      </c>
      <c r="U8" s="148" t="s">
        <v>37</v>
      </c>
      <c r="V8" s="6">
        <v>53</v>
      </c>
      <c r="W8" s="6">
        <v>1560</v>
      </c>
      <c r="X8" s="35">
        <f t="shared" si="0"/>
        <v>386</v>
      </c>
      <c r="Y8" s="35">
        <v>410</v>
      </c>
      <c r="Z8" s="35"/>
      <c r="AA8" s="35">
        <f t="shared" si="1"/>
        <v>357</v>
      </c>
      <c r="AB8" s="6">
        <v>766</v>
      </c>
      <c r="AC8" s="6"/>
      <c r="AD8" s="35">
        <f t="shared" si="2"/>
        <v>356</v>
      </c>
      <c r="AE8" s="6">
        <v>1132</v>
      </c>
      <c r="AF8" s="6"/>
      <c r="AG8" s="34">
        <f t="shared" si="3"/>
        <v>366</v>
      </c>
      <c r="AH8" s="35">
        <v>1403</v>
      </c>
      <c r="AI8" s="35"/>
      <c r="AJ8" s="35">
        <f t="shared" si="4"/>
        <v>271</v>
      </c>
      <c r="AK8" s="6">
        <v>168</v>
      </c>
      <c r="AL8" s="6">
        <v>1589</v>
      </c>
      <c r="AM8" s="35">
        <f t="shared" si="5"/>
        <v>354</v>
      </c>
      <c r="AN8" s="6"/>
      <c r="AO8" s="6"/>
      <c r="AP8" s="35"/>
      <c r="AQ8" s="35">
        <v>546</v>
      </c>
      <c r="AR8" s="35"/>
      <c r="AS8" s="35">
        <f t="shared" si="6"/>
        <v>378</v>
      </c>
      <c r="AT8" s="6">
        <v>918</v>
      </c>
      <c r="AU8" s="6"/>
      <c r="AV8" s="35">
        <f t="shared" si="7"/>
        <v>372</v>
      </c>
      <c r="AW8" s="6">
        <v>1290</v>
      </c>
      <c r="AX8" s="6"/>
      <c r="AY8" s="6">
        <f t="shared" si="8"/>
        <v>372</v>
      </c>
      <c r="AZ8" s="6">
        <v>1375</v>
      </c>
      <c r="BA8" s="6"/>
      <c r="BB8" s="6">
        <f t="shared" si="9"/>
        <v>85</v>
      </c>
      <c r="BC8" s="6"/>
      <c r="BD8" s="6"/>
      <c r="BE8" s="6"/>
      <c r="BF8" s="6"/>
      <c r="BG8" s="6"/>
      <c r="BH8" s="35"/>
      <c r="BI8" s="6"/>
      <c r="BJ8" s="6"/>
      <c r="BK8" s="6"/>
      <c r="BL8" s="6"/>
      <c r="BM8" s="6"/>
      <c r="BN8" s="35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191</v>
      </c>
      <c r="CH8" s="6">
        <v>1560</v>
      </c>
      <c r="CI8" s="6">
        <f t="shared" si="10"/>
        <v>376</v>
      </c>
      <c r="CJ8" s="6">
        <v>557</v>
      </c>
      <c r="CK8" s="6"/>
      <c r="CL8" s="6">
        <f t="shared" si="11"/>
        <v>366</v>
      </c>
      <c r="CM8" s="6">
        <v>920</v>
      </c>
      <c r="CN8" s="6"/>
      <c r="CO8" s="6">
        <f t="shared" si="12"/>
        <v>363</v>
      </c>
      <c r="CP8" s="6">
        <v>1290</v>
      </c>
      <c r="CQ8" s="6"/>
      <c r="CR8" s="6">
        <f t="shared" si="13"/>
        <v>370</v>
      </c>
      <c r="CS8" s="6">
        <v>0</v>
      </c>
      <c r="CT8" s="6">
        <v>1600</v>
      </c>
      <c r="CU8" s="6">
        <f t="shared" si="14"/>
        <v>310</v>
      </c>
      <c r="CV8" s="6">
        <v>317</v>
      </c>
      <c r="CW8" s="6"/>
      <c r="CX8" s="6">
        <f t="shared" si="15"/>
        <v>317</v>
      </c>
    </row>
    <row r="9" spans="1:102">
      <c r="A9" s="6">
        <v>5</v>
      </c>
      <c r="B9" s="6">
        <v>162</v>
      </c>
      <c r="C9" s="6">
        <v>1560</v>
      </c>
      <c r="D9" s="6">
        <v>333</v>
      </c>
      <c r="E9" s="33" t="s">
        <v>37</v>
      </c>
      <c r="F9" s="148" t="s">
        <v>37</v>
      </c>
      <c r="G9" s="33" t="s">
        <v>37</v>
      </c>
      <c r="H9" s="33" t="s">
        <v>37</v>
      </c>
      <c r="I9" s="33" t="s">
        <v>37</v>
      </c>
      <c r="J9" s="33" t="s">
        <v>37</v>
      </c>
      <c r="K9" s="33" t="s">
        <v>37</v>
      </c>
      <c r="L9" s="33" t="s">
        <v>37</v>
      </c>
      <c r="M9" s="33" t="s">
        <v>37</v>
      </c>
      <c r="N9" s="33" t="s">
        <v>37</v>
      </c>
      <c r="O9" s="33" t="s">
        <v>37</v>
      </c>
      <c r="P9" s="33" t="s">
        <v>37</v>
      </c>
      <c r="Q9" s="33" t="s">
        <v>37</v>
      </c>
      <c r="R9" s="33" t="s">
        <v>37</v>
      </c>
      <c r="S9" s="33" t="s">
        <v>37</v>
      </c>
      <c r="T9" s="33" t="s">
        <v>37</v>
      </c>
      <c r="U9" s="33" t="s">
        <v>37</v>
      </c>
      <c r="V9" s="6">
        <v>254</v>
      </c>
      <c r="W9" s="6">
        <v>272</v>
      </c>
      <c r="X9" s="35">
        <f t="shared" si="0"/>
        <v>364</v>
      </c>
      <c r="Y9" s="35">
        <v>619</v>
      </c>
      <c r="Z9" s="35"/>
      <c r="AA9" s="35">
        <f t="shared" si="1"/>
        <v>365</v>
      </c>
      <c r="AB9" s="35">
        <v>983</v>
      </c>
      <c r="AC9" s="6"/>
      <c r="AD9" s="35">
        <f t="shared" si="2"/>
        <v>364</v>
      </c>
      <c r="AE9" s="6">
        <v>1351</v>
      </c>
      <c r="AF9" s="6"/>
      <c r="AG9" s="34">
        <f t="shared" si="3"/>
        <v>368</v>
      </c>
      <c r="AH9" s="35">
        <v>58</v>
      </c>
      <c r="AI9" s="35">
        <v>1560</v>
      </c>
      <c r="AJ9" s="35">
        <f t="shared" si="4"/>
        <v>267</v>
      </c>
      <c r="AK9" s="6">
        <v>408</v>
      </c>
      <c r="AL9" s="6"/>
      <c r="AM9" s="35">
        <f t="shared" si="5"/>
        <v>350</v>
      </c>
      <c r="AN9" s="6"/>
      <c r="AO9" s="6"/>
      <c r="AP9" s="35"/>
      <c r="AQ9" s="35">
        <v>766</v>
      </c>
      <c r="AR9" s="35"/>
      <c r="AS9" s="35">
        <f t="shared" si="6"/>
        <v>358</v>
      </c>
      <c r="AT9" s="6">
        <v>1131</v>
      </c>
      <c r="AU9" s="6"/>
      <c r="AV9" s="35">
        <f t="shared" si="7"/>
        <v>365</v>
      </c>
      <c r="AW9" s="6">
        <v>1495</v>
      </c>
      <c r="AX9" s="6"/>
      <c r="AY9" s="6">
        <f t="shared" si="8"/>
        <v>364</v>
      </c>
      <c r="AZ9" s="6">
        <v>19</v>
      </c>
      <c r="BA9" s="6">
        <v>1560</v>
      </c>
      <c r="BB9" s="6">
        <f t="shared" si="9"/>
        <v>84</v>
      </c>
      <c r="BC9" s="6"/>
      <c r="BD9" s="6"/>
      <c r="BE9" s="6"/>
      <c r="BF9" s="6"/>
      <c r="BG9" s="6"/>
      <c r="BH9" s="35"/>
      <c r="BI9" s="6"/>
      <c r="BJ9" s="6"/>
      <c r="BK9" s="6"/>
      <c r="BL9" s="6"/>
      <c r="BM9" s="6"/>
      <c r="BN9" s="35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397</v>
      </c>
      <c r="CH9" s="6"/>
      <c r="CI9" s="6">
        <f t="shared" si="10"/>
        <v>378</v>
      </c>
      <c r="CJ9" s="6">
        <v>766</v>
      </c>
      <c r="CK9" s="6"/>
      <c r="CL9" s="6">
        <f t="shared" si="11"/>
        <v>369</v>
      </c>
      <c r="CM9" s="6">
        <v>1123</v>
      </c>
      <c r="CN9" s="6"/>
      <c r="CO9" s="6">
        <f t="shared" si="12"/>
        <v>357</v>
      </c>
      <c r="CP9" s="6">
        <v>1483</v>
      </c>
      <c r="CQ9" s="6"/>
      <c r="CR9" s="6">
        <f t="shared" si="13"/>
        <v>360</v>
      </c>
      <c r="CS9" s="6">
        <v>274</v>
      </c>
      <c r="CT9" s="6">
        <v>1560</v>
      </c>
      <c r="CU9" s="6">
        <f t="shared" si="14"/>
        <v>351</v>
      </c>
      <c r="CV9" s="6">
        <v>85</v>
      </c>
      <c r="CW9" s="6">
        <v>522</v>
      </c>
      <c r="CX9" s="6">
        <f t="shared" si="15"/>
        <v>333</v>
      </c>
    </row>
    <row r="10" spans="1:102">
      <c r="A10" s="6">
        <v>6</v>
      </c>
      <c r="B10" s="6">
        <v>792</v>
      </c>
      <c r="C10" s="6"/>
      <c r="D10" s="6">
        <v>338</v>
      </c>
      <c r="E10" s="33" t="s">
        <v>37</v>
      </c>
      <c r="F10" s="33" t="s">
        <v>37</v>
      </c>
      <c r="G10" s="33" t="s">
        <v>37</v>
      </c>
      <c r="H10" s="33" t="s">
        <v>37</v>
      </c>
      <c r="I10" s="33" t="s">
        <v>37</v>
      </c>
      <c r="J10" s="33" t="s">
        <v>37</v>
      </c>
      <c r="K10" s="33" t="s">
        <v>37</v>
      </c>
      <c r="L10" s="33" t="s">
        <v>37</v>
      </c>
      <c r="M10" s="33" t="s">
        <v>37</v>
      </c>
      <c r="N10" s="33" t="s">
        <v>37</v>
      </c>
      <c r="O10" s="33" t="s">
        <v>37</v>
      </c>
      <c r="P10" s="33" t="s">
        <v>37</v>
      </c>
      <c r="Q10" s="33" t="s">
        <v>37</v>
      </c>
      <c r="R10" s="148" t="s">
        <v>128</v>
      </c>
      <c r="S10" s="33" t="s">
        <v>128</v>
      </c>
      <c r="T10" s="33" t="s">
        <v>128</v>
      </c>
      <c r="U10" s="33" t="s">
        <v>128</v>
      </c>
      <c r="V10" s="6">
        <v>1148</v>
      </c>
      <c r="W10" s="6"/>
      <c r="X10" s="35">
        <f t="shared" si="0"/>
        <v>356</v>
      </c>
      <c r="Y10" s="35">
        <v>1502</v>
      </c>
      <c r="Z10" s="35"/>
      <c r="AA10" s="35">
        <f t="shared" si="1"/>
        <v>354</v>
      </c>
      <c r="AB10" s="6">
        <v>289</v>
      </c>
      <c r="AC10" s="6">
        <v>1560</v>
      </c>
      <c r="AD10" s="35">
        <f t="shared" si="2"/>
        <v>347</v>
      </c>
      <c r="AE10" s="6">
        <v>654</v>
      </c>
      <c r="AF10" s="6"/>
      <c r="AG10" s="34">
        <f t="shared" si="3"/>
        <v>365</v>
      </c>
      <c r="AH10" s="35">
        <v>922</v>
      </c>
      <c r="AI10" s="35"/>
      <c r="AJ10" s="35">
        <f t="shared" si="4"/>
        <v>268</v>
      </c>
      <c r="AK10" s="6">
        <v>1272</v>
      </c>
      <c r="AL10" s="6"/>
      <c r="AM10" s="35">
        <f t="shared" si="5"/>
        <v>350</v>
      </c>
      <c r="AN10" s="6"/>
      <c r="AO10" s="6"/>
      <c r="AP10" s="35"/>
      <c r="AQ10" s="35">
        <v>72</v>
      </c>
      <c r="AR10" s="35">
        <v>1560</v>
      </c>
      <c r="AS10" s="35">
        <f t="shared" si="6"/>
        <v>360</v>
      </c>
      <c r="AT10" s="6">
        <v>431</v>
      </c>
      <c r="AU10" s="6"/>
      <c r="AV10" s="35">
        <f t="shared" si="7"/>
        <v>359</v>
      </c>
      <c r="AW10" s="6">
        <v>795</v>
      </c>
      <c r="AX10" s="6"/>
      <c r="AY10" s="6">
        <f t="shared" si="8"/>
        <v>364</v>
      </c>
      <c r="AZ10" s="6">
        <v>879</v>
      </c>
      <c r="BA10" s="6"/>
      <c r="BB10" s="6">
        <f t="shared" si="9"/>
        <v>84</v>
      </c>
      <c r="BC10" s="6"/>
      <c r="BD10" s="6"/>
      <c r="BE10" s="6"/>
      <c r="BF10" s="6"/>
      <c r="BG10" s="6"/>
      <c r="BH10" s="35"/>
      <c r="BI10" s="6"/>
      <c r="BJ10" s="6"/>
      <c r="BK10" s="6"/>
      <c r="BL10" s="6"/>
      <c r="BM10" s="6"/>
      <c r="BN10" s="35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1248</v>
      </c>
      <c r="CH10" s="6"/>
      <c r="CI10" s="6">
        <f t="shared" si="10"/>
        <v>369</v>
      </c>
      <c r="CJ10" s="6">
        <v>0</v>
      </c>
      <c r="CK10" s="6">
        <v>1601</v>
      </c>
      <c r="CL10" s="6">
        <f t="shared" si="11"/>
        <v>353</v>
      </c>
      <c r="CM10" s="6">
        <v>356</v>
      </c>
      <c r="CN10" s="6"/>
      <c r="CO10" s="6">
        <f t="shared" si="12"/>
        <v>356</v>
      </c>
      <c r="CP10" s="6">
        <v>725</v>
      </c>
      <c r="CQ10" s="6"/>
      <c r="CR10" s="6">
        <f t="shared" si="13"/>
        <v>369</v>
      </c>
      <c r="CS10" s="6">
        <v>1088</v>
      </c>
      <c r="CT10" s="6"/>
      <c r="CU10" s="6">
        <f t="shared" si="14"/>
        <v>363</v>
      </c>
      <c r="CV10" s="6">
        <v>1423</v>
      </c>
      <c r="CW10" s="6"/>
      <c r="CX10" s="6">
        <f t="shared" si="15"/>
        <v>335</v>
      </c>
    </row>
    <row r="11" spans="1:102">
      <c r="A11" s="6">
        <v>7</v>
      </c>
      <c r="B11" s="6">
        <v>685</v>
      </c>
      <c r="C11" s="6"/>
      <c r="D11" s="6">
        <v>333</v>
      </c>
      <c r="E11" s="33" t="s">
        <v>37</v>
      </c>
      <c r="F11" s="33" t="s">
        <v>37</v>
      </c>
      <c r="G11" s="33" t="s">
        <v>37</v>
      </c>
      <c r="H11" s="148" t="s">
        <v>37</v>
      </c>
      <c r="I11" s="33" t="s">
        <v>37</v>
      </c>
      <c r="J11" s="33" t="s">
        <v>37</v>
      </c>
      <c r="K11" s="33" t="s">
        <v>37</v>
      </c>
      <c r="L11" s="33" t="s">
        <v>37</v>
      </c>
      <c r="M11" s="33" t="s">
        <v>37</v>
      </c>
      <c r="N11" s="33" t="s">
        <v>37</v>
      </c>
      <c r="O11" s="33" t="s">
        <v>37</v>
      </c>
      <c r="P11" s="33" t="s">
        <v>37</v>
      </c>
      <c r="Q11" s="33" t="s">
        <v>37</v>
      </c>
      <c r="R11" s="33" t="s">
        <v>37</v>
      </c>
      <c r="S11" s="33" t="s">
        <v>37</v>
      </c>
      <c r="T11" s="33" t="s">
        <v>37</v>
      </c>
      <c r="U11" s="33" t="s">
        <v>37</v>
      </c>
      <c r="V11" s="6">
        <v>1075</v>
      </c>
      <c r="W11" s="35"/>
      <c r="X11" s="35">
        <f t="shared" si="0"/>
        <v>390</v>
      </c>
      <c r="Y11" s="35">
        <v>1438</v>
      </c>
      <c r="Z11" s="35"/>
      <c r="AA11" s="35">
        <f t="shared" si="1"/>
        <v>363</v>
      </c>
      <c r="AB11" s="35">
        <v>263</v>
      </c>
      <c r="AC11" s="6">
        <v>1524</v>
      </c>
      <c r="AD11" s="35">
        <f t="shared" si="2"/>
        <v>349</v>
      </c>
      <c r="AE11" s="6">
        <v>625</v>
      </c>
      <c r="AF11" s="6"/>
      <c r="AG11" s="34">
        <f t="shared" si="3"/>
        <v>362</v>
      </c>
      <c r="AH11" s="35">
        <v>895</v>
      </c>
      <c r="AI11" s="35"/>
      <c r="AJ11" s="35">
        <f t="shared" si="4"/>
        <v>270</v>
      </c>
      <c r="AK11" s="6">
        <v>1247</v>
      </c>
      <c r="AL11" s="6"/>
      <c r="AM11" s="35">
        <f t="shared" si="5"/>
        <v>352</v>
      </c>
      <c r="AN11" s="6"/>
      <c r="AO11" s="6"/>
      <c r="AP11" s="35"/>
      <c r="AQ11" s="35">
        <v>1529</v>
      </c>
      <c r="AR11" s="35"/>
      <c r="AS11" s="35">
        <f>AR11+AQ11-AK11</f>
        <v>282</v>
      </c>
      <c r="AT11" s="6">
        <v>339</v>
      </c>
      <c r="AU11" s="6">
        <v>1560</v>
      </c>
      <c r="AV11" s="35">
        <f t="shared" si="7"/>
        <v>370</v>
      </c>
      <c r="AW11" s="6">
        <v>306</v>
      </c>
      <c r="AX11" s="6">
        <v>404</v>
      </c>
      <c r="AY11" s="6">
        <f t="shared" si="8"/>
        <v>371</v>
      </c>
      <c r="AZ11" s="6">
        <v>392</v>
      </c>
      <c r="BA11" s="6"/>
      <c r="BB11" s="6">
        <f t="shared" si="9"/>
        <v>86</v>
      </c>
      <c r="BC11" s="6"/>
      <c r="BD11" s="6"/>
      <c r="BE11" s="6"/>
      <c r="BF11" s="6"/>
      <c r="BG11" s="6"/>
      <c r="BH11" s="35"/>
      <c r="BI11" s="6"/>
      <c r="BJ11" s="6"/>
      <c r="BK11" s="6"/>
      <c r="BL11" s="6"/>
      <c r="BM11" s="6"/>
      <c r="BN11" s="35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783</v>
      </c>
      <c r="CH11" s="6"/>
      <c r="CI11" s="6">
        <f t="shared" si="10"/>
        <v>391</v>
      </c>
      <c r="CJ11" s="6">
        <v>1157</v>
      </c>
      <c r="CK11" s="6"/>
      <c r="CL11" s="6">
        <f t="shared" si="11"/>
        <v>374</v>
      </c>
      <c r="CM11" s="6">
        <v>1528</v>
      </c>
      <c r="CN11" s="6"/>
      <c r="CO11" s="6">
        <f t="shared" si="12"/>
        <v>371</v>
      </c>
      <c r="CP11" s="6">
        <v>343</v>
      </c>
      <c r="CQ11" s="6">
        <v>1560</v>
      </c>
      <c r="CR11" s="6">
        <f t="shared" si="13"/>
        <v>375</v>
      </c>
      <c r="CS11" s="6">
        <v>711</v>
      </c>
      <c r="CT11" s="6"/>
      <c r="CU11" s="6">
        <f t="shared" si="14"/>
        <v>368</v>
      </c>
      <c r="CV11" s="6">
        <v>1050</v>
      </c>
      <c r="CW11" s="6"/>
      <c r="CX11" s="6">
        <f t="shared" si="15"/>
        <v>339</v>
      </c>
    </row>
    <row r="12" spans="1:102">
      <c r="A12" s="6">
        <v>8</v>
      </c>
      <c r="B12" s="6">
        <v>742</v>
      </c>
      <c r="C12" s="6"/>
      <c r="D12" s="6">
        <v>211</v>
      </c>
      <c r="E12" s="33" t="s">
        <v>124</v>
      </c>
      <c r="F12" s="33" t="s">
        <v>124</v>
      </c>
      <c r="G12" s="33" t="s">
        <v>124</v>
      </c>
      <c r="H12" s="33" t="s">
        <v>124</v>
      </c>
      <c r="I12" s="33" t="s">
        <v>124</v>
      </c>
      <c r="J12" s="33" t="s">
        <v>124</v>
      </c>
      <c r="K12" s="33" t="s">
        <v>124</v>
      </c>
      <c r="L12" s="33" t="s">
        <v>124</v>
      </c>
      <c r="M12" s="33" t="s">
        <v>124</v>
      </c>
      <c r="N12" s="148" t="s">
        <v>128</v>
      </c>
      <c r="O12" s="33" t="s">
        <v>128</v>
      </c>
      <c r="P12" s="33" t="s">
        <v>128</v>
      </c>
      <c r="Q12" s="33" t="s">
        <v>128</v>
      </c>
      <c r="R12" s="33" t="s">
        <v>128</v>
      </c>
      <c r="S12" s="33" t="s">
        <v>128</v>
      </c>
      <c r="T12" s="33" t="s">
        <v>128</v>
      </c>
      <c r="U12" s="33" t="s">
        <v>128</v>
      </c>
      <c r="V12" s="35">
        <v>985</v>
      </c>
      <c r="W12" s="35"/>
      <c r="X12" s="35">
        <f t="shared" si="0"/>
        <v>243</v>
      </c>
      <c r="Y12" s="35">
        <v>1208</v>
      </c>
      <c r="Z12" s="35"/>
      <c r="AA12" s="35">
        <f t="shared" si="1"/>
        <v>223</v>
      </c>
      <c r="AB12" s="35">
        <v>1432</v>
      </c>
      <c r="AC12" s="35"/>
      <c r="AD12" s="35">
        <f t="shared" si="2"/>
        <v>224</v>
      </c>
      <c r="AE12" s="35">
        <v>1662</v>
      </c>
      <c r="AF12" s="35"/>
      <c r="AG12" s="34">
        <f t="shared" si="3"/>
        <v>230</v>
      </c>
      <c r="AH12" s="35">
        <v>1830</v>
      </c>
      <c r="AI12" s="35"/>
      <c r="AJ12" s="35">
        <f t="shared" si="4"/>
        <v>168</v>
      </c>
      <c r="AK12" s="6">
        <v>68</v>
      </c>
      <c r="AL12" s="6">
        <v>1980</v>
      </c>
      <c r="AM12" s="35">
        <f t="shared" si="5"/>
        <v>218</v>
      </c>
      <c r="AN12" s="35"/>
      <c r="AO12" s="35"/>
      <c r="AP12" s="35"/>
      <c r="AQ12" s="35">
        <v>301</v>
      </c>
      <c r="AR12" s="35"/>
      <c r="AS12" s="35">
        <f t="shared" si="6"/>
        <v>233</v>
      </c>
      <c r="AT12" s="6">
        <v>529</v>
      </c>
      <c r="AU12" s="6"/>
      <c r="AV12" s="35">
        <f t="shared" si="7"/>
        <v>228</v>
      </c>
      <c r="AW12" s="6">
        <v>235</v>
      </c>
      <c r="AX12" s="6">
        <v>584</v>
      </c>
      <c r="AY12" s="6">
        <f t="shared" si="8"/>
        <v>290</v>
      </c>
      <c r="AZ12" s="6">
        <v>312</v>
      </c>
      <c r="BA12" s="35"/>
      <c r="BB12" s="6">
        <f t="shared" si="9"/>
        <v>77</v>
      </c>
      <c r="BC12" s="6"/>
      <c r="BD12" s="6"/>
      <c r="BE12" s="6"/>
      <c r="BF12" s="6"/>
      <c r="BG12" s="6"/>
      <c r="BH12" s="35"/>
      <c r="BI12" s="6"/>
      <c r="BJ12" s="6"/>
      <c r="BK12" s="6"/>
      <c r="BL12" s="6"/>
      <c r="BM12" s="6"/>
      <c r="BN12" s="35"/>
      <c r="BO12" s="6"/>
      <c r="BP12" s="35"/>
      <c r="BQ12" s="6"/>
      <c r="BR12" s="6"/>
      <c r="BS12" s="6"/>
      <c r="BT12" s="35"/>
      <c r="BU12" s="6"/>
      <c r="BV12" s="35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667</v>
      </c>
      <c r="CH12" s="6"/>
      <c r="CI12" s="6">
        <f t="shared" si="10"/>
        <v>355</v>
      </c>
      <c r="CJ12" s="6">
        <v>1006</v>
      </c>
      <c r="CK12" s="6"/>
      <c r="CL12" s="6">
        <f t="shared" si="11"/>
        <v>339</v>
      </c>
      <c r="CM12" s="6">
        <v>33</v>
      </c>
      <c r="CN12" s="6">
        <v>1288</v>
      </c>
      <c r="CO12" s="6">
        <f t="shared" si="12"/>
        <v>315</v>
      </c>
      <c r="CP12" s="6">
        <v>384</v>
      </c>
      <c r="CQ12" s="6"/>
      <c r="CR12" s="6">
        <f t="shared" si="13"/>
        <v>351</v>
      </c>
      <c r="CS12" s="6">
        <v>742</v>
      </c>
      <c r="CT12" s="6"/>
      <c r="CU12" s="6">
        <f t="shared" si="14"/>
        <v>358</v>
      </c>
      <c r="CV12" s="6">
        <v>1076</v>
      </c>
      <c r="CW12" s="6"/>
      <c r="CX12" s="6">
        <f t="shared" si="15"/>
        <v>334</v>
      </c>
    </row>
    <row r="13" spans="1:102">
      <c r="A13" s="6">
        <v>9</v>
      </c>
      <c r="B13" s="6">
        <v>403</v>
      </c>
      <c r="C13" s="6"/>
      <c r="D13" s="6">
        <v>343</v>
      </c>
      <c r="E13" s="33" t="s">
        <v>37</v>
      </c>
      <c r="F13" s="33" t="s">
        <v>37</v>
      </c>
      <c r="G13" s="33" t="s">
        <v>37</v>
      </c>
      <c r="H13" s="33" t="s">
        <v>37</v>
      </c>
      <c r="I13" s="33" t="s">
        <v>37</v>
      </c>
      <c r="J13" s="33" t="s">
        <v>37</v>
      </c>
      <c r="K13" s="33" t="s">
        <v>37</v>
      </c>
      <c r="L13" s="33" t="s">
        <v>37</v>
      </c>
      <c r="M13" s="33" t="s">
        <v>37</v>
      </c>
      <c r="N13" s="33" t="s">
        <v>37</v>
      </c>
      <c r="O13" s="33" t="s">
        <v>37</v>
      </c>
      <c r="P13" s="33" t="s">
        <v>37</v>
      </c>
      <c r="Q13" s="33" t="s">
        <v>37</v>
      </c>
      <c r="R13" s="33" t="s">
        <v>37</v>
      </c>
      <c r="S13" s="33" t="s">
        <v>37</v>
      </c>
      <c r="T13" s="33" t="s">
        <v>37</v>
      </c>
      <c r="U13" s="33" t="s">
        <v>37</v>
      </c>
      <c r="V13" s="35">
        <v>779</v>
      </c>
      <c r="W13" s="35"/>
      <c r="X13" s="35">
        <f t="shared" si="0"/>
        <v>376</v>
      </c>
      <c r="Y13" s="35">
        <v>188</v>
      </c>
      <c r="Z13" s="35">
        <v>950</v>
      </c>
      <c r="AA13" s="35">
        <f t="shared" si="1"/>
        <v>359</v>
      </c>
      <c r="AB13" s="35">
        <v>227</v>
      </c>
      <c r="AC13" s="35">
        <f>266+48</f>
        <v>314</v>
      </c>
      <c r="AD13" s="35">
        <f t="shared" si="2"/>
        <v>353</v>
      </c>
      <c r="AE13" s="6">
        <v>586</v>
      </c>
      <c r="AF13" s="6"/>
      <c r="AG13" s="34">
        <f t="shared" si="3"/>
        <v>359</v>
      </c>
      <c r="AH13" s="35">
        <v>859</v>
      </c>
      <c r="AI13" s="35"/>
      <c r="AJ13" s="35">
        <f t="shared" si="4"/>
        <v>273</v>
      </c>
      <c r="AK13" s="6">
        <v>1197</v>
      </c>
      <c r="AL13" s="6"/>
      <c r="AM13" s="35">
        <f t="shared" si="5"/>
        <v>338</v>
      </c>
      <c r="AN13" s="6"/>
      <c r="AO13" s="6"/>
      <c r="AP13" s="35"/>
      <c r="AQ13" s="6">
        <v>1558</v>
      </c>
      <c r="AR13" s="6"/>
      <c r="AS13" s="35">
        <f t="shared" si="6"/>
        <v>361</v>
      </c>
      <c r="AT13" s="6">
        <v>364</v>
      </c>
      <c r="AU13" s="6">
        <v>1560</v>
      </c>
      <c r="AV13" s="35">
        <f t="shared" si="7"/>
        <v>366</v>
      </c>
      <c r="AW13" s="6">
        <v>730</v>
      </c>
      <c r="AX13" s="6"/>
      <c r="AY13" s="6">
        <f t="shared" si="8"/>
        <v>366</v>
      </c>
      <c r="AZ13" s="6">
        <v>815</v>
      </c>
      <c r="BA13" s="35"/>
      <c r="BB13" s="6">
        <f t="shared" si="9"/>
        <v>85</v>
      </c>
      <c r="BC13" s="6"/>
      <c r="BD13" s="6"/>
      <c r="BE13" s="6"/>
      <c r="BF13" s="6"/>
      <c r="BG13" s="6"/>
      <c r="BH13" s="35"/>
      <c r="BI13" s="6"/>
      <c r="BJ13" s="6"/>
      <c r="BK13" s="6"/>
      <c r="BL13" s="6"/>
      <c r="BM13" s="6"/>
      <c r="BN13" s="35"/>
      <c r="BO13" s="6"/>
      <c r="BP13" s="35"/>
      <c r="BQ13" s="6"/>
      <c r="BR13" s="6"/>
      <c r="BS13" s="6"/>
      <c r="BT13" s="35"/>
      <c r="BU13" s="6"/>
      <c r="BV13" s="35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>
        <v>1179</v>
      </c>
      <c r="CH13" s="6"/>
      <c r="CI13" s="6">
        <f t="shared" si="10"/>
        <v>364</v>
      </c>
      <c r="CJ13" s="6">
        <v>1548</v>
      </c>
      <c r="CK13" s="6"/>
      <c r="CL13" s="6">
        <f t="shared" si="11"/>
        <v>369</v>
      </c>
      <c r="CM13" s="6">
        <v>356</v>
      </c>
      <c r="CN13" s="6">
        <v>1560</v>
      </c>
      <c r="CO13" s="6">
        <f t="shared" si="12"/>
        <v>368</v>
      </c>
      <c r="CP13" s="6">
        <v>725</v>
      </c>
      <c r="CQ13" s="6"/>
      <c r="CR13" s="6">
        <f t="shared" si="13"/>
        <v>369</v>
      </c>
      <c r="CS13" s="6">
        <v>304</v>
      </c>
      <c r="CT13" s="6">
        <v>786</v>
      </c>
      <c r="CU13" s="6">
        <f t="shared" si="14"/>
        <v>365</v>
      </c>
      <c r="CV13" s="6">
        <v>138</v>
      </c>
      <c r="CW13" s="6">
        <v>501</v>
      </c>
      <c r="CX13" s="6">
        <f t="shared" si="15"/>
        <v>335</v>
      </c>
    </row>
    <row r="14" spans="1:102">
      <c r="A14" s="6">
        <v>10</v>
      </c>
      <c r="B14" s="6">
        <v>372</v>
      </c>
      <c r="C14" s="6"/>
      <c r="D14" s="6">
        <v>340</v>
      </c>
      <c r="E14" s="33" t="s">
        <v>37</v>
      </c>
      <c r="F14" s="33" t="s">
        <v>37</v>
      </c>
      <c r="G14" s="148" t="s">
        <v>128</v>
      </c>
      <c r="H14" s="33" t="s">
        <v>128</v>
      </c>
      <c r="I14" s="33" t="s">
        <v>128</v>
      </c>
      <c r="J14" s="33" t="s">
        <v>128</v>
      </c>
      <c r="K14" s="33" t="s">
        <v>128</v>
      </c>
      <c r="L14" s="33" t="s">
        <v>128</v>
      </c>
      <c r="M14" s="33" t="s">
        <v>128</v>
      </c>
      <c r="N14" s="33" t="s">
        <v>128</v>
      </c>
      <c r="O14" s="33" t="s">
        <v>128</v>
      </c>
      <c r="P14" s="33" t="s">
        <v>128</v>
      </c>
      <c r="Q14" s="33" t="s">
        <v>128</v>
      </c>
      <c r="R14" s="33" t="s">
        <v>128</v>
      </c>
      <c r="S14" s="33" t="s">
        <v>128</v>
      </c>
      <c r="T14" s="33" t="s">
        <v>128</v>
      </c>
      <c r="U14" s="33" t="s">
        <v>128</v>
      </c>
      <c r="V14" s="6">
        <v>0</v>
      </c>
      <c r="W14" s="6">
        <v>682</v>
      </c>
      <c r="X14" s="35">
        <f t="shared" si="0"/>
        <v>310</v>
      </c>
      <c r="Y14" s="35">
        <v>271</v>
      </c>
      <c r="Z14" s="35"/>
      <c r="AA14" s="35">
        <f t="shared" si="1"/>
        <v>271</v>
      </c>
      <c r="AB14" s="6">
        <v>623</v>
      </c>
      <c r="AC14" s="6"/>
      <c r="AD14" s="35">
        <f t="shared" si="2"/>
        <v>352</v>
      </c>
      <c r="AE14" s="6">
        <v>971</v>
      </c>
      <c r="AF14" s="6"/>
      <c r="AG14" s="34">
        <f t="shared" si="3"/>
        <v>348</v>
      </c>
      <c r="AH14" s="35">
        <v>168</v>
      </c>
      <c r="AI14" s="35">
        <v>1053</v>
      </c>
      <c r="AJ14" s="35">
        <f t="shared" si="4"/>
        <v>250</v>
      </c>
      <c r="AK14" s="6">
        <v>531</v>
      </c>
      <c r="AL14" s="6"/>
      <c r="AM14" s="35">
        <f t="shared" si="5"/>
        <v>363</v>
      </c>
      <c r="AN14" s="6"/>
      <c r="AO14" s="6"/>
      <c r="AP14" s="35"/>
      <c r="AQ14" s="35">
        <v>920</v>
      </c>
      <c r="AR14" s="35"/>
      <c r="AS14" s="35">
        <f t="shared" si="6"/>
        <v>389</v>
      </c>
      <c r="AT14" s="6">
        <v>1303</v>
      </c>
      <c r="AU14" s="6"/>
      <c r="AV14" s="35">
        <f t="shared" si="7"/>
        <v>383</v>
      </c>
      <c r="AW14" s="6">
        <v>129</v>
      </c>
      <c r="AX14" s="6">
        <v>1560</v>
      </c>
      <c r="AY14" s="6">
        <f t="shared" si="8"/>
        <v>386</v>
      </c>
      <c r="AZ14" s="6">
        <v>218</v>
      </c>
      <c r="BA14" s="6"/>
      <c r="BB14" s="6">
        <f t="shared" si="9"/>
        <v>89</v>
      </c>
      <c r="BC14" s="6"/>
      <c r="BD14" s="6"/>
      <c r="BE14" s="6"/>
      <c r="BF14" s="6"/>
      <c r="BG14" s="6"/>
      <c r="BH14" s="35"/>
      <c r="BI14" s="6"/>
      <c r="BJ14" s="6"/>
      <c r="BK14" s="6"/>
      <c r="BL14" s="6"/>
      <c r="BM14" s="6"/>
      <c r="BN14" s="35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601</v>
      </c>
      <c r="CH14" s="6"/>
      <c r="CI14" s="6">
        <f t="shared" si="10"/>
        <v>383</v>
      </c>
      <c r="CJ14" s="6">
        <v>971</v>
      </c>
      <c r="CK14" s="6"/>
      <c r="CL14" s="6">
        <f t="shared" si="11"/>
        <v>370</v>
      </c>
      <c r="CM14" s="6">
        <v>1344</v>
      </c>
      <c r="CN14" s="6"/>
      <c r="CO14" s="6">
        <f t="shared" si="12"/>
        <v>373</v>
      </c>
      <c r="CP14" s="6">
        <v>147</v>
      </c>
      <c r="CQ14" s="6">
        <v>1560</v>
      </c>
      <c r="CR14" s="6">
        <f t="shared" si="13"/>
        <v>363</v>
      </c>
      <c r="CS14" s="6">
        <v>516</v>
      </c>
      <c r="CT14" s="6"/>
      <c r="CU14" s="6">
        <f t="shared" si="14"/>
        <v>369</v>
      </c>
      <c r="CV14" s="6">
        <v>858</v>
      </c>
      <c r="CW14" s="6"/>
      <c r="CX14" s="6">
        <f t="shared" si="15"/>
        <v>342</v>
      </c>
    </row>
    <row r="15" spans="1:102">
      <c r="A15" s="6">
        <v>11</v>
      </c>
      <c r="B15" s="6">
        <v>1400</v>
      </c>
      <c r="C15" s="6"/>
      <c r="D15" s="6">
        <v>330</v>
      </c>
      <c r="E15" s="169" t="s">
        <v>37</v>
      </c>
      <c r="F15" s="169" t="s">
        <v>37</v>
      </c>
      <c r="G15" s="169" t="s">
        <v>37</v>
      </c>
      <c r="H15" s="169" t="s">
        <v>37</v>
      </c>
      <c r="I15" s="169" t="s">
        <v>37</v>
      </c>
      <c r="J15" s="169" t="s">
        <v>37</v>
      </c>
      <c r="K15" s="169" t="s">
        <v>37</v>
      </c>
      <c r="L15" s="169" t="s">
        <v>37</v>
      </c>
      <c r="M15" s="169" t="s">
        <v>37</v>
      </c>
      <c r="N15" s="169" t="s">
        <v>37</v>
      </c>
      <c r="O15" s="231" t="s">
        <v>128</v>
      </c>
      <c r="P15" s="232" t="s">
        <v>128</v>
      </c>
      <c r="Q15" s="232" t="s">
        <v>128</v>
      </c>
      <c r="R15" s="232" t="s">
        <v>128</v>
      </c>
      <c r="S15" s="232" t="s">
        <v>128</v>
      </c>
      <c r="T15" s="232" t="s">
        <v>128</v>
      </c>
      <c r="U15" s="232" t="s">
        <v>128</v>
      </c>
      <c r="V15" s="6">
        <v>213</v>
      </c>
      <c r="W15" s="6">
        <v>1560</v>
      </c>
      <c r="X15" s="35">
        <f t="shared" si="0"/>
        <v>373</v>
      </c>
      <c r="Y15" s="35">
        <v>566</v>
      </c>
      <c r="Z15" s="35"/>
      <c r="AA15" s="35">
        <f t="shared" si="1"/>
        <v>353</v>
      </c>
      <c r="AB15" s="6">
        <v>924</v>
      </c>
      <c r="AC15" s="6"/>
      <c r="AD15" s="35">
        <f t="shared" si="2"/>
        <v>358</v>
      </c>
      <c r="AE15" s="6">
        <v>1279</v>
      </c>
      <c r="AF15" s="6"/>
      <c r="AG15" s="34">
        <f t="shared" si="3"/>
        <v>355</v>
      </c>
      <c r="AH15" s="35">
        <v>1546</v>
      </c>
      <c r="AI15" s="35"/>
      <c r="AJ15" s="35">
        <f t="shared" si="4"/>
        <v>267</v>
      </c>
      <c r="AK15" s="6">
        <v>328</v>
      </c>
      <c r="AL15" s="6">
        <v>1560</v>
      </c>
      <c r="AM15" s="35">
        <f t="shared" si="5"/>
        <v>342</v>
      </c>
      <c r="AN15" s="6"/>
      <c r="AO15" s="6"/>
      <c r="AP15" s="35"/>
      <c r="AQ15" s="6">
        <v>696</v>
      </c>
      <c r="AR15" s="6"/>
      <c r="AS15" s="35">
        <f t="shared" si="6"/>
        <v>368</v>
      </c>
      <c r="AT15" s="6">
        <v>1057</v>
      </c>
      <c r="AU15" s="6"/>
      <c r="AV15" s="35">
        <f t="shared" si="7"/>
        <v>361</v>
      </c>
      <c r="AW15" s="6">
        <v>0</v>
      </c>
      <c r="AX15" s="6">
        <v>1251</v>
      </c>
      <c r="AY15" s="6">
        <f t="shared" si="8"/>
        <v>194</v>
      </c>
      <c r="AZ15" s="6">
        <v>52</v>
      </c>
      <c r="BA15" s="35"/>
      <c r="BB15" s="6">
        <f t="shared" si="9"/>
        <v>52</v>
      </c>
      <c r="BC15" s="6"/>
      <c r="BD15" s="6"/>
      <c r="BE15" s="6"/>
      <c r="BF15" s="6"/>
      <c r="BG15" s="6"/>
      <c r="BH15" s="35"/>
      <c r="BI15" s="6"/>
      <c r="BJ15" s="6"/>
      <c r="BK15" s="6"/>
      <c r="BL15" s="6"/>
      <c r="BM15" s="6"/>
      <c r="BN15" s="35"/>
      <c r="BO15" s="6"/>
      <c r="BP15" s="35"/>
      <c r="BQ15" s="6"/>
      <c r="BR15" s="6"/>
      <c r="BS15" s="6"/>
      <c r="BT15" s="35"/>
      <c r="BU15" s="6"/>
      <c r="BV15" s="35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438</v>
      </c>
      <c r="CH15" s="6"/>
      <c r="CI15" s="6">
        <f t="shared" si="10"/>
        <v>386</v>
      </c>
      <c r="CJ15" s="6">
        <v>803</v>
      </c>
      <c r="CK15" s="6"/>
      <c r="CL15" s="6">
        <f t="shared" si="11"/>
        <v>365</v>
      </c>
      <c r="CM15" s="6">
        <v>1171</v>
      </c>
      <c r="CN15" s="6"/>
      <c r="CO15" s="6">
        <f t="shared" si="12"/>
        <v>368</v>
      </c>
      <c r="CP15" s="6">
        <v>1532</v>
      </c>
      <c r="CQ15" s="6"/>
      <c r="CR15" s="6">
        <f t="shared" si="13"/>
        <v>361</v>
      </c>
      <c r="CS15" s="6">
        <v>323</v>
      </c>
      <c r="CT15" s="6">
        <v>1560</v>
      </c>
      <c r="CU15" s="6">
        <f t="shared" si="14"/>
        <v>351</v>
      </c>
      <c r="CV15" s="6">
        <v>654</v>
      </c>
      <c r="CW15" s="6"/>
      <c r="CX15" s="6">
        <f t="shared" si="15"/>
        <v>331</v>
      </c>
    </row>
    <row r="16" spans="1:102">
      <c r="A16" s="6">
        <v>12</v>
      </c>
      <c r="B16" s="6">
        <v>838</v>
      </c>
      <c r="C16" s="6"/>
      <c r="D16" s="6">
        <v>339</v>
      </c>
      <c r="E16" s="169" t="s">
        <v>37</v>
      </c>
      <c r="F16" s="169" t="s">
        <v>37</v>
      </c>
      <c r="G16" s="169" t="s">
        <v>37</v>
      </c>
      <c r="H16" s="169" t="s">
        <v>37</v>
      </c>
      <c r="I16" s="169" t="s">
        <v>37</v>
      </c>
      <c r="J16" s="169" t="s">
        <v>37</v>
      </c>
      <c r="K16" s="169" t="s">
        <v>37</v>
      </c>
      <c r="L16" s="169" t="s">
        <v>37</v>
      </c>
      <c r="M16" s="169" t="s">
        <v>37</v>
      </c>
      <c r="N16" s="227" t="s">
        <v>128</v>
      </c>
      <c r="O16" s="230" t="s">
        <v>128</v>
      </c>
      <c r="P16" s="230" t="s">
        <v>128</v>
      </c>
      <c r="Q16" s="230" t="s">
        <v>128</v>
      </c>
      <c r="R16" s="230" t="s">
        <v>128</v>
      </c>
      <c r="S16" s="230" t="s">
        <v>128</v>
      </c>
      <c r="T16" s="230" t="s">
        <v>128</v>
      </c>
      <c r="U16" s="230" t="s">
        <v>128</v>
      </c>
      <c r="V16" s="35">
        <v>1223</v>
      </c>
      <c r="W16" s="35"/>
      <c r="X16" s="35">
        <f t="shared" si="0"/>
        <v>385</v>
      </c>
      <c r="Y16" s="35">
        <v>19</v>
      </c>
      <c r="Z16" s="35">
        <v>1560</v>
      </c>
      <c r="AA16" s="35">
        <f t="shared" si="1"/>
        <v>356</v>
      </c>
      <c r="AB16" s="6">
        <v>386</v>
      </c>
      <c r="AC16" s="35"/>
      <c r="AD16" s="35">
        <f t="shared" si="2"/>
        <v>367</v>
      </c>
      <c r="AE16" s="6">
        <v>751</v>
      </c>
      <c r="AF16" s="6"/>
      <c r="AG16" s="34">
        <f t="shared" si="3"/>
        <v>365</v>
      </c>
      <c r="AH16" s="35">
        <v>1017</v>
      </c>
      <c r="AI16" s="35"/>
      <c r="AJ16" s="35">
        <f t="shared" si="4"/>
        <v>266</v>
      </c>
      <c r="AK16" s="6">
        <v>1357</v>
      </c>
      <c r="AL16" s="6"/>
      <c r="AM16" s="35">
        <f t="shared" si="5"/>
        <v>340</v>
      </c>
      <c r="AN16" s="6"/>
      <c r="AO16" s="6"/>
      <c r="AP16" s="35"/>
      <c r="AQ16" s="6">
        <v>293</v>
      </c>
      <c r="AR16" s="6">
        <v>1405</v>
      </c>
      <c r="AS16" s="35">
        <f t="shared" si="6"/>
        <v>341</v>
      </c>
      <c r="AT16" s="6">
        <v>628</v>
      </c>
      <c r="AU16" s="6"/>
      <c r="AV16" s="35">
        <f t="shared" si="7"/>
        <v>335</v>
      </c>
      <c r="AW16" s="6">
        <v>356</v>
      </c>
      <c r="AX16" s="6">
        <v>637</v>
      </c>
      <c r="AY16" s="6">
        <f t="shared" si="8"/>
        <v>365</v>
      </c>
      <c r="AZ16" s="6">
        <v>443</v>
      </c>
      <c r="BA16" s="35"/>
      <c r="BB16" s="6">
        <f t="shared" si="9"/>
        <v>87</v>
      </c>
      <c r="BC16" s="6"/>
      <c r="BD16" s="6"/>
      <c r="BE16" s="6"/>
      <c r="BF16" s="6"/>
      <c r="BG16" s="6"/>
      <c r="BH16" s="35"/>
      <c r="BI16" s="6"/>
      <c r="BJ16" s="6"/>
      <c r="BK16" s="6"/>
      <c r="BL16" s="6"/>
      <c r="BM16" s="6"/>
      <c r="BN16" s="35"/>
      <c r="BO16" s="6"/>
      <c r="BP16" s="35"/>
      <c r="BQ16" s="6"/>
      <c r="BR16" s="6"/>
      <c r="BS16" s="6"/>
      <c r="BT16" s="35"/>
      <c r="BU16" s="6"/>
      <c r="BV16" s="35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>
        <v>835</v>
      </c>
      <c r="CH16" s="6"/>
      <c r="CI16" s="6">
        <f t="shared" si="10"/>
        <v>392</v>
      </c>
      <c r="CJ16" s="6">
        <v>1204</v>
      </c>
      <c r="CK16" s="6"/>
      <c r="CL16" s="6">
        <f t="shared" si="11"/>
        <v>369</v>
      </c>
      <c r="CM16" s="6">
        <v>34</v>
      </c>
      <c r="CN16" s="6">
        <v>1550</v>
      </c>
      <c r="CO16" s="6">
        <f t="shared" si="12"/>
        <v>380</v>
      </c>
      <c r="CP16" s="6">
        <v>407</v>
      </c>
      <c r="CQ16" s="6"/>
      <c r="CR16" s="6">
        <f t="shared" si="13"/>
        <v>373</v>
      </c>
      <c r="CS16" s="6">
        <v>777</v>
      </c>
      <c r="CT16" s="6"/>
      <c r="CU16" s="6">
        <f t="shared" si="14"/>
        <v>370</v>
      </c>
      <c r="CV16" s="6">
        <v>1096</v>
      </c>
      <c r="CW16" s="6"/>
      <c r="CX16" s="6">
        <f t="shared" si="15"/>
        <v>319</v>
      </c>
    </row>
    <row r="17" spans="1:102">
      <c r="A17" s="6">
        <v>13</v>
      </c>
      <c r="B17" s="6">
        <v>1039</v>
      </c>
      <c r="C17" s="6"/>
      <c r="D17" s="6">
        <v>341</v>
      </c>
      <c r="E17" s="169" t="s">
        <v>37</v>
      </c>
      <c r="F17" s="169" t="s">
        <v>37</v>
      </c>
      <c r="G17" s="169" t="s">
        <v>37</v>
      </c>
      <c r="H17" s="169" t="s">
        <v>37</v>
      </c>
      <c r="I17" s="169" t="s">
        <v>37</v>
      </c>
      <c r="J17" s="169" t="s">
        <v>37</v>
      </c>
      <c r="K17" s="217" t="s">
        <v>37</v>
      </c>
      <c r="L17" s="222" t="s">
        <v>37</v>
      </c>
      <c r="M17" s="222" t="s">
        <v>37</v>
      </c>
      <c r="N17" s="222" t="s">
        <v>37</v>
      </c>
      <c r="O17" s="222" t="s">
        <v>37</v>
      </c>
      <c r="P17" s="222" t="s">
        <v>37</v>
      </c>
      <c r="Q17" s="222" t="s">
        <v>37</v>
      </c>
      <c r="R17" s="222" t="s">
        <v>37</v>
      </c>
      <c r="S17" s="222" t="s">
        <v>37</v>
      </c>
      <c r="T17" s="222" t="s">
        <v>37</v>
      </c>
      <c r="U17" s="222" t="s">
        <v>37</v>
      </c>
      <c r="V17" s="6">
        <v>1429</v>
      </c>
      <c r="W17" s="6"/>
      <c r="X17" s="35">
        <f t="shared" si="0"/>
        <v>390</v>
      </c>
      <c r="Y17" s="35">
        <v>234</v>
      </c>
      <c r="Z17" s="35">
        <v>1560</v>
      </c>
      <c r="AA17" s="35">
        <f t="shared" si="1"/>
        <v>365</v>
      </c>
      <c r="AB17" s="6">
        <v>603</v>
      </c>
      <c r="AC17" s="6"/>
      <c r="AD17" s="35">
        <f t="shared" si="2"/>
        <v>369</v>
      </c>
      <c r="AE17" s="6">
        <v>970</v>
      </c>
      <c r="AF17" s="6"/>
      <c r="AG17" s="34">
        <f t="shared" si="3"/>
        <v>367</v>
      </c>
      <c r="AH17" s="35">
        <v>0</v>
      </c>
      <c r="AI17" s="35">
        <v>1076</v>
      </c>
      <c r="AJ17" s="35">
        <f t="shared" si="4"/>
        <v>106</v>
      </c>
      <c r="AK17" s="6">
        <v>329</v>
      </c>
      <c r="AL17" s="6"/>
      <c r="AM17" s="35">
        <f t="shared" si="5"/>
        <v>329</v>
      </c>
      <c r="AN17" s="6"/>
      <c r="AO17" s="6"/>
      <c r="AP17" s="35"/>
      <c r="AQ17" s="35">
        <v>696</v>
      </c>
      <c r="AR17" s="35"/>
      <c r="AS17" s="35">
        <f t="shared" si="6"/>
        <v>367</v>
      </c>
      <c r="AT17" s="6">
        <v>1063</v>
      </c>
      <c r="AU17" s="6"/>
      <c r="AV17" s="35">
        <f t="shared" si="7"/>
        <v>367</v>
      </c>
      <c r="AW17" s="35">
        <v>1434</v>
      </c>
      <c r="AX17" s="6"/>
      <c r="AY17" s="6">
        <f t="shared" si="8"/>
        <v>371</v>
      </c>
      <c r="AZ17" s="6">
        <v>1519</v>
      </c>
      <c r="BA17" s="6"/>
      <c r="BB17" s="6">
        <f t="shared" si="9"/>
        <v>85</v>
      </c>
      <c r="BC17" s="6"/>
      <c r="BD17" s="6"/>
      <c r="BE17" s="6"/>
      <c r="BF17" s="6"/>
      <c r="BG17" s="6"/>
      <c r="BH17" s="35"/>
      <c r="BI17" s="6"/>
      <c r="BJ17" s="6"/>
      <c r="BK17" s="6"/>
      <c r="BL17" s="6"/>
      <c r="BM17" s="6"/>
      <c r="BN17" s="35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v>344</v>
      </c>
      <c r="CH17" s="6">
        <v>1563</v>
      </c>
      <c r="CI17" s="6">
        <f t="shared" si="10"/>
        <v>388</v>
      </c>
      <c r="CJ17" s="6">
        <v>718</v>
      </c>
      <c r="CK17" s="6"/>
      <c r="CL17" s="6">
        <f t="shared" si="11"/>
        <v>374</v>
      </c>
      <c r="CM17" s="6">
        <v>1091</v>
      </c>
      <c r="CN17" s="6"/>
      <c r="CO17" s="6">
        <f t="shared" si="12"/>
        <v>373</v>
      </c>
      <c r="CP17" s="6">
        <v>1462</v>
      </c>
      <c r="CQ17" s="6"/>
      <c r="CR17" s="6">
        <f t="shared" si="13"/>
        <v>371</v>
      </c>
      <c r="CS17" s="6">
        <v>268</v>
      </c>
      <c r="CT17" s="6">
        <v>1560</v>
      </c>
      <c r="CU17" s="6">
        <f t="shared" si="14"/>
        <v>366</v>
      </c>
      <c r="CV17" s="6">
        <v>604</v>
      </c>
      <c r="CW17" s="6"/>
      <c r="CX17" s="6">
        <f t="shared" si="15"/>
        <v>336</v>
      </c>
    </row>
    <row r="18" spans="1:102">
      <c r="A18" s="6">
        <v>14</v>
      </c>
      <c r="B18" s="6">
        <v>221</v>
      </c>
      <c r="C18" s="6">
        <v>1560</v>
      </c>
      <c r="D18" s="6">
        <v>338</v>
      </c>
      <c r="E18" s="33" t="s">
        <v>37</v>
      </c>
      <c r="F18" s="33" t="s">
        <v>37</v>
      </c>
      <c r="G18" s="33" t="s">
        <v>37</v>
      </c>
      <c r="H18" s="33" t="s">
        <v>37</v>
      </c>
      <c r="I18" s="148" t="s">
        <v>128</v>
      </c>
      <c r="J18" s="33" t="s">
        <v>128</v>
      </c>
      <c r="K18" s="33" t="s">
        <v>128</v>
      </c>
      <c r="L18" s="33" t="s">
        <v>128</v>
      </c>
      <c r="M18" s="33" t="s">
        <v>128</v>
      </c>
      <c r="N18" s="33" t="s">
        <v>128</v>
      </c>
      <c r="O18" s="33" t="s">
        <v>128</v>
      </c>
      <c r="P18" s="33" t="s">
        <v>128</v>
      </c>
      <c r="Q18" s="33" t="s">
        <v>128</v>
      </c>
      <c r="R18" s="33" t="s">
        <v>128</v>
      </c>
      <c r="S18" s="33" t="s">
        <v>128</v>
      </c>
      <c r="T18" s="33" t="s">
        <v>128</v>
      </c>
      <c r="U18" s="33" t="s">
        <v>128</v>
      </c>
      <c r="V18" s="35">
        <v>606</v>
      </c>
      <c r="W18" s="35"/>
      <c r="X18" s="35">
        <f t="shared" si="0"/>
        <v>385</v>
      </c>
      <c r="Y18" s="35">
        <v>971</v>
      </c>
      <c r="Z18" s="35"/>
      <c r="AA18" s="35">
        <f t="shared" si="1"/>
        <v>365</v>
      </c>
      <c r="AB18" s="35">
        <v>1329</v>
      </c>
      <c r="AC18" s="35"/>
      <c r="AD18" s="35">
        <f t="shared" si="2"/>
        <v>358</v>
      </c>
      <c r="AE18" s="35">
        <v>286</v>
      </c>
      <c r="AF18" s="35">
        <v>1387</v>
      </c>
      <c r="AG18" s="34">
        <f t="shared" si="3"/>
        <v>344</v>
      </c>
      <c r="AH18" s="35">
        <v>557</v>
      </c>
      <c r="AI18" s="35"/>
      <c r="AJ18" s="35">
        <f t="shared" si="4"/>
        <v>271</v>
      </c>
      <c r="AK18" s="6">
        <v>907</v>
      </c>
      <c r="AL18" s="6"/>
      <c r="AM18" s="35">
        <f t="shared" si="5"/>
        <v>350</v>
      </c>
      <c r="AN18" s="6"/>
      <c r="AO18" s="6"/>
      <c r="AP18" s="35"/>
      <c r="AQ18" s="35">
        <v>1280</v>
      </c>
      <c r="AR18" s="35"/>
      <c r="AS18" s="35">
        <f t="shared" si="6"/>
        <v>373</v>
      </c>
      <c r="AT18" s="6">
        <v>82</v>
      </c>
      <c r="AU18" s="6">
        <v>1560</v>
      </c>
      <c r="AV18" s="35">
        <f t="shared" si="7"/>
        <v>362</v>
      </c>
      <c r="AW18" s="6">
        <v>460</v>
      </c>
      <c r="AX18" s="6"/>
      <c r="AY18" s="6">
        <f t="shared" si="8"/>
        <v>378</v>
      </c>
      <c r="AZ18" s="6">
        <v>547</v>
      </c>
      <c r="BA18" s="6"/>
      <c r="BB18" s="6">
        <f t="shared" si="9"/>
        <v>87</v>
      </c>
      <c r="BC18" s="6"/>
      <c r="BD18" s="6"/>
      <c r="BE18" s="6"/>
      <c r="BF18" s="6"/>
      <c r="BG18" s="6"/>
      <c r="BH18" s="35"/>
      <c r="BI18" s="6"/>
      <c r="BJ18" s="6"/>
      <c r="BK18" s="6"/>
      <c r="BL18" s="6"/>
      <c r="BM18" s="6"/>
      <c r="BN18" s="35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942</v>
      </c>
      <c r="CH18" s="6"/>
      <c r="CI18" s="6">
        <f t="shared" si="10"/>
        <v>395</v>
      </c>
      <c r="CJ18" s="6">
        <v>1340</v>
      </c>
      <c r="CK18" s="6"/>
      <c r="CL18" s="6">
        <f t="shared" si="11"/>
        <v>398</v>
      </c>
      <c r="CM18" s="6">
        <v>163</v>
      </c>
      <c r="CN18" s="6">
        <v>1560</v>
      </c>
      <c r="CO18" s="6">
        <f t="shared" si="12"/>
        <v>383</v>
      </c>
      <c r="CP18" s="6">
        <v>550</v>
      </c>
      <c r="CQ18" s="6"/>
      <c r="CR18" s="6">
        <f t="shared" si="13"/>
        <v>387</v>
      </c>
      <c r="CS18" s="6">
        <v>917</v>
      </c>
      <c r="CT18" s="6"/>
      <c r="CU18" s="6">
        <f t="shared" si="14"/>
        <v>367</v>
      </c>
      <c r="CV18" s="6">
        <v>1259</v>
      </c>
      <c r="CW18" s="6"/>
      <c r="CX18" s="6">
        <f t="shared" si="15"/>
        <v>342</v>
      </c>
    </row>
    <row r="19" spans="1:102">
      <c r="A19" s="6">
        <v>15</v>
      </c>
      <c r="B19" s="6">
        <v>1266</v>
      </c>
      <c r="C19" s="6"/>
      <c r="D19" s="6">
        <v>332</v>
      </c>
      <c r="E19" s="33" t="s">
        <v>37</v>
      </c>
      <c r="F19" s="33" t="s">
        <v>37</v>
      </c>
      <c r="G19" s="33" t="s">
        <v>37</v>
      </c>
      <c r="H19" s="33" t="s">
        <v>37</v>
      </c>
      <c r="I19" s="33" t="s">
        <v>37</v>
      </c>
      <c r="J19" s="33" t="s">
        <v>37</v>
      </c>
      <c r="K19" s="148" t="s">
        <v>37</v>
      </c>
      <c r="L19" s="33" t="s">
        <v>37</v>
      </c>
      <c r="M19" s="33" t="s">
        <v>37</v>
      </c>
      <c r="N19" s="33" t="s">
        <v>37</v>
      </c>
      <c r="O19" s="33" t="s">
        <v>37</v>
      </c>
      <c r="P19" s="33" t="s">
        <v>37</v>
      </c>
      <c r="Q19" s="33" t="s">
        <v>37</v>
      </c>
      <c r="R19" s="33" t="s">
        <v>37</v>
      </c>
      <c r="S19" s="33" t="s">
        <v>37</v>
      </c>
      <c r="T19" s="33" t="s">
        <v>37</v>
      </c>
      <c r="U19" s="33" t="s">
        <v>37</v>
      </c>
      <c r="V19" s="35">
        <v>94</v>
      </c>
      <c r="W19" s="35">
        <v>1550</v>
      </c>
      <c r="X19" s="35">
        <f t="shared" si="0"/>
        <v>378</v>
      </c>
      <c r="Y19" s="35">
        <v>443</v>
      </c>
      <c r="Z19" s="35"/>
      <c r="AA19" s="35">
        <f t="shared" si="1"/>
        <v>349</v>
      </c>
      <c r="AB19" s="35">
        <v>125</v>
      </c>
      <c r="AC19" s="35">
        <v>655</v>
      </c>
      <c r="AD19" s="35">
        <f t="shared" si="2"/>
        <v>337</v>
      </c>
      <c r="AE19" s="35">
        <v>483</v>
      </c>
      <c r="AF19" s="35"/>
      <c r="AG19" s="34">
        <f t="shared" si="3"/>
        <v>358</v>
      </c>
      <c r="AH19" s="35">
        <v>731</v>
      </c>
      <c r="AI19" s="35"/>
      <c r="AJ19" s="35">
        <f t="shared" si="4"/>
        <v>248</v>
      </c>
      <c r="AK19" s="6">
        <v>313</v>
      </c>
      <c r="AL19" s="6">
        <v>743</v>
      </c>
      <c r="AM19" s="35">
        <f t="shared" si="5"/>
        <v>325</v>
      </c>
      <c r="AN19" s="35"/>
      <c r="AO19" s="35"/>
      <c r="AP19" s="35"/>
      <c r="AQ19" s="35">
        <v>677</v>
      </c>
      <c r="AR19" s="35"/>
      <c r="AS19" s="35">
        <f t="shared" si="6"/>
        <v>364</v>
      </c>
      <c r="AT19" s="35">
        <v>1040</v>
      </c>
      <c r="AU19" s="35"/>
      <c r="AV19" s="35">
        <f t="shared" si="7"/>
        <v>363</v>
      </c>
      <c r="AW19" s="35">
        <v>1409</v>
      </c>
      <c r="AX19" s="35"/>
      <c r="AY19" s="6">
        <f t="shared" si="8"/>
        <v>369</v>
      </c>
      <c r="AZ19" s="35">
        <v>1494</v>
      </c>
      <c r="BA19" s="35"/>
      <c r="BB19" s="6">
        <f t="shared" si="9"/>
        <v>85</v>
      </c>
      <c r="BC19" s="35"/>
      <c r="BD19" s="6"/>
      <c r="BE19" s="6"/>
      <c r="BF19" s="6"/>
      <c r="BG19" s="6"/>
      <c r="BH19" s="35"/>
      <c r="BI19" s="6"/>
      <c r="BJ19" s="6"/>
      <c r="BK19" s="6"/>
      <c r="BL19" s="6"/>
      <c r="BM19" s="6"/>
      <c r="BN19" s="35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314</v>
      </c>
      <c r="CH19" s="6">
        <v>1570</v>
      </c>
      <c r="CI19" s="6">
        <f t="shared" si="10"/>
        <v>390</v>
      </c>
      <c r="CJ19" s="6">
        <v>681</v>
      </c>
      <c r="CK19" s="6"/>
      <c r="CL19" s="6">
        <f t="shared" si="11"/>
        <v>367</v>
      </c>
      <c r="CM19" s="6">
        <v>1054</v>
      </c>
      <c r="CN19" s="6"/>
      <c r="CO19" s="6">
        <f t="shared" si="12"/>
        <v>373</v>
      </c>
      <c r="CP19" s="6">
        <v>1423</v>
      </c>
      <c r="CQ19" s="6"/>
      <c r="CR19" s="6">
        <f t="shared" si="13"/>
        <v>369</v>
      </c>
      <c r="CS19" s="6">
        <v>230</v>
      </c>
      <c r="CT19" s="6">
        <v>1560</v>
      </c>
      <c r="CU19" s="6">
        <f t="shared" si="14"/>
        <v>367</v>
      </c>
      <c r="CV19" s="6">
        <v>569</v>
      </c>
      <c r="CW19" s="6"/>
      <c r="CX19" s="6">
        <f t="shared" si="15"/>
        <v>339</v>
      </c>
    </row>
    <row r="20" spans="1:102" s="65" customFormat="1">
      <c r="A20" s="63">
        <v>16</v>
      </c>
      <c r="B20" s="63">
        <v>158</v>
      </c>
      <c r="C20" s="63">
        <v>1560</v>
      </c>
      <c r="D20" s="6">
        <v>347</v>
      </c>
      <c r="E20" s="33" t="s">
        <v>128</v>
      </c>
      <c r="F20" s="33" t="s">
        <v>128</v>
      </c>
      <c r="G20" s="33" t="s">
        <v>128</v>
      </c>
      <c r="H20" s="33" t="s">
        <v>128</v>
      </c>
      <c r="I20" s="33" t="s">
        <v>128</v>
      </c>
      <c r="J20" s="33" t="s">
        <v>128</v>
      </c>
      <c r="K20" s="33" t="s">
        <v>128</v>
      </c>
      <c r="L20" s="33" t="s">
        <v>128</v>
      </c>
      <c r="M20" s="33" t="s">
        <v>128</v>
      </c>
      <c r="N20" s="33" t="s">
        <v>128</v>
      </c>
      <c r="O20" s="33" t="s">
        <v>128</v>
      </c>
      <c r="P20" s="33" t="s">
        <v>128</v>
      </c>
      <c r="Q20" s="33" t="s">
        <v>128</v>
      </c>
      <c r="R20" s="33" t="s">
        <v>128</v>
      </c>
      <c r="S20" s="148" t="s">
        <v>128</v>
      </c>
      <c r="T20" s="33" t="s">
        <v>128</v>
      </c>
      <c r="U20" s="33" t="s">
        <v>128</v>
      </c>
      <c r="V20" s="63">
        <v>559</v>
      </c>
      <c r="W20" s="63"/>
      <c r="X20" s="35">
        <f t="shared" si="0"/>
        <v>401</v>
      </c>
      <c r="Y20" s="66">
        <v>935</v>
      </c>
      <c r="Z20" s="66"/>
      <c r="AA20" s="35">
        <f t="shared" si="1"/>
        <v>376</v>
      </c>
      <c r="AB20" s="63">
        <v>1283</v>
      </c>
      <c r="AC20" s="63"/>
      <c r="AD20" s="35">
        <f t="shared" si="2"/>
        <v>348</v>
      </c>
      <c r="AE20" s="6">
        <v>99</v>
      </c>
      <c r="AF20" s="6">
        <v>1560</v>
      </c>
      <c r="AG20" s="34">
        <f t="shared" si="3"/>
        <v>376</v>
      </c>
      <c r="AH20" s="66">
        <v>370</v>
      </c>
      <c r="AI20" s="66"/>
      <c r="AJ20" s="35">
        <f t="shared" si="4"/>
        <v>271</v>
      </c>
      <c r="AK20" s="63">
        <v>716</v>
      </c>
      <c r="AL20" s="63"/>
      <c r="AM20" s="35">
        <f t="shared" si="5"/>
        <v>346</v>
      </c>
      <c r="AN20" s="63"/>
      <c r="AO20" s="63"/>
      <c r="AP20" s="35"/>
      <c r="AQ20" s="66">
        <v>1084</v>
      </c>
      <c r="AR20" s="66"/>
      <c r="AS20" s="35">
        <f t="shared" si="6"/>
        <v>368</v>
      </c>
      <c r="AT20" s="63">
        <v>1447</v>
      </c>
      <c r="AU20" s="63"/>
      <c r="AV20" s="35">
        <f t="shared" si="7"/>
        <v>363</v>
      </c>
      <c r="AW20" s="63">
        <v>260</v>
      </c>
      <c r="AX20" s="63">
        <v>1560</v>
      </c>
      <c r="AY20" s="6">
        <f t="shared" si="8"/>
        <v>373</v>
      </c>
      <c r="AZ20" s="63">
        <v>345</v>
      </c>
      <c r="BA20" s="63"/>
      <c r="BB20" s="6">
        <f t="shared" si="9"/>
        <v>85</v>
      </c>
      <c r="BC20" s="63"/>
      <c r="BD20" s="63"/>
      <c r="BE20" s="6"/>
      <c r="BF20" s="63"/>
      <c r="BG20" s="63"/>
      <c r="BH20" s="35"/>
      <c r="BI20" s="63"/>
      <c r="BJ20" s="63"/>
      <c r="BK20" s="6"/>
      <c r="BL20" s="63"/>
      <c r="BM20" s="63"/>
      <c r="BN20" s="35"/>
      <c r="BO20" s="63"/>
      <c r="BP20" s="63"/>
      <c r="BQ20" s="6"/>
      <c r="BR20" s="63"/>
      <c r="BS20" s="63"/>
      <c r="BT20" s="6"/>
      <c r="BU20" s="63"/>
      <c r="BV20" s="63"/>
      <c r="BW20" s="6"/>
      <c r="BX20" s="63"/>
      <c r="BY20" s="63"/>
      <c r="BZ20" s="6"/>
      <c r="CA20" s="63"/>
      <c r="CB20" s="63"/>
      <c r="CC20" s="6"/>
      <c r="CD20" s="63"/>
      <c r="CE20" s="63"/>
      <c r="CF20" s="6"/>
      <c r="CG20" s="63">
        <v>733</v>
      </c>
      <c r="CH20" s="63"/>
      <c r="CI20" s="6">
        <f t="shared" si="10"/>
        <v>388</v>
      </c>
      <c r="CJ20" s="63">
        <v>1112</v>
      </c>
      <c r="CK20" s="63"/>
      <c r="CL20" s="6">
        <f t="shared" si="11"/>
        <v>379</v>
      </c>
      <c r="CM20" s="63">
        <v>1492</v>
      </c>
      <c r="CN20" s="63"/>
      <c r="CO20" s="6">
        <f t="shared" si="12"/>
        <v>380</v>
      </c>
      <c r="CP20" s="63">
        <v>216</v>
      </c>
      <c r="CQ20" s="63">
        <v>1600</v>
      </c>
      <c r="CR20" s="6">
        <f t="shared" si="13"/>
        <v>324</v>
      </c>
      <c r="CS20" s="63">
        <v>570</v>
      </c>
      <c r="CT20" s="63"/>
      <c r="CU20" s="6">
        <f t="shared" si="14"/>
        <v>354</v>
      </c>
      <c r="CV20" s="63">
        <v>899</v>
      </c>
      <c r="CW20" s="63"/>
      <c r="CX20" s="6">
        <f t="shared" si="15"/>
        <v>329</v>
      </c>
    </row>
    <row r="21" spans="1:102">
      <c r="A21" s="6">
        <v>17</v>
      </c>
      <c r="B21" s="6">
        <v>245</v>
      </c>
      <c r="C21" s="6">
        <v>1495</v>
      </c>
      <c r="D21" s="6">
        <v>338</v>
      </c>
      <c r="E21" s="33" t="s">
        <v>69</v>
      </c>
      <c r="F21" s="33" t="s">
        <v>69</v>
      </c>
      <c r="G21" s="33" t="s">
        <v>69</v>
      </c>
      <c r="H21" s="33" t="s">
        <v>69</v>
      </c>
      <c r="I21" s="33" t="s">
        <v>69</v>
      </c>
      <c r="J21" s="148" t="s">
        <v>37</v>
      </c>
      <c r="K21" s="33" t="s">
        <v>37</v>
      </c>
      <c r="L21" s="33" t="s">
        <v>37</v>
      </c>
      <c r="M21" s="33" t="s">
        <v>37</v>
      </c>
      <c r="N21" s="33" t="s">
        <v>37</v>
      </c>
      <c r="O21" s="33" t="s">
        <v>37</v>
      </c>
      <c r="P21" s="33" t="s">
        <v>37</v>
      </c>
      <c r="Q21" s="33" t="s">
        <v>37</v>
      </c>
      <c r="R21" s="33" t="s">
        <v>37</v>
      </c>
      <c r="S21" s="33" t="s">
        <v>37</v>
      </c>
      <c r="T21" s="33" t="s">
        <v>37</v>
      </c>
      <c r="U21" s="33" t="s">
        <v>37</v>
      </c>
      <c r="V21" s="6">
        <v>636</v>
      </c>
      <c r="W21" s="6"/>
      <c r="X21" s="35">
        <f t="shared" si="0"/>
        <v>391</v>
      </c>
      <c r="Y21" s="35">
        <v>995</v>
      </c>
      <c r="Z21" s="35"/>
      <c r="AA21" s="35">
        <f t="shared" si="1"/>
        <v>359</v>
      </c>
      <c r="AB21" s="6">
        <v>1356</v>
      </c>
      <c r="AC21" s="6"/>
      <c r="AD21" s="35">
        <f t="shared" si="2"/>
        <v>361</v>
      </c>
      <c r="AE21" s="6">
        <v>0</v>
      </c>
      <c r="AF21" s="6">
        <v>1635</v>
      </c>
      <c r="AG21" s="34">
        <f t="shared" si="3"/>
        <v>279</v>
      </c>
      <c r="AH21" s="35">
        <v>237</v>
      </c>
      <c r="AI21" s="35"/>
      <c r="AJ21" s="35">
        <f t="shared" si="4"/>
        <v>237</v>
      </c>
      <c r="AK21" s="6">
        <v>580</v>
      </c>
      <c r="AL21" s="6"/>
      <c r="AM21" s="35">
        <f t="shared" si="5"/>
        <v>343</v>
      </c>
      <c r="AN21" s="6"/>
      <c r="AO21" s="6"/>
      <c r="AP21" s="35"/>
      <c r="AQ21" s="35">
        <v>937</v>
      </c>
      <c r="AR21" s="35"/>
      <c r="AS21" s="35">
        <f t="shared" si="6"/>
        <v>357</v>
      </c>
      <c r="AT21" s="6">
        <v>1296</v>
      </c>
      <c r="AU21" s="6"/>
      <c r="AV21" s="35">
        <f t="shared" si="7"/>
        <v>359</v>
      </c>
      <c r="AW21" s="6">
        <v>106</v>
      </c>
      <c r="AX21" s="6">
        <v>1560</v>
      </c>
      <c r="AY21" s="6">
        <f t="shared" si="8"/>
        <v>370</v>
      </c>
      <c r="AZ21" s="6">
        <v>192</v>
      </c>
      <c r="BA21" s="6"/>
      <c r="BB21" s="6">
        <f t="shared" si="9"/>
        <v>86</v>
      </c>
      <c r="BC21" s="6"/>
      <c r="BD21" s="6"/>
      <c r="BE21" s="6"/>
      <c r="BF21" s="6"/>
      <c r="BG21" s="6"/>
      <c r="BH21" s="35"/>
      <c r="BI21" s="6"/>
      <c r="BJ21" s="6"/>
      <c r="BK21" s="6"/>
      <c r="BL21" s="6"/>
      <c r="BM21" s="6"/>
      <c r="BN21" s="35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583</v>
      </c>
      <c r="CH21" s="6"/>
      <c r="CI21" s="6">
        <f t="shared" si="10"/>
        <v>391</v>
      </c>
      <c r="CJ21" s="6">
        <v>957</v>
      </c>
      <c r="CK21" s="6"/>
      <c r="CL21" s="6">
        <f t="shared" si="11"/>
        <v>374</v>
      </c>
      <c r="CM21" s="6">
        <v>1333</v>
      </c>
      <c r="CN21" s="6"/>
      <c r="CO21" s="6">
        <f t="shared" si="12"/>
        <v>376</v>
      </c>
      <c r="CP21" s="6">
        <v>145</v>
      </c>
      <c r="CQ21" s="6">
        <v>1560</v>
      </c>
      <c r="CR21" s="6">
        <f t="shared" si="13"/>
        <v>372</v>
      </c>
      <c r="CS21" s="6">
        <v>516</v>
      </c>
      <c r="CT21" s="6"/>
      <c r="CU21" s="6">
        <f t="shared" si="14"/>
        <v>371</v>
      </c>
      <c r="CV21" s="6">
        <v>857</v>
      </c>
      <c r="CW21" s="6"/>
      <c r="CX21" s="6">
        <f t="shared" si="15"/>
        <v>341</v>
      </c>
    </row>
    <row r="22" spans="1:102">
      <c r="A22" s="6">
        <v>18</v>
      </c>
      <c r="B22" s="6">
        <v>695</v>
      </c>
      <c r="C22" s="6"/>
      <c r="D22" s="6">
        <v>346</v>
      </c>
      <c r="E22" s="33" t="s">
        <v>128</v>
      </c>
      <c r="F22" s="33" t="s">
        <v>128</v>
      </c>
      <c r="G22" s="33" t="s">
        <v>128</v>
      </c>
      <c r="H22" s="33" t="s">
        <v>128</v>
      </c>
      <c r="I22" s="33" t="s">
        <v>128</v>
      </c>
      <c r="J22" s="33" t="s">
        <v>128</v>
      </c>
      <c r="K22" s="33" t="s">
        <v>128</v>
      </c>
      <c r="L22" s="33" t="s">
        <v>128</v>
      </c>
      <c r="M22" s="33" t="s">
        <v>128</v>
      </c>
      <c r="N22" s="33" t="s">
        <v>128</v>
      </c>
      <c r="O22" s="33" t="s">
        <v>128</v>
      </c>
      <c r="P22" s="33" t="s">
        <v>128</v>
      </c>
      <c r="Q22" s="33" t="s">
        <v>128</v>
      </c>
      <c r="R22" s="33" t="s">
        <v>128</v>
      </c>
      <c r="S22" s="33" t="s">
        <v>128</v>
      </c>
      <c r="T22" s="33" t="s">
        <v>128</v>
      </c>
      <c r="U22" s="33" t="s">
        <v>128</v>
      </c>
      <c r="V22" s="6">
        <v>1092</v>
      </c>
      <c r="W22" s="6"/>
      <c r="X22" s="35">
        <f t="shared" si="0"/>
        <v>397</v>
      </c>
      <c r="Y22" s="35">
        <v>1467</v>
      </c>
      <c r="Z22" s="35"/>
      <c r="AA22" s="35">
        <f t="shared" si="1"/>
        <v>375</v>
      </c>
      <c r="AB22" s="6">
        <v>281</v>
      </c>
      <c r="AC22" s="6">
        <v>1560</v>
      </c>
      <c r="AD22" s="35">
        <f t="shared" si="2"/>
        <v>374</v>
      </c>
      <c r="AE22" s="6">
        <v>648</v>
      </c>
      <c r="AF22" s="6"/>
      <c r="AG22" s="34">
        <f t="shared" si="3"/>
        <v>367</v>
      </c>
      <c r="AH22" s="35">
        <v>914</v>
      </c>
      <c r="AI22" s="35"/>
      <c r="AJ22" s="35">
        <f t="shared" si="4"/>
        <v>266</v>
      </c>
      <c r="AK22" s="6">
        <v>1259</v>
      </c>
      <c r="AL22" s="6"/>
      <c r="AM22" s="35">
        <f t="shared" si="5"/>
        <v>345</v>
      </c>
      <c r="AN22" s="6"/>
      <c r="AO22" s="6"/>
      <c r="AP22" s="35"/>
      <c r="AQ22" s="35">
        <v>66</v>
      </c>
      <c r="AR22" s="35">
        <v>1560</v>
      </c>
      <c r="AS22" s="35">
        <f t="shared" si="6"/>
        <v>367</v>
      </c>
      <c r="AT22" s="6">
        <v>422</v>
      </c>
      <c r="AU22" s="6"/>
      <c r="AV22" s="35">
        <f t="shared" si="7"/>
        <v>356</v>
      </c>
      <c r="AW22" s="6">
        <v>796</v>
      </c>
      <c r="AX22" s="6"/>
      <c r="AY22" s="6">
        <f t="shared" si="8"/>
        <v>374</v>
      </c>
      <c r="AZ22" s="6">
        <v>881</v>
      </c>
      <c r="BA22" s="6"/>
      <c r="BB22" s="6">
        <f t="shared" si="9"/>
        <v>85</v>
      </c>
      <c r="BC22" s="6"/>
      <c r="BD22" s="6"/>
      <c r="BE22" s="6"/>
      <c r="BF22" s="6"/>
      <c r="BG22" s="6"/>
      <c r="BH22" s="35"/>
      <c r="BI22" s="6"/>
      <c r="BJ22" s="6"/>
      <c r="BK22" s="6"/>
      <c r="BL22" s="6"/>
      <c r="BM22" s="6"/>
      <c r="BN22" s="35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1268</v>
      </c>
      <c r="CH22" s="6"/>
      <c r="CI22" s="6">
        <f t="shared" si="10"/>
        <v>387</v>
      </c>
      <c r="CJ22" s="6">
        <v>80</v>
      </c>
      <c r="CK22" s="6">
        <v>1560</v>
      </c>
      <c r="CL22" s="6">
        <f t="shared" si="11"/>
        <v>372</v>
      </c>
      <c r="CM22" s="6">
        <v>456</v>
      </c>
      <c r="CN22" s="6"/>
      <c r="CO22" s="6">
        <f t="shared" si="12"/>
        <v>376</v>
      </c>
      <c r="CP22" s="6">
        <v>829</v>
      </c>
      <c r="CQ22" s="6"/>
      <c r="CR22" s="6">
        <f t="shared" si="13"/>
        <v>373</v>
      </c>
      <c r="CS22" s="6">
        <v>1199</v>
      </c>
      <c r="CT22" s="6"/>
      <c r="CU22" s="6">
        <f t="shared" si="14"/>
        <v>370</v>
      </c>
      <c r="CV22" s="6">
        <v>1535</v>
      </c>
      <c r="CW22" s="6"/>
      <c r="CX22" s="6">
        <f t="shared" si="15"/>
        <v>336</v>
      </c>
    </row>
    <row r="23" spans="1:102">
      <c r="A23" s="6">
        <v>19</v>
      </c>
      <c r="B23" s="6">
        <v>751</v>
      </c>
      <c r="C23" s="6"/>
      <c r="D23" s="6">
        <v>339</v>
      </c>
      <c r="E23" s="33" t="s">
        <v>37</v>
      </c>
      <c r="F23" s="33" t="s">
        <v>37</v>
      </c>
      <c r="G23" s="33" t="s">
        <v>37</v>
      </c>
      <c r="H23" s="33" t="s">
        <v>37</v>
      </c>
      <c r="I23" s="33" t="s">
        <v>37</v>
      </c>
      <c r="J23" s="33" t="s">
        <v>37</v>
      </c>
      <c r="K23" s="33" t="s">
        <v>37</v>
      </c>
      <c r="L23" s="33" t="s">
        <v>37</v>
      </c>
      <c r="M23" s="33" t="s">
        <v>37</v>
      </c>
      <c r="N23" s="33" t="s">
        <v>37</v>
      </c>
      <c r="O23" s="33" t="s">
        <v>37</v>
      </c>
      <c r="P23" s="33" t="s">
        <v>37</v>
      </c>
      <c r="Q23" s="33" t="s">
        <v>37</v>
      </c>
      <c r="R23" s="148" t="s">
        <v>37</v>
      </c>
      <c r="S23" s="33" t="s">
        <v>37</v>
      </c>
      <c r="T23" s="33" t="s">
        <v>37</v>
      </c>
      <c r="U23" s="33" t="s">
        <v>37</v>
      </c>
      <c r="V23" s="6">
        <v>1141</v>
      </c>
      <c r="W23" s="35"/>
      <c r="X23" s="35">
        <f t="shared" si="0"/>
        <v>390</v>
      </c>
      <c r="Y23" s="35">
        <v>1514</v>
      </c>
      <c r="Z23" s="35"/>
      <c r="AA23" s="35">
        <f t="shared" si="1"/>
        <v>373</v>
      </c>
      <c r="AB23" s="6">
        <v>320</v>
      </c>
      <c r="AC23" s="6">
        <v>1560</v>
      </c>
      <c r="AD23" s="35">
        <f t="shared" si="2"/>
        <v>366</v>
      </c>
      <c r="AE23" s="6">
        <v>669</v>
      </c>
      <c r="AF23" s="6"/>
      <c r="AG23" s="34">
        <f t="shared" si="3"/>
        <v>349</v>
      </c>
      <c r="AH23" s="35">
        <v>937</v>
      </c>
      <c r="AI23" s="35"/>
      <c r="AJ23" s="35">
        <f t="shared" si="4"/>
        <v>268</v>
      </c>
      <c r="AK23" s="6">
        <v>253</v>
      </c>
      <c r="AL23" s="6">
        <v>1022</v>
      </c>
      <c r="AM23" s="35">
        <f t="shared" si="5"/>
        <v>338</v>
      </c>
      <c r="AN23" s="6"/>
      <c r="AO23" s="6"/>
      <c r="AP23" s="35"/>
      <c r="AQ23" s="35">
        <v>111</v>
      </c>
      <c r="AR23" s="35">
        <v>500</v>
      </c>
      <c r="AS23" s="35">
        <f t="shared" si="6"/>
        <v>358</v>
      </c>
      <c r="AT23" s="6">
        <v>469</v>
      </c>
      <c r="AU23" s="6"/>
      <c r="AV23" s="35">
        <f t="shared" si="7"/>
        <v>358</v>
      </c>
      <c r="AW23" s="6">
        <v>787</v>
      </c>
      <c r="AX23" s="6"/>
      <c r="AY23" s="6">
        <f t="shared" si="8"/>
        <v>318</v>
      </c>
      <c r="AZ23" s="6">
        <v>870</v>
      </c>
      <c r="BA23" s="6"/>
      <c r="BB23" s="6">
        <f t="shared" si="9"/>
        <v>83</v>
      </c>
      <c r="BC23" s="6"/>
      <c r="BD23" s="6"/>
      <c r="BE23" s="6"/>
      <c r="BF23" s="6"/>
      <c r="BG23" s="6"/>
      <c r="BH23" s="35"/>
      <c r="BI23" s="6"/>
      <c r="BJ23" s="6"/>
      <c r="BK23" s="6"/>
      <c r="BL23" s="6"/>
      <c r="BM23" s="6"/>
      <c r="BN23" s="35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>
        <v>60</v>
      </c>
      <c r="CH23" s="6">
        <v>1146</v>
      </c>
      <c r="CI23" s="6">
        <f t="shared" si="10"/>
        <v>336</v>
      </c>
      <c r="CJ23" s="6">
        <v>423</v>
      </c>
      <c r="CK23" s="6"/>
      <c r="CL23" s="6">
        <f t="shared" si="11"/>
        <v>363</v>
      </c>
      <c r="CM23" s="6">
        <v>264</v>
      </c>
      <c r="CN23" s="6">
        <v>510</v>
      </c>
      <c r="CO23" s="6">
        <f t="shared" si="12"/>
        <v>351</v>
      </c>
      <c r="CP23" s="6">
        <v>636</v>
      </c>
      <c r="CQ23" s="6"/>
      <c r="CR23" s="6">
        <f t="shared" si="13"/>
        <v>372</v>
      </c>
      <c r="CS23" s="6">
        <v>1007</v>
      </c>
      <c r="CT23" s="6"/>
      <c r="CU23" s="6">
        <f t="shared" si="14"/>
        <v>371</v>
      </c>
      <c r="CV23" s="6">
        <v>1344</v>
      </c>
      <c r="CW23" s="6"/>
      <c r="CX23" s="6">
        <f t="shared" si="15"/>
        <v>337</v>
      </c>
    </row>
    <row r="24" spans="1:102">
      <c r="A24" s="6">
        <v>20</v>
      </c>
      <c r="B24" s="6">
        <v>876</v>
      </c>
      <c r="C24" s="6"/>
      <c r="D24" s="6">
        <v>324</v>
      </c>
      <c r="E24" s="169" t="s">
        <v>37</v>
      </c>
      <c r="F24" s="169" t="s">
        <v>37</v>
      </c>
      <c r="G24" s="212" t="s">
        <v>128</v>
      </c>
      <c r="H24" s="213" t="s">
        <v>128</v>
      </c>
      <c r="I24" s="213" t="s">
        <v>128</v>
      </c>
      <c r="J24" s="213" t="s">
        <v>128</v>
      </c>
      <c r="K24" s="213" t="s">
        <v>128</v>
      </c>
      <c r="L24" s="213" t="s">
        <v>128</v>
      </c>
      <c r="M24" s="213" t="s">
        <v>128</v>
      </c>
      <c r="N24" s="213" t="s">
        <v>128</v>
      </c>
      <c r="O24" s="213" t="s">
        <v>128</v>
      </c>
      <c r="P24" s="213" t="s">
        <v>128</v>
      </c>
      <c r="Q24" s="213" t="s">
        <v>128</v>
      </c>
      <c r="R24" s="213" t="s">
        <v>128</v>
      </c>
      <c r="S24" s="213" t="s">
        <v>128</v>
      </c>
      <c r="T24" s="213" t="s">
        <v>128</v>
      </c>
      <c r="U24" s="213" t="s">
        <v>128</v>
      </c>
      <c r="V24" s="6">
        <v>1255</v>
      </c>
      <c r="W24" s="6"/>
      <c r="X24" s="35">
        <f t="shared" si="0"/>
        <v>379</v>
      </c>
      <c r="Y24" s="35">
        <v>247</v>
      </c>
      <c r="Z24" s="35">
        <v>1267</v>
      </c>
      <c r="AA24" s="35">
        <f t="shared" si="1"/>
        <v>259</v>
      </c>
      <c r="AB24" s="35">
        <v>619</v>
      </c>
      <c r="AC24" s="6"/>
      <c r="AD24" s="35">
        <f t="shared" si="2"/>
        <v>372</v>
      </c>
      <c r="AE24" s="6">
        <v>985</v>
      </c>
      <c r="AF24" s="6"/>
      <c r="AG24" s="34">
        <f t="shared" si="3"/>
        <v>366</v>
      </c>
      <c r="AH24" s="35">
        <v>1250</v>
      </c>
      <c r="AI24" s="35"/>
      <c r="AJ24" s="35">
        <f t="shared" si="4"/>
        <v>265</v>
      </c>
      <c r="AK24" s="6">
        <v>36</v>
      </c>
      <c r="AL24" s="6">
        <v>1560</v>
      </c>
      <c r="AM24" s="35">
        <f t="shared" si="5"/>
        <v>346</v>
      </c>
      <c r="AN24" s="6"/>
      <c r="AO24" s="6"/>
      <c r="AP24" s="35"/>
      <c r="AQ24" s="35">
        <v>405</v>
      </c>
      <c r="AR24" s="35"/>
      <c r="AS24" s="35">
        <f t="shared" si="6"/>
        <v>369</v>
      </c>
      <c r="AT24" s="6">
        <v>771</v>
      </c>
      <c r="AU24" s="6"/>
      <c r="AV24" s="35">
        <f t="shared" si="7"/>
        <v>366</v>
      </c>
      <c r="AW24" s="6">
        <v>1142</v>
      </c>
      <c r="AX24" s="6"/>
      <c r="AY24" s="6">
        <f t="shared" si="8"/>
        <v>371</v>
      </c>
      <c r="AZ24" s="6">
        <v>1225</v>
      </c>
      <c r="BA24" s="6"/>
      <c r="BB24" s="6">
        <f t="shared" si="9"/>
        <v>83</v>
      </c>
      <c r="BC24" s="6"/>
      <c r="BD24" s="6"/>
      <c r="BE24" s="6"/>
      <c r="BF24" s="6"/>
      <c r="BG24" s="6"/>
      <c r="BH24" s="35"/>
      <c r="BI24" s="6"/>
      <c r="BJ24" s="6"/>
      <c r="BK24" s="6"/>
      <c r="BL24" s="6"/>
      <c r="BM24" s="6"/>
      <c r="BN24" s="35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>
        <v>40</v>
      </c>
      <c r="CH24" s="6">
        <v>1560</v>
      </c>
      <c r="CI24" s="6">
        <f t="shared" si="10"/>
        <v>375</v>
      </c>
      <c r="CJ24" s="6">
        <v>405</v>
      </c>
      <c r="CK24" s="6"/>
      <c r="CL24" s="6">
        <f t="shared" si="11"/>
        <v>365</v>
      </c>
      <c r="CM24" s="6">
        <v>765</v>
      </c>
      <c r="CN24" s="6"/>
      <c r="CO24" s="6">
        <f t="shared" si="12"/>
        <v>360</v>
      </c>
      <c r="CP24" s="6">
        <v>1127</v>
      </c>
      <c r="CQ24" s="6"/>
      <c r="CR24" s="6">
        <f t="shared" si="13"/>
        <v>362</v>
      </c>
      <c r="CS24" s="6">
        <v>1487</v>
      </c>
      <c r="CT24" s="6"/>
      <c r="CU24" s="6">
        <f t="shared" si="14"/>
        <v>360</v>
      </c>
      <c r="CV24" s="6">
        <v>253</v>
      </c>
      <c r="CW24" s="6">
        <v>1565</v>
      </c>
      <c r="CX24" s="6">
        <f t="shared" si="15"/>
        <v>331</v>
      </c>
    </row>
    <row r="25" spans="1:102">
      <c r="A25" s="6">
        <v>21</v>
      </c>
      <c r="B25" s="6">
        <v>439</v>
      </c>
      <c r="C25" s="6"/>
      <c r="D25" s="6">
        <v>339</v>
      </c>
      <c r="E25" s="33" t="s">
        <v>37</v>
      </c>
      <c r="F25" s="33" t="s">
        <v>37</v>
      </c>
      <c r="G25" s="33" t="s">
        <v>37</v>
      </c>
      <c r="H25" s="33" t="s">
        <v>37</v>
      </c>
      <c r="I25" s="33" t="s">
        <v>37</v>
      </c>
      <c r="J25" s="33" t="s">
        <v>37</v>
      </c>
      <c r="K25" s="33" t="s">
        <v>37</v>
      </c>
      <c r="L25" s="33" t="s">
        <v>37</v>
      </c>
      <c r="M25" s="33" t="s">
        <v>37</v>
      </c>
      <c r="N25" s="33" t="s">
        <v>37</v>
      </c>
      <c r="O25" s="33" t="s">
        <v>37</v>
      </c>
      <c r="P25" s="33" t="s">
        <v>37</v>
      </c>
      <c r="Q25" s="33" t="s">
        <v>37</v>
      </c>
      <c r="R25" s="33" t="s">
        <v>37</v>
      </c>
      <c r="S25" s="148" t="s">
        <v>37</v>
      </c>
      <c r="T25" s="33" t="s">
        <v>37</v>
      </c>
      <c r="U25" s="33" t="s">
        <v>37</v>
      </c>
      <c r="V25" s="6">
        <v>801</v>
      </c>
      <c r="W25" s="6"/>
      <c r="X25" s="35">
        <f t="shared" si="0"/>
        <v>362</v>
      </c>
      <c r="Y25" s="35">
        <v>1158</v>
      </c>
      <c r="Z25" s="35"/>
      <c r="AA25" s="35">
        <f t="shared" si="1"/>
        <v>357</v>
      </c>
      <c r="AB25" s="6">
        <v>1502</v>
      </c>
      <c r="AC25" s="6"/>
      <c r="AD25" s="35">
        <f t="shared" si="2"/>
        <v>344</v>
      </c>
      <c r="AE25" s="6">
        <v>303</v>
      </c>
      <c r="AF25" s="6">
        <v>1560</v>
      </c>
      <c r="AG25" s="34">
        <f t="shared" si="3"/>
        <v>361</v>
      </c>
      <c r="AH25" s="35">
        <v>570</v>
      </c>
      <c r="AI25" s="35"/>
      <c r="AJ25" s="35">
        <f t="shared" si="4"/>
        <v>267</v>
      </c>
      <c r="AK25" s="6">
        <v>905</v>
      </c>
      <c r="AL25" s="6"/>
      <c r="AM25" s="35">
        <f t="shared" si="5"/>
        <v>335</v>
      </c>
      <c r="AN25" s="6"/>
      <c r="AO25" s="6"/>
      <c r="AP25" s="35"/>
      <c r="AQ25" s="35">
        <v>1276</v>
      </c>
      <c r="AR25" s="35"/>
      <c r="AS25" s="35">
        <f t="shared" si="6"/>
        <v>371</v>
      </c>
      <c r="AT25" s="6">
        <v>81</v>
      </c>
      <c r="AU25" s="6">
        <v>1560</v>
      </c>
      <c r="AV25" s="35">
        <f t="shared" si="7"/>
        <v>365</v>
      </c>
      <c r="AW25" s="6">
        <v>450</v>
      </c>
      <c r="AX25" s="6"/>
      <c r="AY25" s="6">
        <f t="shared" si="8"/>
        <v>369</v>
      </c>
      <c r="AZ25" s="6">
        <v>534</v>
      </c>
      <c r="BA25" s="6"/>
      <c r="BB25" s="6">
        <f t="shared" si="9"/>
        <v>84</v>
      </c>
      <c r="BC25" s="6"/>
      <c r="BD25" s="6"/>
      <c r="BE25" s="6"/>
      <c r="BF25" s="6"/>
      <c r="BG25" s="6"/>
      <c r="BH25" s="35"/>
      <c r="BI25" s="6"/>
      <c r="BJ25" s="6"/>
      <c r="BK25" s="6"/>
      <c r="BL25" s="6"/>
      <c r="BM25" s="6"/>
      <c r="BN25" s="35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>
        <v>327</v>
      </c>
      <c r="CH25" s="6">
        <v>561</v>
      </c>
      <c r="CI25" s="6">
        <f t="shared" si="10"/>
        <v>354</v>
      </c>
      <c r="CJ25" s="6">
        <v>694</v>
      </c>
      <c r="CK25" s="6"/>
      <c r="CL25" s="6">
        <f t="shared" si="11"/>
        <v>367</v>
      </c>
      <c r="CM25" s="6">
        <v>0</v>
      </c>
      <c r="CN25" s="6">
        <v>1041</v>
      </c>
      <c r="CO25" s="6">
        <f t="shared" si="12"/>
        <v>347</v>
      </c>
      <c r="CP25" s="6">
        <v>330</v>
      </c>
      <c r="CQ25" s="6"/>
      <c r="CR25" s="6">
        <f t="shared" si="13"/>
        <v>330</v>
      </c>
      <c r="CS25" s="6">
        <v>693</v>
      </c>
      <c r="CT25" s="6"/>
      <c r="CU25" s="6">
        <f t="shared" si="14"/>
        <v>363</v>
      </c>
      <c r="CV25" s="6">
        <v>1021</v>
      </c>
      <c r="CW25" s="6"/>
      <c r="CX25" s="6">
        <f t="shared" si="15"/>
        <v>328</v>
      </c>
    </row>
    <row r="26" spans="1:102">
      <c r="A26" s="6">
        <v>22</v>
      </c>
      <c r="B26" s="6">
        <v>773</v>
      </c>
      <c r="C26" s="6"/>
      <c r="D26" s="6">
        <v>338</v>
      </c>
      <c r="E26" s="33" t="s">
        <v>37</v>
      </c>
      <c r="F26" s="33" t="s">
        <v>37</v>
      </c>
      <c r="G26" s="33" t="s">
        <v>37</v>
      </c>
      <c r="H26" s="33" t="s">
        <v>37</v>
      </c>
      <c r="I26" s="33" t="s">
        <v>37</v>
      </c>
      <c r="J26" s="33" t="s">
        <v>37</v>
      </c>
      <c r="K26" s="33" t="s">
        <v>37</v>
      </c>
      <c r="L26" s="33" t="s">
        <v>37</v>
      </c>
      <c r="M26" s="33" t="s">
        <v>37</v>
      </c>
      <c r="N26" s="33" t="s">
        <v>37</v>
      </c>
      <c r="O26" s="33" t="s">
        <v>37</v>
      </c>
      <c r="P26" s="33" t="s">
        <v>37</v>
      </c>
      <c r="Q26" s="33" t="s">
        <v>37</v>
      </c>
      <c r="R26" s="148" t="s">
        <v>37</v>
      </c>
      <c r="S26" s="33" t="s">
        <v>37</v>
      </c>
      <c r="T26" s="33" t="s">
        <v>37</v>
      </c>
      <c r="U26" s="33" t="s">
        <v>37</v>
      </c>
      <c r="V26" s="6">
        <v>1159</v>
      </c>
      <c r="W26" s="6"/>
      <c r="X26" s="35">
        <f t="shared" si="0"/>
        <v>386</v>
      </c>
      <c r="Y26" s="35">
        <v>1523</v>
      </c>
      <c r="Z26" s="35"/>
      <c r="AA26" s="35">
        <f t="shared" si="1"/>
        <v>364</v>
      </c>
      <c r="AB26" s="6">
        <v>324</v>
      </c>
      <c r="AC26" s="6">
        <v>1560</v>
      </c>
      <c r="AD26" s="35">
        <f t="shared" si="2"/>
        <v>361</v>
      </c>
      <c r="AE26" s="6">
        <v>685</v>
      </c>
      <c r="AF26" s="6"/>
      <c r="AG26" s="34">
        <f t="shared" si="3"/>
        <v>361</v>
      </c>
      <c r="AH26" s="35">
        <v>950</v>
      </c>
      <c r="AI26" s="35"/>
      <c r="AJ26" s="35">
        <f t="shared" si="4"/>
        <v>265</v>
      </c>
      <c r="AK26" s="6">
        <v>1295</v>
      </c>
      <c r="AL26" s="6"/>
      <c r="AM26" s="35">
        <f t="shared" si="5"/>
        <v>345</v>
      </c>
      <c r="AN26" s="6"/>
      <c r="AO26" s="6"/>
      <c r="AP26" s="35"/>
      <c r="AQ26" s="35">
        <v>97</v>
      </c>
      <c r="AR26" s="35">
        <v>1560</v>
      </c>
      <c r="AS26" s="35">
        <f t="shared" si="6"/>
        <v>362</v>
      </c>
      <c r="AT26" s="6">
        <v>455</v>
      </c>
      <c r="AU26" s="6"/>
      <c r="AV26" s="35">
        <f t="shared" si="7"/>
        <v>358</v>
      </c>
      <c r="AW26" s="6">
        <v>797</v>
      </c>
      <c r="AX26" s="6"/>
      <c r="AY26" s="6">
        <f t="shared" si="8"/>
        <v>342</v>
      </c>
      <c r="AZ26" s="6">
        <v>881</v>
      </c>
      <c r="BA26" s="6"/>
      <c r="BB26" s="6">
        <f t="shared" si="9"/>
        <v>84</v>
      </c>
      <c r="BC26" s="6"/>
      <c r="BD26" s="6"/>
      <c r="BE26" s="6"/>
      <c r="BF26" s="6"/>
      <c r="BG26" s="6"/>
      <c r="BH26" s="35"/>
      <c r="BI26" s="6"/>
      <c r="BJ26" s="6"/>
      <c r="BK26" s="6"/>
      <c r="BL26" s="6"/>
      <c r="BM26" s="6"/>
      <c r="BN26" s="35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1261</v>
      </c>
      <c r="CH26" s="6"/>
      <c r="CI26" s="6">
        <f t="shared" si="10"/>
        <v>380</v>
      </c>
      <c r="CJ26" s="6">
        <v>1628</v>
      </c>
      <c r="CK26" s="6"/>
      <c r="CL26" s="6">
        <f t="shared" si="11"/>
        <v>367</v>
      </c>
      <c r="CM26" s="6">
        <v>337</v>
      </c>
      <c r="CN26" s="6">
        <v>1629</v>
      </c>
      <c r="CO26" s="6">
        <f t="shared" si="12"/>
        <v>338</v>
      </c>
      <c r="CP26" s="6">
        <v>706</v>
      </c>
      <c r="CQ26" s="6"/>
      <c r="CR26" s="6">
        <f t="shared" si="13"/>
        <v>369</v>
      </c>
      <c r="CS26" s="6">
        <v>1074</v>
      </c>
      <c r="CT26" s="6"/>
      <c r="CU26" s="6">
        <f t="shared" si="14"/>
        <v>368</v>
      </c>
      <c r="CV26" s="6">
        <v>1412</v>
      </c>
      <c r="CW26" s="6"/>
      <c r="CX26" s="6">
        <f t="shared" si="15"/>
        <v>338</v>
      </c>
    </row>
    <row r="27" spans="1:102">
      <c r="A27" s="6">
        <v>23</v>
      </c>
      <c r="B27" s="6">
        <v>1417</v>
      </c>
      <c r="C27" s="6"/>
      <c r="D27" s="6">
        <v>350</v>
      </c>
      <c r="E27" s="33" t="s">
        <v>37</v>
      </c>
      <c r="F27" s="33" t="s">
        <v>37</v>
      </c>
      <c r="G27" s="33" t="s">
        <v>37</v>
      </c>
      <c r="H27" s="33" t="s">
        <v>37</v>
      </c>
      <c r="I27" s="33" t="s">
        <v>37</v>
      </c>
      <c r="J27" s="33" t="s">
        <v>37</v>
      </c>
      <c r="K27" s="33" t="s">
        <v>37</v>
      </c>
      <c r="L27" s="33" t="s">
        <v>37</v>
      </c>
      <c r="M27" s="33" t="s">
        <v>37</v>
      </c>
      <c r="N27" s="33" t="s">
        <v>37</v>
      </c>
      <c r="O27" s="33" t="s">
        <v>37</v>
      </c>
      <c r="P27" s="33" t="s">
        <v>37</v>
      </c>
      <c r="Q27" s="33" t="s">
        <v>37</v>
      </c>
      <c r="R27" s="33" t="s">
        <v>37</v>
      </c>
      <c r="S27" s="33" t="s">
        <v>37</v>
      </c>
      <c r="T27" s="33" t="s">
        <v>37</v>
      </c>
      <c r="U27" s="33" t="s">
        <v>37</v>
      </c>
      <c r="V27" s="35">
        <v>353</v>
      </c>
      <c r="W27" s="35">
        <v>1465</v>
      </c>
      <c r="X27" s="35">
        <f t="shared" si="0"/>
        <v>401</v>
      </c>
      <c r="Y27" s="35">
        <v>723</v>
      </c>
      <c r="Z27" s="35"/>
      <c r="AA27" s="35">
        <f t="shared" si="1"/>
        <v>370</v>
      </c>
      <c r="AB27" s="35">
        <v>1099</v>
      </c>
      <c r="AC27" s="35"/>
      <c r="AD27" s="35">
        <f t="shared" si="2"/>
        <v>376</v>
      </c>
      <c r="AE27" s="35">
        <v>1468</v>
      </c>
      <c r="AF27" s="35"/>
      <c r="AG27" s="34">
        <f t="shared" si="3"/>
        <v>369</v>
      </c>
      <c r="AH27" s="35">
        <v>240</v>
      </c>
      <c r="AI27" s="35">
        <v>1494</v>
      </c>
      <c r="AJ27" s="35">
        <f t="shared" si="4"/>
        <v>266</v>
      </c>
      <c r="AK27" s="6">
        <v>578</v>
      </c>
      <c r="AL27" s="6"/>
      <c r="AM27" s="35">
        <f t="shared" si="5"/>
        <v>338</v>
      </c>
      <c r="AN27" s="35"/>
      <c r="AO27" s="35"/>
      <c r="AP27" s="35"/>
      <c r="AQ27" s="35">
        <v>950</v>
      </c>
      <c r="AR27" s="35"/>
      <c r="AS27" s="35">
        <f t="shared" si="6"/>
        <v>372</v>
      </c>
      <c r="AT27" s="35">
        <v>1314</v>
      </c>
      <c r="AU27" s="35"/>
      <c r="AV27" s="35">
        <f t="shared" si="7"/>
        <v>364</v>
      </c>
      <c r="AW27" s="35">
        <v>129</v>
      </c>
      <c r="AX27" s="35">
        <v>1560</v>
      </c>
      <c r="AY27" s="6">
        <f t="shared" si="8"/>
        <v>375</v>
      </c>
      <c r="AZ27" s="35">
        <v>212</v>
      </c>
      <c r="BA27" s="35"/>
      <c r="BB27" s="6">
        <f t="shared" si="9"/>
        <v>83</v>
      </c>
      <c r="BC27" s="35"/>
      <c r="BD27" s="35"/>
      <c r="BE27" s="6"/>
      <c r="BF27" s="6"/>
      <c r="BG27" s="6"/>
      <c r="BH27" s="35"/>
      <c r="BI27" s="35"/>
      <c r="BJ27" s="35"/>
      <c r="BK27" s="6"/>
      <c r="BL27" s="35"/>
      <c r="BM27" s="6"/>
      <c r="BN27" s="35"/>
      <c r="BO27" s="35"/>
      <c r="BP27" s="35"/>
      <c r="BQ27" s="6"/>
      <c r="BR27" s="35"/>
      <c r="BS27" s="35"/>
      <c r="BT27" s="35"/>
      <c r="BU27" s="6"/>
      <c r="BV27" s="35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>
        <v>594</v>
      </c>
      <c r="CH27" s="6"/>
      <c r="CI27" s="6">
        <f t="shared" si="10"/>
        <v>382</v>
      </c>
      <c r="CJ27" s="6">
        <v>966</v>
      </c>
      <c r="CK27" s="6"/>
      <c r="CL27" s="6">
        <f t="shared" si="11"/>
        <v>372</v>
      </c>
      <c r="CM27" s="6">
        <v>1341</v>
      </c>
      <c r="CN27" s="6"/>
      <c r="CO27" s="6">
        <f t="shared" si="12"/>
        <v>375</v>
      </c>
      <c r="CP27" s="6">
        <v>155</v>
      </c>
      <c r="CQ27" s="6">
        <v>1560</v>
      </c>
      <c r="CR27" s="6">
        <f t="shared" si="13"/>
        <v>374</v>
      </c>
      <c r="CS27" s="6">
        <v>523</v>
      </c>
      <c r="CT27" s="6"/>
      <c r="CU27" s="6">
        <f t="shared" si="14"/>
        <v>368</v>
      </c>
      <c r="CV27" s="6">
        <v>861</v>
      </c>
      <c r="CW27" s="6"/>
      <c r="CX27" s="6">
        <f t="shared" si="15"/>
        <v>338</v>
      </c>
    </row>
    <row r="28" spans="1:102">
      <c r="A28" s="6">
        <v>24</v>
      </c>
      <c r="B28" s="6">
        <v>1384</v>
      </c>
      <c r="C28" s="6"/>
      <c r="D28" s="6">
        <v>336</v>
      </c>
      <c r="E28" s="33" t="s">
        <v>37</v>
      </c>
      <c r="F28" s="33" t="s">
        <v>37</v>
      </c>
      <c r="G28" s="33" t="s">
        <v>37</v>
      </c>
      <c r="H28" s="33" t="s">
        <v>37</v>
      </c>
      <c r="I28" s="33" t="s">
        <v>37</v>
      </c>
      <c r="J28" s="33" t="s">
        <v>37</v>
      </c>
      <c r="K28" s="33" t="s">
        <v>37</v>
      </c>
      <c r="L28" s="33" t="s">
        <v>37</v>
      </c>
      <c r="M28" s="33" t="s">
        <v>37</v>
      </c>
      <c r="N28" s="33" t="s">
        <v>37</v>
      </c>
      <c r="O28" s="33" t="s">
        <v>37</v>
      </c>
      <c r="P28" s="33" t="s">
        <v>37</v>
      </c>
      <c r="Q28" s="33" t="s">
        <v>37</v>
      </c>
      <c r="R28" s="33" t="s">
        <v>37</v>
      </c>
      <c r="S28" s="33" t="s">
        <v>37</v>
      </c>
      <c r="T28" s="33" t="s">
        <v>37</v>
      </c>
      <c r="U28" s="33" t="s">
        <v>37</v>
      </c>
      <c r="V28" s="6">
        <v>212</v>
      </c>
      <c r="W28" s="6">
        <v>1560</v>
      </c>
      <c r="X28" s="35">
        <f t="shared" si="0"/>
        <v>388</v>
      </c>
      <c r="Y28" s="35">
        <v>567</v>
      </c>
      <c r="Z28" s="35"/>
      <c r="AA28" s="35">
        <f t="shared" si="1"/>
        <v>355</v>
      </c>
      <c r="AB28" s="6">
        <v>936</v>
      </c>
      <c r="AC28" s="6"/>
      <c r="AD28" s="35">
        <f t="shared" si="2"/>
        <v>369</v>
      </c>
      <c r="AE28" s="6">
        <v>1300</v>
      </c>
      <c r="AF28" s="6"/>
      <c r="AG28" s="34">
        <f t="shared" si="3"/>
        <v>364</v>
      </c>
      <c r="AH28" s="35">
        <v>2</v>
      </c>
      <c r="AI28" s="35">
        <v>1560</v>
      </c>
      <c r="AJ28" s="35">
        <f t="shared" si="4"/>
        <v>262</v>
      </c>
      <c r="AK28" s="6">
        <v>308</v>
      </c>
      <c r="AL28" s="6"/>
      <c r="AM28" s="35">
        <f t="shared" si="5"/>
        <v>306</v>
      </c>
      <c r="AN28" s="6"/>
      <c r="AO28" s="6"/>
      <c r="AP28" s="35"/>
      <c r="AQ28" s="6">
        <v>306</v>
      </c>
      <c r="AR28" s="6">
        <v>310</v>
      </c>
      <c r="AS28" s="35">
        <f t="shared" si="6"/>
        <v>308</v>
      </c>
      <c r="AT28" s="6">
        <v>654</v>
      </c>
      <c r="AU28" s="6"/>
      <c r="AV28" s="35">
        <f t="shared" si="7"/>
        <v>348</v>
      </c>
      <c r="AW28" s="6">
        <v>1022</v>
      </c>
      <c r="AX28" s="6"/>
      <c r="AY28" s="6">
        <f t="shared" si="8"/>
        <v>368</v>
      </c>
      <c r="AZ28" s="6">
        <v>1104</v>
      </c>
      <c r="BA28" s="35"/>
      <c r="BB28" s="6">
        <f t="shared" si="9"/>
        <v>82</v>
      </c>
      <c r="BC28" s="6"/>
      <c r="BD28" s="6"/>
      <c r="BE28" s="6"/>
      <c r="BF28" s="6"/>
      <c r="BG28" s="6"/>
      <c r="BH28" s="35"/>
      <c r="BI28" s="6"/>
      <c r="BJ28" s="6"/>
      <c r="BK28" s="6"/>
      <c r="BL28" s="6"/>
      <c r="BM28" s="6"/>
      <c r="BN28" s="35"/>
      <c r="BO28" s="6"/>
      <c r="BP28" s="35"/>
      <c r="BQ28" s="6"/>
      <c r="BR28" s="6"/>
      <c r="BS28" s="6"/>
      <c r="BT28" s="35"/>
      <c r="BU28" s="6"/>
      <c r="BV28" s="35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v>1445</v>
      </c>
      <c r="CH28" s="6"/>
      <c r="CI28" s="6">
        <f t="shared" si="10"/>
        <v>341</v>
      </c>
      <c r="CJ28" s="6">
        <v>250</v>
      </c>
      <c r="CK28" s="6">
        <v>1560</v>
      </c>
      <c r="CL28" s="6">
        <f t="shared" si="11"/>
        <v>365</v>
      </c>
      <c r="CM28" s="6">
        <v>615</v>
      </c>
      <c r="CN28" s="6"/>
      <c r="CO28" s="6">
        <f t="shared" si="12"/>
        <v>365</v>
      </c>
      <c r="CP28" s="6">
        <v>982</v>
      </c>
      <c r="CQ28" s="6"/>
      <c r="CR28" s="6">
        <f t="shared" si="13"/>
        <v>367</v>
      </c>
      <c r="CS28" s="6">
        <v>1337</v>
      </c>
      <c r="CT28" s="6"/>
      <c r="CU28" s="6">
        <f t="shared" si="14"/>
        <v>355</v>
      </c>
      <c r="CV28" s="6">
        <v>97</v>
      </c>
      <c r="CW28" s="6">
        <v>1560</v>
      </c>
      <c r="CX28" s="6">
        <f t="shared" si="15"/>
        <v>320</v>
      </c>
    </row>
    <row r="29" spans="1:102">
      <c r="A29" s="6">
        <v>25</v>
      </c>
      <c r="B29" s="6">
        <v>963</v>
      </c>
      <c r="C29" s="6"/>
      <c r="D29" s="6">
        <v>331</v>
      </c>
      <c r="E29" s="33" t="s">
        <v>37</v>
      </c>
      <c r="F29" s="33" t="s">
        <v>37</v>
      </c>
      <c r="G29" s="33" t="s">
        <v>37</v>
      </c>
      <c r="H29" s="33" t="s">
        <v>37</v>
      </c>
      <c r="I29" s="33" t="s">
        <v>37</v>
      </c>
      <c r="J29" s="33" t="s">
        <v>37</v>
      </c>
      <c r="K29" s="33" t="s">
        <v>37</v>
      </c>
      <c r="L29" s="33" t="s">
        <v>37</v>
      </c>
      <c r="M29" s="33" t="s">
        <v>37</v>
      </c>
      <c r="N29" s="33" t="s">
        <v>37</v>
      </c>
      <c r="O29" s="33" t="s">
        <v>37</v>
      </c>
      <c r="P29" s="33" t="s">
        <v>37</v>
      </c>
      <c r="Q29" s="33" t="s">
        <v>37</v>
      </c>
      <c r="R29" s="33" t="s">
        <v>37</v>
      </c>
      <c r="S29" s="33" t="s">
        <v>37</v>
      </c>
      <c r="T29" s="33" t="s">
        <v>37</v>
      </c>
      <c r="U29" s="148" t="s">
        <v>37</v>
      </c>
      <c r="V29" s="6">
        <v>1343</v>
      </c>
      <c r="W29" s="6"/>
      <c r="X29" s="35">
        <f t="shared" si="0"/>
        <v>380</v>
      </c>
      <c r="Y29" s="35">
        <v>133</v>
      </c>
      <c r="Z29" s="35">
        <v>1560</v>
      </c>
      <c r="AA29" s="35">
        <f t="shared" si="1"/>
        <v>350</v>
      </c>
      <c r="AB29" s="6">
        <v>486</v>
      </c>
      <c r="AC29" s="6"/>
      <c r="AD29" s="35">
        <f t="shared" si="2"/>
        <v>353</v>
      </c>
      <c r="AE29" s="6">
        <v>250</v>
      </c>
      <c r="AF29" s="6">
        <v>590</v>
      </c>
      <c r="AG29" s="34">
        <f t="shared" si="3"/>
        <v>354</v>
      </c>
      <c r="AH29" s="35">
        <v>515</v>
      </c>
      <c r="AI29" s="35"/>
      <c r="AJ29" s="35">
        <f t="shared" si="4"/>
        <v>265</v>
      </c>
      <c r="AK29" s="6">
        <v>854</v>
      </c>
      <c r="AL29" s="6"/>
      <c r="AM29" s="35">
        <f t="shared" si="5"/>
        <v>339</v>
      </c>
      <c r="AN29" s="6"/>
      <c r="AO29" s="6"/>
      <c r="AP29" s="35"/>
      <c r="AQ29" s="35">
        <v>1218</v>
      </c>
      <c r="AR29" s="35"/>
      <c r="AS29" s="35">
        <f t="shared" si="6"/>
        <v>364</v>
      </c>
      <c r="AT29" s="6">
        <v>10</v>
      </c>
      <c r="AU29" s="6">
        <v>1560</v>
      </c>
      <c r="AV29" s="35">
        <f t="shared" si="7"/>
        <v>352</v>
      </c>
      <c r="AW29" s="6">
        <v>378</v>
      </c>
      <c r="AX29" s="6"/>
      <c r="AY29" s="6">
        <f t="shared" si="8"/>
        <v>368</v>
      </c>
      <c r="AZ29" s="6">
        <v>460</v>
      </c>
      <c r="BA29" s="6"/>
      <c r="BB29" s="6">
        <f t="shared" si="9"/>
        <v>82</v>
      </c>
      <c r="BC29" s="6"/>
      <c r="BD29" s="6"/>
      <c r="BE29" s="6"/>
      <c r="BF29" s="6"/>
      <c r="BG29" s="6"/>
      <c r="BH29" s="35"/>
      <c r="BI29" s="6"/>
      <c r="BJ29" s="6"/>
      <c r="BK29" s="6"/>
      <c r="BL29" s="6"/>
      <c r="BM29" s="6"/>
      <c r="BN29" s="35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>
        <v>827</v>
      </c>
      <c r="CH29" s="6"/>
      <c r="CI29" s="6">
        <f t="shared" si="10"/>
        <v>367</v>
      </c>
      <c r="CJ29" s="6">
        <v>1195</v>
      </c>
      <c r="CK29" s="6"/>
      <c r="CL29" s="6">
        <f t="shared" si="11"/>
        <v>368</v>
      </c>
      <c r="CM29" s="6">
        <v>1557</v>
      </c>
      <c r="CN29" s="6"/>
      <c r="CO29" s="6">
        <f t="shared" si="12"/>
        <v>362</v>
      </c>
      <c r="CP29" s="6">
        <v>135</v>
      </c>
      <c r="CQ29" s="6">
        <v>1790</v>
      </c>
      <c r="CR29" s="6">
        <f t="shared" si="13"/>
        <v>368</v>
      </c>
      <c r="CS29" s="6">
        <v>0</v>
      </c>
      <c r="CT29" s="6">
        <v>489</v>
      </c>
      <c r="CU29" s="6">
        <f t="shared" si="14"/>
        <v>354</v>
      </c>
      <c r="CV29" s="6">
        <v>283</v>
      </c>
      <c r="CW29" s="6"/>
      <c r="CX29" s="6">
        <f t="shared" si="15"/>
        <v>283</v>
      </c>
    </row>
    <row r="30" spans="1:102">
      <c r="A30" s="6">
        <v>26</v>
      </c>
      <c r="B30" s="6">
        <v>587</v>
      </c>
      <c r="C30" s="6"/>
      <c r="D30" s="6">
        <v>332</v>
      </c>
      <c r="E30" s="33" t="s">
        <v>128</v>
      </c>
      <c r="F30" s="33" t="s">
        <v>128</v>
      </c>
      <c r="G30" s="33" t="s">
        <v>128</v>
      </c>
      <c r="H30" s="33" t="s">
        <v>128</v>
      </c>
      <c r="I30" s="33" t="s">
        <v>128</v>
      </c>
      <c r="J30" s="33" t="s">
        <v>128</v>
      </c>
      <c r="K30" s="33" t="s">
        <v>128</v>
      </c>
      <c r="L30" s="33" t="s">
        <v>128</v>
      </c>
      <c r="M30" s="33" t="s">
        <v>128</v>
      </c>
      <c r="N30" s="33" t="s">
        <v>128</v>
      </c>
      <c r="O30" s="33" t="s">
        <v>128</v>
      </c>
      <c r="P30" s="33" t="s">
        <v>128</v>
      </c>
      <c r="Q30" s="33" t="s">
        <v>128</v>
      </c>
      <c r="R30" s="33" t="s">
        <v>128</v>
      </c>
      <c r="S30" s="148" t="s">
        <v>128</v>
      </c>
      <c r="T30" s="33" t="s">
        <v>128</v>
      </c>
      <c r="U30" s="33" t="s">
        <v>128</v>
      </c>
      <c r="V30" s="6">
        <v>346</v>
      </c>
      <c r="W30" s="6">
        <v>616</v>
      </c>
      <c r="X30" s="35">
        <f t="shared" si="0"/>
        <v>375</v>
      </c>
      <c r="Y30" s="35">
        <v>702</v>
      </c>
      <c r="Z30" s="35"/>
      <c r="AA30" s="35">
        <f t="shared" si="1"/>
        <v>356</v>
      </c>
      <c r="AB30" s="6">
        <v>163</v>
      </c>
      <c r="AC30" s="6">
        <v>869</v>
      </c>
      <c r="AD30" s="35">
        <f t="shared" si="2"/>
        <v>330</v>
      </c>
      <c r="AE30" s="6">
        <v>517</v>
      </c>
      <c r="AF30" s="6"/>
      <c r="AG30" s="34">
        <f t="shared" si="3"/>
        <v>354</v>
      </c>
      <c r="AH30" s="35">
        <v>782</v>
      </c>
      <c r="AI30" s="35"/>
      <c r="AJ30" s="35">
        <f t="shared" si="4"/>
        <v>265</v>
      </c>
      <c r="AK30" s="6">
        <v>1131</v>
      </c>
      <c r="AL30" s="6"/>
      <c r="AM30" s="35">
        <f t="shared" si="5"/>
        <v>349</v>
      </c>
      <c r="AN30" s="6"/>
      <c r="AO30" s="6"/>
      <c r="AP30" s="35"/>
      <c r="AQ30" s="35">
        <v>1439</v>
      </c>
      <c r="AR30" s="35"/>
      <c r="AS30" s="35">
        <f t="shared" si="6"/>
        <v>308</v>
      </c>
      <c r="AT30" s="6">
        <v>248</v>
      </c>
      <c r="AU30" s="6">
        <v>1560</v>
      </c>
      <c r="AV30" s="35">
        <f t="shared" si="7"/>
        <v>369</v>
      </c>
      <c r="AW30" s="6">
        <v>622</v>
      </c>
      <c r="AX30" s="6"/>
      <c r="AY30" s="6">
        <f t="shared" si="8"/>
        <v>374</v>
      </c>
      <c r="AZ30" s="6">
        <v>706</v>
      </c>
      <c r="BA30" s="6"/>
      <c r="BB30" s="6">
        <f t="shared" si="9"/>
        <v>84</v>
      </c>
      <c r="BC30" s="6"/>
      <c r="BD30" s="6"/>
      <c r="BE30" s="6"/>
      <c r="BF30" s="6"/>
      <c r="BG30" s="6"/>
      <c r="BH30" s="35"/>
      <c r="BI30" s="6"/>
      <c r="BJ30" s="6"/>
      <c r="BK30" s="6"/>
      <c r="BL30" s="6"/>
      <c r="BM30" s="6"/>
      <c r="BN30" s="35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1056</v>
      </c>
      <c r="CH30" s="6"/>
      <c r="CI30" s="6">
        <f t="shared" si="10"/>
        <v>350</v>
      </c>
      <c r="CJ30" s="6">
        <v>1428</v>
      </c>
      <c r="CK30" s="6"/>
      <c r="CL30" s="6">
        <f t="shared" si="11"/>
        <v>372</v>
      </c>
      <c r="CM30" s="6">
        <v>239</v>
      </c>
      <c r="CN30" s="6">
        <v>1560</v>
      </c>
      <c r="CO30" s="6">
        <f t="shared" si="12"/>
        <v>371</v>
      </c>
      <c r="CP30" s="6">
        <v>276</v>
      </c>
      <c r="CQ30" s="6">
        <v>301</v>
      </c>
      <c r="CR30" s="6">
        <f t="shared" si="13"/>
        <v>338</v>
      </c>
      <c r="CS30" s="6">
        <v>640</v>
      </c>
      <c r="CT30" s="6"/>
      <c r="CU30" s="6">
        <f t="shared" si="14"/>
        <v>364</v>
      </c>
      <c r="CV30" s="6">
        <v>968</v>
      </c>
      <c r="CW30" s="6"/>
      <c r="CX30" s="6">
        <f t="shared" si="15"/>
        <v>328</v>
      </c>
    </row>
    <row r="31" spans="1:102">
      <c r="A31" s="6">
        <v>27</v>
      </c>
      <c r="B31" s="6">
        <v>344</v>
      </c>
      <c r="C31" s="6"/>
      <c r="D31" s="6">
        <v>337</v>
      </c>
      <c r="E31" s="33" t="s">
        <v>37</v>
      </c>
      <c r="F31" s="33" t="s">
        <v>37</v>
      </c>
      <c r="G31" s="33" t="s">
        <v>37</v>
      </c>
      <c r="H31" s="33" t="s">
        <v>37</v>
      </c>
      <c r="I31" s="33" t="s">
        <v>37</v>
      </c>
      <c r="J31" s="33" t="s">
        <v>37</v>
      </c>
      <c r="K31" s="33" t="s">
        <v>37</v>
      </c>
      <c r="L31" s="33" t="s">
        <v>37</v>
      </c>
      <c r="M31" s="33" t="s">
        <v>37</v>
      </c>
      <c r="N31" s="33" t="s">
        <v>37</v>
      </c>
      <c r="O31" s="33" t="s">
        <v>37</v>
      </c>
      <c r="P31" s="33" t="s">
        <v>37</v>
      </c>
      <c r="Q31" s="33" t="s">
        <v>37</v>
      </c>
      <c r="R31" s="33" t="s">
        <v>37</v>
      </c>
      <c r="S31" s="33" t="s">
        <v>37</v>
      </c>
      <c r="T31" s="148" t="s">
        <v>37</v>
      </c>
      <c r="U31" s="33" t="s">
        <v>37</v>
      </c>
      <c r="V31" s="6">
        <v>731</v>
      </c>
      <c r="W31" s="6"/>
      <c r="X31" s="35">
        <f t="shared" si="0"/>
        <v>387</v>
      </c>
      <c r="Y31" s="35">
        <v>1078</v>
      </c>
      <c r="Z31" s="35"/>
      <c r="AA31" s="35">
        <f t="shared" si="1"/>
        <v>347</v>
      </c>
      <c r="AB31" s="6">
        <v>1447</v>
      </c>
      <c r="AC31" s="6"/>
      <c r="AD31" s="35">
        <f t="shared" si="2"/>
        <v>369</v>
      </c>
      <c r="AE31" s="6">
        <v>247</v>
      </c>
      <c r="AF31" s="6">
        <v>1560</v>
      </c>
      <c r="AG31" s="34">
        <f t="shared" si="3"/>
        <v>360</v>
      </c>
      <c r="AH31" s="35">
        <v>511</v>
      </c>
      <c r="AI31" s="35"/>
      <c r="AJ31" s="35">
        <f t="shared" si="4"/>
        <v>264</v>
      </c>
      <c r="AK31" s="6">
        <v>852</v>
      </c>
      <c r="AL31" s="6"/>
      <c r="AM31" s="35">
        <f t="shared" si="5"/>
        <v>341</v>
      </c>
      <c r="AN31" s="6"/>
      <c r="AO31" s="6"/>
      <c r="AP31" s="35"/>
      <c r="AQ31" s="35">
        <v>1216</v>
      </c>
      <c r="AR31" s="35"/>
      <c r="AS31" s="35">
        <f t="shared" si="6"/>
        <v>364</v>
      </c>
      <c r="AT31" s="6">
        <v>11</v>
      </c>
      <c r="AU31" s="6">
        <v>1560</v>
      </c>
      <c r="AV31" s="35">
        <f t="shared" si="7"/>
        <v>355</v>
      </c>
      <c r="AW31" s="6">
        <v>370</v>
      </c>
      <c r="AX31" s="6"/>
      <c r="AY31" s="6">
        <f t="shared" si="8"/>
        <v>359</v>
      </c>
      <c r="AZ31" s="6">
        <v>451</v>
      </c>
      <c r="BA31" s="6"/>
      <c r="BB31" s="6">
        <f t="shared" si="9"/>
        <v>81</v>
      </c>
      <c r="BC31" s="6"/>
      <c r="BD31" s="6"/>
      <c r="BE31" s="6"/>
      <c r="BF31" s="6"/>
      <c r="BG31" s="6"/>
      <c r="BH31" s="35"/>
      <c r="BI31" s="6"/>
      <c r="BJ31" s="6"/>
      <c r="BK31" s="6"/>
      <c r="BL31" s="6"/>
      <c r="BM31" s="6"/>
      <c r="BN31" s="35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807</v>
      </c>
      <c r="CH31" s="6"/>
      <c r="CI31" s="6">
        <f t="shared" si="10"/>
        <v>356</v>
      </c>
      <c r="CJ31" s="6">
        <v>1154</v>
      </c>
      <c r="CK31" s="6"/>
      <c r="CL31" s="6">
        <f t="shared" si="11"/>
        <v>347</v>
      </c>
      <c r="CM31" s="6">
        <v>1510</v>
      </c>
      <c r="CN31" s="6"/>
      <c r="CO31" s="6">
        <f t="shared" si="12"/>
        <v>356</v>
      </c>
      <c r="CP31" s="6">
        <v>0</v>
      </c>
      <c r="CQ31" s="6">
        <v>1633</v>
      </c>
      <c r="CR31" s="6">
        <f t="shared" si="13"/>
        <v>123</v>
      </c>
      <c r="CS31" s="6">
        <v>316</v>
      </c>
      <c r="CT31" s="6"/>
      <c r="CU31" s="6">
        <f t="shared" si="14"/>
        <v>316</v>
      </c>
      <c r="CV31" s="6">
        <v>654</v>
      </c>
      <c r="CW31" s="6"/>
      <c r="CX31" s="6">
        <f t="shared" si="15"/>
        <v>338</v>
      </c>
    </row>
    <row r="32" spans="1:102">
      <c r="A32" s="6">
        <v>28</v>
      </c>
      <c r="B32" s="6">
        <v>640</v>
      </c>
      <c r="C32" s="6"/>
      <c r="D32" s="6">
        <v>329</v>
      </c>
      <c r="E32" s="33" t="s">
        <v>37</v>
      </c>
      <c r="F32" s="33" t="s">
        <v>37</v>
      </c>
      <c r="G32" s="33" t="s">
        <v>37</v>
      </c>
      <c r="H32" s="33" t="s">
        <v>37</v>
      </c>
      <c r="I32" s="33" t="s">
        <v>37</v>
      </c>
      <c r="J32" s="33" t="s">
        <v>37</v>
      </c>
      <c r="K32" s="148" t="s">
        <v>128</v>
      </c>
      <c r="L32" s="33" t="s">
        <v>128</v>
      </c>
      <c r="M32" s="33" t="s">
        <v>128</v>
      </c>
      <c r="N32" s="33" t="s">
        <v>128</v>
      </c>
      <c r="O32" s="33" t="s">
        <v>128</v>
      </c>
      <c r="P32" s="33" t="s">
        <v>128</v>
      </c>
      <c r="Q32" s="33" t="s">
        <v>128</v>
      </c>
      <c r="R32" s="33" t="s">
        <v>128</v>
      </c>
      <c r="S32" s="33" t="s">
        <v>128</v>
      </c>
      <c r="T32" s="33" t="s">
        <v>128</v>
      </c>
      <c r="U32" s="33" t="s">
        <v>128</v>
      </c>
      <c r="V32" s="35">
        <v>1023</v>
      </c>
      <c r="W32" s="35"/>
      <c r="X32" s="35">
        <f t="shared" si="0"/>
        <v>383</v>
      </c>
      <c r="Y32" s="35">
        <v>1392</v>
      </c>
      <c r="Z32" s="35"/>
      <c r="AA32" s="35">
        <f t="shared" si="1"/>
        <v>369</v>
      </c>
      <c r="AB32" s="35">
        <v>184</v>
      </c>
      <c r="AC32" s="35">
        <v>1560</v>
      </c>
      <c r="AD32" s="35">
        <f t="shared" si="2"/>
        <v>352</v>
      </c>
      <c r="AE32" s="6">
        <v>545</v>
      </c>
      <c r="AF32" s="6"/>
      <c r="AG32" s="34">
        <f t="shared" si="3"/>
        <v>361</v>
      </c>
      <c r="AH32" s="35">
        <v>0</v>
      </c>
      <c r="AI32" s="35">
        <v>608</v>
      </c>
      <c r="AJ32" s="35">
        <f t="shared" si="4"/>
        <v>63</v>
      </c>
      <c r="AK32" s="6">
        <v>329</v>
      </c>
      <c r="AL32" s="6"/>
      <c r="AM32" s="35">
        <f t="shared" si="5"/>
        <v>329</v>
      </c>
      <c r="AN32" s="6"/>
      <c r="AO32" s="6"/>
      <c r="AP32" s="35"/>
      <c r="AQ32" s="6">
        <v>706</v>
      </c>
      <c r="AR32" s="6"/>
      <c r="AS32" s="35">
        <f t="shared" si="6"/>
        <v>377</v>
      </c>
      <c r="AT32" s="6">
        <v>1079</v>
      </c>
      <c r="AU32" s="6"/>
      <c r="AV32" s="35">
        <f t="shared" si="7"/>
        <v>373</v>
      </c>
      <c r="AW32" s="6">
        <v>1456</v>
      </c>
      <c r="AX32" s="6"/>
      <c r="AY32" s="6">
        <f t="shared" si="8"/>
        <v>377</v>
      </c>
      <c r="AZ32" s="6">
        <v>1539</v>
      </c>
      <c r="BA32" s="35"/>
      <c r="BB32" s="6">
        <f t="shared" si="9"/>
        <v>83</v>
      </c>
      <c r="BC32" s="6"/>
      <c r="BD32" s="6"/>
      <c r="BE32" s="6"/>
      <c r="BF32" s="6"/>
      <c r="BG32" s="6"/>
      <c r="BH32" s="35"/>
      <c r="BI32" s="6"/>
      <c r="BJ32" s="6"/>
      <c r="BK32" s="6"/>
      <c r="BL32" s="6"/>
      <c r="BM32" s="6"/>
      <c r="BN32" s="35"/>
      <c r="BO32" s="6"/>
      <c r="BP32" s="35"/>
      <c r="BQ32" s="6"/>
      <c r="BR32" s="6"/>
      <c r="BS32" s="6"/>
      <c r="BT32" s="35"/>
      <c r="BU32" s="6"/>
      <c r="BV32" s="35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359</v>
      </c>
      <c r="CH32" s="6">
        <v>1565</v>
      </c>
      <c r="CI32" s="6">
        <f t="shared" si="10"/>
        <v>385</v>
      </c>
      <c r="CJ32" s="6">
        <v>734</v>
      </c>
      <c r="CK32" s="6"/>
      <c r="CL32" s="6">
        <f t="shared" si="11"/>
        <v>375</v>
      </c>
      <c r="CM32" s="6">
        <v>1109</v>
      </c>
      <c r="CN32" s="6"/>
      <c r="CO32" s="6">
        <f t="shared" si="12"/>
        <v>375</v>
      </c>
      <c r="CP32" s="6">
        <v>1483</v>
      </c>
      <c r="CQ32" s="6"/>
      <c r="CR32" s="6">
        <f t="shared" si="13"/>
        <v>374</v>
      </c>
      <c r="CS32" s="6">
        <v>298</v>
      </c>
      <c r="CT32" s="6">
        <v>1560</v>
      </c>
      <c r="CU32" s="6">
        <f t="shared" si="14"/>
        <v>375</v>
      </c>
      <c r="CV32" s="6">
        <v>642</v>
      </c>
      <c r="CW32" s="6"/>
      <c r="CX32" s="6">
        <f t="shared" si="15"/>
        <v>344</v>
      </c>
    </row>
    <row r="33" spans="1:102">
      <c r="A33" s="6">
        <v>29</v>
      </c>
      <c r="B33" s="6">
        <v>653</v>
      </c>
      <c r="C33" s="6"/>
      <c r="D33" s="6">
        <v>315</v>
      </c>
      <c r="E33" s="33" t="s">
        <v>37</v>
      </c>
      <c r="F33" s="33" t="s">
        <v>37</v>
      </c>
      <c r="G33" s="33" t="s">
        <v>37</v>
      </c>
      <c r="H33" s="33" t="s">
        <v>37</v>
      </c>
      <c r="I33" s="33" t="s">
        <v>37</v>
      </c>
      <c r="J33" s="33" t="s">
        <v>37</v>
      </c>
      <c r="K33" s="33" t="s">
        <v>37</v>
      </c>
      <c r="L33" s="33" t="s">
        <v>37</v>
      </c>
      <c r="M33" s="33" t="s">
        <v>37</v>
      </c>
      <c r="N33" s="33" t="s">
        <v>37</v>
      </c>
      <c r="O33" s="33" t="s">
        <v>37</v>
      </c>
      <c r="P33" s="33" t="s">
        <v>37</v>
      </c>
      <c r="Q33" s="33" t="s">
        <v>37</v>
      </c>
      <c r="R33" s="33" t="s">
        <v>37</v>
      </c>
      <c r="S33" s="33" t="s">
        <v>37</v>
      </c>
      <c r="T33" s="33" t="s">
        <v>37</v>
      </c>
      <c r="U33" s="33" t="s">
        <v>37</v>
      </c>
      <c r="V33" s="35">
        <v>1029</v>
      </c>
      <c r="W33" s="35"/>
      <c r="X33" s="35">
        <f t="shared" si="0"/>
        <v>376</v>
      </c>
      <c r="Y33" s="35">
        <v>1377</v>
      </c>
      <c r="Z33" s="35"/>
      <c r="AA33" s="35">
        <f t="shared" si="1"/>
        <v>348</v>
      </c>
      <c r="AB33" s="35">
        <v>174</v>
      </c>
      <c r="AC33" s="35">
        <v>1560</v>
      </c>
      <c r="AD33" s="35">
        <f t="shared" si="2"/>
        <v>357</v>
      </c>
      <c r="AE33" s="35">
        <v>526</v>
      </c>
      <c r="AF33" s="35"/>
      <c r="AG33" s="34">
        <f t="shared" si="3"/>
        <v>352</v>
      </c>
      <c r="AH33" s="35">
        <v>240</v>
      </c>
      <c r="AI33" s="35">
        <v>550</v>
      </c>
      <c r="AJ33" s="35">
        <f t="shared" si="4"/>
        <v>264</v>
      </c>
      <c r="AK33" s="6">
        <v>579</v>
      </c>
      <c r="AL33" s="6"/>
      <c r="AM33" s="35">
        <f t="shared" si="5"/>
        <v>339</v>
      </c>
      <c r="AN33" s="6"/>
      <c r="AO33" s="6"/>
      <c r="AP33" s="35"/>
      <c r="AQ33" s="6">
        <v>943</v>
      </c>
      <c r="AR33" s="6"/>
      <c r="AS33" s="35">
        <f t="shared" si="6"/>
        <v>364</v>
      </c>
      <c r="AT33" s="6">
        <v>1289</v>
      </c>
      <c r="AU33" s="6"/>
      <c r="AV33" s="35">
        <f t="shared" si="7"/>
        <v>346</v>
      </c>
      <c r="AW33" s="6">
        <v>82</v>
      </c>
      <c r="AX33" s="6">
        <v>1560</v>
      </c>
      <c r="AY33" s="6">
        <f t="shared" si="8"/>
        <v>353</v>
      </c>
      <c r="AZ33" s="6">
        <v>162</v>
      </c>
      <c r="BA33" s="35"/>
      <c r="BB33" s="6">
        <f t="shared" si="9"/>
        <v>80</v>
      </c>
      <c r="BC33" s="6"/>
      <c r="BD33" s="6"/>
      <c r="BE33" s="6"/>
      <c r="BF33" s="6"/>
      <c r="BG33" s="6"/>
      <c r="BH33" s="35"/>
      <c r="BI33" s="6"/>
      <c r="BJ33" s="6"/>
      <c r="BK33" s="6"/>
      <c r="BL33" s="6"/>
      <c r="BM33" s="6"/>
      <c r="BN33" s="35"/>
      <c r="BO33" s="6"/>
      <c r="BP33" s="35"/>
      <c r="BQ33" s="6"/>
      <c r="BR33" s="6"/>
      <c r="BS33" s="6"/>
      <c r="BT33" s="35"/>
      <c r="BU33" s="6"/>
      <c r="BV33" s="35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v>531</v>
      </c>
      <c r="CH33" s="6"/>
      <c r="CI33" s="6">
        <f t="shared" si="10"/>
        <v>369</v>
      </c>
      <c r="CJ33" s="6">
        <v>892</v>
      </c>
      <c r="CK33" s="6"/>
      <c r="CL33" s="6">
        <f t="shared" si="11"/>
        <v>361</v>
      </c>
      <c r="CM33" s="6">
        <v>1256</v>
      </c>
      <c r="CN33" s="6"/>
      <c r="CO33" s="6">
        <f t="shared" si="12"/>
        <v>364</v>
      </c>
      <c r="CP33" s="6">
        <v>69</v>
      </c>
      <c r="CQ33" s="6">
        <v>1540</v>
      </c>
      <c r="CR33" s="6">
        <f t="shared" si="13"/>
        <v>353</v>
      </c>
      <c r="CS33" s="6">
        <v>424</v>
      </c>
      <c r="CT33" s="6"/>
      <c r="CU33" s="6">
        <f t="shared" si="14"/>
        <v>355</v>
      </c>
      <c r="CV33" s="6">
        <v>747</v>
      </c>
      <c r="CW33" s="6"/>
      <c r="CX33" s="6">
        <f t="shared" si="15"/>
        <v>323</v>
      </c>
    </row>
    <row r="34" spans="1:102">
      <c r="A34" s="6">
        <v>30</v>
      </c>
      <c r="B34" s="6">
        <v>1174</v>
      </c>
      <c r="C34" s="6"/>
      <c r="D34" s="6">
        <v>338</v>
      </c>
      <c r="E34" s="33" t="s">
        <v>128</v>
      </c>
      <c r="F34" s="33" t="s">
        <v>128</v>
      </c>
      <c r="G34" s="33" t="s">
        <v>128</v>
      </c>
      <c r="H34" s="33" t="s">
        <v>128</v>
      </c>
      <c r="I34" s="33" t="s">
        <v>128</v>
      </c>
      <c r="J34" s="33" t="s">
        <v>128</v>
      </c>
      <c r="K34" s="33" t="s">
        <v>128</v>
      </c>
      <c r="L34" s="33" t="s">
        <v>128</v>
      </c>
      <c r="M34" s="33" t="s">
        <v>128</v>
      </c>
      <c r="N34" s="33" t="s">
        <v>128</v>
      </c>
      <c r="O34" s="33" t="s">
        <v>128</v>
      </c>
      <c r="P34" s="33" t="s">
        <v>128</v>
      </c>
      <c r="Q34" s="33" t="s">
        <v>128</v>
      </c>
      <c r="R34" s="33" t="s">
        <v>128</v>
      </c>
      <c r="S34" s="33" t="s">
        <v>128</v>
      </c>
      <c r="T34" s="148" t="s">
        <v>128</v>
      </c>
      <c r="U34" s="33" t="s">
        <v>128</v>
      </c>
      <c r="V34" s="6">
        <v>1</v>
      </c>
      <c r="W34" s="6">
        <v>1560</v>
      </c>
      <c r="X34" s="35">
        <f t="shared" si="0"/>
        <v>387</v>
      </c>
      <c r="Y34" s="35">
        <v>115</v>
      </c>
      <c r="Z34" s="35"/>
      <c r="AA34" s="35">
        <f t="shared" si="1"/>
        <v>114</v>
      </c>
      <c r="AB34" s="6">
        <v>446</v>
      </c>
      <c r="AC34" s="6"/>
      <c r="AD34" s="35">
        <f t="shared" si="2"/>
        <v>331</v>
      </c>
      <c r="AE34" s="6">
        <v>809</v>
      </c>
      <c r="AF34" s="6"/>
      <c r="AG34" s="34">
        <f t="shared" si="3"/>
        <v>363</v>
      </c>
      <c r="AH34" s="35">
        <v>1079</v>
      </c>
      <c r="AI34" s="35"/>
      <c r="AJ34" s="35">
        <f t="shared" si="4"/>
        <v>270</v>
      </c>
      <c r="AK34" s="6">
        <v>1427</v>
      </c>
      <c r="AL34" s="6"/>
      <c r="AM34" s="35">
        <f t="shared" si="5"/>
        <v>348</v>
      </c>
      <c r="AN34" s="6"/>
      <c r="AO34" s="6"/>
      <c r="AP34" s="35"/>
      <c r="AQ34" s="35">
        <v>232</v>
      </c>
      <c r="AR34" s="35">
        <v>1560</v>
      </c>
      <c r="AS34" s="35">
        <f t="shared" si="6"/>
        <v>365</v>
      </c>
      <c r="AT34" s="6">
        <v>589</v>
      </c>
      <c r="AU34" s="6"/>
      <c r="AV34" s="35">
        <f t="shared" si="7"/>
        <v>357</v>
      </c>
      <c r="AW34" s="6">
        <v>951</v>
      </c>
      <c r="AX34" s="6"/>
      <c r="AY34" s="6">
        <f t="shared" si="8"/>
        <v>362</v>
      </c>
      <c r="AZ34" s="6">
        <v>1033</v>
      </c>
      <c r="BA34" s="6"/>
      <c r="BB34" s="6">
        <f t="shared" si="9"/>
        <v>82</v>
      </c>
      <c r="BC34" s="6"/>
      <c r="BD34" s="6"/>
      <c r="BE34" s="6"/>
      <c r="BF34" s="6"/>
      <c r="BG34" s="6"/>
      <c r="BH34" s="35"/>
      <c r="BI34" s="6"/>
      <c r="BJ34" s="6"/>
      <c r="BK34" s="6"/>
      <c r="BL34" s="6"/>
      <c r="BM34" s="6"/>
      <c r="BN34" s="35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v>1398</v>
      </c>
      <c r="CH34" s="6"/>
      <c r="CI34" s="6">
        <f t="shared" si="10"/>
        <v>365</v>
      </c>
      <c r="CJ34" s="6">
        <v>194</v>
      </c>
      <c r="CK34" s="6">
        <v>1560</v>
      </c>
      <c r="CL34" s="6">
        <f t="shared" si="11"/>
        <v>356</v>
      </c>
      <c r="CM34" s="6">
        <v>562</v>
      </c>
      <c r="CN34" s="6"/>
      <c r="CO34" s="6">
        <f t="shared" si="12"/>
        <v>368</v>
      </c>
      <c r="CP34" s="6">
        <v>0</v>
      </c>
      <c r="CQ34" s="6">
        <v>860</v>
      </c>
      <c r="CR34" s="6">
        <f t="shared" si="13"/>
        <v>298</v>
      </c>
      <c r="CS34" s="6">
        <v>338</v>
      </c>
      <c r="CT34" s="6"/>
      <c r="CU34" s="6">
        <f t="shared" si="14"/>
        <v>338</v>
      </c>
      <c r="CV34" s="6">
        <v>672</v>
      </c>
      <c r="CW34" s="6"/>
      <c r="CX34" s="6">
        <f t="shared" si="15"/>
        <v>334</v>
      </c>
    </row>
    <row r="35" spans="1:102">
      <c r="A35" s="6">
        <v>31</v>
      </c>
      <c r="B35" s="6">
        <v>658</v>
      </c>
      <c r="C35" s="6"/>
      <c r="D35" s="6">
        <v>327</v>
      </c>
      <c r="E35" s="33" t="s">
        <v>37</v>
      </c>
      <c r="F35" s="33" t="s">
        <v>37</v>
      </c>
      <c r="G35" s="33" t="s">
        <v>37</v>
      </c>
      <c r="H35" s="33" t="s">
        <v>37</v>
      </c>
      <c r="I35" s="33" t="s">
        <v>37</v>
      </c>
      <c r="J35" s="33" t="s">
        <v>37</v>
      </c>
      <c r="K35" s="33" t="s">
        <v>37</v>
      </c>
      <c r="L35" s="33" t="s">
        <v>37</v>
      </c>
      <c r="M35" s="33" t="s">
        <v>37</v>
      </c>
      <c r="N35" s="33" t="s">
        <v>37</v>
      </c>
      <c r="O35" s="33" t="s">
        <v>37</v>
      </c>
      <c r="P35" s="33" t="s">
        <v>37</v>
      </c>
      <c r="Q35" s="33" t="s">
        <v>37</v>
      </c>
      <c r="R35" s="33" t="s">
        <v>37</v>
      </c>
      <c r="S35" s="33" t="s">
        <v>37</v>
      </c>
      <c r="T35" s="33" t="s">
        <v>37</v>
      </c>
      <c r="U35" s="33" t="s">
        <v>37</v>
      </c>
      <c r="V35" s="6">
        <v>262</v>
      </c>
      <c r="W35" s="6">
        <v>774</v>
      </c>
      <c r="X35" s="35">
        <f t="shared" si="0"/>
        <v>378</v>
      </c>
      <c r="Y35" s="35">
        <v>622</v>
      </c>
      <c r="Z35" s="35"/>
      <c r="AA35" s="35">
        <f t="shared" si="1"/>
        <v>360</v>
      </c>
      <c r="AB35" s="6">
        <v>985</v>
      </c>
      <c r="AC35" s="6"/>
      <c r="AD35" s="35">
        <f t="shared" si="2"/>
        <v>363</v>
      </c>
      <c r="AE35" s="6">
        <v>1344</v>
      </c>
      <c r="AF35" s="6"/>
      <c r="AG35" s="34">
        <f t="shared" si="3"/>
        <v>359</v>
      </c>
      <c r="AH35" s="35">
        <v>237</v>
      </c>
      <c r="AI35" s="35">
        <v>1366</v>
      </c>
      <c r="AJ35" s="35">
        <f t="shared" si="4"/>
        <v>259</v>
      </c>
      <c r="AK35" s="6">
        <v>574</v>
      </c>
      <c r="AL35" s="6"/>
      <c r="AM35" s="35">
        <f t="shared" si="5"/>
        <v>337</v>
      </c>
      <c r="AN35" s="6"/>
      <c r="AO35" s="6"/>
      <c r="AP35" s="35"/>
      <c r="AQ35" s="35">
        <v>931</v>
      </c>
      <c r="AR35" s="35"/>
      <c r="AS35" s="35">
        <f t="shared" si="6"/>
        <v>357</v>
      </c>
      <c r="AT35" s="6">
        <v>1285</v>
      </c>
      <c r="AU35" s="6"/>
      <c r="AV35" s="35">
        <f t="shared" si="7"/>
        <v>354</v>
      </c>
      <c r="AW35" s="6">
        <v>85</v>
      </c>
      <c r="AX35" s="6">
        <v>1560</v>
      </c>
      <c r="AY35" s="6">
        <f t="shared" si="8"/>
        <v>360</v>
      </c>
      <c r="AZ35" s="6">
        <v>168</v>
      </c>
      <c r="BA35" s="6"/>
      <c r="BB35" s="6">
        <f t="shared" si="9"/>
        <v>83</v>
      </c>
      <c r="BC35" s="6"/>
      <c r="BD35" s="6"/>
      <c r="BE35" s="6"/>
      <c r="BF35" s="6"/>
      <c r="BG35" s="6"/>
      <c r="BH35" s="35"/>
      <c r="BI35" s="6"/>
      <c r="BJ35" s="6"/>
      <c r="BK35" s="6"/>
      <c r="BL35" s="6"/>
      <c r="BM35" s="6"/>
      <c r="BN35" s="35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543</v>
      </c>
      <c r="CH35" s="6"/>
      <c r="CI35" s="6">
        <f t="shared" si="10"/>
        <v>375</v>
      </c>
      <c r="CJ35" s="6">
        <v>902</v>
      </c>
      <c r="CK35" s="6"/>
      <c r="CL35" s="6">
        <f t="shared" si="11"/>
        <v>359</v>
      </c>
      <c r="CM35" s="6">
        <v>1272</v>
      </c>
      <c r="CN35" s="6"/>
      <c r="CO35" s="6">
        <f t="shared" si="12"/>
        <v>370</v>
      </c>
      <c r="CP35" s="6">
        <v>68</v>
      </c>
      <c r="CQ35" s="6">
        <v>1560</v>
      </c>
      <c r="CR35" s="6">
        <f t="shared" si="13"/>
        <v>356</v>
      </c>
      <c r="CS35" s="6">
        <v>418</v>
      </c>
      <c r="CT35" s="6"/>
      <c r="CU35" s="6">
        <f t="shared" si="14"/>
        <v>350</v>
      </c>
      <c r="CV35" s="6">
        <v>746</v>
      </c>
      <c r="CW35" s="6"/>
      <c r="CX35" s="6">
        <f t="shared" si="15"/>
        <v>328</v>
      </c>
    </row>
    <row r="36" spans="1:102">
      <c r="A36" s="6">
        <v>32</v>
      </c>
      <c r="B36" s="6">
        <v>1394</v>
      </c>
      <c r="C36" s="6"/>
      <c r="D36" s="6">
        <v>339</v>
      </c>
      <c r="E36" s="33" t="s">
        <v>37</v>
      </c>
      <c r="F36" s="33" t="s">
        <v>37</v>
      </c>
      <c r="G36" s="33" t="s">
        <v>37</v>
      </c>
      <c r="H36" s="33" t="s">
        <v>37</v>
      </c>
      <c r="I36" s="33" t="s">
        <v>37</v>
      </c>
      <c r="J36" s="33" t="s">
        <v>37</v>
      </c>
      <c r="K36" s="33" t="s">
        <v>37</v>
      </c>
      <c r="L36" s="33" t="s">
        <v>37</v>
      </c>
      <c r="M36" s="33" t="s">
        <v>37</v>
      </c>
      <c r="N36" s="33" t="s">
        <v>37</v>
      </c>
      <c r="O36" s="33" t="s">
        <v>37</v>
      </c>
      <c r="P36" s="33" t="s">
        <v>37</v>
      </c>
      <c r="Q36" s="33" t="s">
        <v>37</v>
      </c>
      <c r="R36" s="33" t="s">
        <v>37</v>
      </c>
      <c r="S36" s="33" t="s">
        <v>37</v>
      </c>
      <c r="T36" s="33" t="s">
        <v>37</v>
      </c>
      <c r="U36" s="33" t="s">
        <v>37</v>
      </c>
      <c r="V36" s="6">
        <v>333</v>
      </c>
      <c r="W36" s="6">
        <v>1427</v>
      </c>
      <c r="X36" s="35">
        <f t="shared" si="0"/>
        <v>366</v>
      </c>
      <c r="Y36" s="35">
        <v>690</v>
      </c>
      <c r="Z36" s="35"/>
      <c r="AA36" s="35">
        <f t="shared" si="1"/>
        <v>357</v>
      </c>
      <c r="AB36" s="6">
        <v>1043</v>
      </c>
      <c r="AC36" s="6"/>
      <c r="AD36" s="35">
        <f t="shared" si="2"/>
        <v>353</v>
      </c>
      <c r="AE36" s="6">
        <v>1399</v>
      </c>
      <c r="AF36" s="6"/>
      <c r="AG36" s="34">
        <f t="shared" si="3"/>
        <v>356</v>
      </c>
      <c r="AH36" s="35">
        <v>102</v>
      </c>
      <c r="AI36" s="35">
        <v>1427</v>
      </c>
      <c r="AJ36" s="35">
        <f t="shared" si="4"/>
        <v>130</v>
      </c>
      <c r="AK36" s="6">
        <v>443</v>
      </c>
      <c r="AL36" s="6"/>
      <c r="AM36" s="35">
        <f t="shared" si="5"/>
        <v>341</v>
      </c>
      <c r="AN36" s="6"/>
      <c r="AO36" s="6"/>
      <c r="AP36" s="35"/>
      <c r="AQ36" s="35">
        <v>776</v>
      </c>
      <c r="AR36" s="35"/>
      <c r="AS36" s="35">
        <f t="shared" si="6"/>
        <v>333</v>
      </c>
      <c r="AT36" s="6">
        <v>1126</v>
      </c>
      <c r="AU36" s="6"/>
      <c r="AV36" s="35">
        <f t="shared" si="7"/>
        <v>350</v>
      </c>
      <c r="AW36" s="6">
        <v>1476</v>
      </c>
      <c r="AX36" s="6"/>
      <c r="AY36" s="6">
        <f t="shared" si="8"/>
        <v>350</v>
      </c>
      <c r="AZ36" s="6">
        <v>1558</v>
      </c>
      <c r="BA36" s="6"/>
      <c r="BB36" s="6">
        <f t="shared" si="9"/>
        <v>82</v>
      </c>
      <c r="BC36" s="6"/>
      <c r="BD36" s="6"/>
      <c r="BE36" s="6"/>
      <c r="BF36" s="6"/>
      <c r="BG36" s="6"/>
      <c r="BH36" s="35"/>
      <c r="BI36" s="6"/>
      <c r="BJ36" s="6"/>
      <c r="BK36" s="6"/>
      <c r="BL36" s="6"/>
      <c r="BM36" s="6"/>
      <c r="BN36" s="35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>
        <v>147</v>
      </c>
      <c r="CH36" s="6">
        <v>1778</v>
      </c>
      <c r="CI36" s="6">
        <f t="shared" si="10"/>
        <v>367</v>
      </c>
      <c r="CJ36" s="6">
        <v>522</v>
      </c>
      <c r="CK36" s="6"/>
      <c r="CL36" s="6">
        <f t="shared" si="11"/>
        <v>375</v>
      </c>
      <c r="CM36" s="6">
        <v>897</v>
      </c>
      <c r="CN36" s="6"/>
      <c r="CO36" s="6">
        <f t="shared" si="12"/>
        <v>375</v>
      </c>
      <c r="CP36" s="6">
        <v>1271</v>
      </c>
      <c r="CQ36" s="6"/>
      <c r="CR36" s="6">
        <f t="shared" si="13"/>
        <v>374</v>
      </c>
      <c r="CS36" s="6">
        <v>58</v>
      </c>
      <c r="CT36" s="6">
        <v>1560</v>
      </c>
      <c r="CU36" s="6">
        <f t="shared" si="14"/>
        <v>347</v>
      </c>
      <c r="CV36" s="6">
        <v>397</v>
      </c>
      <c r="CW36" s="6"/>
      <c r="CX36" s="6">
        <f t="shared" si="15"/>
        <v>339</v>
      </c>
    </row>
    <row r="37" spans="1:102">
      <c r="A37" s="6">
        <v>33</v>
      </c>
      <c r="B37" s="6">
        <v>81</v>
      </c>
      <c r="C37" s="6">
        <v>1560</v>
      </c>
      <c r="D37" s="6">
        <v>303</v>
      </c>
      <c r="E37" s="33" t="s">
        <v>37</v>
      </c>
      <c r="F37" s="33" t="s">
        <v>37</v>
      </c>
      <c r="G37" s="33" t="s">
        <v>37</v>
      </c>
      <c r="H37" s="33" t="s">
        <v>37</v>
      </c>
      <c r="I37" s="33" t="s">
        <v>37</v>
      </c>
      <c r="J37" s="33" t="s">
        <v>37</v>
      </c>
      <c r="K37" s="33" t="s">
        <v>37</v>
      </c>
      <c r="L37" s="33" t="s">
        <v>37</v>
      </c>
      <c r="M37" s="33" t="s">
        <v>37</v>
      </c>
      <c r="N37" s="33" t="s">
        <v>37</v>
      </c>
      <c r="O37" s="33" t="s">
        <v>37</v>
      </c>
      <c r="P37" s="33" t="s">
        <v>37</v>
      </c>
      <c r="Q37" s="33" t="s">
        <v>37</v>
      </c>
      <c r="R37" s="33" t="s">
        <v>37</v>
      </c>
      <c r="S37" s="33" t="s">
        <v>37</v>
      </c>
      <c r="T37" s="33" t="s">
        <v>37</v>
      </c>
      <c r="U37" s="33" t="s">
        <v>37</v>
      </c>
      <c r="V37" s="35">
        <v>477</v>
      </c>
      <c r="W37" s="35"/>
      <c r="X37" s="35">
        <f t="shared" si="0"/>
        <v>396</v>
      </c>
      <c r="Y37" s="35">
        <v>842</v>
      </c>
      <c r="Z37" s="35"/>
      <c r="AA37" s="35">
        <f t="shared" si="1"/>
        <v>365</v>
      </c>
      <c r="AB37" s="35">
        <v>1215</v>
      </c>
      <c r="AC37" s="35"/>
      <c r="AD37" s="35">
        <f t="shared" si="2"/>
        <v>373</v>
      </c>
      <c r="AE37" s="35">
        <v>21</v>
      </c>
      <c r="AF37" s="35">
        <v>1560</v>
      </c>
      <c r="AG37" s="34">
        <f t="shared" si="3"/>
        <v>366</v>
      </c>
      <c r="AH37" s="35">
        <v>295</v>
      </c>
      <c r="AI37" s="35"/>
      <c r="AJ37" s="35">
        <f t="shared" si="4"/>
        <v>274</v>
      </c>
      <c r="AK37" s="6">
        <v>634</v>
      </c>
      <c r="AL37" s="6"/>
      <c r="AM37" s="35">
        <f t="shared" si="5"/>
        <v>339</v>
      </c>
      <c r="AN37" s="35"/>
      <c r="AO37" s="35"/>
      <c r="AP37" s="35"/>
      <c r="AQ37" s="6">
        <v>1002</v>
      </c>
      <c r="AR37" s="6"/>
      <c r="AS37" s="35">
        <f t="shared" si="6"/>
        <v>368</v>
      </c>
      <c r="AT37" s="6">
        <v>1363</v>
      </c>
      <c r="AU37" s="6"/>
      <c r="AV37" s="35">
        <f t="shared" si="7"/>
        <v>361</v>
      </c>
      <c r="AW37" s="6">
        <v>176</v>
      </c>
      <c r="AX37" s="6">
        <v>1560</v>
      </c>
      <c r="AY37" s="6">
        <f t="shared" si="8"/>
        <v>373</v>
      </c>
      <c r="AZ37" s="6">
        <v>260</v>
      </c>
      <c r="BA37" s="6"/>
      <c r="BB37" s="6">
        <f t="shared" si="9"/>
        <v>84</v>
      </c>
      <c r="BC37" s="6"/>
      <c r="BD37" s="6"/>
      <c r="BE37" s="6"/>
      <c r="BF37" s="6"/>
      <c r="BG37" s="6"/>
      <c r="BH37" s="35"/>
      <c r="BI37" s="6"/>
      <c r="BJ37" s="6"/>
      <c r="BK37" s="6"/>
      <c r="BL37" s="6"/>
      <c r="BM37" s="6"/>
      <c r="BN37" s="35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651</v>
      </c>
      <c r="CH37" s="6"/>
      <c r="CI37" s="6">
        <f t="shared" si="10"/>
        <v>391</v>
      </c>
      <c r="CJ37" s="6">
        <v>1033</v>
      </c>
      <c r="CK37" s="6"/>
      <c r="CL37" s="6">
        <f t="shared" si="11"/>
        <v>382</v>
      </c>
      <c r="CM37" s="6">
        <v>1414</v>
      </c>
      <c r="CN37" s="6"/>
      <c r="CO37" s="6">
        <f t="shared" si="12"/>
        <v>381</v>
      </c>
      <c r="CP37" s="6">
        <v>220</v>
      </c>
      <c r="CQ37" s="6">
        <v>1560</v>
      </c>
      <c r="CR37" s="6">
        <f t="shared" si="13"/>
        <v>366</v>
      </c>
      <c r="CS37" s="6">
        <v>591</v>
      </c>
      <c r="CT37" s="6"/>
      <c r="CU37" s="6">
        <f t="shared" si="14"/>
        <v>371</v>
      </c>
      <c r="CV37" s="6">
        <v>925</v>
      </c>
      <c r="CW37" s="6"/>
      <c r="CX37" s="6">
        <f t="shared" si="15"/>
        <v>334</v>
      </c>
    </row>
    <row r="38" spans="1:102">
      <c r="A38" s="6">
        <v>34</v>
      </c>
      <c r="B38" s="6">
        <v>1372</v>
      </c>
      <c r="C38" s="6"/>
      <c r="D38" s="6">
        <v>329</v>
      </c>
      <c r="E38" s="33" t="s">
        <v>37</v>
      </c>
      <c r="F38" s="33" t="s">
        <v>37</v>
      </c>
      <c r="G38" s="33" t="s">
        <v>37</v>
      </c>
      <c r="H38" s="33" t="s">
        <v>37</v>
      </c>
      <c r="I38" s="33" t="s">
        <v>37</v>
      </c>
      <c r="J38" s="33" t="s">
        <v>37</v>
      </c>
      <c r="K38" s="148" t="s">
        <v>128</v>
      </c>
      <c r="L38" s="33" t="s">
        <v>128</v>
      </c>
      <c r="M38" s="33" t="s">
        <v>128</v>
      </c>
      <c r="N38" s="33" t="s">
        <v>128</v>
      </c>
      <c r="O38" s="33" t="s">
        <v>128</v>
      </c>
      <c r="P38" s="33" t="s">
        <v>128</v>
      </c>
      <c r="Q38" s="33" t="s">
        <v>128</v>
      </c>
      <c r="R38" s="33" t="s">
        <v>128</v>
      </c>
      <c r="S38" s="33" t="s">
        <v>128</v>
      </c>
      <c r="T38" s="33" t="s">
        <v>128</v>
      </c>
      <c r="U38" s="33" t="s">
        <v>128</v>
      </c>
      <c r="V38" s="35">
        <v>197</v>
      </c>
      <c r="W38" s="35">
        <v>1560</v>
      </c>
      <c r="X38" s="35">
        <f t="shared" si="0"/>
        <v>385</v>
      </c>
      <c r="Y38" s="35">
        <v>560</v>
      </c>
      <c r="Z38" s="35"/>
      <c r="AA38" s="35">
        <f t="shared" si="1"/>
        <v>363</v>
      </c>
      <c r="AB38" s="35">
        <v>918</v>
      </c>
      <c r="AC38" s="35"/>
      <c r="AD38" s="35">
        <f t="shared" si="2"/>
        <v>358</v>
      </c>
      <c r="AE38" s="35">
        <v>1273</v>
      </c>
      <c r="AF38" s="35"/>
      <c r="AG38" s="34">
        <f t="shared" si="3"/>
        <v>355</v>
      </c>
      <c r="AH38" s="35">
        <v>1538</v>
      </c>
      <c r="AI38" s="35"/>
      <c r="AJ38" s="35">
        <f t="shared" si="4"/>
        <v>265</v>
      </c>
      <c r="AK38" s="6">
        <v>309</v>
      </c>
      <c r="AL38" s="6">
        <v>1560</v>
      </c>
      <c r="AM38" s="35">
        <f t="shared" si="5"/>
        <v>331</v>
      </c>
      <c r="AN38" s="35"/>
      <c r="AO38" s="6"/>
      <c r="AP38" s="35"/>
      <c r="AQ38" s="6">
        <v>679</v>
      </c>
      <c r="AR38" s="6"/>
      <c r="AS38" s="35">
        <f t="shared" si="6"/>
        <v>370</v>
      </c>
      <c r="AT38" s="6">
        <v>1045</v>
      </c>
      <c r="AU38" s="6"/>
      <c r="AV38" s="35">
        <f t="shared" si="7"/>
        <v>366</v>
      </c>
      <c r="AW38" s="6">
        <v>1421</v>
      </c>
      <c r="AX38" s="6"/>
      <c r="AY38" s="6">
        <f t="shared" si="8"/>
        <v>376</v>
      </c>
      <c r="AZ38" s="6">
        <v>1501</v>
      </c>
      <c r="BA38" s="6"/>
      <c r="BB38" s="6">
        <f t="shared" si="9"/>
        <v>80</v>
      </c>
      <c r="BC38" s="6"/>
      <c r="BD38" s="6"/>
      <c r="BE38" s="6"/>
      <c r="BF38" s="6"/>
      <c r="BG38" s="6"/>
      <c r="BH38" s="35"/>
      <c r="BI38" s="6"/>
      <c r="BJ38" s="6"/>
      <c r="BK38" s="6"/>
      <c r="BL38" s="6"/>
      <c r="BM38" s="6"/>
      <c r="BN38" s="35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>
        <v>336</v>
      </c>
      <c r="CH38" s="6">
        <v>1550</v>
      </c>
      <c r="CI38" s="6">
        <f t="shared" si="10"/>
        <v>385</v>
      </c>
      <c r="CJ38" s="6">
        <v>693</v>
      </c>
      <c r="CK38" s="6"/>
      <c r="CL38" s="6">
        <f t="shared" si="11"/>
        <v>357</v>
      </c>
      <c r="CM38" s="6">
        <v>1060</v>
      </c>
      <c r="CN38" s="6"/>
      <c r="CO38" s="6">
        <f t="shared" si="12"/>
        <v>367</v>
      </c>
      <c r="CP38" s="6">
        <v>1433</v>
      </c>
      <c r="CQ38" s="6"/>
      <c r="CR38" s="6">
        <f t="shared" si="13"/>
        <v>373</v>
      </c>
      <c r="CS38" s="6">
        <v>248</v>
      </c>
      <c r="CT38" s="6">
        <v>1560</v>
      </c>
      <c r="CU38" s="6">
        <f t="shared" si="14"/>
        <v>375</v>
      </c>
      <c r="CV38" s="6">
        <v>582</v>
      </c>
      <c r="CW38" s="6"/>
      <c r="CX38" s="6">
        <f t="shared" si="15"/>
        <v>334</v>
      </c>
    </row>
    <row r="39" spans="1:102">
      <c r="A39" s="6">
        <v>35</v>
      </c>
      <c r="B39" s="6">
        <v>398</v>
      </c>
      <c r="C39" s="6"/>
      <c r="D39" s="6">
        <v>341</v>
      </c>
      <c r="E39" s="33" t="s">
        <v>37</v>
      </c>
      <c r="F39" s="33" t="s">
        <v>37</v>
      </c>
      <c r="G39" s="33" t="s">
        <v>37</v>
      </c>
      <c r="H39" s="33" t="s">
        <v>37</v>
      </c>
      <c r="I39" s="33" t="s">
        <v>37</v>
      </c>
      <c r="J39" s="33" t="s">
        <v>37</v>
      </c>
      <c r="K39" s="33" t="s">
        <v>37</v>
      </c>
      <c r="L39" s="33" t="s">
        <v>37</v>
      </c>
      <c r="M39" s="33" t="s">
        <v>37</v>
      </c>
      <c r="N39" s="33" t="s">
        <v>37</v>
      </c>
      <c r="O39" s="33" t="s">
        <v>37</v>
      </c>
      <c r="P39" s="33" t="s">
        <v>37</v>
      </c>
      <c r="Q39" s="33" t="s">
        <v>37</v>
      </c>
      <c r="R39" s="33" t="s">
        <v>37</v>
      </c>
      <c r="S39" s="33" t="s">
        <v>37</v>
      </c>
      <c r="T39" s="33" t="s">
        <v>37</v>
      </c>
      <c r="U39" s="33" t="s">
        <v>37</v>
      </c>
      <c r="V39" s="6">
        <v>792</v>
      </c>
      <c r="W39" s="6"/>
      <c r="X39" s="35">
        <f t="shared" si="0"/>
        <v>394</v>
      </c>
      <c r="Y39" s="35">
        <v>1158</v>
      </c>
      <c r="Z39" s="35"/>
      <c r="AA39" s="35">
        <f t="shared" si="1"/>
        <v>366</v>
      </c>
      <c r="AB39" s="6">
        <v>1531</v>
      </c>
      <c r="AC39" s="6"/>
      <c r="AD39" s="35">
        <f t="shared" si="2"/>
        <v>373</v>
      </c>
      <c r="AE39" s="6">
        <v>332</v>
      </c>
      <c r="AF39" s="6">
        <v>1560</v>
      </c>
      <c r="AG39" s="34">
        <f t="shared" si="3"/>
        <v>361</v>
      </c>
      <c r="AH39" s="35">
        <v>601</v>
      </c>
      <c r="AI39" s="35"/>
      <c r="AJ39" s="35">
        <f t="shared" si="4"/>
        <v>269</v>
      </c>
      <c r="AK39" s="6">
        <v>945</v>
      </c>
      <c r="AL39" s="6"/>
      <c r="AM39" s="35">
        <f t="shared" si="5"/>
        <v>344</v>
      </c>
      <c r="AN39" s="6"/>
      <c r="AO39" s="6"/>
      <c r="AP39" s="35"/>
      <c r="AQ39" s="35">
        <v>1317</v>
      </c>
      <c r="AR39" s="35"/>
      <c r="AS39" s="35">
        <f t="shared" si="6"/>
        <v>372</v>
      </c>
      <c r="AT39" s="6">
        <v>121</v>
      </c>
      <c r="AU39" s="6">
        <v>1560</v>
      </c>
      <c r="AV39" s="35">
        <f t="shared" si="7"/>
        <v>364</v>
      </c>
      <c r="AW39" s="6">
        <v>495</v>
      </c>
      <c r="AX39" s="6"/>
      <c r="AY39" s="6">
        <f t="shared" si="8"/>
        <v>374</v>
      </c>
      <c r="AZ39" s="6">
        <v>579</v>
      </c>
      <c r="BA39" s="6"/>
      <c r="BB39" s="6">
        <f t="shared" si="9"/>
        <v>84</v>
      </c>
      <c r="BC39" s="6"/>
      <c r="BD39" s="6"/>
      <c r="BE39" s="6"/>
      <c r="BF39" s="6"/>
      <c r="BG39" s="6"/>
      <c r="BH39" s="35"/>
      <c r="BI39" s="6"/>
      <c r="BJ39" s="6"/>
      <c r="BK39" s="6"/>
      <c r="BL39" s="6"/>
      <c r="BM39" s="6"/>
      <c r="BN39" s="35"/>
      <c r="BO39" s="35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>
        <v>973</v>
      </c>
      <c r="CH39" s="6"/>
      <c r="CI39" s="6">
        <f t="shared" si="10"/>
        <v>394</v>
      </c>
      <c r="CJ39" s="6">
        <v>1348</v>
      </c>
      <c r="CK39" s="6"/>
      <c r="CL39" s="6">
        <f t="shared" si="11"/>
        <v>375</v>
      </c>
      <c r="CM39" s="6">
        <v>332</v>
      </c>
      <c r="CN39" s="6">
        <v>1392</v>
      </c>
      <c r="CO39" s="6">
        <f t="shared" si="12"/>
        <v>376</v>
      </c>
      <c r="CP39" s="6">
        <v>694</v>
      </c>
      <c r="CQ39" s="6"/>
      <c r="CR39" s="6">
        <f t="shared" si="13"/>
        <v>362</v>
      </c>
      <c r="CS39" s="6">
        <v>1056</v>
      </c>
      <c r="CT39" s="6"/>
      <c r="CU39" s="6">
        <f t="shared" si="14"/>
        <v>362</v>
      </c>
      <c r="CV39" s="6">
        <v>1385</v>
      </c>
      <c r="CW39" s="6"/>
      <c r="CX39" s="6">
        <f t="shared" si="15"/>
        <v>329</v>
      </c>
    </row>
    <row r="40" spans="1:102" ht="14.25" customHeight="1">
      <c r="A40" s="6">
        <v>36</v>
      </c>
      <c r="B40" s="6">
        <v>84</v>
      </c>
      <c r="C40" s="6">
        <v>1560</v>
      </c>
      <c r="D40" s="6">
        <v>332</v>
      </c>
      <c r="E40" s="33" t="s">
        <v>37</v>
      </c>
      <c r="F40" s="33" t="s">
        <v>37</v>
      </c>
      <c r="G40" s="33" t="s">
        <v>37</v>
      </c>
      <c r="H40" s="33" t="s">
        <v>37</v>
      </c>
      <c r="I40" s="33" t="s">
        <v>37</v>
      </c>
      <c r="J40" s="33" t="s">
        <v>37</v>
      </c>
      <c r="K40" s="33" t="s">
        <v>37</v>
      </c>
      <c r="L40" s="33" t="s">
        <v>37</v>
      </c>
      <c r="M40" s="33" t="s">
        <v>37</v>
      </c>
      <c r="N40" s="33" t="s">
        <v>37</v>
      </c>
      <c r="O40" s="33" t="s">
        <v>37</v>
      </c>
      <c r="P40" s="33" t="s">
        <v>37</v>
      </c>
      <c r="Q40" s="33" t="s">
        <v>37</v>
      </c>
      <c r="R40" s="33" t="s">
        <v>37</v>
      </c>
      <c r="S40" s="148" t="s">
        <v>37</v>
      </c>
      <c r="T40" s="33" t="s">
        <v>37</v>
      </c>
      <c r="U40" s="33" t="s">
        <v>37</v>
      </c>
      <c r="V40" s="6">
        <v>234</v>
      </c>
      <c r="W40" s="6">
        <v>222</v>
      </c>
      <c r="X40" s="35">
        <f t="shared" si="0"/>
        <v>372</v>
      </c>
      <c r="Y40" s="35">
        <v>0</v>
      </c>
      <c r="Z40" s="35">
        <v>353</v>
      </c>
      <c r="AA40" s="35">
        <f t="shared" si="1"/>
        <v>119</v>
      </c>
      <c r="AB40" s="6">
        <v>328</v>
      </c>
      <c r="AC40" s="6"/>
      <c r="AD40" s="35">
        <f t="shared" si="2"/>
        <v>328</v>
      </c>
      <c r="AE40" s="6">
        <v>680</v>
      </c>
      <c r="AF40" s="6"/>
      <c r="AG40" s="34">
        <f t="shared" si="3"/>
        <v>352</v>
      </c>
      <c r="AH40" s="35">
        <v>947</v>
      </c>
      <c r="AI40" s="35"/>
      <c r="AJ40" s="35">
        <f t="shared" si="4"/>
        <v>267</v>
      </c>
      <c r="AK40" s="6">
        <v>1292</v>
      </c>
      <c r="AL40" s="6"/>
      <c r="AM40" s="35">
        <f t="shared" si="5"/>
        <v>345</v>
      </c>
      <c r="AN40" s="6"/>
      <c r="AO40" s="6"/>
      <c r="AP40" s="35"/>
      <c r="AQ40" s="35">
        <v>101</v>
      </c>
      <c r="AR40" s="35">
        <v>1560</v>
      </c>
      <c r="AS40" s="35">
        <f t="shared" si="6"/>
        <v>369</v>
      </c>
      <c r="AT40" s="6">
        <v>450</v>
      </c>
      <c r="AU40" s="6"/>
      <c r="AV40" s="35">
        <f t="shared" si="7"/>
        <v>349</v>
      </c>
      <c r="AW40" s="6">
        <v>835</v>
      </c>
      <c r="AX40" s="6"/>
      <c r="AY40" s="6">
        <f t="shared" si="8"/>
        <v>385</v>
      </c>
      <c r="AZ40" s="6">
        <v>913</v>
      </c>
      <c r="BA40" s="6"/>
      <c r="BB40" s="6">
        <f t="shared" si="9"/>
        <v>78</v>
      </c>
      <c r="BC40" s="6"/>
      <c r="BD40" s="6"/>
      <c r="BE40" s="6"/>
      <c r="BF40" s="6"/>
      <c r="BG40" s="6"/>
      <c r="BH40" s="35"/>
      <c r="BI40" s="6"/>
      <c r="BJ40" s="6"/>
      <c r="BK40" s="6"/>
      <c r="BL40" s="6"/>
      <c r="BM40" s="6"/>
      <c r="BN40" s="35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>
        <v>1280</v>
      </c>
      <c r="CH40" s="6"/>
      <c r="CI40" s="6">
        <f t="shared" si="10"/>
        <v>367</v>
      </c>
      <c r="CJ40" s="6">
        <v>75</v>
      </c>
      <c r="CK40" s="6">
        <v>1560</v>
      </c>
      <c r="CL40" s="6">
        <f t="shared" si="11"/>
        <v>355</v>
      </c>
      <c r="CM40" s="6">
        <v>0</v>
      </c>
      <c r="CN40" s="6">
        <v>432</v>
      </c>
      <c r="CO40" s="6">
        <f t="shared" si="12"/>
        <v>357</v>
      </c>
      <c r="CP40" s="6">
        <v>312</v>
      </c>
      <c r="CQ40" s="6"/>
      <c r="CR40" s="6">
        <f t="shared" si="13"/>
        <v>312</v>
      </c>
      <c r="CS40" s="6">
        <v>669</v>
      </c>
      <c r="CT40" s="6"/>
      <c r="CU40" s="6">
        <f t="shared" si="14"/>
        <v>357</v>
      </c>
      <c r="CV40" s="6">
        <v>987</v>
      </c>
      <c r="CW40" s="6"/>
      <c r="CX40" s="6">
        <f t="shared" si="15"/>
        <v>318</v>
      </c>
    </row>
    <row r="41" spans="1:102">
      <c r="A41" s="6">
        <v>37</v>
      </c>
      <c r="B41" s="6">
        <v>1129</v>
      </c>
      <c r="C41" s="6"/>
      <c r="D41" s="6">
        <v>326</v>
      </c>
      <c r="E41" s="33" t="s">
        <v>128</v>
      </c>
      <c r="F41" s="33" t="s">
        <v>128</v>
      </c>
      <c r="G41" s="33" t="s">
        <v>128</v>
      </c>
      <c r="H41" s="33" t="s">
        <v>128</v>
      </c>
      <c r="I41" s="33" t="s">
        <v>128</v>
      </c>
      <c r="J41" s="33" t="s">
        <v>128</v>
      </c>
      <c r="K41" s="33" t="s">
        <v>128</v>
      </c>
      <c r="L41" s="33" t="s">
        <v>128</v>
      </c>
      <c r="M41" s="33" t="s">
        <v>128</v>
      </c>
      <c r="N41" s="33" t="s">
        <v>128</v>
      </c>
      <c r="O41" s="33" t="s">
        <v>128</v>
      </c>
      <c r="P41" s="33" t="s">
        <v>128</v>
      </c>
      <c r="Q41" s="33" t="s">
        <v>128</v>
      </c>
      <c r="R41" s="33" t="s">
        <v>128</v>
      </c>
      <c r="S41" s="148" t="s">
        <v>128</v>
      </c>
      <c r="T41" s="33" t="s">
        <v>128</v>
      </c>
      <c r="U41" s="33" t="s">
        <v>128</v>
      </c>
      <c r="V41" s="6">
        <v>1511</v>
      </c>
      <c r="W41" s="6"/>
      <c r="X41" s="35">
        <f t="shared" si="0"/>
        <v>382</v>
      </c>
      <c r="Y41" s="35">
        <v>309</v>
      </c>
      <c r="Z41" s="35">
        <v>1560</v>
      </c>
      <c r="AA41" s="35">
        <f t="shared" si="1"/>
        <v>358</v>
      </c>
      <c r="AB41" s="6">
        <v>664</v>
      </c>
      <c r="AC41" s="6"/>
      <c r="AD41" s="35">
        <f t="shared" si="2"/>
        <v>355</v>
      </c>
      <c r="AE41" s="6">
        <v>1013</v>
      </c>
      <c r="AF41" s="6"/>
      <c r="AG41" s="34">
        <f t="shared" si="3"/>
        <v>349</v>
      </c>
      <c r="AH41" s="35">
        <v>3</v>
      </c>
      <c r="AI41" s="35">
        <v>1287</v>
      </c>
      <c r="AJ41" s="35">
        <f t="shared" si="4"/>
        <v>277</v>
      </c>
      <c r="AK41" s="6">
        <v>308</v>
      </c>
      <c r="AL41" s="6"/>
      <c r="AM41" s="35">
        <f t="shared" si="5"/>
        <v>305</v>
      </c>
      <c r="AN41" s="6"/>
      <c r="AO41" s="6"/>
      <c r="AP41" s="35"/>
      <c r="AQ41" s="35">
        <v>678</v>
      </c>
      <c r="AR41" s="35"/>
      <c r="AS41" s="35">
        <f t="shared" si="6"/>
        <v>370</v>
      </c>
      <c r="AT41" s="6">
        <v>1041</v>
      </c>
      <c r="AU41" s="6"/>
      <c r="AV41" s="35">
        <f t="shared" si="7"/>
        <v>363</v>
      </c>
      <c r="AW41" s="6">
        <v>186</v>
      </c>
      <c r="AX41" s="6">
        <v>1212</v>
      </c>
      <c r="AY41" s="6">
        <f t="shared" si="8"/>
        <v>357</v>
      </c>
      <c r="AZ41" s="6">
        <v>281</v>
      </c>
      <c r="BA41" s="6"/>
      <c r="BB41" s="6">
        <f t="shared" si="9"/>
        <v>95</v>
      </c>
      <c r="BC41" s="6"/>
      <c r="BD41" s="6"/>
      <c r="BE41" s="6"/>
      <c r="BF41" s="6"/>
      <c r="BG41" s="6"/>
      <c r="BH41" s="35"/>
      <c r="BI41" s="6"/>
      <c r="BJ41" s="6"/>
      <c r="BK41" s="6"/>
      <c r="BL41" s="6"/>
      <c r="BM41" s="6"/>
      <c r="BN41" s="35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635</v>
      </c>
      <c r="CH41" s="6"/>
      <c r="CI41" s="6">
        <f t="shared" si="10"/>
        <v>354</v>
      </c>
      <c r="CJ41" s="6">
        <v>991</v>
      </c>
      <c r="CK41" s="6"/>
      <c r="CL41" s="6">
        <f t="shared" si="11"/>
        <v>356</v>
      </c>
      <c r="CM41" s="6">
        <v>1347</v>
      </c>
      <c r="CN41" s="6"/>
      <c r="CO41" s="6">
        <f t="shared" si="12"/>
        <v>356</v>
      </c>
      <c r="CP41" s="6">
        <v>240</v>
      </c>
      <c r="CQ41" s="6">
        <v>1455</v>
      </c>
      <c r="CR41" s="6">
        <f t="shared" si="13"/>
        <v>348</v>
      </c>
      <c r="CS41" s="6">
        <v>599</v>
      </c>
      <c r="CT41" s="6"/>
      <c r="CU41" s="6">
        <f t="shared" si="14"/>
        <v>359</v>
      </c>
      <c r="CV41" s="6">
        <v>930</v>
      </c>
      <c r="CW41" s="6"/>
      <c r="CX41" s="6">
        <f t="shared" si="15"/>
        <v>331</v>
      </c>
    </row>
    <row r="42" spans="1:102">
      <c r="A42" s="6">
        <v>38</v>
      </c>
      <c r="B42" s="6">
        <v>825</v>
      </c>
      <c r="C42" s="6"/>
      <c r="D42" s="6">
        <v>324</v>
      </c>
      <c r="E42" s="33" t="s">
        <v>37</v>
      </c>
      <c r="F42" s="33" t="s">
        <v>37</v>
      </c>
      <c r="G42" s="33" t="s">
        <v>37</v>
      </c>
      <c r="H42" s="33" t="s">
        <v>37</v>
      </c>
      <c r="I42" s="33" t="s">
        <v>37</v>
      </c>
      <c r="J42" s="33" t="s">
        <v>37</v>
      </c>
      <c r="K42" s="33" t="s">
        <v>37</v>
      </c>
      <c r="L42" s="33" t="s">
        <v>37</v>
      </c>
      <c r="M42" s="33" t="s">
        <v>37</v>
      </c>
      <c r="N42" s="33" t="s">
        <v>37</v>
      </c>
      <c r="O42" s="33" t="s">
        <v>37</v>
      </c>
      <c r="P42" s="33" t="s">
        <v>37</v>
      </c>
      <c r="Q42" s="33" t="s">
        <v>37</v>
      </c>
      <c r="R42" s="148" t="s">
        <v>37</v>
      </c>
      <c r="S42" s="33" t="s">
        <v>37</v>
      </c>
      <c r="T42" s="33" t="s">
        <v>37</v>
      </c>
      <c r="U42" s="33" t="s">
        <v>37</v>
      </c>
      <c r="V42" s="6">
        <v>1204</v>
      </c>
      <c r="W42" s="6"/>
      <c r="X42" s="35">
        <f t="shared" si="0"/>
        <v>379</v>
      </c>
      <c r="Y42" s="35">
        <v>1550</v>
      </c>
      <c r="Z42" s="35"/>
      <c r="AA42" s="35">
        <f t="shared" si="1"/>
        <v>346</v>
      </c>
      <c r="AB42" s="6">
        <v>332</v>
      </c>
      <c r="AC42" s="6">
        <v>1560</v>
      </c>
      <c r="AD42" s="35">
        <f t="shared" si="2"/>
        <v>342</v>
      </c>
      <c r="AE42" s="6">
        <v>682</v>
      </c>
      <c r="AF42" s="6"/>
      <c r="AG42" s="34">
        <f t="shared" si="3"/>
        <v>350</v>
      </c>
      <c r="AH42" s="35">
        <v>1021</v>
      </c>
      <c r="AI42" s="35"/>
      <c r="AJ42" s="35">
        <f t="shared" si="4"/>
        <v>339</v>
      </c>
      <c r="AK42" s="6">
        <v>1327</v>
      </c>
      <c r="AL42" s="6"/>
      <c r="AM42" s="35">
        <f t="shared" si="5"/>
        <v>306</v>
      </c>
      <c r="AN42" s="6"/>
      <c r="AO42" s="6"/>
      <c r="AP42" s="35"/>
      <c r="AQ42" s="35">
        <v>313</v>
      </c>
      <c r="AR42" s="35">
        <v>1367</v>
      </c>
      <c r="AS42" s="35">
        <f t="shared" si="6"/>
        <v>353</v>
      </c>
      <c r="AT42" s="6">
        <v>681</v>
      </c>
      <c r="AU42" s="6"/>
      <c r="AV42" s="35">
        <f t="shared" si="7"/>
        <v>368</v>
      </c>
      <c r="AW42" s="6">
        <v>1044</v>
      </c>
      <c r="AX42" s="6"/>
      <c r="AY42" s="6">
        <f t="shared" si="8"/>
        <v>363</v>
      </c>
      <c r="AZ42" s="6">
        <v>1132</v>
      </c>
      <c r="BA42" s="6"/>
      <c r="BB42" s="6">
        <f t="shared" si="9"/>
        <v>88</v>
      </c>
      <c r="BC42" s="6"/>
      <c r="BD42" s="6"/>
      <c r="BE42" s="6"/>
      <c r="BF42" s="6"/>
      <c r="BG42" s="6"/>
      <c r="BH42" s="35"/>
      <c r="BI42" s="6"/>
      <c r="BJ42" s="6"/>
      <c r="BK42" s="6"/>
      <c r="BL42" s="6"/>
      <c r="BM42" s="6"/>
      <c r="BN42" s="35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1503</v>
      </c>
      <c r="CH42" s="6"/>
      <c r="CI42" s="6">
        <f t="shared" si="10"/>
        <v>371</v>
      </c>
      <c r="CJ42" s="6">
        <v>0</v>
      </c>
      <c r="CK42" s="6">
        <v>1850</v>
      </c>
      <c r="CL42" s="6">
        <f t="shared" si="11"/>
        <v>347</v>
      </c>
      <c r="CM42" s="6">
        <v>329</v>
      </c>
      <c r="CN42" s="6"/>
      <c r="CO42" s="6">
        <f t="shared" si="12"/>
        <v>329</v>
      </c>
      <c r="CP42" s="6">
        <v>675</v>
      </c>
      <c r="CQ42" s="6"/>
      <c r="CR42" s="6">
        <f t="shared" si="13"/>
        <v>346</v>
      </c>
      <c r="CS42" s="6">
        <v>1017</v>
      </c>
      <c r="CT42" s="6"/>
      <c r="CU42" s="6">
        <f t="shared" si="14"/>
        <v>342</v>
      </c>
      <c r="CV42" s="6">
        <v>1342</v>
      </c>
      <c r="CW42" s="6"/>
      <c r="CX42" s="6">
        <f t="shared" si="15"/>
        <v>325</v>
      </c>
    </row>
    <row r="43" spans="1:102">
      <c r="A43" s="6">
        <v>39</v>
      </c>
      <c r="B43" s="6">
        <v>905</v>
      </c>
      <c r="C43" s="6"/>
      <c r="D43" s="6">
        <v>320</v>
      </c>
      <c r="E43" s="33" t="s">
        <v>37</v>
      </c>
      <c r="F43" s="33" t="s">
        <v>37</v>
      </c>
      <c r="G43" s="33" t="s">
        <v>37</v>
      </c>
      <c r="H43" s="33" t="s">
        <v>37</v>
      </c>
      <c r="I43" s="33" t="s">
        <v>37</v>
      </c>
      <c r="J43" s="33" t="s">
        <v>37</v>
      </c>
      <c r="K43" s="33" t="s">
        <v>37</v>
      </c>
      <c r="L43" s="33" t="s">
        <v>37</v>
      </c>
      <c r="M43" s="33" t="s">
        <v>37</v>
      </c>
      <c r="N43" s="33" t="s">
        <v>37</v>
      </c>
      <c r="O43" s="33" t="s">
        <v>37</v>
      </c>
      <c r="P43" s="33" t="s">
        <v>37</v>
      </c>
      <c r="Q43" s="33" t="s">
        <v>37</v>
      </c>
      <c r="R43" s="33" t="s">
        <v>37</v>
      </c>
      <c r="S43" s="148" t="s">
        <v>37</v>
      </c>
      <c r="T43" s="33" t="s">
        <v>37</v>
      </c>
      <c r="U43" s="33" t="s">
        <v>37</v>
      </c>
      <c r="V43" s="6">
        <v>1263</v>
      </c>
      <c r="W43" s="6"/>
      <c r="X43" s="35">
        <f t="shared" si="0"/>
        <v>358</v>
      </c>
      <c r="Y43" s="35">
        <v>54</v>
      </c>
      <c r="Z43" s="35">
        <v>1560</v>
      </c>
      <c r="AA43" s="35">
        <f t="shared" si="1"/>
        <v>351</v>
      </c>
      <c r="AB43" s="6">
        <v>404</v>
      </c>
      <c r="AC43" s="6"/>
      <c r="AD43" s="35">
        <f t="shared" si="2"/>
        <v>350</v>
      </c>
      <c r="AE43" s="6">
        <v>753</v>
      </c>
      <c r="AF43" s="6"/>
      <c r="AG43" s="34">
        <f t="shared" si="3"/>
        <v>349</v>
      </c>
      <c r="AH43" s="35">
        <v>1088</v>
      </c>
      <c r="AI43" s="35"/>
      <c r="AJ43" s="35">
        <f t="shared" si="4"/>
        <v>335</v>
      </c>
      <c r="AK43" s="6">
        <v>1382</v>
      </c>
      <c r="AL43" s="6"/>
      <c r="AM43" s="35">
        <f t="shared" si="5"/>
        <v>294</v>
      </c>
      <c r="AN43" s="6"/>
      <c r="AO43" s="6"/>
      <c r="AP43" s="35"/>
      <c r="AQ43" s="35">
        <v>220</v>
      </c>
      <c r="AR43" s="35">
        <v>1524</v>
      </c>
      <c r="AS43" s="35">
        <f t="shared" si="6"/>
        <v>362</v>
      </c>
      <c r="AT43" s="6">
        <v>567</v>
      </c>
      <c r="AU43" s="6"/>
      <c r="AV43" s="35">
        <f t="shared" si="7"/>
        <v>347</v>
      </c>
      <c r="AW43" s="6">
        <v>801</v>
      </c>
      <c r="AX43" s="6"/>
      <c r="AY43" s="6">
        <f t="shared" si="8"/>
        <v>234</v>
      </c>
      <c r="AZ43" s="6">
        <v>882</v>
      </c>
      <c r="BA43" s="6"/>
      <c r="BB43" s="6">
        <f t="shared" si="9"/>
        <v>81</v>
      </c>
      <c r="BC43" s="6"/>
      <c r="BD43" s="6"/>
      <c r="BE43" s="6"/>
      <c r="BF43" s="6"/>
      <c r="BG43" s="6"/>
      <c r="BH43" s="35"/>
      <c r="BI43" s="6"/>
      <c r="BJ43" s="6"/>
      <c r="BK43" s="6"/>
      <c r="BL43" s="6"/>
      <c r="BM43" s="6"/>
      <c r="BN43" s="35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1219</v>
      </c>
      <c r="CH43" s="6"/>
      <c r="CI43" s="6">
        <f t="shared" si="10"/>
        <v>337</v>
      </c>
      <c r="CJ43" s="6">
        <v>1573</v>
      </c>
      <c r="CK43" s="6"/>
      <c r="CL43" s="6">
        <f t="shared" si="11"/>
        <v>354</v>
      </c>
      <c r="CM43" s="6">
        <v>0</v>
      </c>
      <c r="CN43" s="6">
        <v>1904</v>
      </c>
      <c r="CO43" s="6">
        <f t="shared" si="12"/>
        <v>331</v>
      </c>
      <c r="CP43" s="6">
        <v>316</v>
      </c>
      <c r="CQ43" s="6"/>
      <c r="CR43" s="6">
        <f t="shared" si="13"/>
        <v>316</v>
      </c>
      <c r="CS43" s="6">
        <v>654</v>
      </c>
      <c r="CT43" s="6"/>
      <c r="CU43" s="6">
        <f t="shared" si="14"/>
        <v>338</v>
      </c>
      <c r="CV43" s="6">
        <v>982</v>
      </c>
      <c r="CW43" s="6"/>
      <c r="CX43" s="6">
        <f t="shared" si="15"/>
        <v>328</v>
      </c>
    </row>
    <row r="44" spans="1:102">
      <c r="A44" s="6">
        <v>40</v>
      </c>
      <c r="B44" s="6">
        <v>312</v>
      </c>
      <c r="C44" s="6">
        <v>1560</v>
      </c>
      <c r="D44" s="6">
        <v>330</v>
      </c>
      <c r="E44" s="169" t="s">
        <v>37</v>
      </c>
      <c r="F44" s="169" t="s">
        <v>37</v>
      </c>
      <c r="G44" s="169" t="s">
        <v>37</v>
      </c>
      <c r="H44" s="169" t="s">
        <v>37</v>
      </c>
      <c r="I44" s="169" t="s">
        <v>37</v>
      </c>
      <c r="J44" s="169" t="s">
        <v>37</v>
      </c>
      <c r="K44" s="169" t="s">
        <v>37</v>
      </c>
      <c r="L44" s="169" t="s">
        <v>37</v>
      </c>
      <c r="M44" s="169" t="s">
        <v>37</v>
      </c>
      <c r="N44" s="169" t="s">
        <v>37</v>
      </c>
      <c r="O44" s="169" t="s">
        <v>37</v>
      </c>
      <c r="P44" s="169" t="s">
        <v>37</v>
      </c>
      <c r="Q44" s="169" t="s">
        <v>37</v>
      </c>
      <c r="R44" s="169" t="s">
        <v>37</v>
      </c>
      <c r="S44" s="169" t="s">
        <v>37</v>
      </c>
      <c r="T44" s="169" t="s">
        <v>37</v>
      </c>
      <c r="U44" s="169" t="s">
        <v>37</v>
      </c>
      <c r="V44" s="6">
        <v>39</v>
      </c>
      <c r="W44" s="6">
        <v>655</v>
      </c>
      <c r="X44" s="35">
        <f t="shared" si="0"/>
        <v>382</v>
      </c>
      <c r="Y44" s="35">
        <v>386</v>
      </c>
      <c r="Z44" s="35"/>
      <c r="AA44" s="35">
        <f t="shared" si="1"/>
        <v>347</v>
      </c>
      <c r="AB44" s="6">
        <v>182</v>
      </c>
      <c r="AC44" s="6">
        <v>535</v>
      </c>
      <c r="AD44" s="35">
        <f t="shared" si="2"/>
        <v>331</v>
      </c>
      <c r="AE44" s="6">
        <v>510</v>
      </c>
      <c r="AF44" s="6"/>
      <c r="AG44" s="34">
        <f t="shared" si="3"/>
        <v>328</v>
      </c>
      <c r="AH44" s="35">
        <v>616</v>
      </c>
      <c r="AI44" s="35"/>
      <c r="AJ44" s="35">
        <f t="shared" si="4"/>
        <v>106</v>
      </c>
      <c r="AK44" s="6">
        <v>914</v>
      </c>
      <c r="AL44" s="6"/>
      <c r="AM44" s="35">
        <f t="shared" si="5"/>
        <v>298</v>
      </c>
      <c r="AN44" s="6"/>
      <c r="AO44" s="6"/>
      <c r="AP44" s="35"/>
      <c r="AQ44" s="35">
        <v>16</v>
      </c>
      <c r="AR44" s="35">
        <v>1249</v>
      </c>
      <c r="AS44" s="35">
        <f t="shared" si="6"/>
        <v>351</v>
      </c>
      <c r="AT44" s="6">
        <v>373</v>
      </c>
      <c r="AU44" s="6"/>
      <c r="AV44" s="35">
        <f t="shared" si="7"/>
        <v>357</v>
      </c>
      <c r="AW44" s="6">
        <v>23</v>
      </c>
      <c r="AX44" s="6">
        <v>705</v>
      </c>
      <c r="AY44" s="6">
        <f t="shared" si="8"/>
        <v>355</v>
      </c>
      <c r="AZ44" s="6">
        <v>105</v>
      </c>
      <c r="BA44" s="6"/>
      <c r="BB44" s="6">
        <f t="shared" si="9"/>
        <v>82</v>
      </c>
      <c r="BC44" s="6"/>
      <c r="BD44" s="6"/>
      <c r="BE44" s="6"/>
      <c r="BF44" s="6"/>
      <c r="BG44" s="6"/>
      <c r="BH44" s="35"/>
      <c r="BI44" s="6"/>
      <c r="BJ44" s="6"/>
      <c r="BK44" s="6"/>
      <c r="BL44" s="6"/>
      <c r="BM44" s="6"/>
      <c r="BN44" s="35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460</v>
      </c>
      <c r="CH44" s="6"/>
      <c r="CI44" s="6">
        <f t="shared" si="10"/>
        <v>355</v>
      </c>
      <c r="CJ44" s="6">
        <v>825</v>
      </c>
      <c r="CK44" s="6"/>
      <c r="CL44" s="6">
        <f t="shared" si="11"/>
        <v>365</v>
      </c>
      <c r="CM44" s="6">
        <v>1191</v>
      </c>
      <c r="CN44" s="6"/>
      <c r="CO44" s="6">
        <f t="shared" si="12"/>
        <v>366</v>
      </c>
      <c r="CP44" s="6">
        <v>289</v>
      </c>
      <c r="CQ44" s="6">
        <v>1253</v>
      </c>
      <c r="CR44" s="6">
        <f t="shared" si="13"/>
        <v>351</v>
      </c>
      <c r="CS44" s="6">
        <v>654</v>
      </c>
      <c r="CT44" s="6"/>
      <c r="CU44" s="6">
        <f t="shared" si="14"/>
        <v>365</v>
      </c>
      <c r="CV44" s="6">
        <v>198</v>
      </c>
      <c r="CW44" s="6">
        <v>748</v>
      </c>
      <c r="CX44" s="6">
        <f t="shared" si="15"/>
        <v>292</v>
      </c>
    </row>
    <row r="45" spans="1:102">
      <c r="A45" s="6">
        <v>41</v>
      </c>
      <c r="B45" s="6">
        <v>472</v>
      </c>
      <c r="C45" s="6"/>
      <c r="D45" s="6">
        <v>317</v>
      </c>
      <c r="E45" s="33" t="s">
        <v>130</v>
      </c>
      <c r="F45" s="33" t="s">
        <v>130</v>
      </c>
      <c r="G45" s="33" t="s">
        <v>130</v>
      </c>
      <c r="H45" s="33" t="s">
        <v>130</v>
      </c>
      <c r="I45" s="33" t="s">
        <v>130</v>
      </c>
      <c r="J45" s="33" t="s">
        <v>130</v>
      </c>
      <c r="K45" s="33" t="s">
        <v>130</v>
      </c>
      <c r="L45" s="148" t="s">
        <v>128</v>
      </c>
      <c r="M45" s="33" t="s">
        <v>128</v>
      </c>
      <c r="N45" s="33" t="s">
        <v>128</v>
      </c>
      <c r="O45" s="33" t="s">
        <v>128</v>
      </c>
      <c r="P45" s="33" t="s">
        <v>128</v>
      </c>
      <c r="Q45" s="33" t="s">
        <v>128</v>
      </c>
      <c r="R45" s="33" t="s">
        <v>128</v>
      </c>
      <c r="S45" s="33" t="s">
        <v>128</v>
      </c>
      <c r="T45" s="33" t="s">
        <v>128</v>
      </c>
      <c r="U45" s="33" t="s">
        <v>128</v>
      </c>
      <c r="V45" s="6">
        <v>844</v>
      </c>
      <c r="W45" s="6"/>
      <c r="X45" s="35">
        <f t="shared" si="0"/>
        <v>372</v>
      </c>
      <c r="Y45" s="35">
        <v>1183</v>
      </c>
      <c r="Z45" s="35"/>
      <c r="AA45" s="35">
        <f t="shared" si="1"/>
        <v>339</v>
      </c>
      <c r="AB45" s="6">
        <v>331</v>
      </c>
      <c r="AC45" s="6">
        <v>1200</v>
      </c>
      <c r="AD45" s="35">
        <f t="shared" si="2"/>
        <v>348</v>
      </c>
      <c r="AE45" s="6">
        <v>680</v>
      </c>
      <c r="AF45" s="6"/>
      <c r="AG45" s="34">
        <f t="shared" si="3"/>
        <v>349</v>
      </c>
      <c r="AH45" s="35">
        <v>1007</v>
      </c>
      <c r="AI45" s="35"/>
      <c r="AJ45" s="35">
        <f t="shared" si="4"/>
        <v>327</v>
      </c>
      <c r="AK45" s="6">
        <v>0</v>
      </c>
      <c r="AL45" s="6">
        <v>1117</v>
      </c>
      <c r="AM45" s="35">
        <f t="shared" si="5"/>
        <v>110</v>
      </c>
      <c r="AN45" s="6"/>
      <c r="AO45" s="6"/>
      <c r="AP45" s="35"/>
      <c r="AQ45" s="35">
        <v>339</v>
      </c>
      <c r="AR45" s="35"/>
      <c r="AS45" s="35">
        <f t="shared" si="6"/>
        <v>339</v>
      </c>
      <c r="AT45" s="6">
        <v>697</v>
      </c>
      <c r="AU45" s="6"/>
      <c r="AV45" s="35">
        <f t="shared" si="7"/>
        <v>358</v>
      </c>
      <c r="AW45" s="6">
        <v>1055</v>
      </c>
      <c r="AX45" s="6"/>
      <c r="AY45" s="6">
        <f t="shared" si="8"/>
        <v>358</v>
      </c>
      <c r="AZ45" s="6">
        <v>1136</v>
      </c>
      <c r="BA45" s="6"/>
      <c r="BB45" s="6">
        <f t="shared" si="9"/>
        <v>81</v>
      </c>
      <c r="BC45" s="6"/>
      <c r="BD45" s="6"/>
      <c r="BE45" s="6"/>
      <c r="BF45" s="6"/>
      <c r="BG45" s="6"/>
      <c r="BH45" s="35"/>
      <c r="BI45" s="6"/>
      <c r="BJ45" s="6"/>
      <c r="BK45" s="6"/>
      <c r="BL45" s="6"/>
      <c r="BM45" s="6"/>
      <c r="BN45" s="35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>
        <v>1406</v>
      </c>
      <c r="CH45" s="6"/>
      <c r="CI45" s="6">
        <f t="shared" si="10"/>
        <v>270</v>
      </c>
      <c r="CJ45" s="6">
        <v>209</v>
      </c>
      <c r="CK45" s="6">
        <v>1560</v>
      </c>
      <c r="CL45" s="6">
        <f t="shared" si="11"/>
        <v>363</v>
      </c>
      <c r="CM45" s="6">
        <v>573</v>
      </c>
      <c r="CN45" s="6"/>
      <c r="CO45" s="6">
        <f t="shared" si="12"/>
        <v>364</v>
      </c>
      <c r="CP45" s="6">
        <v>935</v>
      </c>
      <c r="CQ45" s="6"/>
      <c r="CR45" s="6">
        <f t="shared" si="13"/>
        <v>362</v>
      </c>
      <c r="CS45" s="6">
        <v>1298</v>
      </c>
      <c r="CT45" s="6"/>
      <c r="CU45" s="6">
        <f t="shared" si="14"/>
        <v>363</v>
      </c>
      <c r="CV45" s="6">
        <v>69</v>
      </c>
      <c r="CW45" s="6">
        <v>1560</v>
      </c>
      <c r="CX45" s="6">
        <f t="shared" si="15"/>
        <v>331</v>
      </c>
    </row>
    <row r="46" spans="1:102">
      <c r="A46" s="6">
        <v>42</v>
      </c>
      <c r="B46" s="6">
        <v>340</v>
      </c>
      <c r="C46" s="6"/>
      <c r="D46" s="6">
        <v>325</v>
      </c>
      <c r="E46" s="33" t="s">
        <v>37</v>
      </c>
      <c r="F46" s="33" t="s">
        <v>37</v>
      </c>
      <c r="G46" s="33" t="s">
        <v>37</v>
      </c>
      <c r="H46" s="33" t="s">
        <v>37</v>
      </c>
      <c r="I46" s="33" t="s">
        <v>37</v>
      </c>
      <c r="J46" s="33" t="s">
        <v>37</v>
      </c>
      <c r="K46" s="33" t="s">
        <v>37</v>
      </c>
      <c r="L46" s="33" t="s">
        <v>37</v>
      </c>
      <c r="M46" s="33" t="s">
        <v>37</v>
      </c>
      <c r="N46" s="33" t="s">
        <v>37</v>
      </c>
      <c r="O46" s="33" t="s">
        <v>37</v>
      </c>
      <c r="P46" s="33" t="s">
        <v>37</v>
      </c>
      <c r="Q46" s="33" t="s">
        <v>37</v>
      </c>
      <c r="R46" s="33" t="s">
        <v>37</v>
      </c>
      <c r="S46" s="33" t="s">
        <v>37</v>
      </c>
      <c r="T46" s="33" t="s">
        <v>37</v>
      </c>
      <c r="U46" s="33" t="s">
        <v>37</v>
      </c>
      <c r="V46" s="6">
        <v>720</v>
      </c>
      <c r="W46" s="6"/>
      <c r="X46" s="35">
        <f t="shared" si="0"/>
        <v>380</v>
      </c>
      <c r="Y46" s="35">
        <v>1062</v>
      </c>
      <c r="Z46" s="35"/>
      <c r="AA46" s="35">
        <f t="shared" si="1"/>
        <v>342</v>
      </c>
      <c r="AB46" s="6">
        <v>1409</v>
      </c>
      <c r="AC46" s="6"/>
      <c r="AD46" s="35">
        <f t="shared" si="2"/>
        <v>347</v>
      </c>
      <c r="AE46" s="6">
        <v>198</v>
      </c>
      <c r="AF46" s="6">
        <v>1560</v>
      </c>
      <c r="AG46" s="34">
        <f t="shared" si="3"/>
        <v>349</v>
      </c>
      <c r="AH46" s="35">
        <v>303</v>
      </c>
      <c r="AI46" s="35"/>
      <c r="AJ46" s="35">
        <f t="shared" si="4"/>
        <v>105</v>
      </c>
      <c r="AK46" s="35">
        <v>602</v>
      </c>
      <c r="AL46" s="6"/>
      <c r="AM46" s="35">
        <f t="shared" si="5"/>
        <v>299</v>
      </c>
      <c r="AN46" s="6"/>
      <c r="AO46" s="6"/>
      <c r="AP46" s="35"/>
      <c r="AQ46" s="35">
        <v>945</v>
      </c>
      <c r="AR46" s="35"/>
      <c r="AS46" s="35">
        <f t="shared" si="6"/>
        <v>343</v>
      </c>
      <c r="AT46" s="6">
        <v>1326</v>
      </c>
      <c r="AU46" s="6"/>
      <c r="AV46" s="35">
        <f t="shared" si="7"/>
        <v>381</v>
      </c>
      <c r="AW46" s="6">
        <v>122</v>
      </c>
      <c r="AX46" s="6">
        <v>1560</v>
      </c>
      <c r="AY46" s="6">
        <f t="shared" si="8"/>
        <v>356</v>
      </c>
      <c r="AZ46" s="6">
        <v>216</v>
      </c>
      <c r="BA46" s="6"/>
      <c r="BB46" s="6">
        <f t="shared" si="9"/>
        <v>94</v>
      </c>
      <c r="BC46" s="6"/>
      <c r="BD46" s="6"/>
      <c r="BE46" s="6"/>
      <c r="BF46" s="6"/>
      <c r="BG46" s="6"/>
      <c r="BH46" s="35"/>
      <c r="BI46" s="6"/>
      <c r="BJ46" s="6"/>
      <c r="BK46" s="6"/>
      <c r="BL46" s="6"/>
      <c r="BM46" s="6"/>
      <c r="BN46" s="35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>
        <v>579</v>
      </c>
      <c r="CH46" s="6"/>
      <c r="CI46" s="6">
        <f t="shared" si="10"/>
        <v>363</v>
      </c>
      <c r="CJ46" s="6">
        <v>936</v>
      </c>
      <c r="CK46" s="6"/>
      <c r="CL46" s="6">
        <f t="shared" si="11"/>
        <v>357</v>
      </c>
      <c r="CM46" s="6">
        <v>1297</v>
      </c>
      <c r="CN46" s="6"/>
      <c r="CO46" s="6">
        <f t="shared" si="12"/>
        <v>361</v>
      </c>
      <c r="CP46" s="6">
        <v>95</v>
      </c>
      <c r="CQ46" s="6">
        <v>1560</v>
      </c>
      <c r="CR46" s="6">
        <f t="shared" si="13"/>
        <v>358</v>
      </c>
      <c r="CS46" s="6">
        <v>449</v>
      </c>
      <c r="CT46" s="6"/>
      <c r="CU46" s="6">
        <f t="shared" si="14"/>
        <v>354</v>
      </c>
      <c r="CV46" s="6">
        <v>0</v>
      </c>
      <c r="CW46" s="6">
        <v>728</v>
      </c>
      <c r="CX46" s="6">
        <f t="shared" si="15"/>
        <v>279</v>
      </c>
    </row>
    <row r="47" spans="1:102">
      <c r="A47" s="6">
        <v>43</v>
      </c>
      <c r="B47" s="6">
        <v>616</v>
      </c>
      <c r="C47" s="6"/>
      <c r="D47" s="6">
        <v>312</v>
      </c>
      <c r="E47" s="33" t="s">
        <v>130</v>
      </c>
      <c r="F47" s="33" t="s">
        <v>130</v>
      </c>
      <c r="G47" s="33" t="s">
        <v>130</v>
      </c>
      <c r="H47" s="33" t="s">
        <v>130</v>
      </c>
      <c r="I47" s="33" t="s">
        <v>130</v>
      </c>
      <c r="J47" s="33" t="s">
        <v>130</v>
      </c>
      <c r="K47" s="33" t="s">
        <v>130</v>
      </c>
      <c r="L47" s="33" t="s">
        <v>130</v>
      </c>
      <c r="M47" s="33" t="s">
        <v>130</v>
      </c>
      <c r="N47" s="33" t="s">
        <v>130</v>
      </c>
      <c r="O47" s="148" t="s">
        <v>128</v>
      </c>
      <c r="P47" s="33" t="s">
        <v>128</v>
      </c>
      <c r="Q47" s="33" t="s">
        <v>128</v>
      </c>
      <c r="R47" s="33" t="s">
        <v>128</v>
      </c>
      <c r="S47" s="33" t="s">
        <v>128</v>
      </c>
      <c r="T47" s="33" t="s">
        <v>128</v>
      </c>
      <c r="U47" s="33" t="s">
        <v>128</v>
      </c>
      <c r="V47" s="6">
        <v>108</v>
      </c>
      <c r="W47" s="6">
        <v>873</v>
      </c>
      <c r="X47" s="35">
        <f t="shared" si="0"/>
        <v>365</v>
      </c>
      <c r="Y47" s="35">
        <v>453</v>
      </c>
      <c r="Z47" s="35"/>
      <c r="AA47" s="35">
        <f t="shared" si="1"/>
        <v>345</v>
      </c>
      <c r="AB47" s="6">
        <v>798</v>
      </c>
      <c r="AC47" s="6"/>
      <c r="AD47" s="35">
        <f t="shared" si="2"/>
        <v>345</v>
      </c>
      <c r="AE47" s="6">
        <v>1146</v>
      </c>
      <c r="AF47" s="6"/>
      <c r="AG47" s="34">
        <f t="shared" si="3"/>
        <v>348</v>
      </c>
      <c r="AH47" s="35">
        <v>273</v>
      </c>
      <c r="AI47" s="35">
        <v>1200</v>
      </c>
      <c r="AJ47" s="35">
        <f t="shared" si="4"/>
        <v>327</v>
      </c>
      <c r="AK47" s="6">
        <v>562</v>
      </c>
      <c r="AL47" s="6"/>
      <c r="AM47" s="35">
        <f t="shared" si="5"/>
        <v>289</v>
      </c>
      <c r="AN47" s="6"/>
      <c r="AO47" s="6"/>
      <c r="AP47" s="35"/>
      <c r="AQ47" s="35">
        <v>911</v>
      </c>
      <c r="AR47" s="35"/>
      <c r="AS47" s="35">
        <f t="shared" si="6"/>
        <v>349</v>
      </c>
      <c r="AT47" s="6">
        <v>1257</v>
      </c>
      <c r="AU47" s="6"/>
      <c r="AV47" s="35">
        <f t="shared" si="7"/>
        <v>346</v>
      </c>
      <c r="AW47" s="6">
        <v>0</v>
      </c>
      <c r="AX47" s="6">
        <v>1436</v>
      </c>
      <c r="AY47" s="6">
        <f t="shared" si="8"/>
        <v>179</v>
      </c>
      <c r="AZ47" s="6">
        <v>76</v>
      </c>
      <c r="BA47" s="6"/>
      <c r="BB47" s="6">
        <f t="shared" si="9"/>
        <v>76</v>
      </c>
      <c r="BC47" s="6"/>
      <c r="BD47" s="6"/>
      <c r="BE47" s="6"/>
      <c r="BF47" s="6"/>
      <c r="BG47" s="6"/>
      <c r="BH47" s="35"/>
      <c r="BI47" s="6"/>
      <c r="BJ47" s="6"/>
      <c r="BK47" s="6"/>
      <c r="BL47" s="6"/>
      <c r="BM47" s="6"/>
      <c r="BN47" s="35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465</v>
      </c>
      <c r="CH47" s="6"/>
      <c r="CI47" s="6">
        <f t="shared" si="10"/>
        <v>389</v>
      </c>
      <c r="CJ47" s="6">
        <v>838</v>
      </c>
      <c r="CK47" s="6"/>
      <c r="CL47" s="6">
        <f t="shared" si="11"/>
        <v>373</v>
      </c>
      <c r="CM47" s="6">
        <v>1209</v>
      </c>
      <c r="CN47" s="6"/>
      <c r="CO47" s="6">
        <f t="shared" si="12"/>
        <v>371</v>
      </c>
      <c r="CP47" s="6">
        <v>16</v>
      </c>
      <c r="CQ47" s="6">
        <v>1562</v>
      </c>
      <c r="CR47" s="6">
        <f t="shared" si="13"/>
        <v>369</v>
      </c>
      <c r="CS47" s="6">
        <v>388</v>
      </c>
      <c r="CT47" s="6"/>
      <c r="CU47" s="6">
        <f t="shared" si="14"/>
        <v>372</v>
      </c>
      <c r="CV47" s="6">
        <v>727</v>
      </c>
      <c r="CW47" s="6"/>
      <c r="CX47" s="6">
        <f t="shared" si="15"/>
        <v>339</v>
      </c>
    </row>
    <row r="48" spans="1:102">
      <c r="A48" s="6">
        <v>44</v>
      </c>
      <c r="B48" s="6">
        <v>569</v>
      </c>
      <c r="C48" s="6"/>
      <c r="D48" s="6">
        <v>315</v>
      </c>
      <c r="E48" s="33" t="s">
        <v>130</v>
      </c>
      <c r="F48" s="33" t="s">
        <v>130</v>
      </c>
      <c r="G48" s="33" t="s">
        <v>130</v>
      </c>
      <c r="H48" s="33" t="s">
        <v>130</v>
      </c>
      <c r="I48" s="33" t="s">
        <v>130</v>
      </c>
      <c r="J48" s="33" t="s">
        <v>130</v>
      </c>
      <c r="K48" s="33" t="s">
        <v>130</v>
      </c>
      <c r="L48" s="33" t="s">
        <v>130</v>
      </c>
      <c r="M48" s="33" t="s">
        <v>130</v>
      </c>
      <c r="N48" s="33" t="s">
        <v>130</v>
      </c>
      <c r="O48" s="148" t="s">
        <v>128</v>
      </c>
      <c r="P48" s="33" t="s">
        <v>128</v>
      </c>
      <c r="Q48" s="33" t="s">
        <v>128</v>
      </c>
      <c r="R48" s="33" t="s">
        <v>128</v>
      </c>
      <c r="S48" s="33" t="s">
        <v>128</v>
      </c>
      <c r="T48" s="33" t="s">
        <v>128</v>
      </c>
      <c r="U48" s="33" t="s">
        <v>128</v>
      </c>
      <c r="V48" s="6">
        <v>940</v>
      </c>
      <c r="W48" s="6"/>
      <c r="X48" s="35">
        <f t="shared" si="0"/>
        <v>371</v>
      </c>
      <c r="Y48" s="35">
        <v>74</v>
      </c>
      <c r="Z48" s="35">
        <v>1200</v>
      </c>
      <c r="AA48" s="35">
        <f t="shared" si="1"/>
        <v>334</v>
      </c>
      <c r="AB48" s="6">
        <v>411</v>
      </c>
      <c r="AC48" s="6"/>
      <c r="AD48" s="35">
        <f t="shared" si="2"/>
        <v>337</v>
      </c>
      <c r="AE48" s="6">
        <v>760</v>
      </c>
      <c r="AF48" s="6"/>
      <c r="AG48" s="34">
        <f t="shared" si="3"/>
        <v>349</v>
      </c>
      <c r="AH48" s="35">
        <v>1086</v>
      </c>
      <c r="AI48" s="35"/>
      <c r="AJ48" s="35">
        <f t="shared" si="4"/>
        <v>326</v>
      </c>
      <c r="AK48" s="6">
        <v>175</v>
      </c>
      <c r="AL48" s="6">
        <v>1200</v>
      </c>
      <c r="AM48" s="35">
        <f t="shared" si="5"/>
        <v>289</v>
      </c>
      <c r="AN48" s="6"/>
      <c r="AO48" s="6"/>
      <c r="AP48" s="35"/>
      <c r="AQ48" s="35">
        <v>523</v>
      </c>
      <c r="AR48" s="35"/>
      <c r="AS48" s="35">
        <f t="shared" si="6"/>
        <v>348</v>
      </c>
      <c r="AT48" s="6">
        <v>872</v>
      </c>
      <c r="AU48" s="6"/>
      <c r="AV48" s="35">
        <f t="shared" si="7"/>
        <v>349</v>
      </c>
      <c r="AW48" s="6">
        <v>0</v>
      </c>
      <c r="AX48" s="6">
        <v>1098</v>
      </c>
      <c r="AY48" s="6">
        <f t="shared" si="8"/>
        <v>226</v>
      </c>
      <c r="AZ48" s="6">
        <v>68</v>
      </c>
      <c r="BA48" s="6"/>
      <c r="BB48" s="6">
        <f t="shared" si="9"/>
        <v>68</v>
      </c>
      <c r="BC48" s="6"/>
      <c r="BD48" s="6"/>
      <c r="BE48" s="6"/>
      <c r="BF48" s="6"/>
      <c r="BG48" s="6"/>
      <c r="BH48" s="35"/>
      <c r="BI48" s="6"/>
      <c r="BJ48" s="6"/>
      <c r="BK48" s="6"/>
      <c r="BL48" s="6"/>
      <c r="BM48" s="6"/>
      <c r="BN48" s="35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456</v>
      </c>
      <c r="CH48" s="6"/>
      <c r="CI48" s="6">
        <f t="shared" si="10"/>
        <v>388</v>
      </c>
      <c r="CJ48" s="6">
        <v>843</v>
      </c>
      <c r="CK48" s="6"/>
      <c r="CL48" s="6">
        <f t="shared" si="11"/>
        <v>387</v>
      </c>
      <c r="CM48" s="6">
        <v>1231</v>
      </c>
      <c r="CN48" s="6"/>
      <c r="CO48" s="6">
        <f t="shared" si="12"/>
        <v>388</v>
      </c>
      <c r="CP48" s="6">
        <v>64</v>
      </c>
      <c r="CQ48" s="6">
        <v>1550</v>
      </c>
      <c r="CR48" s="6">
        <f t="shared" si="13"/>
        <v>383</v>
      </c>
      <c r="CS48" s="6">
        <v>451</v>
      </c>
      <c r="CT48" s="6"/>
      <c r="CU48" s="6">
        <f t="shared" si="14"/>
        <v>387</v>
      </c>
      <c r="CV48" s="6">
        <v>804</v>
      </c>
      <c r="CW48" s="6"/>
      <c r="CX48" s="6">
        <f t="shared" si="15"/>
        <v>353</v>
      </c>
    </row>
    <row r="49" spans="1:102">
      <c r="A49" s="6">
        <v>45</v>
      </c>
      <c r="B49" s="6">
        <v>963</v>
      </c>
      <c r="C49" s="6"/>
      <c r="D49" s="6">
        <v>315</v>
      </c>
      <c r="E49" s="33" t="s">
        <v>130</v>
      </c>
      <c r="F49" s="33" t="s">
        <v>130</v>
      </c>
      <c r="G49" s="33" t="s">
        <v>130</v>
      </c>
      <c r="H49" s="33" t="s">
        <v>130</v>
      </c>
      <c r="I49" s="33" t="s">
        <v>130</v>
      </c>
      <c r="J49" s="33" t="s">
        <v>130</v>
      </c>
      <c r="K49" s="33" t="s">
        <v>130</v>
      </c>
      <c r="L49" s="33" t="s">
        <v>130</v>
      </c>
      <c r="M49" s="33" t="s">
        <v>130</v>
      </c>
      <c r="N49" s="33" t="s">
        <v>130</v>
      </c>
      <c r="O49" s="148" t="s">
        <v>128</v>
      </c>
      <c r="P49" s="33" t="s">
        <v>128</v>
      </c>
      <c r="Q49" s="33" t="s">
        <v>128</v>
      </c>
      <c r="R49" s="33" t="s">
        <v>128</v>
      </c>
      <c r="S49" s="33" t="s">
        <v>128</v>
      </c>
      <c r="T49" s="33" t="s">
        <v>128</v>
      </c>
      <c r="U49" s="33" t="s">
        <v>128</v>
      </c>
      <c r="V49" s="6">
        <v>132</v>
      </c>
      <c r="W49" s="6">
        <v>1200</v>
      </c>
      <c r="X49" s="35">
        <f t="shared" si="0"/>
        <v>369</v>
      </c>
      <c r="Y49" s="35">
        <v>470</v>
      </c>
      <c r="Z49" s="35"/>
      <c r="AA49" s="35">
        <f t="shared" si="1"/>
        <v>338</v>
      </c>
      <c r="AB49" s="6">
        <v>817</v>
      </c>
      <c r="AC49" s="6"/>
      <c r="AD49" s="35">
        <f t="shared" si="2"/>
        <v>347</v>
      </c>
      <c r="AE49" s="6">
        <v>1166</v>
      </c>
      <c r="AF49" s="6"/>
      <c r="AG49" s="34">
        <f t="shared" si="3"/>
        <v>349</v>
      </c>
      <c r="AH49" s="35">
        <v>289</v>
      </c>
      <c r="AI49" s="35">
        <v>1200</v>
      </c>
      <c r="AJ49" s="35">
        <f t="shared" si="4"/>
        <v>323</v>
      </c>
      <c r="AK49" s="6">
        <v>580</v>
      </c>
      <c r="AL49" s="6"/>
      <c r="AM49" s="35">
        <f t="shared" si="5"/>
        <v>291</v>
      </c>
      <c r="AN49" s="6"/>
      <c r="AO49" s="6"/>
      <c r="AP49" s="35"/>
      <c r="AQ49" s="35">
        <v>240</v>
      </c>
      <c r="AR49" s="35">
        <v>683</v>
      </c>
      <c r="AS49" s="35">
        <f t="shared" si="6"/>
        <v>343</v>
      </c>
      <c r="AT49" s="6">
        <v>588</v>
      </c>
      <c r="AU49" s="6"/>
      <c r="AV49" s="35">
        <f t="shared" si="7"/>
        <v>348</v>
      </c>
      <c r="AW49" s="6">
        <v>0</v>
      </c>
      <c r="AX49" s="6">
        <v>842</v>
      </c>
      <c r="AY49" s="6">
        <f t="shared" si="8"/>
        <v>254</v>
      </c>
      <c r="AZ49" s="6">
        <v>79</v>
      </c>
      <c r="BA49" s="6"/>
      <c r="BB49" s="6">
        <f t="shared" si="9"/>
        <v>79</v>
      </c>
      <c r="BC49" s="6"/>
      <c r="BD49" s="6"/>
      <c r="BE49" s="6"/>
      <c r="BF49" s="6"/>
      <c r="BG49" s="6"/>
      <c r="BH49" s="35"/>
      <c r="BI49" s="6"/>
      <c r="BJ49" s="6"/>
      <c r="BK49" s="6"/>
      <c r="BL49" s="6"/>
      <c r="BM49" s="6"/>
      <c r="BN49" s="35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>
        <v>465</v>
      </c>
      <c r="CH49" s="6"/>
      <c r="CI49" s="6">
        <f t="shared" si="10"/>
        <v>386</v>
      </c>
      <c r="CJ49" s="6">
        <v>849</v>
      </c>
      <c r="CK49" s="6"/>
      <c r="CL49" s="6">
        <f t="shared" si="11"/>
        <v>384</v>
      </c>
      <c r="CM49" s="6">
        <v>1236</v>
      </c>
      <c r="CN49" s="6"/>
      <c r="CO49" s="6">
        <f t="shared" si="12"/>
        <v>387</v>
      </c>
      <c r="CP49" s="6">
        <v>62</v>
      </c>
      <c r="CQ49" s="6">
        <v>1556</v>
      </c>
      <c r="CR49" s="6">
        <f t="shared" si="13"/>
        <v>382</v>
      </c>
      <c r="CS49" s="6">
        <v>444</v>
      </c>
      <c r="CT49" s="6"/>
      <c r="CU49" s="6">
        <f t="shared" si="14"/>
        <v>382</v>
      </c>
      <c r="CV49" s="6">
        <v>799</v>
      </c>
      <c r="CW49" s="6"/>
      <c r="CX49" s="6">
        <f t="shared" si="15"/>
        <v>355</v>
      </c>
    </row>
    <row r="50" spans="1:102">
      <c r="A50" s="6">
        <v>46</v>
      </c>
      <c r="B50" s="6">
        <v>310</v>
      </c>
      <c r="C50" s="6">
        <v>401</v>
      </c>
      <c r="D50" s="6">
        <v>312</v>
      </c>
      <c r="E50" s="33" t="s">
        <v>130</v>
      </c>
      <c r="F50" s="33" t="s">
        <v>130</v>
      </c>
      <c r="G50" s="33" t="s">
        <v>130</v>
      </c>
      <c r="H50" s="33" t="s">
        <v>130</v>
      </c>
      <c r="I50" s="33" t="s">
        <v>130</v>
      </c>
      <c r="J50" s="148" t="s">
        <v>130</v>
      </c>
      <c r="K50" s="33" t="s">
        <v>130</v>
      </c>
      <c r="L50" s="33" t="s">
        <v>130</v>
      </c>
      <c r="M50" s="33" t="s">
        <v>130</v>
      </c>
      <c r="N50" s="33" t="s">
        <v>130</v>
      </c>
      <c r="O50" s="33" t="s">
        <v>130</v>
      </c>
      <c r="P50" s="33" t="s">
        <v>130</v>
      </c>
      <c r="Q50" s="33" t="s">
        <v>130</v>
      </c>
      <c r="R50" s="33" t="s">
        <v>130</v>
      </c>
      <c r="S50" s="33" t="s">
        <v>130</v>
      </c>
      <c r="T50" s="33" t="s">
        <v>130</v>
      </c>
      <c r="U50" s="33" t="s">
        <v>130</v>
      </c>
      <c r="V50" s="6">
        <v>681</v>
      </c>
      <c r="W50" s="6"/>
      <c r="X50" s="35">
        <f t="shared" si="0"/>
        <v>371</v>
      </c>
      <c r="Y50" s="35">
        <v>1019</v>
      </c>
      <c r="Z50" s="35"/>
      <c r="AA50" s="35">
        <f t="shared" si="1"/>
        <v>338</v>
      </c>
      <c r="AB50" s="6">
        <v>274</v>
      </c>
      <c r="AC50" s="6">
        <v>1036</v>
      </c>
      <c r="AD50" s="35">
        <f t="shared" si="2"/>
        <v>291</v>
      </c>
      <c r="AE50" s="6">
        <v>0</v>
      </c>
      <c r="AF50" s="6">
        <v>502</v>
      </c>
      <c r="AG50" s="34">
        <f t="shared" si="3"/>
        <v>228</v>
      </c>
      <c r="AH50" s="35">
        <v>305</v>
      </c>
      <c r="AI50" s="35"/>
      <c r="AJ50" s="35">
        <f t="shared" si="4"/>
        <v>305</v>
      </c>
      <c r="AK50" s="6">
        <v>594</v>
      </c>
      <c r="AL50" s="6"/>
      <c r="AM50" s="35">
        <f t="shared" si="5"/>
        <v>289</v>
      </c>
      <c r="AN50" s="6"/>
      <c r="AO50" s="6"/>
      <c r="AP50" s="35"/>
      <c r="AQ50" s="35">
        <v>946</v>
      </c>
      <c r="AR50" s="35"/>
      <c r="AS50" s="35">
        <f t="shared" si="6"/>
        <v>352</v>
      </c>
      <c r="AT50" s="6">
        <v>93</v>
      </c>
      <c r="AU50" s="6">
        <v>1200</v>
      </c>
      <c r="AV50" s="35">
        <f t="shared" si="7"/>
        <v>347</v>
      </c>
      <c r="AW50" s="6">
        <v>442</v>
      </c>
      <c r="AX50" s="6"/>
      <c r="AY50" s="6">
        <f t="shared" si="8"/>
        <v>349</v>
      </c>
      <c r="AZ50" s="6">
        <v>521</v>
      </c>
      <c r="BA50" s="6"/>
      <c r="BB50" s="6">
        <f t="shared" si="9"/>
        <v>79</v>
      </c>
      <c r="BC50" s="6"/>
      <c r="BD50" s="6"/>
      <c r="BE50" s="6"/>
      <c r="BF50" s="6"/>
      <c r="BG50" s="6"/>
      <c r="BH50" s="35"/>
      <c r="BI50" s="6"/>
      <c r="BJ50" s="6"/>
      <c r="BK50" s="6"/>
      <c r="BL50" s="6"/>
      <c r="BM50" s="6"/>
      <c r="BN50" s="35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834</v>
      </c>
      <c r="CH50" s="6"/>
      <c r="CI50" s="6">
        <f t="shared" si="10"/>
        <v>313</v>
      </c>
      <c r="CJ50" s="6">
        <v>1180</v>
      </c>
      <c r="CK50" s="6"/>
      <c r="CL50" s="6">
        <f t="shared" si="11"/>
        <v>346</v>
      </c>
      <c r="CM50" s="6">
        <v>261</v>
      </c>
      <c r="CN50" s="6">
        <v>1260</v>
      </c>
      <c r="CO50" s="6">
        <f t="shared" si="12"/>
        <v>341</v>
      </c>
      <c r="CP50" s="6">
        <v>312</v>
      </c>
      <c r="CQ50" s="6">
        <v>273</v>
      </c>
      <c r="CR50" s="6">
        <f t="shared" si="13"/>
        <v>324</v>
      </c>
      <c r="CS50" s="6">
        <v>660</v>
      </c>
      <c r="CT50" s="6"/>
      <c r="CU50" s="6">
        <f t="shared" si="14"/>
        <v>348</v>
      </c>
      <c r="CV50" s="6">
        <v>974</v>
      </c>
      <c r="CW50" s="6"/>
      <c r="CX50" s="6">
        <f t="shared" si="15"/>
        <v>314</v>
      </c>
    </row>
    <row r="51" spans="1:102">
      <c r="A51" s="6">
        <v>47</v>
      </c>
      <c r="B51" s="6">
        <v>1066</v>
      </c>
      <c r="C51" s="6"/>
      <c r="D51" s="6">
        <v>337</v>
      </c>
      <c r="E51" s="33" t="s">
        <v>128</v>
      </c>
      <c r="F51" s="33" t="s">
        <v>128</v>
      </c>
      <c r="G51" s="33" t="s">
        <v>128</v>
      </c>
      <c r="H51" s="33" t="s">
        <v>128</v>
      </c>
      <c r="I51" s="33" t="s">
        <v>128</v>
      </c>
      <c r="J51" s="33" t="s">
        <v>128</v>
      </c>
      <c r="K51" s="33" t="s">
        <v>128</v>
      </c>
      <c r="L51" s="33" t="s">
        <v>128</v>
      </c>
      <c r="M51" s="33" t="s">
        <v>128</v>
      </c>
      <c r="N51" s="33" t="s">
        <v>128</v>
      </c>
      <c r="O51" s="33" t="s">
        <v>128</v>
      </c>
      <c r="P51" s="33" t="s">
        <v>128</v>
      </c>
      <c r="Q51" s="33" t="s">
        <v>128</v>
      </c>
      <c r="R51" s="33" t="s">
        <v>128</v>
      </c>
      <c r="S51" s="33" t="s">
        <v>128</v>
      </c>
      <c r="T51" s="33" t="s">
        <v>128</v>
      </c>
      <c r="U51" s="148" t="s">
        <v>130</v>
      </c>
      <c r="V51" s="35">
        <v>1458</v>
      </c>
      <c r="W51" s="35"/>
      <c r="X51" s="35">
        <f t="shared" si="0"/>
        <v>392</v>
      </c>
      <c r="Y51" s="35">
        <v>262</v>
      </c>
      <c r="Z51" s="35">
        <v>1560</v>
      </c>
      <c r="AA51" s="35">
        <f t="shared" si="1"/>
        <v>364</v>
      </c>
      <c r="AB51" s="6">
        <v>631</v>
      </c>
      <c r="AC51" s="6"/>
      <c r="AD51" s="35">
        <f t="shared" si="2"/>
        <v>369</v>
      </c>
      <c r="AE51" s="6">
        <v>1002</v>
      </c>
      <c r="AF51" s="6"/>
      <c r="AG51" s="34">
        <f t="shared" si="3"/>
        <v>371</v>
      </c>
      <c r="AH51" s="35">
        <v>1341</v>
      </c>
      <c r="AI51" s="35"/>
      <c r="AJ51" s="35">
        <f t="shared" si="4"/>
        <v>339</v>
      </c>
      <c r="AK51" s="6">
        <v>88</v>
      </c>
      <c r="AL51" s="6">
        <v>1560</v>
      </c>
      <c r="AM51" s="35">
        <f t="shared" si="5"/>
        <v>307</v>
      </c>
      <c r="AN51" s="6"/>
      <c r="AO51" s="6"/>
      <c r="AP51" s="35"/>
      <c r="AQ51" s="6">
        <v>459</v>
      </c>
      <c r="AR51" s="6"/>
      <c r="AS51" s="35">
        <f t="shared" si="6"/>
        <v>371</v>
      </c>
      <c r="AT51" s="6">
        <v>826</v>
      </c>
      <c r="AU51" s="6"/>
      <c r="AV51" s="35">
        <f t="shared" si="7"/>
        <v>367</v>
      </c>
      <c r="AW51" s="6">
        <v>1192</v>
      </c>
      <c r="AX51" s="6"/>
      <c r="AY51" s="6">
        <f t="shared" si="8"/>
        <v>366</v>
      </c>
      <c r="AZ51" s="6">
        <v>1274</v>
      </c>
      <c r="BA51" s="35"/>
      <c r="BB51" s="6">
        <f t="shared" si="9"/>
        <v>82</v>
      </c>
      <c r="BC51" s="6"/>
      <c r="BD51" s="6"/>
      <c r="BE51" s="6"/>
      <c r="BF51" s="6"/>
      <c r="BG51" s="6"/>
      <c r="BH51" s="35"/>
      <c r="BI51" s="6"/>
      <c r="BJ51" s="6"/>
      <c r="BK51" s="6"/>
      <c r="BL51" s="6"/>
      <c r="BM51" s="6"/>
      <c r="BN51" s="35"/>
      <c r="BO51" s="6"/>
      <c r="BP51" s="35"/>
      <c r="BQ51" s="6"/>
      <c r="BR51" s="6"/>
      <c r="BS51" s="6"/>
      <c r="BT51" s="35"/>
      <c r="BU51" s="6"/>
      <c r="BV51" s="35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70</v>
      </c>
      <c r="CH51" s="6">
        <v>1560</v>
      </c>
      <c r="CI51" s="6">
        <f t="shared" si="10"/>
        <v>356</v>
      </c>
      <c r="CJ51" s="6">
        <v>440</v>
      </c>
      <c r="CK51" s="6"/>
      <c r="CL51" s="6">
        <f t="shared" si="11"/>
        <v>370</v>
      </c>
      <c r="CM51" s="6">
        <v>808</v>
      </c>
      <c r="CN51" s="6"/>
      <c r="CO51" s="6">
        <f t="shared" si="12"/>
        <v>368</v>
      </c>
      <c r="CP51" s="6">
        <v>1174</v>
      </c>
      <c r="CQ51" s="6"/>
      <c r="CR51" s="6">
        <f t="shared" si="13"/>
        <v>366</v>
      </c>
      <c r="CS51" s="6">
        <v>0</v>
      </c>
      <c r="CT51" s="6">
        <v>1341</v>
      </c>
      <c r="CU51" s="6">
        <f t="shared" si="14"/>
        <v>167</v>
      </c>
      <c r="CV51" s="6">
        <v>270</v>
      </c>
      <c r="CW51" s="6"/>
      <c r="CX51" s="6">
        <f t="shared" si="15"/>
        <v>270</v>
      </c>
    </row>
    <row r="52" spans="1:102">
      <c r="A52" s="6">
        <v>48</v>
      </c>
      <c r="B52" s="6">
        <v>396</v>
      </c>
      <c r="C52" s="6"/>
      <c r="D52" s="6">
        <v>318</v>
      </c>
      <c r="E52" s="33" t="s">
        <v>130</v>
      </c>
      <c r="F52" s="33" t="s">
        <v>130</v>
      </c>
      <c r="G52" s="33" t="s">
        <v>130</v>
      </c>
      <c r="H52" s="33" t="s">
        <v>130</v>
      </c>
      <c r="I52" s="33" t="s">
        <v>130</v>
      </c>
      <c r="J52" s="33" t="s">
        <v>130</v>
      </c>
      <c r="K52" s="33" t="s">
        <v>130</v>
      </c>
      <c r="L52" s="33" t="s">
        <v>130</v>
      </c>
      <c r="M52" s="33" t="s">
        <v>130</v>
      </c>
      <c r="N52" s="33" t="s">
        <v>130</v>
      </c>
      <c r="O52" s="33" t="s">
        <v>130</v>
      </c>
      <c r="P52" s="33" t="s">
        <v>130</v>
      </c>
      <c r="Q52" s="33" t="s">
        <v>130</v>
      </c>
      <c r="R52" s="33" t="s">
        <v>130</v>
      </c>
      <c r="S52" s="148" t="s">
        <v>130</v>
      </c>
      <c r="T52" s="33" t="s">
        <v>130</v>
      </c>
      <c r="U52" s="33" t="s">
        <v>130</v>
      </c>
      <c r="V52" s="35">
        <v>749</v>
      </c>
      <c r="W52" s="35"/>
      <c r="X52" s="35">
        <f t="shared" si="0"/>
        <v>353</v>
      </c>
      <c r="Y52" s="35">
        <v>1094</v>
      </c>
      <c r="Z52" s="35"/>
      <c r="AA52" s="35">
        <f t="shared" si="1"/>
        <v>345</v>
      </c>
      <c r="AB52" s="35">
        <v>233</v>
      </c>
      <c r="AC52" s="35">
        <v>1200</v>
      </c>
      <c r="AD52" s="35">
        <f t="shared" si="2"/>
        <v>339</v>
      </c>
      <c r="AE52" s="6">
        <v>583</v>
      </c>
      <c r="AF52" s="6"/>
      <c r="AG52" s="34">
        <f t="shared" si="3"/>
        <v>350</v>
      </c>
      <c r="AH52" s="35">
        <v>906</v>
      </c>
      <c r="AI52" s="35"/>
      <c r="AJ52" s="35">
        <f t="shared" si="4"/>
        <v>323</v>
      </c>
      <c r="AK52" s="6">
        <v>1197</v>
      </c>
      <c r="AL52" s="6"/>
      <c r="AM52" s="35">
        <f t="shared" si="5"/>
        <v>291</v>
      </c>
      <c r="AN52" s="6"/>
      <c r="AO52" s="6"/>
      <c r="AP52" s="35"/>
      <c r="AQ52" s="35">
        <v>349</v>
      </c>
      <c r="AR52" s="35">
        <v>1200</v>
      </c>
      <c r="AS52" s="35">
        <f t="shared" si="6"/>
        <v>352</v>
      </c>
      <c r="AT52" s="6">
        <v>697</v>
      </c>
      <c r="AU52" s="6"/>
      <c r="AV52" s="35">
        <f t="shared" si="7"/>
        <v>348</v>
      </c>
      <c r="AW52" s="6">
        <v>1045</v>
      </c>
      <c r="AX52" s="6"/>
      <c r="AY52" s="6">
        <f t="shared" si="8"/>
        <v>348</v>
      </c>
      <c r="AZ52" s="6">
        <v>1131</v>
      </c>
      <c r="BA52" s="6"/>
      <c r="BB52" s="6">
        <f t="shared" si="9"/>
        <v>86</v>
      </c>
      <c r="BC52" s="6"/>
      <c r="BD52" s="6"/>
      <c r="BE52" s="6"/>
      <c r="BF52" s="6"/>
      <c r="BG52" s="6"/>
      <c r="BH52" s="35"/>
      <c r="BI52" s="6"/>
      <c r="BJ52" s="6"/>
      <c r="BK52" s="6"/>
      <c r="BL52" s="6"/>
      <c r="BM52" s="6"/>
      <c r="BN52" s="35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>
        <v>283</v>
      </c>
      <c r="CH52" s="6">
        <v>1200</v>
      </c>
      <c r="CI52" s="6">
        <f t="shared" si="10"/>
        <v>352</v>
      </c>
      <c r="CJ52" s="6">
        <v>632</v>
      </c>
      <c r="CK52" s="6"/>
      <c r="CL52" s="6">
        <f t="shared" si="11"/>
        <v>349</v>
      </c>
      <c r="CM52" s="6">
        <v>967</v>
      </c>
      <c r="CN52" s="6"/>
      <c r="CO52" s="6">
        <f t="shared" si="12"/>
        <v>335</v>
      </c>
      <c r="CP52" s="6">
        <v>250</v>
      </c>
      <c r="CQ52" s="6">
        <v>1028</v>
      </c>
      <c r="CR52" s="6">
        <f t="shared" si="13"/>
        <v>311</v>
      </c>
      <c r="CS52" s="6">
        <v>597</v>
      </c>
      <c r="CT52" s="6"/>
      <c r="CU52" s="6">
        <f t="shared" si="14"/>
        <v>347</v>
      </c>
      <c r="CV52" s="6">
        <v>914</v>
      </c>
      <c r="CW52" s="6"/>
      <c r="CX52" s="6">
        <f t="shared" si="15"/>
        <v>317</v>
      </c>
    </row>
    <row r="53" spans="1:102">
      <c r="A53" s="6">
        <v>49</v>
      </c>
      <c r="B53" s="6">
        <v>1148</v>
      </c>
      <c r="C53" s="6"/>
      <c r="D53" s="6">
        <v>316</v>
      </c>
      <c r="E53" s="33" t="s">
        <v>130</v>
      </c>
      <c r="F53" s="33" t="s">
        <v>130</v>
      </c>
      <c r="G53" s="33" t="s">
        <v>130</v>
      </c>
      <c r="H53" s="33" t="s">
        <v>130</v>
      </c>
      <c r="I53" s="33" t="s">
        <v>130</v>
      </c>
      <c r="J53" s="33" t="s">
        <v>130</v>
      </c>
      <c r="K53" s="33" t="s">
        <v>130</v>
      </c>
      <c r="L53" s="33" t="s">
        <v>130</v>
      </c>
      <c r="M53" s="33" t="s">
        <v>130</v>
      </c>
      <c r="N53" s="33" t="s">
        <v>130</v>
      </c>
      <c r="O53" s="33" t="s">
        <v>130</v>
      </c>
      <c r="P53" s="33" t="s">
        <v>130</v>
      </c>
      <c r="Q53" s="148" t="s">
        <v>130</v>
      </c>
      <c r="R53" s="33" t="s">
        <v>130</v>
      </c>
      <c r="S53" s="33" t="s">
        <v>130</v>
      </c>
      <c r="T53" s="33" t="s">
        <v>130</v>
      </c>
      <c r="U53" s="33" t="s">
        <v>130</v>
      </c>
      <c r="V53" s="35">
        <v>316</v>
      </c>
      <c r="W53" s="35">
        <v>1200</v>
      </c>
      <c r="X53" s="35">
        <f t="shared" si="0"/>
        <v>368</v>
      </c>
      <c r="Y53" s="35">
        <v>663</v>
      </c>
      <c r="Z53" s="35"/>
      <c r="AA53" s="35">
        <f t="shared" si="1"/>
        <v>347</v>
      </c>
      <c r="AB53" s="35">
        <v>1012</v>
      </c>
      <c r="AC53" s="35"/>
      <c r="AD53" s="35">
        <f t="shared" si="2"/>
        <v>349</v>
      </c>
      <c r="AE53" s="6">
        <v>152</v>
      </c>
      <c r="AF53" s="35">
        <v>1200</v>
      </c>
      <c r="AG53" s="34">
        <f t="shared" si="3"/>
        <v>340</v>
      </c>
      <c r="AH53" s="35">
        <v>479</v>
      </c>
      <c r="AI53" s="35"/>
      <c r="AJ53" s="35">
        <f t="shared" si="4"/>
        <v>327</v>
      </c>
      <c r="AK53" s="6">
        <v>764</v>
      </c>
      <c r="AL53" s="6"/>
      <c r="AM53" s="35">
        <f t="shared" si="5"/>
        <v>285</v>
      </c>
      <c r="AN53" s="6"/>
      <c r="AO53" s="6"/>
      <c r="AP53" s="35"/>
      <c r="AQ53" s="6">
        <v>1114</v>
      </c>
      <c r="AR53" s="6"/>
      <c r="AS53" s="35">
        <f t="shared" si="6"/>
        <v>350</v>
      </c>
      <c r="AT53" s="6">
        <v>260</v>
      </c>
      <c r="AU53" s="6">
        <v>1200</v>
      </c>
      <c r="AV53" s="35">
        <f t="shared" si="7"/>
        <v>346</v>
      </c>
      <c r="AW53" s="6">
        <v>607</v>
      </c>
      <c r="AX53" s="6"/>
      <c r="AY53" s="6">
        <f t="shared" si="8"/>
        <v>347</v>
      </c>
      <c r="AZ53" s="6">
        <v>685</v>
      </c>
      <c r="BA53" s="35"/>
      <c r="BB53" s="6">
        <f t="shared" si="9"/>
        <v>78</v>
      </c>
      <c r="BC53" s="6"/>
      <c r="BD53" s="6"/>
      <c r="BE53" s="6"/>
      <c r="BF53" s="6"/>
      <c r="BG53" s="6"/>
      <c r="BH53" s="35"/>
      <c r="BI53" s="6"/>
      <c r="BJ53" s="6"/>
      <c r="BK53" s="6"/>
      <c r="BL53" s="6"/>
      <c r="BM53" s="6"/>
      <c r="BN53" s="35"/>
      <c r="BO53" s="6"/>
      <c r="BP53" s="35"/>
      <c r="BQ53" s="6"/>
      <c r="BR53" s="6"/>
      <c r="BS53" s="6"/>
      <c r="BT53" s="35"/>
      <c r="BU53" s="6"/>
      <c r="BV53" s="35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1005</v>
      </c>
      <c r="CH53" s="6"/>
      <c r="CI53" s="6">
        <f t="shared" si="10"/>
        <v>320</v>
      </c>
      <c r="CJ53" s="6">
        <v>301</v>
      </c>
      <c r="CK53" s="6">
        <v>1018</v>
      </c>
      <c r="CL53" s="6">
        <f t="shared" si="11"/>
        <v>314</v>
      </c>
      <c r="CM53" s="6">
        <v>650</v>
      </c>
      <c r="CN53" s="6"/>
      <c r="CO53" s="6">
        <f t="shared" si="12"/>
        <v>349</v>
      </c>
      <c r="CP53" s="6">
        <v>996</v>
      </c>
      <c r="CQ53" s="6"/>
      <c r="CR53" s="6">
        <f t="shared" si="13"/>
        <v>346</v>
      </c>
      <c r="CS53" s="6">
        <v>143</v>
      </c>
      <c r="CT53" s="6">
        <v>1200</v>
      </c>
      <c r="CU53" s="6">
        <f t="shared" si="14"/>
        <v>347</v>
      </c>
      <c r="CV53" s="6">
        <v>460</v>
      </c>
      <c r="CW53" s="6"/>
      <c r="CX53" s="6">
        <f t="shared" si="15"/>
        <v>317</v>
      </c>
    </row>
    <row r="54" spans="1:102">
      <c r="A54" s="6">
        <v>50</v>
      </c>
      <c r="B54" s="6">
        <v>1036</v>
      </c>
      <c r="C54" s="6"/>
      <c r="D54" s="6">
        <v>314</v>
      </c>
      <c r="E54" s="169" t="s">
        <v>130</v>
      </c>
      <c r="F54" s="169" t="s">
        <v>130</v>
      </c>
      <c r="G54" s="169" t="s">
        <v>130</v>
      </c>
      <c r="H54" s="169" t="s">
        <v>130</v>
      </c>
      <c r="I54" s="169" t="s">
        <v>130</v>
      </c>
      <c r="J54" s="169" t="s">
        <v>130</v>
      </c>
      <c r="K54" s="169" t="s">
        <v>130</v>
      </c>
      <c r="L54" s="169" t="s">
        <v>130</v>
      </c>
      <c r="M54" s="169" t="s">
        <v>130</v>
      </c>
      <c r="N54" s="169" t="s">
        <v>130</v>
      </c>
      <c r="O54" s="167" t="s">
        <v>130</v>
      </c>
      <c r="P54" s="169" t="s">
        <v>130</v>
      </c>
      <c r="Q54" s="169" t="s">
        <v>130</v>
      </c>
      <c r="R54" s="169" t="s">
        <v>130</v>
      </c>
      <c r="S54" s="169" t="s">
        <v>130</v>
      </c>
      <c r="T54" s="169" t="s">
        <v>130</v>
      </c>
      <c r="U54" s="169" t="s">
        <v>130</v>
      </c>
      <c r="V54" s="6">
        <v>254</v>
      </c>
      <c r="W54" s="6">
        <v>1147</v>
      </c>
      <c r="X54" s="35">
        <f t="shared" si="0"/>
        <v>365</v>
      </c>
      <c r="Y54" s="35">
        <v>592</v>
      </c>
      <c r="Z54" s="35"/>
      <c r="AA54" s="35">
        <f t="shared" si="1"/>
        <v>338</v>
      </c>
      <c r="AB54" s="6">
        <v>921</v>
      </c>
      <c r="AC54" s="6"/>
      <c r="AD54" s="35">
        <f t="shared" si="2"/>
        <v>329</v>
      </c>
      <c r="AE54" s="6">
        <v>117</v>
      </c>
      <c r="AF54" s="6">
        <v>1145</v>
      </c>
      <c r="AG54" s="34">
        <f t="shared" si="3"/>
        <v>341</v>
      </c>
      <c r="AH54" s="35">
        <v>223</v>
      </c>
      <c r="AI54" s="35"/>
      <c r="AJ54" s="35">
        <f t="shared" si="4"/>
        <v>106</v>
      </c>
      <c r="AK54" s="6">
        <v>509</v>
      </c>
      <c r="AL54" s="6"/>
      <c r="AM54" s="35">
        <f t="shared" si="5"/>
        <v>286</v>
      </c>
      <c r="AN54" s="6"/>
      <c r="AO54" s="6"/>
      <c r="AP54" s="35"/>
      <c r="AQ54" s="35">
        <v>852</v>
      </c>
      <c r="AR54" s="35"/>
      <c r="AS54" s="35">
        <f t="shared" si="6"/>
        <v>343</v>
      </c>
      <c r="AT54" s="6">
        <v>1194</v>
      </c>
      <c r="AU54" s="6"/>
      <c r="AV54" s="35">
        <f t="shared" si="7"/>
        <v>342</v>
      </c>
      <c r="AW54" s="6">
        <v>0</v>
      </c>
      <c r="AX54" s="6">
        <f>1231+154</f>
        <v>1385</v>
      </c>
      <c r="AY54" s="6">
        <f t="shared" si="8"/>
        <v>191</v>
      </c>
      <c r="AZ54" s="6">
        <v>70</v>
      </c>
      <c r="BA54" s="6"/>
      <c r="BB54" s="6">
        <f t="shared" si="9"/>
        <v>70</v>
      </c>
      <c r="BC54" s="6"/>
      <c r="BD54" s="6"/>
      <c r="BE54" s="6"/>
      <c r="BF54" s="6"/>
      <c r="BG54" s="6"/>
      <c r="BH54" s="35"/>
      <c r="BI54" s="6"/>
      <c r="BJ54" s="6"/>
      <c r="BK54" s="6"/>
      <c r="BL54" s="6"/>
      <c r="BM54" s="6"/>
      <c r="BN54" s="35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416</v>
      </c>
      <c r="CH54" s="6"/>
      <c r="CI54" s="6">
        <f t="shared" si="10"/>
        <v>346</v>
      </c>
      <c r="CJ54" s="6">
        <v>758</v>
      </c>
      <c r="CK54" s="6"/>
      <c r="CL54" s="6">
        <f t="shared" si="11"/>
        <v>342</v>
      </c>
      <c r="CM54" s="6">
        <v>1099</v>
      </c>
      <c r="CN54" s="6"/>
      <c r="CO54" s="6">
        <f t="shared" si="12"/>
        <v>341</v>
      </c>
      <c r="CP54" s="6">
        <v>240</v>
      </c>
      <c r="CQ54" s="6">
        <v>1200</v>
      </c>
      <c r="CR54" s="6">
        <f t="shared" si="13"/>
        <v>341</v>
      </c>
      <c r="CS54" s="6">
        <v>584</v>
      </c>
      <c r="CT54" s="6"/>
      <c r="CU54" s="6">
        <f t="shared" si="14"/>
        <v>344</v>
      </c>
      <c r="CV54" s="6">
        <v>899</v>
      </c>
      <c r="CW54" s="6"/>
      <c r="CX54" s="6">
        <f t="shared" si="15"/>
        <v>315</v>
      </c>
    </row>
    <row r="55" spans="1:102">
      <c r="A55" s="6">
        <v>51</v>
      </c>
      <c r="B55" s="6">
        <v>131</v>
      </c>
      <c r="C55" s="6">
        <v>1200</v>
      </c>
      <c r="D55" s="6">
        <v>317</v>
      </c>
      <c r="E55" s="33" t="s">
        <v>130</v>
      </c>
      <c r="F55" s="33" t="s">
        <v>130</v>
      </c>
      <c r="G55" s="33" t="s">
        <v>130</v>
      </c>
      <c r="H55" s="33" t="s">
        <v>130</v>
      </c>
      <c r="I55" s="148" t="s">
        <v>130</v>
      </c>
      <c r="J55" s="33" t="s">
        <v>130</v>
      </c>
      <c r="K55" s="33" t="s">
        <v>130</v>
      </c>
      <c r="L55" s="33" t="s">
        <v>130</v>
      </c>
      <c r="M55" s="33" t="s">
        <v>130</v>
      </c>
      <c r="N55" s="33" t="s">
        <v>130</v>
      </c>
      <c r="O55" s="33" t="s">
        <v>130</v>
      </c>
      <c r="P55" s="33" t="s">
        <v>130</v>
      </c>
      <c r="Q55" s="33" t="s">
        <v>130</v>
      </c>
      <c r="R55" s="33" t="s">
        <v>130</v>
      </c>
      <c r="S55" s="33" t="s">
        <v>130</v>
      </c>
      <c r="T55" s="33" t="s">
        <v>130</v>
      </c>
      <c r="U55" s="33" t="s">
        <v>130</v>
      </c>
      <c r="V55" s="6">
        <v>495</v>
      </c>
      <c r="W55" s="6"/>
      <c r="X55" s="35">
        <f t="shared" si="0"/>
        <v>364</v>
      </c>
      <c r="Y55" s="35">
        <v>838</v>
      </c>
      <c r="Z55" s="35"/>
      <c r="AA55" s="35">
        <f t="shared" si="1"/>
        <v>343</v>
      </c>
      <c r="AB55" s="6">
        <v>1184</v>
      </c>
      <c r="AC55" s="6"/>
      <c r="AD55" s="35">
        <f t="shared" si="2"/>
        <v>346</v>
      </c>
      <c r="AE55" s="6">
        <v>243</v>
      </c>
      <c r="AF55" s="6">
        <v>1247</v>
      </c>
      <c r="AG55" s="34">
        <f t="shared" si="3"/>
        <v>306</v>
      </c>
      <c r="AH55" s="35">
        <v>568</v>
      </c>
      <c r="AI55" s="35"/>
      <c r="AJ55" s="35">
        <f t="shared" si="4"/>
        <v>325</v>
      </c>
      <c r="AK55" s="6">
        <v>857</v>
      </c>
      <c r="AL55" s="6"/>
      <c r="AM55" s="35">
        <f t="shared" si="5"/>
        <v>289</v>
      </c>
      <c r="AN55" s="6"/>
      <c r="AO55" s="6"/>
      <c r="AP55" s="35"/>
      <c r="AQ55" s="35">
        <v>4</v>
      </c>
      <c r="AR55" s="35">
        <v>1200</v>
      </c>
      <c r="AS55" s="35">
        <f t="shared" si="6"/>
        <v>347</v>
      </c>
      <c r="AT55" s="6">
        <v>345</v>
      </c>
      <c r="AU55" s="6"/>
      <c r="AV55" s="35">
        <f t="shared" si="7"/>
        <v>341</v>
      </c>
      <c r="AW55" s="6">
        <v>334</v>
      </c>
      <c r="AX55" s="6">
        <v>346</v>
      </c>
      <c r="AY55" s="6">
        <f t="shared" si="8"/>
        <v>335</v>
      </c>
      <c r="AZ55" s="6">
        <v>418</v>
      </c>
      <c r="BA55" s="6"/>
      <c r="BB55" s="6">
        <f t="shared" si="9"/>
        <v>84</v>
      </c>
      <c r="BC55" s="6"/>
      <c r="BD55" s="6"/>
      <c r="BE55" s="6"/>
      <c r="BF55" s="6"/>
      <c r="BG55" s="6"/>
      <c r="BH55" s="35"/>
      <c r="BI55" s="6"/>
      <c r="BJ55" s="6"/>
      <c r="BK55" s="6"/>
      <c r="BL55" s="6"/>
      <c r="BM55" s="6"/>
      <c r="BN55" s="35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>
        <v>751</v>
      </c>
      <c r="CH55" s="6"/>
      <c r="CI55" s="6">
        <f t="shared" si="10"/>
        <v>333</v>
      </c>
      <c r="CJ55" s="6">
        <v>1098</v>
      </c>
      <c r="CK55" s="6"/>
      <c r="CL55" s="6">
        <f t="shared" si="11"/>
        <v>347</v>
      </c>
      <c r="CM55" s="6">
        <v>245</v>
      </c>
      <c r="CN55" s="6">
        <v>1200</v>
      </c>
      <c r="CO55" s="6">
        <f t="shared" si="12"/>
        <v>347</v>
      </c>
      <c r="CP55" s="6">
        <v>591</v>
      </c>
      <c r="CQ55" s="6"/>
      <c r="CR55" s="6">
        <f t="shared" si="13"/>
        <v>346</v>
      </c>
      <c r="CS55" s="6">
        <v>938</v>
      </c>
      <c r="CT55" s="6"/>
      <c r="CU55" s="6">
        <f t="shared" si="14"/>
        <v>347</v>
      </c>
      <c r="CV55" s="6">
        <v>53</v>
      </c>
      <c r="CW55" s="6">
        <v>1200</v>
      </c>
      <c r="CX55" s="6">
        <f t="shared" si="15"/>
        <v>315</v>
      </c>
    </row>
    <row r="56" spans="1:102">
      <c r="A56" s="6">
        <v>52</v>
      </c>
      <c r="B56" s="6">
        <v>278</v>
      </c>
      <c r="C56" s="6">
        <v>1200</v>
      </c>
      <c r="D56" s="6">
        <v>309</v>
      </c>
      <c r="E56" s="33" t="s">
        <v>130</v>
      </c>
      <c r="F56" s="33" t="s">
        <v>130</v>
      </c>
      <c r="G56" s="33" t="s">
        <v>130</v>
      </c>
      <c r="H56" s="33" t="s">
        <v>130</v>
      </c>
      <c r="I56" s="33" t="s">
        <v>130</v>
      </c>
      <c r="J56" s="33" t="s">
        <v>130</v>
      </c>
      <c r="K56" s="33" t="s">
        <v>130</v>
      </c>
      <c r="L56" s="33" t="s">
        <v>130</v>
      </c>
      <c r="M56" s="148" t="s">
        <v>130</v>
      </c>
      <c r="N56" s="33" t="s">
        <v>130</v>
      </c>
      <c r="O56" s="33" t="s">
        <v>130</v>
      </c>
      <c r="P56" s="33" t="s">
        <v>130</v>
      </c>
      <c r="Q56" s="33" t="s">
        <v>130</v>
      </c>
      <c r="R56" s="33" t="s">
        <v>130</v>
      </c>
      <c r="S56" s="33" t="s">
        <v>130</v>
      </c>
      <c r="T56" s="33" t="s">
        <v>130</v>
      </c>
      <c r="U56" s="33" t="s">
        <v>130</v>
      </c>
      <c r="V56" s="6">
        <v>638</v>
      </c>
      <c r="W56" s="6"/>
      <c r="X56" s="35">
        <f t="shared" si="0"/>
        <v>360</v>
      </c>
      <c r="Y56" s="35">
        <v>976</v>
      </c>
      <c r="Z56" s="35"/>
      <c r="AA56" s="35">
        <f t="shared" si="1"/>
        <v>338</v>
      </c>
      <c r="AB56" s="6">
        <v>114</v>
      </c>
      <c r="AC56" s="6">
        <v>1200</v>
      </c>
      <c r="AD56" s="35">
        <f t="shared" si="2"/>
        <v>338</v>
      </c>
      <c r="AE56" s="6">
        <v>453</v>
      </c>
      <c r="AF56" s="6"/>
      <c r="AG56" s="34">
        <f t="shared" si="3"/>
        <v>339</v>
      </c>
      <c r="AH56" s="35">
        <v>763</v>
      </c>
      <c r="AI56" s="35"/>
      <c r="AJ56" s="35">
        <f t="shared" si="4"/>
        <v>310</v>
      </c>
      <c r="AK56" s="6">
        <v>1041</v>
      </c>
      <c r="AL56" s="6"/>
      <c r="AM56" s="35">
        <f t="shared" si="5"/>
        <v>278</v>
      </c>
      <c r="AN56" s="6"/>
      <c r="AO56" s="6"/>
      <c r="AP56" s="35"/>
      <c r="AQ56" s="35">
        <v>0</v>
      </c>
      <c r="AR56" s="35">
        <v>1258</v>
      </c>
      <c r="AS56" s="35">
        <f t="shared" si="6"/>
        <v>217</v>
      </c>
      <c r="AT56" s="35">
        <v>330</v>
      </c>
      <c r="AU56" s="6"/>
      <c r="AV56" s="35">
        <f t="shared" si="7"/>
        <v>330</v>
      </c>
      <c r="AW56" s="35">
        <v>670</v>
      </c>
      <c r="AX56" s="6"/>
      <c r="AY56" s="6">
        <f t="shared" si="8"/>
        <v>340</v>
      </c>
      <c r="AZ56" s="6">
        <v>775</v>
      </c>
      <c r="BA56" s="6"/>
      <c r="BB56" s="6">
        <f t="shared" si="9"/>
        <v>105</v>
      </c>
      <c r="BC56" s="6"/>
      <c r="BD56" s="6"/>
      <c r="BE56" s="6"/>
      <c r="BF56" s="6"/>
      <c r="BG56" s="6"/>
      <c r="BH56" s="35"/>
      <c r="BI56" s="6"/>
      <c r="BJ56" s="6"/>
      <c r="BK56" s="6"/>
      <c r="BL56" s="6"/>
      <c r="BM56" s="6"/>
      <c r="BN56" s="35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1095</v>
      </c>
      <c r="CH56" s="6"/>
      <c r="CI56" s="6">
        <f t="shared" si="10"/>
        <v>320</v>
      </c>
      <c r="CJ56" s="6">
        <v>238</v>
      </c>
      <c r="CK56" s="6">
        <v>1200</v>
      </c>
      <c r="CL56" s="6">
        <f t="shared" si="11"/>
        <v>343</v>
      </c>
      <c r="CM56" s="6">
        <v>587</v>
      </c>
      <c r="CN56" s="6"/>
      <c r="CO56" s="6">
        <f t="shared" si="12"/>
        <v>349</v>
      </c>
      <c r="CP56" s="6">
        <v>934</v>
      </c>
      <c r="CQ56" s="6"/>
      <c r="CR56" s="6">
        <f t="shared" si="13"/>
        <v>347</v>
      </c>
      <c r="CS56" s="6">
        <v>81</v>
      </c>
      <c r="CT56" s="6">
        <v>1200</v>
      </c>
      <c r="CU56" s="6">
        <f t="shared" si="14"/>
        <v>347</v>
      </c>
      <c r="CV56" s="6">
        <v>401</v>
      </c>
      <c r="CW56" s="6"/>
      <c r="CX56" s="6">
        <f t="shared" si="15"/>
        <v>320</v>
      </c>
    </row>
    <row r="57" spans="1:102">
      <c r="A57" s="6">
        <v>53</v>
      </c>
      <c r="B57" s="6">
        <v>903</v>
      </c>
      <c r="C57" s="6"/>
      <c r="D57" s="6">
        <v>317</v>
      </c>
      <c r="E57" s="169" t="s">
        <v>130</v>
      </c>
      <c r="F57" s="169" t="s">
        <v>130</v>
      </c>
      <c r="G57" s="169" t="s">
        <v>130</v>
      </c>
      <c r="H57" s="169" t="s">
        <v>130</v>
      </c>
      <c r="I57" s="169" t="s">
        <v>130</v>
      </c>
      <c r="J57" s="169" t="s">
        <v>130</v>
      </c>
      <c r="K57" s="169" t="s">
        <v>130</v>
      </c>
      <c r="L57" s="169" t="s">
        <v>130</v>
      </c>
      <c r="M57" s="169" t="s">
        <v>130</v>
      </c>
      <c r="N57" s="167" t="s">
        <v>130</v>
      </c>
      <c r="O57" s="169" t="s">
        <v>130</v>
      </c>
      <c r="P57" s="169" t="s">
        <v>130</v>
      </c>
      <c r="Q57" s="169" t="s">
        <v>130</v>
      </c>
      <c r="R57" s="169" t="s">
        <v>130</v>
      </c>
      <c r="S57" s="169" t="s">
        <v>130</v>
      </c>
      <c r="T57" s="169" t="s">
        <v>130</v>
      </c>
      <c r="U57" s="169" t="s">
        <v>130</v>
      </c>
      <c r="V57" s="6">
        <v>71</v>
      </c>
      <c r="W57" s="6">
        <v>1200</v>
      </c>
      <c r="X57" s="35">
        <f t="shared" si="0"/>
        <v>368</v>
      </c>
      <c r="Y57" s="35">
        <v>416</v>
      </c>
      <c r="Z57" s="35"/>
      <c r="AA57" s="35">
        <f t="shared" si="1"/>
        <v>345</v>
      </c>
      <c r="AB57" s="6">
        <v>765</v>
      </c>
      <c r="AC57" s="6"/>
      <c r="AD57" s="35">
        <f t="shared" si="2"/>
        <v>349</v>
      </c>
      <c r="AE57" s="6">
        <v>234</v>
      </c>
      <c r="AF57" s="6">
        <v>861</v>
      </c>
      <c r="AG57" s="34">
        <f t="shared" si="3"/>
        <v>330</v>
      </c>
      <c r="AH57" s="35">
        <v>545</v>
      </c>
      <c r="AI57" s="35"/>
      <c r="AJ57" s="35">
        <f t="shared" si="4"/>
        <v>311</v>
      </c>
      <c r="AK57" s="6">
        <v>825</v>
      </c>
      <c r="AL57" s="6"/>
      <c r="AM57" s="35">
        <f t="shared" si="5"/>
        <v>280</v>
      </c>
      <c r="AN57" s="6"/>
      <c r="AO57" s="6"/>
      <c r="AP57" s="35"/>
      <c r="AQ57" s="35">
        <v>1176</v>
      </c>
      <c r="AR57" s="35"/>
      <c r="AS57" s="35">
        <f t="shared" si="6"/>
        <v>351</v>
      </c>
      <c r="AT57" s="6">
        <v>0</v>
      </c>
      <c r="AU57" s="6">
        <f>1200+285</f>
        <v>1485</v>
      </c>
      <c r="AV57" s="35">
        <f t="shared" si="7"/>
        <v>309</v>
      </c>
      <c r="AW57" s="6">
        <v>317</v>
      </c>
      <c r="AX57" s="6"/>
      <c r="AY57" s="6">
        <f t="shared" si="8"/>
        <v>317</v>
      </c>
      <c r="AZ57" s="6">
        <v>405</v>
      </c>
      <c r="BA57" s="6"/>
      <c r="BB57" s="6">
        <f t="shared" si="9"/>
        <v>88</v>
      </c>
      <c r="BC57" s="6"/>
      <c r="BD57" s="6"/>
      <c r="BE57" s="6"/>
      <c r="BF57" s="6"/>
      <c r="BG57" s="6"/>
      <c r="BH57" s="35"/>
      <c r="BI57" s="6"/>
      <c r="BJ57" s="6"/>
      <c r="BK57" s="6"/>
      <c r="BL57" s="6"/>
      <c r="BM57" s="6"/>
      <c r="BN57" s="35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718</v>
      </c>
      <c r="CH57" s="6"/>
      <c r="CI57" s="6">
        <f t="shared" si="10"/>
        <v>313</v>
      </c>
      <c r="CJ57" s="6">
        <v>323</v>
      </c>
      <c r="CK57" s="6">
        <v>741</v>
      </c>
      <c r="CL57" s="6">
        <f t="shared" si="11"/>
        <v>346</v>
      </c>
      <c r="CM57" s="6">
        <v>672</v>
      </c>
      <c r="CN57" s="6"/>
      <c r="CO57" s="6">
        <f t="shared" si="12"/>
        <v>349</v>
      </c>
      <c r="CP57" s="6">
        <v>1019</v>
      </c>
      <c r="CQ57" s="6"/>
      <c r="CR57" s="6">
        <f t="shared" si="13"/>
        <v>347</v>
      </c>
      <c r="CS57" s="6">
        <v>162</v>
      </c>
      <c r="CT57" s="6">
        <v>1200</v>
      </c>
      <c r="CU57" s="6">
        <f t="shared" si="14"/>
        <v>343</v>
      </c>
      <c r="CV57" s="6">
        <v>481</v>
      </c>
      <c r="CW57" s="6"/>
      <c r="CX57" s="6">
        <f t="shared" si="15"/>
        <v>319</v>
      </c>
    </row>
    <row r="58" spans="1:102">
      <c r="A58" s="6">
        <v>54</v>
      </c>
      <c r="B58" s="6">
        <v>454</v>
      </c>
      <c r="C58" s="6"/>
      <c r="D58" s="6">
        <v>304</v>
      </c>
      <c r="E58" s="33" t="s">
        <v>130</v>
      </c>
      <c r="F58" s="33" t="s">
        <v>130</v>
      </c>
      <c r="G58" s="33" t="s">
        <v>130</v>
      </c>
      <c r="H58" s="33" t="s">
        <v>130</v>
      </c>
      <c r="I58" s="33" t="s">
        <v>130</v>
      </c>
      <c r="J58" s="33" t="s">
        <v>130</v>
      </c>
      <c r="K58" s="33" t="s">
        <v>130</v>
      </c>
      <c r="L58" s="33" t="s">
        <v>130</v>
      </c>
      <c r="M58" s="33" t="s">
        <v>130</v>
      </c>
      <c r="N58" s="33" t="s">
        <v>130</v>
      </c>
      <c r="O58" s="33" t="s">
        <v>130</v>
      </c>
      <c r="P58" s="33" t="s">
        <v>130</v>
      </c>
      <c r="Q58" s="33" t="s">
        <v>130</v>
      </c>
      <c r="R58" s="33" t="s">
        <v>130</v>
      </c>
      <c r="S58" s="148" t="s">
        <v>130</v>
      </c>
      <c r="T58" s="33" t="s">
        <v>130</v>
      </c>
      <c r="U58" s="33" t="s">
        <v>130</v>
      </c>
      <c r="V58" s="35">
        <v>811</v>
      </c>
      <c r="W58" s="35"/>
      <c r="X58" s="35">
        <f t="shared" si="0"/>
        <v>357</v>
      </c>
      <c r="Y58" s="35">
        <v>1151</v>
      </c>
      <c r="Z58" s="35"/>
      <c r="AA58" s="35">
        <f t="shared" si="1"/>
        <v>340</v>
      </c>
      <c r="AB58" s="6">
        <v>297</v>
      </c>
      <c r="AC58" s="35">
        <v>1200</v>
      </c>
      <c r="AD58" s="35">
        <f t="shared" si="2"/>
        <v>346</v>
      </c>
      <c r="AE58" s="6">
        <v>646</v>
      </c>
      <c r="AF58" s="6"/>
      <c r="AG58" s="34">
        <f t="shared" si="3"/>
        <v>349</v>
      </c>
      <c r="AH58" s="35">
        <v>969</v>
      </c>
      <c r="AI58" s="35"/>
      <c r="AJ58" s="35">
        <f t="shared" si="4"/>
        <v>323</v>
      </c>
      <c r="AK58" s="6">
        <v>172</v>
      </c>
      <c r="AL58" s="6">
        <v>1081</v>
      </c>
      <c r="AM58" s="35">
        <f t="shared" si="5"/>
        <v>284</v>
      </c>
      <c r="AN58" s="6"/>
      <c r="AO58" s="6"/>
      <c r="AP58" s="35"/>
      <c r="AQ58" s="6">
        <v>525</v>
      </c>
      <c r="AR58" s="6"/>
      <c r="AS58" s="35">
        <f t="shared" si="6"/>
        <v>353</v>
      </c>
      <c r="AT58" s="6">
        <v>853</v>
      </c>
      <c r="AU58" s="6"/>
      <c r="AV58" s="35">
        <f t="shared" si="7"/>
        <v>328</v>
      </c>
      <c r="AW58" s="6">
        <v>1142</v>
      </c>
      <c r="AX58" s="6"/>
      <c r="AY58" s="6">
        <f t="shared" si="8"/>
        <v>289</v>
      </c>
      <c r="AZ58" s="6">
        <v>83</v>
      </c>
      <c r="BA58" s="35">
        <v>1144</v>
      </c>
      <c r="BB58" s="6">
        <f t="shared" si="9"/>
        <v>85</v>
      </c>
      <c r="BC58" s="6"/>
      <c r="BD58" s="6"/>
      <c r="BE58" s="6"/>
      <c r="BF58" s="6"/>
      <c r="BG58" s="6"/>
      <c r="BH58" s="35"/>
      <c r="BI58" s="6"/>
      <c r="BJ58" s="6"/>
      <c r="BK58" s="6"/>
      <c r="BL58" s="6"/>
      <c r="BM58" s="6"/>
      <c r="BN58" s="35"/>
      <c r="BO58" s="6"/>
      <c r="BP58" s="35"/>
      <c r="BQ58" s="6"/>
      <c r="BR58" s="6"/>
      <c r="BS58" s="6"/>
      <c r="BT58" s="35"/>
      <c r="BU58" s="6"/>
      <c r="BV58" s="35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435</v>
      </c>
      <c r="CH58" s="6"/>
      <c r="CI58" s="6">
        <f t="shared" si="10"/>
        <v>352</v>
      </c>
      <c r="CJ58" s="6">
        <v>781</v>
      </c>
      <c r="CK58" s="6"/>
      <c r="CL58" s="6">
        <f t="shared" si="11"/>
        <v>346</v>
      </c>
      <c r="CM58" s="6">
        <v>1125</v>
      </c>
      <c r="CN58" s="6"/>
      <c r="CO58" s="6">
        <f t="shared" si="12"/>
        <v>344</v>
      </c>
      <c r="CP58" s="6">
        <v>249</v>
      </c>
      <c r="CQ58" s="6">
        <v>1175</v>
      </c>
      <c r="CR58" s="6">
        <f t="shared" si="13"/>
        <v>299</v>
      </c>
      <c r="CS58" s="6">
        <v>43</v>
      </c>
      <c r="CT58" s="6">
        <v>544</v>
      </c>
      <c r="CU58" s="6">
        <f t="shared" si="14"/>
        <v>338</v>
      </c>
      <c r="CV58" s="6">
        <v>354</v>
      </c>
      <c r="CW58" s="6"/>
      <c r="CX58" s="6">
        <f t="shared" si="15"/>
        <v>311</v>
      </c>
    </row>
    <row r="59" spans="1:102">
      <c r="A59" s="6">
        <v>55</v>
      </c>
      <c r="B59" s="6">
        <v>9</v>
      </c>
      <c r="C59" s="6">
        <v>1205</v>
      </c>
      <c r="D59" s="6">
        <v>314</v>
      </c>
      <c r="E59" s="33" t="s">
        <v>130</v>
      </c>
      <c r="F59" s="33" t="s">
        <v>130</v>
      </c>
      <c r="G59" s="33" t="s">
        <v>130</v>
      </c>
      <c r="H59" s="33" t="s">
        <v>130</v>
      </c>
      <c r="I59" s="33" t="s">
        <v>130</v>
      </c>
      <c r="J59" s="33" t="s">
        <v>130</v>
      </c>
      <c r="K59" s="33" t="s">
        <v>130</v>
      </c>
      <c r="L59" s="33" t="s">
        <v>130</v>
      </c>
      <c r="M59" s="148" t="s">
        <v>130</v>
      </c>
      <c r="N59" s="33" t="s">
        <v>130</v>
      </c>
      <c r="O59" s="33" t="s">
        <v>130</v>
      </c>
      <c r="P59" s="33" t="s">
        <v>130</v>
      </c>
      <c r="Q59" s="33" t="s">
        <v>130</v>
      </c>
      <c r="R59" s="33" t="s">
        <v>130</v>
      </c>
      <c r="S59" s="33" t="s">
        <v>130</v>
      </c>
      <c r="T59" s="33" t="s">
        <v>130</v>
      </c>
      <c r="U59" s="33" t="s">
        <v>130</v>
      </c>
      <c r="V59" s="6">
        <v>377</v>
      </c>
      <c r="W59" s="6"/>
      <c r="X59" s="35">
        <f t="shared" si="0"/>
        <v>368</v>
      </c>
      <c r="Y59" s="35">
        <v>725</v>
      </c>
      <c r="Z59" s="35"/>
      <c r="AA59" s="35">
        <f t="shared" si="1"/>
        <v>348</v>
      </c>
      <c r="AB59" s="6">
        <v>1074</v>
      </c>
      <c r="AC59" s="6"/>
      <c r="AD59" s="35">
        <f t="shared" si="2"/>
        <v>349</v>
      </c>
      <c r="AE59" s="6">
        <v>222</v>
      </c>
      <c r="AF59" s="6">
        <v>1200</v>
      </c>
      <c r="AG59" s="34">
        <f t="shared" si="3"/>
        <v>348</v>
      </c>
      <c r="AH59" s="35">
        <v>546</v>
      </c>
      <c r="AI59" s="35"/>
      <c r="AJ59" s="35">
        <f t="shared" si="4"/>
        <v>324</v>
      </c>
      <c r="AK59" s="6">
        <v>103</v>
      </c>
      <c r="AL59" s="6">
        <v>729</v>
      </c>
      <c r="AM59" s="35">
        <f t="shared" si="5"/>
        <v>286</v>
      </c>
      <c r="AN59" s="6"/>
      <c r="AO59" s="6"/>
      <c r="AP59" s="35"/>
      <c r="AQ59" s="35">
        <v>0</v>
      </c>
      <c r="AR59" s="35">
        <v>355</v>
      </c>
      <c r="AS59" s="35">
        <f t="shared" si="6"/>
        <v>252</v>
      </c>
      <c r="AT59" s="6">
        <v>330</v>
      </c>
      <c r="AU59" s="6"/>
      <c r="AV59" s="35">
        <f t="shared" si="7"/>
        <v>330</v>
      </c>
      <c r="AW59" s="6">
        <v>677</v>
      </c>
      <c r="AX59" s="6"/>
      <c r="AY59" s="6">
        <f t="shared" si="8"/>
        <v>347</v>
      </c>
      <c r="AZ59" s="6">
        <v>766</v>
      </c>
      <c r="BA59" s="6"/>
      <c r="BB59" s="6">
        <f t="shared" si="9"/>
        <v>89</v>
      </c>
      <c r="BC59" s="6"/>
      <c r="BD59" s="6"/>
      <c r="BE59" s="6"/>
      <c r="BF59" s="6"/>
      <c r="BG59" s="6"/>
      <c r="BH59" s="35"/>
      <c r="BI59" s="6"/>
      <c r="BJ59" s="6"/>
      <c r="BK59" s="6"/>
      <c r="BL59" s="6"/>
      <c r="BM59" s="6"/>
      <c r="BN59" s="35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1119</v>
      </c>
      <c r="CH59" s="6"/>
      <c r="CI59" s="6">
        <f t="shared" si="10"/>
        <v>353</v>
      </c>
      <c r="CJ59" s="6">
        <v>257</v>
      </c>
      <c r="CK59" s="6">
        <v>1200</v>
      </c>
      <c r="CL59" s="6">
        <f t="shared" si="11"/>
        <v>338</v>
      </c>
      <c r="CM59" s="6">
        <v>605</v>
      </c>
      <c r="CN59" s="6"/>
      <c r="CO59" s="6">
        <f t="shared" si="12"/>
        <v>348</v>
      </c>
      <c r="CP59" s="6">
        <v>948</v>
      </c>
      <c r="CQ59" s="6"/>
      <c r="CR59" s="6">
        <f t="shared" si="13"/>
        <v>343</v>
      </c>
      <c r="CS59" s="6">
        <v>95</v>
      </c>
      <c r="CT59" s="6">
        <v>1200</v>
      </c>
      <c r="CU59" s="6">
        <f t="shared" si="14"/>
        <v>347</v>
      </c>
      <c r="CV59" s="6">
        <v>404</v>
      </c>
      <c r="CW59" s="6"/>
      <c r="CX59" s="6">
        <f t="shared" si="15"/>
        <v>309</v>
      </c>
    </row>
    <row r="60" spans="1:102">
      <c r="A60" s="6">
        <v>56</v>
      </c>
      <c r="B60" s="6">
        <v>1083</v>
      </c>
      <c r="C60" s="6"/>
      <c r="D60" s="6">
        <v>311</v>
      </c>
      <c r="E60" s="33" t="s">
        <v>130</v>
      </c>
      <c r="F60" s="33" t="s">
        <v>130</v>
      </c>
      <c r="G60" s="33" t="s">
        <v>130</v>
      </c>
      <c r="H60" s="33" t="s">
        <v>130</v>
      </c>
      <c r="I60" s="33" t="s">
        <v>130</v>
      </c>
      <c r="J60" s="33" t="s">
        <v>130</v>
      </c>
      <c r="K60" s="33" t="s">
        <v>130</v>
      </c>
      <c r="L60" s="33" t="s">
        <v>130</v>
      </c>
      <c r="M60" s="33" t="s">
        <v>130</v>
      </c>
      <c r="N60" s="33" t="s">
        <v>130</v>
      </c>
      <c r="O60" s="148" t="s">
        <v>130</v>
      </c>
      <c r="P60" s="33" t="s">
        <v>130</v>
      </c>
      <c r="Q60" s="33" t="s">
        <v>130</v>
      </c>
      <c r="R60" s="33" t="s">
        <v>130</v>
      </c>
      <c r="S60" s="33" t="s">
        <v>130</v>
      </c>
      <c r="T60" s="33" t="s">
        <v>130</v>
      </c>
      <c r="U60" s="33" t="s">
        <v>130</v>
      </c>
      <c r="V60" s="35">
        <v>238</v>
      </c>
      <c r="W60" s="35">
        <v>1200</v>
      </c>
      <c r="X60" s="35">
        <f t="shared" si="0"/>
        <v>355</v>
      </c>
      <c r="Y60" s="35">
        <v>559</v>
      </c>
      <c r="Z60" s="35"/>
      <c r="AA60" s="35">
        <f t="shared" si="1"/>
        <v>321</v>
      </c>
      <c r="AB60" s="6">
        <v>900</v>
      </c>
      <c r="AC60" s="35"/>
      <c r="AD60" s="35">
        <f t="shared" si="2"/>
        <v>341</v>
      </c>
      <c r="AE60" s="6">
        <v>44</v>
      </c>
      <c r="AF60" s="6">
        <v>1200</v>
      </c>
      <c r="AG60" s="34">
        <f t="shared" si="3"/>
        <v>344</v>
      </c>
      <c r="AH60" s="35">
        <v>357</v>
      </c>
      <c r="AI60" s="35"/>
      <c r="AJ60" s="35">
        <f t="shared" si="4"/>
        <v>313</v>
      </c>
      <c r="AK60" s="6">
        <v>643</v>
      </c>
      <c r="AL60" s="6"/>
      <c r="AM60" s="35">
        <f t="shared" si="5"/>
        <v>286</v>
      </c>
      <c r="AN60" s="6"/>
      <c r="AO60" s="6"/>
      <c r="AP60" s="35"/>
      <c r="AQ60" s="6">
        <v>988</v>
      </c>
      <c r="AR60" s="6"/>
      <c r="AS60" s="35">
        <f t="shared" si="6"/>
        <v>345</v>
      </c>
      <c r="AT60" s="6">
        <v>1</v>
      </c>
      <c r="AU60" s="6">
        <v>1326</v>
      </c>
      <c r="AV60" s="35">
        <f t="shared" si="7"/>
        <v>339</v>
      </c>
      <c r="AW60" s="6">
        <v>0</v>
      </c>
      <c r="AX60" s="6">
        <v>215</v>
      </c>
      <c r="AY60" s="6">
        <f t="shared" si="8"/>
        <v>214</v>
      </c>
      <c r="AZ60" s="6">
        <v>74</v>
      </c>
      <c r="BA60" s="35"/>
      <c r="BB60" s="6">
        <f t="shared" si="9"/>
        <v>74</v>
      </c>
      <c r="BC60" s="6"/>
      <c r="BD60" s="6"/>
      <c r="BE60" s="6"/>
      <c r="BF60" s="6"/>
      <c r="BG60" s="6"/>
      <c r="BH60" s="35"/>
      <c r="BI60" s="6"/>
      <c r="BJ60" s="6"/>
      <c r="BK60" s="6"/>
      <c r="BL60" s="6"/>
      <c r="BM60" s="6"/>
      <c r="BN60" s="35"/>
      <c r="BO60" s="6"/>
      <c r="BP60" s="35"/>
      <c r="BQ60" s="6"/>
      <c r="BR60" s="6"/>
      <c r="BS60" s="6"/>
      <c r="BT60" s="35"/>
      <c r="BU60" s="6"/>
      <c r="BV60" s="35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417</v>
      </c>
      <c r="CH60" s="6"/>
      <c r="CI60" s="6">
        <f t="shared" si="10"/>
        <v>343</v>
      </c>
      <c r="CJ60" s="6">
        <v>755</v>
      </c>
      <c r="CK60" s="6"/>
      <c r="CL60" s="6">
        <f t="shared" si="11"/>
        <v>338</v>
      </c>
      <c r="CM60" s="6">
        <v>1095</v>
      </c>
      <c r="CN60" s="6"/>
      <c r="CO60" s="6">
        <f t="shared" si="12"/>
        <v>340</v>
      </c>
      <c r="CP60" s="6">
        <v>129</v>
      </c>
      <c r="CQ60" s="6">
        <v>1306</v>
      </c>
      <c r="CR60" s="6">
        <f t="shared" si="13"/>
        <v>340</v>
      </c>
      <c r="CS60" s="6">
        <v>469</v>
      </c>
      <c r="CT60" s="6"/>
      <c r="CU60" s="6">
        <f t="shared" si="14"/>
        <v>340</v>
      </c>
      <c r="CV60" s="6">
        <v>782</v>
      </c>
      <c r="CW60" s="6"/>
      <c r="CX60" s="6">
        <f t="shared" si="15"/>
        <v>313</v>
      </c>
    </row>
    <row r="61" spans="1:102" s="51" customFormat="1">
      <c r="A61" s="50">
        <v>57</v>
      </c>
      <c r="B61" s="50">
        <v>400</v>
      </c>
      <c r="C61" s="50"/>
      <c r="D61" s="6">
        <v>311</v>
      </c>
      <c r="E61" s="33" t="s">
        <v>130</v>
      </c>
      <c r="F61" s="33" t="s">
        <v>130</v>
      </c>
      <c r="G61" s="33" t="s">
        <v>130</v>
      </c>
      <c r="H61" s="33" t="s">
        <v>130</v>
      </c>
      <c r="I61" s="33" t="s">
        <v>130</v>
      </c>
      <c r="J61" s="33" t="s">
        <v>130</v>
      </c>
      <c r="K61" s="33" t="s">
        <v>130</v>
      </c>
      <c r="L61" s="148" t="s">
        <v>130</v>
      </c>
      <c r="M61" s="33" t="s">
        <v>130</v>
      </c>
      <c r="N61" s="33" t="s">
        <v>130</v>
      </c>
      <c r="O61" s="33" t="s">
        <v>130</v>
      </c>
      <c r="P61" s="33" t="s">
        <v>130</v>
      </c>
      <c r="Q61" s="33" t="s">
        <v>130</v>
      </c>
      <c r="R61" s="33" t="s">
        <v>130</v>
      </c>
      <c r="S61" s="33" t="s">
        <v>130</v>
      </c>
      <c r="T61" s="33" t="s">
        <v>130</v>
      </c>
      <c r="U61" s="33" t="s">
        <v>130</v>
      </c>
      <c r="V61" s="50">
        <v>770</v>
      </c>
      <c r="W61" s="50"/>
      <c r="X61" s="35">
        <f t="shared" si="0"/>
        <v>370</v>
      </c>
      <c r="Y61" s="96">
        <v>1112</v>
      </c>
      <c r="Z61" s="96"/>
      <c r="AA61" s="35">
        <f t="shared" si="1"/>
        <v>342</v>
      </c>
      <c r="AB61" s="50">
        <v>257</v>
      </c>
      <c r="AC61" s="50">
        <v>1200</v>
      </c>
      <c r="AD61" s="35">
        <f t="shared" si="2"/>
        <v>345</v>
      </c>
      <c r="AE61" s="6">
        <v>588</v>
      </c>
      <c r="AF61" s="6"/>
      <c r="AG61" s="34">
        <f t="shared" si="3"/>
        <v>331</v>
      </c>
      <c r="AH61" s="96">
        <v>910</v>
      </c>
      <c r="AI61" s="96"/>
      <c r="AJ61" s="35">
        <f t="shared" si="4"/>
        <v>322</v>
      </c>
      <c r="AK61" s="50">
        <v>0</v>
      </c>
      <c r="AL61" s="50">
        <v>1066</v>
      </c>
      <c r="AM61" s="35">
        <f t="shared" si="5"/>
        <v>156</v>
      </c>
      <c r="AN61" s="50"/>
      <c r="AO61" s="50"/>
      <c r="AP61" s="35"/>
      <c r="AQ61" s="96">
        <v>300</v>
      </c>
      <c r="AR61" s="96"/>
      <c r="AS61" s="35">
        <f t="shared" si="6"/>
        <v>300</v>
      </c>
      <c r="AT61" s="50">
        <v>646</v>
      </c>
      <c r="AU61" s="50"/>
      <c r="AV61" s="35">
        <f t="shared" si="7"/>
        <v>346</v>
      </c>
      <c r="AW61" s="50">
        <v>996</v>
      </c>
      <c r="AX61" s="50"/>
      <c r="AY61" s="6">
        <f t="shared" si="8"/>
        <v>350</v>
      </c>
      <c r="AZ61" s="50">
        <v>1073</v>
      </c>
      <c r="BA61" s="50"/>
      <c r="BB61" s="6">
        <f t="shared" si="9"/>
        <v>77</v>
      </c>
      <c r="BC61" s="50"/>
      <c r="BD61" s="50"/>
      <c r="BE61" s="6"/>
      <c r="BF61" s="50"/>
      <c r="BG61" s="50"/>
      <c r="BH61" s="35"/>
      <c r="BI61" s="50"/>
      <c r="BJ61" s="50"/>
      <c r="BK61" s="6"/>
      <c r="BL61" s="50"/>
      <c r="BM61" s="50"/>
      <c r="BN61" s="35"/>
      <c r="BO61" s="50"/>
      <c r="BP61" s="50"/>
      <c r="BQ61" s="6"/>
      <c r="BR61" s="50"/>
      <c r="BS61" s="50"/>
      <c r="BT61" s="6"/>
      <c r="BU61" s="50"/>
      <c r="BV61" s="50"/>
      <c r="BW61" s="6"/>
      <c r="BX61" s="50"/>
      <c r="BY61" s="50"/>
      <c r="BZ61" s="6"/>
      <c r="CA61" s="50"/>
      <c r="CB61" s="50"/>
      <c r="CC61" s="6"/>
      <c r="CD61" s="50"/>
      <c r="CE61" s="50"/>
      <c r="CF61" s="6"/>
      <c r="CG61" s="50">
        <v>199</v>
      </c>
      <c r="CH61" s="50">
        <v>1200</v>
      </c>
      <c r="CI61" s="6">
        <f t="shared" si="10"/>
        <v>326</v>
      </c>
      <c r="CJ61" s="50">
        <v>541</v>
      </c>
      <c r="CK61" s="50"/>
      <c r="CL61" s="6">
        <f t="shared" si="11"/>
        <v>342</v>
      </c>
      <c r="CM61" s="50">
        <v>890</v>
      </c>
      <c r="CN61" s="50"/>
      <c r="CO61" s="6">
        <f t="shared" si="12"/>
        <v>349</v>
      </c>
      <c r="CP61" s="50">
        <v>34</v>
      </c>
      <c r="CQ61" s="50">
        <v>1200</v>
      </c>
      <c r="CR61" s="6">
        <f t="shared" si="13"/>
        <v>344</v>
      </c>
      <c r="CS61" s="50">
        <v>382</v>
      </c>
      <c r="CT61" s="50"/>
      <c r="CU61" s="6">
        <f t="shared" si="14"/>
        <v>348</v>
      </c>
      <c r="CV61" s="50">
        <v>702</v>
      </c>
      <c r="CW61" s="50"/>
      <c r="CX61" s="6">
        <f t="shared" si="15"/>
        <v>320</v>
      </c>
    </row>
    <row r="62" spans="1:102">
      <c r="A62" s="6">
        <v>58</v>
      </c>
      <c r="B62" s="6">
        <v>754</v>
      </c>
      <c r="C62" s="6"/>
      <c r="D62" s="6">
        <v>319</v>
      </c>
      <c r="E62" s="33" t="s">
        <v>130</v>
      </c>
      <c r="F62" s="33" t="s">
        <v>130</v>
      </c>
      <c r="G62" s="33" t="s">
        <v>130</v>
      </c>
      <c r="H62" s="33" t="s">
        <v>130</v>
      </c>
      <c r="I62" s="33" t="s">
        <v>130</v>
      </c>
      <c r="J62" s="33" t="s">
        <v>130</v>
      </c>
      <c r="K62" s="33" t="s">
        <v>130</v>
      </c>
      <c r="L62" s="33" t="s">
        <v>130</v>
      </c>
      <c r="M62" s="33" t="s">
        <v>130</v>
      </c>
      <c r="N62" s="33" t="s">
        <v>130</v>
      </c>
      <c r="O62" s="33" t="s">
        <v>130</v>
      </c>
      <c r="P62" s="33" t="s">
        <v>130</v>
      </c>
      <c r="Q62" s="33" t="s">
        <v>130</v>
      </c>
      <c r="R62" s="148" t="s">
        <v>130</v>
      </c>
      <c r="S62" s="33" t="s">
        <v>130</v>
      </c>
      <c r="T62" s="33" t="s">
        <v>130</v>
      </c>
      <c r="U62" s="33" t="s">
        <v>130</v>
      </c>
      <c r="V62" s="35">
        <v>1112</v>
      </c>
      <c r="W62" s="35"/>
      <c r="X62" s="35">
        <f t="shared" si="0"/>
        <v>358</v>
      </c>
      <c r="Y62" s="35">
        <v>259</v>
      </c>
      <c r="Z62" s="35">
        <v>1200</v>
      </c>
      <c r="AA62" s="35">
        <f t="shared" si="1"/>
        <v>347</v>
      </c>
      <c r="AB62" s="6">
        <v>609</v>
      </c>
      <c r="AC62" s="35"/>
      <c r="AD62" s="35">
        <f t="shared" si="2"/>
        <v>350</v>
      </c>
      <c r="AE62" s="6">
        <v>959</v>
      </c>
      <c r="AF62" s="6"/>
      <c r="AG62" s="34">
        <f t="shared" si="3"/>
        <v>350</v>
      </c>
      <c r="AH62" s="35">
        <v>79</v>
      </c>
      <c r="AI62" s="35">
        <v>1200</v>
      </c>
      <c r="AJ62" s="35">
        <f t="shared" si="4"/>
        <v>320</v>
      </c>
      <c r="AK62" s="6">
        <v>370</v>
      </c>
      <c r="AL62" s="6"/>
      <c r="AM62" s="35">
        <f t="shared" si="5"/>
        <v>291</v>
      </c>
      <c r="AN62" s="6"/>
      <c r="AO62" s="6"/>
      <c r="AP62" s="35"/>
      <c r="AQ62" s="6">
        <v>721</v>
      </c>
      <c r="AR62" s="6"/>
      <c r="AS62" s="35">
        <f t="shared" si="6"/>
        <v>351</v>
      </c>
      <c r="AT62" s="6">
        <v>1068</v>
      </c>
      <c r="AU62" s="6"/>
      <c r="AV62" s="35">
        <f t="shared" si="7"/>
        <v>347</v>
      </c>
      <c r="AW62" s="6">
        <v>215</v>
      </c>
      <c r="AX62" s="6">
        <v>1200</v>
      </c>
      <c r="AY62" s="6">
        <f t="shared" si="8"/>
        <v>347</v>
      </c>
      <c r="AZ62" s="6">
        <v>303</v>
      </c>
      <c r="BA62" s="35"/>
      <c r="BB62" s="6">
        <f t="shared" si="9"/>
        <v>88</v>
      </c>
      <c r="BC62" s="6"/>
      <c r="BD62" s="6"/>
      <c r="BE62" s="6"/>
      <c r="BF62" s="6"/>
      <c r="BG62" s="6"/>
      <c r="BH62" s="35"/>
      <c r="BI62" s="6"/>
      <c r="BJ62" s="6"/>
      <c r="BK62" s="6"/>
      <c r="BL62" s="6"/>
      <c r="BM62" s="6"/>
      <c r="BN62" s="35"/>
      <c r="BO62" s="6"/>
      <c r="BP62" s="35"/>
      <c r="BQ62" s="6"/>
      <c r="BR62" s="6"/>
      <c r="BS62" s="6"/>
      <c r="BT62" s="35"/>
      <c r="BU62" s="6"/>
      <c r="BV62" s="35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655</v>
      </c>
      <c r="CH62" s="6"/>
      <c r="CI62" s="6">
        <f t="shared" si="10"/>
        <v>352</v>
      </c>
      <c r="CJ62" s="6">
        <v>1002</v>
      </c>
      <c r="CK62" s="6"/>
      <c r="CL62" s="6">
        <f t="shared" si="11"/>
        <v>347</v>
      </c>
      <c r="CM62" s="6">
        <v>302</v>
      </c>
      <c r="CN62" s="6">
        <v>1028</v>
      </c>
      <c r="CO62" s="6">
        <f t="shared" si="12"/>
        <v>328</v>
      </c>
      <c r="CP62" s="6">
        <v>648</v>
      </c>
      <c r="CQ62" s="6"/>
      <c r="CR62" s="6">
        <f t="shared" si="13"/>
        <v>346</v>
      </c>
      <c r="CS62" s="6">
        <v>997</v>
      </c>
      <c r="CT62" s="6"/>
      <c r="CU62" s="6">
        <f t="shared" si="14"/>
        <v>349</v>
      </c>
      <c r="CV62" s="6">
        <v>116</v>
      </c>
      <c r="CW62" s="6">
        <v>1200</v>
      </c>
      <c r="CX62" s="6">
        <f t="shared" si="15"/>
        <v>319</v>
      </c>
    </row>
    <row r="63" spans="1:102">
      <c r="A63" s="6">
        <v>59</v>
      </c>
      <c r="B63" s="6">
        <v>1137</v>
      </c>
      <c r="C63" s="6"/>
      <c r="D63" s="6">
        <v>317</v>
      </c>
      <c r="E63" s="33" t="s">
        <v>130</v>
      </c>
      <c r="F63" s="33" t="s">
        <v>130</v>
      </c>
      <c r="G63" s="33" t="s">
        <v>130</v>
      </c>
      <c r="H63" s="33" t="s">
        <v>130</v>
      </c>
      <c r="I63" s="33" t="s">
        <v>130</v>
      </c>
      <c r="J63" s="33" t="s">
        <v>130</v>
      </c>
      <c r="K63" s="33" t="s">
        <v>130</v>
      </c>
      <c r="L63" s="33" t="s">
        <v>130</v>
      </c>
      <c r="M63" s="33" t="s">
        <v>130</v>
      </c>
      <c r="N63" s="33" t="s">
        <v>130</v>
      </c>
      <c r="O63" s="33" t="s">
        <v>130</v>
      </c>
      <c r="P63" s="33" t="s">
        <v>130</v>
      </c>
      <c r="Q63" s="148" t="s">
        <v>130</v>
      </c>
      <c r="R63" s="33" t="s">
        <v>130</v>
      </c>
      <c r="S63" s="33" t="s">
        <v>130</v>
      </c>
      <c r="T63" s="33" t="s">
        <v>130</v>
      </c>
      <c r="U63" s="33" t="s">
        <v>130</v>
      </c>
      <c r="V63" s="35">
        <v>301</v>
      </c>
      <c r="W63" s="35">
        <v>1200</v>
      </c>
      <c r="X63" s="35">
        <f t="shared" si="0"/>
        <v>364</v>
      </c>
      <c r="Y63" s="35">
        <v>649</v>
      </c>
      <c r="Z63" s="35"/>
      <c r="AA63" s="35">
        <f t="shared" si="1"/>
        <v>348</v>
      </c>
      <c r="AB63" s="35">
        <v>996</v>
      </c>
      <c r="AC63" s="35"/>
      <c r="AD63" s="35">
        <f t="shared" si="2"/>
        <v>347</v>
      </c>
      <c r="AE63" s="6">
        <v>140</v>
      </c>
      <c r="AF63" s="6">
        <v>1200</v>
      </c>
      <c r="AG63" s="34">
        <f t="shared" si="3"/>
        <v>344</v>
      </c>
      <c r="AH63" s="35">
        <v>464</v>
      </c>
      <c r="AI63" s="35"/>
      <c r="AJ63" s="35">
        <f t="shared" si="4"/>
        <v>324</v>
      </c>
      <c r="AK63" s="6">
        <v>755</v>
      </c>
      <c r="AL63" s="6"/>
      <c r="AM63" s="35">
        <f t="shared" si="5"/>
        <v>291</v>
      </c>
      <c r="AN63" s="6"/>
      <c r="AO63" s="6"/>
      <c r="AP63" s="35"/>
      <c r="AQ63" s="6">
        <v>1097</v>
      </c>
      <c r="AR63" s="6"/>
      <c r="AS63" s="35">
        <f t="shared" si="6"/>
        <v>342</v>
      </c>
      <c r="AT63" s="6">
        <v>242</v>
      </c>
      <c r="AU63" s="6">
        <v>1200</v>
      </c>
      <c r="AV63" s="35">
        <f t="shared" si="7"/>
        <v>345</v>
      </c>
      <c r="AW63" s="6">
        <v>590</v>
      </c>
      <c r="AX63" s="6"/>
      <c r="AY63" s="6">
        <f t="shared" si="8"/>
        <v>348</v>
      </c>
      <c r="AZ63" s="6">
        <v>668</v>
      </c>
      <c r="BA63" s="35"/>
      <c r="BB63" s="6">
        <f t="shared" si="9"/>
        <v>78</v>
      </c>
      <c r="BC63" s="6"/>
      <c r="BD63" s="6"/>
      <c r="BE63" s="6"/>
      <c r="BF63" s="6"/>
      <c r="BG63" s="6"/>
      <c r="BH63" s="35"/>
      <c r="BI63" s="6"/>
      <c r="BJ63" s="6"/>
      <c r="BK63" s="6"/>
      <c r="BL63" s="6"/>
      <c r="BM63" s="6"/>
      <c r="BN63" s="35"/>
      <c r="BO63" s="6"/>
      <c r="BP63" s="35"/>
      <c r="BQ63" s="6"/>
      <c r="BR63" s="6"/>
      <c r="BS63" s="6"/>
      <c r="BT63" s="35"/>
      <c r="BU63" s="6"/>
      <c r="BV63" s="35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944</v>
      </c>
      <c r="CH63" s="6"/>
      <c r="CI63" s="6">
        <f t="shared" si="10"/>
        <v>276</v>
      </c>
      <c r="CJ63" s="6">
        <v>294</v>
      </c>
      <c r="CK63" s="6">
        <v>1008</v>
      </c>
      <c r="CL63" s="6">
        <f t="shared" si="11"/>
        <v>358</v>
      </c>
      <c r="CM63" s="6">
        <v>643</v>
      </c>
      <c r="CN63" s="6"/>
      <c r="CO63" s="6">
        <f t="shared" si="12"/>
        <v>349</v>
      </c>
      <c r="CP63" s="6">
        <v>992</v>
      </c>
      <c r="CQ63" s="6"/>
      <c r="CR63" s="6">
        <f t="shared" si="13"/>
        <v>349</v>
      </c>
      <c r="CS63" s="6">
        <v>137</v>
      </c>
      <c r="CT63" s="6">
        <v>1200</v>
      </c>
      <c r="CU63" s="6">
        <f t="shared" si="14"/>
        <v>345</v>
      </c>
      <c r="CV63" s="6">
        <v>455</v>
      </c>
      <c r="CW63" s="6"/>
      <c r="CX63" s="6">
        <f t="shared" si="15"/>
        <v>318</v>
      </c>
    </row>
    <row r="64" spans="1:102">
      <c r="A64" s="6">
        <v>60</v>
      </c>
      <c r="B64" s="6">
        <v>53</v>
      </c>
      <c r="C64" s="6">
        <v>1210</v>
      </c>
      <c r="D64" s="6">
        <v>317</v>
      </c>
      <c r="E64" s="33" t="s">
        <v>130</v>
      </c>
      <c r="F64" s="33" t="s">
        <v>130</v>
      </c>
      <c r="G64" s="33" t="s">
        <v>130</v>
      </c>
      <c r="H64" s="33" t="s">
        <v>130</v>
      </c>
      <c r="I64" s="33" t="s">
        <v>130</v>
      </c>
      <c r="J64" s="33" t="s">
        <v>130</v>
      </c>
      <c r="K64" s="33" t="s">
        <v>130</v>
      </c>
      <c r="L64" s="33" t="s">
        <v>130</v>
      </c>
      <c r="M64" s="33" t="s">
        <v>130</v>
      </c>
      <c r="N64" s="33" t="s">
        <v>130</v>
      </c>
      <c r="O64" s="33" t="s">
        <v>130</v>
      </c>
      <c r="P64" s="33" t="s">
        <v>130</v>
      </c>
      <c r="Q64" s="33" t="s">
        <v>130</v>
      </c>
      <c r="R64" s="33" t="s">
        <v>130</v>
      </c>
      <c r="S64" s="33" t="s">
        <v>130</v>
      </c>
      <c r="T64" s="148" t="s">
        <v>130</v>
      </c>
      <c r="U64" s="33" t="s">
        <v>130</v>
      </c>
      <c r="V64" s="6">
        <v>417</v>
      </c>
      <c r="W64" s="6"/>
      <c r="X64" s="35">
        <f t="shared" si="0"/>
        <v>364</v>
      </c>
      <c r="Y64" s="35">
        <v>763</v>
      </c>
      <c r="Z64" s="35"/>
      <c r="AA64" s="35">
        <f t="shared" si="1"/>
        <v>346</v>
      </c>
      <c r="AB64" s="6">
        <v>1113</v>
      </c>
      <c r="AC64" s="6"/>
      <c r="AD64" s="35">
        <f t="shared" si="2"/>
        <v>350</v>
      </c>
      <c r="AE64" s="6">
        <v>260</v>
      </c>
      <c r="AF64" s="6">
        <v>1200</v>
      </c>
      <c r="AG64" s="34">
        <f t="shared" si="3"/>
        <v>347</v>
      </c>
      <c r="AH64" s="35">
        <v>581</v>
      </c>
      <c r="AI64" s="35"/>
      <c r="AJ64" s="35">
        <f t="shared" si="4"/>
        <v>321</v>
      </c>
      <c r="AK64" s="6">
        <v>865</v>
      </c>
      <c r="AL64" s="6"/>
      <c r="AM64" s="35">
        <f t="shared" si="5"/>
        <v>284</v>
      </c>
      <c r="AN64" s="6"/>
      <c r="AO64" s="6"/>
      <c r="AP64" s="35"/>
      <c r="AQ64" s="35">
        <v>18</v>
      </c>
      <c r="AR64" s="35">
        <v>1200</v>
      </c>
      <c r="AS64" s="35">
        <f t="shared" si="6"/>
        <v>353</v>
      </c>
      <c r="AT64" s="6">
        <v>363</v>
      </c>
      <c r="AU64" s="6"/>
      <c r="AV64" s="35">
        <f t="shared" si="7"/>
        <v>345</v>
      </c>
      <c r="AW64" s="6">
        <v>707</v>
      </c>
      <c r="AX64" s="6"/>
      <c r="AY64" s="6">
        <f t="shared" si="8"/>
        <v>344</v>
      </c>
      <c r="AZ64" s="6">
        <v>797</v>
      </c>
      <c r="BA64" s="6"/>
      <c r="BB64" s="6">
        <f t="shared" si="9"/>
        <v>90</v>
      </c>
      <c r="BC64" s="6"/>
      <c r="BD64" s="6"/>
      <c r="BE64" s="6"/>
      <c r="BF64" s="6"/>
      <c r="BG64" s="6"/>
      <c r="BH64" s="35"/>
      <c r="BI64" s="6"/>
      <c r="BJ64" s="6"/>
      <c r="BK64" s="6"/>
      <c r="BL64" s="6"/>
      <c r="BM64" s="6"/>
      <c r="BN64" s="35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1148</v>
      </c>
      <c r="CH64" s="6"/>
      <c r="CI64" s="6">
        <f t="shared" si="10"/>
        <v>351</v>
      </c>
      <c r="CJ64" s="6">
        <v>298</v>
      </c>
      <c r="CK64" s="6">
        <v>1198</v>
      </c>
      <c r="CL64" s="6">
        <f t="shared" si="11"/>
        <v>348</v>
      </c>
      <c r="CM64" s="6">
        <v>647</v>
      </c>
      <c r="CN64" s="6"/>
      <c r="CO64" s="6">
        <f t="shared" si="12"/>
        <v>349</v>
      </c>
      <c r="CP64" s="6">
        <v>0</v>
      </c>
      <c r="CQ64" s="6">
        <v>987</v>
      </c>
      <c r="CR64" s="6">
        <f t="shared" si="13"/>
        <v>340</v>
      </c>
      <c r="CS64" s="6">
        <v>314</v>
      </c>
      <c r="CT64" s="6"/>
      <c r="CU64" s="6">
        <f t="shared" si="14"/>
        <v>314</v>
      </c>
      <c r="CV64" s="6">
        <v>632</v>
      </c>
      <c r="CW64" s="6"/>
      <c r="CX64" s="6">
        <f t="shared" si="15"/>
        <v>318</v>
      </c>
    </row>
    <row r="65" spans="1:102">
      <c r="A65" s="6">
        <v>61</v>
      </c>
      <c r="B65" s="6">
        <v>1135</v>
      </c>
      <c r="C65" s="6"/>
      <c r="D65" s="6">
        <v>307</v>
      </c>
      <c r="E65" s="33" t="s">
        <v>130</v>
      </c>
      <c r="F65" s="33" t="s">
        <v>130</v>
      </c>
      <c r="G65" s="33" t="s">
        <v>130</v>
      </c>
      <c r="H65" s="33" t="s">
        <v>130</v>
      </c>
      <c r="I65" s="33" t="s">
        <v>130</v>
      </c>
      <c r="J65" s="33" t="s">
        <v>130</v>
      </c>
      <c r="K65" s="33" t="s">
        <v>130</v>
      </c>
      <c r="L65" s="148" t="s">
        <v>130</v>
      </c>
      <c r="M65" s="33" t="s">
        <v>130</v>
      </c>
      <c r="N65" s="33" t="s">
        <v>130</v>
      </c>
      <c r="O65" s="33" t="s">
        <v>130</v>
      </c>
      <c r="P65" s="33" t="s">
        <v>130</v>
      </c>
      <c r="Q65" s="33" t="s">
        <v>130</v>
      </c>
      <c r="R65" s="33" t="s">
        <v>130</v>
      </c>
      <c r="S65" s="33" t="s">
        <v>130</v>
      </c>
      <c r="T65" s="33" t="s">
        <v>130</v>
      </c>
      <c r="U65" s="33" t="s">
        <v>130</v>
      </c>
      <c r="V65" s="6">
        <v>297</v>
      </c>
      <c r="W65" s="6">
        <v>1200</v>
      </c>
      <c r="X65" s="35">
        <f t="shared" si="0"/>
        <v>362</v>
      </c>
      <c r="Y65" s="35">
        <v>636</v>
      </c>
      <c r="Z65" s="35"/>
      <c r="AA65" s="35">
        <f t="shared" si="1"/>
        <v>339</v>
      </c>
      <c r="AB65" s="6">
        <v>979</v>
      </c>
      <c r="AC65" s="6"/>
      <c r="AD65" s="35">
        <f t="shared" si="2"/>
        <v>343</v>
      </c>
      <c r="AE65" s="6">
        <v>124</v>
      </c>
      <c r="AF65" s="6">
        <v>1200</v>
      </c>
      <c r="AG65" s="34">
        <f t="shared" si="3"/>
        <v>345</v>
      </c>
      <c r="AH65" s="35">
        <v>443</v>
      </c>
      <c r="AI65" s="35"/>
      <c r="AJ65" s="35">
        <f t="shared" si="4"/>
        <v>319</v>
      </c>
      <c r="AK65" s="6">
        <v>0</v>
      </c>
      <c r="AL65" s="6">
        <v>731</v>
      </c>
      <c r="AM65" s="35">
        <f t="shared" si="5"/>
        <v>288</v>
      </c>
      <c r="AN65" s="6"/>
      <c r="AO65" s="6"/>
      <c r="AP65" s="35"/>
      <c r="AQ65" s="35">
        <v>317</v>
      </c>
      <c r="AR65" s="35"/>
      <c r="AS65" s="35">
        <f t="shared" si="6"/>
        <v>317</v>
      </c>
      <c r="AT65" s="6">
        <v>195</v>
      </c>
      <c r="AU65" s="6">
        <v>463</v>
      </c>
      <c r="AV65" s="35">
        <f t="shared" si="7"/>
        <v>341</v>
      </c>
      <c r="AW65" s="6">
        <v>537</v>
      </c>
      <c r="AX65" s="6"/>
      <c r="AY65" s="6">
        <f t="shared" si="8"/>
        <v>342</v>
      </c>
      <c r="AZ65" s="6">
        <v>625</v>
      </c>
      <c r="BA65" s="6"/>
      <c r="BB65" s="6">
        <f t="shared" si="9"/>
        <v>88</v>
      </c>
      <c r="BC65" s="6"/>
      <c r="BD65" s="6"/>
      <c r="BE65" s="6"/>
      <c r="BF65" s="6"/>
      <c r="BG65" s="6"/>
      <c r="BH65" s="35"/>
      <c r="BI65" s="6"/>
      <c r="BJ65" s="6"/>
      <c r="BK65" s="6"/>
      <c r="BL65" s="6"/>
      <c r="BM65" s="6"/>
      <c r="BN65" s="35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220</v>
      </c>
      <c r="CH65" s="6">
        <v>724</v>
      </c>
      <c r="CI65" s="6">
        <f t="shared" si="10"/>
        <v>319</v>
      </c>
      <c r="CJ65" s="6">
        <v>548</v>
      </c>
      <c r="CK65" s="6"/>
      <c r="CL65" s="6">
        <f t="shared" si="11"/>
        <v>328</v>
      </c>
      <c r="CM65" s="6">
        <v>887</v>
      </c>
      <c r="CN65" s="6"/>
      <c r="CO65" s="6">
        <f t="shared" si="12"/>
        <v>339</v>
      </c>
      <c r="CP65" s="6">
        <v>32</v>
      </c>
      <c r="CQ65" s="6">
        <v>1200</v>
      </c>
      <c r="CR65" s="6">
        <f t="shared" si="13"/>
        <v>345</v>
      </c>
      <c r="CS65" s="6">
        <v>378</v>
      </c>
      <c r="CT65" s="6"/>
      <c r="CU65" s="6">
        <f t="shared" si="14"/>
        <v>346</v>
      </c>
      <c r="CV65" s="6">
        <v>691</v>
      </c>
      <c r="CW65" s="6"/>
      <c r="CX65" s="6">
        <f t="shared" si="15"/>
        <v>313</v>
      </c>
    </row>
    <row r="66" spans="1:102">
      <c r="A66" s="6">
        <v>62</v>
      </c>
      <c r="B66" s="6">
        <v>428</v>
      </c>
      <c r="C66" s="6"/>
      <c r="D66" s="6">
        <v>317</v>
      </c>
      <c r="E66" s="33" t="s">
        <v>130</v>
      </c>
      <c r="F66" s="33" t="s">
        <v>130</v>
      </c>
      <c r="G66" s="33" t="s">
        <v>130</v>
      </c>
      <c r="H66" s="33" t="s">
        <v>130</v>
      </c>
      <c r="I66" s="33" t="s">
        <v>130</v>
      </c>
      <c r="J66" s="33" t="s">
        <v>130</v>
      </c>
      <c r="K66" s="33" t="s">
        <v>130</v>
      </c>
      <c r="L66" s="33" t="s">
        <v>130</v>
      </c>
      <c r="M66" s="33" t="s">
        <v>130</v>
      </c>
      <c r="N66" s="33" t="s">
        <v>130</v>
      </c>
      <c r="O66" s="33" t="s">
        <v>130</v>
      </c>
      <c r="P66" s="33" t="s">
        <v>130</v>
      </c>
      <c r="Q66" s="33" t="s">
        <v>130</v>
      </c>
      <c r="R66" s="33" t="s">
        <v>130</v>
      </c>
      <c r="S66" s="148" t="s">
        <v>130</v>
      </c>
      <c r="T66" s="33" t="s">
        <v>130</v>
      </c>
      <c r="U66" s="33" t="s">
        <v>130</v>
      </c>
      <c r="V66" s="35">
        <v>798</v>
      </c>
      <c r="W66" s="35"/>
      <c r="X66" s="35">
        <f t="shared" si="0"/>
        <v>370</v>
      </c>
      <c r="Y66" s="35">
        <v>1145</v>
      </c>
      <c r="Z66" s="35"/>
      <c r="AA66" s="35">
        <f t="shared" si="1"/>
        <v>347</v>
      </c>
      <c r="AB66" s="35">
        <v>293</v>
      </c>
      <c r="AC66" s="35">
        <v>1200</v>
      </c>
      <c r="AD66" s="35">
        <f t="shared" si="2"/>
        <v>348</v>
      </c>
      <c r="AE66" s="6">
        <v>642</v>
      </c>
      <c r="AF66" s="35"/>
      <c r="AG66" s="34">
        <f t="shared" si="3"/>
        <v>349</v>
      </c>
      <c r="AH66" s="35">
        <v>965</v>
      </c>
      <c r="AI66" s="35"/>
      <c r="AJ66" s="35">
        <f t="shared" si="4"/>
        <v>323</v>
      </c>
      <c r="AK66" s="6">
        <v>56</v>
      </c>
      <c r="AL66" s="6">
        <v>1200</v>
      </c>
      <c r="AM66" s="35">
        <f t="shared" si="5"/>
        <v>291</v>
      </c>
      <c r="AN66" s="6"/>
      <c r="AO66" s="6"/>
      <c r="AP66" s="35"/>
      <c r="AQ66" s="6">
        <v>408</v>
      </c>
      <c r="AR66" s="6"/>
      <c r="AS66" s="35">
        <f t="shared" si="6"/>
        <v>352</v>
      </c>
      <c r="AT66" s="6">
        <v>754</v>
      </c>
      <c r="AU66" s="6"/>
      <c r="AV66" s="35">
        <f t="shared" si="7"/>
        <v>346</v>
      </c>
      <c r="AW66" s="6">
        <v>1092</v>
      </c>
      <c r="AX66" s="6"/>
      <c r="AY66" s="6">
        <f t="shared" si="8"/>
        <v>338</v>
      </c>
      <c r="AZ66" s="6">
        <v>1173</v>
      </c>
      <c r="BA66" s="35"/>
      <c r="BB66" s="6">
        <f t="shared" si="9"/>
        <v>81</v>
      </c>
      <c r="BC66" s="6"/>
      <c r="BD66" s="6"/>
      <c r="BE66" s="6"/>
      <c r="BF66" s="6"/>
      <c r="BG66" s="6"/>
      <c r="BH66" s="35"/>
      <c r="BI66" s="6"/>
      <c r="BJ66" s="6"/>
      <c r="BK66" s="6"/>
      <c r="BL66" s="6"/>
      <c r="BM66" s="6"/>
      <c r="BN66" s="35"/>
      <c r="BO66" s="6"/>
      <c r="BP66" s="35"/>
      <c r="BQ66" s="6"/>
      <c r="BR66" s="6"/>
      <c r="BS66" s="6"/>
      <c r="BT66" s="35"/>
      <c r="BU66" s="6"/>
      <c r="BV66" s="35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326</v>
      </c>
      <c r="CH66" s="6">
        <v>1200</v>
      </c>
      <c r="CI66" s="6">
        <f t="shared" si="10"/>
        <v>353</v>
      </c>
      <c r="CJ66" s="6">
        <v>674</v>
      </c>
      <c r="CK66" s="6"/>
      <c r="CL66" s="6">
        <f t="shared" si="11"/>
        <v>348</v>
      </c>
      <c r="CM66" s="6">
        <v>1024</v>
      </c>
      <c r="CN66" s="6"/>
      <c r="CO66" s="6">
        <f t="shared" si="12"/>
        <v>350</v>
      </c>
      <c r="CP66" s="6">
        <v>260</v>
      </c>
      <c r="CQ66" s="6">
        <v>1072</v>
      </c>
      <c r="CR66" s="6">
        <f t="shared" si="13"/>
        <v>308</v>
      </c>
      <c r="CS66" s="6">
        <v>601</v>
      </c>
      <c r="CT66" s="6"/>
      <c r="CU66" s="6">
        <f t="shared" si="14"/>
        <v>341</v>
      </c>
      <c r="CV66" s="6">
        <v>188</v>
      </c>
      <c r="CW66" s="6">
        <v>717</v>
      </c>
      <c r="CX66" s="6">
        <f t="shared" si="15"/>
        <v>304</v>
      </c>
    </row>
    <row r="67" spans="1:102">
      <c r="A67" s="6">
        <v>63</v>
      </c>
      <c r="B67" s="6">
        <v>779</v>
      </c>
      <c r="C67" s="6"/>
      <c r="D67" s="6">
        <v>311</v>
      </c>
      <c r="E67" s="33" t="s">
        <v>130</v>
      </c>
      <c r="F67" s="33" t="s">
        <v>130</v>
      </c>
      <c r="G67" s="33" t="s">
        <v>130</v>
      </c>
      <c r="H67" s="33" t="s">
        <v>130</v>
      </c>
      <c r="I67" s="33" t="s">
        <v>130</v>
      </c>
      <c r="J67" s="33" t="s">
        <v>130</v>
      </c>
      <c r="K67" s="33" t="s">
        <v>130</v>
      </c>
      <c r="L67" s="33" t="s">
        <v>130</v>
      </c>
      <c r="M67" s="33" t="s">
        <v>130</v>
      </c>
      <c r="N67" s="33" t="s">
        <v>130</v>
      </c>
      <c r="O67" s="33" t="s">
        <v>130</v>
      </c>
      <c r="P67" s="33" t="s">
        <v>130</v>
      </c>
      <c r="Q67" s="33" t="s">
        <v>130</v>
      </c>
      <c r="R67" s="148" t="s">
        <v>130</v>
      </c>
      <c r="S67" s="33" t="s">
        <v>130</v>
      </c>
      <c r="T67" s="33" t="s">
        <v>130</v>
      </c>
      <c r="U67" s="33" t="s">
        <v>130</v>
      </c>
      <c r="V67" s="35">
        <v>1147</v>
      </c>
      <c r="W67" s="35"/>
      <c r="X67" s="35">
        <f t="shared" si="0"/>
        <v>368</v>
      </c>
      <c r="Y67" s="35">
        <v>289</v>
      </c>
      <c r="Z67" s="35">
        <v>1200</v>
      </c>
      <c r="AA67" s="35">
        <f t="shared" si="1"/>
        <v>342</v>
      </c>
      <c r="AB67" s="35">
        <v>632</v>
      </c>
      <c r="AC67" s="35"/>
      <c r="AD67" s="35">
        <f t="shared" si="2"/>
        <v>343</v>
      </c>
      <c r="AE67" s="6">
        <v>979</v>
      </c>
      <c r="AF67" s="35"/>
      <c r="AG67" s="34">
        <f t="shared" si="3"/>
        <v>347</v>
      </c>
      <c r="AH67" s="35">
        <v>101</v>
      </c>
      <c r="AI67" s="35">
        <v>1200</v>
      </c>
      <c r="AJ67" s="35">
        <f t="shared" si="4"/>
        <v>322</v>
      </c>
      <c r="AK67" s="6">
        <v>393</v>
      </c>
      <c r="AL67" s="6"/>
      <c r="AM67" s="35">
        <f t="shared" si="5"/>
        <v>292</v>
      </c>
      <c r="AN67" s="6"/>
      <c r="AO67" s="6"/>
      <c r="AP67" s="35"/>
      <c r="AQ67" s="6">
        <v>744</v>
      </c>
      <c r="AR67" s="6"/>
      <c r="AS67" s="35">
        <f t="shared" si="6"/>
        <v>351</v>
      </c>
      <c r="AT67" s="6">
        <v>1089</v>
      </c>
      <c r="AU67" s="6"/>
      <c r="AV67" s="35">
        <f t="shared" si="7"/>
        <v>345</v>
      </c>
      <c r="AW67" s="6">
        <v>248</v>
      </c>
      <c r="AX67" s="6">
        <v>1187</v>
      </c>
      <c r="AY67" s="6">
        <f t="shared" si="8"/>
        <v>346</v>
      </c>
      <c r="AZ67" s="6">
        <v>331</v>
      </c>
      <c r="BA67" s="35"/>
      <c r="BB67" s="6">
        <f t="shared" si="9"/>
        <v>83</v>
      </c>
      <c r="BC67" s="6"/>
      <c r="BD67" s="6"/>
      <c r="BE67" s="6"/>
      <c r="BF67" s="6"/>
      <c r="BG67" s="6"/>
      <c r="BH67" s="35"/>
      <c r="BI67" s="6"/>
      <c r="BJ67" s="6"/>
      <c r="BK67" s="6"/>
      <c r="BL67" s="6"/>
      <c r="BM67" s="6"/>
      <c r="BN67" s="35"/>
      <c r="BO67" s="6"/>
      <c r="BP67" s="35"/>
      <c r="BQ67" s="6"/>
      <c r="BR67" s="6"/>
      <c r="BS67" s="6"/>
      <c r="BT67" s="35"/>
      <c r="BU67" s="6"/>
      <c r="BV67" s="35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680</v>
      </c>
      <c r="CH67" s="6"/>
      <c r="CI67" s="6">
        <f t="shared" si="10"/>
        <v>349</v>
      </c>
      <c r="CJ67" s="6">
        <v>1021</v>
      </c>
      <c r="CK67" s="6"/>
      <c r="CL67" s="6">
        <f t="shared" si="11"/>
        <v>341</v>
      </c>
      <c r="CM67" s="6">
        <v>316</v>
      </c>
      <c r="CN67" s="6">
        <v>1028</v>
      </c>
      <c r="CO67" s="6">
        <f t="shared" si="12"/>
        <v>323</v>
      </c>
      <c r="CP67" s="6">
        <v>665</v>
      </c>
      <c r="CQ67" s="6"/>
      <c r="CR67" s="6">
        <f t="shared" si="13"/>
        <v>349</v>
      </c>
      <c r="CS67" s="6">
        <v>1013</v>
      </c>
      <c r="CT67" s="6"/>
      <c r="CU67" s="6">
        <f t="shared" si="14"/>
        <v>348</v>
      </c>
      <c r="CV67" s="6">
        <v>131</v>
      </c>
      <c r="CW67" s="6">
        <v>1200</v>
      </c>
      <c r="CX67" s="6">
        <f t="shared" si="15"/>
        <v>318</v>
      </c>
    </row>
    <row r="68" spans="1:102">
      <c r="A68" s="6">
        <v>64</v>
      </c>
      <c r="B68" s="6">
        <v>528</v>
      </c>
      <c r="C68" s="6"/>
      <c r="D68" s="6">
        <v>317</v>
      </c>
      <c r="E68" s="33" t="s">
        <v>130</v>
      </c>
      <c r="F68" s="33" t="s">
        <v>130</v>
      </c>
      <c r="G68" s="33" t="s">
        <v>130</v>
      </c>
      <c r="H68" s="33" t="s">
        <v>130</v>
      </c>
      <c r="I68" s="148" t="s">
        <v>130</v>
      </c>
      <c r="J68" s="33" t="s">
        <v>130</v>
      </c>
      <c r="K68" s="33" t="s">
        <v>130</v>
      </c>
      <c r="L68" s="33" t="s">
        <v>130</v>
      </c>
      <c r="M68" s="33" t="s">
        <v>130</v>
      </c>
      <c r="N68" s="33" t="s">
        <v>130</v>
      </c>
      <c r="O68" s="33" t="s">
        <v>130</v>
      </c>
      <c r="P68" s="33" t="s">
        <v>130</v>
      </c>
      <c r="Q68" s="33" t="s">
        <v>130</v>
      </c>
      <c r="R68" s="33" t="s">
        <v>130</v>
      </c>
      <c r="S68" s="33" t="s">
        <v>130</v>
      </c>
      <c r="T68" s="33" t="s">
        <v>130</v>
      </c>
      <c r="U68" s="33" t="s">
        <v>130</v>
      </c>
      <c r="V68" s="6">
        <v>893</v>
      </c>
      <c r="W68" s="6"/>
      <c r="X68" s="35">
        <f t="shared" si="0"/>
        <v>365</v>
      </c>
      <c r="Y68" s="35">
        <v>1224</v>
      </c>
      <c r="Z68" s="35"/>
      <c r="AA68" s="35">
        <f t="shared" si="1"/>
        <v>331</v>
      </c>
      <c r="AB68" s="6">
        <v>0</v>
      </c>
      <c r="AC68" s="6">
        <v>1392</v>
      </c>
      <c r="AD68" s="35">
        <f t="shared" si="2"/>
        <v>168</v>
      </c>
      <c r="AE68" s="6">
        <v>335</v>
      </c>
      <c r="AF68" s="6"/>
      <c r="AG68" s="34">
        <f t="shared" si="3"/>
        <v>335</v>
      </c>
      <c r="AH68" s="35">
        <v>661</v>
      </c>
      <c r="AI68" s="35"/>
      <c r="AJ68" s="35">
        <f t="shared" si="4"/>
        <v>326</v>
      </c>
      <c r="AK68" s="6">
        <v>951</v>
      </c>
      <c r="AL68" s="6"/>
      <c r="AM68" s="35">
        <f t="shared" si="5"/>
        <v>290</v>
      </c>
      <c r="AN68" s="6"/>
      <c r="AO68" s="6"/>
      <c r="AP68" s="35"/>
      <c r="AQ68" s="6">
        <v>101</v>
      </c>
      <c r="AR68" s="6">
        <v>1200</v>
      </c>
      <c r="AS68" s="35">
        <f t="shared" si="6"/>
        <v>350</v>
      </c>
      <c r="AT68" s="6">
        <v>447</v>
      </c>
      <c r="AU68" s="6"/>
      <c r="AV68" s="35">
        <f t="shared" si="7"/>
        <v>346</v>
      </c>
      <c r="AW68" s="6">
        <v>780</v>
      </c>
      <c r="AX68" s="6"/>
      <c r="AY68" s="6">
        <f t="shared" si="8"/>
        <v>333</v>
      </c>
      <c r="AZ68" s="6">
        <v>865</v>
      </c>
      <c r="BA68" s="35"/>
      <c r="BB68" s="6">
        <f t="shared" si="9"/>
        <v>85</v>
      </c>
      <c r="BC68" s="6"/>
      <c r="BD68" s="6"/>
      <c r="BE68" s="6"/>
      <c r="BF68" s="6"/>
      <c r="BG68" s="6"/>
      <c r="BH68" s="35"/>
      <c r="BI68" s="6"/>
      <c r="BJ68" s="6"/>
      <c r="BK68" s="6"/>
      <c r="BL68" s="6"/>
      <c r="BM68" s="6"/>
      <c r="BN68" s="35"/>
      <c r="BO68" s="6"/>
      <c r="BP68" s="35"/>
      <c r="BQ68" s="6"/>
      <c r="BR68" s="6"/>
      <c r="BS68" s="6"/>
      <c r="BT68" s="35"/>
      <c r="BU68" s="6"/>
      <c r="BV68" s="35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7</v>
      </c>
      <c r="CH68" s="6">
        <v>1200</v>
      </c>
      <c r="CI68" s="6">
        <f t="shared" si="10"/>
        <v>342</v>
      </c>
      <c r="CJ68" s="6">
        <v>354</v>
      </c>
      <c r="CK68" s="6"/>
      <c r="CL68" s="6">
        <f t="shared" si="11"/>
        <v>347</v>
      </c>
      <c r="CM68" s="6">
        <v>703</v>
      </c>
      <c r="CN68" s="6"/>
      <c r="CO68" s="6">
        <f t="shared" si="12"/>
        <v>349</v>
      </c>
      <c r="CP68" s="6">
        <v>1048</v>
      </c>
      <c r="CQ68" s="6"/>
      <c r="CR68" s="6">
        <f t="shared" si="13"/>
        <v>345</v>
      </c>
      <c r="CS68" s="6">
        <v>191</v>
      </c>
      <c r="CT68" s="6">
        <v>1200</v>
      </c>
      <c r="CU68" s="6">
        <f t="shared" si="14"/>
        <v>343</v>
      </c>
      <c r="CV68" s="6">
        <v>511</v>
      </c>
      <c r="CW68" s="35"/>
      <c r="CX68" s="6">
        <f t="shared" si="15"/>
        <v>320</v>
      </c>
    </row>
    <row r="69" spans="1:102">
      <c r="A69" s="6">
        <v>65</v>
      </c>
      <c r="B69" s="6">
        <v>864</v>
      </c>
      <c r="C69" s="6"/>
      <c r="D69" s="6">
        <v>317</v>
      </c>
      <c r="E69" s="33" t="s">
        <v>130</v>
      </c>
      <c r="F69" s="33" t="s">
        <v>130</v>
      </c>
      <c r="G69" s="33" t="s">
        <v>130</v>
      </c>
      <c r="H69" s="33" t="s">
        <v>130</v>
      </c>
      <c r="I69" s="33" t="s">
        <v>130</v>
      </c>
      <c r="J69" s="33" t="s">
        <v>130</v>
      </c>
      <c r="K69" s="148" t="s">
        <v>130</v>
      </c>
      <c r="L69" s="33" t="s">
        <v>130</v>
      </c>
      <c r="M69" s="33" t="s">
        <v>130</v>
      </c>
      <c r="N69" s="33" t="s">
        <v>130</v>
      </c>
      <c r="O69" s="33" t="s">
        <v>130</v>
      </c>
      <c r="P69" s="33" t="s">
        <v>130</v>
      </c>
      <c r="Q69" s="33" t="s">
        <v>130</v>
      </c>
      <c r="R69" s="33" t="s">
        <v>130</v>
      </c>
      <c r="S69" s="33" t="s">
        <v>130</v>
      </c>
      <c r="T69" s="33" t="s">
        <v>130</v>
      </c>
      <c r="U69" s="33" t="s">
        <v>130</v>
      </c>
      <c r="V69" s="6">
        <v>275</v>
      </c>
      <c r="W69" s="6">
        <v>924</v>
      </c>
      <c r="X69" s="35">
        <f t="shared" ref="X69:X132" si="16">W69+V69-B69</f>
        <v>335</v>
      </c>
      <c r="Y69" s="35">
        <v>621</v>
      </c>
      <c r="Z69" s="35"/>
      <c r="AA69" s="35">
        <f t="shared" si="1"/>
        <v>346</v>
      </c>
      <c r="AB69" s="6">
        <v>970</v>
      </c>
      <c r="AC69" s="6"/>
      <c r="AD69" s="35">
        <f t="shared" si="2"/>
        <v>349</v>
      </c>
      <c r="AE69" s="6">
        <v>1315</v>
      </c>
      <c r="AF69" s="6"/>
      <c r="AG69" s="34">
        <f t="shared" si="3"/>
        <v>345</v>
      </c>
      <c r="AH69" s="35">
        <v>0</v>
      </c>
      <c r="AI69" s="35">
        <v>1473</v>
      </c>
      <c r="AJ69" s="35">
        <f t="shared" si="4"/>
        <v>158</v>
      </c>
      <c r="AK69" s="6">
        <v>285</v>
      </c>
      <c r="AL69" s="6"/>
      <c r="AM69" s="35">
        <f t="shared" si="5"/>
        <v>285</v>
      </c>
      <c r="AN69" s="6"/>
      <c r="AO69" s="6"/>
      <c r="AP69" s="35"/>
      <c r="AQ69" s="35">
        <v>632</v>
      </c>
      <c r="AR69" s="35"/>
      <c r="AS69" s="35">
        <f t="shared" si="6"/>
        <v>347</v>
      </c>
      <c r="AT69" s="6">
        <v>979</v>
      </c>
      <c r="AU69" s="6"/>
      <c r="AV69" s="35">
        <f t="shared" si="7"/>
        <v>347</v>
      </c>
      <c r="AW69" s="6">
        <v>127</v>
      </c>
      <c r="AX69" s="6">
        <v>1200</v>
      </c>
      <c r="AY69" s="6">
        <f t="shared" si="8"/>
        <v>348</v>
      </c>
      <c r="AZ69" s="6">
        <v>198</v>
      </c>
      <c r="BA69" s="6"/>
      <c r="BB69" s="6">
        <f t="shared" si="9"/>
        <v>71</v>
      </c>
      <c r="BC69" s="6"/>
      <c r="BD69" s="6"/>
      <c r="BE69" s="6"/>
      <c r="BF69" s="6"/>
      <c r="BG69" s="6"/>
      <c r="BH69" s="35"/>
      <c r="BI69" s="6"/>
      <c r="BJ69" s="6"/>
      <c r="BK69" s="6"/>
      <c r="BL69" s="6"/>
      <c r="BM69" s="6"/>
      <c r="BN69" s="35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459</v>
      </c>
      <c r="CH69" s="6"/>
      <c r="CI69" s="6">
        <f t="shared" si="10"/>
        <v>261</v>
      </c>
      <c r="CJ69" s="6">
        <v>807</v>
      </c>
      <c r="CK69" s="6"/>
      <c r="CL69" s="6">
        <f t="shared" si="11"/>
        <v>348</v>
      </c>
      <c r="CM69" s="6">
        <v>1151</v>
      </c>
      <c r="CN69" s="6"/>
      <c r="CO69" s="6">
        <f t="shared" si="12"/>
        <v>344</v>
      </c>
      <c r="CP69" s="6">
        <v>285</v>
      </c>
      <c r="CQ69" s="6">
        <v>1200</v>
      </c>
      <c r="CR69" s="6">
        <f t="shared" si="13"/>
        <v>334</v>
      </c>
      <c r="CS69" s="6">
        <v>632</v>
      </c>
      <c r="CT69" s="6"/>
      <c r="CU69" s="6">
        <f t="shared" si="14"/>
        <v>347</v>
      </c>
      <c r="CV69" s="6">
        <v>949</v>
      </c>
      <c r="CW69" s="6"/>
      <c r="CX69" s="6">
        <f t="shared" si="15"/>
        <v>317</v>
      </c>
    </row>
    <row r="70" spans="1:102">
      <c r="A70" s="6">
        <v>66</v>
      </c>
      <c r="B70" s="6">
        <v>1086</v>
      </c>
      <c r="C70" s="6"/>
      <c r="D70" s="6">
        <v>313</v>
      </c>
      <c r="E70" s="33" t="s">
        <v>130</v>
      </c>
      <c r="F70" s="33" t="s">
        <v>130</v>
      </c>
      <c r="G70" s="33" t="s">
        <v>130</v>
      </c>
      <c r="H70" s="33" t="s">
        <v>130</v>
      </c>
      <c r="I70" s="33" t="s">
        <v>130</v>
      </c>
      <c r="J70" s="33" t="s">
        <v>130</v>
      </c>
      <c r="K70" s="33" t="s">
        <v>130</v>
      </c>
      <c r="L70" s="33" t="s">
        <v>130</v>
      </c>
      <c r="M70" s="33" t="s">
        <v>130</v>
      </c>
      <c r="N70" s="33" t="s">
        <v>130</v>
      </c>
      <c r="O70" s="33" t="s">
        <v>130</v>
      </c>
      <c r="P70" s="33" t="s">
        <v>130</v>
      </c>
      <c r="Q70" s="148" t="s">
        <v>130</v>
      </c>
      <c r="R70" s="33" t="s">
        <v>130</v>
      </c>
      <c r="S70" s="33" t="s">
        <v>130</v>
      </c>
      <c r="T70" s="33" t="s">
        <v>130</v>
      </c>
      <c r="U70" s="33" t="s">
        <v>130</v>
      </c>
      <c r="V70" s="6">
        <v>251</v>
      </c>
      <c r="W70" s="6">
        <v>1200</v>
      </c>
      <c r="X70" s="35">
        <f t="shared" si="16"/>
        <v>365</v>
      </c>
      <c r="Y70" s="35">
        <v>596</v>
      </c>
      <c r="Z70" s="35"/>
      <c r="AA70" s="35">
        <f t="shared" ref="AA70:AA133" si="17">Z70+Y70-V70</f>
        <v>345</v>
      </c>
      <c r="AB70" s="6">
        <v>942</v>
      </c>
      <c r="AC70" s="6"/>
      <c r="AD70" s="35">
        <f t="shared" ref="AD70:AD133" si="18">AC70+AB70-Y70</f>
        <v>346</v>
      </c>
      <c r="AE70" s="6">
        <v>87</v>
      </c>
      <c r="AF70" s="6">
        <v>1200</v>
      </c>
      <c r="AG70" s="34">
        <f t="shared" ref="AG70:AG133" si="19">AF70+AE70-AB70</f>
        <v>345</v>
      </c>
      <c r="AH70" s="35">
        <v>411</v>
      </c>
      <c r="AI70" s="35"/>
      <c r="AJ70" s="35">
        <f t="shared" ref="AJ70:AJ133" si="20">AI70+AH70-AE70</f>
        <v>324</v>
      </c>
      <c r="AK70" s="6">
        <v>698</v>
      </c>
      <c r="AL70" s="6"/>
      <c r="AM70" s="35">
        <f t="shared" ref="AM70:AM133" si="21">AL70+AK70-AH70</f>
        <v>287</v>
      </c>
      <c r="AN70" s="6"/>
      <c r="AO70" s="6"/>
      <c r="AP70" s="35"/>
      <c r="AQ70" s="35">
        <v>1044</v>
      </c>
      <c r="AR70" s="35"/>
      <c r="AS70" s="35">
        <f t="shared" ref="AS70:AS133" si="22">AR70+AQ70-AK70</f>
        <v>346</v>
      </c>
      <c r="AT70" s="6">
        <v>322</v>
      </c>
      <c r="AU70" s="6">
        <v>1061</v>
      </c>
      <c r="AV70" s="35">
        <f t="shared" ref="AV70:AV133" si="23">AU70+AT70-AQ70</f>
        <v>339</v>
      </c>
      <c r="AW70" s="6">
        <v>670</v>
      </c>
      <c r="AX70" s="6"/>
      <c r="AY70" s="6">
        <f t="shared" ref="AY70:AY133" si="24">AX70+AW70-AT70</f>
        <v>348</v>
      </c>
      <c r="AZ70" s="6">
        <v>760</v>
      </c>
      <c r="BA70" s="6"/>
      <c r="BB70" s="6">
        <f t="shared" ref="BB70:BB133" si="25">BA70+AZ70-AW70</f>
        <v>90</v>
      </c>
      <c r="BC70" s="6"/>
      <c r="BD70" s="6"/>
      <c r="BE70" s="6"/>
      <c r="BF70" s="6"/>
      <c r="BG70" s="6"/>
      <c r="BH70" s="35"/>
      <c r="BI70" s="6"/>
      <c r="BJ70" s="6"/>
      <c r="BK70" s="6"/>
      <c r="BL70" s="6"/>
      <c r="BM70" s="6"/>
      <c r="BN70" s="35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>
        <v>1108</v>
      </c>
      <c r="CH70" s="6"/>
      <c r="CI70" s="6">
        <f t="shared" ref="CI70:CI133" si="26">CH70+CG70-AZ70</f>
        <v>348</v>
      </c>
      <c r="CJ70" s="6">
        <v>268</v>
      </c>
      <c r="CK70" s="6">
        <v>1162</v>
      </c>
      <c r="CL70" s="6">
        <f t="shared" ref="CL70:CL133" si="27">CK70+CJ70-CG70</f>
        <v>322</v>
      </c>
      <c r="CM70" s="6">
        <v>613</v>
      </c>
      <c r="CN70" s="6"/>
      <c r="CO70" s="6">
        <f t="shared" ref="CO70:CO133" si="28">CN70+CM70-CJ70</f>
        <v>345</v>
      </c>
      <c r="CP70" s="6">
        <v>956</v>
      </c>
      <c r="CQ70" s="6"/>
      <c r="CR70" s="6">
        <f t="shared" ref="CR70:CR133" si="29">CQ70+CP70-CM70</f>
        <v>343</v>
      </c>
      <c r="CS70" s="6">
        <v>97</v>
      </c>
      <c r="CT70" s="6">
        <v>1200</v>
      </c>
      <c r="CU70" s="6">
        <f t="shared" ref="CU70:CU133" si="30">CT70+CS70-CP70</f>
        <v>341</v>
      </c>
      <c r="CV70" s="6">
        <v>409</v>
      </c>
      <c r="CW70" s="6"/>
      <c r="CX70" s="6">
        <f t="shared" ref="CX70:CX133" si="31">CW70+CV70-CS70</f>
        <v>312</v>
      </c>
    </row>
    <row r="71" spans="1:102">
      <c r="A71" s="6">
        <v>67</v>
      </c>
      <c r="B71" s="6">
        <v>417</v>
      </c>
      <c r="C71" s="6"/>
      <c r="D71" s="6">
        <v>307</v>
      </c>
      <c r="E71" s="33" t="s">
        <v>130</v>
      </c>
      <c r="F71" s="33" t="s">
        <v>130</v>
      </c>
      <c r="G71" s="33" t="s">
        <v>130</v>
      </c>
      <c r="H71" s="33" t="s">
        <v>130</v>
      </c>
      <c r="I71" s="33" t="s">
        <v>130</v>
      </c>
      <c r="J71" s="33" t="s">
        <v>130</v>
      </c>
      <c r="K71" s="33" t="s">
        <v>130</v>
      </c>
      <c r="L71" s="33" t="s">
        <v>130</v>
      </c>
      <c r="M71" s="33" t="s">
        <v>130</v>
      </c>
      <c r="N71" s="33" t="s">
        <v>130</v>
      </c>
      <c r="O71" s="148" t="s">
        <v>130</v>
      </c>
      <c r="P71" s="33" t="s">
        <v>130</v>
      </c>
      <c r="Q71" s="33" t="s">
        <v>130</v>
      </c>
      <c r="R71" s="33" t="s">
        <v>130</v>
      </c>
      <c r="S71" s="33" t="s">
        <v>130</v>
      </c>
      <c r="T71" s="33" t="s">
        <v>130</v>
      </c>
      <c r="U71" s="33" t="s">
        <v>130</v>
      </c>
      <c r="V71" s="6">
        <v>776</v>
      </c>
      <c r="W71" s="6"/>
      <c r="X71" s="35">
        <f t="shared" si="16"/>
        <v>359</v>
      </c>
      <c r="Y71" s="35">
        <v>1118</v>
      </c>
      <c r="Z71" s="35"/>
      <c r="AA71" s="35">
        <f t="shared" si="17"/>
        <v>342</v>
      </c>
      <c r="AB71" s="6">
        <v>257</v>
      </c>
      <c r="AC71" s="6">
        <v>1200</v>
      </c>
      <c r="AD71" s="35">
        <f t="shared" si="18"/>
        <v>339</v>
      </c>
      <c r="AE71" s="6">
        <v>601</v>
      </c>
      <c r="AF71" s="6"/>
      <c r="AG71" s="34">
        <f t="shared" si="19"/>
        <v>344</v>
      </c>
      <c r="AH71" s="35">
        <v>922</v>
      </c>
      <c r="AI71" s="35"/>
      <c r="AJ71" s="35">
        <f t="shared" si="20"/>
        <v>321</v>
      </c>
      <c r="AK71" s="6">
        <v>11</v>
      </c>
      <c r="AL71" s="6">
        <v>1200</v>
      </c>
      <c r="AM71" s="35">
        <f t="shared" si="21"/>
        <v>289</v>
      </c>
      <c r="AN71" s="6"/>
      <c r="AO71" s="6"/>
      <c r="AP71" s="35"/>
      <c r="AQ71" s="35">
        <v>356</v>
      </c>
      <c r="AR71" s="35"/>
      <c r="AS71" s="35">
        <f t="shared" si="22"/>
        <v>345</v>
      </c>
      <c r="AT71" s="6">
        <v>701</v>
      </c>
      <c r="AU71" s="6"/>
      <c r="AV71" s="35">
        <f t="shared" si="23"/>
        <v>345</v>
      </c>
      <c r="AW71" s="6">
        <v>0</v>
      </c>
      <c r="AX71" s="6">
        <v>925</v>
      </c>
      <c r="AY71" s="6">
        <f t="shared" si="24"/>
        <v>224</v>
      </c>
      <c r="AZ71" s="6">
        <v>77</v>
      </c>
      <c r="BA71" s="6"/>
      <c r="BB71" s="6">
        <f t="shared" si="25"/>
        <v>77</v>
      </c>
      <c r="BC71" s="6"/>
      <c r="BD71" s="6"/>
      <c r="BE71" s="6"/>
      <c r="BF71" s="6"/>
      <c r="BG71" s="6"/>
      <c r="BH71" s="35"/>
      <c r="BI71" s="6"/>
      <c r="BJ71" s="6"/>
      <c r="BK71" s="6"/>
      <c r="BL71" s="6"/>
      <c r="BM71" s="6"/>
      <c r="BN71" s="35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35">
        <v>424</v>
      </c>
      <c r="CH71" s="6"/>
      <c r="CI71" s="6">
        <f t="shared" si="26"/>
        <v>347</v>
      </c>
      <c r="CJ71" s="6">
        <v>764</v>
      </c>
      <c r="CK71" s="6"/>
      <c r="CL71" s="6">
        <f t="shared" si="27"/>
        <v>340</v>
      </c>
      <c r="CM71" s="6">
        <v>1108</v>
      </c>
      <c r="CN71" s="6"/>
      <c r="CO71" s="6">
        <f t="shared" si="28"/>
        <v>344</v>
      </c>
      <c r="CP71" s="6">
        <v>245</v>
      </c>
      <c r="CQ71" s="6">
        <v>1200</v>
      </c>
      <c r="CR71" s="6">
        <f t="shared" si="29"/>
        <v>337</v>
      </c>
      <c r="CS71" s="6">
        <v>585</v>
      </c>
      <c r="CT71" s="6"/>
      <c r="CU71" s="6">
        <f t="shared" si="30"/>
        <v>340</v>
      </c>
      <c r="CV71" s="6">
        <v>894</v>
      </c>
      <c r="CW71" s="6"/>
      <c r="CX71" s="6">
        <f t="shared" si="31"/>
        <v>309</v>
      </c>
    </row>
    <row r="72" spans="1:102">
      <c r="A72" s="6">
        <v>68</v>
      </c>
      <c r="B72" s="6">
        <v>70</v>
      </c>
      <c r="C72" s="6">
        <v>1200</v>
      </c>
      <c r="D72" s="6">
        <v>308</v>
      </c>
      <c r="E72" s="33" t="s">
        <v>130</v>
      </c>
      <c r="F72" s="33" t="s">
        <v>130</v>
      </c>
      <c r="G72" s="33" t="s">
        <v>130</v>
      </c>
      <c r="H72" s="33" t="s">
        <v>130</v>
      </c>
      <c r="I72" s="33" t="s">
        <v>130</v>
      </c>
      <c r="J72" s="33" t="s">
        <v>130</v>
      </c>
      <c r="K72" s="33" t="s">
        <v>130</v>
      </c>
      <c r="L72" s="33" t="s">
        <v>130</v>
      </c>
      <c r="M72" s="33" t="s">
        <v>130</v>
      </c>
      <c r="N72" s="33" t="s">
        <v>130</v>
      </c>
      <c r="O72" s="33" t="s">
        <v>130</v>
      </c>
      <c r="P72" s="33" t="s">
        <v>130</v>
      </c>
      <c r="Q72" s="33" t="s">
        <v>130</v>
      </c>
      <c r="R72" s="33" t="s">
        <v>130</v>
      </c>
      <c r="S72" s="33" t="s">
        <v>130</v>
      </c>
      <c r="T72" s="33" t="s">
        <v>130</v>
      </c>
      <c r="U72" s="148" t="s">
        <v>130</v>
      </c>
      <c r="V72" s="6">
        <v>438</v>
      </c>
      <c r="W72" s="6"/>
      <c r="X72" s="35">
        <f t="shared" si="16"/>
        <v>368</v>
      </c>
      <c r="Y72" s="35">
        <v>784</v>
      </c>
      <c r="Z72" s="35"/>
      <c r="AA72" s="35">
        <f t="shared" si="17"/>
        <v>346</v>
      </c>
      <c r="AB72" s="6">
        <v>1129</v>
      </c>
      <c r="AC72" s="6"/>
      <c r="AD72" s="35">
        <f t="shared" si="18"/>
        <v>345</v>
      </c>
      <c r="AE72" s="6">
        <v>273</v>
      </c>
      <c r="AF72" s="6">
        <v>1200</v>
      </c>
      <c r="AG72" s="34">
        <f t="shared" si="19"/>
        <v>344</v>
      </c>
      <c r="AH72" s="35">
        <v>409</v>
      </c>
      <c r="AI72" s="35"/>
      <c r="AJ72" s="35">
        <f t="shared" si="20"/>
        <v>136</v>
      </c>
      <c r="AK72" s="6">
        <v>696</v>
      </c>
      <c r="AL72" s="6"/>
      <c r="AM72" s="35">
        <f t="shared" si="21"/>
        <v>287</v>
      </c>
      <c r="AN72" s="6"/>
      <c r="AO72" s="6"/>
      <c r="AP72" s="35"/>
      <c r="AQ72" s="35">
        <v>1043</v>
      </c>
      <c r="AR72" s="35"/>
      <c r="AS72" s="35">
        <f t="shared" si="22"/>
        <v>347</v>
      </c>
      <c r="AT72" s="6">
        <v>189</v>
      </c>
      <c r="AU72" s="6">
        <v>1200</v>
      </c>
      <c r="AV72" s="35">
        <f t="shared" si="23"/>
        <v>346</v>
      </c>
      <c r="AW72" s="6">
        <v>505</v>
      </c>
      <c r="AX72" s="6"/>
      <c r="AY72" s="6">
        <f t="shared" si="24"/>
        <v>316</v>
      </c>
      <c r="AZ72" s="6">
        <v>597</v>
      </c>
      <c r="BA72" s="6"/>
      <c r="BB72" s="6">
        <f t="shared" si="25"/>
        <v>92</v>
      </c>
      <c r="BC72" s="6"/>
      <c r="BD72" s="6"/>
      <c r="BE72" s="6"/>
      <c r="BF72" s="6"/>
      <c r="BG72" s="6"/>
      <c r="BH72" s="35"/>
      <c r="BI72" s="6"/>
      <c r="BJ72" s="6"/>
      <c r="BK72" s="6"/>
      <c r="BL72" s="6"/>
      <c r="BM72" s="6"/>
      <c r="BN72" s="35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949</v>
      </c>
      <c r="CH72" s="6"/>
      <c r="CI72" s="6">
        <f t="shared" si="26"/>
        <v>352</v>
      </c>
      <c r="CJ72" s="6">
        <v>98</v>
      </c>
      <c r="CK72" s="6">
        <v>1200</v>
      </c>
      <c r="CL72" s="6">
        <f t="shared" si="27"/>
        <v>349</v>
      </c>
      <c r="CM72" s="6">
        <v>442</v>
      </c>
      <c r="CN72" s="6"/>
      <c r="CO72" s="6">
        <f t="shared" si="28"/>
        <v>344</v>
      </c>
      <c r="CP72" s="6">
        <v>788</v>
      </c>
      <c r="CQ72" s="6"/>
      <c r="CR72" s="6">
        <f t="shared" si="29"/>
        <v>346</v>
      </c>
      <c r="CS72" s="6">
        <v>0</v>
      </c>
      <c r="CT72" s="6">
        <v>1037</v>
      </c>
      <c r="CU72" s="6">
        <f t="shared" si="30"/>
        <v>249</v>
      </c>
      <c r="CV72" s="6">
        <v>268</v>
      </c>
      <c r="CW72" s="6"/>
      <c r="CX72" s="6">
        <f t="shared" si="31"/>
        <v>268</v>
      </c>
    </row>
    <row r="73" spans="1:102">
      <c r="A73" s="6">
        <v>69</v>
      </c>
      <c r="B73" s="6">
        <v>68</v>
      </c>
      <c r="C73" s="6">
        <v>1200</v>
      </c>
      <c r="D73" s="6">
        <v>317</v>
      </c>
      <c r="E73" s="33" t="s">
        <v>130</v>
      </c>
      <c r="F73" s="33" t="s">
        <v>130</v>
      </c>
      <c r="G73" s="33" t="s">
        <v>130</v>
      </c>
      <c r="H73" s="33" t="s">
        <v>130</v>
      </c>
      <c r="I73" s="33" t="s">
        <v>130</v>
      </c>
      <c r="J73" s="33" t="s">
        <v>130</v>
      </c>
      <c r="K73" s="33" t="s">
        <v>130</v>
      </c>
      <c r="L73" s="33" t="s">
        <v>130</v>
      </c>
      <c r="M73" s="148" t="s">
        <v>130</v>
      </c>
      <c r="N73" s="33" t="s">
        <v>130</v>
      </c>
      <c r="O73" s="33" t="s">
        <v>130</v>
      </c>
      <c r="P73" s="33" t="s">
        <v>130</v>
      </c>
      <c r="Q73" s="33" t="s">
        <v>130</v>
      </c>
      <c r="R73" s="33" t="s">
        <v>130</v>
      </c>
      <c r="S73" s="33" t="s">
        <v>130</v>
      </c>
      <c r="T73" s="33" t="s">
        <v>130</v>
      </c>
      <c r="U73" s="33" t="s">
        <v>130</v>
      </c>
      <c r="V73" s="6">
        <v>433</v>
      </c>
      <c r="W73" s="6"/>
      <c r="X73" s="35">
        <f t="shared" si="16"/>
        <v>365</v>
      </c>
      <c r="Y73" s="35">
        <v>770</v>
      </c>
      <c r="Z73" s="35"/>
      <c r="AA73" s="35">
        <f t="shared" si="17"/>
        <v>337</v>
      </c>
      <c r="AB73" s="6">
        <v>1119</v>
      </c>
      <c r="AC73" s="6"/>
      <c r="AD73" s="35">
        <f t="shared" si="18"/>
        <v>349</v>
      </c>
      <c r="AE73" s="6">
        <v>269</v>
      </c>
      <c r="AF73" s="6">
        <v>1200</v>
      </c>
      <c r="AG73" s="34">
        <f t="shared" si="19"/>
        <v>350</v>
      </c>
      <c r="AH73" s="35">
        <v>590</v>
      </c>
      <c r="AI73" s="35"/>
      <c r="AJ73" s="35">
        <f t="shared" si="20"/>
        <v>321</v>
      </c>
      <c r="AK73" s="6">
        <v>883</v>
      </c>
      <c r="AL73" s="6"/>
      <c r="AM73" s="35">
        <f t="shared" si="21"/>
        <v>293</v>
      </c>
      <c r="AN73" s="6"/>
      <c r="AO73" s="6"/>
      <c r="AP73" s="35"/>
      <c r="AQ73" s="6">
        <v>0</v>
      </c>
      <c r="AR73" s="6">
        <v>1098</v>
      </c>
      <c r="AS73" s="35">
        <f t="shared" si="22"/>
        <v>215</v>
      </c>
      <c r="AT73" s="6">
        <v>327</v>
      </c>
      <c r="AU73" s="6"/>
      <c r="AV73" s="35">
        <f t="shared" si="23"/>
        <v>327</v>
      </c>
      <c r="AW73" s="6">
        <v>676</v>
      </c>
      <c r="AX73" s="6"/>
      <c r="AY73" s="6">
        <f t="shared" si="24"/>
        <v>349</v>
      </c>
      <c r="AZ73" s="6">
        <v>769</v>
      </c>
      <c r="BA73" s="6"/>
      <c r="BB73" s="6">
        <f t="shared" si="25"/>
        <v>93</v>
      </c>
      <c r="BC73" s="6"/>
      <c r="BD73" s="6"/>
      <c r="BE73" s="6"/>
      <c r="BF73" s="6"/>
      <c r="BG73" s="6"/>
      <c r="BH73" s="35"/>
      <c r="BI73" s="6"/>
      <c r="BJ73" s="6"/>
      <c r="BK73" s="6"/>
      <c r="BL73" s="6"/>
      <c r="BM73" s="6"/>
      <c r="BN73" s="35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35">
        <v>1120</v>
      </c>
      <c r="CH73" s="6"/>
      <c r="CI73" s="6">
        <f t="shared" si="26"/>
        <v>351</v>
      </c>
      <c r="CJ73" s="6">
        <v>270</v>
      </c>
      <c r="CK73" s="6">
        <v>1200</v>
      </c>
      <c r="CL73" s="6">
        <f t="shared" si="27"/>
        <v>350</v>
      </c>
      <c r="CM73" s="6">
        <v>615</v>
      </c>
      <c r="CN73" s="35"/>
      <c r="CO73" s="6">
        <f t="shared" si="28"/>
        <v>345</v>
      </c>
      <c r="CP73" s="6">
        <v>954</v>
      </c>
      <c r="CQ73" s="6"/>
      <c r="CR73" s="6">
        <f t="shared" si="29"/>
        <v>339</v>
      </c>
      <c r="CS73" s="6">
        <v>102</v>
      </c>
      <c r="CT73" s="35">
        <v>1200</v>
      </c>
      <c r="CU73" s="6">
        <f t="shared" si="30"/>
        <v>348</v>
      </c>
      <c r="CV73" s="6">
        <v>417</v>
      </c>
      <c r="CW73" s="6"/>
      <c r="CX73" s="6">
        <f t="shared" si="31"/>
        <v>315</v>
      </c>
    </row>
    <row r="74" spans="1:102">
      <c r="A74" s="6">
        <v>70</v>
      </c>
      <c r="B74" s="6">
        <v>886</v>
      </c>
      <c r="C74" s="6"/>
      <c r="D74" s="6">
        <v>308</v>
      </c>
      <c r="E74" s="33" t="s">
        <v>130</v>
      </c>
      <c r="F74" s="33" t="s">
        <v>130</v>
      </c>
      <c r="G74" s="33" t="s">
        <v>130</v>
      </c>
      <c r="H74" s="33" t="s">
        <v>130</v>
      </c>
      <c r="I74" s="148" t="s">
        <v>130</v>
      </c>
      <c r="J74" s="33" t="s">
        <v>130</v>
      </c>
      <c r="K74" s="33" t="s">
        <v>130</v>
      </c>
      <c r="L74" s="33" t="s">
        <v>130</v>
      </c>
      <c r="M74" s="33" t="s">
        <v>130</v>
      </c>
      <c r="N74" s="33" t="s">
        <v>130</v>
      </c>
      <c r="O74" s="33" t="s">
        <v>130</v>
      </c>
      <c r="P74" s="33" t="s">
        <v>130</v>
      </c>
      <c r="Q74" s="33" t="s">
        <v>130</v>
      </c>
      <c r="R74" s="33" t="s">
        <v>130</v>
      </c>
      <c r="S74" s="33" t="s">
        <v>130</v>
      </c>
      <c r="T74" s="33" t="s">
        <v>130</v>
      </c>
      <c r="U74" s="33" t="s">
        <v>130</v>
      </c>
      <c r="V74" s="6">
        <v>44</v>
      </c>
      <c r="W74" s="6">
        <v>1200</v>
      </c>
      <c r="X74" s="35">
        <f t="shared" si="16"/>
        <v>358</v>
      </c>
      <c r="Y74" s="35">
        <v>382</v>
      </c>
      <c r="Z74" s="35"/>
      <c r="AA74" s="35">
        <f t="shared" si="17"/>
        <v>338</v>
      </c>
      <c r="AB74" s="6">
        <v>0</v>
      </c>
      <c r="AC74" s="6">
        <v>622</v>
      </c>
      <c r="AD74" s="35">
        <f t="shared" si="18"/>
        <v>240</v>
      </c>
      <c r="AE74" s="6">
        <v>328</v>
      </c>
      <c r="AF74" s="6"/>
      <c r="AG74" s="34">
        <f t="shared" si="19"/>
        <v>328</v>
      </c>
      <c r="AH74" s="35">
        <v>646</v>
      </c>
      <c r="AI74" s="35"/>
      <c r="AJ74" s="35">
        <f t="shared" si="20"/>
        <v>318</v>
      </c>
      <c r="AK74" s="6">
        <v>930</v>
      </c>
      <c r="AL74" s="6"/>
      <c r="AM74" s="35">
        <f t="shared" si="21"/>
        <v>284</v>
      </c>
      <c r="AN74" s="6"/>
      <c r="AO74" s="6"/>
      <c r="AP74" s="35"/>
      <c r="AQ74" s="35">
        <v>71</v>
      </c>
      <c r="AR74" s="35">
        <v>1200</v>
      </c>
      <c r="AS74" s="35">
        <f t="shared" si="22"/>
        <v>341</v>
      </c>
      <c r="AT74" s="6">
        <v>405</v>
      </c>
      <c r="AU74" s="6"/>
      <c r="AV74" s="35">
        <f t="shared" si="23"/>
        <v>334</v>
      </c>
      <c r="AW74" s="6">
        <v>746</v>
      </c>
      <c r="AX74" s="6"/>
      <c r="AY74" s="6">
        <f t="shared" si="24"/>
        <v>341</v>
      </c>
      <c r="AZ74" s="6">
        <v>836</v>
      </c>
      <c r="BA74" s="6"/>
      <c r="BB74" s="6">
        <f t="shared" si="25"/>
        <v>90</v>
      </c>
      <c r="BC74" s="6"/>
      <c r="BD74" s="6"/>
      <c r="BE74" s="6"/>
      <c r="BF74" s="6"/>
      <c r="BG74" s="6"/>
      <c r="BH74" s="35"/>
      <c r="BI74" s="6"/>
      <c r="BJ74" s="6"/>
      <c r="BK74" s="6"/>
      <c r="BL74" s="6"/>
      <c r="BM74" s="6"/>
      <c r="BN74" s="35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325</v>
      </c>
      <c r="CH74" s="6">
        <v>842</v>
      </c>
      <c r="CI74" s="6">
        <f t="shared" si="26"/>
        <v>331</v>
      </c>
      <c r="CJ74" s="6">
        <v>672</v>
      </c>
      <c r="CK74" s="6"/>
      <c r="CL74" s="6">
        <f t="shared" si="27"/>
        <v>347</v>
      </c>
      <c r="CM74" s="35">
        <v>1020</v>
      </c>
      <c r="CN74" s="6"/>
      <c r="CO74" s="6">
        <f t="shared" si="28"/>
        <v>348</v>
      </c>
      <c r="CP74" s="6">
        <v>162</v>
      </c>
      <c r="CQ74" s="6">
        <v>1200</v>
      </c>
      <c r="CR74" s="6">
        <f t="shared" si="29"/>
        <v>342</v>
      </c>
      <c r="CS74" s="6">
        <v>505</v>
      </c>
      <c r="CT74" s="6"/>
      <c r="CU74" s="6">
        <f t="shared" si="30"/>
        <v>343</v>
      </c>
      <c r="CV74" s="6">
        <v>822</v>
      </c>
      <c r="CW74" s="6"/>
      <c r="CX74" s="6">
        <f t="shared" si="31"/>
        <v>317</v>
      </c>
    </row>
    <row r="75" spans="1:102">
      <c r="A75" s="6">
        <v>71</v>
      </c>
      <c r="B75" s="6">
        <v>235</v>
      </c>
      <c r="C75" s="6">
        <v>1200</v>
      </c>
      <c r="D75" s="6">
        <v>313</v>
      </c>
      <c r="E75" s="33" t="s">
        <v>130</v>
      </c>
      <c r="F75" s="33" t="s">
        <v>130</v>
      </c>
      <c r="G75" s="33" t="s">
        <v>130</v>
      </c>
      <c r="H75" s="33" t="s">
        <v>130</v>
      </c>
      <c r="I75" s="33" t="s">
        <v>130</v>
      </c>
      <c r="J75" s="33" t="s">
        <v>130</v>
      </c>
      <c r="K75" s="33" t="s">
        <v>130</v>
      </c>
      <c r="L75" s="148" t="s">
        <v>130</v>
      </c>
      <c r="M75" s="33" t="s">
        <v>130</v>
      </c>
      <c r="N75" s="33" t="s">
        <v>130</v>
      </c>
      <c r="O75" s="33" t="s">
        <v>130</v>
      </c>
      <c r="P75" s="33" t="s">
        <v>130</v>
      </c>
      <c r="Q75" s="33" t="s">
        <v>130</v>
      </c>
      <c r="R75" s="33" t="s">
        <v>130</v>
      </c>
      <c r="S75" s="33" t="s">
        <v>130</v>
      </c>
      <c r="T75" s="33" t="s">
        <v>130</v>
      </c>
      <c r="U75" s="33" t="s">
        <v>130</v>
      </c>
      <c r="V75" s="6">
        <v>601</v>
      </c>
      <c r="W75" s="6"/>
      <c r="X75" s="35">
        <f t="shared" si="16"/>
        <v>366</v>
      </c>
      <c r="Y75" s="35">
        <v>927</v>
      </c>
      <c r="Z75" s="35"/>
      <c r="AA75" s="35">
        <f t="shared" si="17"/>
        <v>326</v>
      </c>
      <c r="AB75" s="6">
        <v>68</v>
      </c>
      <c r="AC75" s="6">
        <v>1205</v>
      </c>
      <c r="AD75" s="35">
        <f t="shared" si="18"/>
        <v>346</v>
      </c>
      <c r="AE75" s="6">
        <v>414</v>
      </c>
      <c r="AF75" s="6"/>
      <c r="AG75" s="34">
        <f t="shared" si="19"/>
        <v>346</v>
      </c>
      <c r="AH75" s="35">
        <v>231</v>
      </c>
      <c r="AI75" s="35">
        <v>501</v>
      </c>
      <c r="AJ75" s="35">
        <f t="shared" si="20"/>
        <v>318</v>
      </c>
      <c r="AK75" s="6">
        <v>0</v>
      </c>
      <c r="AL75" s="6">
        <v>320</v>
      </c>
      <c r="AM75" s="35">
        <f t="shared" si="21"/>
        <v>89</v>
      </c>
      <c r="AN75" s="6"/>
      <c r="AO75" s="6"/>
      <c r="AP75" s="35"/>
      <c r="AQ75" s="6">
        <v>337</v>
      </c>
      <c r="AR75" s="6"/>
      <c r="AS75" s="35">
        <f t="shared" si="22"/>
        <v>337</v>
      </c>
      <c r="AT75" s="35">
        <v>683</v>
      </c>
      <c r="AU75" s="6"/>
      <c r="AV75" s="35">
        <f t="shared" si="23"/>
        <v>346</v>
      </c>
      <c r="AW75" s="6">
        <v>1029</v>
      </c>
      <c r="AX75" s="6"/>
      <c r="AY75" s="6">
        <f t="shared" si="24"/>
        <v>346</v>
      </c>
      <c r="AZ75" s="6">
        <v>58</v>
      </c>
      <c r="BA75" s="6">
        <v>1062</v>
      </c>
      <c r="BB75" s="6">
        <f t="shared" si="25"/>
        <v>91</v>
      </c>
      <c r="BC75" s="6"/>
      <c r="BD75" s="6"/>
      <c r="BE75" s="6"/>
      <c r="BF75" s="6"/>
      <c r="BG75" s="6"/>
      <c r="BH75" s="35"/>
      <c r="BI75" s="6"/>
      <c r="BJ75" s="6"/>
      <c r="BK75" s="6"/>
      <c r="BL75" s="6"/>
      <c r="BM75" s="6"/>
      <c r="BN75" s="35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412</v>
      </c>
      <c r="CH75" s="6"/>
      <c r="CI75" s="6">
        <f t="shared" si="26"/>
        <v>354</v>
      </c>
      <c r="CJ75" s="6">
        <v>759</v>
      </c>
      <c r="CK75" s="6"/>
      <c r="CL75" s="6">
        <f t="shared" si="27"/>
        <v>347</v>
      </c>
      <c r="CM75" s="6">
        <v>1109</v>
      </c>
      <c r="CN75" s="6"/>
      <c r="CO75" s="6">
        <f t="shared" si="28"/>
        <v>350</v>
      </c>
      <c r="CP75" s="6">
        <v>265</v>
      </c>
      <c r="CQ75" s="6">
        <v>1188</v>
      </c>
      <c r="CR75" s="6">
        <f t="shared" si="29"/>
        <v>344</v>
      </c>
      <c r="CS75" s="6">
        <v>608</v>
      </c>
      <c r="CT75" s="6"/>
      <c r="CU75" s="6">
        <f t="shared" si="30"/>
        <v>343</v>
      </c>
      <c r="CV75" s="6">
        <v>926</v>
      </c>
      <c r="CW75" s="6"/>
      <c r="CX75" s="6">
        <f t="shared" si="31"/>
        <v>318</v>
      </c>
    </row>
    <row r="76" spans="1:102">
      <c r="A76" s="6">
        <v>72</v>
      </c>
      <c r="B76" s="6">
        <v>633</v>
      </c>
      <c r="C76" s="6"/>
      <c r="D76" s="6">
        <v>314</v>
      </c>
      <c r="E76" s="33" t="s">
        <v>130</v>
      </c>
      <c r="F76" s="33" t="s">
        <v>130</v>
      </c>
      <c r="G76" s="148" t="s">
        <v>130</v>
      </c>
      <c r="H76" s="33" t="s">
        <v>130</v>
      </c>
      <c r="I76" s="33" t="s">
        <v>130</v>
      </c>
      <c r="J76" s="33" t="s">
        <v>130</v>
      </c>
      <c r="K76" s="33" t="s">
        <v>130</v>
      </c>
      <c r="L76" s="33" t="s">
        <v>130</v>
      </c>
      <c r="M76" s="33" t="s">
        <v>130</v>
      </c>
      <c r="N76" s="33" t="s">
        <v>130</v>
      </c>
      <c r="O76" s="33" t="s">
        <v>130</v>
      </c>
      <c r="P76" s="33" t="s">
        <v>130</v>
      </c>
      <c r="Q76" s="33" t="s">
        <v>130</v>
      </c>
      <c r="R76" s="33" t="s">
        <v>130</v>
      </c>
      <c r="S76" s="33" t="s">
        <v>130</v>
      </c>
      <c r="T76" s="33" t="s">
        <v>130</v>
      </c>
      <c r="U76" s="33" t="s">
        <v>130</v>
      </c>
      <c r="V76" s="6">
        <v>1001</v>
      </c>
      <c r="W76" s="6"/>
      <c r="X76" s="35">
        <f t="shared" si="16"/>
        <v>368</v>
      </c>
      <c r="Y76" s="35">
        <v>218</v>
      </c>
      <c r="Z76" s="35">
        <v>1099</v>
      </c>
      <c r="AA76" s="35">
        <f t="shared" si="17"/>
        <v>316</v>
      </c>
      <c r="AB76" s="6">
        <v>566</v>
      </c>
      <c r="AC76" s="6"/>
      <c r="AD76" s="35">
        <f t="shared" si="18"/>
        <v>348</v>
      </c>
      <c r="AE76" s="6">
        <v>916</v>
      </c>
      <c r="AF76" s="6"/>
      <c r="AG76" s="34">
        <f t="shared" si="19"/>
        <v>350</v>
      </c>
      <c r="AH76" s="35">
        <v>39</v>
      </c>
      <c r="AI76" s="35">
        <v>1201</v>
      </c>
      <c r="AJ76" s="35">
        <f t="shared" si="20"/>
        <v>324</v>
      </c>
      <c r="AK76" s="6">
        <v>329</v>
      </c>
      <c r="AL76" s="6"/>
      <c r="AM76" s="35">
        <f t="shared" si="21"/>
        <v>290</v>
      </c>
      <c r="AN76" s="6"/>
      <c r="AO76" s="6"/>
      <c r="AP76" s="35"/>
      <c r="AQ76" s="6">
        <v>682</v>
      </c>
      <c r="AR76" s="6"/>
      <c r="AS76" s="35">
        <f t="shared" si="22"/>
        <v>353</v>
      </c>
      <c r="AT76" s="6">
        <v>1028</v>
      </c>
      <c r="AU76" s="6"/>
      <c r="AV76" s="35">
        <f t="shared" si="23"/>
        <v>346</v>
      </c>
      <c r="AW76" s="6">
        <v>177</v>
      </c>
      <c r="AX76" s="6">
        <v>1200</v>
      </c>
      <c r="AY76" s="6">
        <f t="shared" si="24"/>
        <v>349</v>
      </c>
      <c r="AZ76" s="6">
        <v>271</v>
      </c>
      <c r="BA76" s="6"/>
      <c r="BB76" s="6">
        <f t="shared" si="25"/>
        <v>94</v>
      </c>
      <c r="BC76" s="6"/>
      <c r="BD76" s="6"/>
      <c r="BE76" s="6"/>
      <c r="BF76" s="6"/>
      <c r="BG76" s="6"/>
      <c r="BH76" s="35"/>
      <c r="BI76" s="35"/>
      <c r="BJ76" s="6"/>
      <c r="BK76" s="6"/>
      <c r="BL76" s="6"/>
      <c r="BM76" s="6"/>
      <c r="BN76" s="35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621</v>
      </c>
      <c r="CH76" s="6"/>
      <c r="CI76" s="6">
        <f t="shared" si="26"/>
        <v>350</v>
      </c>
      <c r="CJ76" s="6">
        <v>966</v>
      </c>
      <c r="CK76" s="6"/>
      <c r="CL76" s="6">
        <f t="shared" si="27"/>
        <v>345</v>
      </c>
      <c r="CM76" s="6">
        <v>106</v>
      </c>
      <c r="CN76" s="6">
        <v>1200</v>
      </c>
      <c r="CO76" s="6">
        <f t="shared" si="28"/>
        <v>340</v>
      </c>
      <c r="CP76" s="6">
        <v>445</v>
      </c>
      <c r="CQ76" s="6"/>
      <c r="CR76" s="6">
        <f t="shared" si="29"/>
        <v>339</v>
      </c>
      <c r="CS76" s="6">
        <v>789</v>
      </c>
      <c r="CT76" s="6"/>
      <c r="CU76" s="6">
        <f t="shared" si="30"/>
        <v>344</v>
      </c>
      <c r="CV76" s="6">
        <v>1105</v>
      </c>
      <c r="CW76" s="6"/>
      <c r="CX76" s="6">
        <f t="shared" si="31"/>
        <v>316</v>
      </c>
    </row>
    <row r="77" spans="1:102">
      <c r="A77" s="6">
        <v>73</v>
      </c>
      <c r="B77" s="6">
        <v>230</v>
      </c>
      <c r="C77" s="6">
        <v>1560</v>
      </c>
      <c r="D77" s="6">
        <v>336</v>
      </c>
      <c r="E77" s="33" t="s">
        <v>37</v>
      </c>
      <c r="F77" s="33" t="s">
        <v>37</v>
      </c>
      <c r="G77" s="33" t="s">
        <v>37</v>
      </c>
      <c r="H77" s="33" t="s">
        <v>37</v>
      </c>
      <c r="I77" s="33" t="s">
        <v>37</v>
      </c>
      <c r="J77" s="33" t="s">
        <v>37</v>
      </c>
      <c r="K77" s="33" t="s">
        <v>37</v>
      </c>
      <c r="L77" s="33" t="s">
        <v>37</v>
      </c>
      <c r="M77" s="33" t="s">
        <v>37</v>
      </c>
      <c r="N77" s="33" t="s">
        <v>37</v>
      </c>
      <c r="O77" s="33" t="s">
        <v>37</v>
      </c>
      <c r="P77" s="33" t="s">
        <v>37</v>
      </c>
      <c r="Q77" s="33" t="s">
        <v>37</v>
      </c>
      <c r="R77" s="33" t="s">
        <v>37</v>
      </c>
      <c r="S77" s="33" t="s">
        <v>37</v>
      </c>
      <c r="T77" s="33" t="s">
        <v>37</v>
      </c>
      <c r="U77" s="148" t="s">
        <v>37</v>
      </c>
      <c r="V77" s="6">
        <v>623</v>
      </c>
      <c r="W77" s="6"/>
      <c r="X77" s="35">
        <f t="shared" si="16"/>
        <v>393</v>
      </c>
      <c r="Y77" s="35">
        <v>980</v>
      </c>
      <c r="Z77" s="35"/>
      <c r="AA77" s="35">
        <f t="shared" si="17"/>
        <v>357</v>
      </c>
      <c r="AB77" s="6">
        <v>1184</v>
      </c>
      <c r="AC77" s="6"/>
      <c r="AD77" s="35">
        <f t="shared" si="18"/>
        <v>204</v>
      </c>
      <c r="AE77" s="6">
        <v>1427</v>
      </c>
      <c r="AF77" s="6"/>
      <c r="AG77" s="34">
        <f t="shared" si="19"/>
        <v>243</v>
      </c>
      <c r="AH77" s="35">
        <v>225</v>
      </c>
      <c r="AI77" s="35">
        <v>1560</v>
      </c>
      <c r="AJ77" s="35">
        <f t="shared" si="20"/>
        <v>358</v>
      </c>
      <c r="AK77" s="6">
        <v>563</v>
      </c>
      <c r="AL77" s="6"/>
      <c r="AM77" s="35">
        <f t="shared" si="21"/>
        <v>338</v>
      </c>
      <c r="AN77" s="6"/>
      <c r="AO77" s="6"/>
      <c r="AP77" s="35"/>
      <c r="AQ77" s="35">
        <v>930</v>
      </c>
      <c r="AR77" s="35"/>
      <c r="AS77" s="35">
        <f t="shared" si="22"/>
        <v>367</v>
      </c>
      <c r="AT77" s="6">
        <v>1297</v>
      </c>
      <c r="AU77" s="6"/>
      <c r="AV77" s="35">
        <f t="shared" si="23"/>
        <v>367</v>
      </c>
      <c r="AW77" s="35">
        <v>103</v>
      </c>
      <c r="AX77" s="6">
        <v>1560</v>
      </c>
      <c r="AY77" s="6">
        <f t="shared" si="24"/>
        <v>366</v>
      </c>
      <c r="AZ77" s="6">
        <v>184</v>
      </c>
      <c r="BA77" s="6"/>
      <c r="BB77" s="6">
        <f t="shared" si="25"/>
        <v>81</v>
      </c>
      <c r="BC77" s="6"/>
      <c r="BD77" s="6"/>
      <c r="BE77" s="6"/>
      <c r="BF77" s="6"/>
      <c r="BG77" s="6"/>
      <c r="BH77" s="35"/>
      <c r="BI77" s="6"/>
      <c r="BJ77" s="6"/>
      <c r="BK77" s="6"/>
      <c r="BL77" s="6"/>
      <c r="BM77" s="6"/>
      <c r="BN77" s="35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511</v>
      </c>
      <c r="CH77" s="6"/>
      <c r="CI77" s="6">
        <f t="shared" si="26"/>
        <v>327</v>
      </c>
      <c r="CJ77" s="6">
        <v>880</v>
      </c>
      <c r="CK77" s="6"/>
      <c r="CL77" s="6">
        <f t="shared" si="27"/>
        <v>369</v>
      </c>
      <c r="CM77" s="6">
        <v>1251</v>
      </c>
      <c r="CN77" s="6"/>
      <c r="CO77" s="6">
        <f t="shared" si="28"/>
        <v>371</v>
      </c>
      <c r="CP77" s="6">
        <v>1615</v>
      </c>
      <c r="CQ77" s="6"/>
      <c r="CR77" s="6">
        <f t="shared" si="29"/>
        <v>364</v>
      </c>
      <c r="CS77" s="6">
        <v>0</v>
      </c>
      <c r="CT77" s="6">
        <v>1769</v>
      </c>
      <c r="CU77" s="6">
        <f t="shared" si="30"/>
        <v>154</v>
      </c>
      <c r="CV77" s="6">
        <v>323</v>
      </c>
      <c r="CW77" s="6"/>
      <c r="CX77" s="6">
        <f t="shared" si="31"/>
        <v>323</v>
      </c>
    </row>
    <row r="78" spans="1:102">
      <c r="A78" s="6">
        <v>74</v>
      </c>
      <c r="B78" s="6">
        <v>907</v>
      </c>
      <c r="C78" s="6"/>
      <c r="D78" s="6">
        <v>334</v>
      </c>
      <c r="E78" s="33" t="s">
        <v>37</v>
      </c>
      <c r="F78" s="33" t="s">
        <v>37</v>
      </c>
      <c r="G78" s="33" t="s">
        <v>37</v>
      </c>
      <c r="H78" s="33" t="s">
        <v>37</v>
      </c>
      <c r="I78" s="33" t="s">
        <v>37</v>
      </c>
      <c r="J78" s="33" t="s">
        <v>37</v>
      </c>
      <c r="K78" s="33" t="s">
        <v>37</v>
      </c>
      <c r="L78" s="33" t="s">
        <v>37</v>
      </c>
      <c r="M78" s="33" t="s">
        <v>37</v>
      </c>
      <c r="N78" s="33" t="s">
        <v>37</v>
      </c>
      <c r="O78" s="33" t="s">
        <v>37</v>
      </c>
      <c r="P78" s="33" t="s">
        <v>37</v>
      </c>
      <c r="Q78" s="33" t="s">
        <v>37</v>
      </c>
      <c r="R78" s="33" t="s">
        <v>37</v>
      </c>
      <c r="S78" s="33" t="s">
        <v>37</v>
      </c>
      <c r="T78" s="33" t="s">
        <v>37</v>
      </c>
      <c r="U78" s="33" t="s">
        <v>37</v>
      </c>
      <c r="V78" s="35">
        <v>1303</v>
      </c>
      <c r="W78" s="35"/>
      <c r="X78" s="35">
        <f t="shared" si="16"/>
        <v>396</v>
      </c>
      <c r="Y78" s="35">
        <v>106</v>
      </c>
      <c r="Z78" s="35">
        <v>1560</v>
      </c>
      <c r="AA78" s="35">
        <f t="shared" si="17"/>
        <v>363</v>
      </c>
      <c r="AB78" s="35">
        <v>300</v>
      </c>
      <c r="AC78" s="35"/>
      <c r="AD78" s="35">
        <f t="shared" si="18"/>
        <v>194</v>
      </c>
      <c r="AE78" s="6">
        <v>547</v>
      </c>
      <c r="AF78" s="6"/>
      <c r="AG78" s="34">
        <f t="shared" si="19"/>
        <v>247</v>
      </c>
      <c r="AH78" s="35">
        <v>907</v>
      </c>
      <c r="AI78" s="35"/>
      <c r="AJ78" s="35">
        <f t="shared" si="20"/>
        <v>360</v>
      </c>
      <c r="AK78" s="6">
        <v>1248</v>
      </c>
      <c r="AL78" s="6"/>
      <c r="AM78" s="35">
        <f t="shared" si="21"/>
        <v>341</v>
      </c>
      <c r="AN78" s="6"/>
      <c r="AO78" s="6"/>
      <c r="AP78" s="35"/>
      <c r="AQ78" s="6">
        <v>60</v>
      </c>
      <c r="AR78" s="6">
        <v>1560</v>
      </c>
      <c r="AS78" s="35">
        <f t="shared" si="22"/>
        <v>372</v>
      </c>
      <c r="AT78" s="6">
        <v>428</v>
      </c>
      <c r="AU78" s="6"/>
      <c r="AV78" s="35">
        <f t="shared" si="23"/>
        <v>368</v>
      </c>
      <c r="AW78" s="6">
        <v>794</v>
      </c>
      <c r="AX78" s="6"/>
      <c r="AY78" s="6">
        <f t="shared" si="24"/>
        <v>366</v>
      </c>
      <c r="AZ78" s="6">
        <v>882</v>
      </c>
      <c r="BA78" s="35"/>
      <c r="BB78" s="6">
        <f t="shared" si="25"/>
        <v>88</v>
      </c>
      <c r="BC78" s="6"/>
      <c r="BD78" s="6"/>
      <c r="BE78" s="6"/>
      <c r="BF78" s="6"/>
      <c r="BG78" s="6"/>
      <c r="BH78" s="35"/>
      <c r="BI78" s="6"/>
      <c r="BJ78" s="6"/>
      <c r="BK78" s="6"/>
      <c r="BL78" s="6"/>
      <c r="BM78" s="6"/>
      <c r="BN78" s="35"/>
      <c r="BO78" s="6"/>
      <c r="BP78" s="35"/>
      <c r="BQ78" s="6"/>
      <c r="BR78" s="6"/>
      <c r="BS78" s="6"/>
      <c r="BT78" s="35"/>
      <c r="BU78" s="6"/>
      <c r="BV78" s="35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1238</v>
      </c>
      <c r="CH78" s="6"/>
      <c r="CI78" s="6">
        <f t="shared" si="26"/>
        <v>356</v>
      </c>
      <c r="CJ78" s="6">
        <v>44</v>
      </c>
      <c r="CK78" s="6">
        <v>1560</v>
      </c>
      <c r="CL78" s="6">
        <f t="shared" si="27"/>
        <v>366</v>
      </c>
      <c r="CM78" s="6">
        <v>414</v>
      </c>
      <c r="CN78" s="6"/>
      <c r="CO78" s="6">
        <f t="shared" si="28"/>
        <v>370</v>
      </c>
      <c r="CP78" s="6">
        <v>782</v>
      </c>
      <c r="CQ78" s="6"/>
      <c r="CR78" s="6">
        <f t="shared" si="29"/>
        <v>368</v>
      </c>
      <c r="CS78" s="6">
        <v>1149</v>
      </c>
      <c r="CT78" s="6"/>
      <c r="CU78" s="6">
        <f t="shared" si="30"/>
        <v>367</v>
      </c>
      <c r="CV78" s="6">
        <v>1486</v>
      </c>
      <c r="CW78" s="6"/>
      <c r="CX78" s="6">
        <f t="shared" si="31"/>
        <v>337</v>
      </c>
    </row>
    <row r="79" spans="1:102">
      <c r="A79" s="6">
        <v>75</v>
      </c>
      <c r="B79" s="6">
        <v>1307</v>
      </c>
      <c r="C79" s="6"/>
      <c r="D79" s="6">
        <v>334</v>
      </c>
      <c r="E79" s="33" t="s">
        <v>37</v>
      </c>
      <c r="F79" s="33" t="s">
        <v>37</v>
      </c>
      <c r="G79" s="33" t="s">
        <v>37</v>
      </c>
      <c r="H79" s="33" t="s">
        <v>37</v>
      </c>
      <c r="I79" s="33" t="s">
        <v>37</v>
      </c>
      <c r="J79" s="33" t="s">
        <v>37</v>
      </c>
      <c r="K79" s="33" t="s">
        <v>37</v>
      </c>
      <c r="L79" s="33" t="s">
        <v>37</v>
      </c>
      <c r="M79" s="33" t="s">
        <v>37</v>
      </c>
      <c r="N79" s="33" t="s">
        <v>37</v>
      </c>
      <c r="O79" s="33" t="s">
        <v>37</v>
      </c>
      <c r="P79" s="33" t="s">
        <v>37</v>
      </c>
      <c r="Q79" s="33" t="s">
        <v>37</v>
      </c>
      <c r="R79" s="33" t="s">
        <v>37</v>
      </c>
      <c r="S79" s="33" t="s">
        <v>37</v>
      </c>
      <c r="T79" s="33" t="s">
        <v>37</v>
      </c>
      <c r="U79" s="148" t="s">
        <v>37</v>
      </c>
      <c r="V79" s="6">
        <v>130</v>
      </c>
      <c r="W79" s="6">
        <v>1560</v>
      </c>
      <c r="X79" s="35">
        <f t="shared" si="16"/>
        <v>383</v>
      </c>
      <c r="Y79" s="35">
        <v>120</v>
      </c>
      <c r="Z79" s="35">
        <v>354</v>
      </c>
      <c r="AA79" s="35">
        <f t="shared" si="17"/>
        <v>344</v>
      </c>
      <c r="AB79" s="6">
        <v>1</v>
      </c>
      <c r="AC79" s="6">
        <v>307</v>
      </c>
      <c r="AD79" s="35">
        <f t="shared" si="18"/>
        <v>188</v>
      </c>
      <c r="AE79" s="6">
        <v>245</v>
      </c>
      <c r="AF79" s="6"/>
      <c r="AG79" s="34">
        <f t="shared" si="19"/>
        <v>244</v>
      </c>
      <c r="AH79" s="35">
        <v>605</v>
      </c>
      <c r="AI79" s="35"/>
      <c r="AJ79" s="35">
        <f t="shared" si="20"/>
        <v>360</v>
      </c>
      <c r="AK79" s="6">
        <v>947</v>
      </c>
      <c r="AL79" s="6"/>
      <c r="AM79" s="35">
        <f t="shared" si="21"/>
        <v>342</v>
      </c>
      <c r="AN79" s="6"/>
      <c r="AO79" s="6"/>
      <c r="AP79" s="35"/>
      <c r="AQ79" s="35">
        <v>1317</v>
      </c>
      <c r="AR79" s="35"/>
      <c r="AS79" s="35">
        <f t="shared" si="22"/>
        <v>370</v>
      </c>
      <c r="AT79" s="6">
        <v>119</v>
      </c>
      <c r="AU79" s="6">
        <v>1560</v>
      </c>
      <c r="AV79" s="35">
        <f t="shared" si="23"/>
        <v>362</v>
      </c>
      <c r="AW79" s="6">
        <v>464</v>
      </c>
      <c r="AX79" s="6"/>
      <c r="AY79" s="6">
        <f t="shared" si="24"/>
        <v>345</v>
      </c>
      <c r="AZ79" s="6">
        <v>538</v>
      </c>
      <c r="BA79" s="6"/>
      <c r="BB79" s="6">
        <f t="shared" si="25"/>
        <v>74</v>
      </c>
      <c r="BC79" s="6"/>
      <c r="BD79" s="6"/>
      <c r="BE79" s="6"/>
      <c r="BF79" s="6"/>
      <c r="BG79" s="6"/>
      <c r="BH79" s="35"/>
      <c r="BI79" s="6"/>
      <c r="BJ79" s="6"/>
      <c r="BK79" s="6"/>
      <c r="BL79" s="6"/>
      <c r="BM79" s="6"/>
      <c r="BN79" s="35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>
        <v>898</v>
      </c>
      <c r="CH79" s="6"/>
      <c r="CI79" s="6">
        <f t="shared" si="26"/>
        <v>360</v>
      </c>
      <c r="CJ79" s="6">
        <v>1260</v>
      </c>
      <c r="CK79" s="6"/>
      <c r="CL79" s="6">
        <f t="shared" si="27"/>
        <v>362</v>
      </c>
      <c r="CM79" s="6">
        <v>70</v>
      </c>
      <c r="CN79" s="6">
        <v>1560</v>
      </c>
      <c r="CO79" s="6">
        <f t="shared" si="28"/>
        <v>370</v>
      </c>
      <c r="CP79" s="6">
        <v>435</v>
      </c>
      <c r="CQ79" s="6"/>
      <c r="CR79" s="6">
        <f t="shared" si="29"/>
        <v>365</v>
      </c>
      <c r="CS79" s="6">
        <v>788</v>
      </c>
      <c r="CT79" s="6"/>
      <c r="CU79" s="6">
        <f t="shared" si="30"/>
        <v>353</v>
      </c>
      <c r="CV79" s="6">
        <v>193</v>
      </c>
      <c r="CW79" s="6">
        <v>901</v>
      </c>
      <c r="CX79" s="6">
        <f t="shared" si="31"/>
        <v>306</v>
      </c>
    </row>
    <row r="80" spans="1:102">
      <c r="A80" s="6">
        <v>76</v>
      </c>
      <c r="B80" s="6">
        <v>1349</v>
      </c>
      <c r="C80" s="6"/>
      <c r="D80" s="6">
        <v>340</v>
      </c>
      <c r="E80" s="33" t="s">
        <v>128</v>
      </c>
      <c r="F80" s="33" t="s">
        <v>128</v>
      </c>
      <c r="G80" s="33" t="s">
        <v>128</v>
      </c>
      <c r="H80" s="33" t="s">
        <v>128</v>
      </c>
      <c r="I80" s="33" t="s">
        <v>128</v>
      </c>
      <c r="J80" s="33" t="s">
        <v>128</v>
      </c>
      <c r="K80" s="33" t="s">
        <v>128</v>
      </c>
      <c r="L80" s="33" t="s">
        <v>128</v>
      </c>
      <c r="M80" s="33" t="s">
        <v>128</v>
      </c>
      <c r="N80" s="33" t="s">
        <v>128</v>
      </c>
      <c r="O80" s="33" t="s">
        <v>128</v>
      </c>
      <c r="P80" s="33" t="s">
        <v>128</v>
      </c>
      <c r="Q80" s="33" t="s">
        <v>128</v>
      </c>
      <c r="R80" s="33" t="s">
        <v>128</v>
      </c>
      <c r="S80" s="33" t="s">
        <v>128</v>
      </c>
      <c r="T80" s="33" t="s">
        <v>128</v>
      </c>
      <c r="U80" s="148" t="s">
        <v>128</v>
      </c>
      <c r="V80" s="6">
        <v>201</v>
      </c>
      <c r="W80" s="6">
        <v>1538</v>
      </c>
      <c r="X80" s="35">
        <f t="shared" si="16"/>
        <v>390</v>
      </c>
      <c r="Y80" s="35">
        <v>567</v>
      </c>
      <c r="Z80" s="35"/>
      <c r="AA80" s="35">
        <f t="shared" si="17"/>
        <v>366</v>
      </c>
      <c r="AB80" s="6">
        <v>178</v>
      </c>
      <c r="AC80" s="6">
        <v>591</v>
      </c>
      <c r="AD80" s="35">
        <f t="shared" si="18"/>
        <v>202</v>
      </c>
      <c r="AE80" s="6">
        <v>434</v>
      </c>
      <c r="AF80" s="6"/>
      <c r="AG80" s="34">
        <f t="shared" si="19"/>
        <v>256</v>
      </c>
      <c r="AH80" s="35">
        <v>809</v>
      </c>
      <c r="AI80" s="35"/>
      <c r="AJ80" s="35">
        <f t="shared" si="20"/>
        <v>375</v>
      </c>
      <c r="AK80" s="6">
        <v>1159</v>
      </c>
      <c r="AL80" s="6"/>
      <c r="AM80" s="35">
        <f t="shared" si="21"/>
        <v>350</v>
      </c>
      <c r="AN80" s="6"/>
      <c r="AO80" s="6"/>
      <c r="AP80" s="35"/>
      <c r="AQ80" s="35">
        <v>1539</v>
      </c>
      <c r="AR80" s="35"/>
      <c r="AS80" s="35">
        <f t="shared" si="22"/>
        <v>380</v>
      </c>
      <c r="AT80" s="6">
        <v>351</v>
      </c>
      <c r="AU80" s="6">
        <v>1560</v>
      </c>
      <c r="AV80" s="35">
        <f t="shared" si="23"/>
        <v>372</v>
      </c>
      <c r="AW80" s="6">
        <v>725</v>
      </c>
      <c r="AX80" s="6"/>
      <c r="AY80" s="6">
        <f t="shared" si="24"/>
        <v>374</v>
      </c>
      <c r="AZ80" s="6">
        <v>808</v>
      </c>
      <c r="BA80" s="6"/>
      <c r="BB80" s="6">
        <f t="shared" si="25"/>
        <v>83</v>
      </c>
      <c r="BC80" s="6"/>
      <c r="BD80" s="6"/>
      <c r="BE80" s="6"/>
      <c r="BF80" s="6"/>
      <c r="BG80" s="6"/>
      <c r="BH80" s="35"/>
      <c r="BI80" s="6"/>
      <c r="BJ80" s="6"/>
      <c r="BK80" s="6"/>
      <c r="BL80" s="6"/>
      <c r="BM80" s="6"/>
      <c r="BN80" s="35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>
        <v>1185</v>
      </c>
      <c r="CH80" s="6"/>
      <c r="CI80" s="6">
        <f t="shared" si="26"/>
        <v>377</v>
      </c>
      <c r="CJ80" s="6">
        <v>1</v>
      </c>
      <c r="CK80" s="6">
        <v>1560</v>
      </c>
      <c r="CL80" s="6">
        <f t="shared" si="27"/>
        <v>376</v>
      </c>
      <c r="CM80" s="6">
        <v>374</v>
      </c>
      <c r="CN80" s="6"/>
      <c r="CO80" s="6">
        <f t="shared" si="28"/>
        <v>373</v>
      </c>
      <c r="CP80" s="6">
        <v>737</v>
      </c>
      <c r="CQ80" s="6"/>
      <c r="CR80" s="6">
        <f t="shared" si="29"/>
        <v>363</v>
      </c>
      <c r="CS80" s="6">
        <v>0</v>
      </c>
      <c r="CT80" s="6">
        <v>1021</v>
      </c>
      <c r="CU80" s="6">
        <f t="shared" si="30"/>
        <v>284</v>
      </c>
      <c r="CV80" s="6">
        <v>290</v>
      </c>
      <c r="CW80" s="6"/>
      <c r="CX80" s="6">
        <f t="shared" si="31"/>
        <v>290</v>
      </c>
    </row>
    <row r="81" spans="1:102">
      <c r="A81" s="6">
        <v>77</v>
      </c>
      <c r="B81" s="6">
        <v>1220</v>
      </c>
      <c r="C81" s="6"/>
      <c r="D81" s="6">
        <v>328</v>
      </c>
      <c r="E81" s="33" t="s">
        <v>37</v>
      </c>
      <c r="F81" s="33" t="s">
        <v>37</v>
      </c>
      <c r="G81" s="33" t="s">
        <v>37</v>
      </c>
      <c r="H81" s="33" t="s">
        <v>37</v>
      </c>
      <c r="I81" s="33" t="s">
        <v>37</v>
      </c>
      <c r="J81" s="33" t="s">
        <v>37</v>
      </c>
      <c r="K81" s="33" t="s">
        <v>37</v>
      </c>
      <c r="L81" s="33" t="s">
        <v>37</v>
      </c>
      <c r="M81" s="33" t="s">
        <v>37</v>
      </c>
      <c r="N81" s="33" t="s">
        <v>37</v>
      </c>
      <c r="O81" s="33" t="s">
        <v>37</v>
      </c>
      <c r="P81" s="33" t="s">
        <v>37</v>
      </c>
      <c r="Q81" s="33" t="s">
        <v>37</v>
      </c>
      <c r="R81" s="33" t="s">
        <v>37</v>
      </c>
      <c r="S81" s="33" t="s">
        <v>37</v>
      </c>
      <c r="T81" s="33" t="s">
        <v>37</v>
      </c>
      <c r="U81" s="33" t="s">
        <v>37</v>
      </c>
      <c r="V81" s="6">
        <v>7</v>
      </c>
      <c r="W81" s="6">
        <v>1560</v>
      </c>
      <c r="X81" s="35">
        <f t="shared" si="16"/>
        <v>347</v>
      </c>
      <c r="Y81" s="35">
        <v>255</v>
      </c>
      <c r="Z81" s="35"/>
      <c r="AA81" s="35">
        <f t="shared" si="17"/>
        <v>248</v>
      </c>
      <c r="AB81" s="35">
        <v>426</v>
      </c>
      <c r="AC81" s="6"/>
      <c r="AD81" s="35">
        <f t="shared" si="18"/>
        <v>171</v>
      </c>
      <c r="AE81" s="6">
        <v>661</v>
      </c>
      <c r="AF81" s="6"/>
      <c r="AG81" s="34">
        <f t="shared" si="19"/>
        <v>235</v>
      </c>
      <c r="AH81" s="35">
        <v>1023</v>
      </c>
      <c r="AI81" s="35"/>
      <c r="AJ81" s="35">
        <f t="shared" si="20"/>
        <v>362</v>
      </c>
      <c r="AK81" s="6">
        <v>1363</v>
      </c>
      <c r="AL81" s="6"/>
      <c r="AM81" s="35">
        <f t="shared" si="21"/>
        <v>340</v>
      </c>
      <c r="AN81" s="6"/>
      <c r="AO81" s="6"/>
      <c r="AP81" s="35"/>
      <c r="AQ81" s="6">
        <v>217</v>
      </c>
      <c r="AR81" s="6">
        <v>1515</v>
      </c>
      <c r="AS81" s="35">
        <f t="shared" si="22"/>
        <v>369</v>
      </c>
      <c r="AT81" s="6">
        <v>582</v>
      </c>
      <c r="AU81" s="6"/>
      <c r="AV81" s="35">
        <f t="shared" si="23"/>
        <v>365</v>
      </c>
      <c r="AW81" s="6">
        <v>950</v>
      </c>
      <c r="AX81" s="6"/>
      <c r="AY81" s="6">
        <f t="shared" si="24"/>
        <v>368</v>
      </c>
      <c r="AZ81" s="6">
        <v>1032</v>
      </c>
      <c r="BA81" s="35"/>
      <c r="BB81" s="6">
        <f t="shared" si="25"/>
        <v>82</v>
      </c>
      <c r="BC81" s="6"/>
      <c r="BD81" s="6"/>
      <c r="BE81" s="6"/>
      <c r="BF81" s="6"/>
      <c r="BG81" s="6"/>
      <c r="BH81" s="35"/>
      <c r="BI81" s="6"/>
      <c r="BJ81" s="6"/>
      <c r="BK81" s="6"/>
      <c r="BL81" s="6"/>
      <c r="BM81" s="6"/>
      <c r="BN81" s="35"/>
      <c r="BO81" s="6"/>
      <c r="BP81" s="35"/>
      <c r="BQ81" s="6"/>
      <c r="BR81" s="6"/>
      <c r="BS81" s="6"/>
      <c r="BT81" s="35"/>
      <c r="BU81" s="6"/>
      <c r="BV81" s="35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>
        <v>1376</v>
      </c>
      <c r="CH81" s="6"/>
      <c r="CI81" s="6">
        <f t="shared" si="26"/>
        <v>344</v>
      </c>
      <c r="CJ81" s="6">
        <v>190</v>
      </c>
      <c r="CK81" s="6">
        <v>1560</v>
      </c>
      <c r="CL81" s="6">
        <f t="shared" si="27"/>
        <v>374</v>
      </c>
      <c r="CM81" s="6">
        <v>566</v>
      </c>
      <c r="CN81" s="6"/>
      <c r="CO81" s="6">
        <f t="shared" si="28"/>
        <v>376</v>
      </c>
      <c r="CP81" s="6">
        <v>936</v>
      </c>
      <c r="CQ81" s="6"/>
      <c r="CR81" s="6">
        <f t="shared" si="29"/>
        <v>370</v>
      </c>
      <c r="CS81" s="6">
        <v>1314</v>
      </c>
      <c r="CT81" s="6"/>
      <c r="CU81" s="6">
        <f t="shared" si="30"/>
        <v>378</v>
      </c>
      <c r="CV81" s="6">
        <v>1646</v>
      </c>
      <c r="CW81" s="6"/>
      <c r="CX81" s="6">
        <f t="shared" si="31"/>
        <v>332</v>
      </c>
    </row>
    <row r="82" spans="1:102">
      <c r="A82" s="6">
        <v>78</v>
      </c>
      <c r="B82" s="6">
        <v>770</v>
      </c>
      <c r="C82" s="6"/>
      <c r="D82" s="6">
        <v>329</v>
      </c>
      <c r="E82" s="33" t="s">
        <v>128</v>
      </c>
      <c r="F82" s="33" t="s">
        <v>128</v>
      </c>
      <c r="G82" s="33" t="s">
        <v>128</v>
      </c>
      <c r="H82" s="33" t="s">
        <v>128</v>
      </c>
      <c r="I82" s="33" t="s">
        <v>128</v>
      </c>
      <c r="J82" s="33" t="s">
        <v>128</v>
      </c>
      <c r="K82" s="33" t="s">
        <v>128</v>
      </c>
      <c r="L82" s="33" t="s">
        <v>128</v>
      </c>
      <c r="M82" s="33" t="s">
        <v>128</v>
      </c>
      <c r="N82" s="33" t="s">
        <v>128</v>
      </c>
      <c r="O82" s="33" t="s">
        <v>128</v>
      </c>
      <c r="P82" s="33" t="s">
        <v>128</v>
      </c>
      <c r="Q82" s="33" t="s">
        <v>128</v>
      </c>
      <c r="R82" s="33" t="s">
        <v>128</v>
      </c>
      <c r="S82" s="148" t="s">
        <v>37</v>
      </c>
      <c r="T82" s="33" t="s">
        <v>37</v>
      </c>
      <c r="U82" s="33" t="s">
        <v>37</v>
      </c>
      <c r="V82" s="6">
        <v>1154</v>
      </c>
      <c r="W82" s="6"/>
      <c r="X82" s="35">
        <f t="shared" si="16"/>
        <v>384</v>
      </c>
      <c r="Y82" s="35">
        <v>1505</v>
      </c>
      <c r="Z82" s="35"/>
      <c r="AA82" s="35">
        <f t="shared" si="17"/>
        <v>351</v>
      </c>
      <c r="AB82" s="6">
        <v>149</v>
      </c>
      <c r="AC82" s="6">
        <v>1560</v>
      </c>
      <c r="AD82" s="35">
        <f t="shared" si="18"/>
        <v>204</v>
      </c>
      <c r="AE82" s="6">
        <v>387</v>
      </c>
      <c r="AF82" s="6"/>
      <c r="AG82" s="34">
        <f t="shared" si="19"/>
        <v>238</v>
      </c>
      <c r="AH82" s="35">
        <v>748</v>
      </c>
      <c r="AI82" s="35"/>
      <c r="AJ82" s="35">
        <f t="shared" si="20"/>
        <v>361</v>
      </c>
      <c r="AK82" s="6">
        <v>1098</v>
      </c>
      <c r="AL82" s="6"/>
      <c r="AM82" s="35">
        <f t="shared" si="21"/>
        <v>350</v>
      </c>
      <c r="AN82" s="6"/>
      <c r="AO82" s="6"/>
      <c r="AP82" s="35"/>
      <c r="AQ82" s="35">
        <v>360</v>
      </c>
      <c r="AR82" s="35">
        <v>1102</v>
      </c>
      <c r="AS82" s="35">
        <f t="shared" si="22"/>
        <v>364</v>
      </c>
      <c r="AT82" s="6">
        <v>733</v>
      </c>
      <c r="AU82" s="6"/>
      <c r="AV82" s="35">
        <f t="shared" si="23"/>
        <v>373</v>
      </c>
      <c r="AW82" s="6">
        <v>311</v>
      </c>
      <c r="AX82" s="6">
        <v>789</v>
      </c>
      <c r="AY82" s="6">
        <f t="shared" si="24"/>
        <v>367</v>
      </c>
      <c r="AZ82" s="6">
        <v>395</v>
      </c>
      <c r="BA82" s="6"/>
      <c r="BB82" s="6">
        <f t="shared" si="25"/>
        <v>84</v>
      </c>
      <c r="BC82" s="6"/>
      <c r="BD82" s="6"/>
      <c r="BE82" s="6"/>
      <c r="BF82" s="6"/>
      <c r="BG82" s="6"/>
      <c r="BH82" s="35"/>
      <c r="BI82" s="6"/>
      <c r="BJ82" s="6"/>
      <c r="BK82" s="6"/>
      <c r="BL82" s="6"/>
      <c r="BM82" s="6"/>
      <c r="BN82" s="35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746</v>
      </c>
      <c r="CH82" s="6"/>
      <c r="CI82" s="6">
        <f t="shared" si="26"/>
        <v>351</v>
      </c>
      <c r="CJ82" s="6">
        <v>1120</v>
      </c>
      <c r="CK82" s="6"/>
      <c r="CL82" s="6">
        <f t="shared" si="27"/>
        <v>374</v>
      </c>
      <c r="CM82" s="6">
        <v>0</v>
      </c>
      <c r="CN82" s="6">
        <v>1300</v>
      </c>
      <c r="CO82" s="6">
        <f t="shared" si="28"/>
        <v>180</v>
      </c>
      <c r="CP82" s="6">
        <v>318</v>
      </c>
      <c r="CQ82" s="6"/>
      <c r="CR82" s="6">
        <f t="shared" si="29"/>
        <v>318</v>
      </c>
      <c r="CS82" s="6">
        <v>689</v>
      </c>
      <c r="CT82" s="6"/>
      <c r="CU82" s="6">
        <f t="shared" si="30"/>
        <v>371</v>
      </c>
      <c r="CV82" s="6">
        <v>999</v>
      </c>
      <c r="CW82" s="6"/>
      <c r="CX82" s="6">
        <f t="shared" si="31"/>
        <v>310</v>
      </c>
    </row>
    <row r="83" spans="1:102">
      <c r="A83" s="6">
        <v>79</v>
      </c>
      <c r="B83" s="6">
        <v>230</v>
      </c>
      <c r="C83" s="6">
        <v>1416</v>
      </c>
      <c r="D83" s="6">
        <v>325</v>
      </c>
      <c r="E83" s="33" t="s">
        <v>37</v>
      </c>
      <c r="F83" s="33" t="s">
        <v>37</v>
      </c>
      <c r="G83" s="33" t="s">
        <v>37</v>
      </c>
      <c r="H83" s="33" t="s">
        <v>37</v>
      </c>
      <c r="I83" s="33" t="s">
        <v>37</v>
      </c>
      <c r="J83" s="33" t="s">
        <v>37</v>
      </c>
      <c r="K83" s="33" t="s">
        <v>37</v>
      </c>
      <c r="L83" s="33" t="s">
        <v>37</v>
      </c>
      <c r="M83" s="33" t="s">
        <v>37</v>
      </c>
      <c r="N83" s="33" t="s">
        <v>37</v>
      </c>
      <c r="O83" s="33" t="s">
        <v>37</v>
      </c>
      <c r="P83" s="33" t="s">
        <v>37</v>
      </c>
      <c r="Q83" s="33" t="s">
        <v>37</v>
      </c>
      <c r="R83" s="33" t="s">
        <v>37</v>
      </c>
      <c r="S83" s="33" t="s">
        <v>37</v>
      </c>
      <c r="T83" s="33" t="s">
        <v>37</v>
      </c>
      <c r="U83" s="148" t="s">
        <v>37</v>
      </c>
      <c r="V83" s="6">
        <v>612</v>
      </c>
      <c r="W83" s="6"/>
      <c r="X83" s="35">
        <f t="shared" si="16"/>
        <v>382</v>
      </c>
      <c r="Y83" s="35">
        <v>222</v>
      </c>
      <c r="Z83" s="35">
        <v>747</v>
      </c>
      <c r="AA83" s="35">
        <f t="shared" si="17"/>
        <v>357</v>
      </c>
      <c r="AB83" s="6">
        <v>31</v>
      </c>
      <c r="AC83" s="6">
        <v>387</v>
      </c>
      <c r="AD83" s="35">
        <f t="shared" si="18"/>
        <v>196</v>
      </c>
      <c r="AE83" s="6">
        <v>277</v>
      </c>
      <c r="AF83" s="6"/>
      <c r="AG83" s="34">
        <f t="shared" si="19"/>
        <v>246</v>
      </c>
      <c r="AH83" s="35">
        <v>117</v>
      </c>
      <c r="AI83" s="35">
        <v>512</v>
      </c>
      <c r="AJ83" s="35">
        <f t="shared" si="20"/>
        <v>352</v>
      </c>
      <c r="AK83" s="6">
        <v>467</v>
      </c>
      <c r="AL83" s="6"/>
      <c r="AM83" s="35">
        <f t="shared" si="21"/>
        <v>350</v>
      </c>
      <c r="AN83" s="6"/>
      <c r="AO83" s="6"/>
      <c r="AP83" s="35"/>
      <c r="AQ83" s="35">
        <v>817</v>
      </c>
      <c r="AR83" s="35"/>
      <c r="AS83" s="35">
        <f t="shared" si="22"/>
        <v>350</v>
      </c>
      <c r="AT83" s="6">
        <v>1169</v>
      </c>
      <c r="AU83" s="6"/>
      <c r="AV83" s="35">
        <f t="shared" si="23"/>
        <v>352</v>
      </c>
      <c r="AW83" s="6">
        <v>1533</v>
      </c>
      <c r="AX83" s="6"/>
      <c r="AY83" s="6">
        <f t="shared" si="24"/>
        <v>364</v>
      </c>
      <c r="AZ83" s="6">
        <v>54</v>
      </c>
      <c r="BA83" s="107">
        <v>1560</v>
      </c>
      <c r="BB83" s="6">
        <f t="shared" si="25"/>
        <v>81</v>
      </c>
      <c r="BC83" s="6"/>
      <c r="BD83" s="6"/>
      <c r="BE83" s="6"/>
      <c r="BF83" s="6"/>
      <c r="BG83" s="6"/>
      <c r="BH83" s="35"/>
      <c r="BI83" s="6"/>
      <c r="BJ83" s="6"/>
      <c r="BK83" s="6"/>
      <c r="BL83" s="6"/>
      <c r="BM83" s="6"/>
      <c r="BN83" s="35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429</v>
      </c>
      <c r="CH83" s="6"/>
      <c r="CI83" s="6">
        <f t="shared" si="26"/>
        <v>375</v>
      </c>
      <c r="CJ83" s="6">
        <v>787</v>
      </c>
      <c r="CK83" s="6"/>
      <c r="CL83" s="6">
        <f t="shared" si="27"/>
        <v>358</v>
      </c>
      <c r="CM83" s="6">
        <v>345</v>
      </c>
      <c r="CN83" s="6">
        <v>806</v>
      </c>
      <c r="CO83" s="6">
        <f t="shared" si="28"/>
        <v>364</v>
      </c>
      <c r="CP83" s="6">
        <v>12</v>
      </c>
      <c r="CQ83" s="6">
        <v>685</v>
      </c>
      <c r="CR83" s="6">
        <f t="shared" si="29"/>
        <v>352</v>
      </c>
      <c r="CS83" s="6">
        <v>0</v>
      </c>
      <c r="CT83" s="6">
        <v>181</v>
      </c>
      <c r="CU83" s="6">
        <f t="shared" si="30"/>
        <v>169</v>
      </c>
      <c r="CV83" s="6">
        <v>300</v>
      </c>
      <c r="CW83" s="6"/>
      <c r="CX83" s="6">
        <f t="shared" si="31"/>
        <v>300</v>
      </c>
    </row>
    <row r="84" spans="1:102">
      <c r="A84" s="6">
        <v>80</v>
      </c>
      <c r="B84" s="6">
        <v>1383</v>
      </c>
      <c r="C84" s="6"/>
      <c r="D84" s="6">
        <v>346</v>
      </c>
      <c r="E84" s="169" t="s">
        <v>37</v>
      </c>
      <c r="F84" s="169" t="s">
        <v>37</v>
      </c>
      <c r="G84" s="169" t="s">
        <v>37</v>
      </c>
      <c r="H84" s="169" t="s">
        <v>37</v>
      </c>
      <c r="I84" s="169" t="s">
        <v>37</v>
      </c>
      <c r="J84" s="169" t="s">
        <v>37</v>
      </c>
      <c r="K84" s="169" t="s">
        <v>37</v>
      </c>
      <c r="L84" s="169" t="s">
        <v>37</v>
      </c>
      <c r="M84" s="169" t="s">
        <v>37</v>
      </c>
      <c r="N84" s="169" t="s">
        <v>37</v>
      </c>
      <c r="O84" s="169" t="s">
        <v>37</v>
      </c>
      <c r="P84" s="169" t="s">
        <v>37</v>
      </c>
      <c r="Q84" s="169" t="s">
        <v>37</v>
      </c>
      <c r="R84" s="169" t="s">
        <v>37</v>
      </c>
      <c r="S84" s="169" t="s">
        <v>37</v>
      </c>
      <c r="T84" s="169" t="s">
        <v>37</v>
      </c>
      <c r="U84" s="169" t="s">
        <v>37</v>
      </c>
      <c r="V84" s="6">
        <v>226</v>
      </c>
      <c r="W84" s="6">
        <v>1560</v>
      </c>
      <c r="X84" s="35">
        <f t="shared" si="16"/>
        <v>403</v>
      </c>
      <c r="Y84" s="35">
        <v>571</v>
      </c>
      <c r="Z84" s="35"/>
      <c r="AA84" s="35">
        <f t="shared" si="17"/>
        <v>345</v>
      </c>
      <c r="AB84" s="6">
        <v>782</v>
      </c>
      <c r="AC84" s="6"/>
      <c r="AD84" s="35">
        <f t="shared" si="18"/>
        <v>211</v>
      </c>
      <c r="AE84" s="6">
        <v>1042</v>
      </c>
      <c r="AF84" s="6"/>
      <c r="AG84" s="34">
        <f t="shared" si="19"/>
        <v>260</v>
      </c>
      <c r="AH84" s="35">
        <v>363</v>
      </c>
      <c r="AI84" s="35">
        <v>1043</v>
      </c>
      <c r="AJ84" s="35">
        <f t="shared" si="20"/>
        <v>364</v>
      </c>
      <c r="AK84" s="6">
        <v>714</v>
      </c>
      <c r="AL84" s="6"/>
      <c r="AM84" s="35">
        <f t="shared" si="21"/>
        <v>351</v>
      </c>
      <c r="AN84" s="6"/>
      <c r="AO84" s="6"/>
      <c r="AP84" s="35"/>
      <c r="AQ84" s="35">
        <v>1089</v>
      </c>
      <c r="AR84" s="35"/>
      <c r="AS84" s="35">
        <f t="shared" si="22"/>
        <v>375</v>
      </c>
      <c r="AT84" s="6">
        <v>1464</v>
      </c>
      <c r="AU84" s="6"/>
      <c r="AV84" s="35">
        <f t="shared" si="23"/>
        <v>375</v>
      </c>
      <c r="AW84" s="6">
        <v>277</v>
      </c>
      <c r="AX84" s="6">
        <v>1560</v>
      </c>
      <c r="AY84" s="6">
        <f t="shared" si="24"/>
        <v>373</v>
      </c>
      <c r="AZ84" s="6">
        <v>362</v>
      </c>
      <c r="BA84" s="107"/>
      <c r="BB84" s="6">
        <f t="shared" si="25"/>
        <v>85</v>
      </c>
      <c r="BC84" s="6"/>
      <c r="BD84" s="6"/>
      <c r="BE84" s="6"/>
      <c r="BF84" s="6"/>
      <c r="BG84" s="6"/>
      <c r="BH84" s="35"/>
      <c r="BI84" s="6"/>
      <c r="BJ84" s="6"/>
      <c r="BK84" s="6"/>
      <c r="BL84" s="6"/>
      <c r="BM84" s="6"/>
      <c r="BN84" s="35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734</v>
      </c>
      <c r="CH84" s="6"/>
      <c r="CI84" s="6">
        <f t="shared" si="26"/>
        <v>372</v>
      </c>
      <c r="CJ84" s="6">
        <v>1111</v>
      </c>
      <c r="CK84" s="6"/>
      <c r="CL84" s="6">
        <f t="shared" si="27"/>
        <v>377</v>
      </c>
      <c r="CM84" s="6">
        <v>1489</v>
      </c>
      <c r="CN84" s="6"/>
      <c r="CO84" s="6">
        <f t="shared" si="28"/>
        <v>378</v>
      </c>
      <c r="CP84" s="6">
        <v>302</v>
      </c>
      <c r="CQ84" s="6">
        <v>1560</v>
      </c>
      <c r="CR84" s="6">
        <f t="shared" si="29"/>
        <v>373</v>
      </c>
      <c r="CS84" s="6">
        <v>676</v>
      </c>
      <c r="CT84" s="6"/>
      <c r="CU84" s="6">
        <f t="shared" si="30"/>
        <v>374</v>
      </c>
      <c r="CV84" s="6">
        <v>991</v>
      </c>
      <c r="CW84" s="6"/>
      <c r="CX84" s="6">
        <f t="shared" si="31"/>
        <v>315</v>
      </c>
    </row>
    <row r="85" spans="1:102">
      <c r="A85" s="6">
        <v>81</v>
      </c>
      <c r="B85" s="6">
        <v>1337</v>
      </c>
      <c r="C85" s="6"/>
      <c r="D85" s="6">
        <v>330</v>
      </c>
      <c r="E85" s="33" t="s">
        <v>37</v>
      </c>
      <c r="F85" s="33" t="s">
        <v>37</v>
      </c>
      <c r="G85" s="33" t="s">
        <v>37</v>
      </c>
      <c r="H85" s="33" t="s">
        <v>37</v>
      </c>
      <c r="I85" s="33" t="s">
        <v>37</v>
      </c>
      <c r="J85" s="33" t="s">
        <v>37</v>
      </c>
      <c r="K85" s="33" t="s">
        <v>37</v>
      </c>
      <c r="L85" s="33" t="s">
        <v>37</v>
      </c>
      <c r="M85" s="33" t="s">
        <v>37</v>
      </c>
      <c r="N85" s="33" t="s">
        <v>37</v>
      </c>
      <c r="O85" s="33" t="s">
        <v>37</v>
      </c>
      <c r="P85" s="33" t="s">
        <v>37</v>
      </c>
      <c r="Q85" s="33" t="s">
        <v>37</v>
      </c>
      <c r="R85" s="33" t="s">
        <v>37</v>
      </c>
      <c r="S85" s="33" t="s">
        <v>37</v>
      </c>
      <c r="T85" s="33" t="s">
        <v>37</v>
      </c>
      <c r="U85" s="33" t="s">
        <v>37</v>
      </c>
      <c r="V85" s="35">
        <v>157</v>
      </c>
      <c r="W85" s="35">
        <v>1560</v>
      </c>
      <c r="X85" s="35">
        <f t="shared" si="16"/>
        <v>380</v>
      </c>
      <c r="Y85" s="35">
        <v>513</v>
      </c>
      <c r="Z85" s="35"/>
      <c r="AA85" s="35">
        <f t="shared" si="17"/>
        <v>356</v>
      </c>
      <c r="AB85" s="35">
        <v>117</v>
      </c>
      <c r="AC85" s="35">
        <v>573</v>
      </c>
      <c r="AD85" s="35">
        <f t="shared" si="18"/>
        <v>177</v>
      </c>
      <c r="AE85" s="35">
        <v>356</v>
      </c>
      <c r="AF85" s="35"/>
      <c r="AG85" s="34">
        <f t="shared" si="19"/>
        <v>239</v>
      </c>
      <c r="AH85" s="35">
        <v>721</v>
      </c>
      <c r="AI85" s="35"/>
      <c r="AJ85" s="35">
        <f t="shared" si="20"/>
        <v>365</v>
      </c>
      <c r="AK85" s="6">
        <v>1083</v>
      </c>
      <c r="AL85" s="6"/>
      <c r="AM85" s="35">
        <f t="shared" si="21"/>
        <v>362</v>
      </c>
      <c r="AN85" s="6"/>
      <c r="AO85" s="6"/>
      <c r="AP85" s="35"/>
      <c r="AQ85" s="6">
        <v>1471</v>
      </c>
      <c r="AR85" s="6"/>
      <c r="AS85" s="35">
        <f t="shared" si="22"/>
        <v>388</v>
      </c>
      <c r="AT85" s="6">
        <v>294</v>
      </c>
      <c r="AU85" s="6">
        <v>1560</v>
      </c>
      <c r="AV85" s="35">
        <f t="shared" si="23"/>
        <v>383</v>
      </c>
      <c r="AW85" s="6">
        <v>675</v>
      </c>
      <c r="AX85" s="6"/>
      <c r="AY85" s="6">
        <f t="shared" si="24"/>
        <v>381</v>
      </c>
      <c r="AZ85" s="6">
        <v>761</v>
      </c>
      <c r="BA85" s="35"/>
      <c r="BB85" s="6">
        <f t="shared" si="25"/>
        <v>86</v>
      </c>
      <c r="BC85" s="6"/>
      <c r="BD85" s="6"/>
      <c r="BE85" s="6"/>
      <c r="BF85" s="6"/>
      <c r="BG85" s="6"/>
      <c r="BH85" s="35"/>
      <c r="BI85" s="6"/>
      <c r="BJ85" s="6"/>
      <c r="BK85" s="6"/>
      <c r="BL85" s="6"/>
      <c r="BM85" s="6"/>
      <c r="BN85" s="35"/>
      <c r="BO85" s="6"/>
      <c r="BP85" s="35"/>
      <c r="BQ85" s="6"/>
      <c r="BR85" s="6"/>
      <c r="BS85" s="6"/>
      <c r="BT85" s="35"/>
      <c r="BU85" s="6"/>
      <c r="BV85" s="35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1057</v>
      </c>
      <c r="CH85" s="6"/>
      <c r="CI85" s="6">
        <f t="shared" si="26"/>
        <v>296</v>
      </c>
      <c r="CJ85" s="6">
        <v>171</v>
      </c>
      <c r="CK85" s="6">
        <v>1279</v>
      </c>
      <c r="CL85" s="6">
        <f t="shared" si="27"/>
        <v>393</v>
      </c>
      <c r="CM85" s="6">
        <v>284</v>
      </c>
      <c r="CN85" s="6">
        <v>274</v>
      </c>
      <c r="CO85" s="6">
        <f t="shared" si="28"/>
        <v>387</v>
      </c>
      <c r="CP85" s="6">
        <v>682</v>
      </c>
      <c r="CQ85" s="6"/>
      <c r="CR85" s="6">
        <f t="shared" si="29"/>
        <v>398</v>
      </c>
      <c r="CS85" s="6">
        <v>1077</v>
      </c>
      <c r="CT85" s="6"/>
      <c r="CU85" s="6">
        <f t="shared" si="30"/>
        <v>395</v>
      </c>
      <c r="CV85" s="6">
        <v>1404</v>
      </c>
      <c r="CW85" s="6"/>
      <c r="CX85" s="6">
        <f t="shared" si="31"/>
        <v>327</v>
      </c>
    </row>
    <row r="86" spans="1:102">
      <c r="A86" s="6">
        <v>82</v>
      </c>
      <c r="B86" s="6">
        <v>1015</v>
      </c>
      <c r="C86" s="6"/>
      <c r="D86" s="6">
        <v>323</v>
      </c>
      <c r="E86" s="33" t="s">
        <v>69</v>
      </c>
      <c r="F86" s="33" t="s">
        <v>69</v>
      </c>
      <c r="G86" s="33" t="s">
        <v>69</v>
      </c>
      <c r="H86" s="33" t="s">
        <v>69</v>
      </c>
      <c r="I86" s="33" t="s">
        <v>69</v>
      </c>
      <c r="J86" s="33" t="s">
        <v>69</v>
      </c>
      <c r="K86" s="33" t="s">
        <v>69</v>
      </c>
      <c r="L86" s="33" t="s">
        <v>69</v>
      </c>
      <c r="M86" s="33" t="s">
        <v>69</v>
      </c>
      <c r="N86" s="33" t="s">
        <v>69</v>
      </c>
      <c r="O86" s="33" t="s">
        <v>69</v>
      </c>
      <c r="P86" s="33" t="s">
        <v>69</v>
      </c>
      <c r="Q86" s="33" t="s">
        <v>69</v>
      </c>
      <c r="R86" s="148" t="s">
        <v>37</v>
      </c>
      <c r="S86" s="33" t="s">
        <v>37</v>
      </c>
      <c r="T86" s="33" t="s">
        <v>37</v>
      </c>
      <c r="U86" s="33" t="s">
        <v>37</v>
      </c>
      <c r="V86" s="6">
        <v>1388</v>
      </c>
      <c r="W86" s="6"/>
      <c r="X86" s="35">
        <f t="shared" si="16"/>
        <v>373</v>
      </c>
      <c r="Y86" s="35">
        <v>180</v>
      </c>
      <c r="Z86" s="35">
        <v>1560</v>
      </c>
      <c r="AA86" s="35">
        <f t="shared" si="17"/>
        <v>352</v>
      </c>
      <c r="AB86" s="6">
        <v>383</v>
      </c>
      <c r="AC86" s="6"/>
      <c r="AD86" s="35">
        <f t="shared" si="18"/>
        <v>203</v>
      </c>
      <c r="AE86" s="6">
        <v>625</v>
      </c>
      <c r="AF86" s="6"/>
      <c r="AG86" s="34">
        <f t="shared" si="19"/>
        <v>242</v>
      </c>
      <c r="AH86" s="35">
        <v>988</v>
      </c>
      <c r="AI86" s="35"/>
      <c r="AJ86" s="35">
        <f t="shared" si="20"/>
        <v>363</v>
      </c>
      <c r="AK86" s="6">
        <v>1327</v>
      </c>
      <c r="AL86" s="6"/>
      <c r="AM86" s="35">
        <f t="shared" si="21"/>
        <v>339</v>
      </c>
      <c r="AN86" s="6"/>
      <c r="AO86" s="6"/>
      <c r="AP86" s="35"/>
      <c r="AQ86" s="35">
        <v>128</v>
      </c>
      <c r="AR86" s="35">
        <v>1560</v>
      </c>
      <c r="AS86" s="35">
        <f t="shared" si="22"/>
        <v>361</v>
      </c>
      <c r="AT86" s="6">
        <v>467</v>
      </c>
      <c r="AU86" s="6"/>
      <c r="AV86" s="35">
        <f t="shared" si="23"/>
        <v>339</v>
      </c>
      <c r="AW86" s="6">
        <v>830</v>
      </c>
      <c r="AX86" s="6"/>
      <c r="AY86" s="6">
        <f t="shared" si="24"/>
        <v>363</v>
      </c>
      <c r="AZ86" s="6">
        <v>925</v>
      </c>
      <c r="BA86" s="6"/>
      <c r="BB86" s="6">
        <f t="shared" si="25"/>
        <v>95</v>
      </c>
      <c r="BC86" s="6"/>
      <c r="BD86" s="6"/>
      <c r="BE86" s="6"/>
      <c r="BF86" s="6"/>
      <c r="BG86" s="6"/>
      <c r="BH86" s="35"/>
      <c r="BI86" s="6"/>
      <c r="BJ86" s="6"/>
      <c r="BK86" s="6"/>
      <c r="BL86" s="6"/>
      <c r="BM86" s="6"/>
      <c r="BN86" s="35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1294</v>
      </c>
      <c r="CH86" s="6"/>
      <c r="CI86" s="6">
        <f t="shared" si="26"/>
        <v>369</v>
      </c>
      <c r="CJ86" s="6">
        <v>0</v>
      </c>
      <c r="CK86" s="6">
        <v>1579</v>
      </c>
      <c r="CL86" s="6">
        <f t="shared" si="27"/>
        <v>285</v>
      </c>
      <c r="CM86" s="6">
        <v>344</v>
      </c>
      <c r="CN86" s="6"/>
      <c r="CO86" s="6">
        <f t="shared" si="28"/>
        <v>344</v>
      </c>
      <c r="CP86" s="6">
        <v>684</v>
      </c>
      <c r="CQ86" s="6"/>
      <c r="CR86" s="6">
        <f t="shared" si="29"/>
        <v>340</v>
      </c>
      <c r="CS86" s="6">
        <v>1045</v>
      </c>
      <c r="CT86" s="6"/>
      <c r="CU86" s="6">
        <f t="shared" si="30"/>
        <v>361</v>
      </c>
      <c r="CV86" s="6">
        <v>1363</v>
      </c>
      <c r="CW86" s="6"/>
      <c r="CX86" s="6">
        <f t="shared" si="31"/>
        <v>318</v>
      </c>
    </row>
    <row r="87" spans="1:102">
      <c r="A87" s="6">
        <v>83</v>
      </c>
      <c r="B87" s="6">
        <v>856</v>
      </c>
      <c r="C87" s="6"/>
      <c r="D87" s="6">
        <v>335</v>
      </c>
      <c r="E87" s="33" t="s">
        <v>128</v>
      </c>
      <c r="F87" s="33" t="s">
        <v>128</v>
      </c>
      <c r="G87" s="33" t="s">
        <v>128</v>
      </c>
      <c r="H87" s="33" t="s">
        <v>128</v>
      </c>
      <c r="I87" s="33" t="s">
        <v>128</v>
      </c>
      <c r="J87" s="33" t="s">
        <v>128</v>
      </c>
      <c r="K87" s="33" t="s">
        <v>128</v>
      </c>
      <c r="L87" s="33" t="s">
        <v>128</v>
      </c>
      <c r="M87" s="33" t="s">
        <v>128</v>
      </c>
      <c r="N87" s="33" t="s">
        <v>128</v>
      </c>
      <c r="O87" s="33" t="s">
        <v>128</v>
      </c>
      <c r="P87" s="33" t="s">
        <v>128</v>
      </c>
      <c r="Q87" s="33" t="s">
        <v>128</v>
      </c>
      <c r="R87" s="148" t="s">
        <v>37</v>
      </c>
      <c r="S87" s="33" t="s">
        <v>37</v>
      </c>
      <c r="T87" s="33" t="s">
        <v>37</v>
      </c>
      <c r="U87" s="33" t="s">
        <v>37</v>
      </c>
      <c r="V87" s="6">
        <v>1244</v>
      </c>
      <c r="W87" s="6"/>
      <c r="X87" s="35">
        <f t="shared" si="16"/>
        <v>388</v>
      </c>
      <c r="Y87" s="35">
        <v>243</v>
      </c>
      <c r="Z87" s="35">
        <v>1360</v>
      </c>
      <c r="AA87" s="35">
        <f t="shared" si="17"/>
        <v>359</v>
      </c>
      <c r="AB87" s="35">
        <v>418</v>
      </c>
      <c r="AC87" s="6"/>
      <c r="AD87" s="35">
        <f t="shared" si="18"/>
        <v>175</v>
      </c>
      <c r="AE87" s="6">
        <v>658</v>
      </c>
      <c r="AF87" s="6"/>
      <c r="AG87" s="34">
        <f t="shared" si="19"/>
        <v>240</v>
      </c>
      <c r="AH87" s="35">
        <v>1021</v>
      </c>
      <c r="AI87" s="35"/>
      <c r="AJ87" s="35">
        <f t="shared" si="20"/>
        <v>363</v>
      </c>
      <c r="AK87" s="6">
        <v>1360</v>
      </c>
      <c r="AL87" s="6"/>
      <c r="AM87" s="35">
        <f t="shared" si="21"/>
        <v>339</v>
      </c>
      <c r="AN87" s="6"/>
      <c r="AO87" s="6"/>
      <c r="AP87" s="35"/>
      <c r="AQ87" s="35">
        <v>230</v>
      </c>
      <c r="AR87" s="35">
        <v>1502</v>
      </c>
      <c r="AS87" s="35">
        <f t="shared" si="22"/>
        <v>372</v>
      </c>
      <c r="AT87" s="6">
        <v>596</v>
      </c>
      <c r="AU87" s="6"/>
      <c r="AV87" s="35">
        <f t="shared" si="23"/>
        <v>366</v>
      </c>
      <c r="AW87" s="6">
        <v>959</v>
      </c>
      <c r="AX87" s="6"/>
      <c r="AY87" s="6">
        <f t="shared" si="24"/>
        <v>363</v>
      </c>
      <c r="AZ87" s="6">
        <v>51</v>
      </c>
      <c r="BA87" s="6">
        <v>1004</v>
      </c>
      <c r="BB87" s="6">
        <f t="shared" si="25"/>
        <v>96</v>
      </c>
      <c r="BC87" s="6"/>
      <c r="BD87" s="6"/>
      <c r="BE87" s="6"/>
      <c r="BF87" s="6"/>
      <c r="BG87" s="6"/>
      <c r="BH87" s="35"/>
      <c r="BI87" s="6"/>
      <c r="BJ87" s="6"/>
      <c r="BK87" s="6"/>
      <c r="BL87" s="6"/>
      <c r="BM87" s="6"/>
      <c r="BN87" s="35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420</v>
      </c>
      <c r="CH87" s="6"/>
      <c r="CI87" s="6">
        <f t="shared" si="26"/>
        <v>369</v>
      </c>
      <c r="CJ87" s="6">
        <v>783</v>
      </c>
      <c r="CK87" s="6"/>
      <c r="CL87" s="6">
        <f t="shared" si="27"/>
        <v>363</v>
      </c>
      <c r="CM87" s="6">
        <v>234</v>
      </c>
      <c r="CN87" s="6">
        <v>900</v>
      </c>
      <c r="CO87" s="6">
        <f t="shared" si="28"/>
        <v>351</v>
      </c>
      <c r="CP87" s="6">
        <v>588</v>
      </c>
      <c r="CQ87" s="6"/>
      <c r="CR87" s="6">
        <f t="shared" si="29"/>
        <v>354</v>
      </c>
      <c r="CS87" s="6">
        <v>947</v>
      </c>
      <c r="CT87" s="6"/>
      <c r="CU87" s="6">
        <f t="shared" si="30"/>
        <v>359</v>
      </c>
      <c r="CV87" s="6">
        <v>1285</v>
      </c>
      <c r="CW87" s="6"/>
      <c r="CX87" s="6">
        <f t="shared" si="31"/>
        <v>338</v>
      </c>
    </row>
    <row r="88" spans="1:102">
      <c r="A88" s="6">
        <v>84</v>
      </c>
      <c r="B88" s="6">
        <v>119</v>
      </c>
      <c r="C88" s="6">
        <v>1560</v>
      </c>
      <c r="D88" s="6">
        <v>334</v>
      </c>
      <c r="E88" s="33" t="s">
        <v>37</v>
      </c>
      <c r="F88" s="33" t="s">
        <v>37</v>
      </c>
      <c r="G88" s="33" t="s">
        <v>37</v>
      </c>
      <c r="H88" s="33" t="s">
        <v>37</v>
      </c>
      <c r="I88" s="33" t="s">
        <v>37</v>
      </c>
      <c r="J88" s="33" t="s">
        <v>37</v>
      </c>
      <c r="K88" s="33" t="s">
        <v>37</v>
      </c>
      <c r="L88" s="33" t="s">
        <v>37</v>
      </c>
      <c r="M88" s="33" t="s">
        <v>37</v>
      </c>
      <c r="N88" s="33" t="s">
        <v>37</v>
      </c>
      <c r="O88" s="33" t="s">
        <v>37</v>
      </c>
      <c r="P88" s="33" t="s">
        <v>37</v>
      </c>
      <c r="Q88" s="33" t="s">
        <v>37</v>
      </c>
      <c r="R88" s="33" t="s">
        <v>37</v>
      </c>
      <c r="S88" s="33" t="s">
        <v>37</v>
      </c>
      <c r="T88" s="33" t="s">
        <v>37</v>
      </c>
      <c r="U88" s="33" t="s">
        <v>37</v>
      </c>
      <c r="V88" s="35">
        <v>505</v>
      </c>
      <c r="W88" s="35"/>
      <c r="X88" s="35">
        <f t="shared" si="16"/>
        <v>386</v>
      </c>
      <c r="Y88" s="35">
        <v>863</v>
      </c>
      <c r="Z88" s="35"/>
      <c r="AA88" s="35">
        <f t="shared" si="17"/>
        <v>358</v>
      </c>
      <c r="AB88" s="35">
        <v>1044</v>
      </c>
      <c r="AC88" s="35"/>
      <c r="AD88" s="35">
        <f t="shared" si="18"/>
        <v>181</v>
      </c>
      <c r="AE88" s="6">
        <v>244</v>
      </c>
      <c r="AF88" s="6">
        <v>1046</v>
      </c>
      <c r="AG88" s="34">
        <f t="shared" si="19"/>
        <v>246</v>
      </c>
      <c r="AH88" s="35">
        <v>611</v>
      </c>
      <c r="AI88" s="35"/>
      <c r="AJ88" s="35">
        <f t="shared" si="20"/>
        <v>367</v>
      </c>
      <c r="AK88" s="6">
        <v>961</v>
      </c>
      <c r="AL88" s="6"/>
      <c r="AM88" s="35">
        <f t="shared" si="21"/>
        <v>350</v>
      </c>
      <c r="AN88" s="6"/>
      <c r="AO88" s="6"/>
      <c r="AP88" s="35"/>
      <c r="AQ88" s="6">
        <v>1335</v>
      </c>
      <c r="AR88" s="6"/>
      <c r="AS88" s="35">
        <f t="shared" si="22"/>
        <v>374</v>
      </c>
      <c r="AT88" s="6">
        <v>157</v>
      </c>
      <c r="AU88" s="6">
        <v>1539</v>
      </c>
      <c r="AV88" s="35">
        <f t="shared" si="23"/>
        <v>361</v>
      </c>
      <c r="AW88" s="6">
        <v>526</v>
      </c>
      <c r="AX88" s="6"/>
      <c r="AY88" s="6">
        <f t="shared" si="24"/>
        <v>369</v>
      </c>
      <c r="AZ88" s="6">
        <v>609</v>
      </c>
      <c r="BA88" s="35"/>
      <c r="BB88" s="6">
        <f t="shared" si="25"/>
        <v>83</v>
      </c>
      <c r="BC88" s="6"/>
      <c r="BD88" s="6"/>
      <c r="BE88" s="6"/>
      <c r="BF88" s="6"/>
      <c r="BG88" s="6"/>
      <c r="BH88" s="35"/>
      <c r="BI88" s="6"/>
      <c r="BJ88" s="6"/>
      <c r="BK88" s="6"/>
      <c r="BL88" s="6"/>
      <c r="BM88" s="6"/>
      <c r="BN88" s="35"/>
      <c r="BO88" s="6"/>
      <c r="BP88" s="35"/>
      <c r="BQ88" s="6"/>
      <c r="BR88" s="6"/>
      <c r="BS88" s="6"/>
      <c r="BT88" s="35"/>
      <c r="BU88" s="6"/>
      <c r="BV88" s="35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970</v>
      </c>
      <c r="CH88" s="6"/>
      <c r="CI88" s="6">
        <f t="shared" si="26"/>
        <v>361</v>
      </c>
      <c r="CJ88" s="6">
        <v>1339</v>
      </c>
      <c r="CK88" s="6"/>
      <c r="CL88" s="6">
        <f t="shared" si="27"/>
        <v>369</v>
      </c>
      <c r="CM88" s="6">
        <v>150</v>
      </c>
      <c r="CN88" s="6">
        <v>1560</v>
      </c>
      <c r="CO88" s="6">
        <f t="shared" si="28"/>
        <v>371</v>
      </c>
      <c r="CP88" s="6">
        <v>517</v>
      </c>
      <c r="CQ88" s="6"/>
      <c r="CR88" s="6">
        <f t="shared" si="29"/>
        <v>367</v>
      </c>
      <c r="CS88" s="6">
        <v>883</v>
      </c>
      <c r="CT88" s="6"/>
      <c r="CU88" s="6">
        <f t="shared" si="30"/>
        <v>366</v>
      </c>
      <c r="CV88" s="6">
        <v>1221</v>
      </c>
      <c r="CW88" s="6"/>
      <c r="CX88" s="6">
        <f t="shared" si="31"/>
        <v>338</v>
      </c>
    </row>
    <row r="89" spans="1:102">
      <c r="A89" s="6">
        <v>85</v>
      </c>
      <c r="B89" s="6">
        <v>759</v>
      </c>
      <c r="C89" s="6"/>
      <c r="D89" s="6">
        <v>316</v>
      </c>
      <c r="E89" s="33" t="s">
        <v>37</v>
      </c>
      <c r="F89" s="33" t="s">
        <v>37</v>
      </c>
      <c r="G89" s="33" t="s">
        <v>37</v>
      </c>
      <c r="H89" s="33" t="s">
        <v>37</v>
      </c>
      <c r="I89" s="33" t="s">
        <v>37</v>
      </c>
      <c r="J89" s="33" t="s">
        <v>37</v>
      </c>
      <c r="K89" s="33" t="s">
        <v>37</v>
      </c>
      <c r="L89" s="33" t="s">
        <v>37</v>
      </c>
      <c r="M89" s="33" t="s">
        <v>37</v>
      </c>
      <c r="N89" s="33" t="s">
        <v>37</v>
      </c>
      <c r="O89" s="33" t="s">
        <v>37</v>
      </c>
      <c r="P89" s="33" t="s">
        <v>37</v>
      </c>
      <c r="Q89" s="33" t="s">
        <v>37</v>
      </c>
      <c r="R89" s="148" t="s">
        <v>37</v>
      </c>
      <c r="S89" s="33" t="s">
        <v>37</v>
      </c>
      <c r="T89" s="33" t="s">
        <v>37</v>
      </c>
      <c r="U89" s="33" t="s">
        <v>37</v>
      </c>
      <c r="V89" s="6">
        <v>1149</v>
      </c>
      <c r="W89" s="6"/>
      <c r="X89" s="35">
        <f t="shared" si="16"/>
        <v>390</v>
      </c>
      <c r="Y89" s="35">
        <v>1509</v>
      </c>
      <c r="Z89" s="35"/>
      <c r="AA89" s="35">
        <f t="shared" si="17"/>
        <v>360</v>
      </c>
      <c r="AB89" s="6">
        <v>154</v>
      </c>
      <c r="AC89" s="6">
        <v>1560</v>
      </c>
      <c r="AD89" s="35">
        <f t="shared" si="18"/>
        <v>205</v>
      </c>
      <c r="AE89" s="6">
        <v>394</v>
      </c>
      <c r="AF89" s="6"/>
      <c r="AG89" s="34">
        <f t="shared" si="19"/>
        <v>240</v>
      </c>
      <c r="AH89" s="35">
        <v>765</v>
      </c>
      <c r="AI89" s="35"/>
      <c r="AJ89" s="35">
        <f t="shared" si="20"/>
        <v>371</v>
      </c>
      <c r="AK89" s="6">
        <v>1116</v>
      </c>
      <c r="AL89" s="6"/>
      <c r="AM89" s="35">
        <f t="shared" si="21"/>
        <v>351</v>
      </c>
      <c r="AN89" s="6"/>
      <c r="AO89" s="6"/>
      <c r="AP89" s="35"/>
      <c r="AQ89" s="35">
        <v>1495</v>
      </c>
      <c r="AR89" s="35"/>
      <c r="AS89" s="35">
        <f t="shared" si="22"/>
        <v>379</v>
      </c>
      <c r="AT89" s="6">
        <v>286</v>
      </c>
      <c r="AU89" s="6">
        <v>1560</v>
      </c>
      <c r="AV89" s="35">
        <f t="shared" si="23"/>
        <v>351</v>
      </c>
      <c r="AW89" s="6">
        <v>657</v>
      </c>
      <c r="AX89" s="6"/>
      <c r="AY89" s="6">
        <f t="shared" si="24"/>
        <v>371</v>
      </c>
      <c r="AZ89" s="6">
        <v>758</v>
      </c>
      <c r="BA89" s="6"/>
      <c r="BB89" s="6">
        <f t="shared" si="25"/>
        <v>101</v>
      </c>
      <c r="BC89" s="6"/>
      <c r="BD89" s="6"/>
      <c r="BE89" s="6"/>
      <c r="BF89" s="6"/>
      <c r="BG89" s="6"/>
      <c r="BH89" s="35"/>
      <c r="BI89" s="6"/>
      <c r="BJ89" s="6"/>
      <c r="BK89" s="6"/>
      <c r="BL89" s="6"/>
      <c r="BM89" s="6"/>
      <c r="BN89" s="35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1139</v>
      </c>
      <c r="CH89" s="6"/>
      <c r="CI89" s="6">
        <f t="shared" si="26"/>
        <v>381</v>
      </c>
      <c r="CJ89" s="6">
        <v>1515</v>
      </c>
      <c r="CK89" s="6"/>
      <c r="CL89" s="6">
        <f t="shared" si="27"/>
        <v>376</v>
      </c>
      <c r="CM89" s="6">
        <v>248</v>
      </c>
      <c r="CN89" s="6">
        <v>1630</v>
      </c>
      <c r="CO89" s="6">
        <f t="shared" si="28"/>
        <v>363</v>
      </c>
      <c r="CP89" s="6">
        <v>618</v>
      </c>
      <c r="CQ89" s="6"/>
      <c r="CR89" s="6">
        <f t="shared" si="29"/>
        <v>370</v>
      </c>
      <c r="CS89" s="6">
        <v>994</v>
      </c>
      <c r="CT89" s="6"/>
      <c r="CU89" s="6">
        <f t="shared" si="30"/>
        <v>376</v>
      </c>
      <c r="CV89" s="6">
        <v>1313</v>
      </c>
      <c r="CW89" s="6"/>
      <c r="CX89" s="6">
        <f t="shared" si="31"/>
        <v>319</v>
      </c>
    </row>
    <row r="90" spans="1:102">
      <c r="A90" s="6">
        <v>86</v>
      </c>
      <c r="B90" s="6">
        <v>432</v>
      </c>
      <c r="C90" s="6"/>
      <c r="D90" s="6">
        <v>332</v>
      </c>
      <c r="E90" s="33" t="s">
        <v>37</v>
      </c>
      <c r="F90" s="33" t="s">
        <v>37</v>
      </c>
      <c r="G90" s="33" t="s">
        <v>37</v>
      </c>
      <c r="H90" s="33" t="s">
        <v>37</v>
      </c>
      <c r="I90" s="33" t="s">
        <v>37</v>
      </c>
      <c r="J90" s="33" t="s">
        <v>37</v>
      </c>
      <c r="K90" s="33" t="s">
        <v>37</v>
      </c>
      <c r="L90" s="33" t="s">
        <v>37</v>
      </c>
      <c r="M90" s="33" t="s">
        <v>37</v>
      </c>
      <c r="N90" s="33" t="s">
        <v>37</v>
      </c>
      <c r="O90" s="33" t="s">
        <v>37</v>
      </c>
      <c r="P90" s="33" t="s">
        <v>37</v>
      </c>
      <c r="Q90" s="33" t="s">
        <v>37</v>
      </c>
      <c r="R90" s="33" t="s">
        <v>37</v>
      </c>
      <c r="S90" s="33" t="s">
        <v>37</v>
      </c>
      <c r="T90" s="33" t="s">
        <v>37</v>
      </c>
      <c r="U90" s="33" t="s">
        <v>37</v>
      </c>
      <c r="V90" s="6">
        <v>5</v>
      </c>
      <c r="W90" s="6">
        <f>485+319</f>
        <v>804</v>
      </c>
      <c r="X90" s="35">
        <f t="shared" si="16"/>
        <v>377</v>
      </c>
      <c r="Y90" s="35">
        <v>1</v>
      </c>
      <c r="Z90" s="35">
        <v>342</v>
      </c>
      <c r="AA90" s="35">
        <f t="shared" si="17"/>
        <v>338</v>
      </c>
      <c r="AB90" s="6">
        <v>196</v>
      </c>
      <c r="AC90" s="6"/>
      <c r="AD90" s="35">
        <f t="shared" si="18"/>
        <v>195</v>
      </c>
      <c r="AE90" s="6">
        <v>454</v>
      </c>
      <c r="AF90" s="6"/>
      <c r="AG90" s="34">
        <f t="shared" si="19"/>
        <v>258</v>
      </c>
      <c r="AH90" s="35">
        <v>816</v>
      </c>
      <c r="AI90" s="35"/>
      <c r="AJ90" s="35">
        <f t="shared" si="20"/>
        <v>362</v>
      </c>
      <c r="AK90" s="6">
        <v>1166</v>
      </c>
      <c r="AL90" s="6"/>
      <c r="AM90" s="35">
        <f t="shared" si="21"/>
        <v>350</v>
      </c>
      <c r="AN90" s="6"/>
      <c r="AO90" s="6"/>
      <c r="AP90" s="35"/>
      <c r="AQ90" s="35">
        <v>1541</v>
      </c>
      <c r="AR90" s="35"/>
      <c r="AS90" s="35">
        <f t="shared" si="22"/>
        <v>375</v>
      </c>
      <c r="AT90" s="6">
        <v>354</v>
      </c>
      <c r="AU90" s="6">
        <v>1560</v>
      </c>
      <c r="AV90" s="35">
        <f t="shared" si="23"/>
        <v>373</v>
      </c>
      <c r="AW90" s="6">
        <v>728</v>
      </c>
      <c r="AX90" s="6"/>
      <c r="AY90" s="6">
        <f t="shared" si="24"/>
        <v>374</v>
      </c>
      <c r="AZ90" s="6">
        <v>814</v>
      </c>
      <c r="BA90" s="6"/>
      <c r="BB90" s="6">
        <f t="shared" si="25"/>
        <v>86</v>
      </c>
      <c r="BC90" s="6"/>
      <c r="BD90" s="6"/>
      <c r="BE90" s="6"/>
      <c r="BF90" s="6"/>
      <c r="BG90" s="6"/>
      <c r="BH90" s="35"/>
      <c r="BI90" s="6"/>
      <c r="BJ90" s="6"/>
      <c r="BK90" s="6"/>
      <c r="BL90" s="6"/>
      <c r="BM90" s="6"/>
      <c r="BN90" s="35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1185</v>
      </c>
      <c r="CH90" s="6"/>
      <c r="CI90" s="6">
        <f t="shared" si="26"/>
        <v>371</v>
      </c>
      <c r="CJ90" s="6">
        <v>22</v>
      </c>
      <c r="CK90" s="6">
        <v>1536</v>
      </c>
      <c r="CL90" s="6">
        <f t="shared" si="27"/>
        <v>373</v>
      </c>
      <c r="CM90" s="6">
        <v>399</v>
      </c>
      <c r="CN90" s="6"/>
      <c r="CO90" s="6">
        <f t="shared" si="28"/>
        <v>377</v>
      </c>
      <c r="CP90" s="6">
        <v>766</v>
      </c>
      <c r="CQ90" s="6"/>
      <c r="CR90" s="6">
        <f t="shared" si="29"/>
        <v>367</v>
      </c>
      <c r="CS90" s="6">
        <v>1122</v>
      </c>
      <c r="CT90" s="6"/>
      <c r="CU90" s="6">
        <f t="shared" si="30"/>
        <v>356</v>
      </c>
      <c r="CV90" s="6">
        <v>0</v>
      </c>
      <c r="CW90" s="6">
        <v>1327</v>
      </c>
      <c r="CX90" s="6">
        <f t="shared" si="31"/>
        <v>205</v>
      </c>
    </row>
    <row r="91" spans="1:102">
      <c r="A91" s="6">
        <v>87</v>
      </c>
      <c r="B91" s="6">
        <v>686</v>
      </c>
      <c r="C91" s="6"/>
      <c r="D91" s="6">
        <v>322</v>
      </c>
      <c r="E91" s="33" t="s">
        <v>37</v>
      </c>
      <c r="F91" s="33" t="s">
        <v>37</v>
      </c>
      <c r="G91" s="33" t="s">
        <v>37</v>
      </c>
      <c r="H91" s="33" t="s">
        <v>37</v>
      </c>
      <c r="I91" s="33" t="s">
        <v>37</v>
      </c>
      <c r="J91" s="33" t="s">
        <v>37</v>
      </c>
      <c r="K91" s="33" t="s">
        <v>37</v>
      </c>
      <c r="L91" s="33" t="s">
        <v>37</v>
      </c>
      <c r="M91" s="33" t="s">
        <v>37</v>
      </c>
      <c r="N91" s="33" t="s">
        <v>37</v>
      </c>
      <c r="O91" s="33" t="s">
        <v>37</v>
      </c>
      <c r="P91" s="33" t="s">
        <v>37</v>
      </c>
      <c r="Q91" s="33" t="s">
        <v>37</v>
      </c>
      <c r="R91" s="33" t="s">
        <v>37</v>
      </c>
      <c r="S91" s="148" t="s">
        <v>37</v>
      </c>
      <c r="T91" s="33" t="s">
        <v>37</v>
      </c>
      <c r="U91" s="33" t="s">
        <v>37</v>
      </c>
      <c r="V91" s="6">
        <v>1062</v>
      </c>
      <c r="W91" s="6"/>
      <c r="X91" s="35">
        <f t="shared" si="16"/>
        <v>376</v>
      </c>
      <c r="Y91" s="35">
        <v>1415</v>
      </c>
      <c r="Z91" s="35"/>
      <c r="AA91" s="35">
        <f t="shared" si="17"/>
        <v>353</v>
      </c>
      <c r="AB91" s="6">
        <v>193</v>
      </c>
      <c r="AC91" s="6">
        <v>1417</v>
      </c>
      <c r="AD91" s="35">
        <f t="shared" si="18"/>
        <v>195</v>
      </c>
      <c r="AE91" s="6">
        <v>434</v>
      </c>
      <c r="AF91" s="6"/>
      <c r="AG91" s="34">
        <f t="shared" si="19"/>
        <v>241</v>
      </c>
      <c r="AH91" s="35">
        <v>794</v>
      </c>
      <c r="AI91" s="35"/>
      <c r="AJ91" s="35">
        <f t="shared" si="20"/>
        <v>360</v>
      </c>
      <c r="AK91" s="6">
        <v>1146</v>
      </c>
      <c r="AL91" s="6"/>
      <c r="AM91" s="35">
        <f t="shared" si="21"/>
        <v>352</v>
      </c>
      <c r="AN91" s="6"/>
      <c r="AO91" s="6"/>
      <c r="AP91" s="35"/>
      <c r="AQ91" s="35">
        <v>1516</v>
      </c>
      <c r="AR91" s="35"/>
      <c r="AS91" s="35">
        <f t="shared" si="22"/>
        <v>370</v>
      </c>
      <c r="AT91" s="6">
        <v>323</v>
      </c>
      <c r="AU91" s="6">
        <v>1560</v>
      </c>
      <c r="AV91" s="35">
        <f t="shared" si="23"/>
        <v>367</v>
      </c>
      <c r="AW91" s="6">
        <v>694</v>
      </c>
      <c r="AX91" s="6"/>
      <c r="AY91" s="6">
        <f t="shared" si="24"/>
        <v>371</v>
      </c>
      <c r="AZ91" s="6">
        <v>776</v>
      </c>
      <c r="BA91" s="6"/>
      <c r="BB91" s="6">
        <f t="shared" si="25"/>
        <v>82</v>
      </c>
      <c r="BC91" s="6"/>
      <c r="BD91" s="6"/>
      <c r="BE91" s="6"/>
      <c r="BF91" s="6"/>
      <c r="BG91" s="6"/>
      <c r="BH91" s="35"/>
      <c r="BI91" s="6"/>
      <c r="BJ91" s="6"/>
      <c r="BK91" s="6"/>
      <c r="BL91" s="6"/>
      <c r="BM91" s="6"/>
      <c r="BN91" s="35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1146</v>
      </c>
      <c r="CH91" s="6"/>
      <c r="CI91" s="6">
        <f t="shared" si="26"/>
        <v>370</v>
      </c>
      <c r="CJ91" s="6">
        <v>1511</v>
      </c>
      <c r="CK91" s="6"/>
      <c r="CL91" s="6">
        <f t="shared" si="27"/>
        <v>365</v>
      </c>
      <c r="CM91" s="6">
        <v>0</v>
      </c>
      <c r="CN91" s="6">
        <v>1760</v>
      </c>
      <c r="CO91" s="6">
        <f t="shared" si="28"/>
        <v>249</v>
      </c>
      <c r="CP91" s="6">
        <v>329</v>
      </c>
      <c r="CQ91" s="6"/>
      <c r="CR91" s="6">
        <f t="shared" si="29"/>
        <v>329</v>
      </c>
      <c r="CS91" s="6">
        <v>709</v>
      </c>
      <c r="CT91" s="6"/>
      <c r="CU91" s="6">
        <f t="shared" si="30"/>
        <v>380</v>
      </c>
      <c r="CV91" s="6">
        <v>1036</v>
      </c>
      <c r="CW91" s="6"/>
      <c r="CX91" s="6">
        <f t="shared" si="31"/>
        <v>327</v>
      </c>
    </row>
    <row r="92" spans="1:102">
      <c r="A92" s="6">
        <v>88</v>
      </c>
      <c r="B92" s="6">
        <v>1318</v>
      </c>
      <c r="C92" s="6"/>
      <c r="D92" s="6">
        <v>346</v>
      </c>
      <c r="E92" s="33" t="s">
        <v>128</v>
      </c>
      <c r="F92" s="33" t="s">
        <v>128</v>
      </c>
      <c r="G92" s="33" t="s">
        <v>128</v>
      </c>
      <c r="H92" s="33" t="s">
        <v>128</v>
      </c>
      <c r="I92" s="33" t="s">
        <v>128</v>
      </c>
      <c r="J92" s="33" t="s">
        <v>128</v>
      </c>
      <c r="K92" s="33" t="s">
        <v>128</v>
      </c>
      <c r="L92" s="33" t="s">
        <v>128</v>
      </c>
      <c r="M92" s="33" t="s">
        <v>128</v>
      </c>
      <c r="N92" s="33" t="s">
        <v>128</v>
      </c>
      <c r="O92" s="33" t="s">
        <v>128</v>
      </c>
      <c r="P92" s="33" t="s">
        <v>128</v>
      </c>
      <c r="Q92" s="148" t="s">
        <v>37</v>
      </c>
      <c r="R92" s="33" t="s">
        <v>37</v>
      </c>
      <c r="S92" s="33" t="s">
        <v>37</v>
      </c>
      <c r="T92" s="33" t="s">
        <v>37</v>
      </c>
      <c r="U92" s="33" t="s">
        <v>37</v>
      </c>
      <c r="V92" s="6">
        <v>151</v>
      </c>
      <c r="W92" s="6">
        <v>1555</v>
      </c>
      <c r="X92" s="35">
        <f t="shared" si="16"/>
        <v>388</v>
      </c>
      <c r="Y92" s="35">
        <v>525</v>
      </c>
      <c r="Z92" s="35"/>
      <c r="AA92" s="35">
        <f t="shared" si="17"/>
        <v>374</v>
      </c>
      <c r="AB92" s="6">
        <v>727</v>
      </c>
      <c r="AC92" s="6"/>
      <c r="AD92" s="35">
        <f t="shared" si="18"/>
        <v>202</v>
      </c>
      <c r="AE92" s="6">
        <v>987</v>
      </c>
      <c r="AF92" s="6"/>
      <c r="AG92" s="34">
        <f t="shared" si="19"/>
        <v>260</v>
      </c>
      <c r="AH92" s="35">
        <v>1362</v>
      </c>
      <c r="AI92" s="35"/>
      <c r="AJ92" s="35">
        <f t="shared" si="20"/>
        <v>375</v>
      </c>
      <c r="AK92" s="6">
        <v>140</v>
      </c>
      <c r="AL92" s="6">
        <v>1560</v>
      </c>
      <c r="AM92" s="35">
        <f t="shared" si="21"/>
        <v>338</v>
      </c>
      <c r="AN92" s="6"/>
      <c r="AO92" s="6"/>
      <c r="AP92" s="35"/>
      <c r="AQ92" s="35">
        <v>514</v>
      </c>
      <c r="AR92" s="35"/>
      <c r="AS92" s="35">
        <f t="shared" si="22"/>
        <v>374</v>
      </c>
      <c r="AT92" s="6">
        <v>883</v>
      </c>
      <c r="AU92" s="6"/>
      <c r="AV92" s="35">
        <f t="shared" si="23"/>
        <v>369</v>
      </c>
      <c r="AW92" s="6">
        <v>1256</v>
      </c>
      <c r="AX92" s="6"/>
      <c r="AY92" s="6">
        <f t="shared" si="24"/>
        <v>373</v>
      </c>
      <c r="AZ92" s="6">
        <v>1339</v>
      </c>
      <c r="BA92" s="6"/>
      <c r="BB92" s="6">
        <f t="shared" si="25"/>
        <v>83</v>
      </c>
      <c r="BC92" s="6"/>
      <c r="BD92" s="6"/>
      <c r="BE92" s="6"/>
      <c r="BF92" s="6"/>
      <c r="BG92" s="6"/>
      <c r="BH92" s="35"/>
      <c r="BI92" s="6"/>
      <c r="BJ92" s="6"/>
      <c r="BK92" s="6"/>
      <c r="BL92" s="6"/>
      <c r="BM92" s="6"/>
      <c r="BN92" s="35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>
        <v>0</v>
      </c>
      <c r="CH92" s="6">
        <v>1441</v>
      </c>
      <c r="CI92" s="6">
        <f t="shared" si="26"/>
        <v>102</v>
      </c>
      <c r="CJ92" s="6">
        <v>351</v>
      </c>
      <c r="CK92" s="6"/>
      <c r="CL92" s="6">
        <f t="shared" si="27"/>
        <v>351</v>
      </c>
      <c r="CM92" s="6">
        <v>724</v>
      </c>
      <c r="CN92" s="6"/>
      <c r="CO92" s="6">
        <f t="shared" si="28"/>
        <v>373</v>
      </c>
      <c r="CP92" s="6">
        <v>1093</v>
      </c>
      <c r="CQ92" s="6"/>
      <c r="CR92" s="6">
        <f t="shared" si="29"/>
        <v>369</v>
      </c>
      <c r="CS92" s="6">
        <v>1466</v>
      </c>
      <c r="CT92" s="6"/>
      <c r="CU92" s="6">
        <f t="shared" si="30"/>
        <v>373</v>
      </c>
      <c r="CV92" s="6">
        <v>325</v>
      </c>
      <c r="CW92" s="6">
        <v>1470</v>
      </c>
      <c r="CX92" s="6">
        <f t="shared" si="31"/>
        <v>329</v>
      </c>
    </row>
    <row r="93" spans="1:102">
      <c r="A93" s="6">
        <v>89</v>
      </c>
      <c r="B93" s="6">
        <v>1211</v>
      </c>
      <c r="C93" s="6"/>
      <c r="D93" s="6">
        <v>326</v>
      </c>
      <c r="E93" s="33" t="s">
        <v>37</v>
      </c>
      <c r="F93" s="33" t="s">
        <v>37</v>
      </c>
      <c r="G93" s="33" t="s">
        <v>37</v>
      </c>
      <c r="H93" s="33" t="s">
        <v>37</v>
      </c>
      <c r="I93" s="33" t="s">
        <v>37</v>
      </c>
      <c r="J93" s="33" t="s">
        <v>37</v>
      </c>
      <c r="K93" s="33" t="s">
        <v>37</v>
      </c>
      <c r="L93" s="33" t="s">
        <v>37</v>
      </c>
      <c r="M93" s="33" t="s">
        <v>37</v>
      </c>
      <c r="N93" s="33" t="s">
        <v>37</v>
      </c>
      <c r="O93" s="33" t="s">
        <v>37</v>
      </c>
      <c r="P93" s="33" t="s">
        <v>37</v>
      </c>
      <c r="Q93" s="33" t="s">
        <v>37</v>
      </c>
      <c r="R93" s="33" t="s">
        <v>37</v>
      </c>
      <c r="S93" s="33" t="s">
        <v>37</v>
      </c>
      <c r="T93" s="33" t="s">
        <v>37</v>
      </c>
      <c r="U93" s="33" t="s">
        <v>37</v>
      </c>
      <c r="V93" s="6">
        <v>35</v>
      </c>
      <c r="W93" s="6">
        <v>1560</v>
      </c>
      <c r="X93" s="35">
        <f t="shared" si="16"/>
        <v>384</v>
      </c>
      <c r="Y93" s="35">
        <v>380</v>
      </c>
      <c r="Z93" s="35"/>
      <c r="AA93" s="35">
        <f t="shared" si="17"/>
        <v>345</v>
      </c>
      <c r="AB93" s="6">
        <v>96</v>
      </c>
      <c r="AC93" s="6">
        <v>424</v>
      </c>
      <c r="AD93" s="35">
        <f t="shared" si="18"/>
        <v>140</v>
      </c>
      <c r="AE93" s="6">
        <v>334</v>
      </c>
      <c r="AF93" s="6"/>
      <c r="AG93" s="34">
        <f t="shared" si="19"/>
        <v>238</v>
      </c>
      <c r="AH93" s="35">
        <v>699</v>
      </c>
      <c r="AI93" s="35"/>
      <c r="AJ93" s="35">
        <f t="shared" si="20"/>
        <v>365</v>
      </c>
      <c r="AK93" s="6">
        <v>1035</v>
      </c>
      <c r="AL93" s="6"/>
      <c r="AM93" s="35">
        <f t="shared" si="21"/>
        <v>336</v>
      </c>
      <c r="AN93" s="6"/>
      <c r="AO93" s="6"/>
      <c r="AP93" s="35"/>
      <c r="AQ93" s="35">
        <v>1392</v>
      </c>
      <c r="AR93" s="35"/>
      <c r="AS93" s="35">
        <f t="shared" si="22"/>
        <v>357</v>
      </c>
      <c r="AT93" s="6">
        <v>191</v>
      </c>
      <c r="AU93" s="6">
        <v>1560</v>
      </c>
      <c r="AV93" s="35">
        <f t="shared" si="23"/>
        <v>359</v>
      </c>
      <c r="AW93" s="6">
        <v>553</v>
      </c>
      <c r="AX93" s="6"/>
      <c r="AY93" s="6">
        <f t="shared" si="24"/>
        <v>362</v>
      </c>
      <c r="AZ93" s="6">
        <v>637</v>
      </c>
      <c r="BA93" s="6"/>
      <c r="BB93" s="6">
        <f t="shared" si="25"/>
        <v>84</v>
      </c>
      <c r="BC93" s="6"/>
      <c r="BD93" s="6"/>
      <c r="BE93" s="6"/>
      <c r="BF93" s="6"/>
      <c r="BG93" s="6"/>
      <c r="BH93" s="35"/>
      <c r="BI93" s="6"/>
      <c r="BJ93" s="6"/>
      <c r="BK93" s="6"/>
      <c r="BL93" s="6"/>
      <c r="BM93" s="6"/>
      <c r="BN93" s="35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1006</v>
      </c>
      <c r="CH93" s="6"/>
      <c r="CI93" s="6">
        <f t="shared" si="26"/>
        <v>369</v>
      </c>
      <c r="CJ93" s="6">
        <v>1372</v>
      </c>
      <c r="CK93" s="6"/>
      <c r="CL93" s="6">
        <f t="shared" si="27"/>
        <v>366</v>
      </c>
      <c r="CM93" s="6">
        <v>182</v>
      </c>
      <c r="CN93" s="6">
        <v>1560</v>
      </c>
      <c r="CO93" s="6">
        <f t="shared" si="28"/>
        <v>370</v>
      </c>
      <c r="CP93" s="6">
        <v>534</v>
      </c>
      <c r="CQ93" s="6"/>
      <c r="CR93" s="6">
        <f t="shared" si="29"/>
        <v>352</v>
      </c>
      <c r="CS93" s="6">
        <v>893</v>
      </c>
      <c r="CT93" s="6"/>
      <c r="CU93" s="6">
        <f t="shared" si="30"/>
        <v>359</v>
      </c>
      <c r="CV93" s="6">
        <v>0</v>
      </c>
      <c r="CW93" s="6">
        <v>1218</v>
      </c>
      <c r="CX93" s="6">
        <f t="shared" si="31"/>
        <v>325</v>
      </c>
    </row>
    <row r="94" spans="1:102">
      <c r="A94" s="6">
        <v>90</v>
      </c>
      <c r="B94" s="6">
        <v>306</v>
      </c>
      <c r="C94" s="6">
        <v>488</v>
      </c>
      <c r="D94" s="6">
        <v>317</v>
      </c>
      <c r="E94" s="33" t="s">
        <v>128</v>
      </c>
      <c r="F94" s="33" t="s">
        <v>128</v>
      </c>
      <c r="G94" s="33" t="s">
        <v>128</v>
      </c>
      <c r="H94" s="33" t="s">
        <v>128</v>
      </c>
      <c r="I94" s="33" t="s">
        <v>128</v>
      </c>
      <c r="J94" s="33" t="s">
        <v>128</v>
      </c>
      <c r="K94" s="33" t="s">
        <v>128</v>
      </c>
      <c r="L94" s="33" t="s">
        <v>128</v>
      </c>
      <c r="M94" s="33" t="s">
        <v>128</v>
      </c>
      <c r="N94" s="33" t="s">
        <v>128</v>
      </c>
      <c r="O94" s="33" t="s">
        <v>128</v>
      </c>
      <c r="P94" s="33" t="s">
        <v>128</v>
      </c>
      <c r="Q94" s="33" t="s">
        <v>128</v>
      </c>
      <c r="R94" s="33" t="s">
        <v>128</v>
      </c>
      <c r="S94" s="148" t="s">
        <v>37</v>
      </c>
      <c r="T94" s="33" t="s">
        <v>37</v>
      </c>
      <c r="U94" s="33" t="s">
        <v>37</v>
      </c>
      <c r="V94" s="6">
        <v>685</v>
      </c>
      <c r="W94" s="6"/>
      <c r="X94" s="35">
        <f t="shared" si="16"/>
        <v>379</v>
      </c>
      <c r="Y94" s="35">
        <v>1036</v>
      </c>
      <c r="Z94" s="35"/>
      <c r="AA94" s="35">
        <f t="shared" si="17"/>
        <v>351</v>
      </c>
      <c r="AB94" s="6">
        <v>1240</v>
      </c>
      <c r="AC94" s="6"/>
      <c r="AD94" s="35">
        <f t="shared" si="18"/>
        <v>204</v>
      </c>
      <c r="AE94" s="6">
        <v>1485</v>
      </c>
      <c r="AF94" s="6"/>
      <c r="AG94" s="34">
        <f t="shared" si="19"/>
        <v>245</v>
      </c>
      <c r="AH94" s="35">
        <v>285</v>
      </c>
      <c r="AI94" s="35">
        <v>1560</v>
      </c>
      <c r="AJ94" s="35">
        <f t="shared" si="20"/>
        <v>360</v>
      </c>
      <c r="AK94" s="6">
        <v>625</v>
      </c>
      <c r="AL94" s="6"/>
      <c r="AM94" s="35">
        <f t="shared" si="21"/>
        <v>340</v>
      </c>
      <c r="AN94" s="6"/>
      <c r="AO94" s="6"/>
      <c r="AP94" s="35"/>
      <c r="AQ94" s="35">
        <v>993</v>
      </c>
      <c r="AR94" s="35"/>
      <c r="AS94" s="35">
        <f t="shared" si="22"/>
        <v>368</v>
      </c>
      <c r="AT94" s="6">
        <v>1354</v>
      </c>
      <c r="AU94" s="6"/>
      <c r="AV94" s="35">
        <f t="shared" si="23"/>
        <v>361</v>
      </c>
      <c r="AW94" s="6">
        <v>168</v>
      </c>
      <c r="AX94" s="6">
        <v>1552</v>
      </c>
      <c r="AY94" s="6">
        <f t="shared" si="24"/>
        <v>366</v>
      </c>
      <c r="AZ94" s="6">
        <v>265</v>
      </c>
      <c r="BA94" s="6"/>
      <c r="BB94" s="6">
        <f t="shared" si="25"/>
        <v>97</v>
      </c>
      <c r="BC94" s="6"/>
      <c r="BD94" s="6"/>
      <c r="BE94" s="6"/>
      <c r="BF94" s="6"/>
      <c r="BG94" s="6"/>
      <c r="BH94" s="35"/>
      <c r="BI94" s="6"/>
      <c r="BJ94" s="6"/>
      <c r="BK94" s="6"/>
      <c r="BL94" s="6"/>
      <c r="BM94" s="6"/>
      <c r="BN94" s="35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635</v>
      </c>
      <c r="CH94" s="6"/>
      <c r="CI94" s="6">
        <f t="shared" si="26"/>
        <v>370</v>
      </c>
      <c r="CJ94" s="6">
        <v>1000</v>
      </c>
      <c r="CK94" s="6"/>
      <c r="CL94" s="6">
        <f t="shared" si="27"/>
        <v>365</v>
      </c>
      <c r="CM94" s="6">
        <v>0</v>
      </c>
      <c r="CN94" s="6">
        <v>1155</v>
      </c>
      <c r="CO94" s="6">
        <f t="shared" si="28"/>
        <v>155</v>
      </c>
      <c r="CP94" s="6">
        <v>317</v>
      </c>
      <c r="CQ94" s="6"/>
      <c r="CR94" s="6">
        <f t="shared" si="29"/>
        <v>317</v>
      </c>
      <c r="CS94" s="6">
        <v>686</v>
      </c>
      <c r="CT94" s="6"/>
      <c r="CU94" s="6">
        <f t="shared" si="30"/>
        <v>369</v>
      </c>
      <c r="CV94" s="6">
        <v>1023</v>
      </c>
      <c r="CW94" s="6"/>
      <c r="CX94" s="6">
        <f t="shared" si="31"/>
        <v>337</v>
      </c>
    </row>
    <row r="95" spans="1:102">
      <c r="A95" s="6">
        <v>91</v>
      </c>
      <c r="B95" s="6">
        <v>201</v>
      </c>
      <c r="C95" s="6">
        <v>1006</v>
      </c>
      <c r="D95" s="6">
        <v>319</v>
      </c>
      <c r="E95" s="33" t="s">
        <v>37</v>
      </c>
      <c r="F95" s="33" t="s">
        <v>37</v>
      </c>
      <c r="G95" s="33" t="s">
        <v>37</v>
      </c>
      <c r="H95" s="33" t="s">
        <v>37</v>
      </c>
      <c r="I95" s="33" t="s">
        <v>37</v>
      </c>
      <c r="J95" s="33" t="s">
        <v>37</v>
      </c>
      <c r="K95" s="33" t="s">
        <v>37</v>
      </c>
      <c r="L95" s="33" t="s">
        <v>37</v>
      </c>
      <c r="M95" s="33" t="s">
        <v>37</v>
      </c>
      <c r="N95" s="33" t="s">
        <v>37</v>
      </c>
      <c r="O95" s="33" t="s">
        <v>37</v>
      </c>
      <c r="P95" s="33" t="s">
        <v>37</v>
      </c>
      <c r="Q95" s="33" t="s">
        <v>37</v>
      </c>
      <c r="R95" s="33" t="s">
        <v>37</v>
      </c>
      <c r="S95" s="33" t="s">
        <v>37</v>
      </c>
      <c r="T95" s="33" t="s">
        <v>37</v>
      </c>
      <c r="U95" s="33" t="s">
        <v>37</v>
      </c>
      <c r="V95" s="6">
        <v>577</v>
      </c>
      <c r="W95" s="6"/>
      <c r="X95" s="35">
        <f t="shared" si="16"/>
        <v>376</v>
      </c>
      <c r="Y95" s="35">
        <v>935</v>
      </c>
      <c r="Z95" s="35"/>
      <c r="AA95" s="35">
        <f t="shared" si="17"/>
        <v>358</v>
      </c>
      <c r="AB95" s="6">
        <v>1129</v>
      </c>
      <c r="AC95" s="6"/>
      <c r="AD95" s="35">
        <f t="shared" si="18"/>
        <v>194</v>
      </c>
      <c r="AE95" s="6">
        <v>1346</v>
      </c>
      <c r="AF95" s="6"/>
      <c r="AG95" s="34">
        <f t="shared" si="19"/>
        <v>217</v>
      </c>
      <c r="AH95" s="35">
        <v>165</v>
      </c>
      <c r="AI95" s="35">
        <v>1537</v>
      </c>
      <c r="AJ95" s="35">
        <f t="shared" si="20"/>
        <v>356</v>
      </c>
      <c r="AK95" s="6">
        <v>500</v>
      </c>
      <c r="AL95" s="6"/>
      <c r="AM95" s="35">
        <f t="shared" si="21"/>
        <v>335</v>
      </c>
      <c r="AN95" s="6"/>
      <c r="AO95" s="6"/>
      <c r="AP95" s="35"/>
      <c r="AQ95" s="35">
        <v>862</v>
      </c>
      <c r="AR95" s="35"/>
      <c r="AS95" s="35">
        <f t="shared" si="22"/>
        <v>362</v>
      </c>
      <c r="AT95" s="6">
        <v>1226</v>
      </c>
      <c r="AU95" s="6"/>
      <c r="AV95" s="35">
        <f t="shared" si="23"/>
        <v>364</v>
      </c>
      <c r="AW95" s="6">
        <v>134</v>
      </c>
      <c r="AX95" s="6">
        <v>1438</v>
      </c>
      <c r="AY95" s="6">
        <f t="shared" si="24"/>
        <v>346</v>
      </c>
      <c r="AZ95" s="6">
        <v>230</v>
      </c>
      <c r="BA95" s="6"/>
      <c r="BB95" s="6">
        <f t="shared" si="25"/>
        <v>96</v>
      </c>
      <c r="BC95" s="6"/>
      <c r="BD95" s="6"/>
      <c r="BE95" s="6"/>
      <c r="BF95" s="6"/>
      <c r="BG95" s="6"/>
      <c r="BH95" s="35"/>
      <c r="BI95" s="6"/>
      <c r="BJ95" s="6"/>
      <c r="BK95" s="6"/>
      <c r="BL95" s="6"/>
      <c r="BM95" s="6"/>
      <c r="BN95" s="35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28</v>
      </c>
      <c r="CH95" s="6">
        <v>566</v>
      </c>
      <c r="CI95" s="6">
        <f t="shared" si="26"/>
        <v>364</v>
      </c>
      <c r="CJ95" s="6">
        <v>128</v>
      </c>
      <c r="CK95" s="6">
        <v>260</v>
      </c>
      <c r="CL95" s="6">
        <f t="shared" si="27"/>
        <v>360</v>
      </c>
      <c r="CM95" s="6">
        <v>498</v>
      </c>
      <c r="CN95" s="6"/>
      <c r="CO95" s="6">
        <f t="shared" si="28"/>
        <v>370</v>
      </c>
      <c r="CP95" s="6">
        <f>664+86</f>
        <v>750</v>
      </c>
      <c r="CQ95" s="6"/>
      <c r="CR95" s="6">
        <f t="shared" si="29"/>
        <v>252</v>
      </c>
      <c r="CS95" s="6">
        <f>1037+86</f>
        <v>1123</v>
      </c>
      <c r="CT95" s="6"/>
      <c r="CU95" s="6">
        <f t="shared" si="30"/>
        <v>373</v>
      </c>
      <c r="CV95" s="6">
        <f>1364+86</f>
        <v>1450</v>
      </c>
      <c r="CW95" s="6"/>
      <c r="CX95" s="6">
        <f t="shared" si="31"/>
        <v>327</v>
      </c>
    </row>
    <row r="96" spans="1:102" ht="15.75" customHeight="1">
      <c r="A96" s="6">
        <v>92</v>
      </c>
      <c r="B96" s="6">
        <v>1413</v>
      </c>
      <c r="C96" s="6"/>
      <c r="D96" s="6">
        <v>344</v>
      </c>
      <c r="E96" s="199" t="s">
        <v>37</v>
      </c>
      <c r="F96" s="199" t="s">
        <v>37</v>
      </c>
      <c r="G96" s="199" t="s">
        <v>37</v>
      </c>
      <c r="H96" s="199" t="s">
        <v>37</v>
      </c>
      <c r="I96" s="199" t="s">
        <v>37</v>
      </c>
      <c r="J96" s="199" t="s">
        <v>37</v>
      </c>
      <c r="K96" s="199" t="s">
        <v>37</v>
      </c>
      <c r="L96" s="199" t="s">
        <v>37</v>
      </c>
      <c r="M96" s="199" t="s">
        <v>37</v>
      </c>
      <c r="N96" s="199" t="s">
        <v>37</v>
      </c>
      <c r="O96" s="199" t="s">
        <v>37</v>
      </c>
      <c r="P96" s="199" t="s">
        <v>37</v>
      </c>
      <c r="Q96" s="199" t="s">
        <v>37</v>
      </c>
      <c r="R96" s="199" t="s">
        <v>37</v>
      </c>
      <c r="S96" s="199" t="s">
        <v>37</v>
      </c>
      <c r="T96" s="199" t="s">
        <v>37</v>
      </c>
      <c r="U96" s="199" t="s">
        <v>37</v>
      </c>
      <c r="V96" s="6">
        <v>254</v>
      </c>
      <c r="W96" s="6">
        <v>1560</v>
      </c>
      <c r="X96" s="35">
        <f t="shared" si="16"/>
        <v>401</v>
      </c>
      <c r="Y96" s="35">
        <v>620</v>
      </c>
      <c r="Z96" s="35"/>
      <c r="AA96" s="35">
        <f t="shared" si="17"/>
        <v>366</v>
      </c>
      <c r="AB96" s="6">
        <v>832</v>
      </c>
      <c r="AC96" s="6"/>
      <c r="AD96" s="35">
        <f t="shared" si="18"/>
        <v>212</v>
      </c>
      <c r="AE96" s="6">
        <v>1089</v>
      </c>
      <c r="AF96" s="6"/>
      <c r="AG96" s="34">
        <f t="shared" si="19"/>
        <v>257</v>
      </c>
      <c r="AH96" s="35">
        <v>1457</v>
      </c>
      <c r="AI96" s="35"/>
      <c r="AJ96" s="35">
        <f t="shared" si="20"/>
        <v>368</v>
      </c>
      <c r="AK96" s="6">
        <v>241</v>
      </c>
      <c r="AL96" s="6">
        <v>1560</v>
      </c>
      <c r="AM96" s="35">
        <f t="shared" si="21"/>
        <v>344</v>
      </c>
      <c r="AN96" s="6"/>
      <c r="AO96" s="6"/>
      <c r="AP96" s="35"/>
      <c r="AQ96" s="35">
        <v>619</v>
      </c>
      <c r="AR96" s="35"/>
      <c r="AS96" s="35">
        <f t="shared" si="22"/>
        <v>378</v>
      </c>
      <c r="AT96" s="6">
        <v>989</v>
      </c>
      <c r="AU96" s="6"/>
      <c r="AV96" s="35">
        <f t="shared" si="23"/>
        <v>370</v>
      </c>
      <c r="AW96" s="6">
        <v>1352</v>
      </c>
      <c r="AX96" s="6"/>
      <c r="AY96" s="6">
        <f t="shared" si="24"/>
        <v>363</v>
      </c>
      <c r="AZ96" s="6">
        <v>1441</v>
      </c>
      <c r="BA96" s="6"/>
      <c r="BB96" s="6">
        <f t="shared" si="25"/>
        <v>89</v>
      </c>
      <c r="BC96" s="6"/>
      <c r="BD96" s="6"/>
      <c r="BE96" s="6"/>
      <c r="BF96" s="6"/>
      <c r="BG96" s="6"/>
      <c r="BH96" s="35"/>
      <c r="BI96" s="6"/>
      <c r="BJ96" s="6"/>
      <c r="BK96" s="6"/>
      <c r="BL96" s="6"/>
      <c r="BM96" s="6"/>
      <c r="BN96" s="35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258</v>
      </c>
      <c r="CH96" s="6">
        <v>1560</v>
      </c>
      <c r="CI96" s="6">
        <f t="shared" si="26"/>
        <v>377</v>
      </c>
      <c r="CJ96" s="6">
        <v>632</v>
      </c>
      <c r="CK96" s="6"/>
      <c r="CL96" s="6">
        <f t="shared" si="27"/>
        <v>374</v>
      </c>
      <c r="CM96" s="6">
        <v>1004</v>
      </c>
      <c r="CN96" s="6"/>
      <c r="CO96" s="6">
        <f t="shared" si="28"/>
        <v>372</v>
      </c>
      <c r="CP96" s="6">
        <v>1366</v>
      </c>
      <c r="CQ96" s="6"/>
      <c r="CR96" s="6">
        <f t="shared" si="29"/>
        <v>362</v>
      </c>
      <c r="CS96" s="6">
        <v>178</v>
      </c>
      <c r="CT96" s="6">
        <v>1560</v>
      </c>
      <c r="CU96" s="6">
        <f t="shared" si="30"/>
        <v>372</v>
      </c>
      <c r="CV96" s="6">
        <v>499</v>
      </c>
      <c r="CW96" s="6"/>
      <c r="CX96" s="6">
        <f t="shared" si="31"/>
        <v>321</v>
      </c>
    </row>
    <row r="97" spans="1:102">
      <c r="A97" s="6">
        <v>93</v>
      </c>
      <c r="B97" s="6">
        <v>157</v>
      </c>
      <c r="C97" s="6">
        <v>1560</v>
      </c>
      <c r="D97" s="6">
        <v>327</v>
      </c>
      <c r="E97" s="33" t="s">
        <v>69</v>
      </c>
      <c r="F97" s="33" t="s">
        <v>69</v>
      </c>
      <c r="G97" s="33" t="s">
        <v>69</v>
      </c>
      <c r="H97" s="33" t="s">
        <v>69</v>
      </c>
      <c r="I97" s="33" t="s">
        <v>69</v>
      </c>
      <c r="J97" s="33" t="s">
        <v>69</v>
      </c>
      <c r="K97" s="148" t="s">
        <v>37</v>
      </c>
      <c r="L97" s="33" t="s">
        <v>37</v>
      </c>
      <c r="M97" s="33" t="s">
        <v>37</v>
      </c>
      <c r="N97" s="33" t="s">
        <v>37</v>
      </c>
      <c r="O97" s="33" t="s">
        <v>37</v>
      </c>
      <c r="P97" s="33" t="s">
        <v>37</v>
      </c>
      <c r="Q97" s="33" t="s">
        <v>37</v>
      </c>
      <c r="R97" s="33" t="s">
        <v>37</v>
      </c>
      <c r="S97" s="33" t="s">
        <v>37</v>
      </c>
      <c r="T97" s="33" t="s">
        <v>37</v>
      </c>
      <c r="U97" s="148" t="s">
        <v>37</v>
      </c>
      <c r="V97" s="6">
        <v>512</v>
      </c>
      <c r="W97" s="6"/>
      <c r="X97" s="35">
        <f t="shared" si="16"/>
        <v>355</v>
      </c>
      <c r="Y97" s="35">
        <v>860</v>
      </c>
      <c r="Z97" s="35"/>
      <c r="AA97" s="35">
        <f t="shared" si="17"/>
        <v>348</v>
      </c>
      <c r="AB97" s="6">
        <v>1065</v>
      </c>
      <c r="AC97" s="6"/>
      <c r="AD97" s="35">
        <f t="shared" si="18"/>
        <v>205</v>
      </c>
      <c r="AE97" s="6">
        <v>1294</v>
      </c>
      <c r="AF97" s="6"/>
      <c r="AG97" s="34">
        <f t="shared" si="19"/>
        <v>229</v>
      </c>
      <c r="AH97" s="35">
        <v>1653</v>
      </c>
      <c r="AI97" s="35"/>
      <c r="AJ97" s="35">
        <f t="shared" si="20"/>
        <v>359</v>
      </c>
      <c r="AK97" s="6">
        <v>236</v>
      </c>
      <c r="AL97" s="6">
        <v>1737</v>
      </c>
      <c r="AM97" s="35">
        <f t="shared" si="21"/>
        <v>320</v>
      </c>
      <c r="AN97" s="35"/>
      <c r="AO97" s="6"/>
      <c r="AP97" s="35"/>
      <c r="AQ97" s="35">
        <v>604</v>
      </c>
      <c r="AR97" s="35"/>
      <c r="AS97" s="35">
        <f t="shared" si="22"/>
        <v>368</v>
      </c>
      <c r="AT97" s="6">
        <v>967</v>
      </c>
      <c r="AU97" s="6"/>
      <c r="AV97" s="35">
        <f t="shared" si="23"/>
        <v>363</v>
      </c>
      <c r="AW97" s="6">
        <v>1324</v>
      </c>
      <c r="AX97" s="6"/>
      <c r="AY97" s="6">
        <f t="shared" si="24"/>
        <v>357</v>
      </c>
      <c r="AZ97" s="6">
        <v>1408</v>
      </c>
      <c r="BA97" s="6"/>
      <c r="BB97" s="6">
        <f t="shared" si="25"/>
        <v>84</v>
      </c>
      <c r="BC97" s="6"/>
      <c r="BD97" s="6"/>
      <c r="BE97" s="6"/>
      <c r="BF97" s="6"/>
      <c r="BG97" s="6"/>
      <c r="BH97" s="35"/>
      <c r="BI97" s="6"/>
      <c r="BJ97" s="6"/>
      <c r="BK97" s="6"/>
      <c r="BL97" s="6"/>
      <c r="BM97" s="6"/>
      <c r="BN97" s="35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208</v>
      </c>
      <c r="CH97" s="6">
        <v>1561</v>
      </c>
      <c r="CI97" s="6">
        <f t="shared" si="26"/>
        <v>361</v>
      </c>
      <c r="CJ97" s="6">
        <v>571</v>
      </c>
      <c r="CK97" s="6"/>
      <c r="CL97" s="6">
        <f t="shared" si="27"/>
        <v>363</v>
      </c>
      <c r="CM97" s="6">
        <v>929</v>
      </c>
      <c r="CN97" s="6"/>
      <c r="CO97" s="6">
        <f t="shared" si="28"/>
        <v>358</v>
      </c>
      <c r="CP97" s="6">
        <v>1288</v>
      </c>
      <c r="CQ97" s="6"/>
      <c r="CR97" s="6">
        <f t="shared" si="29"/>
        <v>359</v>
      </c>
      <c r="CS97" s="6">
        <v>88</v>
      </c>
      <c r="CT97" s="6">
        <v>1560</v>
      </c>
      <c r="CU97" s="6">
        <f t="shared" si="30"/>
        <v>360</v>
      </c>
      <c r="CV97" s="6">
        <v>220</v>
      </c>
      <c r="CW97" s="6">
        <v>186</v>
      </c>
      <c r="CX97" s="6">
        <f t="shared" si="31"/>
        <v>318</v>
      </c>
    </row>
    <row r="98" spans="1:102">
      <c r="A98" s="6">
        <v>94</v>
      </c>
      <c r="B98" s="6">
        <v>501</v>
      </c>
      <c r="C98" s="6"/>
      <c r="D98" s="6">
        <v>338</v>
      </c>
      <c r="E98" s="33" t="s">
        <v>37</v>
      </c>
      <c r="F98" s="33" t="s">
        <v>37</v>
      </c>
      <c r="G98" s="33" t="s">
        <v>37</v>
      </c>
      <c r="H98" s="33" t="s">
        <v>37</v>
      </c>
      <c r="I98" s="33" t="s">
        <v>37</v>
      </c>
      <c r="J98" s="33" t="s">
        <v>37</v>
      </c>
      <c r="K98" s="148" t="s">
        <v>128</v>
      </c>
      <c r="L98" s="33" t="s">
        <v>128</v>
      </c>
      <c r="M98" s="33" t="s">
        <v>128</v>
      </c>
      <c r="N98" s="33" t="s">
        <v>128</v>
      </c>
      <c r="O98" s="33" t="s">
        <v>128</v>
      </c>
      <c r="P98" s="33" t="s">
        <v>128</v>
      </c>
      <c r="Q98" s="33" t="s">
        <v>128</v>
      </c>
      <c r="R98" s="33" t="s">
        <v>128</v>
      </c>
      <c r="S98" s="33" t="s">
        <v>128</v>
      </c>
      <c r="T98" s="33" t="s">
        <v>128</v>
      </c>
      <c r="U98" s="33" t="s">
        <v>128</v>
      </c>
      <c r="V98" s="6">
        <v>888</v>
      </c>
      <c r="W98" s="6"/>
      <c r="X98" s="35">
        <f t="shared" si="16"/>
        <v>387</v>
      </c>
      <c r="Y98" s="35">
        <v>1252</v>
      </c>
      <c r="Z98" s="35"/>
      <c r="AA98" s="35">
        <f t="shared" si="17"/>
        <v>364</v>
      </c>
      <c r="AB98" s="6">
        <v>131</v>
      </c>
      <c r="AC98" s="6">
        <v>1314</v>
      </c>
      <c r="AD98" s="35">
        <f t="shared" si="18"/>
        <v>193</v>
      </c>
      <c r="AE98" s="6">
        <v>386</v>
      </c>
      <c r="AF98" s="6"/>
      <c r="AG98" s="34">
        <f t="shared" si="19"/>
        <v>255</v>
      </c>
      <c r="AH98" s="35">
        <v>752</v>
      </c>
      <c r="AI98" s="35"/>
      <c r="AJ98" s="35">
        <f t="shared" si="20"/>
        <v>366</v>
      </c>
      <c r="AK98" s="6">
        <v>242</v>
      </c>
      <c r="AL98" s="6">
        <v>834</v>
      </c>
      <c r="AM98" s="35">
        <f t="shared" si="21"/>
        <v>324</v>
      </c>
      <c r="AN98" s="35"/>
      <c r="AO98" s="35"/>
      <c r="AP98" s="35"/>
      <c r="AQ98" s="6">
        <v>613</v>
      </c>
      <c r="AR98" s="6"/>
      <c r="AS98" s="35">
        <f t="shared" si="22"/>
        <v>371</v>
      </c>
      <c r="AT98" s="6">
        <v>980</v>
      </c>
      <c r="AU98" s="6"/>
      <c r="AV98" s="35">
        <f t="shared" si="23"/>
        <v>367</v>
      </c>
      <c r="AW98" s="6">
        <v>311</v>
      </c>
      <c r="AX98" s="6">
        <v>1029</v>
      </c>
      <c r="AY98" s="6">
        <f t="shared" si="24"/>
        <v>360</v>
      </c>
      <c r="AZ98" s="6">
        <v>391</v>
      </c>
      <c r="BA98" s="35"/>
      <c r="BB98" s="6">
        <f t="shared" si="25"/>
        <v>80</v>
      </c>
      <c r="BC98" s="6"/>
      <c r="BD98" s="6"/>
      <c r="BE98" s="6"/>
      <c r="BF98" s="6"/>
      <c r="BG98" s="6"/>
      <c r="BH98" s="35"/>
      <c r="BI98" s="6"/>
      <c r="BJ98" s="6"/>
      <c r="BK98" s="6"/>
      <c r="BL98" s="6"/>
      <c r="BM98" s="6"/>
      <c r="BN98" s="35"/>
      <c r="BO98" s="6"/>
      <c r="BP98" s="35"/>
      <c r="BQ98" s="6"/>
      <c r="BR98" s="6"/>
      <c r="BS98" s="6"/>
      <c r="BT98" s="35"/>
      <c r="BU98" s="6"/>
      <c r="BV98" s="35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742</v>
      </c>
      <c r="CH98" s="6"/>
      <c r="CI98" s="6">
        <f t="shared" si="26"/>
        <v>351</v>
      </c>
      <c r="CJ98" s="6">
        <v>1108</v>
      </c>
      <c r="CK98" s="6"/>
      <c r="CL98" s="6">
        <f t="shared" si="27"/>
        <v>366</v>
      </c>
      <c r="CM98" s="6">
        <v>1478</v>
      </c>
      <c r="CN98" s="6"/>
      <c r="CO98" s="6">
        <f t="shared" si="28"/>
        <v>370</v>
      </c>
      <c r="CP98" s="6">
        <v>345</v>
      </c>
      <c r="CQ98" s="6">
        <v>1489</v>
      </c>
      <c r="CR98" s="6">
        <f t="shared" si="29"/>
        <v>356</v>
      </c>
      <c r="CS98" s="6">
        <v>202</v>
      </c>
      <c r="CT98" s="6">
        <v>498</v>
      </c>
      <c r="CU98" s="6">
        <f t="shared" si="30"/>
        <v>355</v>
      </c>
      <c r="CV98" s="6">
        <v>9</v>
      </c>
      <c r="CW98" s="6">
        <v>518</v>
      </c>
      <c r="CX98" s="6">
        <f t="shared" si="31"/>
        <v>325</v>
      </c>
    </row>
    <row r="99" spans="1:102">
      <c r="A99" s="6">
        <v>95</v>
      </c>
      <c r="B99" s="6">
        <v>863</v>
      </c>
      <c r="C99" s="6"/>
      <c r="D99" s="6">
        <v>335</v>
      </c>
      <c r="E99" s="33" t="s">
        <v>37</v>
      </c>
      <c r="F99" s="33" t="s">
        <v>37</v>
      </c>
      <c r="G99" s="33" t="s">
        <v>37</v>
      </c>
      <c r="H99" s="33" t="s">
        <v>37</v>
      </c>
      <c r="I99" s="33" t="s">
        <v>37</v>
      </c>
      <c r="J99" s="33" t="s">
        <v>37</v>
      </c>
      <c r="K99" s="33" t="s">
        <v>37</v>
      </c>
      <c r="L99" s="33" t="s">
        <v>37</v>
      </c>
      <c r="M99" s="33" t="s">
        <v>37</v>
      </c>
      <c r="N99" s="33" t="s">
        <v>37</v>
      </c>
      <c r="O99" s="33" t="s">
        <v>37</v>
      </c>
      <c r="P99" s="33" t="s">
        <v>37</v>
      </c>
      <c r="Q99" s="33" t="s">
        <v>37</v>
      </c>
      <c r="R99" s="33" t="s">
        <v>37</v>
      </c>
      <c r="S99" s="148" t="s">
        <v>37</v>
      </c>
      <c r="T99" s="33" t="s">
        <v>37</v>
      </c>
      <c r="U99" s="33" t="s">
        <v>37</v>
      </c>
      <c r="V99" s="6">
        <v>18</v>
      </c>
      <c r="W99" s="6">
        <v>1219</v>
      </c>
      <c r="X99" s="35">
        <f t="shared" si="16"/>
        <v>374</v>
      </c>
      <c r="Y99" s="35">
        <v>384</v>
      </c>
      <c r="Z99" s="35"/>
      <c r="AA99" s="35">
        <f t="shared" si="17"/>
        <v>366</v>
      </c>
      <c r="AB99" s="6">
        <v>88</v>
      </c>
      <c r="AC99" s="6">
        <v>502</v>
      </c>
      <c r="AD99" s="35">
        <f t="shared" si="18"/>
        <v>206</v>
      </c>
      <c r="AE99" s="6">
        <v>330</v>
      </c>
      <c r="AF99" s="6"/>
      <c r="AG99" s="34">
        <f t="shared" si="19"/>
        <v>242</v>
      </c>
      <c r="AH99" s="35">
        <v>690</v>
      </c>
      <c r="AI99" s="35"/>
      <c r="AJ99" s="35">
        <f t="shared" si="20"/>
        <v>360</v>
      </c>
      <c r="AK99" s="6">
        <v>1029</v>
      </c>
      <c r="AL99" s="6"/>
      <c r="AM99" s="35">
        <f t="shared" si="21"/>
        <v>339</v>
      </c>
      <c r="AN99" s="6"/>
      <c r="AO99" s="6"/>
      <c r="AP99" s="35"/>
      <c r="AQ99" s="35">
        <v>1397</v>
      </c>
      <c r="AR99" s="35"/>
      <c r="AS99" s="35">
        <f t="shared" si="22"/>
        <v>368</v>
      </c>
      <c r="AT99" s="6">
        <v>200</v>
      </c>
      <c r="AU99" s="6">
        <v>1560</v>
      </c>
      <c r="AV99" s="35">
        <f t="shared" si="23"/>
        <v>363</v>
      </c>
      <c r="AW99" s="6">
        <v>561</v>
      </c>
      <c r="AX99" s="6"/>
      <c r="AY99" s="6">
        <f t="shared" si="24"/>
        <v>361</v>
      </c>
      <c r="AZ99" s="6">
        <v>653</v>
      </c>
      <c r="BA99" s="6"/>
      <c r="BB99" s="6">
        <f t="shared" si="25"/>
        <v>92</v>
      </c>
      <c r="BC99" s="6"/>
      <c r="BD99" s="6"/>
      <c r="BE99" s="6"/>
      <c r="BF99" s="6"/>
      <c r="BG99" s="6"/>
      <c r="BH99" s="35"/>
      <c r="BI99" s="6"/>
      <c r="BJ99" s="6"/>
      <c r="BK99" s="6"/>
      <c r="BL99" s="6"/>
      <c r="BM99" s="6"/>
      <c r="BN99" s="35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>
        <v>1019</v>
      </c>
      <c r="CH99" s="6"/>
      <c r="CI99" s="6">
        <f t="shared" si="26"/>
        <v>366</v>
      </c>
      <c r="CJ99" s="6">
        <v>1383</v>
      </c>
      <c r="CK99" s="6"/>
      <c r="CL99" s="6">
        <f t="shared" si="27"/>
        <v>364</v>
      </c>
      <c r="CM99" s="6">
        <v>0</v>
      </c>
      <c r="CN99" s="6">
        <v>1518</v>
      </c>
      <c r="CO99" s="6">
        <f t="shared" si="28"/>
        <v>135</v>
      </c>
      <c r="CP99" s="6">
        <v>321</v>
      </c>
      <c r="CQ99" s="6"/>
      <c r="CR99" s="6">
        <f t="shared" si="29"/>
        <v>321</v>
      </c>
      <c r="CS99" s="6">
        <v>671</v>
      </c>
      <c r="CT99" s="6"/>
      <c r="CU99" s="6">
        <f t="shared" si="30"/>
        <v>350</v>
      </c>
      <c r="CV99" s="6">
        <v>1003</v>
      </c>
      <c r="CW99" s="6"/>
      <c r="CX99" s="6">
        <f t="shared" si="31"/>
        <v>332</v>
      </c>
    </row>
    <row r="100" spans="1:102">
      <c r="A100" s="6">
        <v>96</v>
      </c>
      <c r="B100" s="6">
        <v>967</v>
      </c>
      <c r="C100" s="6"/>
      <c r="D100" s="6">
        <v>339</v>
      </c>
      <c r="E100" s="33" t="s">
        <v>37</v>
      </c>
      <c r="F100" s="33" t="s">
        <v>37</v>
      </c>
      <c r="G100" s="33" t="s">
        <v>37</v>
      </c>
      <c r="H100" s="33" t="s">
        <v>37</v>
      </c>
      <c r="I100" s="33" t="s">
        <v>37</v>
      </c>
      <c r="J100" s="33" t="s">
        <v>37</v>
      </c>
      <c r="K100" s="33" t="s">
        <v>37</v>
      </c>
      <c r="L100" s="33" t="s">
        <v>37</v>
      </c>
      <c r="M100" s="33" t="s">
        <v>37</v>
      </c>
      <c r="N100" s="33" t="s">
        <v>37</v>
      </c>
      <c r="O100" s="33" t="s">
        <v>37</v>
      </c>
      <c r="P100" s="33" t="s">
        <v>37</v>
      </c>
      <c r="Q100" s="33" t="s">
        <v>37</v>
      </c>
      <c r="R100" s="33" t="s">
        <v>37</v>
      </c>
      <c r="S100" s="33" t="s">
        <v>37</v>
      </c>
      <c r="T100" s="33" t="s">
        <v>37</v>
      </c>
      <c r="U100" s="33" t="s">
        <v>37</v>
      </c>
      <c r="V100" s="6">
        <v>1364</v>
      </c>
      <c r="W100" s="6"/>
      <c r="X100" s="35">
        <f t="shared" si="16"/>
        <v>397</v>
      </c>
      <c r="Y100" s="35">
        <v>161</v>
      </c>
      <c r="Z100" s="35">
        <v>1560</v>
      </c>
      <c r="AA100" s="35">
        <f t="shared" si="17"/>
        <v>357</v>
      </c>
      <c r="AB100" s="6">
        <v>352</v>
      </c>
      <c r="AC100" s="6"/>
      <c r="AD100" s="35">
        <f t="shared" si="18"/>
        <v>191</v>
      </c>
      <c r="AE100" s="6">
        <v>604</v>
      </c>
      <c r="AF100" s="6"/>
      <c r="AG100" s="34">
        <f t="shared" si="19"/>
        <v>252</v>
      </c>
      <c r="AH100" s="35">
        <v>969</v>
      </c>
      <c r="AI100" s="35"/>
      <c r="AJ100" s="35">
        <f t="shared" si="20"/>
        <v>365</v>
      </c>
      <c r="AK100" s="6">
        <v>1303</v>
      </c>
      <c r="AL100" s="6"/>
      <c r="AM100" s="35">
        <f t="shared" si="21"/>
        <v>334</v>
      </c>
      <c r="AN100" s="6"/>
      <c r="AO100" s="6"/>
      <c r="AP100" s="35"/>
      <c r="AQ100" s="35">
        <v>119</v>
      </c>
      <c r="AR100" s="35">
        <v>1560</v>
      </c>
      <c r="AS100" s="35">
        <f t="shared" si="22"/>
        <v>376</v>
      </c>
      <c r="AT100" s="6">
        <v>491</v>
      </c>
      <c r="AU100" s="6"/>
      <c r="AV100" s="35">
        <f t="shared" si="23"/>
        <v>372</v>
      </c>
      <c r="AW100" s="6">
        <v>862</v>
      </c>
      <c r="AX100" s="6"/>
      <c r="AY100" s="6">
        <f t="shared" si="24"/>
        <v>371</v>
      </c>
      <c r="AZ100" s="6">
        <v>931</v>
      </c>
      <c r="BA100" s="6"/>
      <c r="BB100" s="6">
        <f t="shared" si="25"/>
        <v>69</v>
      </c>
      <c r="BC100" s="6"/>
      <c r="BD100" s="6"/>
      <c r="BE100" s="6"/>
      <c r="BF100" s="6"/>
      <c r="BG100" s="6"/>
      <c r="BH100" s="35"/>
      <c r="BI100" s="6"/>
      <c r="BJ100" s="6"/>
      <c r="BK100" s="6"/>
      <c r="BL100" s="6"/>
      <c r="BM100" s="6"/>
      <c r="BN100" s="35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v>1303</v>
      </c>
      <c r="CH100" s="6"/>
      <c r="CI100" s="6">
        <f t="shared" si="26"/>
        <v>372</v>
      </c>
      <c r="CJ100" s="6">
        <v>112</v>
      </c>
      <c r="CK100" s="6">
        <v>1560</v>
      </c>
      <c r="CL100" s="6">
        <f t="shared" si="27"/>
        <v>369</v>
      </c>
      <c r="CM100" s="6">
        <v>465</v>
      </c>
      <c r="CN100" s="6"/>
      <c r="CO100" s="6">
        <f t="shared" si="28"/>
        <v>353</v>
      </c>
      <c r="CP100" s="6">
        <v>829</v>
      </c>
      <c r="CQ100" s="6"/>
      <c r="CR100" s="6">
        <f t="shared" si="29"/>
        <v>364</v>
      </c>
      <c r="CS100" s="6">
        <v>1198</v>
      </c>
      <c r="CT100" s="6"/>
      <c r="CU100" s="6">
        <f t="shared" si="30"/>
        <v>369</v>
      </c>
      <c r="CV100" s="6">
        <v>1525</v>
      </c>
      <c r="CW100" s="6"/>
      <c r="CX100" s="6">
        <f t="shared" si="31"/>
        <v>327</v>
      </c>
    </row>
    <row r="101" spans="1:102">
      <c r="A101" s="6">
        <v>97</v>
      </c>
      <c r="B101" s="6">
        <v>1156</v>
      </c>
      <c r="C101" s="6"/>
      <c r="D101" s="6">
        <v>325</v>
      </c>
      <c r="E101" s="33" t="s">
        <v>37</v>
      </c>
      <c r="F101" s="33" t="s">
        <v>37</v>
      </c>
      <c r="G101" s="33" t="s">
        <v>37</v>
      </c>
      <c r="H101" s="33" t="s">
        <v>37</v>
      </c>
      <c r="I101" s="33" t="s">
        <v>37</v>
      </c>
      <c r="J101" s="33" t="s">
        <v>37</v>
      </c>
      <c r="K101" s="33" t="s">
        <v>37</v>
      </c>
      <c r="L101" s="33" t="s">
        <v>37</v>
      </c>
      <c r="M101" s="33" t="s">
        <v>37</v>
      </c>
      <c r="N101" s="33" t="s">
        <v>37</v>
      </c>
      <c r="O101" s="33" t="s">
        <v>37</v>
      </c>
      <c r="P101" s="33" t="s">
        <v>37</v>
      </c>
      <c r="Q101" s="33" t="s">
        <v>37</v>
      </c>
      <c r="R101" s="33" t="s">
        <v>37</v>
      </c>
      <c r="S101" s="33" t="s">
        <v>37</v>
      </c>
      <c r="T101" s="33" t="s">
        <v>37</v>
      </c>
      <c r="U101" s="33" t="s">
        <v>37</v>
      </c>
      <c r="V101" s="6">
        <v>1546</v>
      </c>
      <c r="W101" s="6"/>
      <c r="X101" s="35">
        <f t="shared" si="16"/>
        <v>390</v>
      </c>
      <c r="Y101" s="35">
        <v>350</v>
      </c>
      <c r="Z101" s="35">
        <v>1560</v>
      </c>
      <c r="AA101" s="35">
        <f t="shared" si="17"/>
        <v>364</v>
      </c>
      <c r="AB101" s="6">
        <v>557</v>
      </c>
      <c r="AC101" s="6"/>
      <c r="AD101" s="35">
        <f t="shared" si="18"/>
        <v>207</v>
      </c>
      <c r="AE101" s="6">
        <v>131</v>
      </c>
      <c r="AF101" s="6">
        <v>662</v>
      </c>
      <c r="AG101" s="34">
        <f t="shared" si="19"/>
        <v>236</v>
      </c>
      <c r="AH101" s="35">
        <v>487</v>
      </c>
      <c r="AI101" s="35"/>
      <c r="AJ101" s="35">
        <f t="shared" si="20"/>
        <v>356</v>
      </c>
      <c r="AK101" s="6">
        <v>825</v>
      </c>
      <c r="AL101" s="6"/>
      <c r="AM101" s="35">
        <f t="shared" si="21"/>
        <v>338</v>
      </c>
      <c r="AN101" s="6"/>
      <c r="AO101" s="6"/>
      <c r="AP101" s="35"/>
      <c r="AQ101" s="35">
        <v>1191</v>
      </c>
      <c r="AR101" s="35"/>
      <c r="AS101" s="35">
        <f t="shared" si="22"/>
        <v>366</v>
      </c>
      <c r="AT101" s="6">
        <v>1554</v>
      </c>
      <c r="AU101" s="6"/>
      <c r="AV101" s="35">
        <f t="shared" si="23"/>
        <v>363</v>
      </c>
      <c r="AW101" s="6">
        <v>354</v>
      </c>
      <c r="AX101" s="6">
        <v>1560</v>
      </c>
      <c r="AY101" s="6">
        <f t="shared" si="24"/>
        <v>360</v>
      </c>
      <c r="AZ101" s="6">
        <v>436</v>
      </c>
      <c r="BA101" s="6"/>
      <c r="BB101" s="6">
        <f t="shared" si="25"/>
        <v>82</v>
      </c>
      <c r="BC101" s="6"/>
      <c r="BD101" s="6"/>
      <c r="BE101" s="6"/>
      <c r="BF101" s="6"/>
      <c r="BG101" s="6"/>
      <c r="BH101" s="35"/>
      <c r="BI101" s="6"/>
      <c r="BJ101" s="6"/>
      <c r="BK101" s="6"/>
      <c r="BL101" s="6"/>
      <c r="BM101" s="6"/>
      <c r="BN101" s="35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>
        <v>801</v>
      </c>
      <c r="CH101" s="6"/>
      <c r="CI101" s="6">
        <f t="shared" si="26"/>
        <v>365</v>
      </c>
      <c r="CJ101" s="6">
        <v>1165</v>
      </c>
      <c r="CK101" s="6"/>
      <c r="CL101" s="6">
        <f t="shared" si="27"/>
        <v>364</v>
      </c>
      <c r="CM101" s="6">
        <v>1528</v>
      </c>
      <c r="CN101" s="6"/>
      <c r="CO101" s="6">
        <f t="shared" si="28"/>
        <v>363</v>
      </c>
      <c r="CP101" s="6">
        <v>313</v>
      </c>
      <c r="CQ101" s="6">
        <v>1565</v>
      </c>
      <c r="CR101" s="6">
        <f t="shared" si="29"/>
        <v>350</v>
      </c>
      <c r="CS101" s="6">
        <v>667</v>
      </c>
      <c r="CT101" s="6"/>
      <c r="CU101" s="6">
        <f t="shared" si="30"/>
        <v>354</v>
      </c>
      <c r="CV101" s="6">
        <v>0</v>
      </c>
      <c r="CW101" s="6">
        <v>942</v>
      </c>
      <c r="CX101" s="6">
        <f t="shared" si="31"/>
        <v>275</v>
      </c>
    </row>
    <row r="102" spans="1:102">
      <c r="A102" s="6">
        <v>98</v>
      </c>
      <c r="B102" s="6">
        <v>1466</v>
      </c>
      <c r="C102" s="6"/>
      <c r="D102" s="6">
        <v>236</v>
      </c>
      <c r="E102" s="33" t="s">
        <v>124</v>
      </c>
      <c r="F102" s="33" t="s">
        <v>124</v>
      </c>
      <c r="G102" s="33" t="s">
        <v>124</v>
      </c>
      <c r="H102" s="33" t="s">
        <v>124</v>
      </c>
      <c r="I102" s="33" t="s">
        <v>124</v>
      </c>
      <c r="J102" s="33" t="s">
        <v>124</v>
      </c>
      <c r="K102" s="33" t="s">
        <v>124</v>
      </c>
      <c r="L102" s="148" t="s">
        <v>128</v>
      </c>
      <c r="M102" s="33" t="s">
        <v>128</v>
      </c>
      <c r="N102" s="33" t="s">
        <v>128</v>
      </c>
      <c r="O102" s="33" t="s">
        <v>128</v>
      </c>
      <c r="P102" s="33" t="s">
        <v>128</v>
      </c>
      <c r="Q102" s="33" t="s">
        <v>128</v>
      </c>
      <c r="R102" s="33" t="s">
        <v>128</v>
      </c>
      <c r="S102" s="33" t="s">
        <v>128</v>
      </c>
      <c r="T102" s="33" t="s">
        <v>128</v>
      </c>
      <c r="U102" s="33" t="s">
        <v>128</v>
      </c>
      <c r="V102" s="35">
        <v>188</v>
      </c>
      <c r="W102" s="35">
        <v>1536</v>
      </c>
      <c r="X102" s="35">
        <f t="shared" si="16"/>
        <v>258</v>
      </c>
      <c r="Y102" s="35">
        <v>364</v>
      </c>
      <c r="Z102" s="35"/>
      <c r="AA102" s="35">
        <f t="shared" si="17"/>
        <v>176</v>
      </c>
      <c r="AB102" s="35">
        <v>501</v>
      </c>
      <c r="AC102" s="35"/>
      <c r="AD102" s="35">
        <f t="shared" si="18"/>
        <v>137</v>
      </c>
      <c r="AE102" s="35">
        <v>680</v>
      </c>
      <c r="AF102" s="35"/>
      <c r="AG102" s="34">
        <f t="shared" si="19"/>
        <v>179</v>
      </c>
      <c r="AH102" s="35">
        <v>940</v>
      </c>
      <c r="AI102" s="35"/>
      <c r="AJ102" s="35">
        <f t="shared" si="20"/>
        <v>260</v>
      </c>
      <c r="AK102" s="6">
        <v>1181</v>
      </c>
      <c r="AL102" s="6"/>
      <c r="AM102" s="35">
        <f t="shared" si="21"/>
        <v>241</v>
      </c>
      <c r="AN102" s="35"/>
      <c r="AO102" s="35"/>
      <c r="AP102" s="35"/>
      <c r="AQ102" s="6">
        <v>278</v>
      </c>
      <c r="AR102" s="6">
        <v>1217</v>
      </c>
      <c r="AS102" s="35">
        <f t="shared" si="22"/>
        <v>314</v>
      </c>
      <c r="AT102" s="35">
        <v>636</v>
      </c>
      <c r="AU102" s="6"/>
      <c r="AV102" s="35">
        <f t="shared" si="23"/>
        <v>358</v>
      </c>
      <c r="AW102" s="6">
        <v>984</v>
      </c>
      <c r="AX102" s="6"/>
      <c r="AY102" s="6">
        <f t="shared" si="24"/>
        <v>348</v>
      </c>
      <c r="AZ102" s="6">
        <v>1062</v>
      </c>
      <c r="BA102" s="35"/>
      <c r="BB102" s="6">
        <f t="shared" si="25"/>
        <v>78</v>
      </c>
      <c r="BC102" s="6"/>
      <c r="BD102" s="6"/>
      <c r="BE102" s="6"/>
      <c r="BF102" s="6"/>
      <c r="BG102" s="6"/>
      <c r="BH102" s="35"/>
      <c r="BI102" s="6"/>
      <c r="BJ102" s="6"/>
      <c r="BK102" s="6"/>
      <c r="BL102" s="6"/>
      <c r="BM102" s="6"/>
      <c r="BN102" s="35"/>
      <c r="BO102" s="6"/>
      <c r="BP102" s="35"/>
      <c r="BQ102" s="6"/>
      <c r="BR102" s="6"/>
      <c r="BS102" s="6"/>
      <c r="BT102" s="35"/>
      <c r="BU102" s="6"/>
      <c r="BV102" s="35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>
        <v>1412</v>
      </c>
      <c r="CH102" s="6"/>
      <c r="CI102" s="6">
        <f t="shared" si="26"/>
        <v>350</v>
      </c>
      <c r="CJ102" s="6">
        <v>200</v>
      </c>
      <c r="CK102" s="6">
        <v>1560</v>
      </c>
      <c r="CL102" s="6">
        <f t="shared" si="27"/>
        <v>348</v>
      </c>
      <c r="CM102" s="6">
        <v>554</v>
      </c>
      <c r="CN102" s="6"/>
      <c r="CO102" s="6">
        <f t="shared" si="28"/>
        <v>354</v>
      </c>
      <c r="CP102" s="6">
        <v>899</v>
      </c>
      <c r="CQ102" s="6"/>
      <c r="CR102" s="6">
        <f t="shared" si="29"/>
        <v>345</v>
      </c>
      <c r="CS102" s="6">
        <v>1250</v>
      </c>
      <c r="CT102" s="6"/>
      <c r="CU102" s="6">
        <f t="shared" si="30"/>
        <v>351</v>
      </c>
      <c r="CV102" s="6">
        <v>26</v>
      </c>
      <c r="CW102" s="6">
        <v>1550</v>
      </c>
      <c r="CX102" s="6">
        <f t="shared" si="31"/>
        <v>326</v>
      </c>
    </row>
    <row r="103" spans="1:102">
      <c r="A103" s="6">
        <v>99</v>
      </c>
      <c r="B103" s="6">
        <v>807</v>
      </c>
      <c r="C103" s="6"/>
      <c r="D103" s="6">
        <v>327</v>
      </c>
      <c r="E103" s="33" t="s">
        <v>37</v>
      </c>
      <c r="F103" s="33" t="s">
        <v>37</v>
      </c>
      <c r="G103" s="33" t="s">
        <v>37</v>
      </c>
      <c r="H103" s="33" t="s">
        <v>37</v>
      </c>
      <c r="I103" s="33" t="s">
        <v>37</v>
      </c>
      <c r="J103" s="33" t="s">
        <v>37</v>
      </c>
      <c r="K103" s="33" t="s">
        <v>37</v>
      </c>
      <c r="L103" s="33" t="s">
        <v>37</v>
      </c>
      <c r="M103" s="33" t="s">
        <v>37</v>
      </c>
      <c r="N103" s="33" t="s">
        <v>37</v>
      </c>
      <c r="O103" s="33" t="s">
        <v>37</v>
      </c>
      <c r="P103" s="33" t="s">
        <v>37</v>
      </c>
      <c r="Q103" s="33" t="s">
        <v>37</v>
      </c>
      <c r="R103" s="33" t="s">
        <v>37</v>
      </c>
      <c r="S103" s="148" t="s">
        <v>37</v>
      </c>
      <c r="T103" s="33" t="s">
        <v>37</v>
      </c>
      <c r="U103" s="33" t="s">
        <v>37</v>
      </c>
      <c r="V103" s="6">
        <v>1187</v>
      </c>
      <c r="W103" s="6"/>
      <c r="X103" s="35">
        <f t="shared" si="16"/>
        <v>380</v>
      </c>
      <c r="Y103" s="35">
        <v>1544</v>
      </c>
      <c r="Z103" s="35"/>
      <c r="AA103" s="35">
        <f t="shared" si="17"/>
        <v>357</v>
      </c>
      <c r="AB103" s="6">
        <v>192</v>
      </c>
      <c r="AC103" s="6">
        <v>1560</v>
      </c>
      <c r="AD103" s="35">
        <f t="shared" si="18"/>
        <v>208</v>
      </c>
      <c r="AE103" s="6">
        <v>431</v>
      </c>
      <c r="AF103" s="6"/>
      <c r="AG103" s="34">
        <f t="shared" si="19"/>
        <v>239</v>
      </c>
      <c r="AH103" s="35">
        <v>782</v>
      </c>
      <c r="AI103" s="35"/>
      <c r="AJ103" s="35">
        <f t="shared" si="20"/>
        <v>351</v>
      </c>
      <c r="AK103" s="6">
        <v>1113</v>
      </c>
      <c r="AL103" s="6"/>
      <c r="AM103" s="35">
        <f t="shared" si="21"/>
        <v>331</v>
      </c>
      <c r="AN103" s="6"/>
      <c r="AO103" s="6"/>
      <c r="AP103" s="35"/>
      <c r="AQ103" s="35">
        <v>1469</v>
      </c>
      <c r="AR103" s="35"/>
      <c r="AS103" s="35">
        <f t="shared" si="22"/>
        <v>356</v>
      </c>
      <c r="AT103" s="6">
        <v>263</v>
      </c>
      <c r="AU103" s="6">
        <v>1560</v>
      </c>
      <c r="AV103" s="35">
        <f t="shared" si="23"/>
        <v>354</v>
      </c>
      <c r="AW103" s="6">
        <v>615</v>
      </c>
      <c r="AX103" s="6"/>
      <c r="AY103" s="6">
        <f t="shared" si="24"/>
        <v>352</v>
      </c>
      <c r="AZ103" s="6">
        <v>692</v>
      </c>
      <c r="BA103" s="6"/>
      <c r="BB103" s="6">
        <f t="shared" si="25"/>
        <v>77</v>
      </c>
      <c r="BC103" s="6"/>
      <c r="BD103" s="6"/>
      <c r="BE103" s="6"/>
      <c r="BF103" s="6"/>
      <c r="BG103" s="6"/>
      <c r="BH103" s="35"/>
      <c r="BI103" s="6"/>
      <c r="BJ103" s="6"/>
      <c r="BK103" s="6"/>
      <c r="BL103" s="6"/>
      <c r="BM103" s="6"/>
      <c r="BN103" s="35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>
        <v>1037</v>
      </c>
      <c r="CH103" s="6"/>
      <c r="CI103" s="6">
        <f t="shared" si="26"/>
        <v>345</v>
      </c>
      <c r="CJ103" s="6">
        <v>1401</v>
      </c>
      <c r="CK103" s="6"/>
      <c r="CL103" s="6">
        <f t="shared" si="27"/>
        <v>364</v>
      </c>
      <c r="CM103" s="6">
        <v>0</v>
      </c>
      <c r="CN103" s="6">
        <v>1608</v>
      </c>
      <c r="CO103" s="6">
        <f t="shared" si="28"/>
        <v>207</v>
      </c>
      <c r="CP103" s="6">
        <v>319</v>
      </c>
      <c r="CQ103" s="6"/>
      <c r="CR103" s="6">
        <f t="shared" si="29"/>
        <v>319</v>
      </c>
      <c r="CS103" s="6">
        <v>677</v>
      </c>
      <c r="CT103" s="6"/>
      <c r="CU103" s="6">
        <f t="shared" si="30"/>
        <v>358</v>
      </c>
      <c r="CV103" s="6">
        <v>995</v>
      </c>
      <c r="CW103" s="6"/>
      <c r="CX103" s="6">
        <f t="shared" si="31"/>
        <v>318</v>
      </c>
    </row>
    <row r="104" spans="1:102">
      <c r="A104" s="6">
        <v>100</v>
      </c>
      <c r="B104" s="6">
        <v>974</v>
      </c>
      <c r="C104" s="6"/>
      <c r="D104" s="6">
        <v>339</v>
      </c>
      <c r="E104" s="33" t="s">
        <v>37</v>
      </c>
      <c r="F104" s="33" t="s">
        <v>37</v>
      </c>
      <c r="G104" s="33" t="s">
        <v>37</v>
      </c>
      <c r="H104" s="33" t="s">
        <v>37</v>
      </c>
      <c r="I104" s="33" t="s">
        <v>37</v>
      </c>
      <c r="J104" s="33" t="s">
        <v>37</v>
      </c>
      <c r="K104" s="33" t="s">
        <v>37</v>
      </c>
      <c r="L104" s="33" t="s">
        <v>37</v>
      </c>
      <c r="M104" s="33" t="s">
        <v>37</v>
      </c>
      <c r="N104" s="33" t="s">
        <v>37</v>
      </c>
      <c r="O104" s="33" t="s">
        <v>37</v>
      </c>
      <c r="P104" s="33" t="s">
        <v>37</v>
      </c>
      <c r="Q104" s="33" t="s">
        <v>37</v>
      </c>
      <c r="R104" s="33" t="s">
        <v>37</v>
      </c>
      <c r="S104" s="33" t="s">
        <v>37</v>
      </c>
      <c r="T104" s="33" t="s">
        <v>37</v>
      </c>
      <c r="U104" s="33" t="s">
        <v>37</v>
      </c>
      <c r="V104" s="35">
        <v>1365</v>
      </c>
      <c r="W104" s="35"/>
      <c r="X104" s="35">
        <f t="shared" si="16"/>
        <v>391</v>
      </c>
      <c r="Y104" s="35">
        <v>212</v>
      </c>
      <c r="Z104" s="35">
        <v>1499</v>
      </c>
      <c r="AA104" s="35">
        <f t="shared" si="17"/>
        <v>346</v>
      </c>
      <c r="AB104" s="6">
        <v>423</v>
      </c>
      <c r="AC104" s="6"/>
      <c r="AD104" s="35">
        <f t="shared" si="18"/>
        <v>211</v>
      </c>
      <c r="AE104" s="6">
        <v>677</v>
      </c>
      <c r="AF104" s="6"/>
      <c r="AG104" s="34">
        <f t="shared" si="19"/>
        <v>254</v>
      </c>
      <c r="AH104" s="35">
        <v>1043</v>
      </c>
      <c r="AI104" s="35"/>
      <c r="AJ104" s="35">
        <f t="shared" si="20"/>
        <v>366</v>
      </c>
      <c r="AK104" s="6">
        <v>1387</v>
      </c>
      <c r="AL104" s="6"/>
      <c r="AM104" s="35">
        <f t="shared" si="21"/>
        <v>344</v>
      </c>
      <c r="AN104" s="6"/>
      <c r="AO104" s="6"/>
      <c r="AP104" s="35"/>
      <c r="AQ104" s="35">
        <v>197</v>
      </c>
      <c r="AR104" s="35">
        <v>1560</v>
      </c>
      <c r="AS104" s="35">
        <f t="shared" si="22"/>
        <v>370</v>
      </c>
      <c r="AT104" s="6">
        <v>562</v>
      </c>
      <c r="AU104" s="6"/>
      <c r="AV104" s="35">
        <f t="shared" si="23"/>
        <v>365</v>
      </c>
      <c r="AW104" s="6">
        <v>929</v>
      </c>
      <c r="AX104" s="6"/>
      <c r="AY104" s="6">
        <f t="shared" si="24"/>
        <v>367</v>
      </c>
      <c r="AZ104" s="6">
        <v>1012</v>
      </c>
      <c r="BA104" s="6"/>
      <c r="BB104" s="6">
        <f t="shared" si="25"/>
        <v>83</v>
      </c>
      <c r="BC104" s="6"/>
      <c r="BD104" s="6"/>
      <c r="BE104" s="6"/>
      <c r="BF104" s="6"/>
      <c r="BG104" s="6"/>
      <c r="BH104" s="35"/>
      <c r="BI104" s="6"/>
      <c r="BJ104" s="6"/>
      <c r="BK104" s="6"/>
      <c r="BL104" s="6"/>
      <c r="BM104" s="6"/>
      <c r="BN104" s="35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>
        <v>358</v>
      </c>
      <c r="CH104" s="6">
        <v>1014</v>
      </c>
      <c r="CI104" s="6">
        <f t="shared" si="26"/>
        <v>360</v>
      </c>
      <c r="CJ104" s="6">
        <v>727</v>
      </c>
      <c r="CK104" s="6"/>
      <c r="CL104" s="6">
        <f t="shared" si="27"/>
        <v>369</v>
      </c>
      <c r="CM104" s="6">
        <v>1097</v>
      </c>
      <c r="CN104" s="6"/>
      <c r="CO104" s="6">
        <f t="shared" si="28"/>
        <v>370</v>
      </c>
      <c r="CP104" s="6">
        <v>340</v>
      </c>
      <c r="CQ104" s="6">
        <v>1098</v>
      </c>
      <c r="CR104" s="6">
        <f t="shared" si="29"/>
        <v>341</v>
      </c>
      <c r="CS104" s="6">
        <v>695</v>
      </c>
      <c r="CT104" s="6"/>
      <c r="CU104" s="6">
        <f t="shared" si="30"/>
        <v>355</v>
      </c>
      <c r="CV104" s="6">
        <v>1032</v>
      </c>
      <c r="CW104" s="6"/>
      <c r="CX104" s="6">
        <f t="shared" si="31"/>
        <v>337</v>
      </c>
    </row>
    <row r="105" spans="1:102">
      <c r="A105" s="6">
        <v>101</v>
      </c>
      <c r="B105" s="6">
        <v>118</v>
      </c>
      <c r="C105" s="6">
        <v>1560</v>
      </c>
      <c r="D105" s="6">
        <v>315</v>
      </c>
      <c r="E105" s="33" t="s">
        <v>37</v>
      </c>
      <c r="F105" s="33" t="s">
        <v>37</v>
      </c>
      <c r="G105" s="33" t="s">
        <v>37</v>
      </c>
      <c r="H105" s="33" t="s">
        <v>37</v>
      </c>
      <c r="I105" s="33" t="s">
        <v>37</v>
      </c>
      <c r="J105" s="33" t="s">
        <v>37</v>
      </c>
      <c r="K105" s="33" t="s">
        <v>37</v>
      </c>
      <c r="L105" s="33" t="s">
        <v>37</v>
      </c>
      <c r="M105" s="33" t="s">
        <v>37</v>
      </c>
      <c r="N105" s="33" t="s">
        <v>37</v>
      </c>
      <c r="O105" s="33" t="s">
        <v>37</v>
      </c>
      <c r="P105" s="33" t="s">
        <v>37</v>
      </c>
      <c r="Q105" s="33" t="s">
        <v>37</v>
      </c>
      <c r="R105" s="33" t="s">
        <v>37</v>
      </c>
      <c r="S105" s="33" t="s">
        <v>37</v>
      </c>
      <c r="T105" s="33" t="s">
        <v>37</v>
      </c>
      <c r="U105" s="148" t="s">
        <v>37</v>
      </c>
      <c r="V105" s="6">
        <v>500</v>
      </c>
      <c r="W105" s="6"/>
      <c r="X105" s="35">
        <f t="shared" si="16"/>
        <v>382</v>
      </c>
      <c r="Y105" s="35">
        <v>857</v>
      </c>
      <c r="Z105" s="35"/>
      <c r="AA105" s="35">
        <f t="shared" si="17"/>
        <v>357</v>
      </c>
      <c r="AB105" s="6">
        <v>1010</v>
      </c>
      <c r="AC105" s="6"/>
      <c r="AD105" s="35">
        <f t="shared" si="18"/>
        <v>153</v>
      </c>
      <c r="AE105" s="6">
        <v>1252</v>
      </c>
      <c r="AF105" s="6"/>
      <c r="AG105" s="34">
        <f t="shared" si="19"/>
        <v>242</v>
      </c>
      <c r="AH105" s="35">
        <v>47</v>
      </c>
      <c r="AI105" s="35">
        <v>1560</v>
      </c>
      <c r="AJ105" s="35">
        <f t="shared" si="20"/>
        <v>355</v>
      </c>
      <c r="AK105" s="6">
        <v>385</v>
      </c>
      <c r="AL105" s="6"/>
      <c r="AM105" s="35">
        <f t="shared" si="21"/>
        <v>338</v>
      </c>
      <c r="AN105" s="6"/>
      <c r="AO105" s="6"/>
      <c r="AP105" s="35"/>
      <c r="AQ105" s="35">
        <v>752</v>
      </c>
      <c r="AR105" s="35"/>
      <c r="AS105" s="35">
        <f t="shared" si="22"/>
        <v>367</v>
      </c>
      <c r="AT105" s="6">
        <v>1111</v>
      </c>
      <c r="AU105" s="6"/>
      <c r="AV105" s="35">
        <f t="shared" si="23"/>
        <v>359</v>
      </c>
      <c r="AW105" s="35">
        <v>1473</v>
      </c>
      <c r="AX105" s="6"/>
      <c r="AY105" s="6">
        <f t="shared" si="24"/>
        <v>362</v>
      </c>
      <c r="AZ105" s="6">
        <v>1552</v>
      </c>
      <c r="BA105" s="6"/>
      <c r="BB105" s="6">
        <f t="shared" si="25"/>
        <v>79</v>
      </c>
      <c r="BC105" s="6"/>
      <c r="BD105" s="6"/>
      <c r="BE105" s="6"/>
      <c r="BF105" s="6"/>
      <c r="BG105" s="6"/>
      <c r="BH105" s="35"/>
      <c r="BI105" s="6"/>
      <c r="BJ105" s="6"/>
      <c r="BK105" s="6"/>
      <c r="BL105" s="6"/>
      <c r="BM105" s="6"/>
      <c r="BN105" s="35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>
        <v>339</v>
      </c>
      <c r="CH105" s="6">
        <v>1552</v>
      </c>
      <c r="CI105" s="6">
        <f t="shared" si="26"/>
        <v>339</v>
      </c>
      <c r="CJ105" s="6">
        <v>703</v>
      </c>
      <c r="CK105" s="6"/>
      <c r="CL105" s="6">
        <f t="shared" si="27"/>
        <v>364</v>
      </c>
      <c r="CM105" s="6">
        <v>1068</v>
      </c>
      <c r="CN105" s="6"/>
      <c r="CO105" s="6">
        <f t="shared" si="28"/>
        <v>365</v>
      </c>
      <c r="CP105" s="6">
        <v>1427</v>
      </c>
      <c r="CQ105" s="6"/>
      <c r="CR105" s="6">
        <f t="shared" si="29"/>
        <v>359</v>
      </c>
      <c r="CS105" s="6">
        <v>0</v>
      </c>
      <c r="CT105" s="6">
        <v>1617</v>
      </c>
      <c r="CU105" s="6">
        <f t="shared" si="30"/>
        <v>190</v>
      </c>
      <c r="CV105" s="6">
        <v>291</v>
      </c>
      <c r="CW105" s="6"/>
      <c r="CX105" s="6">
        <f t="shared" si="31"/>
        <v>291</v>
      </c>
    </row>
    <row r="106" spans="1:102">
      <c r="A106" s="6">
        <v>102</v>
      </c>
      <c r="B106" s="6">
        <v>1189</v>
      </c>
      <c r="C106" s="6"/>
      <c r="D106" s="6">
        <v>335</v>
      </c>
      <c r="E106" s="33" t="s">
        <v>69</v>
      </c>
      <c r="F106" s="33" t="s">
        <v>69</v>
      </c>
      <c r="G106" s="33" t="s">
        <v>69</v>
      </c>
      <c r="H106" s="33" t="s">
        <v>69</v>
      </c>
      <c r="I106" s="33" t="s">
        <v>69</v>
      </c>
      <c r="J106" s="33" t="s">
        <v>69</v>
      </c>
      <c r="K106" s="33" t="s">
        <v>69</v>
      </c>
      <c r="L106" s="148" t="s">
        <v>128</v>
      </c>
      <c r="M106" s="33" t="s">
        <v>128</v>
      </c>
      <c r="N106" s="33" t="s">
        <v>128</v>
      </c>
      <c r="O106" s="33" t="s">
        <v>128</v>
      </c>
      <c r="P106" s="33" t="s">
        <v>128</v>
      </c>
      <c r="Q106" s="33" t="s">
        <v>128</v>
      </c>
      <c r="R106" s="33" t="s">
        <v>128</v>
      </c>
      <c r="S106" s="33" t="s">
        <v>128</v>
      </c>
      <c r="T106" s="33" t="s">
        <v>128</v>
      </c>
      <c r="U106" s="33" t="s">
        <v>128</v>
      </c>
      <c r="V106" s="6">
        <v>18</v>
      </c>
      <c r="W106" s="6">
        <v>1560</v>
      </c>
      <c r="X106" s="35">
        <f t="shared" si="16"/>
        <v>389</v>
      </c>
      <c r="Y106" s="35">
        <v>385</v>
      </c>
      <c r="Z106" s="35"/>
      <c r="AA106" s="35">
        <f t="shared" si="17"/>
        <v>367</v>
      </c>
      <c r="AB106" s="6">
        <v>595</v>
      </c>
      <c r="AC106" s="6"/>
      <c r="AD106" s="35">
        <f t="shared" si="18"/>
        <v>210</v>
      </c>
      <c r="AE106" s="6">
        <v>851</v>
      </c>
      <c r="AF106" s="6"/>
      <c r="AG106" s="34">
        <f t="shared" si="19"/>
        <v>256</v>
      </c>
      <c r="AH106" s="35">
        <v>1219</v>
      </c>
      <c r="AI106" s="35"/>
      <c r="AJ106" s="35">
        <f t="shared" si="20"/>
        <v>368</v>
      </c>
      <c r="AK106" s="6">
        <v>1559</v>
      </c>
      <c r="AL106" s="6"/>
      <c r="AM106" s="35">
        <f t="shared" si="21"/>
        <v>340</v>
      </c>
      <c r="AN106" s="6"/>
      <c r="AO106" s="6"/>
      <c r="AP106" s="35"/>
      <c r="AQ106" s="35">
        <v>239</v>
      </c>
      <c r="AR106" s="35">
        <v>1674</v>
      </c>
      <c r="AS106" s="35">
        <f t="shared" si="22"/>
        <v>354</v>
      </c>
      <c r="AT106" s="35">
        <v>605</v>
      </c>
      <c r="AU106" s="6"/>
      <c r="AV106" s="35">
        <f t="shared" si="23"/>
        <v>366</v>
      </c>
      <c r="AW106" s="6">
        <v>974</v>
      </c>
      <c r="AX106" s="6"/>
      <c r="AY106" s="6">
        <f t="shared" si="24"/>
        <v>369</v>
      </c>
      <c r="AZ106" s="6">
        <v>1060</v>
      </c>
      <c r="BA106" s="6"/>
      <c r="BB106" s="6">
        <f t="shared" si="25"/>
        <v>86</v>
      </c>
      <c r="BC106" s="6"/>
      <c r="BD106" s="6"/>
      <c r="BE106" s="6"/>
      <c r="BF106" s="6"/>
      <c r="BG106" s="6"/>
      <c r="BH106" s="35"/>
      <c r="BI106" s="6"/>
      <c r="BJ106" s="6"/>
      <c r="BK106" s="6"/>
      <c r="BL106" s="6"/>
      <c r="BM106" s="6"/>
      <c r="BN106" s="35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>
        <v>321</v>
      </c>
      <c r="CH106" s="6">
        <v>1106</v>
      </c>
      <c r="CI106" s="6">
        <f t="shared" si="26"/>
        <v>367</v>
      </c>
      <c r="CJ106" s="6">
        <v>691</v>
      </c>
      <c r="CK106" s="6"/>
      <c r="CL106" s="6">
        <f t="shared" si="27"/>
        <v>370</v>
      </c>
      <c r="CM106" s="6">
        <v>1059</v>
      </c>
      <c r="CN106" s="6"/>
      <c r="CO106" s="6">
        <f t="shared" si="28"/>
        <v>368</v>
      </c>
      <c r="CP106" s="6">
        <v>1428</v>
      </c>
      <c r="CQ106" s="6"/>
      <c r="CR106" s="6">
        <f t="shared" si="29"/>
        <v>369</v>
      </c>
      <c r="CS106" s="6">
        <v>235</v>
      </c>
      <c r="CT106" s="6">
        <v>1560</v>
      </c>
      <c r="CU106" s="6">
        <f t="shared" si="30"/>
        <v>367</v>
      </c>
      <c r="CV106" s="6">
        <v>7</v>
      </c>
      <c r="CW106" s="6">
        <v>564</v>
      </c>
      <c r="CX106" s="6">
        <f t="shared" si="31"/>
        <v>336</v>
      </c>
    </row>
    <row r="107" spans="1:102">
      <c r="A107" s="6">
        <v>103</v>
      </c>
      <c r="B107" s="6">
        <v>1424</v>
      </c>
      <c r="C107" s="6"/>
      <c r="D107" s="6">
        <v>341</v>
      </c>
      <c r="E107" s="33" t="s">
        <v>37</v>
      </c>
      <c r="F107" s="33" t="s">
        <v>37</v>
      </c>
      <c r="G107" s="33" t="s">
        <v>37</v>
      </c>
      <c r="H107" s="33" t="s">
        <v>37</v>
      </c>
      <c r="I107" s="33" t="s">
        <v>37</v>
      </c>
      <c r="J107" s="33" t="s">
        <v>37</v>
      </c>
      <c r="K107" s="33" t="s">
        <v>37</v>
      </c>
      <c r="L107" s="33" t="s">
        <v>37</v>
      </c>
      <c r="M107" s="33" t="s">
        <v>37</v>
      </c>
      <c r="N107" s="33" t="s">
        <v>37</v>
      </c>
      <c r="O107" s="33" t="s">
        <v>37</v>
      </c>
      <c r="P107" s="33" t="s">
        <v>37</v>
      </c>
      <c r="Q107" s="33" t="s">
        <v>37</v>
      </c>
      <c r="R107" s="33" t="s">
        <v>37</v>
      </c>
      <c r="S107" s="148" t="s">
        <v>37</v>
      </c>
      <c r="T107" s="33" t="s">
        <v>37</v>
      </c>
      <c r="U107" s="33" t="s">
        <v>37</v>
      </c>
      <c r="V107" s="6">
        <v>261</v>
      </c>
      <c r="W107" s="6">
        <v>1531</v>
      </c>
      <c r="X107" s="35">
        <f t="shared" si="16"/>
        <v>368</v>
      </c>
      <c r="Y107" s="35">
        <v>619</v>
      </c>
      <c r="Z107" s="35"/>
      <c r="AA107" s="35">
        <f t="shared" si="17"/>
        <v>358</v>
      </c>
      <c r="AB107" s="6">
        <v>822</v>
      </c>
      <c r="AC107" s="6"/>
      <c r="AD107" s="35">
        <f t="shared" si="18"/>
        <v>203</v>
      </c>
      <c r="AE107" s="6">
        <v>1058</v>
      </c>
      <c r="AF107" s="6"/>
      <c r="AG107" s="34">
        <f t="shared" si="19"/>
        <v>236</v>
      </c>
      <c r="AH107" s="35">
        <v>278</v>
      </c>
      <c r="AI107" s="35">
        <v>1121</v>
      </c>
      <c r="AJ107" s="35">
        <f t="shared" si="20"/>
        <v>341</v>
      </c>
      <c r="AK107" s="6">
        <v>606</v>
      </c>
      <c r="AL107" s="6"/>
      <c r="AM107" s="35">
        <f t="shared" si="21"/>
        <v>328</v>
      </c>
      <c r="AN107" s="6"/>
      <c r="AO107" s="6"/>
      <c r="AP107" s="35"/>
      <c r="AQ107" s="35">
        <v>283</v>
      </c>
      <c r="AR107" s="35">
        <v>679</v>
      </c>
      <c r="AS107" s="35">
        <f t="shared" si="22"/>
        <v>356</v>
      </c>
      <c r="AT107" s="6">
        <v>631</v>
      </c>
      <c r="AU107" s="6"/>
      <c r="AV107" s="35">
        <f t="shared" si="23"/>
        <v>348</v>
      </c>
      <c r="AW107" s="6">
        <v>978</v>
      </c>
      <c r="AX107" s="6"/>
      <c r="AY107" s="6">
        <f t="shared" si="24"/>
        <v>347</v>
      </c>
      <c r="AZ107" s="6">
        <v>1063</v>
      </c>
      <c r="BA107" s="6"/>
      <c r="BB107" s="6">
        <f t="shared" si="25"/>
        <v>85</v>
      </c>
      <c r="BC107" s="6"/>
      <c r="BD107" s="6"/>
      <c r="BE107" s="6"/>
      <c r="BF107" s="6"/>
      <c r="BG107" s="6"/>
      <c r="BH107" s="35"/>
      <c r="BI107" s="6"/>
      <c r="BJ107" s="6"/>
      <c r="BK107" s="6"/>
      <c r="BL107" s="6"/>
      <c r="BM107" s="6"/>
      <c r="BN107" s="35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>
        <v>1417</v>
      </c>
      <c r="CH107" s="6"/>
      <c r="CI107" s="6">
        <f t="shared" si="26"/>
        <v>354</v>
      </c>
      <c r="CJ107" s="6">
        <v>209</v>
      </c>
      <c r="CK107" s="6">
        <v>1560</v>
      </c>
      <c r="CL107" s="6">
        <f t="shared" si="27"/>
        <v>352</v>
      </c>
      <c r="CM107" s="6">
        <v>559</v>
      </c>
      <c r="CN107" s="6"/>
      <c r="CO107" s="6">
        <f t="shared" si="28"/>
        <v>350</v>
      </c>
      <c r="CP107" s="6">
        <v>312</v>
      </c>
      <c r="CQ107" s="6">
        <v>568</v>
      </c>
      <c r="CR107" s="6">
        <f t="shared" si="29"/>
        <v>321</v>
      </c>
      <c r="CS107" s="6">
        <v>664</v>
      </c>
      <c r="CT107" s="6"/>
      <c r="CU107" s="6">
        <f t="shared" si="30"/>
        <v>352</v>
      </c>
      <c r="CV107" s="6">
        <v>975</v>
      </c>
      <c r="CW107" s="6"/>
      <c r="CX107" s="6">
        <f t="shared" si="31"/>
        <v>311</v>
      </c>
    </row>
    <row r="108" spans="1:102">
      <c r="A108" s="6">
        <v>104</v>
      </c>
      <c r="B108" s="6">
        <v>1219</v>
      </c>
      <c r="C108" s="6"/>
      <c r="D108" s="6">
        <v>340</v>
      </c>
      <c r="E108" s="33" t="s">
        <v>128</v>
      </c>
      <c r="F108" s="33" t="s">
        <v>128</v>
      </c>
      <c r="G108" s="33" t="s">
        <v>128</v>
      </c>
      <c r="H108" s="33" t="s">
        <v>128</v>
      </c>
      <c r="I108" s="33" t="s">
        <v>128</v>
      </c>
      <c r="J108" s="33" t="s">
        <v>128</v>
      </c>
      <c r="K108" s="33" t="s">
        <v>128</v>
      </c>
      <c r="L108" s="33" t="s">
        <v>128</v>
      </c>
      <c r="M108" s="33" t="s">
        <v>128</v>
      </c>
      <c r="N108" s="33" t="s">
        <v>128</v>
      </c>
      <c r="O108" s="33" t="s">
        <v>128</v>
      </c>
      <c r="P108" s="33" t="s">
        <v>128</v>
      </c>
      <c r="Q108" s="148" t="s">
        <v>37</v>
      </c>
      <c r="R108" s="33" t="s">
        <v>37</v>
      </c>
      <c r="S108" s="33" t="s">
        <v>37</v>
      </c>
      <c r="T108" s="33" t="s">
        <v>37</v>
      </c>
      <c r="U108" s="33" t="s">
        <v>37</v>
      </c>
      <c r="V108" s="6">
        <v>45</v>
      </c>
      <c r="W108" s="6">
        <v>1560</v>
      </c>
      <c r="X108" s="35">
        <f t="shared" si="16"/>
        <v>386</v>
      </c>
      <c r="Y108" s="35">
        <v>410</v>
      </c>
      <c r="Z108" s="35"/>
      <c r="AA108" s="35">
        <f t="shared" si="17"/>
        <v>365</v>
      </c>
      <c r="AB108" s="6">
        <v>621</v>
      </c>
      <c r="AC108" s="6"/>
      <c r="AD108" s="35">
        <f t="shared" si="18"/>
        <v>211</v>
      </c>
      <c r="AE108" s="6">
        <v>872</v>
      </c>
      <c r="AF108" s="6"/>
      <c r="AG108" s="34">
        <f t="shared" si="19"/>
        <v>251</v>
      </c>
      <c r="AH108" s="35">
        <v>1243</v>
      </c>
      <c r="AI108" s="35"/>
      <c r="AJ108" s="35">
        <f t="shared" si="20"/>
        <v>371</v>
      </c>
      <c r="AK108" s="6">
        <v>7</v>
      </c>
      <c r="AL108" s="6">
        <v>1570</v>
      </c>
      <c r="AM108" s="35">
        <f t="shared" si="21"/>
        <v>334</v>
      </c>
      <c r="AN108" s="6"/>
      <c r="AO108" s="6"/>
      <c r="AP108" s="35"/>
      <c r="AQ108" s="35">
        <v>383</v>
      </c>
      <c r="AR108" s="35"/>
      <c r="AS108" s="35">
        <f t="shared" si="22"/>
        <v>376</v>
      </c>
      <c r="AT108" s="6">
        <v>754</v>
      </c>
      <c r="AU108" s="6"/>
      <c r="AV108" s="35">
        <f t="shared" si="23"/>
        <v>371</v>
      </c>
      <c r="AW108" s="6">
        <v>1127</v>
      </c>
      <c r="AX108" s="6"/>
      <c r="AY108" s="6">
        <f t="shared" si="24"/>
        <v>373</v>
      </c>
      <c r="AZ108" s="6">
        <v>1216</v>
      </c>
      <c r="BA108" s="6"/>
      <c r="BB108" s="6">
        <f t="shared" si="25"/>
        <v>89</v>
      </c>
      <c r="BC108" s="6"/>
      <c r="BD108" s="6"/>
      <c r="BE108" s="6"/>
      <c r="BF108" s="6"/>
      <c r="BG108" s="6"/>
      <c r="BH108" s="35"/>
      <c r="BI108" s="6"/>
      <c r="BJ108" s="6"/>
      <c r="BK108" s="6"/>
      <c r="BL108" s="6"/>
      <c r="BM108" s="6"/>
      <c r="BN108" s="35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>
        <v>1600</v>
      </c>
      <c r="CH108" s="6"/>
      <c r="CI108" s="6">
        <f t="shared" si="26"/>
        <v>384</v>
      </c>
      <c r="CJ108" s="6">
        <v>361</v>
      </c>
      <c r="CK108" s="6">
        <v>1602</v>
      </c>
      <c r="CL108" s="6">
        <f t="shared" si="27"/>
        <v>363</v>
      </c>
      <c r="CM108" s="6">
        <v>748</v>
      </c>
      <c r="CN108" s="6"/>
      <c r="CO108" s="6">
        <f t="shared" si="28"/>
        <v>387</v>
      </c>
      <c r="CP108" s="6">
        <v>1131</v>
      </c>
      <c r="CQ108" s="6"/>
      <c r="CR108" s="6">
        <f t="shared" si="29"/>
        <v>383</v>
      </c>
      <c r="CS108" s="6">
        <v>1514</v>
      </c>
      <c r="CT108" s="6"/>
      <c r="CU108" s="6">
        <f t="shared" si="30"/>
        <v>383</v>
      </c>
      <c r="CV108" s="6">
        <v>281</v>
      </c>
      <c r="CW108" s="6">
        <v>1560</v>
      </c>
      <c r="CX108" s="6">
        <f t="shared" si="31"/>
        <v>327</v>
      </c>
    </row>
    <row r="109" spans="1:102">
      <c r="A109" s="6">
        <v>105</v>
      </c>
      <c r="B109" s="6">
        <v>562</v>
      </c>
      <c r="C109" s="6"/>
      <c r="D109" s="6">
        <v>337</v>
      </c>
      <c r="E109" s="33" t="s">
        <v>37</v>
      </c>
      <c r="F109" s="33" t="s">
        <v>37</v>
      </c>
      <c r="G109" s="33" t="s">
        <v>37</v>
      </c>
      <c r="H109" s="33" t="s">
        <v>37</v>
      </c>
      <c r="I109" s="33" t="s">
        <v>37</v>
      </c>
      <c r="J109" s="33" t="s">
        <v>37</v>
      </c>
      <c r="K109" s="33" t="s">
        <v>37</v>
      </c>
      <c r="L109" s="33" t="s">
        <v>37</v>
      </c>
      <c r="M109" s="33" t="s">
        <v>37</v>
      </c>
      <c r="N109" s="33" t="s">
        <v>37</v>
      </c>
      <c r="O109" s="33" t="s">
        <v>37</v>
      </c>
      <c r="P109" s="33" t="s">
        <v>37</v>
      </c>
      <c r="Q109" s="33" t="s">
        <v>37</v>
      </c>
      <c r="R109" s="33" t="s">
        <v>37</v>
      </c>
      <c r="S109" s="148" t="s">
        <v>37</v>
      </c>
      <c r="T109" s="33" t="s">
        <v>37</v>
      </c>
      <c r="U109" s="33" t="s">
        <v>37</v>
      </c>
      <c r="V109" s="6">
        <v>952</v>
      </c>
      <c r="W109" s="6"/>
      <c r="X109" s="35">
        <f t="shared" si="16"/>
        <v>390</v>
      </c>
      <c r="Y109" s="35">
        <v>1316</v>
      </c>
      <c r="Z109" s="35"/>
      <c r="AA109" s="35">
        <f t="shared" si="17"/>
        <v>364</v>
      </c>
      <c r="AB109" s="6">
        <v>1519</v>
      </c>
      <c r="AC109" s="6"/>
      <c r="AD109" s="35">
        <f t="shared" si="18"/>
        <v>203</v>
      </c>
      <c r="AE109" s="6">
        <v>197</v>
      </c>
      <c r="AF109" s="6">
        <v>1560</v>
      </c>
      <c r="AG109" s="34">
        <f t="shared" si="19"/>
        <v>238</v>
      </c>
      <c r="AH109" s="35">
        <v>556</v>
      </c>
      <c r="AI109" s="35"/>
      <c r="AJ109" s="35">
        <f t="shared" si="20"/>
        <v>359</v>
      </c>
      <c r="AK109" s="6">
        <v>890</v>
      </c>
      <c r="AL109" s="6"/>
      <c r="AM109" s="35">
        <f t="shared" si="21"/>
        <v>334</v>
      </c>
      <c r="AN109" s="6"/>
      <c r="AO109" s="6"/>
      <c r="AP109" s="35"/>
      <c r="AQ109" s="35">
        <v>1256</v>
      </c>
      <c r="AR109" s="35"/>
      <c r="AS109" s="35">
        <f t="shared" si="22"/>
        <v>366</v>
      </c>
      <c r="AT109" s="6">
        <v>47</v>
      </c>
      <c r="AU109" s="6">
        <v>1560</v>
      </c>
      <c r="AV109" s="35">
        <f t="shared" si="23"/>
        <v>351</v>
      </c>
      <c r="AW109" s="6">
        <v>399</v>
      </c>
      <c r="AX109" s="6"/>
      <c r="AY109" s="6">
        <f t="shared" si="24"/>
        <v>352</v>
      </c>
      <c r="AZ109" s="6">
        <v>477</v>
      </c>
      <c r="BA109" s="6"/>
      <c r="BB109" s="6">
        <f t="shared" si="25"/>
        <v>78</v>
      </c>
      <c r="BC109" s="6"/>
      <c r="BD109" s="6"/>
      <c r="BE109" s="6"/>
      <c r="BF109" s="6"/>
      <c r="BG109" s="6"/>
      <c r="BH109" s="35"/>
      <c r="BI109" s="6"/>
      <c r="BJ109" s="6"/>
      <c r="BK109" s="6"/>
      <c r="BL109" s="6"/>
      <c r="BM109" s="6"/>
      <c r="BN109" s="35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>
        <v>829</v>
      </c>
      <c r="CH109" s="6"/>
      <c r="CI109" s="6">
        <f t="shared" si="26"/>
        <v>352</v>
      </c>
      <c r="CJ109" s="6">
        <v>1186</v>
      </c>
      <c r="CK109" s="6"/>
      <c r="CL109" s="6">
        <f t="shared" si="27"/>
        <v>357</v>
      </c>
      <c r="CM109" s="6">
        <v>1542</v>
      </c>
      <c r="CN109" s="6"/>
      <c r="CO109" s="6">
        <f t="shared" si="28"/>
        <v>356</v>
      </c>
      <c r="CP109" s="6">
        <v>242</v>
      </c>
      <c r="CQ109" s="6">
        <v>1635</v>
      </c>
      <c r="CR109" s="6">
        <f t="shared" si="29"/>
        <v>335</v>
      </c>
      <c r="CS109" s="6">
        <v>592</v>
      </c>
      <c r="CT109" s="6"/>
      <c r="CU109" s="6">
        <f t="shared" si="30"/>
        <v>350</v>
      </c>
      <c r="CV109" s="6">
        <v>916</v>
      </c>
      <c r="CW109" s="6"/>
      <c r="CX109" s="6">
        <f t="shared" si="31"/>
        <v>324</v>
      </c>
    </row>
    <row r="110" spans="1:102">
      <c r="A110" s="6">
        <v>106</v>
      </c>
      <c r="B110" s="6">
        <v>491</v>
      </c>
      <c r="C110" s="6"/>
      <c r="D110" s="6">
        <v>337</v>
      </c>
      <c r="E110" s="33" t="s">
        <v>69</v>
      </c>
      <c r="F110" s="33" t="s">
        <v>69</v>
      </c>
      <c r="G110" s="33" t="s">
        <v>69</v>
      </c>
      <c r="H110" s="33" t="s">
        <v>69</v>
      </c>
      <c r="I110" s="33" t="s">
        <v>69</v>
      </c>
      <c r="J110" s="148" t="s">
        <v>128</v>
      </c>
      <c r="K110" s="33" t="s">
        <v>128</v>
      </c>
      <c r="L110" s="33" t="s">
        <v>128</v>
      </c>
      <c r="M110" s="33" t="s">
        <v>128</v>
      </c>
      <c r="N110" s="33" t="s">
        <v>128</v>
      </c>
      <c r="O110" s="33" t="s">
        <v>128</v>
      </c>
      <c r="P110" s="33" t="s">
        <v>128</v>
      </c>
      <c r="Q110" s="33" t="s">
        <v>128</v>
      </c>
      <c r="R110" s="33" t="s">
        <v>128</v>
      </c>
      <c r="S110" s="33" t="s">
        <v>128</v>
      </c>
      <c r="T110" s="33" t="s">
        <v>128</v>
      </c>
      <c r="U110" s="33" t="s">
        <v>128</v>
      </c>
      <c r="V110" s="6">
        <v>877</v>
      </c>
      <c r="W110" s="6"/>
      <c r="X110" s="35">
        <f t="shared" si="16"/>
        <v>386</v>
      </c>
      <c r="Y110" s="35">
        <v>1246</v>
      </c>
      <c r="Z110" s="35"/>
      <c r="AA110" s="35">
        <f t="shared" si="17"/>
        <v>369</v>
      </c>
      <c r="AB110" s="6">
        <v>1455</v>
      </c>
      <c r="AC110" s="6"/>
      <c r="AD110" s="35">
        <f t="shared" si="18"/>
        <v>209</v>
      </c>
      <c r="AE110" s="6">
        <v>0</v>
      </c>
      <c r="AF110" s="6">
        <v>1695</v>
      </c>
      <c r="AG110" s="34">
        <f t="shared" si="19"/>
        <v>240</v>
      </c>
      <c r="AH110" s="35">
        <v>338</v>
      </c>
      <c r="AI110" s="35"/>
      <c r="AJ110" s="35">
        <f t="shared" si="20"/>
        <v>338</v>
      </c>
      <c r="AK110" s="6">
        <v>683</v>
      </c>
      <c r="AL110" s="6"/>
      <c r="AM110" s="35">
        <f t="shared" si="21"/>
        <v>345</v>
      </c>
      <c r="AN110" s="6"/>
      <c r="AO110" s="6"/>
      <c r="AP110" s="35"/>
      <c r="AQ110" s="35">
        <v>1055</v>
      </c>
      <c r="AR110" s="35"/>
      <c r="AS110" s="35">
        <f t="shared" si="22"/>
        <v>372</v>
      </c>
      <c r="AT110" s="6">
        <v>1423</v>
      </c>
      <c r="AU110" s="6"/>
      <c r="AV110" s="35">
        <f t="shared" si="23"/>
        <v>368</v>
      </c>
      <c r="AW110" s="6">
        <v>250</v>
      </c>
      <c r="AX110" s="6">
        <v>1543</v>
      </c>
      <c r="AY110" s="6">
        <f t="shared" si="24"/>
        <v>370</v>
      </c>
      <c r="AZ110" s="6">
        <v>335</v>
      </c>
      <c r="BA110" s="6"/>
      <c r="BB110" s="6">
        <f t="shared" si="25"/>
        <v>85</v>
      </c>
      <c r="BC110" s="6"/>
      <c r="BD110" s="6"/>
      <c r="BE110" s="6"/>
      <c r="BF110" s="6"/>
      <c r="BG110" s="6"/>
      <c r="BH110" s="35"/>
      <c r="BI110" s="6"/>
      <c r="BJ110" s="6"/>
      <c r="BK110" s="6"/>
      <c r="BL110" s="6"/>
      <c r="BM110" s="6"/>
      <c r="BN110" s="35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>
        <v>708</v>
      </c>
      <c r="CH110" s="6"/>
      <c r="CI110" s="6">
        <f t="shared" si="26"/>
        <v>373</v>
      </c>
      <c r="CJ110" s="6">
        <v>1067</v>
      </c>
      <c r="CK110" s="6"/>
      <c r="CL110" s="6">
        <f t="shared" si="27"/>
        <v>359</v>
      </c>
      <c r="CM110" s="6">
        <v>1439</v>
      </c>
      <c r="CN110" s="6"/>
      <c r="CO110" s="6">
        <f t="shared" si="28"/>
        <v>372</v>
      </c>
      <c r="CP110" s="6">
        <v>246</v>
      </c>
      <c r="CQ110" s="6">
        <v>1560</v>
      </c>
      <c r="CR110" s="6">
        <f t="shared" si="29"/>
        <v>367</v>
      </c>
      <c r="CS110" s="6">
        <v>613</v>
      </c>
      <c r="CT110" s="6"/>
      <c r="CU110" s="6">
        <f t="shared" si="30"/>
        <v>367</v>
      </c>
      <c r="CV110" s="6">
        <v>940</v>
      </c>
      <c r="CW110" s="6"/>
      <c r="CX110" s="6">
        <f t="shared" si="31"/>
        <v>327</v>
      </c>
    </row>
    <row r="111" spans="1:102">
      <c r="A111" s="6">
        <v>107</v>
      </c>
      <c r="B111" s="6">
        <v>183</v>
      </c>
      <c r="C111" s="6">
        <v>1560</v>
      </c>
      <c r="D111" s="6">
        <v>320</v>
      </c>
      <c r="E111" s="33" t="s">
        <v>37</v>
      </c>
      <c r="F111" s="33" t="s">
        <v>37</v>
      </c>
      <c r="G111" s="33" t="s">
        <v>37</v>
      </c>
      <c r="H111" s="33" t="s">
        <v>37</v>
      </c>
      <c r="I111" s="33" t="s">
        <v>37</v>
      </c>
      <c r="J111" s="33" t="s">
        <v>37</v>
      </c>
      <c r="K111" s="33" t="s">
        <v>37</v>
      </c>
      <c r="L111" s="33" t="s">
        <v>37</v>
      </c>
      <c r="M111" s="33" t="s">
        <v>37</v>
      </c>
      <c r="N111" s="33" t="s">
        <v>37</v>
      </c>
      <c r="O111" s="33" t="s">
        <v>37</v>
      </c>
      <c r="P111" s="33" t="s">
        <v>37</v>
      </c>
      <c r="Q111" s="148" t="s">
        <v>37</v>
      </c>
      <c r="R111" s="33" t="s">
        <v>37</v>
      </c>
      <c r="S111" s="33" t="s">
        <v>37</v>
      </c>
      <c r="T111" s="33" t="s">
        <v>37</v>
      </c>
      <c r="U111" s="33" t="s">
        <v>37</v>
      </c>
      <c r="V111" s="6">
        <v>555</v>
      </c>
      <c r="W111" s="6"/>
      <c r="X111" s="35">
        <f t="shared" si="16"/>
        <v>372</v>
      </c>
      <c r="Y111" s="35">
        <v>911</v>
      </c>
      <c r="Z111" s="35"/>
      <c r="AA111" s="35">
        <f t="shared" si="17"/>
        <v>356</v>
      </c>
      <c r="AB111" s="6">
        <v>1116</v>
      </c>
      <c r="AC111" s="6"/>
      <c r="AD111" s="35">
        <f t="shared" si="18"/>
        <v>205</v>
      </c>
      <c r="AE111" s="6">
        <v>1355</v>
      </c>
      <c r="AF111" s="6"/>
      <c r="AG111" s="34">
        <f t="shared" si="19"/>
        <v>239</v>
      </c>
      <c r="AH111" s="35">
        <v>233</v>
      </c>
      <c r="AI111" s="35">
        <v>1475</v>
      </c>
      <c r="AJ111" s="35">
        <f t="shared" si="20"/>
        <v>353</v>
      </c>
      <c r="AK111" s="6">
        <v>573</v>
      </c>
      <c r="AL111" s="6"/>
      <c r="AM111" s="35">
        <f t="shared" si="21"/>
        <v>340</v>
      </c>
      <c r="AN111" s="6"/>
      <c r="AO111" s="6"/>
      <c r="AP111" s="35"/>
      <c r="AQ111" s="35">
        <v>944</v>
      </c>
      <c r="AR111" s="35"/>
      <c r="AS111" s="35">
        <f t="shared" si="22"/>
        <v>371</v>
      </c>
      <c r="AT111" s="6">
        <v>1310</v>
      </c>
      <c r="AU111" s="6"/>
      <c r="AV111" s="35">
        <f t="shared" si="23"/>
        <v>366</v>
      </c>
      <c r="AW111" s="6">
        <v>113</v>
      </c>
      <c r="AX111" s="6">
        <v>1560</v>
      </c>
      <c r="AY111" s="6">
        <f t="shared" si="24"/>
        <v>363</v>
      </c>
      <c r="AZ111" s="6">
        <v>197</v>
      </c>
      <c r="BA111" s="6"/>
      <c r="BB111" s="6">
        <f t="shared" si="25"/>
        <v>84</v>
      </c>
      <c r="BC111" s="6"/>
      <c r="BD111" s="6"/>
      <c r="BE111" s="6"/>
      <c r="BF111" s="6"/>
      <c r="BG111" s="6"/>
      <c r="BH111" s="35"/>
      <c r="BI111" s="6"/>
      <c r="BJ111" s="6"/>
      <c r="BK111" s="6"/>
      <c r="BL111" s="6"/>
      <c r="BM111" s="6"/>
      <c r="BN111" s="35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>
        <v>564</v>
      </c>
      <c r="CH111" s="6"/>
      <c r="CI111" s="6">
        <f t="shared" si="26"/>
        <v>367</v>
      </c>
      <c r="CJ111" s="6">
        <v>246</v>
      </c>
      <c r="CK111" s="6">
        <v>676</v>
      </c>
      <c r="CL111" s="6">
        <f t="shared" si="27"/>
        <v>358</v>
      </c>
      <c r="CM111" s="6">
        <v>611</v>
      </c>
      <c r="CN111" s="6"/>
      <c r="CO111" s="6">
        <f t="shared" si="28"/>
        <v>365</v>
      </c>
      <c r="CP111" s="6">
        <v>976</v>
      </c>
      <c r="CQ111" s="6"/>
      <c r="CR111" s="6">
        <f t="shared" si="29"/>
        <v>365</v>
      </c>
      <c r="CS111" s="6">
        <v>1335</v>
      </c>
      <c r="CT111" s="6"/>
      <c r="CU111" s="6">
        <f t="shared" si="30"/>
        <v>359</v>
      </c>
      <c r="CV111" s="6">
        <v>102</v>
      </c>
      <c r="CW111" s="6">
        <v>1560</v>
      </c>
      <c r="CX111" s="6">
        <f t="shared" si="31"/>
        <v>327</v>
      </c>
    </row>
    <row r="112" spans="1:102">
      <c r="A112" s="6">
        <v>108</v>
      </c>
      <c r="B112" s="6">
        <v>1291</v>
      </c>
      <c r="C112" s="6"/>
      <c r="D112" s="6">
        <v>350</v>
      </c>
      <c r="E112" s="33" t="s">
        <v>128</v>
      </c>
      <c r="F112" s="33" t="s">
        <v>128</v>
      </c>
      <c r="G112" s="33" t="s">
        <v>128</v>
      </c>
      <c r="H112" s="33" t="s">
        <v>128</v>
      </c>
      <c r="I112" s="33" t="s">
        <v>128</v>
      </c>
      <c r="J112" s="33" t="s">
        <v>128</v>
      </c>
      <c r="K112" s="33" t="s">
        <v>128</v>
      </c>
      <c r="L112" s="33" t="s">
        <v>128</v>
      </c>
      <c r="M112" s="33" t="s">
        <v>128</v>
      </c>
      <c r="N112" s="33" t="s">
        <v>128</v>
      </c>
      <c r="O112" s="33" t="s">
        <v>128</v>
      </c>
      <c r="P112" s="33" t="s">
        <v>128</v>
      </c>
      <c r="Q112" s="148" t="s">
        <v>37</v>
      </c>
      <c r="R112" s="33" t="s">
        <v>37</v>
      </c>
      <c r="S112" s="33" t="s">
        <v>37</v>
      </c>
      <c r="T112" s="33" t="s">
        <v>37</v>
      </c>
      <c r="U112" s="33" t="s">
        <v>37</v>
      </c>
      <c r="V112" s="6">
        <v>334</v>
      </c>
      <c r="W112" s="6">
        <v>1346</v>
      </c>
      <c r="X112" s="35">
        <f t="shared" si="16"/>
        <v>389</v>
      </c>
      <c r="Y112" s="35">
        <v>703</v>
      </c>
      <c r="Z112" s="35"/>
      <c r="AA112" s="35">
        <f t="shared" si="17"/>
        <v>369</v>
      </c>
      <c r="AB112" s="6">
        <v>914</v>
      </c>
      <c r="AC112" s="6"/>
      <c r="AD112" s="35">
        <f t="shared" si="18"/>
        <v>211</v>
      </c>
      <c r="AE112" s="6">
        <v>237</v>
      </c>
      <c r="AF112" s="6">
        <v>929</v>
      </c>
      <c r="AG112" s="34">
        <f t="shared" si="19"/>
        <v>252</v>
      </c>
      <c r="AH112" s="35">
        <v>606</v>
      </c>
      <c r="AI112" s="35"/>
      <c r="AJ112" s="35">
        <f t="shared" si="20"/>
        <v>369</v>
      </c>
      <c r="AK112" s="6">
        <v>182</v>
      </c>
      <c r="AL112" s="6">
        <v>765</v>
      </c>
      <c r="AM112" s="35">
        <f t="shared" si="21"/>
        <v>341</v>
      </c>
      <c r="AN112" s="6"/>
      <c r="AO112" s="6"/>
      <c r="AP112" s="35"/>
      <c r="AQ112" s="35">
        <v>323</v>
      </c>
      <c r="AR112" s="35">
        <v>228</v>
      </c>
      <c r="AS112" s="35">
        <f t="shared" si="22"/>
        <v>369</v>
      </c>
      <c r="AT112" s="6">
        <v>344</v>
      </c>
      <c r="AU112" s="6">
        <v>343</v>
      </c>
      <c r="AV112" s="35">
        <f t="shared" si="23"/>
        <v>364</v>
      </c>
      <c r="AW112" s="6">
        <v>720</v>
      </c>
      <c r="AX112" s="6"/>
      <c r="AY112" s="6">
        <f t="shared" si="24"/>
        <v>376</v>
      </c>
      <c r="AZ112" s="6">
        <v>808</v>
      </c>
      <c r="BA112" s="6"/>
      <c r="BB112" s="6">
        <f t="shared" si="25"/>
        <v>88</v>
      </c>
      <c r="BC112" s="6"/>
      <c r="BD112" s="6"/>
      <c r="BE112" s="6"/>
      <c r="BF112" s="6"/>
      <c r="BG112" s="6"/>
      <c r="BH112" s="35"/>
      <c r="BI112" s="6"/>
      <c r="BJ112" s="6"/>
      <c r="BK112" s="6"/>
      <c r="BL112" s="6"/>
      <c r="BM112" s="6"/>
      <c r="BN112" s="35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>
        <v>0</v>
      </c>
      <c r="CH112" s="6">
        <v>1127</v>
      </c>
      <c r="CI112" s="6">
        <f t="shared" si="26"/>
        <v>319</v>
      </c>
      <c r="CJ112" s="6">
        <v>328</v>
      </c>
      <c r="CK112" s="6"/>
      <c r="CL112" s="6">
        <f t="shared" si="27"/>
        <v>328</v>
      </c>
      <c r="CM112" s="6">
        <v>712</v>
      </c>
      <c r="CN112" s="6"/>
      <c r="CO112" s="6">
        <f t="shared" si="28"/>
        <v>384</v>
      </c>
      <c r="CP112" s="6">
        <v>1090</v>
      </c>
      <c r="CQ112" s="6"/>
      <c r="CR112" s="6">
        <f t="shared" si="29"/>
        <v>378</v>
      </c>
      <c r="CS112" s="6">
        <v>1471</v>
      </c>
      <c r="CT112" s="6"/>
      <c r="CU112" s="6">
        <f t="shared" si="30"/>
        <v>381</v>
      </c>
      <c r="CV112" s="6">
        <v>243</v>
      </c>
      <c r="CW112" s="6">
        <v>1560</v>
      </c>
      <c r="CX112" s="6">
        <f t="shared" si="31"/>
        <v>332</v>
      </c>
    </row>
    <row r="113" spans="1:102">
      <c r="A113" s="6">
        <v>109</v>
      </c>
      <c r="B113" s="6">
        <v>759</v>
      </c>
      <c r="C113" s="6"/>
      <c r="D113" s="6">
        <v>338</v>
      </c>
      <c r="E113" s="33" t="s">
        <v>128</v>
      </c>
      <c r="F113" s="33" t="s">
        <v>128</v>
      </c>
      <c r="G113" s="33" t="s">
        <v>128</v>
      </c>
      <c r="H113" s="33" t="s">
        <v>128</v>
      </c>
      <c r="I113" s="33" t="s">
        <v>128</v>
      </c>
      <c r="J113" s="33" t="s">
        <v>128</v>
      </c>
      <c r="K113" s="33" t="s">
        <v>128</v>
      </c>
      <c r="L113" s="33" t="s">
        <v>128</v>
      </c>
      <c r="M113" s="33" t="s">
        <v>128</v>
      </c>
      <c r="N113" s="33" t="s">
        <v>128</v>
      </c>
      <c r="O113" s="33" t="s">
        <v>128</v>
      </c>
      <c r="P113" s="33" t="s">
        <v>128</v>
      </c>
      <c r="Q113" s="33" t="s">
        <v>128</v>
      </c>
      <c r="R113" s="33" t="s">
        <v>128</v>
      </c>
      <c r="S113" s="148" t="s">
        <v>128</v>
      </c>
      <c r="T113" s="33" t="s">
        <v>128</v>
      </c>
      <c r="U113" s="33" t="s">
        <v>128</v>
      </c>
      <c r="V113" s="6">
        <v>1147</v>
      </c>
      <c r="W113" s="6"/>
      <c r="X113" s="35">
        <f t="shared" si="16"/>
        <v>388</v>
      </c>
      <c r="Y113" s="35">
        <v>1520</v>
      </c>
      <c r="Z113" s="35"/>
      <c r="AA113" s="35">
        <f t="shared" si="17"/>
        <v>373</v>
      </c>
      <c r="AB113" s="6">
        <v>330</v>
      </c>
      <c r="AC113" s="35">
        <v>1560</v>
      </c>
      <c r="AD113" s="35">
        <f t="shared" si="18"/>
        <v>370</v>
      </c>
      <c r="AE113" s="6">
        <v>445</v>
      </c>
      <c r="AF113" s="6"/>
      <c r="AG113" s="34">
        <f t="shared" si="19"/>
        <v>115</v>
      </c>
      <c r="AH113" s="35">
        <v>777</v>
      </c>
      <c r="AI113" s="35"/>
      <c r="AJ113" s="35">
        <f t="shared" si="20"/>
        <v>332</v>
      </c>
      <c r="AK113" s="6">
        <v>1137</v>
      </c>
      <c r="AL113" s="6"/>
      <c r="AM113" s="35">
        <f t="shared" si="21"/>
        <v>360</v>
      </c>
      <c r="AN113" s="6"/>
      <c r="AO113" s="6"/>
      <c r="AP113" s="35"/>
      <c r="AQ113" s="35">
        <v>1526</v>
      </c>
      <c r="AR113" s="35"/>
      <c r="AS113" s="35">
        <f t="shared" si="22"/>
        <v>389</v>
      </c>
      <c r="AT113" s="6">
        <v>354</v>
      </c>
      <c r="AU113" s="6">
        <v>1560</v>
      </c>
      <c r="AV113" s="35">
        <f t="shared" si="23"/>
        <v>388</v>
      </c>
      <c r="AW113" s="6">
        <v>735</v>
      </c>
      <c r="AX113" s="6"/>
      <c r="AY113" s="6">
        <f t="shared" si="24"/>
        <v>381</v>
      </c>
      <c r="AZ113" s="6">
        <v>820</v>
      </c>
      <c r="BA113" s="6"/>
      <c r="BB113" s="6">
        <f t="shared" si="25"/>
        <v>85</v>
      </c>
      <c r="BC113" s="6"/>
      <c r="BD113" s="6"/>
      <c r="BE113" s="6"/>
      <c r="BF113" s="6"/>
      <c r="BG113" s="6"/>
      <c r="BH113" s="35"/>
      <c r="BI113" s="6"/>
      <c r="BJ113" s="6"/>
      <c r="BK113" s="6"/>
      <c r="BL113" s="6"/>
      <c r="BM113" s="6"/>
      <c r="BN113" s="35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>
        <v>1209</v>
      </c>
      <c r="CH113" s="6"/>
      <c r="CI113" s="6">
        <f t="shared" si="26"/>
        <v>389</v>
      </c>
      <c r="CJ113" s="6">
        <v>1597</v>
      </c>
      <c r="CK113" s="6"/>
      <c r="CL113" s="6">
        <f t="shared" si="27"/>
        <v>388</v>
      </c>
      <c r="CM113" s="6">
        <v>0</v>
      </c>
      <c r="CN113" s="6">
        <v>1888</v>
      </c>
      <c r="CO113" s="6">
        <f t="shared" si="28"/>
        <v>291</v>
      </c>
      <c r="CP113" s="6">
        <v>303</v>
      </c>
      <c r="CQ113" s="6"/>
      <c r="CR113" s="6">
        <f t="shared" si="29"/>
        <v>303</v>
      </c>
      <c r="CS113" s="6">
        <v>688</v>
      </c>
      <c r="CT113" s="6"/>
      <c r="CU113" s="6">
        <f t="shared" si="30"/>
        <v>385</v>
      </c>
      <c r="CV113" s="6">
        <v>1003</v>
      </c>
      <c r="CW113" s="6"/>
      <c r="CX113" s="6">
        <f t="shared" si="31"/>
        <v>315</v>
      </c>
    </row>
    <row r="114" spans="1:102">
      <c r="A114" s="6">
        <v>110</v>
      </c>
      <c r="B114" s="6">
        <v>1273</v>
      </c>
      <c r="C114" s="6"/>
      <c r="D114" s="6">
        <v>339</v>
      </c>
      <c r="E114" s="33" t="s">
        <v>69</v>
      </c>
      <c r="F114" s="33" t="s">
        <v>69</v>
      </c>
      <c r="G114" s="33" t="s">
        <v>69</v>
      </c>
      <c r="H114" s="33" t="s">
        <v>69</v>
      </c>
      <c r="I114" s="33" t="s">
        <v>69</v>
      </c>
      <c r="J114" s="33" t="s">
        <v>69</v>
      </c>
      <c r="K114" s="33" t="s">
        <v>69</v>
      </c>
      <c r="L114" s="33" t="s">
        <v>69</v>
      </c>
      <c r="M114" s="33" t="s">
        <v>69</v>
      </c>
      <c r="N114" s="33" t="s">
        <v>69</v>
      </c>
      <c r="O114" s="33" t="s">
        <v>69</v>
      </c>
      <c r="P114" s="33" t="s">
        <v>69</v>
      </c>
      <c r="Q114" s="148" t="s">
        <v>37</v>
      </c>
      <c r="R114" s="33" t="s">
        <v>37</v>
      </c>
      <c r="S114" s="33" t="s">
        <v>37</v>
      </c>
      <c r="T114" s="33" t="s">
        <v>37</v>
      </c>
      <c r="U114" s="33" t="s">
        <v>37</v>
      </c>
      <c r="V114" s="6">
        <v>107</v>
      </c>
      <c r="W114" s="6">
        <v>1560</v>
      </c>
      <c r="X114" s="35">
        <f t="shared" si="16"/>
        <v>394</v>
      </c>
      <c r="Y114" s="35">
        <v>463</v>
      </c>
      <c r="Z114" s="35"/>
      <c r="AA114" s="35">
        <f t="shared" si="17"/>
        <v>356</v>
      </c>
      <c r="AB114" s="35">
        <v>840</v>
      </c>
      <c r="AC114" s="6"/>
      <c r="AD114" s="35">
        <f t="shared" si="18"/>
        <v>377</v>
      </c>
      <c r="AE114" s="6">
        <v>954</v>
      </c>
      <c r="AF114" s="6"/>
      <c r="AG114" s="34">
        <f t="shared" si="19"/>
        <v>114</v>
      </c>
      <c r="AH114" s="35">
        <v>1278</v>
      </c>
      <c r="AI114" s="35"/>
      <c r="AJ114" s="35">
        <f t="shared" si="20"/>
        <v>324</v>
      </c>
      <c r="AK114" s="6">
        <v>81</v>
      </c>
      <c r="AL114" s="6">
        <v>1560</v>
      </c>
      <c r="AM114" s="35">
        <f t="shared" si="21"/>
        <v>363</v>
      </c>
      <c r="AN114" s="6"/>
      <c r="AO114" s="6"/>
      <c r="AP114" s="35"/>
      <c r="AQ114" s="35">
        <v>470</v>
      </c>
      <c r="AR114" s="35"/>
      <c r="AS114" s="35">
        <f t="shared" si="22"/>
        <v>389</v>
      </c>
      <c r="AT114" s="6">
        <v>857</v>
      </c>
      <c r="AU114" s="6"/>
      <c r="AV114" s="35">
        <f t="shared" si="23"/>
        <v>387</v>
      </c>
      <c r="AW114" s="6">
        <v>1240</v>
      </c>
      <c r="AX114" s="6"/>
      <c r="AY114" s="6">
        <f t="shared" si="24"/>
        <v>383</v>
      </c>
      <c r="AZ114" s="6">
        <v>1340</v>
      </c>
      <c r="BA114" s="6"/>
      <c r="BB114" s="6">
        <f t="shared" si="25"/>
        <v>100</v>
      </c>
      <c r="BC114" s="6"/>
      <c r="BD114" s="6"/>
      <c r="BE114" s="6"/>
      <c r="BF114" s="6"/>
      <c r="BG114" s="6"/>
      <c r="BH114" s="35"/>
      <c r="BI114" s="6"/>
      <c r="BJ114" s="6"/>
      <c r="BK114" s="6"/>
      <c r="BL114" s="6"/>
      <c r="BM114" s="6"/>
      <c r="BN114" s="35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>
        <v>0</v>
      </c>
      <c r="CH114" s="6">
        <v>1590</v>
      </c>
      <c r="CI114" s="6">
        <f t="shared" si="26"/>
        <v>250</v>
      </c>
      <c r="CJ114" s="6">
        <v>315</v>
      </c>
      <c r="CK114" s="6"/>
      <c r="CL114" s="6">
        <f t="shared" si="27"/>
        <v>315</v>
      </c>
      <c r="CM114" s="6">
        <v>692</v>
      </c>
      <c r="CN114" s="6"/>
      <c r="CO114" s="6">
        <f t="shared" si="28"/>
        <v>377</v>
      </c>
      <c r="CP114" s="6">
        <v>1065</v>
      </c>
      <c r="CQ114" s="6"/>
      <c r="CR114" s="6">
        <f t="shared" si="29"/>
        <v>373</v>
      </c>
      <c r="CS114" s="6">
        <v>1435</v>
      </c>
      <c r="CT114" s="6"/>
      <c r="CU114" s="6">
        <f t="shared" si="30"/>
        <v>370</v>
      </c>
      <c r="CV114" s="6">
        <v>201</v>
      </c>
      <c r="CW114" s="6">
        <v>1560</v>
      </c>
      <c r="CX114" s="6">
        <f t="shared" si="31"/>
        <v>326</v>
      </c>
    </row>
    <row r="115" spans="1:102">
      <c r="A115" s="6">
        <v>111</v>
      </c>
      <c r="B115" s="6">
        <v>1194</v>
      </c>
      <c r="C115" s="6"/>
      <c r="D115" s="6">
        <v>327</v>
      </c>
      <c r="E115" s="33" t="s">
        <v>37</v>
      </c>
      <c r="F115" s="33" t="s">
        <v>37</v>
      </c>
      <c r="G115" s="33" t="s">
        <v>37</v>
      </c>
      <c r="H115" s="33" t="s">
        <v>37</v>
      </c>
      <c r="I115" s="33" t="s">
        <v>37</v>
      </c>
      <c r="J115" s="33" t="s">
        <v>37</v>
      </c>
      <c r="K115" s="33" t="s">
        <v>37</v>
      </c>
      <c r="L115" s="33" t="s">
        <v>37</v>
      </c>
      <c r="M115" s="33" t="s">
        <v>37</v>
      </c>
      <c r="N115" s="33" t="s">
        <v>37</v>
      </c>
      <c r="O115" s="33" t="s">
        <v>37</v>
      </c>
      <c r="P115" s="33" t="s">
        <v>37</v>
      </c>
      <c r="Q115" s="33" t="s">
        <v>37</v>
      </c>
      <c r="R115" s="33" t="s">
        <v>37</v>
      </c>
      <c r="S115" s="33" t="s">
        <v>37</v>
      </c>
      <c r="T115" s="33" t="s">
        <v>37</v>
      </c>
      <c r="U115" s="148" t="s">
        <v>37</v>
      </c>
      <c r="V115" s="35">
        <v>5</v>
      </c>
      <c r="W115" s="35">
        <v>1560</v>
      </c>
      <c r="X115" s="35">
        <f t="shared" si="16"/>
        <v>371</v>
      </c>
      <c r="Y115" s="35">
        <v>371</v>
      </c>
      <c r="Z115" s="35"/>
      <c r="AA115" s="35">
        <f t="shared" si="17"/>
        <v>366</v>
      </c>
      <c r="AB115" s="6">
        <v>740</v>
      </c>
      <c r="AC115" s="6"/>
      <c r="AD115" s="35">
        <f t="shared" si="18"/>
        <v>369</v>
      </c>
      <c r="AE115" s="6">
        <v>850</v>
      </c>
      <c r="AF115" s="6"/>
      <c r="AG115" s="34">
        <f t="shared" si="19"/>
        <v>110</v>
      </c>
      <c r="AH115" s="35">
        <v>1175</v>
      </c>
      <c r="AI115" s="35"/>
      <c r="AJ115" s="35">
        <f t="shared" si="20"/>
        <v>325</v>
      </c>
      <c r="AK115" s="6">
        <v>1524</v>
      </c>
      <c r="AL115" s="6"/>
      <c r="AM115" s="35">
        <f t="shared" si="21"/>
        <v>349</v>
      </c>
      <c r="AN115" s="6"/>
      <c r="AO115" s="6"/>
      <c r="AP115" s="35"/>
      <c r="AQ115" s="35">
        <v>348</v>
      </c>
      <c r="AR115" s="35">
        <v>1560</v>
      </c>
      <c r="AS115" s="35">
        <f t="shared" si="22"/>
        <v>384</v>
      </c>
      <c r="AT115" s="6">
        <v>729</v>
      </c>
      <c r="AU115" s="6"/>
      <c r="AV115" s="35">
        <f t="shared" si="23"/>
        <v>381</v>
      </c>
      <c r="AW115" s="6">
        <v>1107</v>
      </c>
      <c r="AX115" s="6"/>
      <c r="AY115" s="6">
        <f t="shared" si="24"/>
        <v>378</v>
      </c>
      <c r="AZ115" s="6">
        <v>1190</v>
      </c>
      <c r="BA115" s="6"/>
      <c r="BB115" s="6">
        <f t="shared" si="25"/>
        <v>83</v>
      </c>
      <c r="BC115" s="6"/>
      <c r="BD115" s="6"/>
      <c r="BE115" s="6"/>
      <c r="BF115" s="6"/>
      <c r="BG115" s="6"/>
      <c r="BH115" s="35"/>
      <c r="BI115" s="6"/>
      <c r="BJ115" s="6"/>
      <c r="BK115" s="6"/>
      <c r="BL115" s="6"/>
      <c r="BM115" s="6"/>
      <c r="BN115" s="35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>
        <v>7</v>
      </c>
      <c r="CH115" s="6">
        <v>1560</v>
      </c>
      <c r="CI115" s="6">
        <f t="shared" si="26"/>
        <v>377</v>
      </c>
      <c r="CJ115" s="6">
        <v>389</v>
      </c>
      <c r="CK115" s="6"/>
      <c r="CL115" s="6">
        <f t="shared" si="27"/>
        <v>382</v>
      </c>
      <c r="CM115" s="6">
        <v>770</v>
      </c>
      <c r="CN115" s="6"/>
      <c r="CO115" s="6">
        <f t="shared" si="28"/>
        <v>381</v>
      </c>
      <c r="CP115" s="6">
        <v>1150</v>
      </c>
      <c r="CQ115" s="6"/>
      <c r="CR115" s="6">
        <f t="shared" si="29"/>
        <v>380</v>
      </c>
      <c r="CS115" s="6">
        <v>1514</v>
      </c>
      <c r="CT115" s="6"/>
      <c r="CU115" s="6">
        <f t="shared" si="30"/>
        <v>364</v>
      </c>
      <c r="CV115" s="6">
        <v>248</v>
      </c>
      <c r="CW115" s="6">
        <v>1566</v>
      </c>
      <c r="CX115" s="6">
        <f t="shared" si="31"/>
        <v>300</v>
      </c>
    </row>
    <row r="116" spans="1:102">
      <c r="A116" s="6">
        <v>112</v>
      </c>
      <c r="B116" s="6">
        <v>167</v>
      </c>
      <c r="C116" s="6">
        <v>1560</v>
      </c>
      <c r="D116" s="6">
        <v>319</v>
      </c>
      <c r="E116" s="33" t="s">
        <v>128</v>
      </c>
      <c r="F116" s="33" t="s">
        <v>128</v>
      </c>
      <c r="G116" s="33" t="s">
        <v>128</v>
      </c>
      <c r="H116" s="33" t="s">
        <v>128</v>
      </c>
      <c r="I116" s="33" t="s">
        <v>128</v>
      </c>
      <c r="J116" s="33" t="s">
        <v>128</v>
      </c>
      <c r="K116" s="33" t="s">
        <v>128</v>
      </c>
      <c r="L116" s="33" t="s">
        <v>128</v>
      </c>
      <c r="M116" s="33" t="s">
        <v>128</v>
      </c>
      <c r="N116" s="33" t="s">
        <v>128</v>
      </c>
      <c r="O116" s="33" t="s">
        <v>128</v>
      </c>
      <c r="P116" s="33" t="s">
        <v>128</v>
      </c>
      <c r="Q116" s="33" t="s">
        <v>128</v>
      </c>
      <c r="R116" s="33" t="s">
        <v>128</v>
      </c>
      <c r="S116" s="148" t="s">
        <v>128</v>
      </c>
      <c r="T116" s="33" t="s">
        <v>128</v>
      </c>
      <c r="U116" s="33" t="s">
        <v>128</v>
      </c>
      <c r="V116" s="6">
        <v>549</v>
      </c>
      <c r="W116" s="6"/>
      <c r="X116" s="35">
        <f t="shared" si="16"/>
        <v>382</v>
      </c>
      <c r="Y116" s="35">
        <v>898</v>
      </c>
      <c r="Z116" s="35"/>
      <c r="AA116" s="35">
        <f t="shared" si="17"/>
        <v>349</v>
      </c>
      <c r="AB116" s="6">
        <v>296</v>
      </c>
      <c r="AC116" s="6">
        <v>901</v>
      </c>
      <c r="AD116" s="35">
        <f t="shared" si="18"/>
        <v>299</v>
      </c>
      <c r="AE116" s="6">
        <v>11</v>
      </c>
      <c r="AF116" s="6">
        <v>394</v>
      </c>
      <c r="AG116" s="34">
        <f t="shared" si="19"/>
        <v>109</v>
      </c>
      <c r="AH116" s="35">
        <v>327</v>
      </c>
      <c r="AI116" s="35"/>
      <c r="AJ116" s="35">
        <f t="shared" si="20"/>
        <v>316</v>
      </c>
      <c r="AK116" s="6">
        <v>679</v>
      </c>
      <c r="AL116" s="6"/>
      <c r="AM116" s="35">
        <f t="shared" si="21"/>
        <v>352</v>
      </c>
      <c r="AN116" s="6"/>
      <c r="AO116" s="6"/>
      <c r="AP116" s="35"/>
      <c r="AQ116" s="35">
        <v>1058</v>
      </c>
      <c r="AR116" s="35"/>
      <c r="AS116" s="35">
        <f t="shared" si="22"/>
        <v>379</v>
      </c>
      <c r="AT116" s="6">
        <v>1426</v>
      </c>
      <c r="AU116" s="6"/>
      <c r="AV116" s="35">
        <f t="shared" si="23"/>
        <v>368</v>
      </c>
      <c r="AW116" s="6">
        <v>230</v>
      </c>
      <c r="AX116" s="6">
        <v>1560</v>
      </c>
      <c r="AY116" s="6">
        <f t="shared" si="24"/>
        <v>364</v>
      </c>
      <c r="AZ116" s="6">
        <v>320</v>
      </c>
      <c r="BA116" s="6"/>
      <c r="BB116" s="6">
        <f t="shared" si="25"/>
        <v>90</v>
      </c>
      <c r="BC116" s="6"/>
      <c r="BD116" s="6"/>
      <c r="BE116" s="6"/>
      <c r="BF116" s="6"/>
      <c r="BG116" s="6"/>
      <c r="BH116" s="35"/>
      <c r="BI116" s="6"/>
      <c r="BJ116" s="6"/>
      <c r="BK116" s="6"/>
      <c r="BL116" s="6"/>
      <c r="BM116" s="6"/>
      <c r="BN116" s="35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>
        <v>686</v>
      </c>
      <c r="CH116" s="6"/>
      <c r="CI116" s="6">
        <f t="shared" si="26"/>
        <v>366</v>
      </c>
      <c r="CJ116" s="6">
        <v>1062</v>
      </c>
      <c r="CK116" s="6"/>
      <c r="CL116" s="6">
        <f t="shared" si="27"/>
        <v>376</v>
      </c>
      <c r="CM116" s="6">
        <v>0</v>
      </c>
      <c r="CN116" s="6">
        <v>1337</v>
      </c>
      <c r="CO116" s="6">
        <f t="shared" si="28"/>
        <v>275</v>
      </c>
      <c r="CP116" s="6">
        <v>296</v>
      </c>
      <c r="CQ116" s="6"/>
      <c r="CR116" s="6">
        <f t="shared" si="29"/>
        <v>296</v>
      </c>
      <c r="CS116" s="6">
        <v>669</v>
      </c>
      <c r="CT116" s="6"/>
      <c r="CU116" s="6">
        <f t="shared" si="30"/>
        <v>373</v>
      </c>
      <c r="CV116" s="6">
        <v>998</v>
      </c>
      <c r="CW116" s="6"/>
      <c r="CX116" s="6">
        <f t="shared" si="31"/>
        <v>329</v>
      </c>
    </row>
    <row r="117" spans="1:102">
      <c r="A117" s="6">
        <v>113</v>
      </c>
      <c r="B117" s="6">
        <v>592</v>
      </c>
      <c r="C117" s="6"/>
      <c r="D117" s="6">
        <v>315</v>
      </c>
      <c r="E117" s="33" t="s">
        <v>37</v>
      </c>
      <c r="F117" s="33" t="s">
        <v>37</v>
      </c>
      <c r="G117" s="33" t="s">
        <v>37</v>
      </c>
      <c r="H117" s="33" t="s">
        <v>37</v>
      </c>
      <c r="I117" s="33" t="s">
        <v>37</v>
      </c>
      <c r="J117" s="33" t="s">
        <v>37</v>
      </c>
      <c r="K117" s="33" t="s">
        <v>37</v>
      </c>
      <c r="L117" s="33" t="s">
        <v>37</v>
      </c>
      <c r="M117" s="33" t="s">
        <v>37</v>
      </c>
      <c r="N117" s="33" t="s">
        <v>37</v>
      </c>
      <c r="O117" s="33" t="s">
        <v>37</v>
      </c>
      <c r="P117" s="33" t="s">
        <v>37</v>
      </c>
      <c r="Q117" s="33" t="s">
        <v>37</v>
      </c>
      <c r="R117" s="33" t="s">
        <v>37</v>
      </c>
      <c r="S117" s="33" t="s">
        <v>37</v>
      </c>
      <c r="T117" s="33" t="s">
        <v>37</v>
      </c>
      <c r="U117" s="148" t="s">
        <v>37</v>
      </c>
      <c r="V117" s="35">
        <v>195</v>
      </c>
      <c r="W117" s="35">
        <v>786</v>
      </c>
      <c r="X117" s="35">
        <f t="shared" si="16"/>
        <v>389</v>
      </c>
      <c r="Y117" s="35">
        <v>559</v>
      </c>
      <c r="Z117" s="35"/>
      <c r="AA117" s="35">
        <f t="shared" si="17"/>
        <v>364</v>
      </c>
      <c r="AB117" s="6">
        <v>930</v>
      </c>
      <c r="AC117" s="6"/>
      <c r="AD117" s="35">
        <f t="shared" si="18"/>
        <v>371</v>
      </c>
      <c r="AE117" s="6">
        <v>1042</v>
      </c>
      <c r="AF117" s="6"/>
      <c r="AG117" s="34">
        <f t="shared" si="19"/>
        <v>112</v>
      </c>
      <c r="AH117" s="35">
        <v>1368</v>
      </c>
      <c r="AI117" s="35"/>
      <c r="AJ117" s="35">
        <f t="shared" si="20"/>
        <v>326</v>
      </c>
      <c r="AK117" s="6">
        <v>158</v>
      </c>
      <c r="AL117" s="6">
        <v>1560</v>
      </c>
      <c r="AM117" s="35">
        <f t="shared" si="21"/>
        <v>350</v>
      </c>
      <c r="AN117" s="6"/>
      <c r="AO117" s="6"/>
      <c r="AP117" s="35"/>
      <c r="AQ117" s="6">
        <v>528</v>
      </c>
      <c r="AR117" s="6"/>
      <c r="AS117" s="35">
        <f t="shared" si="22"/>
        <v>370</v>
      </c>
      <c r="AT117" s="6">
        <v>898</v>
      </c>
      <c r="AU117" s="6"/>
      <c r="AV117" s="35">
        <f t="shared" si="23"/>
        <v>370</v>
      </c>
      <c r="AW117" s="6">
        <v>1269</v>
      </c>
      <c r="AX117" s="6"/>
      <c r="AY117" s="6">
        <f t="shared" si="24"/>
        <v>371</v>
      </c>
      <c r="AZ117" s="6">
        <v>1346</v>
      </c>
      <c r="BA117" s="35"/>
      <c r="BB117" s="6">
        <f t="shared" si="25"/>
        <v>77</v>
      </c>
      <c r="BC117" s="6"/>
      <c r="BD117" s="6"/>
      <c r="BE117" s="6"/>
      <c r="BF117" s="6"/>
      <c r="BG117" s="6"/>
      <c r="BH117" s="35"/>
      <c r="BI117" s="6"/>
      <c r="BJ117" s="6"/>
      <c r="BK117" s="6"/>
      <c r="BL117" s="6"/>
      <c r="BM117" s="6"/>
      <c r="BN117" s="35"/>
      <c r="BO117" s="6"/>
      <c r="BP117" s="35"/>
      <c r="BQ117" s="6"/>
      <c r="BR117" s="6"/>
      <c r="BS117" s="6"/>
      <c r="BT117" s="35"/>
      <c r="BU117" s="6"/>
      <c r="BV117" s="35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>
        <v>147</v>
      </c>
      <c r="CH117" s="6">
        <v>1560</v>
      </c>
      <c r="CI117" s="6">
        <f t="shared" si="26"/>
        <v>361</v>
      </c>
      <c r="CJ117" s="6">
        <v>524</v>
      </c>
      <c r="CK117" s="6"/>
      <c r="CL117" s="6">
        <f t="shared" si="27"/>
        <v>377</v>
      </c>
      <c r="CM117" s="6">
        <v>901</v>
      </c>
      <c r="CN117" s="6"/>
      <c r="CO117" s="6">
        <f t="shared" si="28"/>
        <v>377</v>
      </c>
      <c r="CP117" s="6">
        <v>1271</v>
      </c>
      <c r="CQ117" s="6"/>
      <c r="CR117" s="6">
        <f t="shared" si="29"/>
        <v>370</v>
      </c>
      <c r="CS117" s="6">
        <v>1641</v>
      </c>
      <c r="CT117" s="6"/>
      <c r="CU117" s="6">
        <f t="shared" si="30"/>
        <v>370</v>
      </c>
      <c r="CV117" s="6">
        <v>225</v>
      </c>
      <c r="CW117" s="6">
        <v>1743</v>
      </c>
      <c r="CX117" s="6">
        <f t="shared" si="31"/>
        <v>327</v>
      </c>
    </row>
    <row r="118" spans="1:102">
      <c r="A118" s="6">
        <v>114</v>
      </c>
      <c r="B118" s="6">
        <v>926</v>
      </c>
      <c r="C118" s="6"/>
      <c r="D118" s="6">
        <v>330</v>
      </c>
      <c r="E118" s="33" t="s">
        <v>128</v>
      </c>
      <c r="F118" s="33" t="s">
        <v>128</v>
      </c>
      <c r="G118" s="33" t="s">
        <v>128</v>
      </c>
      <c r="H118" s="33" t="s">
        <v>128</v>
      </c>
      <c r="I118" s="33" t="s">
        <v>128</v>
      </c>
      <c r="J118" s="33" t="s">
        <v>128</v>
      </c>
      <c r="K118" s="33" t="s">
        <v>128</v>
      </c>
      <c r="L118" s="33" t="s">
        <v>128</v>
      </c>
      <c r="M118" s="33" t="s">
        <v>128</v>
      </c>
      <c r="N118" s="33" t="s">
        <v>128</v>
      </c>
      <c r="O118" s="33" t="s">
        <v>128</v>
      </c>
      <c r="P118" s="33" t="s">
        <v>128</v>
      </c>
      <c r="Q118" s="33" t="s">
        <v>128</v>
      </c>
      <c r="R118" s="148" t="s">
        <v>37</v>
      </c>
      <c r="S118" s="33" t="s">
        <v>37</v>
      </c>
      <c r="T118" s="33" t="s">
        <v>37</v>
      </c>
      <c r="U118" s="33" t="s">
        <v>37</v>
      </c>
      <c r="V118" s="6">
        <v>1316</v>
      </c>
      <c r="W118" s="6"/>
      <c r="X118" s="35">
        <f t="shared" si="16"/>
        <v>390</v>
      </c>
      <c r="Y118" s="35">
        <v>120</v>
      </c>
      <c r="Z118" s="35">
        <v>1560</v>
      </c>
      <c r="AA118" s="35">
        <f t="shared" si="17"/>
        <v>364</v>
      </c>
      <c r="AB118" s="6">
        <v>482</v>
      </c>
      <c r="AC118" s="6"/>
      <c r="AD118" s="35">
        <f t="shared" si="18"/>
        <v>362</v>
      </c>
      <c r="AE118" s="6">
        <v>594</v>
      </c>
      <c r="AF118" s="6"/>
      <c r="AG118" s="34">
        <f t="shared" si="19"/>
        <v>112</v>
      </c>
      <c r="AH118" s="35">
        <v>911</v>
      </c>
      <c r="AI118" s="35"/>
      <c r="AJ118" s="35">
        <f t="shared" si="20"/>
        <v>317</v>
      </c>
      <c r="AK118" s="6">
        <v>1264</v>
      </c>
      <c r="AL118" s="6"/>
      <c r="AM118" s="35">
        <f t="shared" si="21"/>
        <v>353</v>
      </c>
      <c r="AN118" s="6"/>
      <c r="AO118" s="6"/>
      <c r="AP118" s="35"/>
      <c r="AQ118" s="35">
        <v>83</v>
      </c>
      <c r="AR118" s="35">
        <v>1560</v>
      </c>
      <c r="AS118" s="35">
        <f t="shared" si="22"/>
        <v>379</v>
      </c>
      <c r="AT118" s="6">
        <v>457</v>
      </c>
      <c r="AU118" s="6"/>
      <c r="AV118" s="35">
        <f t="shared" si="23"/>
        <v>374</v>
      </c>
      <c r="AW118" s="6">
        <v>831</v>
      </c>
      <c r="AX118" s="6"/>
      <c r="AY118" s="6">
        <f t="shared" si="24"/>
        <v>374</v>
      </c>
      <c r="AZ118" s="6">
        <v>915</v>
      </c>
      <c r="BA118" s="6"/>
      <c r="BB118" s="6">
        <f t="shared" si="25"/>
        <v>84</v>
      </c>
      <c r="BC118" s="6"/>
      <c r="BD118" s="6"/>
      <c r="BE118" s="6"/>
      <c r="BF118" s="6"/>
      <c r="BG118" s="6"/>
      <c r="BH118" s="35"/>
      <c r="BI118" s="6"/>
      <c r="BJ118" s="6"/>
      <c r="BK118" s="6"/>
      <c r="BL118" s="6"/>
      <c r="BM118" s="6"/>
      <c r="BN118" s="35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>
        <v>1291</v>
      </c>
      <c r="CH118" s="6"/>
      <c r="CI118" s="6">
        <f t="shared" si="26"/>
        <v>376</v>
      </c>
      <c r="CJ118" s="6">
        <v>1659</v>
      </c>
      <c r="CK118" s="6"/>
      <c r="CL118" s="6">
        <f t="shared" si="27"/>
        <v>368</v>
      </c>
      <c r="CM118" s="6">
        <v>287</v>
      </c>
      <c r="CN118" s="6">
        <v>1704</v>
      </c>
      <c r="CO118" s="6">
        <f t="shared" si="28"/>
        <v>332</v>
      </c>
      <c r="CP118" s="6">
        <v>663</v>
      </c>
      <c r="CQ118" s="6"/>
      <c r="CR118" s="6">
        <f t="shared" si="29"/>
        <v>376</v>
      </c>
      <c r="CS118" s="6">
        <v>1036</v>
      </c>
      <c r="CT118" s="6"/>
      <c r="CU118" s="6">
        <f t="shared" si="30"/>
        <v>373</v>
      </c>
      <c r="CV118" s="6">
        <v>1366</v>
      </c>
      <c r="CW118" s="6"/>
      <c r="CX118" s="6">
        <f t="shared" si="31"/>
        <v>330</v>
      </c>
    </row>
    <row r="119" spans="1:102">
      <c r="A119" s="6">
        <v>115</v>
      </c>
      <c r="B119" s="6">
        <v>626</v>
      </c>
      <c r="C119" s="6"/>
      <c r="D119" s="6">
        <v>333</v>
      </c>
      <c r="E119" s="33" t="s">
        <v>37</v>
      </c>
      <c r="F119" s="33" t="s">
        <v>37</v>
      </c>
      <c r="G119" s="33" t="s">
        <v>37</v>
      </c>
      <c r="H119" s="33" t="s">
        <v>37</v>
      </c>
      <c r="I119" s="33" t="s">
        <v>37</v>
      </c>
      <c r="J119" s="33" t="s">
        <v>37</v>
      </c>
      <c r="K119" s="33" t="s">
        <v>37</v>
      </c>
      <c r="L119" s="33" t="s">
        <v>37</v>
      </c>
      <c r="M119" s="33" t="s">
        <v>37</v>
      </c>
      <c r="N119" s="33" t="s">
        <v>37</v>
      </c>
      <c r="O119" s="33" t="s">
        <v>37</v>
      </c>
      <c r="P119" s="33" t="s">
        <v>37</v>
      </c>
      <c r="Q119" s="33" t="s">
        <v>37</v>
      </c>
      <c r="R119" s="33" t="s">
        <v>37</v>
      </c>
      <c r="S119" s="33" t="s">
        <v>37</v>
      </c>
      <c r="T119" s="33" t="s">
        <v>37</v>
      </c>
      <c r="U119" s="148" t="s">
        <v>37</v>
      </c>
      <c r="V119" s="6">
        <v>1021</v>
      </c>
      <c r="W119" s="6"/>
      <c r="X119" s="35">
        <f t="shared" si="16"/>
        <v>395</v>
      </c>
      <c r="Y119" s="35">
        <v>1387</v>
      </c>
      <c r="Z119" s="35"/>
      <c r="AA119" s="35">
        <f t="shared" si="17"/>
        <v>366</v>
      </c>
      <c r="AB119" s="6">
        <v>193</v>
      </c>
      <c r="AC119" s="6">
        <v>1560</v>
      </c>
      <c r="AD119" s="35">
        <f t="shared" si="18"/>
        <v>366</v>
      </c>
      <c r="AE119" s="6">
        <v>309</v>
      </c>
      <c r="AF119" s="6"/>
      <c r="AG119" s="34">
        <f t="shared" si="19"/>
        <v>116</v>
      </c>
      <c r="AH119" s="35">
        <v>634</v>
      </c>
      <c r="AI119" s="35"/>
      <c r="AJ119" s="35">
        <f t="shared" si="20"/>
        <v>325</v>
      </c>
      <c r="AK119" s="6">
        <v>970</v>
      </c>
      <c r="AL119" s="6"/>
      <c r="AM119" s="35">
        <f t="shared" si="21"/>
        <v>336</v>
      </c>
      <c r="AN119" s="6"/>
      <c r="AO119" s="6"/>
      <c r="AP119" s="35"/>
      <c r="AQ119" s="35">
        <v>1347</v>
      </c>
      <c r="AR119" s="35"/>
      <c r="AS119" s="35">
        <f t="shared" si="22"/>
        <v>377</v>
      </c>
      <c r="AT119" s="6">
        <v>161</v>
      </c>
      <c r="AU119" s="6">
        <v>1560</v>
      </c>
      <c r="AV119" s="35">
        <f t="shared" si="23"/>
        <v>374</v>
      </c>
      <c r="AW119" s="6">
        <v>525</v>
      </c>
      <c r="AX119" s="6"/>
      <c r="AY119" s="6">
        <f t="shared" si="24"/>
        <v>364</v>
      </c>
      <c r="AZ119" s="6">
        <v>613</v>
      </c>
      <c r="BA119" s="6"/>
      <c r="BB119" s="6">
        <f t="shared" si="25"/>
        <v>88</v>
      </c>
      <c r="BC119" s="6"/>
      <c r="BD119" s="6"/>
      <c r="BE119" s="6"/>
      <c r="BF119" s="6"/>
      <c r="BG119" s="6"/>
      <c r="BH119" s="35"/>
      <c r="BI119" s="6"/>
      <c r="BJ119" s="6"/>
      <c r="BK119" s="6"/>
      <c r="BL119" s="6"/>
      <c r="BM119" s="6"/>
      <c r="BN119" s="35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>
        <v>992</v>
      </c>
      <c r="CH119" s="6"/>
      <c r="CI119" s="6">
        <f t="shared" si="26"/>
        <v>379</v>
      </c>
      <c r="CJ119" s="6">
        <v>1361</v>
      </c>
      <c r="CK119" s="6"/>
      <c r="CL119" s="6">
        <f t="shared" si="27"/>
        <v>369</v>
      </c>
      <c r="CM119" s="6">
        <v>172</v>
      </c>
      <c r="CN119" s="6">
        <v>1560</v>
      </c>
      <c r="CO119" s="6">
        <f t="shared" si="28"/>
        <v>371</v>
      </c>
      <c r="CP119" s="6">
        <v>541</v>
      </c>
      <c r="CQ119" s="6"/>
      <c r="CR119" s="6">
        <f t="shared" si="29"/>
        <v>369</v>
      </c>
      <c r="CS119" s="6">
        <v>0</v>
      </c>
      <c r="CT119" s="6">
        <v>886</v>
      </c>
      <c r="CU119" s="6">
        <f t="shared" si="30"/>
        <v>345</v>
      </c>
      <c r="CV119" s="6">
        <v>297</v>
      </c>
      <c r="CW119" s="6"/>
      <c r="CX119" s="6">
        <f t="shared" si="31"/>
        <v>297</v>
      </c>
    </row>
    <row r="120" spans="1:102">
      <c r="A120" s="6">
        <v>116</v>
      </c>
      <c r="B120" s="6">
        <v>313</v>
      </c>
      <c r="C120" s="6">
        <v>703</v>
      </c>
      <c r="D120" s="6">
        <v>314</v>
      </c>
      <c r="E120" s="33" t="s">
        <v>37</v>
      </c>
      <c r="F120" s="33" t="s">
        <v>37</v>
      </c>
      <c r="G120" s="33" t="s">
        <v>37</v>
      </c>
      <c r="H120" s="33" t="s">
        <v>37</v>
      </c>
      <c r="I120" s="33" t="s">
        <v>37</v>
      </c>
      <c r="J120" s="33" t="s">
        <v>37</v>
      </c>
      <c r="K120" s="33" t="s">
        <v>37</v>
      </c>
      <c r="L120" s="33" t="s">
        <v>37</v>
      </c>
      <c r="M120" s="33" t="s">
        <v>37</v>
      </c>
      <c r="N120" s="33" t="s">
        <v>37</v>
      </c>
      <c r="O120" s="33" t="s">
        <v>37</v>
      </c>
      <c r="P120" s="33" t="s">
        <v>37</v>
      </c>
      <c r="Q120" s="33" t="s">
        <v>37</v>
      </c>
      <c r="R120" s="33" t="s">
        <v>37</v>
      </c>
      <c r="S120" s="33" t="s">
        <v>37</v>
      </c>
      <c r="T120" s="33" t="s">
        <v>37</v>
      </c>
      <c r="U120" s="33" t="s">
        <v>37</v>
      </c>
      <c r="V120" s="6">
        <v>27</v>
      </c>
      <c r="W120" s="6">
        <v>648</v>
      </c>
      <c r="X120" s="35">
        <f t="shared" si="16"/>
        <v>362</v>
      </c>
      <c r="Y120" s="35">
        <v>378</v>
      </c>
      <c r="Z120" s="35"/>
      <c r="AA120" s="35">
        <f t="shared" si="17"/>
        <v>351</v>
      </c>
      <c r="AB120" s="6">
        <v>712</v>
      </c>
      <c r="AC120" s="6"/>
      <c r="AD120" s="35">
        <f t="shared" si="18"/>
        <v>334</v>
      </c>
      <c r="AE120" s="6">
        <v>16</v>
      </c>
      <c r="AF120" s="6">
        <v>799</v>
      </c>
      <c r="AG120" s="34">
        <f t="shared" si="19"/>
        <v>103</v>
      </c>
      <c r="AH120" s="35">
        <v>165</v>
      </c>
      <c r="AI120" s="35">
        <v>158</v>
      </c>
      <c r="AJ120" s="35">
        <f t="shared" si="20"/>
        <v>307</v>
      </c>
      <c r="AK120" s="6">
        <v>523</v>
      </c>
      <c r="AL120" s="6"/>
      <c r="AM120" s="35">
        <f t="shared" si="21"/>
        <v>358</v>
      </c>
      <c r="AN120" s="6"/>
      <c r="AO120" s="6"/>
      <c r="AP120" s="35"/>
      <c r="AQ120" s="35">
        <v>264</v>
      </c>
      <c r="AR120" s="35">
        <v>645</v>
      </c>
      <c r="AS120" s="35">
        <f t="shared" si="22"/>
        <v>386</v>
      </c>
      <c r="AT120" s="6">
        <v>311</v>
      </c>
      <c r="AU120" s="6">
        <v>327</v>
      </c>
      <c r="AV120" s="35">
        <f t="shared" si="23"/>
        <v>374</v>
      </c>
      <c r="AW120" s="6">
        <v>283</v>
      </c>
      <c r="AX120" s="6">
        <v>410</v>
      </c>
      <c r="AY120" s="6">
        <f t="shared" si="24"/>
        <v>382</v>
      </c>
      <c r="AZ120" s="6">
        <v>75</v>
      </c>
      <c r="BA120" s="6">
        <v>297</v>
      </c>
      <c r="BB120" s="6">
        <f t="shared" si="25"/>
        <v>89</v>
      </c>
      <c r="BC120" s="6"/>
      <c r="BD120" s="6"/>
      <c r="BE120" s="6"/>
      <c r="BF120" s="6"/>
      <c r="BG120" s="6"/>
      <c r="BH120" s="35"/>
      <c r="BI120" s="6"/>
      <c r="BJ120" s="6"/>
      <c r="BK120" s="6"/>
      <c r="BL120" s="6"/>
      <c r="BM120" s="6"/>
      <c r="BN120" s="35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>
        <v>467</v>
      </c>
      <c r="CH120" s="6"/>
      <c r="CI120" s="6">
        <f t="shared" si="26"/>
        <v>392</v>
      </c>
      <c r="CJ120" s="6">
        <v>853</v>
      </c>
      <c r="CK120" s="6"/>
      <c r="CL120" s="6">
        <f t="shared" si="27"/>
        <v>386</v>
      </c>
      <c r="CM120" s="6">
        <v>1240</v>
      </c>
      <c r="CN120" s="6"/>
      <c r="CO120" s="6">
        <f t="shared" si="28"/>
        <v>387</v>
      </c>
      <c r="CP120" s="6">
        <v>283</v>
      </c>
      <c r="CQ120" s="6">
        <v>1334</v>
      </c>
      <c r="CR120" s="6">
        <f t="shared" si="29"/>
        <v>377</v>
      </c>
      <c r="CS120" s="6">
        <v>669</v>
      </c>
      <c r="CT120" s="6"/>
      <c r="CU120" s="6">
        <f t="shared" si="30"/>
        <v>386</v>
      </c>
      <c r="CV120" s="35">
        <v>1000</v>
      </c>
      <c r="CW120" s="6"/>
      <c r="CX120" s="6">
        <f t="shared" si="31"/>
        <v>331</v>
      </c>
    </row>
    <row r="121" spans="1:102">
      <c r="A121" s="6">
        <v>117</v>
      </c>
      <c r="B121" s="6">
        <v>707</v>
      </c>
      <c r="C121" s="6"/>
      <c r="D121" s="6">
        <v>327</v>
      </c>
      <c r="E121" s="33" t="s">
        <v>37</v>
      </c>
      <c r="F121" s="33" t="s">
        <v>37</v>
      </c>
      <c r="G121" s="33" t="s">
        <v>37</v>
      </c>
      <c r="H121" s="33" t="s">
        <v>37</v>
      </c>
      <c r="I121" s="33" t="s">
        <v>37</v>
      </c>
      <c r="J121" s="33" t="s">
        <v>37</v>
      </c>
      <c r="K121" s="33" t="s">
        <v>37</v>
      </c>
      <c r="L121" s="33" t="s">
        <v>37</v>
      </c>
      <c r="M121" s="33" t="s">
        <v>37</v>
      </c>
      <c r="N121" s="33" t="s">
        <v>37</v>
      </c>
      <c r="O121" s="33" t="s">
        <v>37</v>
      </c>
      <c r="P121" s="33" t="s">
        <v>37</v>
      </c>
      <c r="Q121" s="33" t="s">
        <v>37</v>
      </c>
      <c r="R121" s="33" t="s">
        <v>37</v>
      </c>
      <c r="S121" s="148" t="s">
        <v>37</v>
      </c>
      <c r="T121" s="33" t="s">
        <v>37</v>
      </c>
      <c r="U121" s="33" t="s">
        <v>37</v>
      </c>
      <c r="V121" s="6">
        <v>1101</v>
      </c>
      <c r="W121" s="6"/>
      <c r="X121" s="35">
        <f t="shared" si="16"/>
        <v>394</v>
      </c>
      <c r="Y121" s="35">
        <v>1467</v>
      </c>
      <c r="Z121" s="35"/>
      <c r="AA121" s="35">
        <f t="shared" si="17"/>
        <v>366</v>
      </c>
      <c r="AB121" s="6">
        <v>274</v>
      </c>
      <c r="AC121" s="6">
        <v>1560</v>
      </c>
      <c r="AD121" s="35">
        <f t="shared" si="18"/>
        <v>367</v>
      </c>
      <c r="AE121" s="6">
        <v>384</v>
      </c>
      <c r="AF121" s="6"/>
      <c r="AG121" s="34">
        <f t="shared" si="19"/>
        <v>110</v>
      </c>
      <c r="AH121" s="35">
        <v>712</v>
      </c>
      <c r="AI121" s="35"/>
      <c r="AJ121" s="35">
        <f t="shared" si="20"/>
        <v>328</v>
      </c>
      <c r="AK121" s="6">
        <v>1050</v>
      </c>
      <c r="AL121" s="6"/>
      <c r="AM121" s="35">
        <f t="shared" si="21"/>
        <v>338</v>
      </c>
      <c r="AN121" s="6"/>
      <c r="AO121" s="6"/>
      <c r="AP121" s="35"/>
      <c r="AQ121" s="35">
        <v>1423</v>
      </c>
      <c r="AR121" s="35"/>
      <c r="AS121" s="35">
        <f t="shared" si="22"/>
        <v>373</v>
      </c>
      <c r="AT121" s="6">
        <v>221</v>
      </c>
      <c r="AU121" s="6">
        <v>1560</v>
      </c>
      <c r="AV121" s="35">
        <f t="shared" si="23"/>
        <v>358</v>
      </c>
      <c r="AW121" s="6">
        <v>592</v>
      </c>
      <c r="AX121" s="6"/>
      <c r="AY121" s="6">
        <f t="shared" si="24"/>
        <v>371</v>
      </c>
      <c r="AZ121" s="6">
        <v>676</v>
      </c>
      <c r="BA121" s="6"/>
      <c r="BB121" s="6">
        <f t="shared" si="25"/>
        <v>84</v>
      </c>
      <c r="BC121" s="6"/>
      <c r="BD121" s="6"/>
      <c r="BE121" s="6"/>
      <c r="BF121" s="6"/>
      <c r="BG121" s="6"/>
      <c r="BH121" s="35"/>
      <c r="BI121" s="6"/>
      <c r="BJ121" s="6"/>
      <c r="BK121" s="6"/>
      <c r="BL121" s="6"/>
      <c r="BM121" s="6"/>
      <c r="BN121" s="35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>
        <v>1032</v>
      </c>
      <c r="CH121" s="6"/>
      <c r="CI121" s="6">
        <f t="shared" si="26"/>
        <v>356</v>
      </c>
      <c r="CJ121" s="6">
        <v>1405</v>
      </c>
      <c r="CK121" s="6"/>
      <c r="CL121" s="6">
        <f t="shared" si="27"/>
        <v>373</v>
      </c>
      <c r="CM121" s="6">
        <v>1782</v>
      </c>
      <c r="CN121" s="6"/>
      <c r="CO121" s="6">
        <f t="shared" si="28"/>
        <v>377</v>
      </c>
      <c r="CP121" s="6">
        <v>229</v>
      </c>
      <c r="CQ121" s="6">
        <v>1893</v>
      </c>
      <c r="CR121" s="6">
        <f t="shared" si="29"/>
        <v>340</v>
      </c>
      <c r="CS121" s="6">
        <v>570</v>
      </c>
      <c r="CT121" s="6"/>
      <c r="CU121" s="6">
        <f t="shared" si="30"/>
        <v>341</v>
      </c>
      <c r="CV121" s="6">
        <v>204</v>
      </c>
      <c r="CW121" s="6">
        <v>666</v>
      </c>
      <c r="CX121" s="6">
        <f t="shared" si="31"/>
        <v>300</v>
      </c>
    </row>
    <row r="122" spans="1:102">
      <c r="A122" s="6">
        <v>118</v>
      </c>
      <c r="B122" s="6">
        <v>481</v>
      </c>
      <c r="C122" s="6"/>
      <c r="D122" s="6">
        <v>332</v>
      </c>
      <c r="E122" s="33" t="s">
        <v>37</v>
      </c>
      <c r="F122" s="33" t="s">
        <v>37</v>
      </c>
      <c r="G122" s="33" t="s">
        <v>37</v>
      </c>
      <c r="H122" s="33" t="s">
        <v>37</v>
      </c>
      <c r="I122" s="33" t="s">
        <v>37</v>
      </c>
      <c r="J122" s="33" t="s">
        <v>37</v>
      </c>
      <c r="K122" s="33" t="s">
        <v>37</v>
      </c>
      <c r="L122" s="33" t="s">
        <v>37</v>
      </c>
      <c r="M122" s="33" t="s">
        <v>37</v>
      </c>
      <c r="N122" s="33" t="s">
        <v>37</v>
      </c>
      <c r="O122" s="33" t="s">
        <v>37</v>
      </c>
      <c r="P122" s="33" t="s">
        <v>37</v>
      </c>
      <c r="Q122" s="33" t="s">
        <v>37</v>
      </c>
      <c r="R122" s="33" t="s">
        <v>37</v>
      </c>
      <c r="S122" s="33" t="s">
        <v>37</v>
      </c>
      <c r="T122" s="148" t="s">
        <v>37</v>
      </c>
      <c r="U122" s="33" t="s">
        <v>37</v>
      </c>
      <c r="V122" s="6">
        <v>844</v>
      </c>
      <c r="W122" s="6"/>
      <c r="X122" s="35">
        <f t="shared" si="16"/>
        <v>363</v>
      </c>
      <c r="Y122" s="35">
        <v>1192</v>
      </c>
      <c r="Z122" s="35"/>
      <c r="AA122" s="35">
        <f t="shared" si="17"/>
        <v>348</v>
      </c>
      <c r="AB122" s="6">
        <v>211</v>
      </c>
      <c r="AC122" s="6">
        <v>1333</v>
      </c>
      <c r="AD122" s="35">
        <f t="shared" si="18"/>
        <v>352</v>
      </c>
      <c r="AE122" s="6">
        <v>318</v>
      </c>
      <c r="AF122" s="6"/>
      <c r="AG122" s="34">
        <f t="shared" si="19"/>
        <v>107</v>
      </c>
      <c r="AH122" s="35">
        <v>270</v>
      </c>
      <c r="AI122" s="35">
        <v>321</v>
      </c>
      <c r="AJ122" s="35">
        <f t="shared" si="20"/>
        <v>273</v>
      </c>
      <c r="AK122" s="6">
        <v>617</v>
      </c>
      <c r="AL122" s="6"/>
      <c r="AM122" s="35">
        <f t="shared" si="21"/>
        <v>347</v>
      </c>
      <c r="AN122" s="6"/>
      <c r="AO122" s="6"/>
      <c r="AP122" s="35"/>
      <c r="AQ122" s="35">
        <v>986</v>
      </c>
      <c r="AR122" s="35"/>
      <c r="AS122" s="35">
        <f t="shared" si="22"/>
        <v>369</v>
      </c>
      <c r="AT122" s="6">
        <v>157</v>
      </c>
      <c r="AU122" s="6">
        <v>1188</v>
      </c>
      <c r="AV122" s="35">
        <f t="shared" si="23"/>
        <v>359</v>
      </c>
      <c r="AW122" s="6">
        <v>529</v>
      </c>
      <c r="AX122" s="6"/>
      <c r="AY122" s="6">
        <f t="shared" si="24"/>
        <v>372</v>
      </c>
      <c r="AZ122" s="6">
        <v>610</v>
      </c>
      <c r="BA122" s="6"/>
      <c r="BB122" s="6">
        <f t="shared" si="25"/>
        <v>81</v>
      </c>
      <c r="BC122" s="6"/>
      <c r="BD122" s="6"/>
      <c r="BE122" s="6"/>
      <c r="BF122" s="6"/>
      <c r="BG122" s="6"/>
      <c r="BH122" s="35"/>
      <c r="BI122" s="6"/>
      <c r="BJ122" s="6"/>
      <c r="BK122" s="6"/>
      <c r="BL122" s="6"/>
      <c r="BM122" s="6"/>
      <c r="BN122" s="35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>
        <v>955</v>
      </c>
      <c r="CH122" s="6"/>
      <c r="CI122" s="6">
        <f t="shared" si="26"/>
        <v>345</v>
      </c>
      <c r="CJ122" s="6">
        <v>1314</v>
      </c>
      <c r="CK122" s="6"/>
      <c r="CL122" s="6">
        <f t="shared" si="27"/>
        <v>359</v>
      </c>
      <c r="CM122" s="6">
        <v>127</v>
      </c>
      <c r="CN122" s="6">
        <v>1560</v>
      </c>
      <c r="CO122" s="6">
        <f t="shared" si="28"/>
        <v>373</v>
      </c>
      <c r="CP122" s="6">
        <v>0</v>
      </c>
      <c r="CQ122" s="6">
        <v>370</v>
      </c>
      <c r="CR122" s="6">
        <f t="shared" si="29"/>
        <v>243</v>
      </c>
      <c r="CS122" s="6">
        <v>333</v>
      </c>
      <c r="CT122" s="6"/>
      <c r="CU122" s="6">
        <f t="shared" si="30"/>
        <v>333</v>
      </c>
      <c r="CV122" s="6">
        <v>656</v>
      </c>
      <c r="CW122" s="6"/>
      <c r="CX122" s="6">
        <f t="shared" si="31"/>
        <v>323</v>
      </c>
    </row>
    <row r="123" spans="1:102">
      <c r="A123" s="6">
        <v>119</v>
      </c>
      <c r="B123" s="6">
        <v>1335</v>
      </c>
      <c r="C123" s="6"/>
      <c r="D123" s="6">
        <v>329</v>
      </c>
      <c r="E123" s="33" t="s">
        <v>37</v>
      </c>
      <c r="F123" s="33" t="s">
        <v>37</v>
      </c>
      <c r="G123" s="33" t="s">
        <v>37</v>
      </c>
      <c r="H123" s="33" t="s">
        <v>37</v>
      </c>
      <c r="I123" s="33" t="s">
        <v>37</v>
      </c>
      <c r="J123" s="33" t="s">
        <v>37</v>
      </c>
      <c r="K123" s="33" t="s">
        <v>37</v>
      </c>
      <c r="L123" s="33" t="s">
        <v>37</v>
      </c>
      <c r="M123" s="33" t="s">
        <v>37</v>
      </c>
      <c r="N123" s="33" t="s">
        <v>37</v>
      </c>
      <c r="O123" s="33" t="s">
        <v>37</v>
      </c>
      <c r="P123" s="33" t="s">
        <v>37</v>
      </c>
      <c r="Q123" s="33" t="s">
        <v>37</v>
      </c>
      <c r="R123" s="33" t="s">
        <v>37</v>
      </c>
      <c r="S123" s="33" t="s">
        <v>37</v>
      </c>
      <c r="T123" s="33" t="s">
        <v>37</v>
      </c>
      <c r="U123" s="33" t="s">
        <v>37</v>
      </c>
      <c r="V123" s="35">
        <v>169</v>
      </c>
      <c r="W123" s="35">
        <v>1560</v>
      </c>
      <c r="X123" s="35">
        <f t="shared" si="16"/>
        <v>394</v>
      </c>
      <c r="Y123" s="35">
        <v>520</v>
      </c>
      <c r="Z123" s="35"/>
      <c r="AA123" s="35">
        <f t="shared" si="17"/>
        <v>351</v>
      </c>
      <c r="AB123" s="35">
        <v>884</v>
      </c>
      <c r="AC123" s="35"/>
      <c r="AD123" s="35">
        <f t="shared" si="18"/>
        <v>364</v>
      </c>
      <c r="AE123" s="6">
        <v>993</v>
      </c>
      <c r="AF123" s="35"/>
      <c r="AG123" s="34">
        <f t="shared" si="19"/>
        <v>109</v>
      </c>
      <c r="AH123" s="35">
        <v>1315</v>
      </c>
      <c r="AI123" s="35"/>
      <c r="AJ123" s="35">
        <f t="shared" si="20"/>
        <v>322</v>
      </c>
      <c r="AK123" s="6">
        <v>104</v>
      </c>
      <c r="AL123" s="6">
        <v>1560</v>
      </c>
      <c r="AM123" s="35">
        <f t="shared" si="21"/>
        <v>349</v>
      </c>
      <c r="AN123" s="6"/>
      <c r="AO123" s="6"/>
      <c r="AP123" s="35"/>
      <c r="AQ123" s="6">
        <v>479</v>
      </c>
      <c r="AR123" s="6"/>
      <c r="AS123" s="35">
        <f t="shared" si="22"/>
        <v>375</v>
      </c>
      <c r="AT123" s="6">
        <v>834</v>
      </c>
      <c r="AU123" s="6"/>
      <c r="AV123" s="35">
        <f t="shared" si="23"/>
        <v>355</v>
      </c>
      <c r="AW123" s="6">
        <v>1204</v>
      </c>
      <c r="AX123" s="6"/>
      <c r="AY123" s="6">
        <f t="shared" si="24"/>
        <v>370</v>
      </c>
      <c r="AZ123" s="6">
        <v>1285</v>
      </c>
      <c r="BA123" s="35"/>
      <c r="BB123" s="6">
        <f t="shared" si="25"/>
        <v>81</v>
      </c>
      <c r="BC123" s="6"/>
      <c r="BD123" s="6"/>
      <c r="BE123" s="6"/>
      <c r="BF123" s="6"/>
      <c r="BG123" s="6"/>
      <c r="BH123" s="35"/>
      <c r="BI123" s="6"/>
      <c r="BJ123" s="6"/>
      <c r="BK123" s="6"/>
      <c r="BL123" s="6"/>
      <c r="BM123" s="6"/>
      <c r="BN123" s="35"/>
      <c r="BO123" s="6"/>
      <c r="BP123" s="35"/>
      <c r="BQ123" s="6"/>
      <c r="BR123" s="6"/>
      <c r="BS123" s="6"/>
      <c r="BT123" s="35"/>
      <c r="BU123" s="6"/>
      <c r="BV123" s="35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>
        <v>80</v>
      </c>
      <c r="CH123" s="6">
        <v>1560</v>
      </c>
      <c r="CI123" s="6">
        <f t="shared" si="26"/>
        <v>355</v>
      </c>
      <c r="CJ123" s="6">
        <v>456</v>
      </c>
      <c r="CK123" s="6"/>
      <c r="CL123" s="6">
        <f t="shared" si="27"/>
        <v>376</v>
      </c>
      <c r="CM123" s="6">
        <v>833</v>
      </c>
      <c r="CN123" s="6"/>
      <c r="CO123" s="6">
        <f t="shared" si="28"/>
        <v>377</v>
      </c>
      <c r="CP123" s="6">
        <v>1209</v>
      </c>
      <c r="CQ123" s="6"/>
      <c r="CR123" s="6">
        <f t="shared" si="29"/>
        <v>376</v>
      </c>
      <c r="CS123" s="6">
        <v>22</v>
      </c>
      <c r="CT123" s="6">
        <v>1560</v>
      </c>
      <c r="CU123" s="6">
        <f t="shared" si="30"/>
        <v>373</v>
      </c>
      <c r="CV123" s="6">
        <v>349</v>
      </c>
      <c r="CW123" s="6"/>
      <c r="CX123" s="6">
        <f t="shared" si="31"/>
        <v>327</v>
      </c>
    </row>
    <row r="124" spans="1:102">
      <c r="A124" s="6">
        <v>120</v>
      </c>
      <c r="B124" s="6">
        <v>667</v>
      </c>
      <c r="C124" s="6"/>
      <c r="D124" s="6">
        <v>339</v>
      </c>
      <c r="E124" s="33" t="s">
        <v>37</v>
      </c>
      <c r="F124" s="33" t="s">
        <v>37</v>
      </c>
      <c r="G124" s="33" t="s">
        <v>37</v>
      </c>
      <c r="H124" s="33" t="s">
        <v>37</v>
      </c>
      <c r="I124" s="33" t="s">
        <v>37</v>
      </c>
      <c r="J124" s="33" t="s">
        <v>37</v>
      </c>
      <c r="K124" s="33" t="s">
        <v>37</v>
      </c>
      <c r="L124" s="33" t="s">
        <v>37</v>
      </c>
      <c r="M124" s="33" t="s">
        <v>37</v>
      </c>
      <c r="N124" s="33" t="s">
        <v>37</v>
      </c>
      <c r="O124" s="33" t="s">
        <v>37</v>
      </c>
      <c r="P124" s="33" t="s">
        <v>37</v>
      </c>
      <c r="Q124" s="33" t="s">
        <v>37</v>
      </c>
      <c r="R124" s="33" t="s">
        <v>37</v>
      </c>
      <c r="S124" s="33" t="s">
        <v>37</v>
      </c>
      <c r="T124" s="33" t="s">
        <v>37</v>
      </c>
      <c r="U124" s="148" t="s">
        <v>37</v>
      </c>
      <c r="V124" s="6">
        <v>1053</v>
      </c>
      <c r="W124" s="6"/>
      <c r="X124" s="35">
        <f t="shared" si="16"/>
        <v>386</v>
      </c>
      <c r="Y124" s="35">
        <v>1415</v>
      </c>
      <c r="Z124" s="35"/>
      <c r="AA124" s="35">
        <f t="shared" si="17"/>
        <v>362</v>
      </c>
      <c r="AB124" s="6">
        <v>225</v>
      </c>
      <c r="AC124" s="6">
        <v>1560</v>
      </c>
      <c r="AD124" s="35">
        <f t="shared" si="18"/>
        <v>370</v>
      </c>
      <c r="AE124" s="6">
        <v>340</v>
      </c>
      <c r="AF124" s="6"/>
      <c r="AG124" s="34">
        <f t="shared" si="19"/>
        <v>115</v>
      </c>
      <c r="AH124" s="35">
        <v>667</v>
      </c>
      <c r="AI124" s="35"/>
      <c r="AJ124" s="35">
        <f t="shared" si="20"/>
        <v>327</v>
      </c>
      <c r="AK124" s="6">
        <v>1024</v>
      </c>
      <c r="AL124" s="6"/>
      <c r="AM124" s="35">
        <f t="shared" si="21"/>
        <v>357</v>
      </c>
      <c r="AN124" s="6"/>
      <c r="AO124" s="6"/>
      <c r="AP124" s="35"/>
      <c r="AQ124" s="35">
        <v>1411</v>
      </c>
      <c r="AR124" s="35"/>
      <c r="AS124" s="35">
        <f t="shared" si="22"/>
        <v>387</v>
      </c>
      <c r="AT124" s="6">
        <v>236</v>
      </c>
      <c r="AU124" s="6">
        <v>1560</v>
      </c>
      <c r="AV124" s="35">
        <f t="shared" si="23"/>
        <v>385</v>
      </c>
      <c r="AW124" s="6">
        <v>624</v>
      </c>
      <c r="AX124" s="6"/>
      <c r="AY124" s="6">
        <f t="shared" si="24"/>
        <v>388</v>
      </c>
      <c r="AZ124" s="6">
        <v>709</v>
      </c>
      <c r="BA124" s="6"/>
      <c r="BB124" s="6">
        <f t="shared" si="25"/>
        <v>85</v>
      </c>
      <c r="BC124" s="6"/>
      <c r="BD124" s="6"/>
      <c r="BE124" s="6"/>
      <c r="BF124" s="6"/>
      <c r="BG124" s="6"/>
      <c r="BH124" s="35"/>
      <c r="BI124" s="6"/>
      <c r="BJ124" s="6"/>
      <c r="BK124" s="6"/>
      <c r="BL124" s="6"/>
      <c r="BM124" s="6"/>
      <c r="BN124" s="35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>
        <v>1064</v>
      </c>
      <c r="CH124" s="6"/>
      <c r="CI124" s="6">
        <f t="shared" si="26"/>
        <v>355</v>
      </c>
      <c r="CJ124" s="6">
        <v>1444</v>
      </c>
      <c r="CK124" s="6"/>
      <c r="CL124" s="6">
        <f t="shared" si="27"/>
        <v>380</v>
      </c>
      <c r="CM124" s="6">
        <v>266</v>
      </c>
      <c r="CN124" s="6">
        <v>1560</v>
      </c>
      <c r="CO124" s="6">
        <f t="shared" si="28"/>
        <v>382</v>
      </c>
      <c r="CP124" s="6">
        <v>644</v>
      </c>
      <c r="CQ124" s="6"/>
      <c r="CR124" s="6">
        <f t="shared" si="29"/>
        <v>378</v>
      </c>
      <c r="CS124" s="6">
        <v>1022</v>
      </c>
      <c r="CT124" s="6"/>
      <c r="CU124" s="6">
        <f t="shared" si="30"/>
        <v>378</v>
      </c>
      <c r="CV124" s="6">
        <v>234</v>
      </c>
      <c r="CW124" s="6">
        <v>1073</v>
      </c>
      <c r="CX124" s="6">
        <f t="shared" si="31"/>
        <v>285</v>
      </c>
    </row>
    <row r="125" spans="1:102">
      <c r="A125" s="6">
        <v>121</v>
      </c>
      <c r="B125" s="6">
        <v>1412</v>
      </c>
      <c r="C125" s="6"/>
      <c r="D125" s="6">
        <v>338</v>
      </c>
      <c r="E125" s="33" t="s">
        <v>69</v>
      </c>
      <c r="F125" s="33" t="s">
        <v>69</v>
      </c>
      <c r="G125" s="148" t="s">
        <v>128</v>
      </c>
      <c r="H125" s="33" t="s">
        <v>128</v>
      </c>
      <c r="I125" s="33" t="s">
        <v>128</v>
      </c>
      <c r="J125" s="33" t="s">
        <v>128</v>
      </c>
      <c r="K125" s="33" t="s">
        <v>128</v>
      </c>
      <c r="L125" s="33" t="s">
        <v>128</v>
      </c>
      <c r="M125" s="33" t="s">
        <v>128</v>
      </c>
      <c r="N125" s="33" t="s">
        <v>128</v>
      </c>
      <c r="O125" s="33" t="s">
        <v>128</v>
      </c>
      <c r="P125" s="33" t="s">
        <v>128</v>
      </c>
      <c r="Q125" s="33" t="s">
        <v>128</v>
      </c>
      <c r="R125" s="33" t="s">
        <v>128</v>
      </c>
      <c r="S125" s="33" t="s">
        <v>128</v>
      </c>
      <c r="T125" s="33" t="s">
        <v>128</v>
      </c>
      <c r="U125" s="33" t="s">
        <v>128</v>
      </c>
      <c r="V125" s="6">
        <v>0</v>
      </c>
      <c r="W125" s="6">
        <v>1572</v>
      </c>
      <c r="X125" s="35">
        <f t="shared" si="16"/>
        <v>160</v>
      </c>
      <c r="Y125" s="35">
        <v>344</v>
      </c>
      <c r="Z125" s="35"/>
      <c r="AA125" s="35">
        <f t="shared" si="17"/>
        <v>344</v>
      </c>
      <c r="AB125" s="6">
        <v>720</v>
      </c>
      <c r="AC125" s="6"/>
      <c r="AD125" s="35">
        <f t="shared" si="18"/>
        <v>376</v>
      </c>
      <c r="AE125" s="6">
        <v>834</v>
      </c>
      <c r="AF125" s="6"/>
      <c r="AG125" s="34">
        <f t="shared" si="19"/>
        <v>114</v>
      </c>
      <c r="AH125" s="35">
        <v>1170</v>
      </c>
      <c r="AI125" s="35"/>
      <c r="AJ125" s="35">
        <f t="shared" si="20"/>
        <v>336</v>
      </c>
      <c r="AK125" s="6">
        <v>1531</v>
      </c>
      <c r="AL125" s="6"/>
      <c r="AM125" s="35">
        <f t="shared" si="21"/>
        <v>361</v>
      </c>
      <c r="AN125" s="6"/>
      <c r="AO125" s="6"/>
      <c r="AP125" s="35"/>
      <c r="AQ125" s="35">
        <v>360</v>
      </c>
      <c r="AR125" s="35">
        <v>1560</v>
      </c>
      <c r="AS125" s="35">
        <f t="shared" si="22"/>
        <v>389</v>
      </c>
      <c r="AT125" s="6">
        <v>746</v>
      </c>
      <c r="AU125" s="6"/>
      <c r="AV125" s="35">
        <f t="shared" si="23"/>
        <v>386</v>
      </c>
      <c r="AW125" s="6">
        <v>1132</v>
      </c>
      <c r="AX125" s="6"/>
      <c r="AY125" s="6">
        <f t="shared" si="24"/>
        <v>386</v>
      </c>
      <c r="AZ125" s="6">
        <v>1217</v>
      </c>
      <c r="BA125" s="6"/>
      <c r="BB125" s="6">
        <f t="shared" si="25"/>
        <v>85</v>
      </c>
      <c r="BC125" s="6"/>
      <c r="BD125" s="6"/>
      <c r="BE125" s="6"/>
      <c r="BF125" s="6"/>
      <c r="BG125" s="6"/>
      <c r="BH125" s="35"/>
      <c r="BI125" s="6"/>
      <c r="BJ125" s="6"/>
      <c r="BK125" s="6"/>
      <c r="BL125" s="6"/>
      <c r="BM125" s="6"/>
      <c r="BN125" s="35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>
        <v>39</v>
      </c>
      <c r="CH125" s="6">
        <v>1560</v>
      </c>
      <c r="CI125" s="6">
        <f t="shared" si="26"/>
        <v>382</v>
      </c>
      <c r="CJ125" s="6">
        <v>428</v>
      </c>
      <c r="CK125" s="6"/>
      <c r="CL125" s="6">
        <f t="shared" si="27"/>
        <v>389</v>
      </c>
      <c r="CM125" s="6">
        <v>814</v>
      </c>
      <c r="CN125" s="6"/>
      <c r="CO125" s="6">
        <f t="shared" si="28"/>
        <v>386</v>
      </c>
      <c r="CP125" s="6">
        <v>1196</v>
      </c>
      <c r="CQ125" s="6"/>
      <c r="CR125" s="6">
        <f t="shared" si="29"/>
        <v>382</v>
      </c>
      <c r="CS125" s="6">
        <v>16</v>
      </c>
      <c r="CT125" s="6">
        <v>1560</v>
      </c>
      <c r="CU125" s="6">
        <f t="shared" si="30"/>
        <v>380</v>
      </c>
      <c r="CV125" s="6">
        <v>344</v>
      </c>
      <c r="CW125" s="6"/>
      <c r="CX125" s="6">
        <f t="shared" si="31"/>
        <v>328</v>
      </c>
    </row>
    <row r="126" spans="1:102">
      <c r="A126" s="6">
        <v>122</v>
      </c>
      <c r="B126" s="6">
        <v>1096</v>
      </c>
      <c r="C126" s="6"/>
      <c r="D126" s="6">
        <v>333</v>
      </c>
      <c r="E126" s="33" t="s">
        <v>69</v>
      </c>
      <c r="F126" s="33" t="s">
        <v>69</v>
      </c>
      <c r="G126" s="33" t="s">
        <v>69</v>
      </c>
      <c r="H126" s="33" t="s">
        <v>69</v>
      </c>
      <c r="I126" s="33" t="s">
        <v>69</v>
      </c>
      <c r="J126" s="33" t="s">
        <v>69</v>
      </c>
      <c r="K126" s="33" t="s">
        <v>69</v>
      </c>
      <c r="L126" s="33" t="s">
        <v>69</v>
      </c>
      <c r="M126" s="33" t="s">
        <v>69</v>
      </c>
      <c r="N126" s="33" t="s">
        <v>69</v>
      </c>
      <c r="O126" s="33" t="s">
        <v>69</v>
      </c>
      <c r="P126" s="33" t="s">
        <v>69</v>
      </c>
      <c r="Q126" s="33" t="s">
        <v>69</v>
      </c>
      <c r="R126" s="148" t="s">
        <v>37</v>
      </c>
      <c r="S126" s="33" t="s">
        <v>37</v>
      </c>
      <c r="T126" s="33" t="s">
        <v>37</v>
      </c>
      <c r="U126" s="33" t="s">
        <v>37</v>
      </c>
      <c r="V126" s="6">
        <v>1490</v>
      </c>
      <c r="W126" s="6"/>
      <c r="X126" s="35">
        <f t="shared" si="16"/>
        <v>394</v>
      </c>
      <c r="Y126" s="35">
        <v>277</v>
      </c>
      <c r="Z126" s="35">
        <v>1560</v>
      </c>
      <c r="AA126" s="35">
        <f t="shared" si="17"/>
        <v>347</v>
      </c>
      <c r="AB126" s="6">
        <v>605</v>
      </c>
      <c r="AC126" s="6"/>
      <c r="AD126" s="35">
        <f t="shared" si="18"/>
        <v>328</v>
      </c>
      <c r="AE126" s="6">
        <v>712</v>
      </c>
      <c r="AF126" s="6"/>
      <c r="AG126" s="34">
        <f t="shared" si="19"/>
        <v>107</v>
      </c>
      <c r="AH126" s="35">
        <v>994</v>
      </c>
      <c r="AI126" s="35"/>
      <c r="AJ126" s="35">
        <f t="shared" si="20"/>
        <v>282</v>
      </c>
      <c r="AK126" s="6">
        <v>1332</v>
      </c>
      <c r="AL126" s="6"/>
      <c r="AM126" s="35">
        <f t="shared" si="21"/>
        <v>338</v>
      </c>
      <c r="AN126" s="6"/>
      <c r="AO126" s="6"/>
      <c r="AP126" s="35"/>
      <c r="AQ126" s="35">
        <v>127</v>
      </c>
      <c r="AR126" s="35">
        <v>1560</v>
      </c>
      <c r="AS126" s="35">
        <f t="shared" si="22"/>
        <v>355</v>
      </c>
      <c r="AT126" s="6">
        <v>483</v>
      </c>
      <c r="AU126" s="6"/>
      <c r="AV126" s="35">
        <f t="shared" si="23"/>
        <v>356</v>
      </c>
      <c r="AW126" s="6">
        <v>839</v>
      </c>
      <c r="AX126" s="6"/>
      <c r="AY126" s="6">
        <f t="shared" si="24"/>
        <v>356</v>
      </c>
      <c r="AZ126" s="6">
        <v>74</v>
      </c>
      <c r="BA126" s="6">
        <v>842</v>
      </c>
      <c r="BB126" s="6">
        <f t="shared" si="25"/>
        <v>77</v>
      </c>
      <c r="BC126" s="6"/>
      <c r="BD126" s="6"/>
      <c r="BE126" s="6"/>
      <c r="BF126" s="6"/>
      <c r="BG126" s="6"/>
      <c r="BH126" s="35"/>
      <c r="BI126" s="6"/>
      <c r="BJ126" s="6"/>
      <c r="BK126" s="6"/>
      <c r="BL126" s="6"/>
      <c r="BM126" s="6"/>
      <c r="BN126" s="35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>
        <v>403</v>
      </c>
      <c r="CH126" s="6"/>
      <c r="CI126" s="6">
        <f t="shared" si="26"/>
        <v>329</v>
      </c>
      <c r="CJ126" s="6">
        <v>0</v>
      </c>
      <c r="CK126" s="6">
        <v>747</v>
      </c>
      <c r="CL126" s="6">
        <f t="shared" si="27"/>
        <v>344</v>
      </c>
      <c r="CM126" s="6">
        <v>336</v>
      </c>
      <c r="CN126" s="6"/>
      <c r="CO126" s="6">
        <f t="shared" si="28"/>
        <v>336</v>
      </c>
      <c r="CP126" s="6">
        <v>692</v>
      </c>
      <c r="CQ126" s="6"/>
      <c r="CR126" s="6">
        <f t="shared" si="29"/>
        <v>356</v>
      </c>
      <c r="CS126" s="6">
        <v>1046</v>
      </c>
      <c r="CT126" s="6"/>
      <c r="CU126" s="6">
        <f t="shared" si="30"/>
        <v>354</v>
      </c>
      <c r="CV126" s="6">
        <v>1364</v>
      </c>
      <c r="CW126" s="6"/>
      <c r="CX126" s="6">
        <f t="shared" si="31"/>
        <v>318</v>
      </c>
    </row>
    <row r="127" spans="1:102">
      <c r="A127" s="6">
        <v>123</v>
      </c>
      <c r="B127" s="6">
        <v>237</v>
      </c>
      <c r="C127" s="6"/>
      <c r="D127" s="6">
        <v>0</v>
      </c>
      <c r="E127" s="33" t="s">
        <v>102</v>
      </c>
      <c r="F127" s="33" t="s">
        <v>102</v>
      </c>
      <c r="G127" s="33" t="s">
        <v>102</v>
      </c>
      <c r="H127" s="33" t="s">
        <v>102</v>
      </c>
      <c r="I127" s="33" t="s">
        <v>102</v>
      </c>
      <c r="J127" s="33" t="s">
        <v>102</v>
      </c>
      <c r="K127" s="33" t="s">
        <v>102</v>
      </c>
      <c r="L127" s="33" t="s">
        <v>102</v>
      </c>
      <c r="M127" s="33" t="s">
        <v>102</v>
      </c>
      <c r="N127" s="33" t="s">
        <v>102</v>
      </c>
      <c r="O127" s="33" t="s">
        <v>102</v>
      </c>
      <c r="P127" s="33" t="s">
        <v>102</v>
      </c>
      <c r="Q127" s="33" t="s">
        <v>102</v>
      </c>
      <c r="R127" s="33" t="s">
        <v>102</v>
      </c>
      <c r="S127" s="33" t="s">
        <v>102</v>
      </c>
      <c r="T127" s="33" t="s">
        <v>102</v>
      </c>
      <c r="U127" s="33" t="s">
        <v>102</v>
      </c>
      <c r="V127" s="6">
        <v>237</v>
      </c>
      <c r="W127" s="6"/>
      <c r="X127" s="35">
        <f t="shared" si="16"/>
        <v>0</v>
      </c>
      <c r="Y127" s="35">
        <v>237</v>
      </c>
      <c r="Z127" s="35"/>
      <c r="AA127" s="35">
        <f t="shared" si="17"/>
        <v>0</v>
      </c>
      <c r="AB127" s="6">
        <v>237</v>
      </c>
      <c r="AC127" s="6"/>
      <c r="AD127" s="35">
        <f t="shared" si="18"/>
        <v>0</v>
      </c>
      <c r="AE127" s="6">
        <v>237</v>
      </c>
      <c r="AF127" s="6"/>
      <c r="AG127" s="34">
        <f t="shared" si="19"/>
        <v>0</v>
      </c>
      <c r="AH127" s="35">
        <v>237</v>
      </c>
      <c r="AI127" s="35"/>
      <c r="AJ127" s="35">
        <f t="shared" si="20"/>
        <v>0</v>
      </c>
      <c r="AK127" s="6">
        <v>237</v>
      </c>
      <c r="AL127" s="6"/>
      <c r="AM127" s="35">
        <f t="shared" si="21"/>
        <v>0</v>
      </c>
      <c r="AN127" s="6"/>
      <c r="AO127" s="6"/>
      <c r="AP127" s="35"/>
      <c r="AQ127" s="35">
        <v>237</v>
      </c>
      <c r="AR127" s="35"/>
      <c r="AS127" s="35">
        <f t="shared" si="22"/>
        <v>0</v>
      </c>
      <c r="AT127" s="6">
        <v>237</v>
      </c>
      <c r="AU127" s="6"/>
      <c r="AV127" s="35">
        <f t="shared" si="23"/>
        <v>0</v>
      </c>
      <c r="AW127" s="6">
        <v>237</v>
      </c>
      <c r="AX127" s="6"/>
      <c r="AY127" s="6">
        <f t="shared" si="24"/>
        <v>0</v>
      </c>
      <c r="AZ127" s="6">
        <v>237</v>
      </c>
      <c r="BA127" s="6"/>
      <c r="BB127" s="6">
        <f t="shared" si="25"/>
        <v>0</v>
      </c>
      <c r="BC127" s="6"/>
      <c r="BD127" s="6"/>
      <c r="BE127" s="6"/>
      <c r="BF127" s="6"/>
      <c r="BG127" s="6"/>
      <c r="BH127" s="35"/>
      <c r="BI127" s="6"/>
      <c r="BJ127" s="6"/>
      <c r="BK127" s="6"/>
      <c r="BL127" s="6"/>
      <c r="BM127" s="6"/>
      <c r="BN127" s="35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>
        <v>237</v>
      </c>
      <c r="CH127" s="6"/>
      <c r="CI127" s="6">
        <f t="shared" si="26"/>
        <v>0</v>
      </c>
      <c r="CJ127" s="6">
        <v>237</v>
      </c>
      <c r="CK127" s="6"/>
      <c r="CL127" s="6">
        <f t="shared" si="27"/>
        <v>0</v>
      </c>
      <c r="CM127" s="6">
        <v>237</v>
      </c>
      <c r="CN127" s="6"/>
      <c r="CO127" s="6">
        <f t="shared" si="28"/>
        <v>0</v>
      </c>
      <c r="CP127" s="6">
        <v>237</v>
      </c>
      <c r="CQ127" s="6"/>
      <c r="CR127" s="6">
        <f t="shared" si="29"/>
        <v>0</v>
      </c>
      <c r="CS127" s="6">
        <v>237</v>
      </c>
      <c r="CT127" s="6"/>
      <c r="CU127" s="6">
        <f t="shared" si="30"/>
        <v>0</v>
      </c>
      <c r="CV127" s="6">
        <v>237</v>
      </c>
      <c r="CW127" s="6"/>
      <c r="CX127" s="6">
        <f t="shared" si="31"/>
        <v>0</v>
      </c>
    </row>
    <row r="128" spans="1:102">
      <c r="A128" s="6">
        <v>124</v>
      </c>
      <c r="B128" s="6">
        <v>133</v>
      </c>
      <c r="C128" s="6">
        <v>1560</v>
      </c>
      <c r="D128" s="6">
        <v>333</v>
      </c>
      <c r="E128" s="33" t="s">
        <v>128</v>
      </c>
      <c r="F128" s="33" t="s">
        <v>128</v>
      </c>
      <c r="G128" s="33" t="s">
        <v>128</v>
      </c>
      <c r="H128" s="33" t="s">
        <v>128</v>
      </c>
      <c r="I128" s="33" t="s">
        <v>128</v>
      </c>
      <c r="J128" s="33" t="s">
        <v>128</v>
      </c>
      <c r="K128" s="33" t="s">
        <v>128</v>
      </c>
      <c r="L128" s="33" t="s">
        <v>128</v>
      </c>
      <c r="M128" s="33" t="s">
        <v>128</v>
      </c>
      <c r="N128" s="33" t="s">
        <v>128</v>
      </c>
      <c r="O128" s="33" t="s">
        <v>128</v>
      </c>
      <c r="P128" s="33" t="s">
        <v>128</v>
      </c>
      <c r="Q128" s="33" t="s">
        <v>128</v>
      </c>
      <c r="R128" s="33" t="s">
        <v>128</v>
      </c>
      <c r="S128" s="148" t="s">
        <v>128</v>
      </c>
      <c r="T128" s="33" t="s">
        <v>128</v>
      </c>
      <c r="U128" s="33" t="s">
        <v>128</v>
      </c>
      <c r="V128" s="6">
        <v>57</v>
      </c>
      <c r="W128" s="6">
        <v>463</v>
      </c>
      <c r="X128" s="35">
        <f t="shared" si="16"/>
        <v>387</v>
      </c>
      <c r="Y128" s="35">
        <v>370</v>
      </c>
      <c r="Z128" s="35"/>
      <c r="AA128" s="35">
        <f t="shared" si="17"/>
        <v>313</v>
      </c>
      <c r="AB128" s="6">
        <v>240</v>
      </c>
      <c r="AC128" s="6">
        <v>418</v>
      </c>
      <c r="AD128" s="35">
        <f t="shared" si="18"/>
        <v>288</v>
      </c>
      <c r="AE128" s="6">
        <v>346</v>
      </c>
      <c r="AF128" s="6"/>
      <c r="AG128" s="34">
        <f t="shared" si="19"/>
        <v>106</v>
      </c>
      <c r="AH128" s="35">
        <v>644</v>
      </c>
      <c r="AI128" s="35"/>
      <c r="AJ128" s="35">
        <f t="shared" si="20"/>
        <v>298</v>
      </c>
      <c r="AK128" s="6">
        <v>992</v>
      </c>
      <c r="AL128" s="6"/>
      <c r="AM128" s="35">
        <f t="shared" si="21"/>
        <v>348</v>
      </c>
      <c r="AN128" s="6"/>
      <c r="AO128" s="6"/>
      <c r="AP128" s="35"/>
      <c r="AQ128" s="35">
        <v>249</v>
      </c>
      <c r="AR128" s="35">
        <v>1096</v>
      </c>
      <c r="AS128" s="35">
        <f t="shared" si="22"/>
        <v>353</v>
      </c>
      <c r="AT128" s="6">
        <v>615</v>
      </c>
      <c r="AU128" s="6"/>
      <c r="AV128" s="35">
        <f t="shared" si="23"/>
        <v>366</v>
      </c>
      <c r="AW128" s="6">
        <v>254</v>
      </c>
      <c r="AX128" s="6">
        <v>721</v>
      </c>
      <c r="AY128" s="6">
        <f t="shared" si="24"/>
        <v>360</v>
      </c>
      <c r="AZ128" s="6">
        <v>334</v>
      </c>
      <c r="BA128" s="6"/>
      <c r="BB128" s="6">
        <f t="shared" si="25"/>
        <v>80</v>
      </c>
      <c r="BC128" s="6"/>
      <c r="BD128" s="6"/>
      <c r="BE128" s="6"/>
      <c r="BF128" s="6"/>
      <c r="BG128" s="6"/>
      <c r="BH128" s="35"/>
      <c r="BI128" s="6"/>
      <c r="BJ128" s="6"/>
      <c r="BK128" s="6"/>
      <c r="BL128" s="6"/>
      <c r="BM128" s="6"/>
      <c r="BN128" s="35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>
        <v>51</v>
      </c>
      <c r="CH128" s="6">
        <v>616</v>
      </c>
      <c r="CI128" s="6">
        <f t="shared" si="26"/>
        <v>333</v>
      </c>
      <c r="CJ128" s="6">
        <v>422</v>
      </c>
      <c r="CK128" s="6"/>
      <c r="CL128" s="6">
        <f t="shared" si="27"/>
        <v>371</v>
      </c>
      <c r="CM128" s="6">
        <v>0</v>
      </c>
      <c r="CN128" s="6">
        <v>587</v>
      </c>
      <c r="CO128" s="6">
        <f t="shared" si="28"/>
        <v>165</v>
      </c>
      <c r="CP128" s="6">
        <v>290</v>
      </c>
      <c r="CQ128" s="6"/>
      <c r="CR128" s="6">
        <f t="shared" si="29"/>
        <v>290</v>
      </c>
      <c r="CS128" s="6">
        <v>647</v>
      </c>
      <c r="CT128" s="6"/>
      <c r="CU128" s="6">
        <f t="shared" si="30"/>
        <v>357</v>
      </c>
      <c r="CV128" s="6">
        <v>969</v>
      </c>
      <c r="CW128" s="6"/>
      <c r="CX128" s="6">
        <f t="shared" si="31"/>
        <v>322</v>
      </c>
    </row>
    <row r="129" spans="1:102">
      <c r="A129" s="6">
        <v>125</v>
      </c>
      <c r="B129" s="6">
        <v>1255</v>
      </c>
      <c r="C129" s="6"/>
      <c r="D129" s="6">
        <v>323</v>
      </c>
      <c r="E129" s="33" t="s">
        <v>128</v>
      </c>
      <c r="F129" s="33" t="s">
        <v>128</v>
      </c>
      <c r="G129" s="33" t="s">
        <v>128</v>
      </c>
      <c r="H129" s="33" t="s">
        <v>128</v>
      </c>
      <c r="I129" s="33" t="s">
        <v>128</v>
      </c>
      <c r="J129" s="33" t="s">
        <v>128</v>
      </c>
      <c r="K129" s="33" t="s">
        <v>128</v>
      </c>
      <c r="L129" s="33" t="s">
        <v>128</v>
      </c>
      <c r="M129" s="33" t="s">
        <v>128</v>
      </c>
      <c r="N129" s="33" t="s">
        <v>128</v>
      </c>
      <c r="O129" s="33" t="s">
        <v>128</v>
      </c>
      <c r="P129" s="33" t="s">
        <v>128</v>
      </c>
      <c r="Q129" s="33" t="s">
        <v>128</v>
      </c>
      <c r="R129" s="33" t="s">
        <v>128</v>
      </c>
      <c r="S129" s="148" t="s">
        <v>128</v>
      </c>
      <c r="T129" s="33" t="s">
        <v>128</v>
      </c>
      <c r="U129" s="33" t="s">
        <v>128</v>
      </c>
      <c r="V129" s="6">
        <v>77</v>
      </c>
      <c r="W129" s="6">
        <v>1560</v>
      </c>
      <c r="X129" s="35">
        <f t="shared" si="16"/>
        <v>382</v>
      </c>
      <c r="Y129" s="35">
        <v>431</v>
      </c>
      <c r="Z129" s="35"/>
      <c r="AA129" s="35">
        <f t="shared" si="17"/>
        <v>354</v>
      </c>
      <c r="AB129" s="6">
        <v>789</v>
      </c>
      <c r="AC129" s="6"/>
      <c r="AD129" s="35">
        <f t="shared" si="18"/>
        <v>358</v>
      </c>
      <c r="AE129" s="6">
        <v>898</v>
      </c>
      <c r="AF129" s="6"/>
      <c r="AG129" s="34">
        <f t="shared" si="19"/>
        <v>109</v>
      </c>
      <c r="AH129" s="35">
        <v>1216</v>
      </c>
      <c r="AI129" s="35"/>
      <c r="AJ129" s="35">
        <f t="shared" si="20"/>
        <v>318</v>
      </c>
      <c r="AK129" s="6">
        <v>3</v>
      </c>
      <c r="AL129" s="6">
        <v>1560</v>
      </c>
      <c r="AM129" s="35">
        <f t="shared" si="21"/>
        <v>347</v>
      </c>
      <c r="AN129" s="6"/>
      <c r="AO129" s="6"/>
      <c r="AP129" s="35"/>
      <c r="AQ129" s="6">
        <v>374</v>
      </c>
      <c r="AR129" s="6"/>
      <c r="AS129" s="35">
        <f t="shared" si="22"/>
        <v>371</v>
      </c>
      <c r="AT129" s="6">
        <v>743</v>
      </c>
      <c r="AU129" s="6"/>
      <c r="AV129" s="35">
        <f t="shared" si="23"/>
        <v>369</v>
      </c>
      <c r="AW129" s="6">
        <v>1111</v>
      </c>
      <c r="AX129" s="6"/>
      <c r="AY129" s="6">
        <f t="shared" si="24"/>
        <v>368</v>
      </c>
      <c r="AZ129" s="6">
        <v>1197</v>
      </c>
      <c r="BA129" s="35"/>
      <c r="BB129" s="6">
        <f t="shared" si="25"/>
        <v>86</v>
      </c>
      <c r="BC129" s="6"/>
      <c r="BD129" s="6"/>
      <c r="BE129" s="6"/>
      <c r="BF129" s="6"/>
      <c r="BG129" s="6"/>
      <c r="BH129" s="35"/>
      <c r="BI129" s="6"/>
      <c r="BJ129" s="6"/>
      <c r="BK129" s="6"/>
      <c r="BL129" s="6"/>
      <c r="BM129" s="6"/>
      <c r="BN129" s="35"/>
      <c r="BO129" s="6"/>
      <c r="BP129" s="35"/>
      <c r="BQ129" s="6"/>
      <c r="BR129" s="6"/>
      <c r="BS129" s="6"/>
      <c r="BT129" s="35"/>
      <c r="BU129" s="6"/>
      <c r="BV129" s="35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>
        <v>11</v>
      </c>
      <c r="CH129" s="6">
        <v>1560</v>
      </c>
      <c r="CI129" s="6">
        <f t="shared" si="26"/>
        <v>374</v>
      </c>
      <c r="CJ129" s="6">
        <v>378</v>
      </c>
      <c r="CK129" s="6"/>
      <c r="CL129" s="6">
        <f t="shared" si="27"/>
        <v>367</v>
      </c>
      <c r="CM129" s="6">
        <v>0</v>
      </c>
      <c r="CN129" s="6">
        <v>562</v>
      </c>
      <c r="CO129" s="6">
        <f t="shared" si="28"/>
        <v>184</v>
      </c>
      <c r="CP129" s="6">
        <v>293</v>
      </c>
      <c r="CQ129" s="6"/>
      <c r="CR129" s="6">
        <f t="shared" si="29"/>
        <v>293</v>
      </c>
      <c r="CS129" s="6">
        <v>656</v>
      </c>
      <c r="CT129" s="6"/>
      <c r="CU129" s="6">
        <f t="shared" si="30"/>
        <v>363</v>
      </c>
      <c r="CV129" s="6">
        <v>984</v>
      </c>
      <c r="CW129" s="6"/>
      <c r="CX129" s="6">
        <f t="shared" si="31"/>
        <v>328</v>
      </c>
    </row>
    <row r="130" spans="1:102">
      <c r="A130" s="6">
        <v>126</v>
      </c>
      <c r="B130" s="6">
        <v>990</v>
      </c>
      <c r="C130" s="6"/>
      <c r="D130" s="6">
        <v>320</v>
      </c>
      <c r="E130" s="33" t="s">
        <v>128</v>
      </c>
      <c r="F130" s="33" t="s">
        <v>128</v>
      </c>
      <c r="G130" s="33" t="s">
        <v>128</v>
      </c>
      <c r="H130" s="33" t="s">
        <v>128</v>
      </c>
      <c r="I130" s="33" t="s">
        <v>128</v>
      </c>
      <c r="J130" s="33" t="s">
        <v>128</v>
      </c>
      <c r="K130" s="33" t="s">
        <v>128</v>
      </c>
      <c r="L130" s="33" t="s">
        <v>128</v>
      </c>
      <c r="M130" s="33" t="s">
        <v>128</v>
      </c>
      <c r="N130" s="33" t="s">
        <v>128</v>
      </c>
      <c r="O130" s="33" t="s">
        <v>128</v>
      </c>
      <c r="P130" s="33" t="s">
        <v>128</v>
      </c>
      <c r="Q130" s="33" t="s">
        <v>128</v>
      </c>
      <c r="R130" s="33" t="s">
        <v>128</v>
      </c>
      <c r="S130" s="33" t="s">
        <v>128</v>
      </c>
      <c r="T130" s="33" t="s">
        <v>128</v>
      </c>
      <c r="U130" s="33" t="s">
        <v>128</v>
      </c>
      <c r="V130" s="35">
        <v>1369</v>
      </c>
      <c r="W130" s="35"/>
      <c r="X130" s="35">
        <f t="shared" si="16"/>
        <v>379</v>
      </c>
      <c r="Y130" s="35">
        <v>329</v>
      </c>
      <c r="Z130" s="35">
        <v>1380</v>
      </c>
      <c r="AA130" s="35">
        <f t="shared" si="17"/>
        <v>340</v>
      </c>
      <c r="AB130" s="35">
        <v>662</v>
      </c>
      <c r="AC130" s="35"/>
      <c r="AD130" s="35">
        <f t="shared" si="18"/>
        <v>333</v>
      </c>
      <c r="AE130" s="35">
        <v>768</v>
      </c>
      <c r="AF130" s="35"/>
      <c r="AG130" s="34">
        <f t="shared" si="19"/>
        <v>106</v>
      </c>
      <c r="AH130" s="35">
        <v>1071</v>
      </c>
      <c r="AI130" s="35"/>
      <c r="AJ130" s="35">
        <f t="shared" si="20"/>
        <v>303</v>
      </c>
      <c r="AK130" s="6">
        <v>1403</v>
      </c>
      <c r="AL130" s="6"/>
      <c r="AM130" s="35">
        <f t="shared" si="21"/>
        <v>332</v>
      </c>
      <c r="AN130" s="35"/>
      <c r="AO130" s="35"/>
      <c r="AP130" s="35"/>
      <c r="AQ130" s="35">
        <v>199</v>
      </c>
      <c r="AR130" s="35">
        <v>1560</v>
      </c>
      <c r="AS130" s="35">
        <f t="shared" si="22"/>
        <v>356</v>
      </c>
      <c r="AT130" s="35">
        <v>557</v>
      </c>
      <c r="AU130" s="35"/>
      <c r="AV130" s="35">
        <f t="shared" si="23"/>
        <v>358</v>
      </c>
      <c r="AW130" s="35">
        <v>899</v>
      </c>
      <c r="AX130" s="35"/>
      <c r="AY130" s="6">
        <f t="shared" si="24"/>
        <v>342</v>
      </c>
      <c r="AZ130" s="35">
        <v>989</v>
      </c>
      <c r="BA130" s="35"/>
      <c r="BB130" s="6">
        <f t="shared" si="25"/>
        <v>90</v>
      </c>
      <c r="BC130" s="35"/>
      <c r="BD130" s="6"/>
      <c r="BE130" s="6"/>
      <c r="BF130" s="6"/>
      <c r="BG130" s="6"/>
      <c r="BH130" s="35"/>
      <c r="BI130" s="6"/>
      <c r="BJ130" s="6"/>
      <c r="BK130" s="6"/>
      <c r="BL130" s="6"/>
      <c r="BM130" s="6"/>
      <c r="BN130" s="35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>
        <v>1347</v>
      </c>
      <c r="CH130" s="6"/>
      <c r="CI130" s="6">
        <f t="shared" si="26"/>
        <v>358</v>
      </c>
      <c r="CJ130" s="6">
        <v>144</v>
      </c>
      <c r="CK130" s="6">
        <v>1560</v>
      </c>
      <c r="CL130" s="6">
        <f t="shared" si="27"/>
        <v>357</v>
      </c>
      <c r="CM130" s="6">
        <v>484</v>
      </c>
      <c r="CN130" s="6"/>
      <c r="CO130" s="6">
        <f t="shared" si="28"/>
        <v>340</v>
      </c>
      <c r="CP130" s="6">
        <v>347</v>
      </c>
      <c r="CQ130" s="6">
        <v>494</v>
      </c>
      <c r="CR130" s="6">
        <f t="shared" si="29"/>
        <v>357</v>
      </c>
      <c r="CS130" s="6">
        <v>715</v>
      </c>
      <c r="CT130" s="6"/>
      <c r="CU130" s="6">
        <f t="shared" si="30"/>
        <v>368</v>
      </c>
      <c r="CV130" s="6">
        <v>1043</v>
      </c>
      <c r="CW130" s="6"/>
      <c r="CX130" s="6">
        <f t="shared" si="31"/>
        <v>328</v>
      </c>
    </row>
    <row r="131" spans="1:102">
      <c r="A131" s="6">
        <v>127</v>
      </c>
      <c r="B131" s="6">
        <v>216</v>
      </c>
      <c r="C131" s="6">
        <v>373</v>
      </c>
      <c r="D131" s="6">
        <v>326</v>
      </c>
      <c r="E131" s="33" t="s">
        <v>128</v>
      </c>
      <c r="F131" s="33" t="s">
        <v>128</v>
      </c>
      <c r="G131" s="33" t="s">
        <v>128</v>
      </c>
      <c r="H131" s="33" t="s">
        <v>128</v>
      </c>
      <c r="I131" s="33" t="s">
        <v>128</v>
      </c>
      <c r="J131" s="33" t="s">
        <v>128</v>
      </c>
      <c r="K131" s="33" t="s">
        <v>128</v>
      </c>
      <c r="L131" s="33" t="s">
        <v>128</v>
      </c>
      <c r="M131" s="33" t="s">
        <v>128</v>
      </c>
      <c r="N131" s="33" t="s">
        <v>128</v>
      </c>
      <c r="O131" s="33" t="s">
        <v>128</v>
      </c>
      <c r="P131" s="33" t="s">
        <v>128</v>
      </c>
      <c r="Q131" s="33" t="s">
        <v>128</v>
      </c>
      <c r="R131" s="33" t="s">
        <v>128</v>
      </c>
      <c r="S131" s="33" t="s">
        <v>128</v>
      </c>
      <c r="T131" s="33" t="s">
        <v>128</v>
      </c>
      <c r="U131" s="33" t="s">
        <v>128</v>
      </c>
      <c r="V131" s="6">
        <v>600</v>
      </c>
      <c r="W131" s="6"/>
      <c r="X131" s="35">
        <f t="shared" si="16"/>
        <v>384</v>
      </c>
      <c r="Y131" s="35">
        <v>967</v>
      </c>
      <c r="Z131" s="35"/>
      <c r="AA131" s="35">
        <f t="shared" si="17"/>
        <v>367</v>
      </c>
      <c r="AB131" s="6">
        <v>1326</v>
      </c>
      <c r="AC131" s="6"/>
      <c r="AD131" s="35">
        <f t="shared" si="18"/>
        <v>359</v>
      </c>
      <c r="AE131" s="6">
        <v>1438</v>
      </c>
      <c r="AF131" s="6"/>
      <c r="AG131" s="34">
        <f t="shared" si="19"/>
        <v>112</v>
      </c>
      <c r="AH131" s="35">
        <v>206</v>
      </c>
      <c r="AI131" s="35">
        <v>1560</v>
      </c>
      <c r="AJ131" s="35">
        <f t="shared" si="20"/>
        <v>328</v>
      </c>
      <c r="AK131" s="6">
        <v>568</v>
      </c>
      <c r="AL131" s="6"/>
      <c r="AM131" s="35">
        <f t="shared" si="21"/>
        <v>362</v>
      </c>
      <c r="AN131" s="6"/>
      <c r="AO131" s="35"/>
      <c r="AP131" s="35"/>
      <c r="AQ131" s="35">
        <v>957</v>
      </c>
      <c r="AR131" s="35"/>
      <c r="AS131" s="35">
        <f t="shared" si="22"/>
        <v>389</v>
      </c>
      <c r="AT131" s="6">
        <v>1343</v>
      </c>
      <c r="AU131" s="6"/>
      <c r="AV131" s="35">
        <f t="shared" si="23"/>
        <v>386</v>
      </c>
      <c r="AW131" s="6">
        <v>164</v>
      </c>
      <c r="AX131" s="6">
        <v>1560</v>
      </c>
      <c r="AY131" s="6">
        <f t="shared" si="24"/>
        <v>381</v>
      </c>
      <c r="AZ131" s="6">
        <v>262</v>
      </c>
      <c r="BA131" s="6"/>
      <c r="BB131" s="6">
        <f t="shared" si="25"/>
        <v>98</v>
      </c>
      <c r="BC131" s="6"/>
      <c r="BD131" s="6"/>
      <c r="BE131" s="6"/>
      <c r="BF131" s="6"/>
      <c r="BG131" s="6"/>
      <c r="BH131" s="35"/>
      <c r="BI131" s="6"/>
      <c r="BJ131" s="6"/>
      <c r="BK131" s="6"/>
      <c r="BL131" s="6"/>
      <c r="BM131" s="6"/>
      <c r="BN131" s="35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>
        <v>654</v>
      </c>
      <c r="CH131" s="6"/>
      <c r="CI131" s="6">
        <f t="shared" si="26"/>
        <v>392</v>
      </c>
      <c r="CJ131" s="6">
        <v>119</v>
      </c>
      <c r="CK131" s="6">
        <v>886</v>
      </c>
      <c r="CL131" s="6">
        <f t="shared" si="27"/>
        <v>351</v>
      </c>
      <c r="CM131" s="6">
        <v>51</v>
      </c>
      <c r="CN131" s="6">
        <v>433</v>
      </c>
      <c r="CO131" s="6">
        <f t="shared" si="28"/>
        <v>365</v>
      </c>
      <c r="CP131" s="6">
        <v>400</v>
      </c>
      <c r="CQ131" s="6"/>
      <c r="CR131" s="6">
        <f t="shared" si="29"/>
        <v>349</v>
      </c>
      <c r="CS131" s="6">
        <v>746</v>
      </c>
      <c r="CT131" s="6"/>
      <c r="CU131" s="6">
        <f t="shared" si="30"/>
        <v>346</v>
      </c>
      <c r="CV131" s="6">
        <v>1070</v>
      </c>
      <c r="CW131" s="6"/>
      <c r="CX131" s="6">
        <f t="shared" si="31"/>
        <v>324</v>
      </c>
    </row>
    <row r="132" spans="1:102">
      <c r="A132" s="6">
        <v>128</v>
      </c>
      <c r="B132" s="6">
        <v>1318</v>
      </c>
      <c r="C132" s="6"/>
      <c r="D132" s="6">
        <v>333</v>
      </c>
      <c r="E132" s="33" t="s">
        <v>37</v>
      </c>
      <c r="F132" s="33" t="s">
        <v>37</v>
      </c>
      <c r="G132" s="33" t="s">
        <v>37</v>
      </c>
      <c r="H132" s="33" t="s">
        <v>37</v>
      </c>
      <c r="I132" s="33" t="s">
        <v>37</v>
      </c>
      <c r="J132" s="33" t="s">
        <v>37</v>
      </c>
      <c r="K132" s="33" t="s">
        <v>37</v>
      </c>
      <c r="L132" s="33" t="s">
        <v>37</v>
      </c>
      <c r="M132" s="33" t="s">
        <v>37</v>
      </c>
      <c r="N132" s="33" t="s">
        <v>37</v>
      </c>
      <c r="O132" s="33" t="s">
        <v>37</v>
      </c>
      <c r="P132" s="33" t="s">
        <v>37</v>
      </c>
      <c r="Q132" s="33" t="s">
        <v>37</v>
      </c>
      <c r="R132" s="33" t="s">
        <v>37</v>
      </c>
      <c r="S132" s="33" t="s">
        <v>37</v>
      </c>
      <c r="T132" s="33" t="s">
        <v>37</v>
      </c>
      <c r="U132" s="33" t="s">
        <v>37</v>
      </c>
      <c r="V132" s="6">
        <v>140</v>
      </c>
      <c r="W132" s="6">
        <v>1560</v>
      </c>
      <c r="X132" s="35">
        <f t="shared" si="16"/>
        <v>382</v>
      </c>
      <c r="Y132" s="35">
        <v>51</v>
      </c>
      <c r="Z132" s="35">
        <v>282</v>
      </c>
      <c r="AA132" s="35">
        <f t="shared" si="17"/>
        <v>193</v>
      </c>
      <c r="AB132" s="6">
        <v>362</v>
      </c>
      <c r="AC132" s="6"/>
      <c r="AD132" s="35">
        <f t="shared" si="18"/>
        <v>311</v>
      </c>
      <c r="AE132" s="6">
        <v>473</v>
      </c>
      <c r="AF132" s="6"/>
      <c r="AG132" s="34">
        <f t="shared" si="19"/>
        <v>111</v>
      </c>
      <c r="AH132" s="35">
        <v>785</v>
      </c>
      <c r="AI132" s="35"/>
      <c r="AJ132" s="35">
        <f t="shared" si="20"/>
        <v>312</v>
      </c>
      <c r="AK132" s="6">
        <v>1124</v>
      </c>
      <c r="AL132" s="6"/>
      <c r="AM132" s="35">
        <f t="shared" si="21"/>
        <v>339</v>
      </c>
      <c r="AN132" s="6"/>
      <c r="AO132" s="6"/>
      <c r="AP132" s="35"/>
      <c r="AQ132" s="6">
        <v>1506</v>
      </c>
      <c r="AR132" s="6"/>
      <c r="AS132" s="35">
        <f t="shared" si="22"/>
        <v>382</v>
      </c>
      <c r="AT132" s="6">
        <v>332</v>
      </c>
      <c r="AU132" s="6">
        <v>1560</v>
      </c>
      <c r="AV132" s="35">
        <f t="shared" si="23"/>
        <v>386</v>
      </c>
      <c r="AW132" s="6">
        <v>694</v>
      </c>
      <c r="AX132" s="6"/>
      <c r="AY132" s="6">
        <f t="shared" si="24"/>
        <v>362</v>
      </c>
      <c r="AZ132" s="6">
        <v>783</v>
      </c>
      <c r="BA132" s="35"/>
      <c r="BB132" s="6">
        <f t="shared" si="25"/>
        <v>89</v>
      </c>
      <c r="BC132" s="6"/>
      <c r="BD132" s="6"/>
      <c r="BE132" s="6"/>
      <c r="BF132" s="6"/>
      <c r="BG132" s="6"/>
      <c r="BH132" s="35"/>
      <c r="BI132" s="6"/>
      <c r="BJ132" s="6"/>
      <c r="BK132" s="6"/>
      <c r="BL132" s="6"/>
      <c r="BM132" s="6"/>
      <c r="BN132" s="35"/>
      <c r="BO132" s="6"/>
      <c r="BP132" s="35"/>
      <c r="BQ132" s="6"/>
      <c r="BR132" s="6"/>
      <c r="BS132" s="6"/>
      <c r="BT132" s="35"/>
      <c r="BU132" s="6"/>
      <c r="BV132" s="35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>
        <v>1154</v>
      </c>
      <c r="CH132" s="6"/>
      <c r="CI132" s="6">
        <f t="shared" si="26"/>
        <v>371</v>
      </c>
      <c r="CJ132" s="6">
        <v>51</v>
      </c>
      <c r="CK132" s="6">
        <v>1465</v>
      </c>
      <c r="CL132" s="6">
        <f t="shared" si="27"/>
        <v>362</v>
      </c>
      <c r="CM132" s="6">
        <v>424</v>
      </c>
      <c r="CN132" s="6"/>
      <c r="CO132" s="6">
        <f t="shared" si="28"/>
        <v>373</v>
      </c>
      <c r="CP132" s="6">
        <v>797</v>
      </c>
      <c r="CQ132" s="6"/>
      <c r="CR132" s="6">
        <f t="shared" si="29"/>
        <v>373</v>
      </c>
      <c r="CS132" s="6">
        <v>1170</v>
      </c>
      <c r="CT132" s="6"/>
      <c r="CU132" s="6">
        <f t="shared" si="30"/>
        <v>373</v>
      </c>
      <c r="CV132" s="6">
        <v>1499</v>
      </c>
      <c r="CW132" s="6"/>
      <c r="CX132" s="6">
        <f t="shared" si="31"/>
        <v>329</v>
      </c>
    </row>
    <row r="133" spans="1:102">
      <c r="A133" s="6">
        <v>129</v>
      </c>
      <c r="B133" s="6">
        <v>0</v>
      </c>
      <c r="C133" s="6">
        <v>460</v>
      </c>
      <c r="D133" s="6">
        <v>298</v>
      </c>
      <c r="E133" s="33" t="s">
        <v>128</v>
      </c>
      <c r="F133" s="33" t="s">
        <v>128</v>
      </c>
      <c r="G133" s="33" t="s">
        <v>128</v>
      </c>
      <c r="H133" s="33" t="s">
        <v>128</v>
      </c>
      <c r="I133" s="33" t="s">
        <v>128</v>
      </c>
      <c r="J133" s="33" t="s">
        <v>128</v>
      </c>
      <c r="K133" s="33" t="s">
        <v>128</v>
      </c>
      <c r="L133" s="33" t="s">
        <v>128</v>
      </c>
      <c r="M133" s="33" t="s">
        <v>128</v>
      </c>
      <c r="N133" s="33" t="s">
        <v>128</v>
      </c>
      <c r="O133" s="33" t="s">
        <v>128</v>
      </c>
      <c r="P133" s="33" t="s">
        <v>128</v>
      </c>
      <c r="Q133" s="33" t="s">
        <v>128</v>
      </c>
      <c r="R133" s="33" t="s">
        <v>128</v>
      </c>
      <c r="S133" s="148" t="s">
        <v>128</v>
      </c>
      <c r="T133" s="33" t="s">
        <v>128</v>
      </c>
      <c r="U133" s="33" t="s">
        <v>128</v>
      </c>
      <c r="V133" s="6">
        <v>384</v>
      </c>
      <c r="W133" s="6"/>
      <c r="X133" s="35">
        <f t="shared" ref="X133:X196" si="32">W133+V133-B133</f>
        <v>384</v>
      </c>
      <c r="Y133" s="35">
        <v>751</v>
      </c>
      <c r="Z133" s="35"/>
      <c r="AA133" s="35">
        <f t="shared" si="17"/>
        <v>367</v>
      </c>
      <c r="AB133" s="6">
        <v>146</v>
      </c>
      <c r="AC133" s="6">
        <v>959</v>
      </c>
      <c r="AD133" s="35">
        <f t="shared" si="18"/>
        <v>354</v>
      </c>
      <c r="AE133" s="6">
        <v>258</v>
      </c>
      <c r="AF133" s="6"/>
      <c r="AG133" s="34">
        <f t="shared" si="19"/>
        <v>112</v>
      </c>
      <c r="AH133" s="35">
        <v>249</v>
      </c>
      <c r="AI133" s="35">
        <v>316</v>
      </c>
      <c r="AJ133" s="35">
        <f t="shared" si="20"/>
        <v>307</v>
      </c>
      <c r="AK133" s="6">
        <v>122</v>
      </c>
      <c r="AL133" s="6">
        <v>462</v>
      </c>
      <c r="AM133" s="35">
        <f t="shared" si="21"/>
        <v>335</v>
      </c>
      <c r="AN133" s="6"/>
      <c r="AO133" s="35"/>
      <c r="AP133" s="35"/>
      <c r="AQ133" s="35">
        <v>482</v>
      </c>
      <c r="AR133" s="35"/>
      <c r="AS133" s="35">
        <f t="shared" si="22"/>
        <v>360</v>
      </c>
      <c r="AT133" s="6">
        <v>836</v>
      </c>
      <c r="AU133" s="6"/>
      <c r="AV133" s="35">
        <f t="shared" si="23"/>
        <v>354</v>
      </c>
      <c r="AW133" s="6">
        <v>1194</v>
      </c>
      <c r="AX133" s="6"/>
      <c r="AY133" s="6">
        <f t="shared" si="24"/>
        <v>358</v>
      </c>
      <c r="AZ133" s="6">
        <v>1274</v>
      </c>
      <c r="BA133" s="6"/>
      <c r="BB133" s="6">
        <f t="shared" si="25"/>
        <v>80</v>
      </c>
      <c r="BC133" s="6"/>
      <c r="BD133" s="6"/>
      <c r="BE133" s="6"/>
      <c r="BF133" s="6"/>
      <c r="BG133" s="6"/>
      <c r="BH133" s="35"/>
      <c r="BI133" s="6"/>
      <c r="BJ133" s="6"/>
      <c r="BK133" s="6"/>
      <c r="BL133" s="6"/>
      <c r="BM133" s="6"/>
      <c r="BN133" s="35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>
        <v>283</v>
      </c>
      <c r="CH133" s="6">
        <v>1280</v>
      </c>
      <c r="CI133" s="6">
        <f t="shared" si="26"/>
        <v>289</v>
      </c>
      <c r="CJ133" s="6">
        <v>619</v>
      </c>
      <c r="CK133" s="6"/>
      <c r="CL133" s="6">
        <f t="shared" si="27"/>
        <v>336</v>
      </c>
      <c r="CM133" s="6">
        <v>0</v>
      </c>
      <c r="CN133" s="6">
        <v>907</v>
      </c>
      <c r="CO133" s="6">
        <f t="shared" si="28"/>
        <v>288</v>
      </c>
      <c r="CP133" s="6">
        <v>273</v>
      </c>
      <c r="CQ133" s="6"/>
      <c r="CR133" s="6">
        <f t="shared" si="29"/>
        <v>273</v>
      </c>
      <c r="CS133" s="6">
        <v>609</v>
      </c>
      <c r="CT133" s="6"/>
      <c r="CU133" s="6">
        <f t="shared" si="30"/>
        <v>336</v>
      </c>
      <c r="CV133" s="6">
        <v>927</v>
      </c>
      <c r="CW133" s="6"/>
      <c r="CX133" s="6">
        <f t="shared" si="31"/>
        <v>318</v>
      </c>
    </row>
    <row r="134" spans="1:102">
      <c r="A134" s="6">
        <v>130</v>
      </c>
      <c r="B134" s="6">
        <v>472</v>
      </c>
      <c r="C134" s="6"/>
      <c r="D134" s="6">
        <v>323</v>
      </c>
      <c r="E134" s="33" t="s">
        <v>37</v>
      </c>
      <c r="F134" s="33" t="s">
        <v>37</v>
      </c>
      <c r="G134" s="33" t="s">
        <v>37</v>
      </c>
      <c r="H134" s="33" t="s">
        <v>37</v>
      </c>
      <c r="I134" s="33" t="s">
        <v>37</v>
      </c>
      <c r="J134" s="33" t="s">
        <v>37</v>
      </c>
      <c r="K134" s="33" t="s">
        <v>37</v>
      </c>
      <c r="L134" s="33" t="s">
        <v>37</v>
      </c>
      <c r="M134" s="33" t="s">
        <v>37</v>
      </c>
      <c r="N134" s="33" t="s">
        <v>37</v>
      </c>
      <c r="O134" s="33" t="s">
        <v>37</v>
      </c>
      <c r="P134" s="33" t="s">
        <v>37</v>
      </c>
      <c r="Q134" s="33" t="s">
        <v>37</v>
      </c>
      <c r="R134" s="33" t="s">
        <v>37</v>
      </c>
      <c r="S134" s="33" t="s">
        <v>37</v>
      </c>
      <c r="T134" s="33" t="s">
        <v>37</v>
      </c>
      <c r="U134" s="33" t="s">
        <v>37</v>
      </c>
      <c r="V134" s="6">
        <v>855</v>
      </c>
      <c r="W134" s="6"/>
      <c r="X134" s="35">
        <f t="shared" si="32"/>
        <v>383</v>
      </c>
      <c r="Y134" s="35">
        <v>1213</v>
      </c>
      <c r="Z134" s="35"/>
      <c r="AA134" s="35">
        <f t="shared" ref="AA134:AA197" si="33">Z134+Y134-V134</f>
        <v>358</v>
      </c>
      <c r="AB134" s="6">
        <v>1560</v>
      </c>
      <c r="AC134" s="6"/>
      <c r="AD134" s="35">
        <f t="shared" ref="AD134:AD197" si="34">AC134+AB134-Y134</f>
        <v>347</v>
      </c>
      <c r="AE134" s="6">
        <v>106</v>
      </c>
      <c r="AF134" s="6">
        <v>1560</v>
      </c>
      <c r="AG134" s="34">
        <f t="shared" ref="AG134:AG197" si="35">AF134+AE134-AB134</f>
        <v>106</v>
      </c>
      <c r="AH134" s="35">
        <v>418</v>
      </c>
      <c r="AI134" s="35"/>
      <c r="AJ134" s="35">
        <f t="shared" ref="AJ134:AJ197" si="36">AI134+AH134-AE134</f>
        <v>312</v>
      </c>
      <c r="AK134" s="6">
        <v>755</v>
      </c>
      <c r="AL134" s="6"/>
      <c r="AM134" s="35">
        <f t="shared" ref="AM134:AM197" si="37">AL134+AK134-AH134</f>
        <v>337</v>
      </c>
      <c r="AN134" s="6"/>
      <c r="AO134" s="6"/>
      <c r="AP134" s="35"/>
      <c r="AQ134" s="6">
        <v>1105</v>
      </c>
      <c r="AR134" s="6"/>
      <c r="AS134" s="35">
        <f t="shared" ref="AS134:AS197" si="38">AR134+AQ134-AK134</f>
        <v>350</v>
      </c>
      <c r="AT134" s="6">
        <v>1453</v>
      </c>
      <c r="AU134" s="6"/>
      <c r="AV134" s="35">
        <f t="shared" ref="AV134:AV152" si="39">AU134+AT134-AQ134</f>
        <v>348</v>
      </c>
      <c r="AW134" s="6">
        <v>236</v>
      </c>
      <c r="AX134" s="6">
        <v>1560</v>
      </c>
      <c r="AY134" s="6">
        <f t="shared" ref="AY134:AY197" si="40">AX134+AW134-AT134</f>
        <v>343</v>
      </c>
      <c r="AZ134" s="6">
        <v>312</v>
      </c>
      <c r="BA134" s="35"/>
      <c r="BB134" s="6">
        <f t="shared" ref="BB134:BB197" si="41">BA134+AZ134-AW134</f>
        <v>76</v>
      </c>
      <c r="BC134" s="6"/>
      <c r="BD134" s="6"/>
      <c r="BE134" s="6"/>
      <c r="BF134" s="6"/>
      <c r="BG134" s="6"/>
      <c r="BH134" s="35"/>
      <c r="BI134" s="6"/>
      <c r="BJ134" s="6"/>
      <c r="BK134" s="6"/>
      <c r="BL134" s="6"/>
      <c r="BM134" s="6"/>
      <c r="BN134" s="35"/>
      <c r="BO134" s="6"/>
      <c r="BP134" s="35"/>
      <c r="BQ134" s="6"/>
      <c r="BR134" s="6"/>
      <c r="BS134" s="6"/>
      <c r="BT134" s="35"/>
      <c r="BU134" s="6"/>
      <c r="BV134" s="35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>
        <v>572</v>
      </c>
      <c r="CH134" s="6"/>
      <c r="CI134" s="6">
        <f t="shared" ref="CI134:CI197" si="42">CH134+CG134-AZ134</f>
        <v>260</v>
      </c>
      <c r="CJ134" s="6">
        <v>919</v>
      </c>
      <c r="CK134" s="6"/>
      <c r="CL134" s="6">
        <f t="shared" ref="CL134:CL197" si="43">CK134+CJ134-CG134</f>
        <v>347</v>
      </c>
      <c r="CM134" s="6">
        <v>1269</v>
      </c>
      <c r="CN134" s="35"/>
      <c r="CO134" s="6">
        <f t="shared" ref="CO134:CO197" si="44">CN134+CM134-CJ134</f>
        <v>350</v>
      </c>
      <c r="CP134" s="6">
        <v>59</v>
      </c>
      <c r="CQ134" s="6">
        <v>1564</v>
      </c>
      <c r="CR134" s="6">
        <f t="shared" ref="CR134:CR197" si="45">CQ134+CP134-CM134</f>
        <v>354</v>
      </c>
      <c r="CS134" s="6">
        <v>413</v>
      </c>
      <c r="CT134" s="6"/>
      <c r="CU134" s="6">
        <f t="shared" ref="CU134:CU197" si="46">CT134+CS134-CP134</f>
        <v>354</v>
      </c>
      <c r="CV134" s="6">
        <v>725</v>
      </c>
      <c r="CW134" s="6"/>
      <c r="CX134" s="6">
        <f t="shared" ref="CX134:CX197" si="47">CW134+CV134-CS134</f>
        <v>312</v>
      </c>
    </row>
    <row r="135" spans="1:102">
      <c r="A135" s="6">
        <v>131</v>
      </c>
      <c r="B135" s="6">
        <v>993</v>
      </c>
      <c r="C135" s="6"/>
      <c r="D135" s="6">
        <v>329</v>
      </c>
      <c r="E135" s="33" t="s">
        <v>128</v>
      </c>
      <c r="F135" s="33" t="s">
        <v>128</v>
      </c>
      <c r="G135" s="33" t="s">
        <v>128</v>
      </c>
      <c r="H135" s="33" t="s">
        <v>128</v>
      </c>
      <c r="I135" s="33" t="s">
        <v>128</v>
      </c>
      <c r="J135" s="33" t="s">
        <v>128</v>
      </c>
      <c r="K135" s="33" t="s">
        <v>128</v>
      </c>
      <c r="L135" s="33" t="s">
        <v>128</v>
      </c>
      <c r="M135" s="33" t="s">
        <v>128</v>
      </c>
      <c r="N135" s="33" t="s">
        <v>128</v>
      </c>
      <c r="O135" s="33" t="s">
        <v>128</v>
      </c>
      <c r="P135" s="33" t="s">
        <v>128</v>
      </c>
      <c r="Q135" s="33" t="s">
        <v>128</v>
      </c>
      <c r="R135" s="33" t="s">
        <v>128</v>
      </c>
      <c r="S135" s="33" t="s">
        <v>128</v>
      </c>
      <c r="T135" s="33" t="s">
        <v>128</v>
      </c>
      <c r="U135" s="33" t="s">
        <v>128</v>
      </c>
      <c r="V135" s="6">
        <v>1375</v>
      </c>
      <c r="W135" s="6"/>
      <c r="X135" s="35">
        <f t="shared" si="32"/>
        <v>382</v>
      </c>
      <c r="Y135" s="35">
        <v>155</v>
      </c>
      <c r="Z135" s="35">
        <v>1560</v>
      </c>
      <c r="AA135" s="35">
        <f t="shared" si="33"/>
        <v>340</v>
      </c>
      <c r="AB135" s="6">
        <v>509</v>
      </c>
      <c r="AC135" s="6"/>
      <c r="AD135" s="35">
        <f t="shared" si="34"/>
        <v>354</v>
      </c>
      <c r="AE135" s="6">
        <v>622</v>
      </c>
      <c r="AF135" s="6"/>
      <c r="AG135" s="34">
        <f t="shared" si="35"/>
        <v>113</v>
      </c>
      <c r="AH135" s="35">
        <v>70</v>
      </c>
      <c r="AI135" s="35">
        <v>874</v>
      </c>
      <c r="AJ135" s="35">
        <f t="shared" si="36"/>
        <v>322</v>
      </c>
      <c r="AK135" s="6">
        <v>433</v>
      </c>
      <c r="AL135" s="6"/>
      <c r="AM135" s="35">
        <f t="shared" si="37"/>
        <v>363</v>
      </c>
      <c r="AN135" s="6"/>
      <c r="AO135" s="6"/>
      <c r="AP135" s="35"/>
      <c r="AQ135" s="35">
        <v>593</v>
      </c>
      <c r="AR135" s="35"/>
      <c r="AS135" s="35">
        <f t="shared" si="38"/>
        <v>160</v>
      </c>
      <c r="AT135" s="35">
        <v>366</v>
      </c>
      <c r="AU135" s="6">
        <v>594</v>
      </c>
      <c r="AV135" s="35">
        <f t="shared" si="39"/>
        <v>367</v>
      </c>
      <c r="AW135" s="6">
        <v>750</v>
      </c>
      <c r="AX135" s="6"/>
      <c r="AY135" s="6">
        <f t="shared" si="40"/>
        <v>384</v>
      </c>
      <c r="AZ135" s="6">
        <v>850</v>
      </c>
      <c r="BA135" s="6"/>
      <c r="BB135" s="6">
        <f t="shared" si="41"/>
        <v>100</v>
      </c>
      <c r="BC135" s="6"/>
      <c r="BD135" s="6"/>
      <c r="BE135" s="6"/>
      <c r="BF135" s="6"/>
      <c r="BG135" s="6"/>
      <c r="BH135" s="35"/>
      <c r="BI135" s="6"/>
      <c r="BJ135" s="6"/>
      <c r="BK135" s="6"/>
      <c r="BL135" s="6"/>
      <c r="BM135" s="6"/>
      <c r="BN135" s="35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>
        <v>1235</v>
      </c>
      <c r="CH135" s="6"/>
      <c r="CI135" s="6">
        <f t="shared" si="42"/>
        <v>385</v>
      </c>
      <c r="CJ135" s="6">
        <v>54</v>
      </c>
      <c r="CK135" s="6">
        <v>1560</v>
      </c>
      <c r="CL135" s="6">
        <f t="shared" si="43"/>
        <v>379</v>
      </c>
      <c r="CM135" s="6">
        <v>442</v>
      </c>
      <c r="CN135" s="6"/>
      <c r="CO135" s="6">
        <f t="shared" si="44"/>
        <v>388</v>
      </c>
      <c r="CP135" s="6">
        <v>819</v>
      </c>
      <c r="CQ135" s="6"/>
      <c r="CR135" s="6">
        <f t="shared" si="45"/>
        <v>377</v>
      </c>
      <c r="CS135" s="6">
        <v>1201</v>
      </c>
      <c r="CT135" s="6"/>
      <c r="CU135" s="6">
        <f t="shared" si="46"/>
        <v>382</v>
      </c>
      <c r="CV135" s="6">
        <v>1525</v>
      </c>
      <c r="CW135" s="6"/>
      <c r="CX135" s="6">
        <f t="shared" si="47"/>
        <v>324</v>
      </c>
    </row>
    <row r="136" spans="1:102">
      <c r="A136" s="6">
        <v>132</v>
      </c>
      <c r="B136" s="6">
        <v>101</v>
      </c>
      <c r="C136" s="6">
        <v>525</v>
      </c>
      <c r="D136" s="6">
        <v>324</v>
      </c>
      <c r="E136" s="33" t="s">
        <v>128</v>
      </c>
      <c r="F136" s="33" t="s">
        <v>128</v>
      </c>
      <c r="G136" s="33" t="s">
        <v>128</v>
      </c>
      <c r="H136" s="33" t="s">
        <v>128</v>
      </c>
      <c r="I136" s="33" t="s">
        <v>128</v>
      </c>
      <c r="J136" s="33" t="s">
        <v>128</v>
      </c>
      <c r="K136" s="33" t="s">
        <v>128</v>
      </c>
      <c r="L136" s="33" t="s">
        <v>128</v>
      </c>
      <c r="M136" s="33" t="s">
        <v>128</v>
      </c>
      <c r="N136" s="33" t="s">
        <v>128</v>
      </c>
      <c r="O136" s="33" t="s">
        <v>128</v>
      </c>
      <c r="P136" s="33" t="s">
        <v>128</v>
      </c>
      <c r="Q136" s="33" t="s">
        <v>128</v>
      </c>
      <c r="R136" s="33" t="s">
        <v>128</v>
      </c>
      <c r="S136" s="33" t="s">
        <v>128</v>
      </c>
      <c r="T136" s="33" t="s">
        <v>128</v>
      </c>
      <c r="U136" s="33" t="s">
        <v>128</v>
      </c>
      <c r="V136" s="35">
        <v>479</v>
      </c>
      <c r="W136" s="35"/>
      <c r="X136" s="35">
        <f t="shared" si="32"/>
        <v>378</v>
      </c>
      <c r="Y136" s="35">
        <v>838</v>
      </c>
      <c r="Z136" s="35"/>
      <c r="AA136" s="35">
        <f t="shared" si="33"/>
        <v>359</v>
      </c>
      <c r="AB136" s="35">
        <v>1197</v>
      </c>
      <c r="AC136" s="35"/>
      <c r="AD136" s="35">
        <f t="shared" si="34"/>
        <v>359</v>
      </c>
      <c r="AE136" s="6">
        <v>1305</v>
      </c>
      <c r="AF136" s="35"/>
      <c r="AG136" s="34">
        <f t="shared" si="35"/>
        <v>108</v>
      </c>
      <c r="AH136" s="35">
        <v>48</v>
      </c>
      <c r="AI136" s="35">
        <v>1560</v>
      </c>
      <c r="AJ136" s="35">
        <f t="shared" si="36"/>
        <v>303</v>
      </c>
      <c r="AK136" s="6">
        <v>412</v>
      </c>
      <c r="AL136" s="6"/>
      <c r="AM136" s="35">
        <f t="shared" si="37"/>
        <v>364</v>
      </c>
      <c r="AN136" s="6"/>
      <c r="AO136" s="6"/>
      <c r="AP136" s="35"/>
      <c r="AQ136" s="6">
        <v>787</v>
      </c>
      <c r="AR136" s="6"/>
      <c r="AS136" s="35">
        <f t="shared" si="38"/>
        <v>375</v>
      </c>
      <c r="AT136" s="6">
        <v>1162</v>
      </c>
      <c r="AU136" s="6"/>
      <c r="AV136" s="35">
        <f t="shared" si="39"/>
        <v>375</v>
      </c>
      <c r="AW136" s="6">
        <v>1518</v>
      </c>
      <c r="AX136" s="6"/>
      <c r="AY136" s="6">
        <f t="shared" si="40"/>
        <v>356</v>
      </c>
      <c r="AZ136" s="6">
        <v>47</v>
      </c>
      <c r="BA136" s="35">
        <v>1560</v>
      </c>
      <c r="BB136" s="6">
        <f t="shared" si="41"/>
        <v>89</v>
      </c>
      <c r="BC136" s="6"/>
      <c r="BD136" s="6"/>
      <c r="BE136" s="6"/>
      <c r="BF136" s="6"/>
      <c r="BG136" s="6"/>
      <c r="BH136" s="35"/>
      <c r="BI136" s="6"/>
      <c r="BJ136" s="6"/>
      <c r="BK136" s="6"/>
      <c r="BL136" s="6"/>
      <c r="BM136" s="6"/>
      <c r="BN136" s="35"/>
      <c r="BO136" s="6"/>
      <c r="BP136" s="35"/>
      <c r="BQ136" s="6"/>
      <c r="BR136" s="6"/>
      <c r="BS136" s="6"/>
      <c r="BT136" s="35"/>
      <c r="BU136" s="6"/>
      <c r="BV136" s="35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>
        <v>427</v>
      </c>
      <c r="CH136" s="6"/>
      <c r="CI136" s="6">
        <f t="shared" si="42"/>
        <v>380</v>
      </c>
      <c r="CJ136" s="6">
        <v>802</v>
      </c>
      <c r="CK136" s="6"/>
      <c r="CL136" s="6">
        <f t="shared" si="43"/>
        <v>375</v>
      </c>
      <c r="CM136" s="6">
        <v>1180</v>
      </c>
      <c r="CN136" s="6"/>
      <c r="CO136" s="6">
        <f t="shared" si="44"/>
        <v>378</v>
      </c>
      <c r="CP136" s="6">
        <v>1529</v>
      </c>
      <c r="CQ136" s="6"/>
      <c r="CR136" s="6">
        <f t="shared" si="45"/>
        <v>349</v>
      </c>
      <c r="CS136" s="6">
        <v>332</v>
      </c>
      <c r="CT136" s="6">
        <v>1560</v>
      </c>
      <c r="CU136" s="6">
        <f t="shared" si="46"/>
        <v>363</v>
      </c>
      <c r="CV136" s="6">
        <v>656</v>
      </c>
      <c r="CW136" s="6"/>
      <c r="CX136" s="6">
        <f t="shared" si="47"/>
        <v>324</v>
      </c>
    </row>
    <row r="137" spans="1:102">
      <c r="A137" s="6">
        <v>133</v>
      </c>
      <c r="B137" s="6">
        <v>1467</v>
      </c>
      <c r="C137" s="6"/>
      <c r="D137" s="6">
        <v>328</v>
      </c>
      <c r="E137" s="33" t="s">
        <v>128</v>
      </c>
      <c r="F137" s="33" t="s">
        <v>128</v>
      </c>
      <c r="G137" s="33" t="s">
        <v>128</v>
      </c>
      <c r="H137" s="33" t="s">
        <v>128</v>
      </c>
      <c r="I137" s="33" t="s">
        <v>128</v>
      </c>
      <c r="J137" s="33" t="s">
        <v>128</v>
      </c>
      <c r="K137" s="33" t="s">
        <v>128</v>
      </c>
      <c r="L137" s="33" t="s">
        <v>128</v>
      </c>
      <c r="M137" s="33" t="s">
        <v>128</v>
      </c>
      <c r="N137" s="33" t="s">
        <v>128</v>
      </c>
      <c r="O137" s="33" t="s">
        <v>128</v>
      </c>
      <c r="P137" s="33" t="s">
        <v>128</v>
      </c>
      <c r="Q137" s="33" t="s">
        <v>128</v>
      </c>
      <c r="R137" s="148" t="s">
        <v>37</v>
      </c>
      <c r="S137" s="33" t="s">
        <v>37</v>
      </c>
      <c r="T137" s="33" t="s">
        <v>37</v>
      </c>
      <c r="U137" s="33" t="s">
        <v>37</v>
      </c>
      <c r="V137" s="6">
        <v>300</v>
      </c>
      <c r="W137" s="6">
        <v>1560</v>
      </c>
      <c r="X137" s="35">
        <f t="shared" si="32"/>
        <v>393</v>
      </c>
      <c r="Y137" s="35">
        <v>662</v>
      </c>
      <c r="Z137" s="35"/>
      <c r="AA137" s="35">
        <f t="shared" si="33"/>
        <v>362</v>
      </c>
      <c r="AB137" s="6">
        <v>1020</v>
      </c>
      <c r="AC137" s="6"/>
      <c r="AD137" s="35">
        <f t="shared" si="34"/>
        <v>358</v>
      </c>
      <c r="AE137" s="6">
        <v>1134</v>
      </c>
      <c r="AF137" s="6"/>
      <c r="AG137" s="34">
        <f t="shared" si="35"/>
        <v>114</v>
      </c>
      <c r="AH137" s="35">
        <v>1468</v>
      </c>
      <c r="AI137" s="35"/>
      <c r="AJ137" s="35">
        <f t="shared" si="36"/>
        <v>334</v>
      </c>
      <c r="AK137" s="6">
        <v>258</v>
      </c>
      <c r="AL137" s="6">
        <v>1560</v>
      </c>
      <c r="AM137" s="35">
        <f t="shared" si="37"/>
        <v>350</v>
      </c>
      <c r="AN137" s="6"/>
      <c r="AO137" s="6"/>
      <c r="AP137" s="35"/>
      <c r="AQ137" s="6">
        <v>612</v>
      </c>
      <c r="AR137" s="6"/>
      <c r="AS137" s="35">
        <f t="shared" si="38"/>
        <v>354</v>
      </c>
      <c r="AT137" s="6">
        <v>973</v>
      </c>
      <c r="AU137" s="6"/>
      <c r="AV137" s="35">
        <f t="shared" si="39"/>
        <v>361</v>
      </c>
      <c r="AW137" s="6">
        <v>1352</v>
      </c>
      <c r="AX137" s="6"/>
      <c r="AY137" s="6">
        <f t="shared" si="40"/>
        <v>379</v>
      </c>
      <c r="AZ137" s="6">
        <v>1448</v>
      </c>
      <c r="BA137" s="35"/>
      <c r="BB137" s="6">
        <f t="shared" si="41"/>
        <v>96</v>
      </c>
      <c r="BC137" s="6"/>
      <c r="BD137" s="6"/>
      <c r="BE137" s="6"/>
      <c r="BF137" s="6"/>
      <c r="BG137" s="6"/>
      <c r="BH137" s="35"/>
      <c r="BI137" s="6"/>
      <c r="BJ137" s="6"/>
      <c r="BK137" s="6"/>
      <c r="BL137" s="6"/>
      <c r="BM137" s="6"/>
      <c r="BN137" s="35"/>
      <c r="BO137" s="6"/>
      <c r="BP137" s="35"/>
      <c r="BQ137" s="6"/>
      <c r="BR137" s="6"/>
      <c r="BS137" s="6"/>
      <c r="BT137" s="35"/>
      <c r="BU137" s="6"/>
      <c r="BV137" s="35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35">
        <v>292</v>
      </c>
      <c r="CH137" s="6">
        <v>1526</v>
      </c>
      <c r="CI137" s="6">
        <f t="shared" si="42"/>
        <v>370</v>
      </c>
      <c r="CJ137" s="6">
        <v>670</v>
      </c>
      <c r="CK137" s="6"/>
      <c r="CL137" s="6">
        <f t="shared" si="43"/>
        <v>378</v>
      </c>
      <c r="CM137" s="6">
        <v>279</v>
      </c>
      <c r="CN137" s="6">
        <v>761</v>
      </c>
      <c r="CO137" s="6">
        <f t="shared" si="44"/>
        <v>370</v>
      </c>
      <c r="CP137" s="6">
        <v>655</v>
      </c>
      <c r="CQ137" s="6"/>
      <c r="CR137" s="6">
        <f t="shared" si="45"/>
        <v>376</v>
      </c>
      <c r="CS137" s="6">
        <v>1032</v>
      </c>
      <c r="CT137" s="6"/>
      <c r="CU137" s="6">
        <f t="shared" si="46"/>
        <v>377</v>
      </c>
      <c r="CV137" s="6">
        <v>1356</v>
      </c>
      <c r="CW137" s="6"/>
      <c r="CX137" s="6">
        <f t="shared" si="47"/>
        <v>324</v>
      </c>
    </row>
    <row r="138" spans="1:102" ht="15.75" customHeight="1">
      <c r="A138" s="6">
        <v>134</v>
      </c>
      <c r="B138" s="6">
        <v>144</v>
      </c>
      <c r="C138" s="6">
        <v>1034</v>
      </c>
      <c r="D138" s="6">
        <v>208</v>
      </c>
      <c r="E138" s="33" t="s">
        <v>124</v>
      </c>
      <c r="F138" s="33" t="s">
        <v>124</v>
      </c>
      <c r="G138" s="33" t="s">
        <v>124</v>
      </c>
      <c r="H138" s="33" t="s">
        <v>124</v>
      </c>
      <c r="I138" s="33" t="s">
        <v>124</v>
      </c>
      <c r="J138" s="33" t="s">
        <v>124</v>
      </c>
      <c r="K138" s="33" t="s">
        <v>124</v>
      </c>
      <c r="L138" s="33" t="s">
        <v>124</v>
      </c>
      <c r="M138" s="33" t="s">
        <v>124</v>
      </c>
      <c r="N138" s="33" t="s">
        <v>124</v>
      </c>
      <c r="O138" s="33" t="s">
        <v>124</v>
      </c>
      <c r="P138" s="148" t="s">
        <v>37</v>
      </c>
      <c r="Q138" s="33" t="s">
        <v>37</v>
      </c>
      <c r="R138" s="33" t="s">
        <v>37</v>
      </c>
      <c r="S138" s="33" t="s">
        <v>37</v>
      </c>
      <c r="T138" s="33" t="s">
        <v>37</v>
      </c>
      <c r="U138" s="33" t="s">
        <v>37</v>
      </c>
      <c r="V138" s="6">
        <v>401</v>
      </c>
      <c r="W138" s="6"/>
      <c r="X138" s="35">
        <f t="shared" si="32"/>
        <v>257</v>
      </c>
      <c r="Y138" s="35">
        <v>648</v>
      </c>
      <c r="Z138" s="35"/>
      <c r="AA138" s="35">
        <f t="shared" si="33"/>
        <v>247</v>
      </c>
      <c r="AB138" s="6">
        <v>898</v>
      </c>
      <c r="AC138" s="6"/>
      <c r="AD138" s="35">
        <f t="shared" si="34"/>
        <v>250</v>
      </c>
      <c r="AE138" s="6">
        <v>972</v>
      </c>
      <c r="AF138" s="6"/>
      <c r="AG138" s="34">
        <f t="shared" si="35"/>
        <v>74</v>
      </c>
      <c r="AH138" s="35">
        <v>1185</v>
      </c>
      <c r="AI138" s="35"/>
      <c r="AJ138" s="35">
        <f t="shared" si="36"/>
        <v>213</v>
      </c>
      <c r="AK138" s="6">
        <v>188</v>
      </c>
      <c r="AL138" s="6">
        <v>1236</v>
      </c>
      <c r="AM138" s="35">
        <f t="shared" si="37"/>
        <v>239</v>
      </c>
      <c r="AN138" s="6"/>
      <c r="AO138" s="6"/>
      <c r="AP138" s="35"/>
      <c r="AQ138" s="35">
        <v>443</v>
      </c>
      <c r="AR138" s="35"/>
      <c r="AS138" s="35">
        <f t="shared" si="38"/>
        <v>255</v>
      </c>
      <c r="AT138" s="6">
        <v>695</v>
      </c>
      <c r="AU138" s="6"/>
      <c r="AV138" s="35">
        <f t="shared" si="39"/>
        <v>252</v>
      </c>
      <c r="AW138" s="6">
        <v>941</v>
      </c>
      <c r="AX138" s="6"/>
      <c r="AY138" s="6">
        <f t="shared" si="40"/>
        <v>246</v>
      </c>
      <c r="AZ138" s="6">
        <v>996</v>
      </c>
      <c r="BA138" s="6"/>
      <c r="BB138" s="6">
        <f t="shared" si="41"/>
        <v>55</v>
      </c>
      <c r="BC138" s="6"/>
      <c r="BD138" s="6"/>
      <c r="BE138" s="6"/>
      <c r="BF138" s="6"/>
      <c r="BG138" s="6"/>
      <c r="BH138" s="35"/>
      <c r="BI138" s="6"/>
      <c r="BJ138" s="6"/>
      <c r="BK138" s="6"/>
      <c r="BL138" s="6"/>
      <c r="BM138" s="6"/>
      <c r="BN138" s="35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>
        <v>265</v>
      </c>
      <c r="CH138" s="6">
        <v>1012</v>
      </c>
      <c r="CI138" s="6">
        <f t="shared" si="42"/>
        <v>281</v>
      </c>
      <c r="CJ138" s="6">
        <v>649</v>
      </c>
      <c r="CK138" s="6"/>
      <c r="CL138" s="6">
        <f t="shared" si="43"/>
        <v>384</v>
      </c>
      <c r="CM138" s="6">
        <v>1034</v>
      </c>
      <c r="CN138" s="6"/>
      <c r="CO138" s="6">
        <f t="shared" si="44"/>
        <v>385</v>
      </c>
      <c r="CP138" s="6">
        <v>1415</v>
      </c>
      <c r="CQ138" s="6"/>
      <c r="CR138" s="6">
        <f t="shared" si="45"/>
        <v>381</v>
      </c>
      <c r="CS138" s="6">
        <v>239</v>
      </c>
      <c r="CT138" s="6">
        <v>1560</v>
      </c>
      <c r="CU138" s="6">
        <f t="shared" si="46"/>
        <v>384</v>
      </c>
      <c r="CV138" s="6">
        <v>567</v>
      </c>
      <c r="CW138" s="6"/>
      <c r="CX138" s="6">
        <f t="shared" si="47"/>
        <v>328</v>
      </c>
    </row>
    <row r="139" spans="1:102">
      <c r="A139" s="6">
        <v>135</v>
      </c>
      <c r="B139" s="6">
        <v>1316</v>
      </c>
      <c r="C139" s="6"/>
      <c r="D139" s="6">
        <v>331</v>
      </c>
      <c r="E139" s="33" t="s">
        <v>128</v>
      </c>
      <c r="F139" s="33" t="s">
        <v>128</v>
      </c>
      <c r="G139" s="33" t="s">
        <v>128</v>
      </c>
      <c r="H139" s="33" t="s">
        <v>128</v>
      </c>
      <c r="I139" s="33" t="s">
        <v>128</v>
      </c>
      <c r="J139" s="33" t="s">
        <v>128</v>
      </c>
      <c r="K139" s="33" t="s">
        <v>128</v>
      </c>
      <c r="L139" s="33" t="s">
        <v>128</v>
      </c>
      <c r="M139" s="33" t="s">
        <v>128</v>
      </c>
      <c r="N139" s="33" t="s">
        <v>128</v>
      </c>
      <c r="O139" s="33" t="s">
        <v>128</v>
      </c>
      <c r="P139" s="33" t="s">
        <v>128</v>
      </c>
      <c r="Q139" s="33" t="s">
        <v>128</v>
      </c>
      <c r="R139" s="33" t="s">
        <v>128</v>
      </c>
      <c r="S139" s="33" t="s">
        <v>128</v>
      </c>
      <c r="T139" s="33" t="s">
        <v>128</v>
      </c>
      <c r="U139" s="33" t="s">
        <v>128</v>
      </c>
      <c r="V139" s="35">
        <v>149</v>
      </c>
      <c r="W139" s="35">
        <v>1560</v>
      </c>
      <c r="X139" s="35">
        <f t="shared" si="32"/>
        <v>393</v>
      </c>
      <c r="Y139" s="35">
        <v>516</v>
      </c>
      <c r="Z139" s="35"/>
      <c r="AA139" s="35">
        <f t="shared" si="33"/>
        <v>367</v>
      </c>
      <c r="AB139" s="35">
        <v>887</v>
      </c>
      <c r="AC139" s="35"/>
      <c r="AD139" s="35">
        <f t="shared" si="34"/>
        <v>371</v>
      </c>
      <c r="AE139" s="35">
        <v>1000</v>
      </c>
      <c r="AF139" s="35"/>
      <c r="AG139" s="34">
        <f t="shared" si="35"/>
        <v>113</v>
      </c>
      <c r="AH139" s="35">
        <v>1330</v>
      </c>
      <c r="AI139" s="35"/>
      <c r="AJ139" s="35">
        <f t="shared" si="36"/>
        <v>330</v>
      </c>
      <c r="AK139" s="6">
        <v>124</v>
      </c>
      <c r="AL139" s="6">
        <v>1560</v>
      </c>
      <c r="AM139" s="35">
        <f t="shared" si="37"/>
        <v>354</v>
      </c>
      <c r="AN139" s="6"/>
      <c r="AO139" s="6"/>
      <c r="AP139" s="35"/>
      <c r="AQ139" s="6">
        <v>508</v>
      </c>
      <c r="AR139" s="6"/>
      <c r="AS139" s="35">
        <f t="shared" si="38"/>
        <v>384</v>
      </c>
      <c r="AT139" s="6">
        <v>888</v>
      </c>
      <c r="AU139" s="6"/>
      <c r="AV139" s="35">
        <f t="shared" si="39"/>
        <v>380</v>
      </c>
      <c r="AW139" s="6">
        <v>1271</v>
      </c>
      <c r="AX139" s="6"/>
      <c r="AY139" s="6">
        <f t="shared" si="40"/>
        <v>383</v>
      </c>
      <c r="AZ139" s="35">
        <v>1355</v>
      </c>
      <c r="BA139" s="35"/>
      <c r="BB139" s="6">
        <f t="shared" si="41"/>
        <v>84</v>
      </c>
      <c r="BC139" s="6"/>
      <c r="BD139" s="6"/>
      <c r="BE139" s="6"/>
      <c r="BF139" s="6"/>
      <c r="BG139" s="6"/>
      <c r="BH139" s="35"/>
      <c r="BI139" s="6"/>
      <c r="BJ139" s="6"/>
      <c r="BK139" s="6"/>
      <c r="BL139" s="6"/>
      <c r="BM139" s="6"/>
      <c r="BN139" s="35"/>
      <c r="BO139" s="6"/>
      <c r="BP139" s="35"/>
      <c r="BQ139" s="6"/>
      <c r="BR139" s="6"/>
      <c r="BS139" s="6"/>
      <c r="BT139" s="35"/>
      <c r="BU139" s="6"/>
      <c r="BV139" s="35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>
        <v>284</v>
      </c>
      <c r="CH139" s="6">
        <v>1434</v>
      </c>
      <c r="CI139" s="6">
        <f t="shared" si="42"/>
        <v>363</v>
      </c>
      <c r="CJ139" s="6">
        <v>640</v>
      </c>
      <c r="CK139" s="6"/>
      <c r="CL139" s="6">
        <f t="shared" si="43"/>
        <v>356</v>
      </c>
      <c r="CM139" s="6">
        <v>1014</v>
      </c>
      <c r="CN139" s="6"/>
      <c r="CO139" s="6">
        <f t="shared" si="44"/>
        <v>374</v>
      </c>
      <c r="CP139" s="6">
        <v>121</v>
      </c>
      <c r="CQ139" s="6">
        <v>1250</v>
      </c>
      <c r="CR139" s="6">
        <f t="shared" si="45"/>
        <v>357</v>
      </c>
      <c r="CS139" s="6">
        <v>479</v>
      </c>
      <c r="CT139" s="6"/>
      <c r="CU139" s="6">
        <f t="shared" si="46"/>
        <v>358</v>
      </c>
      <c r="CV139" s="6">
        <v>809</v>
      </c>
      <c r="CW139" s="6"/>
      <c r="CX139" s="6">
        <f t="shared" si="47"/>
        <v>330</v>
      </c>
    </row>
    <row r="140" spans="1:102">
      <c r="A140" s="6">
        <v>136</v>
      </c>
      <c r="B140" s="6">
        <v>1402</v>
      </c>
      <c r="C140" s="6"/>
      <c r="D140" s="6">
        <v>328</v>
      </c>
      <c r="E140" s="33" t="s">
        <v>128</v>
      </c>
      <c r="F140" s="33" t="s">
        <v>128</v>
      </c>
      <c r="G140" s="33" t="s">
        <v>128</v>
      </c>
      <c r="H140" s="33" t="s">
        <v>128</v>
      </c>
      <c r="I140" s="33" t="s">
        <v>128</v>
      </c>
      <c r="J140" s="33" t="s">
        <v>128</v>
      </c>
      <c r="K140" s="33" t="s">
        <v>128</v>
      </c>
      <c r="L140" s="33" t="s">
        <v>128</v>
      </c>
      <c r="M140" s="33" t="s">
        <v>128</v>
      </c>
      <c r="N140" s="33" t="s">
        <v>128</v>
      </c>
      <c r="O140" s="33" t="s">
        <v>128</v>
      </c>
      <c r="P140" s="33" t="s">
        <v>128</v>
      </c>
      <c r="Q140" s="33" t="s">
        <v>128</v>
      </c>
      <c r="R140" s="148" t="s">
        <v>37</v>
      </c>
      <c r="S140" s="33" t="s">
        <v>37</v>
      </c>
      <c r="T140" s="33" t="s">
        <v>37</v>
      </c>
      <c r="U140" s="33" t="s">
        <v>37</v>
      </c>
      <c r="V140" s="6">
        <v>238</v>
      </c>
      <c r="W140" s="6">
        <v>1560</v>
      </c>
      <c r="X140" s="35">
        <f t="shared" si="32"/>
        <v>396</v>
      </c>
      <c r="Y140" s="35">
        <v>595</v>
      </c>
      <c r="Z140" s="35"/>
      <c r="AA140" s="35">
        <f t="shared" si="33"/>
        <v>357</v>
      </c>
      <c r="AB140" s="6">
        <v>962</v>
      </c>
      <c r="AC140" s="6"/>
      <c r="AD140" s="35">
        <f t="shared" si="34"/>
        <v>367</v>
      </c>
      <c r="AE140" s="6">
        <v>1073</v>
      </c>
      <c r="AF140" s="6"/>
      <c r="AG140" s="34">
        <f t="shared" si="35"/>
        <v>111</v>
      </c>
      <c r="AH140" s="35">
        <v>1382</v>
      </c>
      <c r="AI140" s="35"/>
      <c r="AJ140" s="35">
        <f t="shared" si="36"/>
        <v>309</v>
      </c>
      <c r="AK140" s="6">
        <v>181</v>
      </c>
      <c r="AL140" s="6">
        <v>1560</v>
      </c>
      <c r="AM140" s="35">
        <f t="shared" si="37"/>
        <v>359</v>
      </c>
      <c r="AN140" s="6"/>
      <c r="AO140" s="6"/>
      <c r="AP140" s="35"/>
      <c r="AQ140" s="35">
        <v>562</v>
      </c>
      <c r="AR140" s="35"/>
      <c r="AS140" s="35">
        <f t="shared" si="38"/>
        <v>381</v>
      </c>
      <c r="AT140" s="6">
        <v>943</v>
      </c>
      <c r="AU140" s="35"/>
      <c r="AV140" s="35">
        <f t="shared" si="39"/>
        <v>381</v>
      </c>
      <c r="AW140" s="6">
        <v>1321</v>
      </c>
      <c r="AX140" s="6"/>
      <c r="AY140" s="6">
        <f t="shared" si="40"/>
        <v>378</v>
      </c>
      <c r="AZ140" s="35">
        <v>1421</v>
      </c>
      <c r="BA140" s="6"/>
      <c r="BB140" s="6">
        <f t="shared" si="41"/>
        <v>100</v>
      </c>
      <c r="BC140" s="6"/>
      <c r="BD140" s="6"/>
      <c r="BE140" s="6"/>
      <c r="BF140" s="6"/>
      <c r="BG140" s="6"/>
      <c r="BH140" s="35"/>
      <c r="BI140" s="6"/>
      <c r="BJ140" s="6"/>
      <c r="BK140" s="6"/>
      <c r="BL140" s="6"/>
      <c r="BM140" s="6"/>
      <c r="BN140" s="35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>
        <v>144</v>
      </c>
      <c r="CH140" s="6">
        <v>1662</v>
      </c>
      <c r="CI140" s="6">
        <f t="shared" si="42"/>
        <v>385</v>
      </c>
      <c r="CJ140" s="6">
        <v>0</v>
      </c>
      <c r="CK140" s="6">
        <v>492</v>
      </c>
      <c r="CL140" s="6">
        <f t="shared" si="43"/>
        <v>348</v>
      </c>
      <c r="CM140" s="6">
        <v>346</v>
      </c>
      <c r="CN140" s="6"/>
      <c r="CO140" s="6">
        <f t="shared" si="44"/>
        <v>346</v>
      </c>
      <c r="CP140" s="6">
        <v>724</v>
      </c>
      <c r="CQ140" s="35"/>
      <c r="CR140" s="6">
        <f t="shared" si="45"/>
        <v>378</v>
      </c>
      <c r="CS140" s="6">
        <v>1095</v>
      </c>
      <c r="CT140" s="6"/>
      <c r="CU140" s="6">
        <f t="shared" si="46"/>
        <v>371</v>
      </c>
      <c r="CV140" s="6">
        <v>1426</v>
      </c>
      <c r="CW140" s="6"/>
      <c r="CX140" s="6">
        <f t="shared" si="47"/>
        <v>331</v>
      </c>
    </row>
    <row r="141" spans="1:102">
      <c r="A141" s="6">
        <v>137</v>
      </c>
      <c r="B141" s="6">
        <v>696</v>
      </c>
      <c r="C141" s="6"/>
      <c r="D141" s="6">
        <v>338</v>
      </c>
      <c r="E141" s="33" t="s">
        <v>128</v>
      </c>
      <c r="F141" s="33" t="s">
        <v>128</v>
      </c>
      <c r="G141" s="33" t="s">
        <v>128</v>
      </c>
      <c r="H141" s="33" t="s">
        <v>128</v>
      </c>
      <c r="I141" s="33" t="s">
        <v>128</v>
      </c>
      <c r="J141" s="33" t="s">
        <v>128</v>
      </c>
      <c r="K141" s="33" t="s">
        <v>128</v>
      </c>
      <c r="L141" s="33" t="s">
        <v>128</v>
      </c>
      <c r="M141" s="33" t="s">
        <v>128</v>
      </c>
      <c r="N141" s="33" t="s">
        <v>128</v>
      </c>
      <c r="O141" s="33" t="s">
        <v>128</v>
      </c>
      <c r="P141" s="33" t="s">
        <v>128</v>
      </c>
      <c r="Q141" s="33" t="s">
        <v>128</v>
      </c>
      <c r="R141" s="33" t="s">
        <v>128</v>
      </c>
      <c r="S141" s="33" t="s">
        <v>128</v>
      </c>
      <c r="T141" s="33" t="s">
        <v>128</v>
      </c>
      <c r="U141" s="33" t="s">
        <v>128</v>
      </c>
      <c r="V141" s="6">
        <v>1103</v>
      </c>
      <c r="W141" s="6"/>
      <c r="X141" s="35">
        <f t="shared" si="32"/>
        <v>407</v>
      </c>
      <c r="Y141" s="35">
        <v>1479</v>
      </c>
      <c r="Z141" s="35"/>
      <c r="AA141" s="35">
        <f t="shared" si="33"/>
        <v>376</v>
      </c>
      <c r="AB141" s="6">
        <v>298</v>
      </c>
      <c r="AC141" s="35">
        <v>1560</v>
      </c>
      <c r="AD141" s="35">
        <f t="shared" si="34"/>
        <v>379</v>
      </c>
      <c r="AE141" s="6">
        <v>414</v>
      </c>
      <c r="AF141" s="6"/>
      <c r="AG141" s="34">
        <f t="shared" si="35"/>
        <v>116</v>
      </c>
      <c r="AH141" s="35">
        <v>274</v>
      </c>
      <c r="AI141" s="35">
        <v>442</v>
      </c>
      <c r="AJ141" s="35">
        <f t="shared" si="36"/>
        <v>302</v>
      </c>
      <c r="AK141" s="6">
        <v>33</v>
      </c>
      <c r="AL141" s="6">
        <v>576</v>
      </c>
      <c r="AM141" s="35">
        <f t="shared" si="37"/>
        <v>335</v>
      </c>
      <c r="AN141" s="6"/>
      <c r="AO141" s="6"/>
      <c r="AP141" s="35"/>
      <c r="AQ141" s="35">
        <v>394</v>
      </c>
      <c r="AR141" s="35"/>
      <c r="AS141" s="35">
        <f t="shared" si="38"/>
        <v>361</v>
      </c>
      <c r="AT141" s="6">
        <v>756</v>
      </c>
      <c r="AU141" s="35"/>
      <c r="AV141" s="35">
        <f t="shared" si="39"/>
        <v>362</v>
      </c>
      <c r="AW141" s="6">
        <v>1107</v>
      </c>
      <c r="AX141" s="6"/>
      <c r="AY141" s="6">
        <f t="shared" si="40"/>
        <v>351</v>
      </c>
      <c r="AZ141" s="6">
        <v>1191</v>
      </c>
      <c r="BA141" s="6"/>
      <c r="BB141" s="6">
        <f t="shared" si="41"/>
        <v>84</v>
      </c>
      <c r="BC141" s="6"/>
      <c r="BD141" s="6"/>
      <c r="BE141" s="6"/>
      <c r="BF141" s="6"/>
      <c r="BG141" s="6"/>
      <c r="BH141" s="35"/>
      <c r="BI141" s="6"/>
      <c r="BJ141" s="6"/>
      <c r="BK141" s="6"/>
      <c r="BL141" s="6"/>
      <c r="BM141" s="6"/>
      <c r="BN141" s="35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>
        <v>337</v>
      </c>
      <c r="CH141" s="6">
        <v>1197</v>
      </c>
      <c r="CI141" s="6">
        <f t="shared" si="42"/>
        <v>343</v>
      </c>
      <c r="CJ141" s="6">
        <v>705</v>
      </c>
      <c r="CK141" s="6"/>
      <c r="CL141" s="6">
        <f t="shared" si="43"/>
        <v>368</v>
      </c>
      <c r="CM141" s="6">
        <v>1077</v>
      </c>
      <c r="CN141" s="6"/>
      <c r="CO141" s="6">
        <f t="shared" si="44"/>
        <v>372</v>
      </c>
      <c r="CP141" s="6">
        <v>1442</v>
      </c>
      <c r="CQ141" s="6"/>
      <c r="CR141" s="6">
        <f t="shared" si="45"/>
        <v>365</v>
      </c>
      <c r="CS141" s="6">
        <v>250</v>
      </c>
      <c r="CT141" s="6">
        <v>1560</v>
      </c>
      <c r="CU141" s="6">
        <f t="shared" si="46"/>
        <v>368</v>
      </c>
      <c r="CV141" s="6">
        <v>575</v>
      </c>
      <c r="CW141" s="6"/>
      <c r="CX141" s="6">
        <f t="shared" si="47"/>
        <v>325</v>
      </c>
    </row>
    <row r="142" spans="1:102">
      <c r="A142" s="6">
        <v>138</v>
      </c>
      <c r="B142" s="6">
        <v>402</v>
      </c>
      <c r="C142" s="6"/>
      <c r="D142" s="6">
        <v>327</v>
      </c>
      <c r="E142" s="33" t="s">
        <v>37</v>
      </c>
      <c r="F142" s="33" t="s">
        <v>37</v>
      </c>
      <c r="G142" s="33" t="s">
        <v>37</v>
      </c>
      <c r="H142" s="33" t="s">
        <v>37</v>
      </c>
      <c r="I142" s="33" t="s">
        <v>37</v>
      </c>
      <c r="J142" s="33" t="s">
        <v>37</v>
      </c>
      <c r="K142" s="33" t="s">
        <v>37</v>
      </c>
      <c r="L142" s="33" t="s">
        <v>37</v>
      </c>
      <c r="M142" s="33" t="s">
        <v>37</v>
      </c>
      <c r="N142" s="33" t="s">
        <v>37</v>
      </c>
      <c r="O142" s="33" t="s">
        <v>37</v>
      </c>
      <c r="P142" s="33" t="s">
        <v>37</v>
      </c>
      <c r="Q142" s="33" t="s">
        <v>37</v>
      </c>
      <c r="R142" s="33" t="s">
        <v>37</v>
      </c>
      <c r="S142" s="33" t="s">
        <v>37</v>
      </c>
      <c r="T142" s="148" t="s">
        <v>37</v>
      </c>
      <c r="U142" s="33" t="s">
        <v>37</v>
      </c>
      <c r="V142" s="6">
        <v>189</v>
      </c>
      <c r="W142" s="6">
        <v>608</v>
      </c>
      <c r="X142" s="35">
        <f t="shared" si="32"/>
        <v>395</v>
      </c>
      <c r="Y142" s="35">
        <v>550</v>
      </c>
      <c r="Z142" s="35"/>
      <c r="AA142" s="35">
        <f t="shared" si="33"/>
        <v>361</v>
      </c>
      <c r="AB142" s="6">
        <v>919</v>
      </c>
      <c r="AC142" s="6"/>
      <c r="AD142" s="35">
        <f t="shared" si="34"/>
        <v>369</v>
      </c>
      <c r="AE142" s="6">
        <v>20</v>
      </c>
      <c r="AF142" s="6">
        <v>1009</v>
      </c>
      <c r="AG142" s="34">
        <f t="shared" si="35"/>
        <v>110</v>
      </c>
      <c r="AH142" s="35">
        <v>340</v>
      </c>
      <c r="AI142" s="35"/>
      <c r="AJ142" s="35">
        <f t="shared" si="36"/>
        <v>320</v>
      </c>
      <c r="AK142" s="6">
        <v>687</v>
      </c>
      <c r="AL142" s="6"/>
      <c r="AM142" s="35">
        <f t="shared" si="37"/>
        <v>347</v>
      </c>
      <c r="AN142" s="6"/>
      <c r="AO142" s="6"/>
      <c r="AP142" s="35"/>
      <c r="AQ142" s="6">
        <v>1061</v>
      </c>
      <c r="AR142" s="6"/>
      <c r="AS142" s="35">
        <f t="shared" si="38"/>
        <v>374</v>
      </c>
      <c r="AT142" s="6">
        <v>2</v>
      </c>
      <c r="AU142" s="6">
        <v>1424</v>
      </c>
      <c r="AV142" s="35">
        <f t="shared" si="39"/>
        <v>365</v>
      </c>
      <c r="AW142" s="6">
        <v>328</v>
      </c>
      <c r="AX142" s="6"/>
      <c r="AY142" s="6">
        <f t="shared" si="40"/>
        <v>326</v>
      </c>
      <c r="AZ142" s="6">
        <v>406</v>
      </c>
      <c r="BA142" s="35"/>
      <c r="BB142" s="6">
        <f t="shared" si="41"/>
        <v>78</v>
      </c>
      <c r="BC142" s="6"/>
      <c r="BD142" s="6"/>
      <c r="BE142" s="6"/>
      <c r="BF142" s="6"/>
      <c r="BG142" s="6"/>
      <c r="BH142" s="35"/>
      <c r="BI142" s="6"/>
      <c r="BJ142" s="6"/>
      <c r="BK142" s="6"/>
      <c r="BL142" s="6"/>
      <c r="BM142" s="6"/>
      <c r="BN142" s="35"/>
      <c r="BO142" s="6"/>
      <c r="BP142" s="35"/>
      <c r="BQ142" s="6"/>
      <c r="BR142" s="6"/>
      <c r="BS142" s="6"/>
      <c r="BT142" s="35"/>
      <c r="BU142" s="6"/>
      <c r="BV142" s="35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>
        <v>778</v>
      </c>
      <c r="CH142" s="6"/>
      <c r="CI142" s="6">
        <f t="shared" si="42"/>
        <v>372</v>
      </c>
      <c r="CJ142" s="6">
        <v>1150</v>
      </c>
      <c r="CK142" s="35"/>
      <c r="CL142" s="6">
        <f t="shared" si="43"/>
        <v>372</v>
      </c>
      <c r="CM142" s="6">
        <v>264</v>
      </c>
      <c r="CN142" s="35">
        <v>1244</v>
      </c>
      <c r="CO142" s="6">
        <f t="shared" si="44"/>
        <v>358</v>
      </c>
      <c r="CP142" s="6">
        <v>0</v>
      </c>
      <c r="CQ142" s="6">
        <v>461</v>
      </c>
      <c r="CR142" s="6">
        <f t="shared" si="45"/>
        <v>197</v>
      </c>
      <c r="CS142" s="6">
        <v>324</v>
      </c>
      <c r="CT142" s="6"/>
      <c r="CU142" s="6">
        <f t="shared" si="46"/>
        <v>324</v>
      </c>
      <c r="CV142" s="6">
        <v>650</v>
      </c>
      <c r="CW142" s="6"/>
      <c r="CX142" s="6">
        <f t="shared" si="47"/>
        <v>326</v>
      </c>
    </row>
    <row r="143" spans="1:102">
      <c r="A143" s="7">
        <v>139</v>
      </c>
      <c r="B143" s="6">
        <v>1298</v>
      </c>
      <c r="C143" s="6"/>
      <c r="D143" s="6">
        <v>332</v>
      </c>
      <c r="E143" s="33" t="s">
        <v>37</v>
      </c>
      <c r="F143" s="33" t="s">
        <v>37</v>
      </c>
      <c r="G143" s="33" t="s">
        <v>37</v>
      </c>
      <c r="H143" s="33" t="s">
        <v>37</v>
      </c>
      <c r="I143" s="33" t="s">
        <v>37</v>
      </c>
      <c r="J143" s="33" t="s">
        <v>37</v>
      </c>
      <c r="K143" s="33" t="s">
        <v>37</v>
      </c>
      <c r="L143" s="33" t="s">
        <v>37</v>
      </c>
      <c r="M143" s="33" t="s">
        <v>37</v>
      </c>
      <c r="N143" s="33" t="s">
        <v>37</v>
      </c>
      <c r="O143" s="33" t="s">
        <v>37</v>
      </c>
      <c r="P143" s="33" t="s">
        <v>37</v>
      </c>
      <c r="Q143" s="33" t="s">
        <v>37</v>
      </c>
      <c r="R143" s="33" t="s">
        <v>37</v>
      </c>
      <c r="S143" s="33" t="s">
        <v>37</v>
      </c>
      <c r="T143" s="33" t="s">
        <v>37</v>
      </c>
      <c r="U143" s="148" t="s">
        <v>37</v>
      </c>
      <c r="V143" s="35">
        <v>128</v>
      </c>
      <c r="W143" s="35">
        <v>1560</v>
      </c>
      <c r="X143" s="35">
        <f t="shared" si="32"/>
        <v>390</v>
      </c>
      <c r="Y143" s="35">
        <v>497</v>
      </c>
      <c r="Z143" s="35"/>
      <c r="AA143" s="35">
        <f t="shared" si="33"/>
        <v>369</v>
      </c>
      <c r="AB143" s="6">
        <v>862</v>
      </c>
      <c r="AC143" s="6"/>
      <c r="AD143" s="35">
        <f t="shared" si="34"/>
        <v>365</v>
      </c>
      <c r="AE143" s="6">
        <v>974</v>
      </c>
      <c r="AF143" s="6"/>
      <c r="AG143" s="34">
        <f t="shared" si="35"/>
        <v>112</v>
      </c>
      <c r="AH143" s="35">
        <v>1272</v>
      </c>
      <c r="AI143" s="35"/>
      <c r="AJ143" s="35">
        <f t="shared" si="36"/>
        <v>298</v>
      </c>
      <c r="AK143" s="6">
        <v>1602</v>
      </c>
      <c r="AL143" s="6"/>
      <c r="AM143" s="35">
        <f t="shared" si="37"/>
        <v>330</v>
      </c>
      <c r="AN143" s="6"/>
      <c r="AO143" s="6"/>
      <c r="AP143" s="35"/>
      <c r="AQ143" s="6">
        <v>367</v>
      </c>
      <c r="AR143" s="6">
        <v>1603</v>
      </c>
      <c r="AS143" s="35">
        <f t="shared" si="38"/>
        <v>368</v>
      </c>
      <c r="AT143" s="6">
        <v>740</v>
      </c>
      <c r="AU143" s="6"/>
      <c r="AV143" s="35">
        <f t="shared" si="39"/>
        <v>373</v>
      </c>
      <c r="AW143" s="6">
        <v>291</v>
      </c>
      <c r="AX143" s="6">
        <v>818</v>
      </c>
      <c r="AY143" s="6">
        <f t="shared" si="40"/>
        <v>369</v>
      </c>
      <c r="AZ143" s="6">
        <v>392</v>
      </c>
      <c r="BA143" s="35"/>
      <c r="BB143" s="6">
        <f t="shared" si="41"/>
        <v>101</v>
      </c>
      <c r="BC143" s="6"/>
      <c r="BD143" s="6"/>
      <c r="BE143" s="6"/>
      <c r="BF143" s="6"/>
      <c r="BG143" s="6"/>
      <c r="BH143" s="35"/>
      <c r="BI143" s="6"/>
      <c r="BJ143" s="6"/>
      <c r="BK143" s="6"/>
      <c r="BL143" s="6"/>
      <c r="BM143" s="6"/>
      <c r="BN143" s="35"/>
      <c r="BO143" s="6"/>
      <c r="BP143" s="35"/>
      <c r="BQ143" s="6"/>
      <c r="BR143" s="6"/>
      <c r="BS143" s="6"/>
      <c r="BT143" s="35"/>
      <c r="BU143" s="6"/>
      <c r="BV143" s="35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>
        <v>773</v>
      </c>
      <c r="CH143" s="6"/>
      <c r="CI143" s="6">
        <f t="shared" si="42"/>
        <v>381</v>
      </c>
      <c r="CJ143" s="6">
        <v>294</v>
      </c>
      <c r="CK143" s="35">
        <v>857</v>
      </c>
      <c r="CL143" s="6">
        <f t="shared" si="43"/>
        <v>378</v>
      </c>
      <c r="CM143" s="6">
        <v>668</v>
      </c>
      <c r="CN143" s="6"/>
      <c r="CO143" s="6">
        <f t="shared" si="44"/>
        <v>374</v>
      </c>
      <c r="CP143" s="6">
        <v>231</v>
      </c>
      <c r="CQ143" s="6">
        <v>803</v>
      </c>
      <c r="CR143" s="6">
        <f t="shared" si="45"/>
        <v>366</v>
      </c>
      <c r="CS143" s="6">
        <v>0</v>
      </c>
      <c r="CT143" s="6">
        <v>584</v>
      </c>
      <c r="CU143" s="6">
        <f t="shared" si="46"/>
        <v>353</v>
      </c>
      <c r="CV143" s="6">
        <v>280</v>
      </c>
      <c r="CW143" s="6"/>
      <c r="CX143" s="6">
        <f t="shared" si="47"/>
        <v>280</v>
      </c>
    </row>
    <row r="144" spans="1:102">
      <c r="A144" s="7">
        <v>140</v>
      </c>
      <c r="B144" s="6">
        <v>60</v>
      </c>
      <c r="C144" s="6">
        <v>1560</v>
      </c>
      <c r="D144" s="6">
        <v>327</v>
      </c>
      <c r="E144" s="33" t="s">
        <v>128</v>
      </c>
      <c r="F144" s="33" t="s">
        <v>128</v>
      </c>
      <c r="G144" s="33" t="s">
        <v>128</v>
      </c>
      <c r="H144" s="33" t="s">
        <v>128</v>
      </c>
      <c r="I144" s="33" t="s">
        <v>128</v>
      </c>
      <c r="J144" s="33" t="s">
        <v>128</v>
      </c>
      <c r="K144" s="33" t="s">
        <v>128</v>
      </c>
      <c r="L144" s="33" t="s">
        <v>128</v>
      </c>
      <c r="M144" s="33" t="s">
        <v>128</v>
      </c>
      <c r="N144" s="33" t="s">
        <v>128</v>
      </c>
      <c r="O144" s="33" t="s">
        <v>128</v>
      </c>
      <c r="P144" s="33" t="s">
        <v>128</v>
      </c>
      <c r="Q144" s="33" t="s">
        <v>128</v>
      </c>
      <c r="R144" s="33" t="s">
        <v>128</v>
      </c>
      <c r="S144" s="33" t="s">
        <v>128</v>
      </c>
      <c r="T144" s="33" t="s">
        <v>128</v>
      </c>
      <c r="U144" s="33" t="s">
        <v>128</v>
      </c>
      <c r="V144" s="35">
        <v>429</v>
      </c>
      <c r="W144" s="35"/>
      <c r="X144" s="35">
        <f t="shared" si="32"/>
        <v>369</v>
      </c>
      <c r="Y144" s="35">
        <v>175</v>
      </c>
      <c r="Z144" s="35">
        <v>581</v>
      </c>
      <c r="AA144" s="35">
        <f t="shared" si="33"/>
        <v>327</v>
      </c>
      <c r="AB144" s="6">
        <v>531</v>
      </c>
      <c r="AC144" s="6"/>
      <c r="AD144" s="35">
        <f t="shared" si="34"/>
        <v>356</v>
      </c>
      <c r="AE144" s="6">
        <v>639</v>
      </c>
      <c r="AF144" s="6"/>
      <c r="AG144" s="34">
        <f t="shared" si="35"/>
        <v>108</v>
      </c>
      <c r="AH144" s="35">
        <v>948</v>
      </c>
      <c r="AI144" s="35"/>
      <c r="AJ144" s="35">
        <f t="shared" si="36"/>
        <v>309</v>
      </c>
      <c r="AK144" s="6">
        <v>142</v>
      </c>
      <c r="AL144" s="6">
        <v>1128</v>
      </c>
      <c r="AM144" s="35">
        <f t="shared" si="37"/>
        <v>322</v>
      </c>
      <c r="AN144" s="6"/>
      <c r="AO144" s="6"/>
      <c r="AP144" s="35"/>
      <c r="AQ144" s="6">
        <v>502</v>
      </c>
      <c r="AR144" s="6"/>
      <c r="AS144" s="35">
        <f t="shared" si="38"/>
        <v>360</v>
      </c>
      <c r="AT144" s="6">
        <v>853</v>
      </c>
      <c r="AU144" s="6"/>
      <c r="AV144" s="35">
        <f t="shared" si="39"/>
        <v>351</v>
      </c>
      <c r="AW144" s="6">
        <v>1221</v>
      </c>
      <c r="AX144" s="6"/>
      <c r="AY144" s="6">
        <f t="shared" si="40"/>
        <v>368</v>
      </c>
      <c r="AZ144" s="6">
        <v>1304</v>
      </c>
      <c r="BA144" s="35"/>
      <c r="BB144" s="6">
        <f t="shared" si="41"/>
        <v>83</v>
      </c>
      <c r="BC144" s="6"/>
      <c r="BD144" s="6"/>
      <c r="BE144" s="6"/>
      <c r="BF144" s="6"/>
      <c r="BG144" s="6"/>
      <c r="BH144" s="35"/>
      <c r="BI144" s="6"/>
      <c r="BJ144" s="6"/>
      <c r="BK144" s="6"/>
      <c r="BL144" s="6"/>
      <c r="BM144" s="6"/>
      <c r="BN144" s="35"/>
      <c r="BO144" s="6"/>
      <c r="BP144" s="35"/>
      <c r="BQ144" s="6"/>
      <c r="BR144" s="6"/>
      <c r="BS144" s="6"/>
      <c r="BT144" s="35"/>
      <c r="BU144" s="6"/>
      <c r="BV144" s="35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>
        <v>123</v>
      </c>
      <c r="CH144" s="6">
        <v>1560</v>
      </c>
      <c r="CI144" s="6">
        <f t="shared" si="42"/>
        <v>379</v>
      </c>
      <c r="CJ144" s="6">
        <v>483</v>
      </c>
      <c r="CK144" s="6"/>
      <c r="CL144" s="6">
        <f t="shared" si="43"/>
        <v>360</v>
      </c>
      <c r="CM144" s="6">
        <v>860</v>
      </c>
      <c r="CN144" s="6"/>
      <c r="CO144" s="6">
        <f t="shared" si="44"/>
        <v>377</v>
      </c>
      <c r="CP144" s="6">
        <v>1232</v>
      </c>
      <c r="CQ144" s="6"/>
      <c r="CR144" s="6">
        <f t="shared" si="45"/>
        <v>372</v>
      </c>
      <c r="CS144" s="6">
        <v>38</v>
      </c>
      <c r="CT144" s="6">
        <v>1560</v>
      </c>
      <c r="CU144" s="6">
        <f t="shared" si="46"/>
        <v>366</v>
      </c>
      <c r="CV144" s="6">
        <v>364</v>
      </c>
      <c r="CW144" s="6"/>
      <c r="CX144" s="6">
        <f t="shared" si="47"/>
        <v>326</v>
      </c>
    </row>
    <row r="145" spans="1:102">
      <c r="A145" s="6">
        <v>141</v>
      </c>
      <c r="B145" s="6">
        <v>128</v>
      </c>
      <c r="C145" s="6">
        <v>781</v>
      </c>
      <c r="D145" s="6">
        <v>318</v>
      </c>
      <c r="E145" s="33" t="s">
        <v>37</v>
      </c>
      <c r="F145" s="33" t="s">
        <v>37</v>
      </c>
      <c r="G145" s="33" t="s">
        <v>37</v>
      </c>
      <c r="H145" s="33" t="s">
        <v>37</v>
      </c>
      <c r="I145" s="33" t="s">
        <v>37</v>
      </c>
      <c r="J145" s="33" t="s">
        <v>37</v>
      </c>
      <c r="K145" s="33" t="s">
        <v>37</v>
      </c>
      <c r="L145" s="33" t="s">
        <v>37</v>
      </c>
      <c r="M145" s="33" t="s">
        <v>37</v>
      </c>
      <c r="N145" s="33" t="s">
        <v>37</v>
      </c>
      <c r="O145" s="33" t="s">
        <v>37</v>
      </c>
      <c r="P145" s="33" t="s">
        <v>37</v>
      </c>
      <c r="Q145" s="33" t="s">
        <v>37</v>
      </c>
      <c r="R145" s="33" t="s">
        <v>37</v>
      </c>
      <c r="S145" s="33" t="s">
        <v>37</v>
      </c>
      <c r="T145" s="33" t="s">
        <v>37</v>
      </c>
      <c r="U145" s="33" t="s">
        <v>37</v>
      </c>
      <c r="V145" s="35">
        <v>528</v>
      </c>
      <c r="W145" s="35"/>
      <c r="X145" s="35">
        <f t="shared" si="32"/>
        <v>400</v>
      </c>
      <c r="Y145" s="35">
        <v>900</v>
      </c>
      <c r="Z145" s="35"/>
      <c r="AA145" s="35">
        <f t="shared" si="33"/>
        <v>372</v>
      </c>
      <c r="AB145" s="35">
        <v>1272</v>
      </c>
      <c r="AC145" s="35"/>
      <c r="AD145" s="35">
        <f t="shared" si="34"/>
        <v>372</v>
      </c>
      <c r="AE145" s="35">
        <v>1388</v>
      </c>
      <c r="AF145" s="35"/>
      <c r="AG145" s="34">
        <f t="shared" si="35"/>
        <v>116</v>
      </c>
      <c r="AH145" s="35">
        <v>160</v>
      </c>
      <c r="AI145" s="35">
        <v>1560</v>
      </c>
      <c r="AJ145" s="35">
        <f t="shared" si="36"/>
        <v>332</v>
      </c>
      <c r="AK145" s="6">
        <v>516</v>
      </c>
      <c r="AL145" s="6"/>
      <c r="AM145" s="35">
        <f t="shared" si="37"/>
        <v>356</v>
      </c>
      <c r="AN145" s="6"/>
      <c r="AO145" s="35"/>
      <c r="AP145" s="35"/>
      <c r="AQ145" s="6">
        <v>894</v>
      </c>
      <c r="AR145" s="6"/>
      <c r="AS145" s="35">
        <f t="shared" si="38"/>
        <v>378</v>
      </c>
      <c r="AT145" s="6">
        <v>1260</v>
      </c>
      <c r="AU145" s="6"/>
      <c r="AV145" s="35">
        <f t="shared" si="39"/>
        <v>366</v>
      </c>
      <c r="AW145" s="6">
        <v>57</v>
      </c>
      <c r="AX145" s="6">
        <v>1560</v>
      </c>
      <c r="AY145" s="6">
        <f t="shared" si="40"/>
        <v>357</v>
      </c>
      <c r="AZ145" s="6">
        <v>138</v>
      </c>
      <c r="BA145" s="35"/>
      <c r="BB145" s="6">
        <f t="shared" si="41"/>
        <v>81</v>
      </c>
      <c r="BC145" s="6"/>
      <c r="BD145" s="6"/>
      <c r="BE145" s="6"/>
      <c r="BF145" s="6"/>
      <c r="BG145" s="6"/>
      <c r="BH145" s="35"/>
      <c r="BI145" s="6"/>
      <c r="BJ145" s="6"/>
      <c r="BK145" s="6"/>
      <c r="BL145" s="6"/>
      <c r="BM145" s="6"/>
      <c r="BN145" s="35"/>
      <c r="BO145" s="6"/>
      <c r="BP145" s="35"/>
      <c r="BQ145" s="6"/>
      <c r="BR145" s="6"/>
      <c r="BS145" s="6"/>
      <c r="BT145" s="35"/>
      <c r="BU145" s="6"/>
      <c r="BV145" s="35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>
        <v>508</v>
      </c>
      <c r="CH145" s="6"/>
      <c r="CI145" s="6">
        <f t="shared" si="42"/>
        <v>370</v>
      </c>
      <c r="CJ145" s="6">
        <v>882</v>
      </c>
      <c r="CK145" s="6"/>
      <c r="CL145" s="6">
        <f t="shared" si="43"/>
        <v>374</v>
      </c>
      <c r="CM145" s="6">
        <v>1249</v>
      </c>
      <c r="CN145" s="6"/>
      <c r="CO145" s="6">
        <f t="shared" si="44"/>
        <v>367</v>
      </c>
      <c r="CP145" s="6">
        <v>56</v>
      </c>
      <c r="CQ145" s="6">
        <v>1560</v>
      </c>
      <c r="CR145" s="6">
        <f t="shared" si="45"/>
        <v>367</v>
      </c>
      <c r="CS145" s="6">
        <v>423</v>
      </c>
      <c r="CT145" s="6"/>
      <c r="CU145" s="6">
        <f t="shared" si="46"/>
        <v>367</v>
      </c>
      <c r="CV145" s="6">
        <v>746</v>
      </c>
      <c r="CW145" s="6"/>
      <c r="CX145" s="6">
        <f t="shared" si="47"/>
        <v>323</v>
      </c>
    </row>
    <row r="146" spans="1:102">
      <c r="A146" s="6">
        <v>142</v>
      </c>
      <c r="B146" s="6">
        <v>1199</v>
      </c>
      <c r="C146" s="6"/>
      <c r="D146" s="6">
        <v>325</v>
      </c>
      <c r="E146" s="33" t="s">
        <v>69</v>
      </c>
      <c r="F146" s="33" t="s">
        <v>69</v>
      </c>
      <c r="G146" s="33" t="s">
        <v>69</v>
      </c>
      <c r="H146" s="33" t="s">
        <v>69</v>
      </c>
      <c r="I146" s="33" t="s">
        <v>69</v>
      </c>
      <c r="J146" s="33" t="s">
        <v>69</v>
      </c>
      <c r="K146" s="33" t="s">
        <v>69</v>
      </c>
      <c r="L146" s="33" t="s">
        <v>69</v>
      </c>
      <c r="M146" s="33" t="s">
        <v>69</v>
      </c>
      <c r="N146" s="33" t="s">
        <v>69</v>
      </c>
      <c r="O146" s="33" t="s">
        <v>69</v>
      </c>
      <c r="P146" s="33" t="s">
        <v>69</v>
      </c>
      <c r="Q146" s="148" t="s">
        <v>128</v>
      </c>
      <c r="R146" s="33" t="s">
        <v>128</v>
      </c>
      <c r="S146" s="33" t="s">
        <v>128</v>
      </c>
      <c r="T146" s="33" t="s">
        <v>128</v>
      </c>
      <c r="U146" s="33" t="s">
        <v>128</v>
      </c>
      <c r="V146" s="6">
        <v>135</v>
      </c>
      <c r="W146" s="6">
        <v>1439</v>
      </c>
      <c r="X146" s="35">
        <f t="shared" si="32"/>
        <v>375</v>
      </c>
      <c r="Y146" s="35">
        <v>484</v>
      </c>
      <c r="Z146" s="35"/>
      <c r="AA146" s="35">
        <f t="shared" si="33"/>
        <v>349</v>
      </c>
      <c r="AB146" s="6">
        <v>840</v>
      </c>
      <c r="AC146" s="6"/>
      <c r="AD146" s="35">
        <f t="shared" si="34"/>
        <v>356</v>
      </c>
      <c r="AE146" s="6">
        <v>949</v>
      </c>
      <c r="AF146" s="6"/>
      <c r="AG146" s="34">
        <f t="shared" si="35"/>
        <v>109</v>
      </c>
      <c r="AH146" s="35">
        <v>1258</v>
      </c>
      <c r="AI146" s="35"/>
      <c r="AJ146" s="35">
        <f t="shared" si="36"/>
        <v>309</v>
      </c>
      <c r="AK146" s="6">
        <v>1602</v>
      </c>
      <c r="AL146" s="6"/>
      <c r="AM146" s="35">
        <f t="shared" si="37"/>
        <v>344</v>
      </c>
      <c r="AN146" s="6"/>
      <c r="AO146" s="6"/>
      <c r="AP146" s="35"/>
      <c r="AQ146" s="35">
        <v>370</v>
      </c>
      <c r="AR146" s="35">
        <v>1606</v>
      </c>
      <c r="AS146" s="35">
        <f t="shared" si="38"/>
        <v>374</v>
      </c>
      <c r="AT146" s="6">
        <v>744</v>
      </c>
      <c r="AU146" s="6"/>
      <c r="AV146" s="35">
        <f t="shared" si="39"/>
        <v>374</v>
      </c>
      <c r="AW146" s="6">
        <v>1119</v>
      </c>
      <c r="AX146" s="6"/>
      <c r="AY146" s="6">
        <f t="shared" si="40"/>
        <v>375</v>
      </c>
      <c r="AZ146" s="6">
        <v>1216</v>
      </c>
      <c r="BA146" s="6"/>
      <c r="BB146" s="6">
        <f t="shared" si="41"/>
        <v>97</v>
      </c>
      <c r="BC146" s="6"/>
      <c r="BD146" s="6"/>
      <c r="BE146" s="6"/>
      <c r="BF146" s="6"/>
      <c r="BG146" s="6"/>
      <c r="BH146" s="35"/>
      <c r="BI146" s="6"/>
      <c r="BJ146" s="6"/>
      <c r="BK146" s="6"/>
      <c r="BL146" s="6"/>
      <c r="BM146" s="6"/>
      <c r="BN146" s="35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>
        <v>0</v>
      </c>
      <c r="CH146" s="6">
        <v>1445</v>
      </c>
      <c r="CI146" s="6">
        <f t="shared" si="42"/>
        <v>229</v>
      </c>
      <c r="CJ146" s="6">
        <v>346</v>
      </c>
      <c r="CK146" s="6"/>
      <c r="CL146" s="6">
        <f t="shared" si="43"/>
        <v>346</v>
      </c>
      <c r="CM146" s="6">
        <v>724</v>
      </c>
      <c r="CN146" s="6"/>
      <c r="CO146" s="6">
        <f t="shared" si="44"/>
        <v>378</v>
      </c>
      <c r="CP146" s="6">
        <v>1096</v>
      </c>
      <c r="CQ146" s="6"/>
      <c r="CR146" s="6">
        <f t="shared" si="45"/>
        <v>372</v>
      </c>
      <c r="CS146" s="6">
        <v>1469</v>
      </c>
      <c r="CT146" s="6"/>
      <c r="CU146" s="6">
        <f t="shared" si="46"/>
        <v>373</v>
      </c>
      <c r="CV146" s="6">
        <v>240</v>
      </c>
      <c r="CW146" s="6">
        <v>1560</v>
      </c>
      <c r="CX146" s="6">
        <f t="shared" si="47"/>
        <v>331</v>
      </c>
    </row>
    <row r="147" spans="1:102">
      <c r="A147" s="6">
        <v>143</v>
      </c>
      <c r="B147" s="6">
        <v>911</v>
      </c>
      <c r="C147" s="6"/>
      <c r="D147" s="6">
        <v>315</v>
      </c>
      <c r="E147" s="33" t="s">
        <v>69</v>
      </c>
      <c r="F147" s="33" t="s">
        <v>69</v>
      </c>
      <c r="G147" s="33" t="s">
        <v>69</v>
      </c>
      <c r="H147" s="33" t="s">
        <v>69</v>
      </c>
      <c r="I147" s="33" t="s">
        <v>69</v>
      </c>
      <c r="J147" s="33" t="s">
        <v>69</v>
      </c>
      <c r="K147" s="33" t="s">
        <v>69</v>
      </c>
      <c r="L147" s="33" t="s">
        <v>69</v>
      </c>
      <c r="M147" s="33" t="s">
        <v>69</v>
      </c>
      <c r="N147" s="148" t="s">
        <v>128</v>
      </c>
      <c r="O147" s="33" t="s">
        <v>128</v>
      </c>
      <c r="P147" s="33" t="s">
        <v>128</v>
      </c>
      <c r="Q147" s="33" t="s">
        <v>128</v>
      </c>
      <c r="R147" s="33" t="s">
        <v>128</v>
      </c>
      <c r="S147" s="33" t="s">
        <v>128</v>
      </c>
      <c r="T147" s="33" t="s">
        <v>128</v>
      </c>
      <c r="U147" s="33" t="s">
        <v>128</v>
      </c>
      <c r="V147" s="6">
        <v>1285</v>
      </c>
      <c r="W147" s="6"/>
      <c r="X147" s="35">
        <f t="shared" si="32"/>
        <v>374</v>
      </c>
      <c r="Y147" s="35">
        <v>66</v>
      </c>
      <c r="Z147" s="35">
        <v>1560</v>
      </c>
      <c r="AA147" s="35">
        <f t="shared" si="33"/>
        <v>341</v>
      </c>
      <c r="AB147" s="6">
        <v>411</v>
      </c>
      <c r="AC147" s="6"/>
      <c r="AD147" s="35">
        <f t="shared" si="34"/>
        <v>345</v>
      </c>
      <c r="AE147" s="6">
        <v>509</v>
      </c>
      <c r="AF147" s="6"/>
      <c r="AG147" s="34">
        <f t="shared" si="35"/>
        <v>98</v>
      </c>
      <c r="AH147" s="35">
        <v>804</v>
      </c>
      <c r="AI147" s="35"/>
      <c r="AJ147" s="35">
        <f t="shared" si="36"/>
        <v>295</v>
      </c>
      <c r="AK147" s="6">
        <v>1105</v>
      </c>
      <c r="AL147" s="6"/>
      <c r="AM147" s="35">
        <f t="shared" si="37"/>
        <v>301</v>
      </c>
      <c r="AN147" s="6"/>
      <c r="AO147" s="6"/>
      <c r="AP147" s="35"/>
      <c r="AQ147" s="35">
        <v>1442</v>
      </c>
      <c r="AR147" s="35"/>
      <c r="AS147" s="35">
        <f t="shared" si="38"/>
        <v>337</v>
      </c>
      <c r="AT147" s="6">
        <v>0</v>
      </c>
      <c r="AU147" s="6">
        <v>1591</v>
      </c>
      <c r="AV147" s="35">
        <f t="shared" si="39"/>
        <v>149</v>
      </c>
      <c r="AW147" s="6">
        <v>342</v>
      </c>
      <c r="AX147" s="6"/>
      <c r="AY147" s="6">
        <f t="shared" si="40"/>
        <v>342</v>
      </c>
      <c r="AZ147" s="6">
        <v>438</v>
      </c>
      <c r="BA147" s="6"/>
      <c r="BB147" s="6">
        <f t="shared" si="41"/>
        <v>96</v>
      </c>
      <c r="BC147" s="6"/>
      <c r="BD147" s="6"/>
      <c r="BE147" s="6"/>
      <c r="BF147" s="6"/>
      <c r="BG147" s="6"/>
      <c r="BH147" s="35"/>
      <c r="BI147" s="6"/>
      <c r="BJ147" s="6"/>
      <c r="BK147" s="6"/>
      <c r="BL147" s="6"/>
      <c r="BM147" s="6"/>
      <c r="BN147" s="35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>
        <v>770</v>
      </c>
      <c r="CH147" s="6"/>
      <c r="CI147" s="6">
        <f t="shared" si="42"/>
        <v>332</v>
      </c>
      <c r="CJ147" s="6">
        <v>1128</v>
      </c>
      <c r="CK147" s="6"/>
      <c r="CL147" s="6">
        <f t="shared" si="43"/>
        <v>358</v>
      </c>
      <c r="CM147" s="6">
        <v>1492</v>
      </c>
      <c r="CN147" s="6"/>
      <c r="CO147" s="6">
        <f t="shared" si="44"/>
        <v>364</v>
      </c>
      <c r="CP147" s="6">
        <v>294</v>
      </c>
      <c r="CQ147" s="6">
        <v>1560</v>
      </c>
      <c r="CR147" s="6">
        <f t="shared" si="45"/>
        <v>362</v>
      </c>
      <c r="CS147" s="6">
        <v>650</v>
      </c>
      <c r="CT147" s="6"/>
      <c r="CU147" s="6">
        <f t="shared" si="46"/>
        <v>356</v>
      </c>
      <c r="CV147" s="6">
        <v>978</v>
      </c>
      <c r="CW147" s="6"/>
      <c r="CX147" s="6">
        <f t="shared" si="47"/>
        <v>328</v>
      </c>
    </row>
    <row r="148" spans="1:102" ht="15.75" customHeight="1">
      <c r="A148" s="6">
        <v>144</v>
      </c>
      <c r="B148" s="6">
        <v>1298</v>
      </c>
      <c r="C148" s="6"/>
      <c r="D148" s="6">
        <v>316</v>
      </c>
      <c r="E148" s="33" t="s">
        <v>37</v>
      </c>
      <c r="F148" s="33" t="s">
        <v>37</v>
      </c>
      <c r="G148" s="33" t="s">
        <v>37</v>
      </c>
      <c r="H148" s="33" t="s">
        <v>37</v>
      </c>
      <c r="I148" s="33" t="s">
        <v>37</v>
      </c>
      <c r="J148" s="33" t="s">
        <v>37</v>
      </c>
      <c r="K148" s="33" t="s">
        <v>37</v>
      </c>
      <c r="L148" s="33" t="s">
        <v>37</v>
      </c>
      <c r="M148" s="33" t="s">
        <v>37</v>
      </c>
      <c r="N148" s="33" t="s">
        <v>37</v>
      </c>
      <c r="O148" s="33" t="s">
        <v>37</v>
      </c>
      <c r="P148" s="33" t="s">
        <v>37</v>
      </c>
      <c r="Q148" s="33" t="s">
        <v>37</v>
      </c>
      <c r="R148" s="33" t="s">
        <v>37</v>
      </c>
      <c r="S148" s="148" t="s">
        <v>37</v>
      </c>
      <c r="T148" s="33" t="s">
        <v>37</v>
      </c>
      <c r="U148" s="33" t="s">
        <v>37</v>
      </c>
      <c r="V148" s="6">
        <v>195</v>
      </c>
      <c r="W148" s="6">
        <v>1483</v>
      </c>
      <c r="X148" s="35">
        <f t="shared" si="32"/>
        <v>380</v>
      </c>
      <c r="Y148" s="35">
        <v>552</v>
      </c>
      <c r="Z148" s="35"/>
      <c r="AA148" s="35">
        <f t="shared" si="33"/>
        <v>357</v>
      </c>
      <c r="AB148" s="6">
        <v>893</v>
      </c>
      <c r="AC148" s="6"/>
      <c r="AD148" s="35">
        <f t="shared" si="34"/>
        <v>341</v>
      </c>
      <c r="AE148" s="6">
        <v>1002</v>
      </c>
      <c r="AF148" s="6"/>
      <c r="AG148" s="34">
        <f t="shared" si="35"/>
        <v>109</v>
      </c>
      <c r="AH148" s="35">
        <v>179</v>
      </c>
      <c r="AI148" s="35">
        <v>1128</v>
      </c>
      <c r="AJ148" s="35">
        <f t="shared" si="36"/>
        <v>305</v>
      </c>
      <c r="AK148" s="6">
        <v>532</v>
      </c>
      <c r="AL148" s="6"/>
      <c r="AM148" s="35">
        <f t="shared" si="37"/>
        <v>353</v>
      </c>
      <c r="AN148" s="6"/>
      <c r="AO148" s="35"/>
      <c r="AP148" s="35"/>
      <c r="AQ148" s="6">
        <v>911</v>
      </c>
      <c r="AR148" s="6"/>
      <c r="AS148" s="35">
        <f t="shared" si="38"/>
        <v>379</v>
      </c>
      <c r="AT148" s="6">
        <v>1281</v>
      </c>
      <c r="AU148" s="6"/>
      <c r="AV148" s="35">
        <f t="shared" si="39"/>
        <v>370</v>
      </c>
      <c r="AW148" s="6">
        <v>83</v>
      </c>
      <c r="AX148" s="6">
        <v>1560</v>
      </c>
      <c r="AY148" s="6">
        <f t="shared" si="40"/>
        <v>362</v>
      </c>
      <c r="AZ148" s="6">
        <v>162</v>
      </c>
      <c r="BA148" s="35"/>
      <c r="BB148" s="6">
        <f t="shared" si="41"/>
        <v>79</v>
      </c>
      <c r="BC148" s="6"/>
      <c r="BD148" s="6"/>
      <c r="BE148" s="6"/>
      <c r="BF148" s="6"/>
      <c r="BG148" s="6"/>
      <c r="BH148" s="35"/>
      <c r="BI148" s="6"/>
      <c r="BJ148" s="6"/>
      <c r="BK148" s="6"/>
      <c r="BL148" s="6"/>
      <c r="BM148" s="6"/>
      <c r="BN148" s="35"/>
      <c r="BO148" s="6"/>
      <c r="BP148" s="35"/>
      <c r="BQ148" s="6"/>
      <c r="BR148" s="6"/>
      <c r="BS148" s="6"/>
      <c r="BT148" s="35"/>
      <c r="BU148" s="6"/>
      <c r="BV148" s="35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>
        <v>529</v>
      </c>
      <c r="CH148" s="6"/>
      <c r="CI148" s="6">
        <f t="shared" si="42"/>
        <v>367</v>
      </c>
      <c r="CJ148" s="6">
        <v>889</v>
      </c>
      <c r="CK148" s="6"/>
      <c r="CL148" s="6">
        <f t="shared" si="43"/>
        <v>360</v>
      </c>
      <c r="CM148" s="6">
        <v>0</v>
      </c>
      <c r="CN148" s="6">
        <v>1104</v>
      </c>
      <c r="CO148" s="6">
        <f t="shared" si="44"/>
        <v>215</v>
      </c>
      <c r="CP148" s="6">
        <v>287</v>
      </c>
      <c r="CQ148" s="6"/>
      <c r="CR148" s="6">
        <f t="shared" si="45"/>
        <v>287</v>
      </c>
      <c r="CS148" s="6">
        <v>242</v>
      </c>
      <c r="CT148" s="6">
        <v>410</v>
      </c>
      <c r="CU148" s="6">
        <f t="shared" si="46"/>
        <v>365</v>
      </c>
      <c r="CV148" s="6">
        <v>577</v>
      </c>
      <c r="CW148" s="6"/>
      <c r="CX148" s="6">
        <f t="shared" si="47"/>
        <v>335</v>
      </c>
    </row>
    <row r="149" spans="1:102">
      <c r="A149" s="7">
        <v>145</v>
      </c>
      <c r="B149" s="6">
        <v>138</v>
      </c>
      <c r="C149" s="6">
        <v>581</v>
      </c>
      <c r="D149" s="6">
        <v>239</v>
      </c>
      <c r="E149" s="33" t="s">
        <v>135</v>
      </c>
      <c r="F149" s="33" t="s">
        <v>135</v>
      </c>
      <c r="G149" s="33" t="s">
        <v>135</v>
      </c>
      <c r="H149" s="33" t="s">
        <v>135</v>
      </c>
      <c r="I149" s="33" t="s">
        <v>135</v>
      </c>
      <c r="J149" s="33" t="s">
        <v>135</v>
      </c>
      <c r="K149" s="33" t="s">
        <v>135</v>
      </c>
      <c r="L149" s="33" t="s">
        <v>135</v>
      </c>
      <c r="M149" s="33" t="s">
        <v>135</v>
      </c>
      <c r="N149" s="33" t="s">
        <v>135</v>
      </c>
      <c r="O149" s="33" t="s">
        <v>135</v>
      </c>
      <c r="P149" s="33" t="s">
        <v>135</v>
      </c>
      <c r="Q149" s="33" t="s">
        <v>135</v>
      </c>
      <c r="R149" s="33" t="s">
        <v>135</v>
      </c>
      <c r="S149" s="33" t="s">
        <v>135</v>
      </c>
      <c r="T149" s="33" t="s">
        <v>135</v>
      </c>
      <c r="U149" s="33" t="s">
        <v>135</v>
      </c>
      <c r="V149" s="35">
        <v>428</v>
      </c>
      <c r="W149" s="35"/>
      <c r="X149" s="35">
        <f t="shared" si="32"/>
        <v>290</v>
      </c>
      <c r="Y149" s="35">
        <v>103</v>
      </c>
      <c r="Z149" s="35">
        <v>593</v>
      </c>
      <c r="AA149" s="35">
        <f t="shared" si="33"/>
        <v>268</v>
      </c>
      <c r="AB149" s="6">
        <v>379</v>
      </c>
      <c r="AC149" s="6"/>
      <c r="AD149" s="35">
        <f t="shared" si="34"/>
        <v>276</v>
      </c>
      <c r="AE149" s="6">
        <v>654</v>
      </c>
      <c r="AF149" s="6"/>
      <c r="AG149" s="34">
        <f t="shared" si="35"/>
        <v>275</v>
      </c>
      <c r="AH149" s="35">
        <v>886</v>
      </c>
      <c r="AI149" s="35"/>
      <c r="AJ149" s="35">
        <f t="shared" si="36"/>
        <v>232</v>
      </c>
      <c r="AK149" s="6">
        <v>142</v>
      </c>
      <c r="AL149" s="6">
        <v>996</v>
      </c>
      <c r="AM149" s="35">
        <f t="shared" si="37"/>
        <v>252</v>
      </c>
      <c r="AN149" s="6"/>
      <c r="AO149" s="6"/>
      <c r="AP149" s="35"/>
      <c r="AQ149" s="35">
        <v>417</v>
      </c>
      <c r="AR149" s="35"/>
      <c r="AS149" s="35">
        <f t="shared" si="38"/>
        <v>275</v>
      </c>
      <c r="AT149" s="6">
        <v>688</v>
      </c>
      <c r="AU149" s="6"/>
      <c r="AV149" s="35">
        <f t="shared" si="39"/>
        <v>271</v>
      </c>
      <c r="AW149" s="6">
        <v>956</v>
      </c>
      <c r="AX149" s="6"/>
      <c r="AY149" s="6">
        <f t="shared" si="40"/>
        <v>268</v>
      </c>
      <c r="AZ149" s="6">
        <v>1016</v>
      </c>
      <c r="BA149" s="6"/>
      <c r="BB149" s="6">
        <f t="shared" si="41"/>
        <v>60</v>
      </c>
      <c r="BC149" s="6"/>
      <c r="BD149" s="6"/>
      <c r="BE149" s="6"/>
      <c r="BF149" s="6"/>
      <c r="BG149" s="6"/>
      <c r="BH149" s="35"/>
      <c r="BI149" s="6"/>
      <c r="BJ149" s="6"/>
      <c r="BK149" s="6"/>
      <c r="BL149" s="6"/>
      <c r="BM149" s="6"/>
      <c r="BN149" s="35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>
        <v>1296</v>
      </c>
      <c r="CH149" s="6"/>
      <c r="CI149" s="6">
        <f t="shared" si="42"/>
        <v>280</v>
      </c>
      <c r="CJ149" s="6">
        <v>1569</v>
      </c>
      <c r="CK149" s="6"/>
      <c r="CL149" s="6">
        <f t="shared" si="43"/>
        <v>273</v>
      </c>
      <c r="CM149" s="6">
        <v>12</v>
      </c>
      <c r="CN149" s="6">
        <v>1831</v>
      </c>
      <c r="CO149" s="6">
        <f t="shared" si="44"/>
        <v>274</v>
      </c>
      <c r="CP149" s="6">
        <v>287</v>
      </c>
      <c r="CQ149" s="6"/>
      <c r="CR149" s="6">
        <f t="shared" si="45"/>
        <v>275</v>
      </c>
      <c r="CS149" s="6">
        <v>561</v>
      </c>
      <c r="CT149" s="6"/>
      <c r="CU149" s="6">
        <f t="shared" si="46"/>
        <v>274</v>
      </c>
      <c r="CV149" s="6">
        <v>811</v>
      </c>
      <c r="CW149" s="6"/>
      <c r="CX149" s="6">
        <f t="shared" si="47"/>
        <v>250</v>
      </c>
    </row>
    <row r="150" spans="1:102">
      <c r="A150" s="6">
        <v>146</v>
      </c>
      <c r="B150" s="6">
        <v>0</v>
      </c>
      <c r="C150" s="6">
        <v>295</v>
      </c>
      <c r="D150" s="6">
        <v>251</v>
      </c>
      <c r="E150" s="33" t="s">
        <v>56</v>
      </c>
      <c r="F150" s="148" t="s">
        <v>56</v>
      </c>
      <c r="G150" s="33" t="s">
        <v>56</v>
      </c>
      <c r="H150" s="33" t="s">
        <v>56</v>
      </c>
      <c r="I150" s="33" t="s">
        <v>56</v>
      </c>
      <c r="J150" s="33" t="s">
        <v>56</v>
      </c>
      <c r="K150" s="33" t="s">
        <v>56</v>
      </c>
      <c r="L150" s="33" t="s">
        <v>56</v>
      </c>
      <c r="M150" s="33" t="s">
        <v>56</v>
      </c>
      <c r="N150" s="33" t="s">
        <v>56</v>
      </c>
      <c r="O150" s="33" t="s">
        <v>56</v>
      </c>
      <c r="P150" s="33" t="s">
        <v>56</v>
      </c>
      <c r="Q150" s="33" t="s">
        <v>56</v>
      </c>
      <c r="R150" s="33" t="s">
        <v>56</v>
      </c>
      <c r="S150" s="33" t="s">
        <v>56</v>
      </c>
      <c r="T150" s="33" t="s">
        <v>56</v>
      </c>
      <c r="U150" s="33" t="s">
        <v>56</v>
      </c>
      <c r="V150" s="6">
        <v>346</v>
      </c>
      <c r="W150" s="6"/>
      <c r="X150" s="35">
        <f t="shared" si="32"/>
        <v>346</v>
      </c>
      <c r="Y150" s="35">
        <v>107</v>
      </c>
      <c r="Z150" s="35">
        <v>600</v>
      </c>
      <c r="AA150" s="35">
        <f t="shared" si="33"/>
        <v>361</v>
      </c>
      <c r="AB150" s="6">
        <v>439</v>
      </c>
      <c r="AC150" s="6"/>
      <c r="AD150" s="35">
        <f t="shared" si="34"/>
        <v>332</v>
      </c>
      <c r="AE150" s="6">
        <v>192</v>
      </c>
      <c r="AF150" s="6">
        <v>600</v>
      </c>
      <c r="AG150" s="34">
        <f t="shared" si="35"/>
        <v>353</v>
      </c>
      <c r="AH150" s="35">
        <v>518</v>
      </c>
      <c r="AI150" s="35"/>
      <c r="AJ150" s="35">
        <f t="shared" si="36"/>
        <v>326</v>
      </c>
      <c r="AK150" s="6">
        <v>0</v>
      </c>
      <c r="AL150" s="6">
        <v>542</v>
      </c>
      <c r="AM150" s="35">
        <f t="shared" si="37"/>
        <v>24</v>
      </c>
      <c r="AN150" s="6"/>
      <c r="AO150" s="6"/>
      <c r="AP150" s="35"/>
      <c r="AQ150" s="6">
        <v>0</v>
      </c>
      <c r="AR150" s="6"/>
      <c r="AS150" s="35">
        <f t="shared" si="38"/>
        <v>0</v>
      </c>
      <c r="AT150" s="6">
        <v>0</v>
      </c>
      <c r="AU150" s="6"/>
      <c r="AV150" s="35">
        <f t="shared" si="39"/>
        <v>0</v>
      </c>
      <c r="AW150" s="6">
        <v>0</v>
      </c>
      <c r="AX150" s="6"/>
      <c r="AY150" s="6">
        <f t="shared" si="40"/>
        <v>0</v>
      </c>
      <c r="AZ150" s="6">
        <v>0</v>
      </c>
      <c r="BA150" s="35"/>
      <c r="BB150" s="6">
        <f t="shared" si="41"/>
        <v>0</v>
      </c>
      <c r="BC150" s="6"/>
      <c r="BD150" s="6"/>
      <c r="BE150" s="6"/>
      <c r="BF150" s="6"/>
      <c r="BG150" s="6"/>
      <c r="BH150" s="35"/>
      <c r="BI150" s="6"/>
      <c r="BJ150" s="6"/>
      <c r="BK150" s="6"/>
      <c r="BL150" s="6"/>
      <c r="BM150" s="6"/>
      <c r="BN150" s="35"/>
      <c r="BO150" s="6"/>
      <c r="BP150" s="35"/>
      <c r="BQ150" s="6"/>
      <c r="BR150" s="6"/>
      <c r="BS150" s="6"/>
      <c r="BT150" s="35"/>
      <c r="BU150" s="6"/>
      <c r="BV150" s="35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>
        <v>0</v>
      </c>
      <c r="CH150" s="6"/>
      <c r="CI150" s="6">
        <f t="shared" si="42"/>
        <v>0</v>
      </c>
      <c r="CJ150" s="6">
        <v>0</v>
      </c>
      <c r="CK150" s="6"/>
      <c r="CL150" s="6">
        <f t="shared" si="43"/>
        <v>0</v>
      </c>
      <c r="CM150" s="6">
        <v>0</v>
      </c>
      <c r="CN150" s="6"/>
      <c r="CO150" s="6">
        <f t="shared" si="44"/>
        <v>0</v>
      </c>
      <c r="CP150" s="6">
        <v>0</v>
      </c>
      <c r="CQ150" s="6"/>
      <c r="CR150" s="6">
        <f t="shared" si="45"/>
        <v>0</v>
      </c>
      <c r="CS150" s="6">
        <v>0</v>
      </c>
      <c r="CT150" s="6"/>
      <c r="CU150" s="6">
        <f t="shared" si="46"/>
        <v>0</v>
      </c>
      <c r="CV150" s="6">
        <v>0</v>
      </c>
      <c r="CW150" s="6"/>
      <c r="CX150" s="6">
        <f t="shared" si="47"/>
        <v>0</v>
      </c>
    </row>
    <row r="151" spans="1:102">
      <c r="A151" s="6">
        <v>147</v>
      </c>
      <c r="B151" s="6">
        <v>216</v>
      </c>
      <c r="C151" s="6">
        <v>2000</v>
      </c>
      <c r="D151" s="6">
        <v>259</v>
      </c>
      <c r="E151" s="33" t="s">
        <v>135</v>
      </c>
      <c r="F151" s="33" t="s">
        <v>135</v>
      </c>
      <c r="G151" s="33" t="s">
        <v>135</v>
      </c>
      <c r="H151" s="33" t="s">
        <v>135</v>
      </c>
      <c r="I151" s="33" t="s">
        <v>135</v>
      </c>
      <c r="J151" s="33" t="s">
        <v>135</v>
      </c>
      <c r="K151" s="33" t="s">
        <v>135</v>
      </c>
      <c r="L151" s="33" t="s">
        <v>135</v>
      </c>
      <c r="M151" s="33" t="s">
        <v>135</v>
      </c>
      <c r="N151" s="33" t="s">
        <v>135</v>
      </c>
      <c r="O151" s="33" t="s">
        <v>135</v>
      </c>
      <c r="P151" s="33" t="s">
        <v>135</v>
      </c>
      <c r="Q151" s="33" t="s">
        <v>135</v>
      </c>
      <c r="R151" s="33" t="s">
        <v>135</v>
      </c>
      <c r="S151" s="33" t="s">
        <v>135</v>
      </c>
      <c r="T151" s="33" t="s">
        <v>135</v>
      </c>
      <c r="U151" s="33" t="s">
        <v>135</v>
      </c>
      <c r="V151" s="6">
        <v>520</v>
      </c>
      <c r="W151" s="35"/>
      <c r="X151" s="35">
        <f t="shared" si="32"/>
        <v>304</v>
      </c>
      <c r="Y151" s="35">
        <v>806</v>
      </c>
      <c r="Z151" s="35"/>
      <c r="AA151" s="35">
        <f t="shared" si="33"/>
        <v>286</v>
      </c>
      <c r="AB151" s="6">
        <v>194</v>
      </c>
      <c r="AC151" s="6">
        <v>897</v>
      </c>
      <c r="AD151" s="35">
        <f t="shared" si="34"/>
        <v>285</v>
      </c>
      <c r="AE151" s="6">
        <v>481</v>
      </c>
      <c r="AF151" s="6"/>
      <c r="AG151" s="34">
        <f t="shared" si="35"/>
        <v>287</v>
      </c>
      <c r="AH151" s="35">
        <v>724</v>
      </c>
      <c r="AI151" s="35"/>
      <c r="AJ151" s="35">
        <f t="shared" si="36"/>
        <v>243</v>
      </c>
      <c r="AK151" s="6">
        <v>995</v>
      </c>
      <c r="AL151" s="6"/>
      <c r="AM151" s="35">
        <f t="shared" si="37"/>
        <v>271</v>
      </c>
      <c r="AN151" s="6"/>
      <c r="AO151" s="6"/>
      <c r="AP151" s="35"/>
      <c r="AQ151" s="6">
        <v>1283</v>
      </c>
      <c r="AR151" s="6"/>
      <c r="AS151" s="35">
        <f t="shared" si="38"/>
        <v>288</v>
      </c>
      <c r="AT151" s="6">
        <v>183</v>
      </c>
      <c r="AU151" s="6">
        <v>1376</v>
      </c>
      <c r="AV151" s="35">
        <f t="shared" si="39"/>
        <v>276</v>
      </c>
      <c r="AW151" s="6">
        <v>470</v>
      </c>
      <c r="AX151" s="6"/>
      <c r="AY151" s="6">
        <f t="shared" si="40"/>
        <v>287</v>
      </c>
      <c r="AZ151" s="6">
        <v>548</v>
      </c>
      <c r="BA151" s="35"/>
      <c r="BB151" s="6">
        <f t="shared" si="41"/>
        <v>78</v>
      </c>
      <c r="BC151" s="6"/>
      <c r="BD151" s="6"/>
      <c r="BE151" s="6"/>
      <c r="BF151" s="6"/>
      <c r="BG151" s="6"/>
      <c r="BH151" s="35"/>
      <c r="BI151" s="6"/>
      <c r="BJ151" s="6"/>
      <c r="BK151" s="6"/>
      <c r="BL151" s="6"/>
      <c r="BM151" s="6"/>
      <c r="BN151" s="35"/>
      <c r="BO151" s="6"/>
      <c r="BP151" s="35"/>
      <c r="BQ151" s="6"/>
      <c r="BR151" s="6"/>
      <c r="BS151" s="6"/>
      <c r="BT151" s="35"/>
      <c r="BU151" s="6"/>
      <c r="BV151" s="35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>
        <v>835</v>
      </c>
      <c r="CH151" s="6"/>
      <c r="CI151" s="6">
        <f t="shared" si="42"/>
        <v>287</v>
      </c>
      <c r="CJ151" s="6">
        <v>1119</v>
      </c>
      <c r="CK151" s="6"/>
      <c r="CL151" s="6">
        <f t="shared" si="43"/>
        <v>284</v>
      </c>
      <c r="CM151" s="6">
        <v>1407</v>
      </c>
      <c r="CN151" s="6"/>
      <c r="CO151" s="6">
        <f t="shared" si="44"/>
        <v>288</v>
      </c>
      <c r="CP151" s="6">
        <v>67</v>
      </c>
      <c r="CQ151" s="6">
        <v>1620</v>
      </c>
      <c r="CR151" s="6">
        <f t="shared" si="45"/>
        <v>280</v>
      </c>
      <c r="CS151" s="6">
        <v>351</v>
      </c>
      <c r="CT151" s="6"/>
      <c r="CU151" s="6">
        <f t="shared" si="46"/>
        <v>284</v>
      </c>
      <c r="CV151" s="6">
        <v>610</v>
      </c>
      <c r="CW151" s="6"/>
      <c r="CX151" s="6">
        <f t="shared" si="47"/>
        <v>259</v>
      </c>
    </row>
    <row r="152" spans="1:102">
      <c r="A152" s="6">
        <v>148</v>
      </c>
      <c r="B152" s="6">
        <v>218</v>
      </c>
      <c r="C152" s="6">
        <v>363</v>
      </c>
      <c r="D152" s="6">
        <v>318</v>
      </c>
      <c r="E152" s="33" t="s">
        <v>56</v>
      </c>
      <c r="F152" s="33" t="s">
        <v>56</v>
      </c>
      <c r="G152" s="33" t="s">
        <v>56</v>
      </c>
      <c r="H152" s="33" t="s">
        <v>56</v>
      </c>
      <c r="I152" s="33" t="s">
        <v>56</v>
      </c>
      <c r="J152" s="33" t="s">
        <v>56</v>
      </c>
      <c r="K152" s="33" t="s">
        <v>56</v>
      </c>
      <c r="L152" s="33" t="s">
        <v>56</v>
      </c>
      <c r="M152" s="33" t="s">
        <v>56</v>
      </c>
      <c r="N152" s="33" t="s">
        <v>56</v>
      </c>
      <c r="O152" s="33" t="s">
        <v>56</v>
      </c>
      <c r="P152" s="33" t="s">
        <v>56</v>
      </c>
      <c r="Q152" s="33" t="s">
        <v>56</v>
      </c>
      <c r="R152" s="33" t="s">
        <v>56</v>
      </c>
      <c r="S152" s="33" t="s">
        <v>56</v>
      </c>
      <c r="T152" s="33" t="s">
        <v>56</v>
      </c>
      <c r="U152" s="33" t="s">
        <v>56</v>
      </c>
      <c r="V152" s="6">
        <v>4</v>
      </c>
      <c r="W152" s="6">
        <v>600</v>
      </c>
      <c r="X152" s="35">
        <f t="shared" si="32"/>
        <v>386</v>
      </c>
      <c r="Y152" s="35">
        <v>372</v>
      </c>
      <c r="Z152" s="35"/>
      <c r="AA152" s="35">
        <f t="shared" si="33"/>
        <v>368</v>
      </c>
      <c r="AB152" s="6">
        <v>134</v>
      </c>
      <c r="AC152" s="6">
        <v>600</v>
      </c>
      <c r="AD152" s="35">
        <f t="shared" si="34"/>
        <v>362</v>
      </c>
      <c r="AE152" s="6">
        <v>501</v>
      </c>
      <c r="AF152" s="6"/>
      <c r="AG152" s="34">
        <f t="shared" si="35"/>
        <v>367</v>
      </c>
      <c r="AH152" s="35">
        <v>0</v>
      </c>
      <c r="AI152" s="35">
        <f>600+201</f>
        <v>801</v>
      </c>
      <c r="AJ152" s="35">
        <f t="shared" si="36"/>
        <v>300</v>
      </c>
      <c r="AK152" s="6">
        <v>0</v>
      </c>
      <c r="AL152" s="6"/>
      <c r="AM152" s="35">
        <f t="shared" si="37"/>
        <v>0</v>
      </c>
      <c r="AN152" s="6"/>
      <c r="AO152" s="6"/>
      <c r="AP152" s="35"/>
      <c r="AQ152" s="6">
        <v>0</v>
      </c>
      <c r="AR152" s="6"/>
      <c r="AS152" s="35">
        <f t="shared" si="38"/>
        <v>0</v>
      </c>
      <c r="AT152" s="6">
        <v>0</v>
      </c>
      <c r="AU152" s="6"/>
      <c r="AV152" s="35">
        <f t="shared" si="39"/>
        <v>0</v>
      </c>
      <c r="AW152" s="6">
        <v>0</v>
      </c>
      <c r="AX152" s="6"/>
      <c r="AY152" s="6">
        <f t="shared" si="40"/>
        <v>0</v>
      </c>
      <c r="AZ152" s="6">
        <v>0</v>
      </c>
      <c r="BA152" s="35"/>
      <c r="BB152" s="6">
        <f t="shared" si="41"/>
        <v>0</v>
      </c>
      <c r="BC152" s="6"/>
      <c r="BD152" s="6"/>
      <c r="BE152" s="6"/>
      <c r="BF152" s="6"/>
      <c r="BG152" s="6"/>
      <c r="BH152" s="35"/>
      <c r="BI152" s="6"/>
      <c r="BJ152" s="6"/>
      <c r="BK152" s="6"/>
      <c r="BL152" s="6"/>
      <c r="BM152" s="6"/>
      <c r="BN152" s="35"/>
      <c r="BO152" s="6"/>
      <c r="BP152" s="35"/>
      <c r="BQ152" s="6"/>
      <c r="BR152" s="6"/>
      <c r="BS152" s="6"/>
      <c r="BT152" s="35"/>
      <c r="BU152" s="6"/>
      <c r="BV152" s="35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>
        <v>0</v>
      </c>
      <c r="CH152" s="6"/>
      <c r="CI152" s="6">
        <f t="shared" si="42"/>
        <v>0</v>
      </c>
      <c r="CJ152" s="6">
        <v>0</v>
      </c>
      <c r="CK152" s="6"/>
      <c r="CL152" s="6">
        <f t="shared" si="43"/>
        <v>0</v>
      </c>
      <c r="CM152" s="6">
        <v>0</v>
      </c>
      <c r="CN152" s="6"/>
      <c r="CO152" s="6">
        <f t="shared" si="44"/>
        <v>0</v>
      </c>
      <c r="CP152" s="6">
        <v>0</v>
      </c>
      <c r="CQ152" s="6"/>
      <c r="CR152" s="6">
        <f t="shared" si="45"/>
        <v>0</v>
      </c>
      <c r="CS152" s="6">
        <v>0</v>
      </c>
      <c r="CT152" s="6"/>
      <c r="CU152" s="6">
        <f t="shared" si="46"/>
        <v>0</v>
      </c>
      <c r="CV152" s="6">
        <v>0</v>
      </c>
      <c r="CW152" s="6"/>
      <c r="CX152" s="6">
        <f t="shared" si="47"/>
        <v>0</v>
      </c>
    </row>
    <row r="153" spans="1:102">
      <c r="A153" s="6">
        <v>149</v>
      </c>
      <c r="B153" s="6">
        <v>651</v>
      </c>
      <c r="C153" s="6"/>
      <c r="D153" s="6">
        <v>249</v>
      </c>
      <c r="E153" s="33" t="s">
        <v>135</v>
      </c>
      <c r="F153" s="33" t="s">
        <v>135</v>
      </c>
      <c r="G153" s="33" t="s">
        <v>135</v>
      </c>
      <c r="H153" s="33" t="s">
        <v>135</v>
      </c>
      <c r="I153" s="33" t="s">
        <v>135</v>
      </c>
      <c r="J153" s="33" t="s">
        <v>135</v>
      </c>
      <c r="K153" s="33" t="s">
        <v>135</v>
      </c>
      <c r="L153" s="33" t="s">
        <v>135</v>
      </c>
      <c r="M153" s="33" t="s">
        <v>135</v>
      </c>
      <c r="N153" s="33" t="s">
        <v>135</v>
      </c>
      <c r="O153" s="33" t="s">
        <v>135</v>
      </c>
      <c r="P153" s="33" t="s">
        <v>135</v>
      </c>
      <c r="Q153" s="33" t="s">
        <v>135</v>
      </c>
      <c r="R153" s="33" t="s">
        <v>135</v>
      </c>
      <c r="S153" s="33" t="s">
        <v>135</v>
      </c>
      <c r="T153" s="33" t="s">
        <v>135</v>
      </c>
      <c r="U153" s="33" t="s">
        <v>135</v>
      </c>
      <c r="V153" s="6">
        <v>955</v>
      </c>
      <c r="W153" s="6"/>
      <c r="X153" s="35">
        <f t="shared" si="32"/>
        <v>304</v>
      </c>
      <c r="Y153" s="35">
        <v>1240</v>
      </c>
      <c r="Z153" s="35"/>
      <c r="AA153" s="35">
        <f t="shared" si="33"/>
        <v>285</v>
      </c>
      <c r="AB153" s="6">
        <v>220</v>
      </c>
      <c r="AC153" s="6">
        <v>1297</v>
      </c>
      <c r="AD153" s="35">
        <f t="shared" si="34"/>
        <v>277</v>
      </c>
      <c r="AE153" s="6">
        <v>498</v>
      </c>
      <c r="AF153" s="6"/>
      <c r="AG153" s="34">
        <f t="shared" si="35"/>
        <v>278</v>
      </c>
      <c r="AH153" s="35">
        <v>743</v>
      </c>
      <c r="AI153" s="35"/>
      <c r="AJ153" s="35">
        <f t="shared" si="36"/>
        <v>245</v>
      </c>
      <c r="AK153" s="6">
        <v>1004</v>
      </c>
      <c r="AL153" s="6"/>
      <c r="AM153" s="35">
        <f t="shared" si="37"/>
        <v>261</v>
      </c>
      <c r="AN153" s="6"/>
      <c r="AO153" s="6"/>
      <c r="AP153" s="35"/>
      <c r="AQ153" s="6">
        <v>179</v>
      </c>
      <c r="AR153" s="6">
        <v>1104</v>
      </c>
      <c r="AS153" s="35">
        <f t="shared" si="38"/>
        <v>279</v>
      </c>
      <c r="AT153" s="6">
        <v>106</v>
      </c>
      <c r="AU153" s="6">
        <v>345</v>
      </c>
      <c r="AV153" s="35">
        <f>AU153+AT153-AQ153</f>
        <v>272</v>
      </c>
      <c r="AW153" s="6">
        <v>390</v>
      </c>
      <c r="AX153" s="6"/>
      <c r="AY153" s="6">
        <f t="shared" si="40"/>
        <v>284</v>
      </c>
      <c r="AZ153" s="6">
        <v>467</v>
      </c>
      <c r="BA153" s="35"/>
      <c r="BB153" s="6">
        <f t="shared" si="41"/>
        <v>77</v>
      </c>
      <c r="BC153" s="6"/>
      <c r="BD153" s="6"/>
      <c r="BE153" s="6"/>
      <c r="BF153" s="6"/>
      <c r="BG153" s="6"/>
      <c r="BH153" s="35"/>
      <c r="BI153" s="6"/>
      <c r="BJ153" s="6"/>
      <c r="BK153" s="6"/>
      <c r="BL153" s="6"/>
      <c r="BM153" s="6"/>
      <c r="BN153" s="35"/>
      <c r="BO153" s="6"/>
      <c r="BP153" s="35"/>
      <c r="BQ153" s="6"/>
      <c r="BR153" s="6"/>
      <c r="BS153" s="6"/>
      <c r="BT153" s="35"/>
      <c r="BU153" s="6"/>
      <c r="BV153" s="35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>
        <v>751</v>
      </c>
      <c r="CH153" s="6"/>
      <c r="CI153" s="6">
        <f t="shared" si="42"/>
        <v>284</v>
      </c>
      <c r="CJ153" s="6">
        <v>1029</v>
      </c>
      <c r="CK153" s="6"/>
      <c r="CL153" s="6">
        <f t="shared" si="43"/>
        <v>278</v>
      </c>
      <c r="CM153" s="6">
        <v>1315</v>
      </c>
      <c r="CN153" s="6"/>
      <c r="CO153" s="6">
        <f t="shared" si="44"/>
        <v>286</v>
      </c>
      <c r="CP153" s="6">
        <v>1600</v>
      </c>
      <c r="CQ153" s="6"/>
      <c r="CR153" s="6">
        <f t="shared" si="45"/>
        <v>285</v>
      </c>
      <c r="CS153" s="6">
        <v>1872</v>
      </c>
      <c r="CT153" s="6"/>
      <c r="CU153" s="6">
        <f t="shared" si="46"/>
        <v>272</v>
      </c>
      <c r="CV153" s="6">
        <v>130</v>
      </c>
      <c r="CW153" s="6">
        <v>2000</v>
      </c>
      <c r="CX153" s="6">
        <f t="shared" si="47"/>
        <v>258</v>
      </c>
    </row>
    <row r="154" spans="1:102">
      <c r="A154" s="6">
        <v>150</v>
      </c>
      <c r="B154" s="6">
        <v>0</v>
      </c>
      <c r="C154" s="6">
        <v>505</v>
      </c>
      <c r="D154" s="6">
        <v>240</v>
      </c>
      <c r="E154" s="33" t="s">
        <v>56</v>
      </c>
      <c r="F154" s="148" t="s">
        <v>56</v>
      </c>
      <c r="G154" s="33" t="s">
        <v>56</v>
      </c>
      <c r="H154" s="33" t="s">
        <v>56</v>
      </c>
      <c r="I154" s="33" t="s">
        <v>56</v>
      </c>
      <c r="J154" s="33" t="s">
        <v>56</v>
      </c>
      <c r="K154" s="33" t="s">
        <v>56</v>
      </c>
      <c r="L154" s="33" t="s">
        <v>56</v>
      </c>
      <c r="M154" s="33" t="s">
        <v>56</v>
      </c>
      <c r="N154" s="33" t="s">
        <v>56</v>
      </c>
      <c r="O154" s="33" t="s">
        <v>56</v>
      </c>
      <c r="P154" s="33" t="s">
        <v>56</v>
      </c>
      <c r="Q154" s="33" t="s">
        <v>56</v>
      </c>
      <c r="R154" s="33" t="s">
        <v>56</v>
      </c>
      <c r="S154" s="33" t="s">
        <v>56</v>
      </c>
      <c r="T154" s="33" t="s">
        <v>56</v>
      </c>
      <c r="U154" s="33" t="s">
        <v>56</v>
      </c>
      <c r="V154" s="6">
        <v>347</v>
      </c>
      <c r="W154" s="6"/>
      <c r="X154" s="35">
        <f t="shared" si="32"/>
        <v>347</v>
      </c>
      <c r="Y154" s="35">
        <v>112</v>
      </c>
      <c r="Z154" s="35">
        <v>600</v>
      </c>
      <c r="AA154" s="35">
        <f t="shared" si="33"/>
        <v>365</v>
      </c>
      <c r="AB154" s="6">
        <v>468</v>
      </c>
      <c r="AC154" s="6"/>
      <c r="AD154" s="35">
        <f t="shared" si="34"/>
        <v>356</v>
      </c>
      <c r="AE154" s="6">
        <v>234</v>
      </c>
      <c r="AF154" s="6">
        <v>600</v>
      </c>
      <c r="AG154" s="34">
        <f t="shared" si="35"/>
        <v>366</v>
      </c>
      <c r="AH154" s="35">
        <v>560</v>
      </c>
      <c r="AI154" s="35"/>
      <c r="AJ154" s="35">
        <f t="shared" si="36"/>
        <v>326</v>
      </c>
      <c r="AK154" s="6">
        <v>0</v>
      </c>
      <c r="AL154" s="6">
        <v>584</v>
      </c>
      <c r="AM154" s="35">
        <f t="shared" si="37"/>
        <v>24</v>
      </c>
      <c r="AN154" s="6"/>
      <c r="AO154" s="6"/>
      <c r="AP154" s="35"/>
      <c r="AQ154" s="35">
        <v>0</v>
      </c>
      <c r="AR154" s="35"/>
      <c r="AS154" s="35">
        <f t="shared" si="38"/>
        <v>0</v>
      </c>
      <c r="AT154" s="4">
        <v>0</v>
      </c>
      <c r="AU154" s="6"/>
      <c r="AV154" s="35">
        <f t="shared" ref="AV154:AV217" si="48">AU154+AT154-AQ154</f>
        <v>0</v>
      </c>
      <c r="AW154" s="6">
        <v>0</v>
      </c>
      <c r="AX154" s="6"/>
      <c r="AY154" s="6">
        <f t="shared" si="40"/>
        <v>0</v>
      </c>
      <c r="AZ154" s="6">
        <v>0</v>
      </c>
      <c r="BA154" s="6"/>
      <c r="BB154" s="6">
        <f t="shared" si="41"/>
        <v>0</v>
      </c>
      <c r="BC154" s="6"/>
      <c r="BD154" s="6"/>
      <c r="BE154" s="6"/>
      <c r="BF154" s="6"/>
      <c r="BG154" s="6"/>
      <c r="BH154" s="35"/>
      <c r="BI154" s="6"/>
      <c r="BJ154" s="6"/>
      <c r="BK154" s="6"/>
      <c r="BL154" s="6"/>
      <c r="BM154" s="6"/>
      <c r="BN154" s="35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>
        <v>0</v>
      </c>
      <c r="CH154" s="6"/>
      <c r="CI154" s="6">
        <f t="shared" si="42"/>
        <v>0</v>
      </c>
      <c r="CJ154" s="6">
        <v>0</v>
      </c>
      <c r="CK154" s="6"/>
      <c r="CL154" s="6">
        <f t="shared" si="43"/>
        <v>0</v>
      </c>
      <c r="CM154" s="6">
        <v>0</v>
      </c>
      <c r="CN154" s="6"/>
      <c r="CO154" s="6">
        <f t="shared" si="44"/>
        <v>0</v>
      </c>
      <c r="CP154" s="6">
        <v>0</v>
      </c>
      <c r="CQ154" s="6"/>
      <c r="CR154" s="6">
        <f t="shared" si="45"/>
        <v>0</v>
      </c>
      <c r="CS154" s="6">
        <v>0</v>
      </c>
      <c r="CT154" s="6"/>
      <c r="CU154" s="6">
        <f t="shared" si="46"/>
        <v>0</v>
      </c>
      <c r="CV154" s="6">
        <v>0</v>
      </c>
      <c r="CW154" s="6"/>
      <c r="CX154" s="6">
        <f t="shared" si="47"/>
        <v>0</v>
      </c>
    </row>
    <row r="155" spans="1:102">
      <c r="A155" s="6">
        <v>151</v>
      </c>
      <c r="B155" s="6">
        <v>707</v>
      </c>
      <c r="C155" s="6"/>
      <c r="D155" s="6">
        <v>246</v>
      </c>
      <c r="E155" s="33" t="s">
        <v>135</v>
      </c>
      <c r="F155" s="33" t="s">
        <v>135</v>
      </c>
      <c r="G155" s="33" t="s">
        <v>135</v>
      </c>
      <c r="H155" s="33" t="s">
        <v>135</v>
      </c>
      <c r="I155" s="33" t="s">
        <v>135</v>
      </c>
      <c r="J155" s="33" t="s">
        <v>135</v>
      </c>
      <c r="K155" s="33" t="s">
        <v>135</v>
      </c>
      <c r="L155" s="33" t="s">
        <v>135</v>
      </c>
      <c r="M155" s="33" t="s">
        <v>135</v>
      </c>
      <c r="N155" s="33" t="s">
        <v>135</v>
      </c>
      <c r="O155" s="33" t="s">
        <v>135</v>
      </c>
      <c r="P155" s="33" t="s">
        <v>135</v>
      </c>
      <c r="Q155" s="33" t="s">
        <v>135</v>
      </c>
      <c r="R155" s="33" t="s">
        <v>135</v>
      </c>
      <c r="S155" s="33" t="s">
        <v>135</v>
      </c>
      <c r="T155" s="33" t="s">
        <v>135</v>
      </c>
      <c r="U155" s="33" t="s">
        <v>135</v>
      </c>
      <c r="V155" s="6">
        <v>996</v>
      </c>
      <c r="W155" s="6"/>
      <c r="X155" s="35">
        <f t="shared" si="32"/>
        <v>289</v>
      </c>
      <c r="Y155" s="35">
        <v>1265</v>
      </c>
      <c r="Z155" s="35"/>
      <c r="AA155" s="35">
        <f t="shared" si="33"/>
        <v>269</v>
      </c>
      <c r="AB155" s="6">
        <v>91</v>
      </c>
      <c r="AC155" s="6">
        <v>1439</v>
      </c>
      <c r="AD155" s="35">
        <f t="shared" si="34"/>
        <v>265</v>
      </c>
      <c r="AE155" s="6">
        <v>362</v>
      </c>
      <c r="AF155" s="6"/>
      <c r="AG155" s="34">
        <f t="shared" si="35"/>
        <v>271</v>
      </c>
      <c r="AH155" s="35">
        <v>588</v>
      </c>
      <c r="AI155" s="35"/>
      <c r="AJ155" s="35">
        <f t="shared" si="36"/>
        <v>226</v>
      </c>
      <c r="AK155" s="6">
        <v>843</v>
      </c>
      <c r="AL155" s="6"/>
      <c r="AM155" s="35">
        <f t="shared" si="37"/>
        <v>255</v>
      </c>
      <c r="AN155" s="6"/>
      <c r="AO155" s="6"/>
      <c r="AP155" s="35"/>
      <c r="AQ155" s="6">
        <v>1117</v>
      </c>
      <c r="AR155" s="6"/>
      <c r="AS155" s="35">
        <f t="shared" si="38"/>
        <v>274</v>
      </c>
      <c r="AT155" s="6">
        <v>1387</v>
      </c>
      <c r="AU155" s="6"/>
      <c r="AV155" s="35">
        <f t="shared" si="48"/>
        <v>270</v>
      </c>
      <c r="AW155" s="6">
        <v>1657</v>
      </c>
      <c r="AX155" s="6"/>
      <c r="AY155" s="6">
        <f t="shared" si="40"/>
        <v>270</v>
      </c>
      <c r="AZ155" s="6">
        <v>1722</v>
      </c>
      <c r="BA155" s="35"/>
      <c r="BB155" s="6">
        <f t="shared" si="41"/>
        <v>65</v>
      </c>
      <c r="BC155" s="6"/>
      <c r="BD155" s="6"/>
      <c r="BE155" s="6"/>
      <c r="BF155" s="6"/>
      <c r="BG155" s="6"/>
      <c r="BH155" s="35"/>
      <c r="BI155" s="6"/>
      <c r="BJ155" s="6"/>
      <c r="BK155" s="6"/>
      <c r="BL155" s="6"/>
      <c r="BM155" s="6"/>
      <c r="BN155" s="35"/>
      <c r="BO155" s="6"/>
      <c r="BP155" s="35"/>
      <c r="BQ155" s="6"/>
      <c r="BR155" s="6"/>
      <c r="BS155" s="6"/>
      <c r="BT155" s="35"/>
      <c r="BU155" s="6"/>
      <c r="BV155" s="35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>
        <v>1994</v>
      </c>
      <c r="CH155" s="6"/>
      <c r="CI155" s="6">
        <f t="shared" si="42"/>
        <v>272</v>
      </c>
      <c r="CJ155" s="35">
        <v>263</v>
      </c>
      <c r="CK155" s="6">
        <v>2000</v>
      </c>
      <c r="CL155" s="6">
        <f t="shared" si="43"/>
        <v>269</v>
      </c>
      <c r="CM155" s="6">
        <v>532</v>
      </c>
      <c r="CN155" s="6"/>
      <c r="CO155" s="6">
        <f t="shared" si="44"/>
        <v>269</v>
      </c>
      <c r="CP155" s="6">
        <v>803</v>
      </c>
      <c r="CQ155" s="6"/>
      <c r="CR155" s="6">
        <f t="shared" si="45"/>
        <v>271</v>
      </c>
      <c r="CS155" s="6">
        <v>1063</v>
      </c>
      <c r="CT155" s="6"/>
      <c r="CU155" s="6">
        <f t="shared" si="46"/>
        <v>260</v>
      </c>
      <c r="CV155" s="6">
        <v>1308</v>
      </c>
      <c r="CW155" s="6"/>
      <c r="CX155" s="6">
        <f t="shared" si="47"/>
        <v>245</v>
      </c>
    </row>
    <row r="156" spans="1:102">
      <c r="A156" s="6">
        <v>152</v>
      </c>
      <c r="B156" s="6">
        <v>456</v>
      </c>
      <c r="C156" s="6"/>
      <c r="D156" s="6">
        <v>339</v>
      </c>
      <c r="E156" s="33" t="s">
        <v>56</v>
      </c>
      <c r="F156" s="33" t="s">
        <v>56</v>
      </c>
      <c r="G156" s="33" t="s">
        <v>56</v>
      </c>
      <c r="H156" s="33" t="s">
        <v>56</v>
      </c>
      <c r="I156" s="148" t="s">
        <v>56</v>
      </c>
      <c r="J156" s="33" t="s">
        <v>56</v>
      </c>
      <c r="K156" s="33" t="s">
        <v>56</v>
      </c>
      <c r="L156" s="33" t="s">
        <v>56</v>
      </c>
      <c r="M156" s="33" t="s">
        <v>56</v>
      </c>
      <c r="N156" s="33" t="s">
        <v>56</v>
      </c>
      <c r="O156" s="33" t="s">
        <v>56</v>
      </c>
      <c r="P156" s="33" t="s">
        <v>56</v>
      </c>
      <c r="Q156" s="33" t="s">
        <v>56</v>
      </c>
      <c r="R156" s="33" t="s">
        <v>56</v>
      </c>
      <c r="S156" s="33" t="s">
        <v>56</v>
      </c>
      <c r="T156" s="33" t="s">
        <v>56</v>
      </c>
      <c r="U156" s="33" t="s">
        <v>56</v>
      </c>
      <c r="V156" s="6">
        <v>254</v>
      </c>
      <c r="W156" s="6">
        <v>600</v>
      </c>
      <c r="X156" s="35">
        <f t="shared" si="32"/>
        <v>398</v>
      </c>
      <c r="Y156" s="35">
        <v>33</v>
      </c>
      <c r="Z156" s="35">
        <v>600</v>
      </c>
      <c r="AA156" s="35">
        <f t="shared" si="33"/>
        <v>379</v>
      </c>
      <c r="AB156" s="6">
        <v>0</v>
      </c>
      <c r="AC156" s="6">
        <v>415</v>
      </c>
      <c r="AD156" s="35">
        <f t="shared" si="34"/>
        <v>382</v>
      </c>
      <c r="AE156" s="6">
        <v>367</v>
      </c>
      <c r="AF156" s="6"/>
      <c r="AG156" s="34">
        <f t="shared" si="35"/>
        <v>367</v>
      </c>
      <c r="AH156" s="35">
        <v>113</v>
      </c>
      <c r="AI156" s="35">
        <v>600</v>
      </c>
      <c r="AJ156" s="35">
        <f t="shared" si="36"/>
        <v>346</v>
      </c>
      <c r="AK156" s="6">
        <v>0</v>
      </c>
      <c r="AL156" s="6">
        <v>250</v>
      </c>
      <c r="AM156" s="35">
        <f t="shared" si="37"/>
        <v>137</v>
      </c>
      <c r="AN156" s="6"/>
      <c r="AO156" s="6"/>
      <c r="AP156" s="35"/>
      <c r="AQ156" s="6">
        <v>0</v>
      </c>
      <c r="AR156" s="6"/>
      <c r="AS156" s="35">
        <f t="shared" si="38"/>
        <v>0</v>
      </c>
      <c r="AT156" s="6">
        <v>0</v>
      </c>
      <c r="AU156" s="6"/>
      <c r="AV156" s="35">
        <f t="shared" si="48"/>
        <v>0</v>
      </c>
      <c r="AW156" s="6">
        <v>0</v>
      </c>
      <c r="AX156" s="6"/>
      <c r="AY156" s="6">
        <f t="shared" si="40"/>
        <v>0</v>
      </c>
      <c r="AZ156" s="6">
        <v>0</v>
      </c>
      <c r="BA156" s="35"/>
      <c r="BB156" s="6">
        <f t="shared" si="41"/>
        <v>0</v>
      </c>
      <c r="BC156" s="6"/>
      <c r="BD156" s="6"/>
      <c r="BE156" s="6"/>
      <c r="BF156" s="6"/>
      <c r="BG156" s="6"/>
      <c r="BH156" s="35"/>
      <c r="BI156" s="6"/>
      <c r="BJ156" s="6"/>
      <c r="BK156" s="6"/>
      <c r="BL156" s="6"/>
      <c r="BM156" s="6"/>
      <c r="BN156" s="35"/>
      <c r="BO156" s="6"/>
      <c r="BP156" s="35"/>
      <c r="BQ156" s="6"/>
      <c r="BR156" s="6"/>
      <c r="BS156" s="6"/>
      <c r="BT156" s="35"/>
      <c r="BU156" s="6"/>
      <c r="BV156" s="35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>
        <v>0</v>
      </c>
      <c r="CH156" s="6"/>
      <c r="CI156" s="6">
        <f t="shared" si="42"/>
        <v>0</v>
      </c>
      <c r="CJ156" s="6">
        <v>0</v>
      </c>
      <c r="CK156" s="6"/>
      <c r="CL156" s="6">
        <f t="shared" si="43"/>
        <v>0</v>
      </c>
      <c r="CM156" s="6">
        <v>0</v>
      </c>
      <c r="CN156" s="6"/>
      <c r="CO156" s="6">
        <f t="shared" si="44"/>
        <v>0</v>
      </c>
      <c r="CP156" s="6">
        <v>0</v>
      </c>
      <c r="CQ156" s="6"/>
      <c r="CR156" s="6">
        <f t="shared" si="45"/>
        <v>0</v>
      </c>
      <c r="CS156" s="6">
        <v>0</v>
      </c>
      <c r="CT156" s="6"/>
      <c r="CU156" s="6">
        <f t="shared" si="46"/>
        <v>0</v>
      </c>
      <c r="CV156" s="6">
        <v>0</v>
      </c>
      <c r="CW156" s="6"/>
      <c r="CX156" s="6">
        <f t="shared" si="47"/>
        <v>0</v>
      </c>
    </row>
    <row r="157" spans="1:102">
      <c r="A157" s="6">
        <v>153</v>
      </c>
      <c r="B157" s="6">
        <v>555</v>
      </c>
      <c r="C157" s="6"/>
      <c r="D157" s="6">
        <v>270</v>
      </c>
      <c r="E157" s="33" t="s">
        <v>135</v>
      </c>
      <c r="F157" s="33" t="s">
        <v>135</v>
      </c>
      <c r="G157" s="33" t="s">
        <v>135</v>
      </c>
      <c r="H157" s="33" t="s">
        <v>135</v>
      </c>
      <c r="I157" s="33" t="s">
        <v>135</v>
      </c>
      <c r="J157" s="33" t="s">
        <v>135</v>
      </c>
      <c r="K157" s="33" t="s">
        <v>135</v>
      </c>
      <c r="L157" s="33" t="s">
        <v>135</v>
      </c>
      <c r="M157" s="33" t="s">
        <v>135</v>
      </c>
      <c r="N157" s="33" t="s">
        <v>135</v>
      </c>
      <c r="O157" s="33" t="s">
        <v>135</v>
      </c>
      <c r="P157" s="33" t="s">
        <v>135</v>
      </c>
      <c r="Q157" s="33" t="s">
        <v>135</v>
      </c>
      <c r="R157" s="33" t="s">
        <v>135</v>
      </c>
      <c r="S157" s="33" t="s">
        <v>135</v>
      </c>
      <c r="T157" s="33" t="s">
        <v>135</v>
      </c>
      <c r="U157" s="33" t="s">
        <v>135</v>
      </c>
      <c r="V157" s="6">
        <v>872</v>
      </c>
      <c r="W157" s="6"/>
      <c r="X157" s="35">
        <f t="shared" si="32"/>
        <v>317</v>
      </c>
      <c r="Y157" s="35">
        <v>1170</v>
      </c>
      <c r="Z157" s="35"/>
      <c r="AA157" s="35">
        <f t="shared" si="33"/>
        <v>298</v>
      </c>
      <c r="AB157" s="6">
        <v>1344</v>
      </c>
      <c r="AC157" s="6"/>
      <c r="AD157" s="35">
        <f t="shared" si="34"/>
        <v>174</v>
      </c>
      <c r="AE157" s="6">
        <v>1616</v>
      </c>
      <c r="AF157" s="6"/>
      <c r="AG157" s="34">
        <f t="shared" si="35"/>
        <v>272</v>
      </c>
      <c r="AH157" s="35">
        <v>1846</v>
      </c>
      <c r="AI157" s="35"/>
      <c r="AJ157" s="35">
        <f t="shared" si="36"/>
        <v>230</v>
      </c>
      <c r="AK157" s="6">
        <v>102</v>
      </c>
      <c r="AL157" s="6">
        <v>2000</v>
      </c>
      <c r="AM157" s="35">
        <f t="shared" si="37"/>
        <v>256</v>
      </c>
      <c r="AN157" s="6"/>
      <c r="AO157" s="6"/>
      <c r="AP157" s="35"/>
      <c r="AQ157" s="6">
        <v>373</v>
      </c>
      <c r="AR157" s="6"/>
      <c r="AS157" s="35">
        <f t="shared" si="38"/>
        <v>271</v>
      </c>
      <c r="AT157" s="6">
        <v>646</v>
      </c>
      <c r="AU157" s="6"/>
      <c r="AV157" s="35">
        <f t="shared" si="48"/>
        <v>273</v>
      </c>
      <c r="AW157" s="6">
        <v>915</v>
      </c>
      <c r="AX157" s="6"/>
      <c r="AY157" s="6">
        <f t="shared" si="40"/>
        <v>269</v>
      </c>
      <c r="AZ157" s="6">
        <v>987</v>
      </c>
      <c r="BA157" s="35"/>
      <c r="BB157" s="6">
        <f t="shared" si="41"/>
        <v>72</v>
      </c>
      <c r="BC157" s="6"/>
      <c r="BD157" s="6"/>
      <c r="BE157" s="6"/>
      <c r="BF157" s="6"/>
      <c r="BG157" s="6"/>
      <c r="BH157" s="35"/>
      <c r="BI157" s="6"/>
      <c r="BJ157" s="6"/>
      <c r="BK157" s="6"/>
      <c r="BL157" s="6"/>
      <c r="BM157" s="6"/>
      <c r="BN157" s="35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>
        <v>1258</v>
      </c>
      <c r="CH157" s="6"/>
      <c r="CI157" s="6">
        <f t="shared" si="42"/>
        <v>271</v>
      </c>
      <c r="CJ157" s="6">
        <v>206</v>
      </c>
      <c r="CK157" s="6">
        <v>1321</v>
      </c>
      <c r="CL157" s="6">
        <f t="shared" si="43"/>
        <v>269</v>
      </c>
      <c r="CM157" s="6">
        <v>480</v>
      </c>
      <c r="CN157" s="6"/>
      <c r="CO157" s="6">
        <f t="shared" si="44"/>
        <v>274</v>
      </c>
      <c r="CP157" s="6">
        <v>751</v>
      </c>
      <c r="CQ157" s="6"/>
      <c r="CR157" s="6">
        <f t="shared" si="45"/>
        <v>271</v>
      </c>
      <c r="CS157" s="6">
        <v>1023</v>
      </c>
      <c r="CT157" s="6"/>
      <c r="CU157" s="6">
        <f t="shared" si="46"/>
        <v>272</v>
      </c>
      <c r="CV157" s="6">
        <v>1269</v>
      </c>
      <c r="CW157" s="6"/>
      <c r="CX157" s="6">
        <f t="shared" si="47"/>
        <v>246</v>
      </c>
    </row>
    <row r="158" spans="1:102">
      <c r="A158" s="6">
        <v>154</v>
      </c>
      <c r="B158" s="6">
        <v>1292</v>
      </c>
      <c r="C158" s="6"/>
      <c r="D158" s="6">
        <v>239</v>
      </c>
      <c r="E158" s="33" t="s">
        <v>99</v>
      </c>
      <c r="F158" s="33" t="s">
        <v>99</v>
      </c>
      <c r="G158" s="33" t="s">
        <v>99</v>
      </c>
      <c r="H158" s="33" t="s">
        <v>99</v>
      </c>
      <c r="I158" s="33" t="s">
        <v>99</v>
      </c>
      <c r="J158" s="33" t="s">
        <v>99</v>
      </c>
      <c r="K158" s="33" t="s">
        <v>99</v>
      </c>
      <c r="L158" s="33" t="s">
        <v>99</v>
      </c>
      <c r="M158" s="148" t="s">
        <v>99</v>
      </c>
      <c r="N158" s="33" t="s">
        <v>99</v>
      </c>
      <c r="O158" s="33" t="s">
        <v>99</v>
      </c>
      <c r="P158" s="33" t="s">
        <v>99</v>
      </c>
      <c r="Q158" s="33" t="s">
        <v>99</v>
      </c>
      <c r="R158" s="33" t="s">
        <v>99</v>
      </c>
      <c r="S158" s="33" t="s">
        <v>99</v>
      </c>
      <c r="T158" s="33" t="s">
        <v>99</v>
      </c>
      <c r="U158" s="33" t="s">
        <v>99</v>
      </c>
      <c r="V158" s="6">
        <v>73</v>
      </c>
      <c r="W158" s="6">
        <v>1500</v>
      </c>
      <c r="X158" s="35">
        <f t="shared" si="32"/>
        <v>281</v>
      </c>
      <c r="Y158" s="35">
        <v>338</v>
      </c>
      <c r="Z158" s="35"/>
      <c r="AA158" s="35">
        <f t="shared" si="33"/>
        <v>265</v>
      </c>
      <c r="AB158" s="6">
        <v>603</v>
      </c>
      <c r="AC158" s="6"/>
      <c r="AD158" s="35">
        <f t="shared" si="34"/>
        <v>265</v>
      </c>
      <c r="AE158" s="6">
        <v>865</v>
      </c>
      <c r="AF158" s="6"/>
      <c r="AG158" s="34">
        <f t="shared" si="35"/>
        <v>262</v>
      </c>
      <c r="AH158" s="35">
        <v>1108</v>
      </c>
      <c r="AI158" s="35"/>
      <c r="AJ158" s="35">
        <f t="shared" si="36"/>
        <v>243</v>
      </c>
      <c r="AK158" s="6">
        <v>1356</v>
      </c>
      <c r="AL158" s="6"/>
      <c r="AM158" s="35">
        <f t="shared" si="37"/>
        <v>248</v>
      </c>
      <c r="AN158" s="6"/>
      <c r="AO158" s="6"/>
      <c r="AP158" s="35"/>
      <c r="AQ158" s="35">
        <v>120</v>
      </c>
      <c r="AR158" s="35">
        <v>1500</v>
      </c>
      <c r="AS158" s="35">
        <f t="shared" si="38"/>
        <v>264</v>
      </c>
      <c r="AT158" s="6">
        <v>179</v>
      </c>
      <c r="AU158" s="6">
        <v>196</v>
      </c>
      <c r="AV158" s="35">
        <f t="shared" si="48"/>
        <v>255</v>
      </c>
      <c r="AW158" s="6">
        <v>443</v>
      </c>
      <c r="AX158" s="6"/>
      <c r="AY158" s="6">
        <f t="shared" si="40"/>
        <v>264</v>
      </c>
      <c r="AZ158" s="6">
        <v>512</v>
      </c>
      <c r="BA158" s="6"/>
      <c r="BB158" s="6">
        <f t="shared" si="41"/>
        <v>69</v>
      </c>
      <c r="BC158" s="6"/>
      <c r="BD158" s="6"/>
      <c r="BE158" s="6"/>
      <c r="BF158" s="6"/>
      <c r="BG158" s="6"/>
      <c r="BH158" s="35"/>
      <c r="BI158" s="6"/>
      <c r="BJ158" s="6"/>
      <c r="BK158" s="6"/>
      <c r="BL158" s="6"/>
      <c r="BM158" s="6"/>
      <c r="BN158" s="35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>
        <v>781</v>
      </c>
      <c r="CH158" s="6"/>
      <c r="CI158" s="6">
        <f t="shared" si="42"/>
        <v>269</v>
      </c>
      <c r="CJ158" s="6">
        <v>1043</v>
      </c>
      <c r="CK158" s="6"/>
      <c r="CL158" s="6">
        <f t="shared" si="43"/>
        <v>262</v>
      </c>
      <c r="CM158" s="6">
        <v>1303</v>
      </c>
      <c r="CN158" s="6"/>
      <c r="CO158" s="6">
        <f t="shared" si="44"/>
        <v>260</v>
      </c>
      <c r="CP158" s="6">
        <v>65</v>
      </c>
      <c r="CQ158" s="6">
        <v>1500</v>
      </c>
      <c r="CR158" s="6">
        <f t="shared" si="45"/>
        <v>262</v>
      </c>
      <c r="CS158" s="6">
        <v>325</v>
      </c>
      <c r="CT158" s="6"/>
      <c r="CU158" s="6">
        <f t="shared" si="46"/>
        <v>260</v>
      </c>
      <c r="CV158" s="6">
        <v>558</v>
      </c>
      <c r="CW158" s="6"/>
      <c r="CX158" s="6">
        <f t="shared" si="47"/>
        <v>233</v>
      </c>
    </row>
    <row r="159" spans="1:102">
      <c r="A159" s="6">
        <v>155</v>
      </c>
      <c r="B159" s="6">
        <v>0</v>
      </c>
      <c r="C159" s="6"/>
      <c r="D159" s="6">
        <v>0</v>
      </c>
      <c r="E159" s="33" t="s">
        <v>56</v>
      </c>
      <c r="F159" s="33" t="s">
        <v>56</v>
      </c>
      <c r="G159" s="33" t="s">
        <v>56</v>
      </c>
      <c r="H159" s="33" t="s">
        <v>56</v>
      </c>
      <c r="I159" s="33" t="s">
        <v>56</v>
      </c>
      <c r="J159" s="33" t="s">
        <v>56</v>
      </c>
      <c r="K159" s="33" t="s">
        <v>56</v>
      </c>
      <c r="L159" s="33" t="s">
        <v>56</v>
      </c>
      <c r="M159" s="33" t="s">
        <v>56</v>
      </c>
      <c r="N159" s="33" t="s">
        <v>56</v>
      </c>
      <c r="O159" s="33" t="s">
        <v>56</v>
      </c>
      <c r="P159" s="33" t="s">
        <v>56</v>
      </c>
      <c r="Q159" s="33" t="s">
        <v>56</v>
      </c>
      <c r="R159" s="33" t="s">
        <v>56</v>
      </c>
      <c r="S159" s="33" t="s">
        <v>56</v>
      </c>
      <c r="T159" s="33" t="s">
        <v>56</v>
      </c>
      <c r="U159" s="33" t="s">
        <v>56</v>
      </c>
      <c r="V159" s="6">
        <v>0</v>
      </c>
      <c r="W159" s="6"/>
      <c r="X159" s="35">
        <f t="shared" si="32"/>
        <v>0</v>
      </c>
      <c r="Y159" s="35">
        <v>0</v>
      </c>
      <c r="Z159" s="35"/>
      <c r="AA159" s="35">
        <f t="shared" si="33"/>
        <v>0</v>
      </c>
      <c r="AB159" s="6">
        <v>0</v>
      </c>
      <c r="AC159" s="6"/>
      <c r="AD159" s="35">
        <f t="shared" si="34"/>
        <v>0</v>
      </c>
      <c r="AE159" s="6">
        <v>0</v>
      </c>
      <c r="AF159" s="6"/>
      <c r="AG159" s="34">
        <f t="shared" si="35"/>
        <v>0</v>
      </c>
      <c r="AH159" s="35">
        <v>0</v>
      </c>
      <c r="AI159" s="35"/>
      <c r="AJ159" s="35">
        <f t="shared" si="36"/>
        <v>0</v>
      </c>
      <c r="AK159" s="6">
        <v>0</v>
      </c>
      <c r="AL159" s="6"/>
      <c r="AM159" s="35">
        <f t="shared" si="37"/>
        <v>0</v>
      </c>
      <c r="AN159" s="6"/>
      <c r="AO159" s="6"/>
      <c r="AP159" s="35"/>
      <c r="AQ159" s="6">
        <v>0</v>
      </c>
      <c r="AR159" s="6"/>
      <c r="AS159" s="35">
        <f t="shared" si="38"/>
        <v>0</v>
      </c>
      <c r="AT159" s="6">
        <v>0</v>
      </c>
      <c r="AU159" s="6"/>
      <c r="AV159" s="35">
        <f t="shared" si="48"/>
        <v>0</v>
      </c>
      <c r="AW159" s="6">
        <v>0</v>
      </c>
      <c r="AX159" s="6"/>
      <c r="AY159" s="6">
        <f t="shared" si="40"/>
        <v>0</v>
      </c>
      <c r="AZ159" s="6">
        <v>0</v>
      </c>
      <c r="BA159" s="35"/>
      <c r="BB159" s="6">
        <f t="shared" si="41"/>
        <v>0</v>
      </c>
      <c r="BC159" s="6"/>
      <c r="BD159" s="6"/>
      <c r="BE159" s="6"/>
      <c r="BF159" s="6"/>
      <c r="BG159" s="6"/>
      <c r="BH159" s="35"/>
      <c r="BI159" s="6"/>
      <c r="BJ159" s="6"/>
      <c r="BK159" s="6"/>
      <c r="BL159" s="6"/>
      <c r="BM159" s="6"/>
      <c r="BN159" s="35"/>
      <c r="BO159" s="6"/>
      <c r="BP159" s="35"/>
      <c r="BQ159" s="6"/>
      <c r="BR159" s="6"/>
      <c r="BS159" s="6"/>
      <c r="BT159" s="35"/>
      <c r="BU159" s="6"/>
      <c r="BV159" s="35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>
        <v>0</v>
      </c>
      <c r="CH159" s="6"/>
      <c r="CI159" s="6">
        <f t="shared" si="42"/>
        <v>0</v>
      </c>
      <c r="CJ159" s="6">
        <v>0</v>
      </c>
      <c r="CK159" s="6"/>
      <c r="CL159" s="6">
        <f t="shared" si="43"/>
        <v>0</v>
      </c>
      <c r="CM159" s="6">
        <v>0</v>
      </c>
      <c r="CN159" s="6"/>
      <c r="CO159" s="6">
        <f t="shared" si="44"/>
        <v>0</v>
      </c>
      <c r="CP159" s="6">
        <v>0</v>
      </c>
      <c r="CQ159" s="6"/>
      <c r="CR159" s="6">
        <f t="shared" si="45"/>
        <v>0</v>
      </c>
      <c r="CS159" s="6">
        <v>0</v>
      </c>
      <c r="CT159" s="6"/>
      <c r="CU159" s="6">
        <f t="shared" si="46"/>
        <v>0</v>
      </c>
      <c r="CV159" s="6">
        <v>0</v>
      </c>
      <c r="CW159" s="6"/>
      <c r="CX159" s="6">
        <f t="shared" si="47"/>
        <v>0</v>
      </c>
    </row>
    <row r="160" spans="1:102">
      <c r="A160" s="6">
        <v>156</v>
      </c>
      <c r="B160" s="6">
        <v>450</v>
      </c>
      <c r="C160" s="6"/>
      <c r="D160" s="6">
        <v>212</v>
      </c>
      <c r="E160" s="33" t="s">
        <v>124</v>
      </c>
      <c r="F160" s="33" t="s">
        <v>124</v>
      </c>
      <c r="G160" s="33" t="s">
        <v>124</v>
      </c>
      <c r="H160" s="33" t="s">
        <v>124</v>
      </c>
      <c r="I160" s="33" t="s">
        <v>124</v>
      </c>
      <c r="J160" s="33" t="s">
        <v>124</v>
      </c>
      <c r="K160" s="33" t="s">
        <v>124</v>
      </c>
      <c r="L160" s="33" t="s">
        <v>124</v>
      </c>
      <c r="M160" s="33" t="s">
        <v>124</v>
      </c>
      <c r="N160" s="33" t="s">
        <v>124</v>
      </c>
      <c r="O160" s="33" t="s">
        <v>124</v>
      </c>
      <c r="P160" s="33" t="s">
        <v>124</v>
      </c>
      <c r="Q160" s="33" t="s">
        <v>124</v>
      </c>
      <c r="R160" s="33" t="s">
        <v>124</v>
      </c>
      <c r="S160" s="33" t="s">
        <v>124</v>
      </c>
      <c r="T160" s="33" t="s">
        <v>124</v>
      </c>
      <c r="U160" s="33" t="s">
        <v>124</v>
      </c>
      <c r="V160" s="6">
        <v>700</v>
      </c>
      <c r="W160" s="6"/>
      <c r="X160" s="35">
        <f t="shared" si="32"/>
        <v>250</v>
      </c>
      <c r="Y160" s="35">
        <v>930</v>
      </c>
      <c r="Z160" s="35"/>
      <c r="AA160" s="35">
        <f t="shared" si="33"/>
        <v>230</v>
      </c>
      <c r="AB160" s="6">
        <v>1163</v>
      </c>
      <c r="AC160" s="6"/>
      <c r="AD160" s="35">
        <f t="shared" si="34"/>
        <v>233</v>
      </c>
      <c r="AE160" s="6">
        <v>1396</v>
      </c>
      <c r="AF160" s="6"/>
      <c r="AG160" s="34">
        <f t="shared" si="35"/>
        <v>233</v>
      </c>
      <c r="AH160" s="35">
        <v>70</v>
      </c>
      <c r="AI160" s="35">
        <v>1526</v>
      </c>
      <c r="AJ160" s="35">
        <f t="shared" si="36"/>
        <v>200</v>
      </c>
      <c r="AK160" s="6">
        <v>291</v>
      </c>
      <c r="AL160" s="6"/>
      <c r="AM160" s="35">
        <f t="shared" si="37"/>
        <v>221</v>
      </c>
      <c r="AN160" s="6"/>
      <c r="AO160" s="6"/>
      <c r="AP160" s="35"/>
      <c r="AQ160" s="35">
        <v>528</v>
      </c>
      <c r="AR160" s="35"/>
      <c r="AS160" s="35">
        <f t="shared" si="38"/>
        <v>237</v>
      </c>
      <c r="AT160" s="6">
        <v>760</v>
      </c>
      <c r="AU160" s="6"/>
      <c r="AV160" s="35">
        <f t="shared" si="48"/>
        <v>232</v>
      </c>
      <c r="AW160" s="6">
        <v>992</v>
      </c>
      <c r="AX160" s="6"/>
      <c r="AY160" s="6">
        <f t="shared" si="40"/>
        <v>232</v>
      </c>
      <c r="AZ160" s="6">
        <v>1045</v>
      </c>
      <c r="BA160" s="6"/>
      <c r="BB160" s="6">
        <f t="shared" si="41"/>
        <v>53</v>
      </c>
      <c r="BC160" s="6"/>
      <c r="BD160" s="6"/>
      <c r="BE160" s="6"/>
      <c r="BF160" s="6"/>
      <c r="BG160" s="6"/>
      <c r="BH160" s="35"/>
      <c r="BI160" s="6"/>
      <c r="BJ160" s="6"/>
      <c r="BK160" s="6"/>
      <c r="BL160" s="6"/>
      <c r="BM160" s="6"/>
      <c r="BN160" s="35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>
        <v>222</v>
      </c>
      <c r="CH160" s="6">
        <v>1048</v>
      </c>
      <c r="CI160" s="6">
        <f t="shared" si="42"/>
        <v>225</v>
      </c>
      <c r="CJ160" s="6">
        <v>456</v>
      </c>
      <c r="CK160" s="6"/>
      <c r="CL160" s="6">
        <f t="shared" si="43"/>
        <v>234</v>
      </c>
      <c r="CM160" s="6">
        <v>692</v>
      </c>
      <c r="CN160" s="6"/>
      <c r="CO160" s="6">
        <f t="shared" si="44"/>
        <v>236</v>
      </c>
      <c r="CP160" s="6">
        <v>924</v>
      </c>
      <c r="CQ160" s="6"/>
      <c r="CR160" s="6">
        <f t="shared" si="45"/>
        <v>232</v>
      </c>
      <c r="CS160" s="6">
        <v>1155</v>
      </c>
      <c r="CT160" s="6"/>
      <c r="CU160" s="6">
        <f t="shared" si="46"/>
        <v>231</v>
      </c>
      <c r="CV160" s="6">
        <v>36</v>
      </c>
      <c r="CW160" s="6">
        <v>1328</v>
      </c>
      <c r="CX160" s="6">
        <f t="shared" si="47"/>
        <v>209</v>
      </c>
    </row>
    <row r="161" spans="1:102">
      <c r="A161" s="6">
        <v>157</v>
      </c>
      <c r="B161" s="6">
        <v>408</v>
      </c>
      <c r="C161" s="6"/>
      <c r="D161" s="6">
        <v>238</v>
      </c>
      <c r="E161" s="33" t="s">
        <v>99</v>
      </c>
      <c r="F161" s="33" t="s">
        <v>99</v>
      </c>
      <c r="G161" s="33" t="s">
        <v>99</v>
      </c>
      <c r="H161" s="33" t="s">
        <v>99</v>
      </c>
      <c r="I161" s="33" t="s">
        <v>99</v>
      </c>
      <c r="J161" s="33" t="s">
        <v>99</v>
      </c>
      <c r="K161" s="33" t="s">
        <v>99</v>
      </c>
      <c r="L161" s="33" t="s">
        <v>99</v>
      </c>
      <c r="M161" s="33" t="s">
        <v>99</v>
      </c>
      <c r="N161" s="33" t="s">
        <v>99</v>
      </c>
      <c r="O161" s="33" t="s">
        <v>99</v>
      </c>
      <c r="P161" s="33" t="s">
        <v>99</v>
      </c>
      <c r="Q161" s="33" t="s">
        <v>99</v>
      </c>
      <c r="R161" s="33" t="s">
        <v>99</v>
      </c>
      <c r="S161" s="33" t="s">
        <v>99</v>
      </c>
      <c r="T161" s="33" t="s">
        <v>99</v>
      </c>
      <c r="U161" s="33" t="s">
        <v>99</v>
      </c>
      <c r="V161" s="6">
        <v>687</v>
      </c>
      <c r="W161" s="6"/>
      <c r="X161" s="35">
        <f t="shared" si="32"/>
        <v>279</v>
      </c>
      <c r="Y161" s="35">
        <v>949</v>
      </c>
      <c r="Z161" s="35"/>
      <c r="AA161" s="35">
        <f t="shared" si="33"/>
        <v>262</v>
      </c>
      <c r="AB161" s="6">
        <v>1212</v>
      </c>
      <c r="AC161" s="6"/>
      <c r="AD161" s="35">
        <f t="shared" si="34"/>
        <v>263</v>
      </c>
      <c r="AE161" s="6">
        <v>1476</v>
      </c>
      <c r="AF161" s="6"/>
      <c r="AG161" s="34">
        <f t="shared" si="35"/>
        <v>264</v>
      </c>
      <c r="AH161" s="35">
        <v>197</v>
      </c>
      <c r="AI161" s="35">
        <v>1500</v>
      </c>
      <c r="AJ161" s="35">
        <f t="shared" si="36"/>
        <v>221</v>
      </c>
      <c r="AK161" s="6">
        <v>443</v>
      </c>
      <c r="AL161" s="6"/>
      <c r="AM161" s="35">
        <f t="shared" si="37"/>
        <v>246</v>
      </c>
      <c r="AN161" s="6"/>
      <c r="AO161" s="6"/>
      <c r="AP161" s="35"/>
      <c r="AQ161" s="6">
        <v>708</v>
      </c>
      <c r="AR161" s="6"/>
      <c r="AS161" s="35">
        <f t="shared" si="38"/>
        <v>265</v>
      </c>
      <c r="AT161" s="6">
        <v>968</v>
      </c>
      <c r="AU161" s="6"/>
      <c r="AV161" s="35">
        <f t="shared" si="48"/>
        <v>260</v>
      </c>
      <c r="AW161" s="6">
        <v>1232</v>
      </c>
      <c r="AX161" s="6"/>
      <c r="AY161" s="6">
        <f t="shared" si="40"/>
        <v>264</v>
      </c>
      <c r="AZ161" s="6">
        <v>1299</v>
      </c>
      <c r="BA161" s="35"/>
      <c r="BB161" s="6">
        <f t="shared" si="41"/>
        <v>67</v>
      </c>
      <c r="BC161" s="6"/>
      <c r="BD161" s="6"/>
      <c r="BE161" s="6"/>
      <c r="BF161" s="6"/>
      <c r="BG161" s="6"/>
      <c r="BH161" s="35"/>
      <c r="BI161" s="6"/>
      <c r="BJ161" s="6"/>
      <c r="BK161" s="6"/>
      <c r="BL161" s="6"/>
      <c r="BM161" s="6"/>
      <c r="BN161" s="35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>
        <v>68</v>
      </c>
      <c r="CH161" s="6">
        <v>1500</v>
      </c>
      <c r="CI161" s="6">
        <f t="shared" si="42"/>
        <v>269</v>
      </c>
      <c r="CJ161" s="6">
        <v>331</v>
      </c>
      <c r="CK161" s="6"/>
      <c r="CL161" s="6">
        <f t="shared" si="43"/>
        <v>263</v>
      </c>
      <c r="CM161" s="6">
        <v>598</v>
      </c>
      <c r="CN161" s="6"/>
      <c r="CO161" s="6">
        <f t="shared" si="44"/>
        <v>267</v>
      </c>
      <c r="CP161" s="6">
        <v>864</v>
      </c>
      <c r="CQ161" s="6"/>
      <c r="CR161" s="6">
        <f t="shared" si="45"/>
        <v>266</v>
      </c>
      <c r="CS161" s="6">
        <v>1126</v>
      </c>
      <c r="CT161" s="6"/>
      <c r="CU161" s="6">
        <f t="shared" si="46"/>
        <v>262</v>
      </c>
      <c r="CV161" s="6">
        <v>1367</v>
      </c>
      <c r="CW161" s="6"/>
      <c r="CX161" s="6">
        <f t="shared" si="47"/>
        <v>241</v>
      </c>
    </row>
    <row r="162" spans="1:102">
      <c r="A162" s="6">
        <v>158</v>
      </c>
      <c r="B162" s="6">
        <v>1067</v>
      </c>
      <c r="C162" s="6"/>
      <c r="D162" s="6">
        <v>210</v>
      </c>
      <c r="E162" s="33" t="s">
        <v>124</v>
      </c>
      <c r="F162" s="33" t="s">
        <v>124</v>
      </c>
      <c r="G162" s="33" t="s">
        <v>124</v>
      </c>
      <c r="H162" s="33" t="s">
        <v>124</v>
      </c>
      <c r="I162" s="33" t="s">
        <v>124</v>
      </c>
      <c r="J162" s="33" t="s">
        <v>124</v>
      </c>
      <c r="K162" s="33" t="s">
        <v>124</v>
      </c>
      <c r="L162" s="33" t="s">
        <v>124</v>
      </c>
      <c r="M162" s="33" t="s">
        <v>124</v>
      </c>
      <c r="N162" s="33" t="s">
        <v>124</v>
      </c>
      <c r="O162" s="33" t="s">
        <v>124</v>
      </c>
      <c r="P162" s="33" t="s">
        <v>124</v>
      </c>
      <c r="Q162" s="148" t="s">
        <v>124</v>
      </c>
      <c r="R162" s="33" t="s">
        <v>124</v>
      </c>
      <c r="S162" s="33" t="s">
        <v>124</v>
      </c>
      <c r="T162" s="33" t="s">
        <v>124</v>
      </c>
      <c r="U162" s="33" t="s">
        <v>124</v>
      </c>
      <c r="V162" s="6">
        <v>1315</v>
      </c>
      <c r="W162" s="6"/>
      <c r="X162" s="35">
        <f t="shared" si="32"/>
        <v>248</v>
      </c>
      <c r="Y162" s="35">
        <v>1542</v>
      </c>
      <c r="Z162" s="35"/>
      <c r="AA162" s="35">
        <f t="shared" si="33"/>
        <v>227</v>
      </c>
      <c r="AB162" s="6">
        <v>1775</v>
      </c>
      <c r="AC162" s="6"/>
      <c r="AD162" s="35">
        <f t="shared" si="34"/>
        <v>233</v>
      </c>
      <c r="AE162" s="6">
        <v>8</v>
      </c>
      <c r="AF162" s="6">
        <v>2000</v>
      </c>
      <c r="AG162" s="34">
        <f t="shared" si="35"/>
        <v>233</v>
      </c>
      <c r="AH162" s="35">
        <v>223</v>
      </c>
      <c r="AI162" s="35"/>
      <c r="AJ162" s="35">
        <f t="shared" si="36"/>
        <v>215</v>
      </c>
      <c r="AK162" s="6">
        <v>441</v>
      </c>
      <c r="AL162" s="6"/>
      <c r="AM162" s="35">
        <f t="shared" si="37"/>
        <v>218</v>
      </c>
      <c r="AN162" s="6"/>
      <c r="AO162" s="6"/>
      <c r="AP162" s="35"/>
      <c r="AQ162" s="35">
        <v>676</v>
      </c>
      <c r="AR162" s="35"/>
      <c r="AS162" s="35">
        <f t="shared" si="38"/>
        <v>235</v>
      </c>
      <c r="AT162" s="6">
        <v>908</v>
      </c>
      <c r="AU162" s="6"/>
      <c r="AV162" s="35">
        <f t="shared" si="48"/>
        <v>232</v>
      </c>
      <c r="AW162" s="6">
        <v>1139</v>
      </c>
      <c r="AX162" s="6"/>
      <c r="AY162" s="6">
        <f t="shared" si="40"/>
        <v>231</v>
      </c>
      <c r="AZ162" s="6">
        <v>1194</v>
      </c>
      <c r="BA162" s="6"/>
      <c r="BB162" s="6">
        <f t="shared" si="41"/>
        <v>55</v>
      </c>
      <c r="BC162" s="6"/>
      <c r="BD162" s="6"/>
      <c r="BE162" s="6"/>
      <c r="BF162" s="6"/>
      <c r="BG162" s="6"/>
      <c r="BH162" s="35"/>
      <c r="BI162" s="6"/>
      <c r="BJ162" s="6"/>
      <c r="BK162" s="6"/>
      <c r="BL162" s="6"/>
      <c r="BM162" s="6"/>
      <c r="BN162" s="35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>
        <v>1429</v>
      </c>
      <c r="CH162" s="6"/>
      <c r="CI162" s="6">
        <f t="shared" si="42"/>
        <v>235</v>
      </c>
      <c r="CJ162" s="6">
        <v>172</v>
      </c>
      <c r="CK162" s="6">
        <v>1477</v>
      </c>
      <c r="CL162" s="6">
        <f t="shared" si="43"/>
        <v>220</v>
      </c>
      <c r="CM162" s="6">
        <v>401</v>
      </c>
      <c r="CN162" s="6"/>
      <c r="CO162" s="6">
        <f t="shared" si="44"/>
        <v>229</v>
      </c>
      <c r="CP162" s="6">
        <v>634</v>
      </c>
      <c r="CQ162" s="6"/>
      <c r="CR162" s="6">
        <f t="shared" si="45"/>
        <v>233</v>
      </c>
      <c r="CS162" s="6">
        <v>179</v>
      </c>
      <c r="CT162" s="6">
        <v>683</v>
      </c>
      <c r="CU162" s="6">
        <f t="shared" si="46"/>
        <v>228</v>
      </c>
      <c r="CV162" s="6">
        <v>390</v>
      </c>
      <c r="CW162" s="6"/>
      <c r="CX162" s="6">
        <f t="shared" si="47"/>
        <v>211</v>
      </c>
    </row>
    <row r="163" spans="1:102">
      <c r="A163" s="6">
        <v>159</v>
      </c>
      <c r="B163" s="6">
        <v>1090</v>
      </c>
      <c r="C163" s="6"/>
      <c r="D163" s="6">
        <v>206</v>
      </c>
      <c r="E163" s="33" t="s">
        <v>124</v>
      </c>
      <c r="F163" s="33" t="s">
        <v>124</v>
      </c>
      <c r="G163" s="33" t="s">
        <v>124</v>
      </c>
      <c r="H163" s="33" t="s">
        <v>124</v>
      </c>
      <c r="I163" s="33" t="s">
        <v>124</v>
      </c>
      <c r="J163" s="33" t="s">
        <v>124</v>
      </c>
      <c r="K163" s="33" t="s">
        <v>124</v>
      </c>
      <c r="L163" s="33" t="s">
        <v>124</v>
      </c>
      <c r="M163" s="33" t="s">
        <v>124</v>
      </c>
      <c r="N163" s="148" t="s">
        <v>124</v>
      </c>
      <c r="O163" s="33" t="s">
        <v>124</v>
      </c>
      <c r="P163" s="33" t="s">
        <v>124</v>
      </c>
      <c r="Q163" s="33" t="s">
        <v>124</v>
      </c>
      <c r="R163" s="33" t="s">
        <v>124</v>
      </c>
      <c r="S163" s="33" t="s">
        <v>124</v>
      </c>
      <c r="T163" s="33" t="s">
        <v>124</v>
      </c>
      <c r="U163" s="33" t="s">
        <v>124</v>
      </c>
      <c r="V163" s="35">
        <v>1337</v>
      </c>
      <c r="W163" s="35"/>
      <c r="X163" s="35">
        <f t="shared" si="32"/>
        <v>247</v>
      </c>
      <c r="Y163" s="35">
        <v>1567</v>
      </c>
      <c r="Z163" s="35"/>
      <c r="AA163" s="35">
        <f t="shared" si="33"/>
        <v>230</v>
      </c>
      <c r="AB163" s="6">
        <v>1797</v>
      </c>
      <c r="AC163" s="6"/>
      <c r="AD163" s="35">
        <f t="shared" si="34"/>
        <v>230</v>
      </c>
      <c r="AE163" s="6">
        <v>26</v>
      </c>
      <c r="AF163" s="6">
        <v>2000</v>
      </c>
      <c r="AG163" s="34">
        <f t="shared" si="35"/>
        <v>229</v>
      </c>
      <c r="AH163" s="35">
        <v>220</v>
      </c>
      <c r="AI163" s="35"/>
      <c r="AJ163" s="35">
        <f t="shared" si="36"/>
        <v>194</v>
      </c>
      <c r="AK163" s="6">
        <v>431</v>
      </c>
      <c r="AL163" s="6"/>
      <c r="AM163" s="35">
        <f t="shared" si="37"/>
        <v>211</v>
      </c>
      <c r="AN163" s="6"/>
      <c r="AO163" s="6"/>
      <c r="AP163" s="35"/>
      <c r="AQ163" s="6">
        <v>659</v>
      </c>
      <c r="AR163" s="6"/>
      <c r="AS163" s="35">
        <f t="shared" si="38"/>
        <v>228</v>
      </c>
      <c r="AT163" s="6">
        <v>0</v>
      </c>
      <c r="AU163" s="6">
        <v>757</v>
      </c>
      <c r="AV163" s="35">
        <f t="shared" si="48"/>
        <v>98</v>
      </c>
      <c r="AW163" s="6">
        <v>221</v>
      </c>
      <c r="AX163" s="6"/>
      <c r="AY163" s="6">
        <f t="shared" si="40"/>
        <v>221</v>
      </c>
      <c r="AZ163" s="6">
        <v>282</v>
      </c>
      <c r="BA163" s="35"/>
      <c r="BB163" s="6">
        <f t="shared" si="41"/>
        <v>61</v>
      </c>
      <c r="BC163" s="6"/>
      <c r="BD163" s="6"/>
      <c r="BE163" s="6"/>
      <c r="BF163" s="6"/>
      <c r="BG163" s="6"/>
      <c r="BH163" s="35"/>
      <c r="BI163" s="6"/>
      <c r="BJ163" s="6"/>
      <c r="BK163" s="6"/>
      <c r="BL163" s="6"/>
      <c r="BM163" s="6"/>
      <c r="BN163" s="35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>
        <v>515</v>
      </c>
      <c r="CH163" s="6"/>
      <c r="CI163" s="6">
        <f t="shared" si="42"/>
        <v>233</v>
      </c>
      <c r="CJ163" s="6">
        <v>746</v>
      </c>
      <c r="CK163" s="6"/>
      <c r="CL163" s="6">
        <f t="shared" si="43"/>
        <v>231</v>
      </c>
      <c r="CM163" s="6">
        <v>980</v>
      </c>
      <c r="CN163" s="6"/>
      <c r="CO163" s="6">
        <f t="shared" si="44"/>
        <v>234</v>
      </c>
      <c r="CP163" s="6">
        <v>1213</v>
      </c>
      <c r="CQ163" s="6"/>
      <c r="CR163" s="6">
        <f t="shared" si="45"/>
        <v>233</v>
      </c>
      <c r="CS163" s="6">
        <v>1442</v>
      </c>
      <c r="CT163" s="6"/>
      <c r="CU163" s="6">
        <f t="shared" si="46"/>
        <v>229</v>
      </c>
      <c r="CV163" s="6">
        <v>1652</v>
      </c>
      <c r="CW163" s="6"/>
      <c r="CX163" s="6">
        <f t="shared" si="47"/>
        <v>210</v>
      </c>
    </row>
    <row r="164" spans="1:102">
      <c r="A164" s="6">
        <v>160</v>
      </c>
      <c r="B164" s="6">
        <v>1262</v>
      </c>
      <c r="C164" s="6"/>
      <c r="D164" s="6">
        <v>234</v>
      </c>
      <c r="E164" s="33" t="s">
        <v>99</v>
      </c>
      <c r="F164" s="33" t="s">
        <v>99</v>
      </c>
      <c r="G164" s="33" t="s">
        <v>99</v>
      </c>
      <c r="H164" s="33" t="s">
        <v>99</v>
      </c>
      <c r="I164" s="33" t="s">
        <v>99</v>
      </c>
      <c r="J164" s="33" t="s">
        <v>99</v>
      </c>
      <c r="K164" s="33" t="s">
        <v>99</v>
      </c>
      <c r="L164" s="33" t="s">
        <v>99</v>
      </c>
      <c r="M164" s="33" t="s">
        <v>99</v>
      </c>
      <c r="N164" s="33" t="s">
        <v>99</v>
      </c>
      <c r="O164" s="33" t="s">
        <v>99</v>
      </c>
      <c r="P164" s="33" t="s">
        <v>99</v>
      </c>
      <c r="Q164" s="33" t="s">
        <v>99</v>
      </c>
      <c r="R164" s="33" t="s">
        <v>99</v>
      </c>
      <c r="S164" s="33" t="s">
        <v>99</v>
      </c>
      <c r="T164" s="33" t="s">
        <v>99</v>
      </c>
      <c r="U164" s="33" t="s">
        <v>99</v>
      </c>
      <c r="V164" s="6">
        <v>40</v>
      </c>
      <c r="W164" s="6">
        <v>1500</v>
      </c>
      <c r="X164" s="35">
        <f t="shared" si="32"/>
        <v>278</v>
      </c>
      <c r="Y164" s="35">
        <v>302</v>
      </c>
      <c r="Z164" s="35"/>
      <c r="AA164" s="35">
        <f t="shared" si="33"/>
        <v>262</v>
      </c>
      <c r="AB164" s="6">
        <v>554</v>
      </c>
      <c r="AC164" s="6"/>
      <c r="AD164" s="35">
        <f t="shared" si="34"/>
        <v>252</v>
      </c>
      <c r="AE164" s="6">
        <v>815</v>
      </c>
      <c r="AF164" s="6"/>
      <c r="AG164" s="34">
        <f t="shared" si="35"/>
        <v>261</v>
      </c>
      <c r="AH164" s="35">
        <v>1054</v>
      </c>
      <c r="AI164" s="35"/>
      <c r="AJ164" s="35">
        <f t="shared" si="36"/>
        <v>239</v>
      </c>
      <c r="AK164" s="6">
        <v>1297</v>
      </c>
      <c r="AL164" s="6"/>
      <c r="AM164" s="35">
        <f t="shared" si="37"/>
        <v>243</v>
      </c>
      <c r="AN164" s="6"/>
      <c r="AO164" s="6"/>
      <c r="AP164" s="35"/>
      <c r="AQ164" s="35">
        <v>61</v>
      </c>
      <c r="AR164" s="35">
        <v>1500</v>
      </c>
      <c r="AS164" s="35">
        <f t="shared" si="38"/>
        <v>264</v>
      </c>
      <c r="AT164" s="6">
        <v>321</v>
      </c>
      <c r="AU164" s="6"/>
      <c r="AV164" s="35">
        <f t="shared" si="48"/>
        <v>260</v>
      </c>
      <c r="AW164" s="6">
        <v>583</v>
      </c>
      <c r="AX164" s="6"/>
      <c r="AY164" s="6">
        <f t="shared" si="40"/>
        <v>262</v>
      </c>
      <c r="AZ164" s="6">
        <v>653</v>
      </c>
      <c r="BA164" s="6"/>
      <c r="BB164" s="6">
        <f t="shared" si="41"/>
        <v>70</v>
      </c>
      <c r="BC164" s="6"/>
      <c r="BD164" s="6"/>
      <c r="BE164" s="6"/>
      <c r="BF164" s="6"/>
      <c r="BG164" s="6"/>
      <c r="BH164" s="35"/>
      <c r="BI164" s="6"/>
      <c r="BJ164" s="6"/>
      <c r="BK164" s="6"/>
      <c r="BL164" s="6"/>
      <c r="BM164" s="6"/>
      <c r="BN164" s="35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>
        <v>918</v>
      </c>
      <c r="CH164" s="6"/>
      <c r="CI164" s="6">
        <f t="shared" si="42"/>
        <v>265</v>
      </c>
      <c r="CJ164" s="6">
        <v>1179</v>
      </c>
      <c r="CK164" s="6"/>
      <c r="CL164" s="6">
        <f t="shared" si="43"/>
        <v>261</v>
      </c>
      <c r="CM164" s="6">
        <v>1443</v>
      </c>
      <c r="CN164" s="6"/>
      <c r="CO164" s="6">
        <f t="shared" si="44"/>
        <v>264</v>
      </c>
      <c r="CP164" s="6">
        <v>204</v>
      </c>
      <c r="CQ164" s="6">
        <v>1500</v>
      </c>
      <c r="CR164" s="6">
        <f t="shared" si="45"/>
        <v>261</v>
      </c>
      <c r="CS164" s="6">
        <v>465</v>
      </c>
      <c r="CT164" s="6"/>
      <c r="CU164" s="6">
        <f t="shared" si="46"/>
        <v>261</v>
      </c>
      <c r="CV164" s="6">
        <v>702</v>
      </c>
      <c r="CW164" s="6"/>
      <c r="CX164" s="6">
        <f t="shared" si="47"/>
        <v>237</v>
      </c>
    </row>
    <row r="165" spans="1:102">
      <c r="A165" s="6">
        <v>161</v>
      </c>
      <c r="B165" s="6">
        <v>12</v>
      </c>
      <c r="C165" s="6"/>
      <c r="D165" s="6">
        <v>0</v>
      </c>
      <c r="E165" s="33" t="s">
        <v>68</v>
      </c>
      <c r="F165" s="33" t="s">
        <v>68</v>
      </c>
      <c r="G165" s="33" t="s">
        <v>68</v>
      </c>
      <c r="H165" s="33" t="s">
        <v>68</v>
      </c>
      <c r="I165" s="33" t="s">
        <v>68</v>
      </c>
      <c r="J165" s="33" t="s">
        <v>68</v>
      </c>
      <c r="K165" s="33" t="s">
        <v>68</v>
      </c>
      <c r="L165" s="33" t="s">
        <v>68</v>
      </c>
      <c r="M165" s="33" t="s">
        <v>68</v>
      </c>
      <c r="N165" s="33" t="s">
        <v>68</v>
      </c>
      <c r="O165" s="33" t="s">
        <v>68</v>
      </c>
      <c r="P165" s="33" t="s">
        <v>68</v>
      </c>
      <c r="Q165" s="33" t="s">
        <v>68</v>
      </c>
      <c r="R165" s="33" t="s">
        <v>68</v>
      </c>
      <c r="S165" s="33" t="s">
        <v>68</v>
      </c>
      <c r="T165" s="33" t="s">
        <v>68</v>
      </c>
      <c r="U165" s="33" t="s">
        <v>68</v>
      </c>
      <c r="V165" s="6">
        <v>12</v>
      </c>
      <c r="W165" s="6"/>
      <c r="X165" s="35">
        <f t="shared" si="32"/>
        <v>0</v>
      </c>
      <c r="Y165" s="35">
        <v>12</v>
      </c>
      <c r="Z165" s="35"/>
      <c r="AA165" s="35">
        <f t="shared" si="33"/>
        <v>0</v>
      </c>
      <c r="AB165" s="6">
        <v>12</v>
      </c>
      <c r="AC165" s="6"/>
      <c r="AD165" s="35">
        <f t="shared" si="34"/>
        <v>0</v>
      </c>
      <c r="AE165" s="6">
        <v>12</v>
      </c>
      <c r="AF165" s="6"/>
      <c r="AG165" s="34">
        <f t="shared" si="35"/>
        <v>0</v>
      </c>
      <c r="AH165" s="35">
        <v>12</v>
      </c>
      <c r="AI165" s="35"/>
      <c r="AJ165" s="35">
        <f t="shared" si="36"/>
        <v>0</v>
      </c>
      <c r="AK165" s="6">
        <v>12</v>
      </c>
      <c r="AL165" s="6"/>
      <c r="AM165" s="35">
        <f t="shared" si="37"/>
        <v>0</v>
      </c>
      <c r="AN165" s="6"/>
      <c r="AO165" s="6"/>
      <c r="AP165" s="35"/>
      <c r="AQ165" s="35">
        <v>12</v>
      </c>
      <c r="AR165" s="35"/>
      <c r="AS165" s="35">
        <f t="shared" si="38"/>
        <v>0</v>
      </c>
      <c r="AT165" s="6">
        <v>12</v>
      </c>
      <c r="AU165" s="6"/>
      <c r="AV165" s="35">
        <f t="shared" si="48"/>
        <v>0</v>
      </c>
      <c r="AW165" s="6">
        <v>12</v>
      </c>
      <c r="AX165" s="6"/>
      <c r="AY165" s="6">
        <f t="shared" si="40"/>
        <v>0</v>
      </c>
      <c r="AZ165" s="6">
        <v>12</v>
      </c>
      <c r="BA165" s="6"/>
      <c r="BB165" s="6">
        <f t="shared" si="41"/>
        <v>0</v>
      </c>
      <c r="BC165" s="6"/>
      <c r="BD165" s="6"/>
      <c r="BE165" s="6"/>
      <c r="BF165" s="6"/>
      <c r="BG165" s="6"/>
      <c r="BH165" s="35"/>
      <c r="BI165" s="6"/>
      <c r="BJ165" s="6"/>
      <c r="BK165" s="6"/>
      <c r="BL165" s="6"/>
      <c r="BM165" s="6"/>
      <c r="BN165" s="35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>
        <v>12</v>
      </c>
      <c r="CH165" s="6"/>
      <c r="CI165" s="6">
        <f t="shared" si="42"/>
        <v>0</v>
      </c>
      <c r="CJ165" s="6">
        <v>12</v>
      </c>
      <c r="CK165" s="6"/>
      <c r="CL165" s="6">
        <f t="shared" si="43"/>
        <v>0</v>
      </c>
      <c r="CM165" s="6">
        <v>12</v>
      </c>
      <c r="CN165" s="6"/>
      <c r="CO165" s="6">
        <f t="shared" si="44"/>
        <v>0</v>
      </c>
      <c r="CP165" s="6">
        <v>12</v>
      </c>
      <c r="CQ165" s="6"/>
      <c r="CR165" s="6">
        <f t="shared" si="45"/>
        <v>0</v>
      </c>
      <c r="CS165" s="6">
        <v>12</v>
      </c>
      <c r="CT165" s="6"/>
      <c r="CU165" s="6">
        <f t="shared" si="46"/>
        <v>0</v>
      </c>
      <c r="CV165" s="6">
        <v>12</v>
      </c>
      <c r="CW165" s="6"/>
      <c r="CX165" s="6">
        <f t="shared" si="47"/>
        <v>0</v>
      </c>
    </row>
    <row r="166" spans="1:102">
      <c r="A166" s="7">
        <v>162</v>
      </c>
      <c r="B166" s="6">
        <v>240</v>
      </c>
      <c r="C166" s="6"/>
      <c r="D166" s="6">
        <v>236</v>
      </c>
      <c r="E166" s="33" t="s">
        <v>99</v>
      </c>
      <c r="F166" s="33" t="s">
        <v>99</v>
      </c>
      <c r="G166" s="33" t="s">
        <v>99</v>
      </c>
      <c r="H166" s="33" t="s">
        <v>99</v>
      </c>
      <c r="I166" s="33" t="s">
        <v>99</v>
      </c>
      <c r="J166" s="33" t="s">
        <v>99</v>
      </c>
      <c r="K166" s="33" t="s">
        <v>99</v>
      </c>
      <c r="L166" s="33" t="s">
        <v>99</v>
      </c>
      <c r="M166" s="33" t="s">
        <v>99</v>
      </c>
      <c r="N166" s="33" t="s">
        <v>99</v>
      </c>
      <c r="O166" s="33" t="s">
        <v>99</v>
      </c>
      <c r="P166" s="33" t="s">
        <v>99</v>
      </c>
      <c r="Q166" s="33" t="s">
        <v>99</v>
      </c>
      <c r="R166" s="33" t="s">
        <v>99</v>
      </c>
      <c r="S166" s="33" t="s">
        <v>99</v>
      </c>
      <c r="T166" s="33" t="s">
        <v>99</v>
      </c>
      <c r="U166" s="33" t="s">
        <v>99</v>
      </c>
      <c r="V166" s="35">
        <v>519</v>
      </c>
      <c r="W166" s="35"/>
      <c r="X166" s="35">
        <f t="shared" si="32"/>
        <v>279</v>
      </c>
      <c r="Y166" s="35">
        <v>775</v>
      </c>
      <c r="Z166" s="35"/>
      <c r="AA166" s="35">
        <f t="shared" si="33"/>
        <v>256</v>
      </c>
      <c r="AB166" s="6">
        <v>37</v>
      </c>
      <c r="AC166" s="6">
        <v>997</v>
      </c>
      <c r="AD166" s="35">
        <f t="shared" si="34"/>
        <v>259</v>
      </c>
      <c r="AE166" s="6">
        <v>298</v>
      </c>
      <c r="AF166" s="6"/>
      <c r="AG166" s="34">
        <f t="shared" si="35"/>
        <v>261</v>
      </c>
      <c r="AH166" s="35">
        <v>537</v>
      </c>
      <c r="AI166" s="35"/>
      <c r="AJ166" s="35">
        <f t="shared" si="36"/>
        <v>239</v>
      </c>
      <c r="AK166" s="6">
        <v>195</v>
      </c>
      <c r="AL166" s="6">
        <v>580</v>
      </c>
      <c r="AM166" s="35">
        <f t="shared" si="37"/>
        <v>238</v>
      </c>
      <c r="AN166" s="6"/>
      <c r="AO166" s="6"/>
      <c r="AP166" s="35"/>
      <c r="AQ166" s="6">
        <v>460</v>
      </c>
      <c r="AR166" s="6"/>
      <c r="AS166" s="35">
        <f t="shared" si="38"/>
        <v>265</v>
      </c>
      <c r="AT166" s="6">
        <v>722</v>
      </c>
      <c r="AU166" s="6"/>
      <c r="AV166" s="35">
        <f t="shared" si="48"/>
        <v>262</v>
      </c>
      <c r="AW166" s="6">
        <v>982</v>
      </c>
      <c r="AX166" s="6"/>
      <c r="AY166" s="6">
        <f t="shared" si="40"/>
        <v>260</v>
      </c>
      <c r="AZ166" s="6">
        <v>1038</v>
      </c>
      <c r="BA166" s="35"/>
      <c r="BB166" s="6">
        <f t="shared" si="41"/>
        <v>56</v>
      </c>
      <c r="BC166" s="6"/>
      <c r="BD166" s="6"/>
      <c r="BE166" s="6"/>
      <c r="BF166" s="6"/>
      <c r="BG166" s="6"/>
      <c r="BH166" s="35"/>
      <c r="BI166" s="6"/>
      <c r="BJ166" s="6"/>
      <c r="BK166" s="6"/>
      <c r="BL166" s="6"/>
      <c r="BM166" s="6"/>
      <c r="BN166" s="35"/>
      <c r="BO166" s="6"/>
      <c r="BP166" s="35"/>
      <c r="BQ166" s="6"/>
      <c r="BR166" s="6"/>
      <c r="BS166" s="6"/>
      <c r="BT166" s="35"/>
      <c r="BU166" s="6"/>
      <c r="BV166" s="35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>
        <v>1299</v>
      </c>
      <c r="CH166" s="6"/>
      <c r="CI166" s="6">
        <f t="shared" si="42"/>
        <v>261</v>
      </c>
      <c r="CJ166" s="6">
        <v>60</v>
      </c>
      <c r="CK166" s="6">
        <v>1500</v>
      </c>
      <c r="CL166" s="6">
        <f t="shared" si="43"/>
        <v>261</v>
      </c>
      <c r="CM166" s="6">
        <v>322</v>
      </c>
      <c r="CN166" s="6"/>
      <c r="CO166" s="6">
        <f t="shared" si="44"/>
        <v>262</v>
      </c>
      <c r="CP166" s="6">
        <v>584</v>
      </c>
      <c r="CQ166" s="6"/>
      <c r="CR166" s="6">
        <f t="shared" si="45"/>
        <v>262</v>
      </c>
      <c r="CS166" s="6">
        <v>842</v>
      </c>
      <c r="CT166" s="6"/>
      <c r="CU166" s="6">
        <f t="shared" si="46"/>
        <v>258</v>
      </c>
      <c r="CV166" s="6">
        <v>1079</v>
      </c>
      <c r="CW166" s="6"/>
      <c r="CX166" s="6">
        <f t="shared" si="47"/>
        <v>237</v>
      </c>
    </row>
    <row r="167" spans="1:102">
      <c r="A167" s="6">
        <v>163</v>
      </c>
      <c r="B167" s="6">
        <v>52</v>
      </c>
      <c r="C167" s="6">
        <v>600</v>
      </c>
      <c r="D167" s="6">
        <v>345</v>
      </c>
      <c r="E167" s="33" t="s">
        <v>138</v>
      </c>
      <c r="F167" s="33" t="s">
        <v>138</v>
      </c>
      <c r="G167" s="33" t="s">
        <v>138</v>
      </c>
      <c r="H167" s="33" t="s">
        <v>138</v>
      </c>
      <c r="I167" s="33" t="s">
        <v>138</v>
      </c>
      <c r="J167" s="33" t="s">
        <v>138</v>
      </c>
      <c r="K167" s="148" t="s">
        <v>138</v>
      </c>
      <c r="L167" s="33" t="s">
        <v>138</v>
      </c>
      <c r="M167" s="33" t="s">
        <v>138</v>
      </c>
      <c r="N167" s="33" t="s">
        <v>138</v>
      </c>
      <c r="O167" s="33" t="s">
        <v>138</v>
      </c>
      <c r="P167" s="33" t="s">
        <v>138</v>
      </c>
      <c r="Q167" s="33" t="s">
        <v>138</v>
      </c>
      <c r="R167" s="33" t="s">
        <v>138</v>
      </c>
      <c r="S167" s="33" t="s">
        <v>138</v>
      </c>
      <c r="T167" s="33" t="s">
        <v>138</v>
      </c>
      <c r="U167" s="33" t="s">
        <v>138</v>
      </c>
      <c r="V167" s="35">
        <v>170</v>
      </c>
      <c r="W167" s="35">
        <v>293</v>
      </c>
      <c r="X167" s="35">
        <f t="shared" si="32"/>
        <v>411</v>
      </c>
      <c r="Y167" s="35">
        <v>561</v>
      </c>
      <c r="Z167" s="35"/>
      <c r="AA167" s="35">
        <f t="shared" si="33"/>
        <v>391</v>
      </c>
      <c r="AB167" s="6">
        <v>350</v>
      </c>
      <c r="AC167" s="6">
        <v>600</v>
      </c>
      <c r="AD167" s="35">
        <f t="shared" si="34"/>
        <v>389</v>
      </c>
      <c r="AE167" s="6">
        <v>142</v>
      </c>
      <c r="AF167" s="6">
        <v>600</v>
      </c>
      <c r="AG167" s="34">
        <f t="shared" si="35"/>
        <v>392</v>
      </c>
      <c r="AH167" s="35">
        <v>0</v>
      </c>
      <c r="AI167" s="35">
        <v>307</v>
      </c>
      <c r="AJ167" s="35">
        <f t="shared" si="36"/>
        <v>165</v>
      </c>
      <c r="AK167" s="6">
        <v>0</v>
      </c>
      <c r="AL167" s="6"/>
      <c r="AM167" s="35">
        <f t="shared" si="37"/>
        <v>0</v>
      </c>
      <c r="AN167" s="6"/>
      <c r="AO167" s="6"/>
      <c r="AP167" s="35"/>
      <c r="AQ167" s="35">
        <v>0</v>
      </c>
      <c r="AR167" s="35"/>
      <c r="AS167" s="35">
        <f t="shared" si="38"/>
        <v>0</v>
      </c>
      <c r="AT167" s="6">
        <v>0</v>
      </c>
      <c r="AU167" s="6"/>
      <c r="AV167" s="35">
        <f t="shared" si="48"/>
        <v>0</v>
      </c>
      <c r="AW167" s="6">
        <v>0</v>
      </c>
      <c r="AX167" s="6"/>
      <c r="AY167" s="6">
        <f t="shared" si="40"/>
        <v>0</v>
      </c>
      <c r="AZ167" s="6">
        <v>0</v>
      </c>
      <c r="BA167" s="6"/>
      <c r="BB167" s="6">
        <f t="shared" si="41"/>
        <v>0</v>
      </c>
      <c r="BC167" s="6"/>
      <c r="BD167" s="6"/>
      <c r="BE167" s="6"/>
      <c r="BF167" s="6"/>
      <c r="BG167" s="6"/>
      <c r="BH167" s="35"/>
      <c r="BI167" s="6"/>
      <c r="BJ167" s="6"/>
      <c r="BK167" s="6"/>
      <c r="BL167" s="6"/>
      <c r="BM167" s="6"/>
      <c r="BN167" s="35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>
        <v>0</v>
      </c>
      <c r="CH167" s="6"/>
      <c r="CI167" s="6">
        <f t="shared" si="42"/>
        <v>0</v>
      </c>
      <c r="CJ167" s="6">
        <v>0</v>
      </c>
      <c r="CK167" s="6"/>
      <c r="CL167" s="6">
        <f t="shared" si="43"/>
        <v>0</v>
      </c>
      <c r="CM167" s="6">
        <v>0</v>
      </c>
      <c r="CN167" s="6"/>
      <c r="CO167" s="6">
        <f t="shared" si="44"/>
        <v>0</v>
      </c>
      <c r="CP167" s="6">
        <v>0</v>
      </c>
      <c r="CQ167" s="6"/>
      <c r="CR167" s="6">
        <f t="shared" si="45"/>
        <v>0</v>
      </c>
      <c r="CS167" s="6">
        <v>0</v>
      </c>
      <c r="CT167" s="6"/>
      <c r="CU167" s="6">
        <f t="shared" si="46"/>
        <v>0</v>
      </c>
      <c r="CV167" s="6">
        <v>0</v>
      </c>
      <c r="CW167" s="6"/>
      <c r="CX167" s="6">
        <f t="shared" si="47"/>
        <v>0</v>
      </c>
    </row>
    <row r="168" spans="1:102">
      <c r="A168" s="6">
        <v>164</v>
      </c>
      <c r="B168" s="6">
        <v>398</v>
      </c>
      <c r="C168" s="6"/>
      <c r="D168" s="6">
        <v>231</v>
      </c>
      <c r="E168" s="33" t="s">
        <v>99</v>
      </c>
      <c r="F168" s="33" t="s">
        <v>99</v>
      </c>
      <c r="G168" s="33" t="s">
        <v>99</v>
      </c>
      <c r="H168" s="33" t="s">
        <v>99</v>
      </c>
      <c r="I168" s="33" t="s">
        <v>99</v>
      </c>
      <c r="J168" s="33" t="s">
        <v>99</v>
      </c>
      <c r="K168" s="33" t="s">
        <v>99</v>
      </c>
      <c r="L168" s="33" t="s">
        <v>99</v>
      </c>
      <c r="M168" s="33" t="s">
        <v>99</v>
      </c>
      <c r="N168" s="33" t="s">
        <v>99</v>
      </c>
      <c r="O168" s="33" t="s">
        <v>99</v>
      </c>
      <c r="P168" s="33" t="s">
        <v>99</v>
      </c>
      <c r="Q168" s="33" t="s">
        <v>99</v>
      </c>
      <c r="R168" s="148" t="s">
        <v>99</v>
      </c>
      <c r="S168" s="33" t="s">
        <v>99</v>
      </c>
      <c r="T168" s="33" t="s">
        <v>99</v>
      </c>
      <c r="U168" s="33" t="s">
        <v>99</v>
      </c>
      <c r="V168" s="6">
        <v>680</v>
      </c>
      <c r="W168" s="6"/>
      <c r="X168" s="35">
        <f t="shared" si="32"/>
        <v>282</v>
      </c>
      <c r="Y168" s="35">
        <v>942</v>
      </c>
      <c r="Z168" s="35"/>
      <c r="AA168" s="35">
        <f t="shared" si="33"/>
        <v>262</v>
      </c>
      <c r="AB168" s="6">
        <v>1204</v>
      </c>
      <c r="AC168" s="6"/>
      <c r="AD168" s="35">
        <f t="shared" si="34"/>
        <v>262</v>
      </c>
      <c r="AE168" s="6">
        <v>1466</v>
      </c>
      <c r="AF168" s="6"/>
      <c r="AG168" s="34">
        <f t="shared" si="35"/>
        <v>262</v>
      </c>
      <c r="AH168" s="35">
        <v>209</v>
      </c>
      <c r="AI168" s="35">
        <v>1500</v>
      </c>
      <c r="AJ168" s="35">
        <f t="shared" si="36"/>
        <v>243</v>
      </c>
      <c r="AK168" s="6">
        <v>452</v>
      </c>
      <c r="AL168" s="6"/>
      <c r="AM168" s="35">
        <f t="shared" si="37"/>
        <v>243</v>
      </c>
      <c r="AN168" s="6"/>
      <c r="AO168" s="6"/>
      <c r="AP168" s="35"/>
      <c r="AQ168" s="35">
        <v>715</v>
      </c>
      <c r="AR168" s="35"/>
      <c r="AS168" s="35">
        <f t="shared" si="38"/>
        <v>263</v>
      </c>
      <c r="AT168" s="6">
        <v>977</v>
      </c>
      <c r="AU168" s="6"/>
      <c r="AV168" s="35">
        <f t="shared" si="48"/>
        <v>262</v>
      </c>
      <c r="AW168" s="6">
        <v>1238</v>
      </c>
      <c r="AX168" s="6"/>
      <c r="AY168" s="6">
        <f t="shared" si="40"/>
        <v>261</v>
      </c>
      <c r="AZ168" s="6">
        <v>1307</v>
      </c>
      <c r="BA168" s="6"/>
      <c r="BB168" s="6">
        <f t="shared" si="41"/>
        <v>69</v>
      </c>
      <c r="BC168" s="6"/>
      <c r="BD168" s="6"/>
      <c r="BE168" s="6"/>
      <c r="BF168" s="6"/>
      <c r="BG168" s="6"/>
      <c r="BH168" s="35"/>
      <c r="BI168" s="6"/>
      <c r="BJ168" s="6"/>
      <c r="BK168" s="6"/>
      <c r="BL168" s="6"/>
      <c r="BM168" s="6"/>
      <c r="BN168" s="35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>
        <v>73</v>
      </c>
      <c r="CH168" s="6">
        <v>1500</v>
      </c>
      <c r="CI168" s="6">
        <f t="shared" si="42"/>
        <v>266</v>
      </c>
      <c r="CJ168" s="6">
        <v>334</v>
      </c>
      <c r="CK168" s="6"/>
      <c r="CL168" s="6">
        <f t="shared" si="43"/>
        <v>261</v>
      </c>
      <c r="CM168" s="6">
        <v>179</v>
      </c>
      <c r="CN168" s="6">
        <v>411</v>
      </c>
      <c r="CO168" s="6">
        <f t="shared" si="44"/>
        <v>256</v>
      </c>
      <c r="CP168" s="6">
        <v>441</v>
      </c>
      <c r="CQ168" s="6"/>
      <c r="CR168" s="6">
        <f t="shared" si="45"/>
        <v>262</v>
      </c>
      <c r="CS168" s="6">
        <v>696</v>
      </c>
      <c r="CT168" s="6"/>
      <c r="CU168" s="6">
        <f t="shared" si="46"/>
        <v>255</v>
      </c>
      <c r="CV168" s="35">
        <v>930</v>
      </c>
      <c r="CW168" s="6"/>
      <c r="CX168" s="6">
        <f t="shared" si="47"/>
        <v>234</v>
      </c>
    </row>
    <row r="169" spans="1:102">
      <c r="A169" s="6">
        <v>165</v>
      </c>
      <c r="B169" s="6">
        <v>334</v>
      </c>
      <c r="C169" s="6">
        <v>388</v>
      </c>
      <c r="D169" s="6">
        <v>345</v>
      </c>
      <c r="E169" s="33" t="s">
        <v>138</v>
      </c>
      <c r="F169" s="33" t="s">
        <v>138</v>
      </c>
      <c r="G169" s="33" t="s">
        <v>138</v>
      </c>
      <c r="H169" s="33" t="s">
        <v>138</v>
      </c>
      <c r="I169" s="33" t="s">
        <v>138</v>
      </c>
      <c r="J169" s="148" t="s">
        <v>138</v>
      </c>
      <c r="K169" s="33" t="s">
        <v>138</v>
      </c>
      <c r="L169" s="33" t="s">
        <v>138</v>
      </c>
      <c r="M169" s="33" t="s">
        <v>138</v>
      </c>
      <c r="N169" s="33" t="s">
        <v>138</v>
      </c>
      <c r="O169" s="33" t="s">
        <v>138</v>
      </c>
      <c r="P169" s="33" t="s">
        <v>138</v>
      </c>
      <c r="Q169" s="33" t="s">
        <v>138</v>
      </c>
      <c r="R169" s="33" t="s">
        <v>138</v>
      </c>
      <c r="S169" s="33" t="s">
        <v>138</v>
      </c>
      <c r="T169" s="33" t="s">
        <v>138</v>
      </c>
      <c r="U169" s="33" t="s">
        <v>138</v>
      </c>
      <c r="V169" s="35">
        <v>131</v>
      </c>
      <c r="W169" s="35">
        <v>600</v>
      </c>
      <c r="X169" s="35">
        <f t="shared" si="32"/>
        <v>397</v>
      </c>
      <c r="Y169" s="35">
        <v>485</v>
      </c>
      <c r="Z169" s="35"/>
      <c r="AA169" s="35">
        <f t="shared" si="33"/>
        <v>354</v>
      </c>
      <c r="AB169" s="35">
        <v>271</v>
      </c>
      <c r="AC169" s="35">
        <v>600</v>
      </c>
      <c r="AD169" s="35">
        <f t="shared" si="34"/>
        <v>386</v>
      </c>
      <c r="AE169" s="6">
        <v>0</v>
      </c>
      <c r="AF169" s="35">
        <v>503</v>
      </c>
      <c r="AG169" s="34">
        <f t="shared" si="35"/>
        <v>232</v>
      </c>
      <c r="AH169" s="35">
        <v>287</v>
      </c>
      <c r="AI169" s="35"/>
      <c r="AJ169" s="35">
        <f t="shared" si="36"/>
        <v>287</v>
      </c>
      <c r="AK169" s="6">
        <v>0</v>
      </c>
      <c r="AL169" s="6">
        <v>312</v>
      </c>
      <c r="AM169" s="35">
        <f t="shared" si="37"/>
        <v>25</v>
      </c>
      <c r="AN169" s="6"/>
      <c r="AO169" s="6"/>
      <c r="AP169" s="35"/>
      <c r="AQ169" s="6">
        <v>0</v>
      </c>
      <c r="AR169" s="6"/>
      <c r="AS169" s="35">
        <f t="shared" si="38"/>
        <v>0</v>
      </c>
      <c r="AT169" s="6">
        <v>0</v>
      </c>
      <c r="AU169" s="6"/>
      <c r="AV169" s="35">
        <f t="shared" si="48"/>
        <v>0</v>
      </c>
      <c r="AW169" s="6">
        <v>0</v>
      </c>
      <c r="AX169" s="6"/>
      <c r="AY169" s="6">
        <f t="shared" si="40"/>
        <v>0</v>
      </c>
      <c r="AZ169" s="6">
        <v>0</v>
      </c>
      <c r="BA169" s="35"/>
      <c r="BB169" s="6">
        <f t="shared" si="41"/>
        <v>0</v>
      </c>
      <c r="BC169" s="6"/>
      <c r="BD169" s="6"/>
      <c r="BE169" s="6"/>
      <c r="BF169" s="6"/>
      <c r="BG169" s="6"/>
      <c r="BH169" s="35"/>
      <c r="BI169" s="6"/>
      <c r="BJ169" s="6"/>
      <c r="BK169" s="6"/>
      <c r="BL169" s="6"/>
      <c r="BM169" s="6"/>
      <c r="BN169" s="35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>
        <v>0</v>
      </c>
      <c r="CH169" s="6"/>
      <c r="CI169" s="6">
        <f t="shared" si="42"/>
        <v>0</v>
      </c>
      <c r="CJ169" s="6">
        <v>0</v>
      </c>
      <c r="CK169" s="6"/>
      <c r="CL169" s="6">
        <f t="shared" si="43"/>
        <v>0</v>
      </c>
      <c r="CM169" s="6">
        <v>0</v>
      </c>
      <c r="CN169" s="6"/>
      <c r="CO169" s="6">
        <f t="shared" si="44"/>
        <v>0</v>
      </c>
      <c r="CP169" s="6">
        <v>0</v>
      </c>
      <c r="CQ169" s="6"/>
      <c r="CR169" s="6">
        <f t="shared" si="45"/>
        <v>0</v>
      </c>
      <c r="CS169" s="6">
        <v>0</v>
      </c>
      <c r="CT169" s="6"/>
      <c r="CU169" s="6">
        <f t="shared" si="46"/>
        <v>0</v>
      </c>
      <c r="CV169" s="6">
        <v>0</v>
      </c>
      <c r="CW169" s="6"/>
      <c r="CX169" s="6">
        <f>CW169+CV169-CS169</f>
        <v>0</v>
      </c>
    </row>
    <row r="170" spans="1:102">
      <c r="A170" s="6">
        <v>166</v>
      </c>
      <c r="B170" s="6">
        <v>1342</v>
      </c>
      <c r="C170" s="6"/>
      <c r="D170" s="6">
        <v>238</v>
      </c>
      <c r="E170" s="33" t="s">
        <v>99</v>
      </c>
      <c r="F170" s="33" t="s">
        <v>99</v>
      </c>
      <c r="G170" s="33" t="s">
        <v>99</v>
      </c>
      <c r="H170" s="33" t="s">
        <v>99</v>
      </c>
      <c r="I170" s="33" t="s">
        <v>99</v>
      </c>
      <c r="J170" s="33" t="s">
        <v>99</v>
      </c>
      <c r="K170" s="33" t="s">
        <v>99</v>
      </c>
      <c r="L170" s="33" t="s">
        <v>99</v>
      </c>
      <c r="M170" s="33" t="s">
        <v>99</v>
      </c>
      <c r="N170" s="33" t="s">
        <v>99</v>
      </c>
      <c r="O170" s="33" t="s">
        <v>99</v>
      </c>
      <c r="P170" s="33" t="s">
        <v>99</v>
      </c>
      <c r="Q170" s="33" t="s">
        <v>99</v>
      </c>
      <c r="R170" s="148" t="s">
        <v>99</v>
      </c>
      <c r="S170" s="33" t="s">
        <v>99</v>
      </c>
      <c r="T170" s="33" t="s">
        <v>99</v>
      </c>
      <c r="U170" s="33" t="s">
        <v>99</v>
      </c>
      <c r="V170" s="6">
        <v>124</v>
      </c>
      <c r="W170" s="6">
        <v>1500</v>
      </c>
      <c r="X170" s="35">
        <f t="shared" si="32"/>
        <v>282</v>
      </c>
      <c r="Y170" s="35">
        <v>354</v>
      </c>
      <c r="Z170" s="35"/>
      <c r="AA170" s="35">
        <f t="shared" si="33"/>
        <v>230</v>
      </c>
      <c r="AB170" s="6">
        <v>619</v>
      </c>
      <c r="AC170" s="6"/>
      <c r="AD170" s="35">
        <f t="shared" si="34"/>
        <v>265</v>
      </c>
      <c r="AE170" s="6">
        <v>884</v>
      </c>
      <c r="AF170" s="6"/>
      <c r="AG170" s="34">
        <f t="shared" si="35"/>
        <v>265</v>
      </c>
      <c r="AH170" s="35">
        <v>1131</v>
      </c>
      <c r="AI170" s="35"/>
      <c r="AJ170" s="35">
        <f t="shared" si="36"/>
        <v>247</v>
      </c>
      <c r="AK170" s="6">
        <v>1380</v>
      </c>
      <c r="AL170" s="6"/>
      <c r="AM170" s="35">
        <f t="shared" si="37"/>
        <v>249</v>
      </c>
      <c r="AN170" s="6"/>
      <c r="AO170" s="6"/>
      <c r="AP170" s="35"/>
      <c r="AQ170" s="35">
        <v>144</v>
      </c>
      <c r="AR170" s="35">
        <v>1500</v>
      </c>
      <c r="AS170" s="35">
        <f t="shared" si="38"/>
        <v>264</v>
      </c>
      <c r="AT170" s="6">
        <v>408</v>
      </c>
      <c r="AU170" s="6"/>
      <c r="AV170" s="35">
        <f t="shared" si="48"/>
        <v>264</v>
      </c>
      <c r="AW170" s="6">
        <v>670</v>
      </c>
      <c r="AX170" s="6"/>
      <c r="AY170" s="6">
        <f t="shared" si="40"/>
        <v>262</v>
      </c>
      <c r="AZ170" s="6">
        <v>741</v>
      </c>
      <c r="BA170" s="6"/>
      <c r="BB170" s="6">
        <f t="shared" si="41"/>
        <v>71</v>
      </c>
      <c r="BC170" s="6"/>
      <c r="BD170" s="6"/>
      <c r="BE170" s="6"/>
      <c r="BF170" s="6"/>
      <c r="BG170" s="6"/>
      <c r="BH170" s="35"/>
      <c r="BI170" s="6"/>
      <c r="BJ170" s="6"/>
      <c r="BK170" s="6"/>
      <c r="BL170" s="6"/>
      <c r="BM170" s="6"/>
      <c r="BN170" s="35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>
        <v>1008</v>
      </c>
      <c r="CH170" s="6"/>
      <c r="CI170" s="6">
        <f t="shared" si="42"/>
        <v>267</v>
      </c>
      <c r="CJ170" s="6">
        <v>1272</v>
      </c>
      <c r="CK170" s="6"/>
      <c r="CL170" s="6">
        <f t="shared" si="43"/>
        <v>264</v>
      </c>
      <c r="CM170" s="6">
        <v>186</v>
      </c>
      <c r="CN170" s="6">
        <v>1334</v>
      </c>
      <c r="CO170" s="6">
        <f t="shared" si="44"/>
        <v>248</v>
      </c>
      <c r="CP170" s="6">
        <v>449</v>
      </c>
      <c r="CQ170" s="6"/>
      <c r="CR170" s="6">
        <f t="shared" si="45"/>
        <v>263</v>
      </c>
      <c r="CS170" s="6">
        <v>709</v>
      </c>
      <c r="CT170" s="6"/>
      <c r="CU170" s="6">
        <f t="shared" si="46"/>
        <v>260</v>
      </c>
      <c r="CV170" s="35">
        <v>948</v>
      </c>
      <c r="CW170" s="6"/>
      <c r="CX170" s="35">
        <f>CW170+CV170-CS170</f>
        <v>239</v>
      </c>
    </row>
    <row r="171" spans="1:102">
      <c r="A171" s="6">
        <v>167</v>
      </c>
      <c r="B171" s="6">
        <v>162</v>
      </c>
      <c r="C171" s="6">
        <v>600</v>
      </c>
      <c r="D171" s="6">
        <v>260</v>
      </c>
      <c r="E171" s="33" t="s">
        <v>56</v>
      </c>
      <c r="F171" s="33" t="s">
        <v>56</v>
      </c>
      <c r="G171" s="33" t="s">
        <v>56</v>
      </c>
      <c r="H171" s="33" t="s">
        <v>56</v>
      </c>
      <c r="I171" s="33" t="s">
        <v>56</v>
      </c>
      <c r="J171" s="33" t="s">
        <v>56</v>
      </c>
      <c r="K171" s="33" t="s">
        <v>56</v>
      </c>
      <c r="L171" s="33" t="s">
        <v>56</v>
      </c>
      <c r="M171" s="33" t="s">
        <v>56</v>
      </c>
      <c r="N171" s="33" t="s">
        <v>56</v>
      </c>
      <c r="O171" s="33" t="s">
        <v>56</v>
      </c>
      <c r="P171" s="33" t="s">
        <v>56</v>
      </c>
      <c r="Q171" s="33" t="s">
        <v>56</v>
      </c>
      <c r="R171" s="33" t="s">
        <v>56</v>
      </c>
      <c r="S171" s="33" t="s">
        <v>56</v>
      </c>
      <c r="T171" s="33" t="s">
        <v>56</v>
      </c>
      <c r="U171" s="33" t="s">
        <v>56</v>
      </c>
      <c r="V171" s="6">
        <v>468</v>
      </c>
      <c r="W171" s="6"/>
      <c r="X171" s="35">
        <f t="shared" si="32"/>
        <v>306</v>
      </c>
      <c r="Y171" s="35">
        <v>156</v>
      </c>
      <c r="Z171" s="35">
        <v>600</v>
      </c>
      <c r="AA171" s="35">
        <f t="shared" si="33"/>
        <v>288</v>
      </c>
      <c r="AB171" s="6">
        <v>22</v>
      </c>
      <c r="AC171" s="6">
        <v>418</v>
      </c>
      <c r="AD171" s="35">
        <f t="shared" si="34"/>
        <v>284</v>
      </c>
      <c r="AE171" s="6">
        <v>13</v>
      </c>
      <c r="AF171" s="6">
        <v>286</v>
      </c>
      <c r="AG171" s="34">
        <f t="shared" si="35"/>
        <v>277</v>
      </c>
      <c r="AH171" s="35">
        <v>151</v>
      </c>
      <c r="AI171" s="35">
        <v>89</v>
      </c>
      <c r="AJ171" s="35">
        <f t="shared" si="36"/>
        <v>227</v>
      </c>
      <c r="AK171" s="6">
        <v>0</v>
      </c>
      <c r="AL171" s="6">
        <v>315</v>
      </c>
      <c r="AM171" s="35">
        <f t="shared" si="37"/>
        <v>164</v>
      </c>
      <c r="AN171" s="6"/>
      <c r="AO171" s="6"/>
      <c r="AP171" s="35"/>
      <c r="AQ171" s="4">
        <v>0</v>
      </c>
      <c r="AR171" s="35"/>
      <c r="AS171" s="35">
        <f t="shared" si="38"/>
        <v>0</v>
      </c>
      <c r="AT171" s="6">
        <v>0</v>
      </c>
      <c r="AU171" s="6"/>
      <c r="AV171" s="35">
        <f t="shared" si="48"/>
        <v>0</v>
      </c>
      <c r="AW171" s="6">
        <v>0</v>
      </c>
      <c r="AX171" s="6"/>
      <c r="AY171" s="6">
        <f t="shared" si="40"/>
        <v>0</v>
      </c>
      <c r="AZ171" s="6">
        <v>0</v>
      </c>
      <c r="BA171" s="6"/>
      <c r="BB171" s="6">
        <f t="shared" si="41"/>
        <v>0</v>
      </c>
      <c r="BC171" s="6"/>
      <c r="BD171" s="6"/>
      <c r="BE171" s="6"/>
      <c r="BF171" s="6"/>
      <c r="BG171" s="6"/>
      <c r="BH171" s="35"/>
      <c r="BI171" s="6"/>
      <c r="BJ171" s="6"/>
      <c r="BK171" s="6"/>
      <c r="BL171" s="6"/>
      <c r="BM171" s="6"/>
      <c r="BN171" s="35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>
        <v>0</v>
      </c>
      <c r="CH171" s="6"/>
      <c r="CI171" s="6">
        <f t="shared" si="42"/>
        <v>0</v>
      </c>
      <c r="CJ171" s="6">
        <v>0</v>
      </c>
      <c r="CK171" s="6"/>
      <c r="CL171" s="6">
        <f t="shared" si="43"/>
        <v>0</v>
      </c>
      <c r="CM171" s="6">
        <v>0</v>
      </c>
      <c r="CN171" s="6"/>
      <c r="CO171" s="6">
        <f t="shared" si="44"/>
        <v>0</v>
      </c>
      <c r="CP171" s="6">
        <v>0</v>
      </c>
      <c r="CQ171" s="6"/>
      <c r="CR171" s="6">
        <f t="shared" si="45"/>
        <v>0</v>
      </c>
      <c r="CS171" s="6">
        <v>0</v>
      </c>
      <c r="CT171" s="6"/>
      <c r="CU171" s="6">
        <f t="shared" si="46"/>
        <v>0</v>
      </c>
      <c r="CV171" s="6">
        <v>0</v>
      </c>
      <c r="CW171" s="6"/>
      <c r="CX171" s="6">
        <f t="shared" si="47"/>
        <v>0</v>
      </c>
    </row>
    <row r="172" spans="1:102">
      <c r="A172" s="6">
        <v>168</v>
      </c>
      <c r="B172" s="6">
        <v>727</v>
      </c>
      <c r="C172" s="6"/>
      <c r="D172" s="6">
        <v>233</v>
      </c>
      <c r="E172" s="33" t="s">
        <v>99</v>
      </c>
      <c r="F172" s="33" t="s">
        <v>99</v>
      </c>
      <c r="G172" s="33" t="s">
        <v>99</v>
      </c>
      <c r="H172" s="33" t="s">
        <v>99</v>
      </c>
      <c r="I172" s="33" t="s">
        <v>99</v>
      </c>
      <c r="J172" s="33" t="s">
        <v>99</v>
      </c>
      <c r="K172" s="33" t="s">
        <v>99</v>
      </c>
      <c r="L172" s="33" t="s">
        <v>99</v>
      </c>
      <c r="M172" s="33" t="s">
        <v>99</v>
      </c>
      <c r="N172" s="33" t="s">
        <v>99</v>
      </c>
      <c r="O172" s="33" t="s">
        <v>99</v>
      </c>
      <c r="P172" s="33" t="s">
        <v>99</v>
      </c>
      <c r="Q172" s="33" t="s">
        <v>99</v>
      </c>
      <c r="R172" s="33" t="s">
        <v>99</v>
      </c>
      <c r="S172" s="33" t="s">
        <v>99</v>
      </c>
      <c r="T172" s="33" t="s">
        <v>99</v>
      </c>
      <c r="U172" s="33" t="s">
        <v>99</v>
      </c>
      <c r="V172" s="35">
        <v>1005</v>
      </c>
      <c r="W172" s="35"/>
      <c r="X172" s="35">
        <f t="shared" si="32"/>
        <v>278</v>
      </c>
      <c r="Y172" s="35">
        <v>1264</v>
      </c>
      <c r="Z172" s="35"/>
      <c r="AA172" s="35">
        <f t="shared" si="33"/>
        <v>259</v>
      </c>
      <c r="AB172" s="35">
        <v>23</v>
      </c>
      <c r="AC172" s="35">
        <v>1500</v>
      </c>
      <c r="AD172" s="35">
        <f t="shared" si="34"/>
        <v>259</v>
      </c>
      <c r="AE172" s="35">
        <v>280</v>
      </c>
      <c r="AF172" s="35"/>
      <c r="AG172" s="34">
        <f t="shared" si="35"/>
        <v>257</v>
      </c>
      <c r="AH172" s="35">
        <v>521</v>
      </c>
      <c r="AI172" s="35"/>
      <c r="AJ172" s="35">
        <f t="shared" si="36"/>
        <v>241</v>
      </c>
      <c r="AK172" s="6">
        <v>766</v>
      </c>
      <c r="AL172" s="6"/>
      <c r="AM172" s="35">
        <f t="shared" si="37"/>
        <v>245</v>
      </c>
      <c r="AN172" s="6"/>
      <c r="AO172" s="6"/>
      <c r="AP172" s="35"/>
      <c r="AQ172" s="35">
        <v>1028</v>
      </c>
      <c r="AR172" s="6"/>
      <c r="AS172" s="35">
        <f t="shared" si="38"/>
        <v>262</v>
      </c>
      <c r="AT172" s="6">
        <v>1286</v>
      </c>
      <c r="AU172" s="6"/>
      <c r="AV172" s="35">
        <f t="shared" si="48"/>
        <v>258</v>
      </c>
      <c r="AW172" s="6">
        <v>46</v>
      </c>
      <c r="AX172" s="6">
        <v>1500</v>
      </c>
      <c r="AY172" s="6">
        <f t="shared" si="40"/>
        <v>260</v>
      </c>
      <c r="AZ172" s="6">
        <v>104</v>
      </c>
      <c r="BA172" s="35"/>
      <c r="BB172" s="6">
        <f t="shared" si="41"/>
        <v>58</v>
      </c>
      <c r="BC172" s="6"/>
      <c r="BD172" s="6"/>
      <c r="BE172" s="6"/>
      <c r="BF172" s="6"/>
      <c r="BG172" s="6"/>
      <c r="BH172" s="35"/>
      <c r="BI172" s="6"/>
      <c r="BJ172" s="6"/>
      <c r="BK172" s="6"/>
      <c r="BL172" s="6"/>
      <c r="BM172" s="6"/>
      <c r="BN172" s="35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>
        <v>368</v>
      </c>
      <c r="CH172" s="6"/>
      <c r="CI172" s="6">
        <f t="shared" si="42"/>
        <v>264</v>
      </c>
      <c r="CJ172" s="6">
        <v>629</v>
      </c>
      <c r="CK172" s="6"/>
      <c r="CL172" s="6">
        <f t="shared" si="43"/>
        <v>261</v>
      </c>
      <c r="CM172" s="6">
        <v>886</v>
      </c>
      <c r="CN172" s="6"/>
      <c r="CO172" s="6">
        <f t="shared" si="44"/>
        <v>257</v>
      </c>
      <c r="CP172" s="6">
        <v>1146</v>
      </c>
      <c r="CQ172" s="6"/>
      <c r="CR172" s="6">
        <f t="shared" si="45"/>
        <v>260</v>
      </c>
      <c r="CS172" s="6">
        <v>1405</v>
      </c>
      <c r="CT172" s="6"/>
      <c r="CU172" s="6">
        <f t="shared" si="46"/>
        <v>259</v>
      </c>
      <c r="CV172" s="6">
        <v>138</v>
      </c>
      <c r="CW172" s="6">
        <v>1500</v>
      </c>
      <c r="CX172" s="6">
        <f t="shared" si="47"/>
        <v>233</v>
      </c>
    </row>
    <row r="173" spans="1:102">
      <c r="A173" s="6">
        <v>169</v>
      </c>
      <c r="B173" s="6">
        <v>0</v>
      </c>
      <c r="C173" s="6"/>
      <c r="D173" s="6">
        <v>0</v>
      </c>
      <c r="E173" s="33" t="s">
        <v>108</v>
      </c>
      <c r="F173" s="33" t="s">
        <v>108</v>
      </c>
      <c r="G173" s="33" t="s">
        <v>108</v>
      </c>
      <c r="H173" s="33" t="s">
        <v>108</v>
      </c>
      <c r="I173" s="33" t="s">
        <v>108</v>
      </c>
      <c r="J173" s="33" t="s">
        <v>108</v>
      </c>
      <c r="K173" s="33" t="s">
        <v>108</v>
      </c>
      <c r="L173" s="33" t="s">
        <v>108</v>
      </c>
      <c r="M173" s="33" t="s">
        <v>108</v>
      </c>
      <c r="N173" s="33" t="s">
        <v>108</v>
      </c>
      <c r="O173" s="33" t="s">
        <v>108</v>
      </c>
      <c r="P173" s="33" t="s">
        <v>108</v>
      </c>
      <c r="Q173" s="33" t="s">
        <v>108</v>
      </c>
      <c r="R173" s="33" t="s">
        <v>108</v>
      </c>
      <c r="S173" s="33" t="s">
        <v>108</v>
      </c>
      <c r="T173" s="33" t="s">
        <v>108</v>
      </c>
      <c r="U173" s="33" t="s">
        <v>108</v>
      </c>
      <c r="V173" s="6">
        <v>0</v>
      </c>
      <c r="W173" s="6"/>
      <c r="X173" s="35">
        <f t="shared" si="32"/>
        <v>0</v>
      </c>
      <c r="Y173" s="35">
        <v>0</v>
      </c>
      <c r="Z173" s="35"/>
      <c r="AA173" s="35">
        <f t="shared" si="33"/>
        <v>0</v>
      </c>
      <c r="AB173" s="6">
        <v>0</v>
      </c>
      <c r="AC173" s="6"/>
      <c r="AD173" s="35">
        <f t="shared" si="34"/>
        <v>0</v>
      </c>
      <c r="AE173" s="6">
        <v>0</v>
      </c>
      <c r="AF173" s="6"/>
      <c r="AG173" s="34">
        <f t="shared" si="35"/>
        <v>0</v>
      </c>
      <c r="AH173" s="35">
        <v>0</v>
      </c>
      <c r="AI173" s="35"/>
      <c r="AJ173" s="35">
        <f t="shared" si="36"/>
        <v>0</v>
      </c>
      <c r="AK173" s="6">
        <v>0</v>
      </c>
      <c r="AL173" s="6"/>
      <c r="AM173" s="35">
        <f t="shared" si="37"/>
        <v>0</v>
      </c>
      <c r="AN173" s="6"/>
      <c r="AO173" s="6"/>
      <c r="AP173" s="35"/>
      <c r="AQ173" s="6">
        <v>0</v>
      </c>
      <c r="AR173" s="35"/>
      <c r="AS173" s="35">
        <f t="shared" si="38"/>
        <v>0</v>
      </c>
      <c r="AT173" s="6">
        <v>0</v>
      </c>
      <c r="AU173" s="6"/>
      <c r="AV173" s="35">
        <f t="shared" si="48"/>
        <v>0</v>
      </c>
      <c r="AW173" s="6">
        <v>0</v>
      </c>
      <c r="AX173" s="6"/>
      <c r="AY173" s="6">
        <f t="shared" si="40"/>
        <v>0</v>
      </c>
      <c r="AZ173" s="6">
        <v>0</v>
      </c>
      <c r="BA173" s="6"/>
      <c r="BB173" s="6">
        <f t="shared" si="41"/>
        <v>0</v>
      </c>
      <c r="BC173" s="6"/>
      <c r="BD173" s="6"/>
      <c r="BE173" s="6"/>
      <c r="BF173" s="6"/>
      <c r="BG173" s="6"/>
      <c r="BH173" s="35"/>
      <c r="BI173" s="6"/>
      <c r="BJ173" s="6"/>
      <c r="BK173" s="6"/>
      <c r="BL173" s="6"/>
      <c r="BM173" s="6"/>
      <c r="BN173" s="35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>
        <v>0</v>
      </c>
      <c r="CH173" s="6"/>
      <c r="CI173" s="6">
        <f t="shared" si="42"/>
        <v>0</v>
      </c>
      <c r="CJ173" s="6">
        <v>0</v>
      </c>
      <c r="CK173" s="6"/>
      <c r="CL173" s="6">
        <f t="shared" si="43"/>
        <v>0</v>
      </c>
      <c r="CM173" s="6">
        <v>0</v>
      </c>
      <c r="CN173" s="6"/>
      <c r="CO173" s="6">
        <f t="shared" si="44"/>
        <v>0</v>
      </c>
      <c r="CP173" s="6">
        <v>0</v>
      </c>
      <c r="CQ173" s="6"/>
      <c r="CR173" s="6">
        <f t="shared" si="45"/>
        <v>0</v>
      </c>
      <c r="CS173" s="6">
        <v>0</v>
      </c>
      <c r="CT173" s="6"/>
      <c r="CU173" s="6">
        <f t="shared" si="46"/>
        <v>0</v>
      </c>
      <c r="CV173" s="6">
        <v>0</v>
      </c>
      <c r="CW173" s="6"/>
      <c r="CX173" s="6">
        <f t="shared" si="47"/>
        <v>0</v>
      </c>
    </row>
    <row r="174" spans="1:102">
      <c r="A174" s="6">
        <v>170</v>
      </c>
      <c r="B174" s="6">
        <v>892</v>
      </c>
      <c r="C174" s="6"/>
      <c r="D174" s="6">
        <v>206</v>
      </c>
      <c r="E174" s="33" t="s">
        <v>124</v>
      </c>
      <c r="F174" s="33" t="s">
        <v>124</v>
      </c>
      <c r="G174" s="33" t="s">
        <v>124</v>
      </c>
      <c r="H174" s="33" t="s">
        <v>124</v>
      </c>
      <c r="I174" s="33" t="s">
        <v>124</v>
      </c>
      <c r="J174" s="33" t="s">
        <v>124</v>
      </c>
      <c r="K174" s="33" t="s">
        <v>124</v>
      </c>
      <c r="L174" s="33" t="s">
        <v>124</v>
      </c>
      <c r="M174" s="33" t="s">
        <v>124</v>
      </c>
      <c r="N174" s="33" t="s">
        <v>124</v>
      </c>
      <c r="O174" s="33" t="s">
        <v>124</v>
      </c>
      <c r="P174" s="33" t="s">
        <v>124</v>
      </c>
      <c r="Q174" s="33" t="s">
        <v>124</v>
      </c>
      <c r="R174" s="33" t="s">
        <v>124</v>
      </c>
      <c r="S174" s="33" t="s">
        <v>124</v>
      </c>
      <c r="T174" s="33" t="s">
        <v>124</v>
      </c>
      <c r="U174" s="33" t="s">
        <v>124</v>
      </c>
      <c r="V174" s="6">
        <v>1141</v>
      </c>
      <c r="W174" s="6"/>
      <c r="X174" s="35">
        <f t="shared" si="32"/>
        <v>249</v>
      </c>
      <c r="Y174" s="35">
        <v>1371</v>
      </c>
      <c r="Z174" s="35"/>
      <c r="AA174" s="35">
        <f t="shared" si="33"/>
        <v>230</v>
      </c>
      <c r="AB174" s="6">
        <v>1602</v>
      </c>
      <c r="AC174" s="6"/>
      <c r="AD174" s="35">
        <f t="shared" si="34"/>
        <v>231</v>
      </c>
      <c r="AE174" s="6">
        <v>1834</v>
      </c>
      <c r="AF174" s="6"/>
      <c r="AG174" s="34">
        <f t="shared" si="35"/>
        <v>232</v>
      </c>
      <c r="AH174" s="35">
        <v>40</v>
      </c>
      <c r="AI174" s="35">
        <v>2000</v>
      </c>
      <c r="AJ174" s="35">
        <f t="shared" si="36"/>
        <v>206</v>
      </c>
      <c r="AK174" s="6">
        <v>257</v>
      </c>
      <c r="AL174" s="6"/>
      <c r="AM174" s="35">
        <f t="shared" si="37"/>
        <v>217</v>
      </c>
      <c r="AN174" s="6"/>
      <c r="AO174" s="6"/>
      <c r="AP174" s="35"/>
      <c r="AQ174" s="35">
        <v>482</v>
      </c>
      <c r="AR174" s="6"/>
      <c r="AS174" s="35">
        <f t="shared" si="38"/>
        <v>225</v>
      </c>
      <c r="AT174" s="6">
        <v>714</v>
      </c>
      <c r="AU174" s="6"/>
      <c r="AV174" s="35">
        <f t="shared" si="48"/>
        <v>232</v>
      </c>
      <c r="AW174" s="6">
        <v>941</v>
      </c>
      <c r="AX174" s="6"/>
      <c r="AY174" s="6">
        <f t="shared" si="40"/>
        <v>227</v>
      </c>
      <c r="AZ174" s="6">
        <v>1003</v>
      </c>
      <c r="BA174" s="6"/>
      <c r="BB174" s="6">
        <f t="shared" si="41"/>
        <v>62</v>
      </c>
      <c r="BC174" s="6"/>
      <c r="BD174" s="6"/>
      <c r="BE174" s="6"/>
      <c r="BF174" s="6"/>
      <c r="BG174" s="6"/>
      <c r="BH174" s="35"/>
      <c r="BI174" s="6"/>
      <c r="BJ174" s="6"/>
      <c r="BK174" s="6"/>
      <c r="BL174" s="6"/>
      <c r="BM174" s="6"/>
      <c r="BN174" s="35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>
        <v>1236</v>
      </c>
      <c r="CH174" s="6"/>
      <c r="CI174" s="6">
        <f t="shared" si="42"/>
        <v>233</v>
      </c>
      <c r="CJ174" s="6">
        <v>16</v>
      </c>
      <c r="CK174" s="6">
        <v>1448</v>
      </c>
      <c r="CL174" s="6">
        <f t="shared" si="43"/>
        <v>228</v>
      </c>
      <c r="CM174" s="6">
        <v>249</v>
      </c>
      <c r="CN174" s="6"/>
      <c r="CO174" s="6">
        <f t="shared" si="44"/>
        <v>233</v>
      </c>
      <c r="CP174" s="6">
        <v>481</v>
      </c>
      <c r="CQ174" s="6"/>
      <c r="CR174" s="6">
        <f t="shared" si="45"/>
        <v>232</v>
      </c>
      <c r="CS174" s="6">
        <v>711</v>
      </c>
      <c r="CT174" s="6"/>
      <c r="CU174" s="6">
        <f t="shared" si="46"/>
        <v>230</v>
      </c>
      <c r="CV174" s="6">
        <v>919</v>
      </c>
      <c r="CW174" s="6"/>
      <c r="CX174" s="6">
        <f t="shared" si="47"/>
        <v>208</v>
      </c>
    </row>
    <row r="175" spans="1:102">
      <c r="A175" s="6">
        <v>171</v>
      </c>
      <c r="B175" s="6">
        <v>1128</v>
      </c>
      <c r="C175" s="6"/>
      <c r="D175" s="6">
        <v>239</v>
      </c>
      <c r="E175" s="33" t="s">
        <v>99</v>
      </c>
      <c r="F175" s="33" t="s">
        <v>99</v>
      </c>
      <c r="G175" s="33" t="s">
        <v>99</v>
      </c>
      <c r="H175" s="33" t="s">
        <v>99</v>
      </c>
      <c r="I175" s="33" t="s">
        <v>99</v>
      </c>
      <c r="J175" s="148" t="s">
        <v>99</v>
      </c>
      <c r="K175" s="33" t="s">
        <v>99</v>
      </c>
      <c r="L175" s="33" t="s">
        <v>99</v>
      </c>
      <c r="M175" s="33" t="s">
        <v>99</v>
      </c>
      <c r="N175" s="33" t="s">
        <v>99</v>
      </c>
      <c r="O175" s="33" t="s">
        <v>99</v>
      </c>
      <c r="P175" s="33" t="s">
        <v>99</v>
      </c>
      <c r="Q175" s="33" t="s">
        <v>99</v>
      </c>
      <c r="R175" s="33" t="s">
        <v>99</v>
      </c>
      <c r="S175" s="33" t="s">
        <v>99</v>
      </c>
      <c r="T175" s="33" t="s">
        <v>99</v>
      </c>
      <c r="U175" s="33" t="s">
        <v>99</v>
      </c>
      <c r="V175" s="6">
        <v>1411</v>
      </c>
      <c r="W175" s="6"/>
      <c r="X175" s="35">
        <f t="shared" si="32"/>
        <v>283</v>
      </c>
      <c r="Y175" s="35">
        <v>172</v>
      </c>
      <c r="Z175" s="35">
        <v>1500</v>
      </c>
      <c r="AA175" s="35">
        <f t="shared" si="33"/>
        <v>261</v>
      </c>
      <c r="AB175" s="6">
        <v>435</v>
      </c>
      <c r="AC175" s="6"/>
      <c r="AD175" s="35">
        <f t="shared" si="34"/>
        <v>263</v>
      </c>
      <c r="AE175" s="6">
        <v>700</v>
      </c>
      <c r="AF175" s="6"/>
      <c r="AG175" s="34">
        <f t="shared" si="35"/>
        <v>265</v>
      </c>
      <c r="AH175" s="35">
        <v>174</v>
      </c>
      <c r="AI175" s="35">
        <v>725</v>
      </c>
      <c r="AJ175" s="35">
        <f t="shared" si="36"/>
        <v>199</v>
      </c>
      <c r="AK175" s="6">
        <v>423</v>
      </c>
      <c r="AL175" s="6"/>
      <c r="AM175" s="35">
        <f t="shared" si="37"/>
        <v>249</v>
      </c>
      <c r="AN175" s="6"/>
      <c r="AO175" s="6"/>
      <c r="AP175" s="35"/>
      <c r="AQ175" s="6">
        <v>689</v>
      </c>
      <c r="AR175" s="35"/>
      <c r="AS175" s="35">
        <f t="shared" si="38"/>
        <v>266</v>
      </c>
      <c r="AT175" s="6">
        <v>948</v>
      </c>
      <c r="AU175" s="6"/>
      <c r="AV175" s="35">
        <f t="shared" si="48"/>
        <v>259</v>
      </c>
      <c r="AW175" s="6">
        <v>1214</v>
      </c>
      <c r="AX175" s="6"/>
      <c r="AY175" s="6">
        <f t="shared" si="40"/>
        <v>266</v>
      </c>
      <c r="AZ175" s="6">
        <v>1285</v>
      </c>
      <c r="BA175" s="6"/>
      <c r="BB175" s="6">
        <f t="shared" si="41"/>
        <v>71</v>
      </c>
      <c r="BC175" s="6"/>
      <c r="BD175" s="6"/>
      <c r="BE175" s="6"/>
      <c r="BF175" s="6"/>
      <c r="BG175" s="6"/>
      <c r="BH175" s="35"/>
      <c r="BI175" s="6"/>
      <c r="BJ175" s="6"/>
      <c r="BK175" s="6"/>
      <c r="BL175" s="6"/>
      <c r="BM175" s="6"/>
      <c r="BN175" s="35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>
        <v>50</v>
      </c>
      <c r="CH175" s="6">
        <v>1500</v>
      </c>
      <c r="CI175" s="6">
        <f t="shared" si="42"/>
        <v>265</v>
      </c>
      <c r="CJ175" s="6">
        <v>311</v>
      </c>
      <c r="CK175" s="6"/>
      <c r="CL175" s="6">
        <f t="shared" si="43"/>
        <v>261</v>
      </c>
      <c r="CM175" s="6">
        <v>574</v>
      </c>
      <c r="CN175" s="6"/>
      <c r="CO175" s="6">
        <f t="shared" si="44"/>
        <v>263</v>
      </c>
      <c r="CP175" s="6">
        <v>831</v>
      </c>
      <c r="CQ175" s="6"/>
      <c r="CR175" s="6">
        <f t="shared" si="45"/>
        <v>257</v>
      </c>
      <c r="CS175" s="6">
        <v>1087</v>
      </c>
      <c r="CT175" s="6"/>
      <c r="CU175" s="6">
        <f t="shared" si="46"/>
        <v>256</v>
      </c>
      <c r="CV175" s="6">
        <v>1325</v>
      </c>
      <c r="CW175" s="6"/>
      <c r="CX175" s="6">
        <f t="shared" si="47"/>
        <v>238</v>
      </c>
    </row>
    <row r="176" spans="1:102">
      <c r="A176" s="6">
        <v>172</v>
      </c>
      <c r="B176" s="6">
        <v>0</v>
      </c>
      <c r="C176" s="6"/>
      <c r="D176" s="6">
        <v>0</v>
      </c>
      <c r="E176" s="33" t="s">
        <v>132</v>
      </c>
      <c r="F176" s="33" t="s">
        <v>132</v>
      </c>
      <c r="G176" s="33" t="s">
        <v>132</v>
      </c>
      <c r="H176" s="33" t="s">
        <v>132</v>
      </c>
      <c r="I176" s="33" t="s">
        <v>132</v>
      </c>
      <c r="J176" s="33" t="s">
        <v>132</v>
      </c>
      <c r="K176" s="33" t="s">
        <v>132</v>
      </c>
      <c r="L176" s="33" t="s">
        <v>132</v>
      </c>
      <c r="M176" s="33" t="s">
        <v>132</v>
      </c>
      <c r="N176" s="33" t="s">
        <v>132</v>
      </c>
      <c r="O176" s="33" t="s">
        <v>132</v>
      </c>
      <c r="P176" s="33" t="s">
        <v>132</v>
      </c>
      <c r="Q176" s="33" t="s">
        <v>132</v>
      </c>
      <c r="R176" s="33" t="s">
        <v>132</v>
      </c>
      <c r="S176" s="33" t="s">
        <v>132</v>
      </c>
      <c r="T176" s="33" t="s">
        <v>132</v>
      </c>
      <c r="U176" s="33" t="s">
        <v>132</v>
      </c>
      <c r="V176" s="35">
        <v>0</v>
      </c>
      <c r="W176" s="35"/>
      <c r="X176" s="35">
        <f t="shared" si="32"/>
        <v>0</v>
      </c>
      <c r="Y176" s="35">
        <v>0</v>
      </c>
      <c r="Z176" s="35"/>
      <c r="AA176" s="35">
        <f t="shared" si="33"/>
        <v>0</v>
      </c>
      <c r="AB176" s="6">
        <v>0</v>
      </c>
      <c r="AC176" s="35"/>
      <c r="AD176" s="35">
        <f t="shared" si="34"/>
        <v>0</v>
      </c>
      <c r="AE176" s="6">
        <v>0</v>
      </c>
      <c r="AF176" s="6"/>
      <c r="AG176" s="34">
        <f t="shared" si="35"/>
        <v>0</v>
      </c>
      <c r="AH176" s="35">
        <v>0</v>
      </c>
      <c r="AI176" s="35"/>
      <c r="AJ176" s="35">
        <f t="shared" si="36"/>
        <v>0</v>
      </c>
      <c r="AK176" s="6">
        <v>0</v>
      </c>
      <c r="AL176" s="6"/>
      <c r="AM176" s="35">
        <f t="shared" si="37"/>
        <v>0</v>
      </c>
      <c r="AN176" s="6"/>
      <c r="AO176" s="6"/>
      <c r="AP176" s="35"/>
      <c r="AQ176" s="35">
        <v>0</v>
      </c>
      <c r="AR176" s="6"/>
      <c r="AS176" s="35">
        <f t="shared" si="38"/>
        <v>0</v>
      </c>
      <c r="AT176" s="6">
        <v>0</v>
      </c>
      <c r="AU176" s="6"/>
      <c r="AV176" s="35">
        <f t="shared" si="48"/>
        <v>0</v>
      </c>
      <c r="AW176" s="6">
        <v>0</v>
      </c>
      <c r="AX176" s="6"/>
      <c r="AY176" s="6">
        <f t="shared" si="40"/>
        <v>0</v>
      </c>
      <c r="AZ176" s="6">
        <v>0</v>
      </c>
      <c r="BA176" s="35"/>
      <c r="BB176" s="6">
        <f t="shared" si="41"/>
        <v>0</v>
      </c>
      <c r="BC176" s="6"/>
      <c r="BD176" s="6"/>
      <c r="BE176" s="6"/>
      <c r="BF176" s="6"/>
      <c r="BG176" s="6"/>
      <c r="BH176" s="35"/>
      <c r="BI176" s="6"/>
      <c r="BJ176" s="6"/>
      <c r="BK176" s="6"/>
      <c r="BL176" s="6"/>
      <c r="BM176" s="6"/>
      <c r="BN176" s="35"/>
      <c r="BO176" s="6"/>
      <c r="BP176" s="35"/>
      <c r="BQ176" s="6"/>
      <c r="BR176" s="6"/>
      <c r="BS176" s="6"/>
      <c r="BT176" s="35"/>
      <c r="BU176" s="6"/>
      <c r="BV176" s="35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>
        <v>0</v>
      </c>
      <c r="CH176" s="6"/>
      <c r="CI176" s="6">
        <f t="shared" si="42"/>
        <v>0</v>
      </c>
      <c r="CJ176" s="6">
        <v>0</v>
      </c>
      <c r="CK176" s="6"/>
      <c r="CL176" s="6">
        <f t="shared" si="43"/>
        <v>0</v>
      </c>
      <c r="CM176" s="6">
        <v>0</v>
      </c>
      <c r="CN176" s="6"/>
      <c r="CO176" s="6">
        <f t="shared" si="44"/>
        <v>0</v>
      </c>
      <c r="CP176" s="6">
        <v>0</v>
      </c>
      <c r="CQ176" s="6"/>
      <c r="CR176" s="6">
        <f t="shared" si="45"/>
        <v>0</v>
      </c>
      <c r="CS176" s="6">
        <v>0</v>
      </c>
      <c r="CT176" s="6"/>
      <c r="CU176" s="6">
        <f t="shared" si="46"/>
        <v>0</v>
      </c>
      <c r="CV176" s="6">
        <v>0</v>
      </c>
      <c r="CW176" s="6"/>
      <c r="CX176" s="6">
        <f t="shared" si="47"/>
        <v>0</v>
      </c>
    </row>
    <row r="177" spans="1:102">
      <c r="A177" s="6">
        <v>173</v>
      </c>
      <c r="B177" s="6">
        <v>86</v>
      </c>
      <c r="C177" s="6">
        <v>600</v>
      </c>
      <c r="D177" s="6">
        <v>254</v>
      </c>
      <c r="E177" s="33" t="s">
        <v>56</v>
      </c>
      <c r="F177" s="33" t="s">
        <v>56</v>
      </c>
      <c r="G177" s="33" t="s">
        <v>56</v>
      </c>
      <c r="H177" s="33" t="s">
        <v>56</v>
      </c>
      <c r="I177" s="33" t="s">
        <v>56</v>
      </c>
      <c r="J177" s="33" t="s">
        <v>56</v>
      </c>
      <c r="K177" s="33" t="s">
        <v>56</v>
      </c>
      <c r="L177" s="33" t="s">
        <v>56</v>
      </c>
      <c r="M177" s="33" t="s">
        <v>56</v>
      </c>
      <c r="N177" s="33" t="s">
        <v>56</v>
      </c>
      <c r="O177" s="33" t="s">
        <v>56</v>
      </c>
      <c r="P177" s="33" t="s">
        <v>56</v>
      </c>
      <c r="Q177" s="33" t="s">
        <v>56</v>
      </c>
      <c r="R177" s="33" t="s">
        <v>56</v>
      </c>
      <c r="S177" s="33" t="s">
        <v>56</v>
      </c>
      <c r="T177" s="33" t="s">
        <v>56</v>
      </c>
      <c r="U177" s="33" t="s">
        <v>56</v>
      </c>
      <c r="V177" s="6">
        <v>389</v>
      </c>
      <c r="W177" s="6"/>
      <c r="X177" s="35">
        <f t="shared" si="32"/>
        <v>303</v>
      </c>
      <c r="Y177" s="35">
        <v>60</v>
      </c>
      <c r="Z177" s="35">
        <v>600</v>
      </c>
      <c r="AA177" s="35">
        <f t="shared" si="33"/>
        <v>271</v>
      </c>
      <c r="AB177" s="6">
        <v>324</v>
      </c>
      <c r="AC177" s="6"/>
      <c r="AD177" s="35">
        <f t="shared" si="34"/>
        <v>264</v>
      </c>
      <c r="AE177" s="6">
        <v>3</v>
      </c>
      <c r="AF177" s="6">
        <v>600</v>
      </c>
      <c r="AG177" s="34">
        <f t="shared" si="35"/>
        <v>279</v>
      </c>
      <c r="AH177" s="35">
        <v>246</v>
      </c>
      <c r="AI177" s="35"/>
      <c r="AJ177" s="35">
        <f t="shared" si="36"/>
        <v>243</v>
      </c>
      <c r="AK177" s="6">
        <v>0</v>
      </c>
      <c r="AL177" s="6">
        <v>438</v>
      </c>
      <c r="AM177" s="35">
        <f t="shared" si="37"/>
        <v>192</v>
      </c>
      <c r="AN177" s="6"/>
      <c r="AO177" s="6"/>
      <c r="AP177" s="35"/>
      <c r="AQ177" s="6">
        <v>0</v>
      </c>
      <c r="AR177" s="35"/>
      <c r="AS177" s="35">
        <f t="shared" si="38"/>
        <v>0</v>
      </c>
      <c r="AT177" s="6">
        <v>0</v>
      </c>
      <c r="AU177" s="6"/>
      <c r="AV177" s="35">
        <f t="shared" si="48"/>
        <v>0</v>
      </c>
      <c r="AW177" s="6">
        <v>0</v>
      </c>
      <c r="AX177" s="6"/>
      <c r="AY177" s="6">
        <f t="shared" si="40"/>
        <v>0</v>
      </c>
      <c r="AZ177" s="6">
        <v>0</v>
      </c>
      <c r="BA177" s="6"/>
      <c r="BB177" s="6">
        <f t="shared" si="41"/>
        <v>0</v>
      </c>
      <c r="BC177" s="6"/>
      <c r="BD177" s="6"/>
      <c r="BE177" s="6"/>
      <c r="BF177" s="6"/>
      <c r="BG177" s="6"/>
      <c r="BH177" s="35"/>
      <c r="BI177" s="6"/>
      <c r="BJ177" s="6"/>
      <c r="BK177" s="6"/>
      <c r="BL177" s="6"/>
      <c r="BM177" s="6"/>
      <c r="BN177" s="35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>
        <v>0</v>
      </c>
      <c r="CH177" s="6"/>
      <c r="CI177" s="6">
        <f t="shared" si="42"/>
        <v>0</v>
      </c>
      <c r="CJ177" s="6">
        <v>0</v>
      </c>
      <c r="CK177" s="6"/>
      <c r="CL177" s="6">
        <f t="shared" si="43"/>
        <v>0</v>
      </c>
      <c r="CM177" s="6">
        <v>0</v>
      </c>
      <c r="CN177" s="6"/>
      <c r="CO177" s="6">
        <f t="shared" si="44"/>
        <v>0</v>
      </c>
      <c r="CP177" s="6">
        <v>0</v>
      </c>
      <c r="CQ177" s="6"/>
      <c r="CR177" s="6">
        <f t="shared" si="45"/>
        <v>0</v>
      </c>
      <c r="CS177" s="6">
        <v>0</v>
      </c>
      <c r="CT177" s="6"/>
      <c r="CU177" s="6">
        <f t="shared" si="46"/>
        <v>0</v>
      </c>
      <c r="CV177" s="6">
        <v>0</v>
      </c>
      <c r="CW177" s="6"/>
      <c r="CX177" s="6">
        <f t="shared" si="47"/>
        <v>0</v>
      </c>
    </row>
    <row r="178" spans="1:102">
      <c r="A178" s="6">
        <v>174</v>
      </c>
      <c r="B178" s="6">
        <v>1330</v>
      </c>
      <c r="C178" s="6"/>
      <c r="D178" s="6">
        <v>212</v>
      </c>
      <c r="E178" s="33" t="s">
        <v>124</v>
      </c>
      <c r="F178" s="33" t="s">
        <v>124</v>
      </c>
      <c r="G178" s="33" t="s">
        <v>124</v>
      </c>
      <c r="H178" s="33" t="s">
        <v>124</v>
      </c>
      <c r="I178" s="33" t="s">
        <v>124</v>
      </c>
      <c r="J178" s="33" t="s">
        <v>124</v>
      </c>
      <c r="K178" s="33" t="s">
        <v>124</v>
      </c>
      <c r="L178" s="33" t="s">
        <v>124</v>
      </c>
      <c r="M178" s="33" t="s">
        <v>124</v>
      </c>
      <c r="N178" s="33" t="s">
        <v>124</v>
      </c>
      <c r="O178" s="33" t="s">
        <v>124</v>
      </c>
      <c r="P178" s="33" t="s">
        <v>124</v>
      </c>
      <c r="Q178" s="33" t="s">
        <v>124</v>
      </c>
      <c r="R178" s="33" t="s">
        <v>124</v>
      </c>
      <c r="S178" s="33" t="s">
        <v>124</v>
      </c>
      <c r="T178" s="148" t="s">
        <v>124</v>
      </c>
      <c r="U178" s="33" t="s">
        <v>124</v>
      </c>
      <c r="V178" s="6">
        <v>1582</v>
      </c>
      <c r="W178" s="6"/>
      <c r="X178" s="35">
        <f t="shared" si="32"/>
        <v>252</v>
      </c>
      <c r="Y178" s="35">
        <v>1815</v>
      </c>
      <c r="Z178" s="35"/>
      <c r="AA178" s="35">
        <f t="shared" si="33"/>
        <v>233</v>
      </c>
      <c r="AB178" s="6">
        <v>50</v>
      </c>
      <c r="AC178" s="6">
        <v>2000</v>
      </c>
      <c r="AD178" s="35">
        <f t="shared" si="34"/>
        <v>235</v>
      </c>
      <c r="AE178" s="6">
        <v>284</v>
      </c>
      <c r="AF178" s="6"/>
      <c r="AG178" s="34">
        <f t="shared" si="35"/>
        <v>234</v>
      </c>
      <c r="AH178" s="35">
        <v>502</v>
      </c>
      <c r="AI178" s="35"/>
      <c r="AJ178" s="35">
        <f t="shared" si="36"/>
        <v>218</v>
      </c>
      <c r="AK178" s="6">
        <v>720</v>
      </c>
      <c r="AL178" s="6"/>
      <c r="AM178" s="35">
        <f t="shared" si="37"/>
        <v>218</v>
      </c>
      <c r="AN178" s="6"/>
      <c r="AO178" s="6"/>
      <c r="AP178" s="35"/>
      <c r="AQ178" s="35">
        <v>954</v>
      </c>
      <c r="AR178" s="35"/>
      <c r="AS178" s="35">
        <f t="shared" si="38"/>
        <v>234</v>
      </c>
      <c r="AT178" s="6">
        <v>1188</v>
      </c>
      <c r="AU178" s="6"/>
      <c r="AV178" s="35">
        <f t="shared" si="48"/>
        <v>234</v>
      </c>
      <c r="AW178" s="6">
        <v>1422</v>
      </c>
      <c r="AX178" s="6"/>
      <c r="AY178" s="6">
        <f t="shared" si="40"/>
        <v>234</v>
      </c>
      <c r="AZ178" s="6">
        <v>1474</v>
      </c>
      <c r="BA178" s="6"/>
      <c r="BB178" s="6">
        <f t="shared" si="41"/>
        <v>52</v>
      </c>
      <c r="BC178" s="6"/>
      <c r="BD178" s="6"/>
      <c r="BE178" s="6"/>
      <c r="BF178" s="6"/>
      <c r="BG178" s="6"/>
      <c r="BH178" s="35"/>
      <c r="BI178" s="6"/>
      <c r="BJ178" s="6"/>
      <c r="BK178" s="6"/>
      <c r="BL178" s="6"/>
      <c r="BM178" s="6"/>
      <c r="BN178" s="35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>
        <v>1704</v>
      </c>
      <c r="CH178" s="6"/>
      <c r="CI178" s="6">
        <f t="shared" si="42"/>
        <v>230</v>
      </c>
      <c r="CJ178" s="6">
        <v>1938</v>
      </c>
      <c r="CK178" s="6"/>
      <c r="CL178" s="6">
        <f t="shared" si="43"/>
        <v>234</v>
      </c>
      <c r="CM178" s="6">
        <v>173</v>
      </c>
      <c r="CN178" s="6">
        <v>2000</v>
      </c>
      <c r="CO178" s="6">
        <f t="shared" si="44"/>
        <v>235</v>
      </c>
      <c r="CP178" s="6">
        <v>0</v>
      </c>
      <c r="CQ178" s="6">
        <v>317</v>
      </c>
      <c r="CR178" s="6">
        <f t="shared" si="45"/>
        <v>144</v>
      </c>
      <c r="CS178" s="6">
        <v>208</v>
      </c>
      <c r="CT178" s="6"/>
      <c r="CU178" s="6">
        <f t="shared" si="46"/>
        <v>208</v>
      </c>
      <c r="CV178" s="6">
        <v>421</v>
      </c>
      <c r="CW178" s="6"/>
      <c r="CX178" s="6">
        <f t="shared" si="47"/>
        <v>213</v>
      </c>
    </row>
    <row r="179" spans="1:102" ht="14.25" customHeight="1">
      <c r="A179" s="6">
        <v>175</v>
      </c>
      <c r="B179" s="6">
        <v>437</v>
      </c>
      <c r="C179" s="6"/>
      <c r="D179" s="6">
        <v>208</v>
      </c>
      <c r="E179" s="33" t="s">
        <v>124</v>
      </c>
      <c r="F179" s="33" t="s">
        <v>124</v>
      </c>
      <c r="G179" s="33" t="s">
        <v>124</v>
      </c>
      <c r="H179" s="33" t="s">
        <v>124</v>
      </c>
      <c r="I179" s="33" t="s">
        <v>124</v>
      </c>
      <c r="J179" s="33" t="s">
        <v>124</v>
      </c>
      <c r="K179" s="33" t="s">
        <v>124</v>
      </c>
      <c r="L179" s="33" t="s">
        <v>124</v>
      </c>
      <c r="M179" s="33" t="s">
        <v>124</v>
      </c>
      <c r="N179" s="33" t="s">
        <v>124</v>
      </c>
      <c r="O179" s="33" t="s">
        <v>124</v>
      </c>
      <c r="P179" s="33" t="s">
        <v>124</v>
      </c>
      <c r="Q179" s="33" t="s">
        <v>124</v>
      </c>
      <c r="R179" s="33" t="s">
        <v>124</v>
      </c>
      <c r="S179" s="33" t="s">
        <v>124</v>
      </c>
      <c r="T179" s="33" t="s">
        <v>124</v>
      </c>
      <c r="U179" s="33" t="s">
        <v>124</v>
      </c>
      <c r="V179" s="6">
        <v>686</v>
      </c>
      <c r="W179" s="6"/>
      <c r="X179" s="35">
        <f t="shared" si="32"/>
        <v>249</v>
      </c>
      <c r="Y179" s="35">
        <v>917</v>
      </c>
      <c r="Z179" s="35"/>
      <c r="AA179" s="35">
        <f t="shared" si="33"/>
        <v>231</v>
      </c>
      <c r="AB179" s="6">
        <v>1147</v>
      </c>
      <c r="AC179" s="6"/>
      <c r="AD179" s="35">
        <f t="shared" si="34"/>
        <v>230</v>
      </c>
      <c r="AE179" s="6">
        <v>1380</v>
      </c>
      <c r="AF179" s="6"/>
      <c r="AG179" s="34">
        <f t="shared" si="35"/>
        <v>233</v>
      </c>
      <c r="AH179" s="35">
        <v>1578</v>
      </c>
      <c r="AI179" s="35"/>
      <c r="AJ179" s="35">
        <f t="shared" si="36"/>
        <v>198</v>
      </c>
      <c r="AK179" s="6">
        <v>1798</v>
      </c>
      <c r="AL179" s="6"/>
      <c r="AM179" s="35">
        <f t="shared" si="37"/>
        <v>220</v>
      </c>
      <c r="AN179" s="6"/>
      <c r="AO179" s="6"/>
      <c r="AP179" s="35"/>
      <c r="AQ179" s="35">
        <v>33</v>
      </c>
      <c r="AR179" s="35">
        <v>2000</v>
      </c>
      <c r="AS179" s="35">
        <f t="shared" si="38"/>
        <v>235</v>
      </c>
      <c r="AT179" s="35">
        <v>264</v>
      </c>
      <c r="AU179" s="6"/>
      <c r="AV179" s="35">
        <f t="shared" si="48"/>
        <v>231</v>
      </c>
      <c r="AW179" s="6">
        <v>494</v>
      </c>
      <c r="AX179" s="6"/>
      <c r="AY179" s="6">
        <f t="shared" si="40"/>
        <v>230</v>
      </c>
      <c r="AZ179" s="6">
        <v>550</v>
      </c>
      <c r="BA179" s="6"/>
      <c r="BB179" s="6">
        <f t="shared" si="41"/>
        <v>56</v>
      </c>
      <c r="BC179" s="6"/>
      <c r="BD179" s="6"/>
      <c r="BE179" s="6"/>
      <c r="BF179" s="6"/>
      <c r="BG179" s="6"/>
      <c r="BH179" s="35"/>
      <c r="BI179" s="6"/>
      <c r="BJ179" s="6"/>
      <c r="BK179" s="6"/>
      <c r="BL179" s="6"/>
      <c r="BM179" s="6"/>
      <c r="BN179" s="35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>
        <v>780</v>
      </c>
      <c r="CH179" s="6"/>
      <c r="CI179" s="6">
        <f t="shared" si="42"/>
        <v>230</v>
      </c>
      <c r="CJ179" s="6">
        <v>1011</v>
      </c>
      <c r="CK179" s="6"/>
      <c r="CL179" s="6">
        <f t="shared" si="43"/>
        <v>231</v>
      </c>
      <c r="CM179" s="6">
        <v>1246</v>
      </c>
      <c r="CN179" s="6"/>
      <c r="CO179" s="6">
        <f t="shared" si="44"/>
        <v>235</v>
      </c>
      <c r="CP179" s="6">
        <v>1478</v>
      </c>
      <c r="CQ179" s="6"/>
      <c r="CR179" s="6">
        <f t="shared" si="45"/>
        <v>232</v>
      </c>
      <c r="CS179" s="6">
        <v>1709</v>
      </c>
      <c r="CT179" s="6"/>
      <c r="CU179" s="6">
        <f t="shared" si="46"/>
        <v>231</v>
      </c>
      <c r="CV179" s="6">
        <v>1919</v>
      </c>
      <c r="CW179" s="6"/>
      <c r="CX179" s="6">
        <f t="shared" si="47"/>
        <v>210</v>
      </c>
    </row>
    <row r="180" spans="1:102">
      <c r="A180" s="6">
        <v>176</v>
      </c>
      <c r="B180" s="6">
        <v>955</v>
      </c>
      <c r="C180" s="6"/>
      <c r="D180" s="6">
        <v>229</v>
      </c>
      <c r="E180" s="33" t="s">
        <v>124</v>
      </c>
      <c r="F180" s="33" t="s">
        <v>124</v>
      </c>
      <c r="G180" s="33" t="s">
        <v>124</v>
      </c>
      <c r="H180" s="33" t="s">
        <v>124</v>
      </c>
      <c r="I180" s="33" t="s">
        <v>124</v>
      </c>
      <c r="J180" s="33" t="s">
        <v>124</v>
      </c>
      <c r="K180" s="33" t="s">
        <v>124</v>
      </c>
      <c r="L180" s="33" t="s">
        <v>124</v>
      </c>
      <c r="M180" s="148" t="s">
        <v>124</v>
      </c>
      <c r="N180" s="33" t="s">
        <v>124</v>
      </c>
      <c r="O180" s="33" t="s">
        <v>124</v>
      </c>
      <c r="P180" s="33" t="s">
        <v>124</v>
      </c>
      <c r="Q180" s="33" t="s">
        <v>124</v>
      </c>
      <c r="R180" s="33" t="s">
        <v>124</v>
      </c>
      <c r="S180" s="33" t="s">
        <v>124</v>
      </c>
      <c r="T180" s="33" t="s">
        <v>124</v>
      </c>
      <c r="U180" s="33" t="s">
        <v>124</v>
      </c>
      <c r="V180" s="35">
        <v>1227</v>
      </c>
      <c r="W180" s="35"/>
      <c r="X180" s="35">
        <f t="shared" si="32"/>
        <v>272</v>
      </c>
      <c r="Y180" s="35">
        <v>1481</v>
      </c>
      <c r="Z180" s="35"/>
      <c r="AA180" s="35">
        <f t="shared" si="33"/>
        <v>254</v>
      </c>
      <c r="AB180" s="35">
        <v>1736</v>
      </c>
      <c r="AC180" s="35"/>
      <c r="AD180" s="35">
        <f t="shared" si="34"/>
        <v>255</v>
      </c>
      <c r="AE180" s="35">
        <v>69</v>
      </c>
      <c r="AF180" s="35">
        <v>1921</v>
      </c>
      <c r="AG180" s="34">
        <f t="shared" si="35"/>
        <v>254</v>
      </c>
      <c r="AH180" s="35">
        <v>303</v>
      </c>
      <c r="AI180" s="35"/>
      <c r="AJ180" s="35">
        <f t="shared" si="36"/>
        <v>234</v>
      </c>
      <c r="AK180" s="6">
        <v>544</v>
      </c>
      <c r="AL180" s="6"/>
      <c r="AM180" s="35">
        <f t="shared" si="37"/>
        <v>241</v>
      </c>
      <c r="AN180" s="6"/>
      <c r="AO180" s="6"/>
      <c r="AP180" s="35"/>
      <c r="AQ180" s="35">
        <v>0</v>
      </c>
      <c r="AR180" s="6">
        <v>764</v>
      </c>
      <c r="AS180" s="35">
        <f t="shared" si="38"/>
        <v>220</v>
      </c>
      <c r="AT180" s="6">
        <v>233</v>
      </c>
      <c r="AU180" s="6"/>
      <c r="AV180" s="35">
        <f t="shared" si="48"/>
        <v>233</v>
      </c>
      <c r="AW180" s="35">
        <v>486</v>
      </c>
      <c r="AX180" s="6"/>
      <c r="AY180" s="6">
        <f t="shared" si="40"/>
        <v>253</v>
      </c>
      <c r="AZ180" s="6">
        <v>545</v>
      </c>
      <c r="BA180" s="35"/>
      <c r="BB180" s="6">
        <f t="shared" si="41"/>
        <v>59</v>
      </c>
      <c r="BC180" s="6"/>
      <c r="BD180" s="6"/>
      <c r="BE180" s="6"/>
      <c r="BF180" s="6"/>
      <c r="BG180" s="6"/>
      <c r="BH180" s="35"/>
      <c r="BI180" s="6"/>
      <c r="BJ180" s="6"/>
      <c r="BK180" s="6"/>
      <c r="BL180" s="6"/>
      <c r="BM180" s="6"/>
      <c r="BN180" s="35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>
        <v>782</v>
      </c>
      <c r="CH180" s="6"/>
      <c r="CI180" s="6">
        <f t="shared" si="42"/>
        <v>237</v>
      </c>
      <c r="CJ180" s="6">
        <v>1036</v>
      </c>
      <c r="CK180" s="6"/>
      <c r="CL180" s="6">
        <f t="shared" si="43"/>
        <v>254</v>
      </c>
      <c r="CM180" s="6">
        <v>1290</v>
      </c>
      <c r="CN180" s="6"/>
      <c r="CO180" s="6">
        <f t="shared" si="44"/>
        <v>254</v>
      </c>
      <c r="CP180" s="6">
        <v>1544</v>
      </c>
      <c r="CQ180" s="6"/>
      <c r="CR180" s="6">
        <f t="shared" si="45"/>
        <v>254</v>
      </c>
      <c r="CS180" s="6">
        <v>1797</v>
      </c>
      <c r="CT180" s="6"/>
      <c r="CU180" s="6">
        <f t="shared" si="46"/>
        <v>253</v>
      </c>
      <c r="CV180" s="35">
        <v>26</v>
      </c>
      <c r="CW180" s="6">
        <v>2000</v>
      </c>
      <c r="CX180" s="6">
        <f t="shared" si="47"/>
        <v>229</v>
      </c>
    </row>
    <row r="181" spans="1:102">
      <c r="A181" s="6">
        <v>177</v>
      </c>
      <c r="B181" s="6">
        <v>134</v>
      </c>
      <c r="C181" s="6">
        <v>600</v>
      </c>
      <c r="D181" s="6">
        <v>264</v>
      </c>
      <c r="E181" s="33" t="s">
        <v>56</v>
      </c>
      <c r="F181" s="33" t="s">
        <v>56</v>
      </c>
      <c r="G181" s="33" t="s">
        <v>56</v>
      </c>
      <c r="H181" s="33" t="s">
        <v>56</v>
      </c>
      <c r="I181" s="33" t="s">
        <v>56</v>
      </c>
      <c r="J181" s="33" t="s">
        <v>56</v>
      </c>
      <c r="K181" s="33" t="s">
        <v>56</v>
      </c>
      <c r="L181" s="33" t="s">
        <v>56</v>
      </c>
      <c r="M181" s="33" t="s">
        <v>56</v>
      </c>
      <c r="N181" s="33" t="s">
        <v>56</v>
      </c>
      <c r="O181" s="33" t="s">
        <v>56</v>
      </c>
      <c r="P181" s="33" t="s">
        <v>56</v>
      </c>
      <c r="Q181" s="33" t="s">
        <v>56</v>
      </c>
      <c r="R181" s="33" t="s">
        <v>56</v>
      </c>
      <c r="S181" s="33" t="s">
        <v>56</v>
      </c>
      <c r="T181" s="33" t="s">
        <v>56</v>
      </c>
      <c r="U181" s="33" t="s">
        <v>56</v>
      </c>
      <c r="V181" s="35">
        <v>450</v>
      </c>
      <c r="W181" s="35"/>
      <c r="X181" s="35">
        <f t="shared" si="32"/>
        <v>316</v>
      </c>
      <c r="Y181" s="35">
        <v>142</v>
      </c>
      <c r="Z181" s="35">
        <v>600</v>
      </c>
      <c r="AA181" s="35">
        <f t="shared" si="33"/>
        <v>292</v>
      </c>
      <c r="AB181" s="6">
        <v>437</v>
      </c>
      <c r="AC181" s="6"/>
      <c r="AD181" s="35">
        <f t="shared" si="34"/>
        <v>295</v>
      </c>
      <c r="AE181" s="6">
        <v>219</v>
      </c>
      <c r="AF181" s="6">
        <v>474</v>
      </c>
      <c r="AG181" s="34">
        <f t="shared" si="35"/>
        <v>256</v>
      </c>
      <c r="AH181" s="35">
        <v>457</v>
      </c>
      <c r="AI181" s="35"/>
      <c r="AJ181" s="35">
        <f t="shared" si="36"/>
        <v>238</v>
      </c>
      <c r="AK181" s="6">
        <v>0</v>
      </c>
      <c r="AL181" s="6">
        <v>572</v>
      </c>
      <c r="AM181" s="35">
        <f t="shared" si="37"/>
        <v>115</v>
      </c>
      <c r="AN181" s="6"/>
      <c r="AO181" s="6"/>
      <c r="AP181" s="35"/>
      <c r="AQ181" s="6">
        <v>0</v>
      </c>
      <c r="AR181" s="35"/>
      <c r="AS181" s="35">
        <f t="shared" si="38"/>
        <v>0</v>
      </c>
      <c r="AT181" s="6">
        <v>0</v>
      </c>
      <c r="AU181" s="6"/>
      <c r="AV181" s="35">
        <f t="shared" si="48"/>
        <v>0</v>
      </c>
      <c r="AW181" s="35">
        <v>0</v>
      </c>
      <c r="AX181" s="6"/>
      <c r="AY181" s="6">
        <f t="shared" si="40"/>
        <v>0</v>
      </c>
      <c r="AZ181" s="6">
        <v>0</v>
      </c>
      <c r="BA181" s="6"/>
      <c r="BB181" s="6">
        <f t="shared" si="41"/>
        <v>0</v>
      </c>
      <c r="BC181" s="6"/>
      <c r="BD181" s="6"/>
      <c r="BE181" s="6"/>
      <c r="BF181" s="6"/>
      <c r="BG181" s="6"/>
      <c r="BH181" s="35"/>
      <c r="BI181" s="6"/>
      <c r="BJ181" s="6"/>
      <c r="BK181" s="6"/>
      <c r="BL181" s="6"/>
      <c r="BM181" s="6"/>
      <c r="BN181" s="35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>
        <v>0</v>
      </c>
      <c r="CH181" s="6"/>
      <c r="CI181" s="6">
        <f t="shared" si="42"/>
        <v>0</v>
      </c>
      <c r="CJ181" s="6">
        <v>0</v>
      </c>
      <c r="CK181" s="6"/>
      <c r="CL181" s="6">
        <f t="shared" si="43"/>
        <v>0</v>
      </c>
      <c r="CM181" s="6">
        <v>0</v>
      </c>
      <c r="CN181" s="6"/>
      <c r="CO181" s="6">
        <f t="shared" si="44"/>
        <v>0</v>
      </c>
      <c r="CP181" s="6">
        <v>0</v>
      </c>
      <c r="CQ181" s="6"/>
      <c r="CR181" s="6">
        <f t="shared" si="45"/>
        <v>0</v>
      </c>
      <c r="CS181" s="6">
        <v>0</v>
      </c>
      <c r="CT181" s="6"/>
      <c r="CU181" s="6">
        <f t="shared" si="46"/>
        <v>0</v>
      </c>
      <c r="CV181" s="6">
        <v>0</v>
      </c>
      <c r="CW181" s="6"/>
      <c r="CX181" s="6">
        <f t="shared" si="47"/>
        <v>0</v>
      </c>
    </row>
    <row r="182" spans="1:102">
      <c r="A182" s="6">
        <v>178</v>
      </c>
      <c r="B182" s="6">
        <v>285</v>
      </c>
      <c r="C182" s="6"/>
      <c r="D182" s="6">
        <v>203</v>
      </c>
      <c r="E182" s="33" t="s">
        <v>124</v>
      </c>
      <c r="F182" s="33" t="s">
        <v>124</v>
      </c>
      <c r="G182" s="33" t="s">
        <v>124</v>
      </c>
      <c r="H182" s="33" t="s">
        <v>124</v>
      </c>
      <c r="I182" s="33" t="s">
        <v>124</v>
      </c>
      <c r="J182" s="33" t="s">
        <v>124</v>
      </c>
      <c r="K182" s="33" t="s">
        <v>124</v>
      </c>
      <c r="L182" s="33" t="s">
        <v>124</v>
      </c>
      <c r="M182" s="33" t="s">
        <v>124</v>
      </c>
      <c r="N182" s="33" t="s">
        <v>124</v>
      </c>
      <c r="O182" s="33" t="s">
        <v>124</v>
      </c>
      <c r="P182" s="33" t="s">
        <v>124</v>
      </c>
      <c r="Q182" s="33" t="s">
        <v>124</v>
      </c>
      <c r="R182" s="33" t="s">
        <v>124</v>
      </c>
      <c r="S182" s="33" t="s">
        <v>124</v>
      </c>
      <c r="T182" s="33" t="s">
        <v>124</v>
      </c>
      <c r="U182" s="33" t="s">
        <v>124</v>
      </c>
      <c r="V182" s="6">
        <v>534</v>
      </c>
      <c r="W182" s="6"/>
      <c r="X182" s="35">
        <f t="shared" si="32"/>
        <v>249</v>
      </c>
      <c r="Y182" s="35">
        <v>764</v>
      </c>
      <c r="Z182" s="35"/>
      <c r="AA182" s="35">
        <f t="shared" si="33"/>
        <v>230</v>
      </c>
      <c r="AB182" s="6">
        <v>994</v>
      </c>
      <c r="AC182" s="6"/>
      <c r="AD182" s="35">
        <f t="shared" si="34"/>
        <v>230</v>
      </c>
      <c r="AE182" s="6">
        <v>1224</v>
      </c>
      <c r="AF182" s="6"/>
      <c r="AG182" s="34">
        <f t="shared" si="35"/>
        <v>230</v>
      </c>
      <c r="AH182" s="35">
        <v>1438</v>
      </c>
      <c r="AI182" s="35"/>
      <c r="AJ182" s="35">
        <f t="shared" si="36"/>
        <v>214</v>
      </c>
      <c r="AK182" s="6">
        <v>1655</v>
      </c>
      <c r="AL182" s="6"/>
      <c r="AM182" s="35">
        <f t="shared" si="37"/>
        <v>217</v>
      </c>
      <c r="AN182" s="6"/>
      <c r="AO182" s="6"/>
      <c r="AP182" s="35"/>
      <c r="AQ182" s="35">
        <v>1887</v>
      </c>
      <c r="AR182" s="35"/>
      <c r="AS182" s="35">
        <f t="shared" si="38"/>
        <v>232</v>
      </c>
      <c r="AT182" s="6">
        <v>107</v>
      </c>
      <c r="AU182" s="6">
        <v>2000</v>
      </c>
      <c r="AV182" s="35">
        <f t="shared" si="48"/>
        <v>220</v>
      </c>
      <c r="AW182" s="35">
        <v>339</v>
      </c>
      <c r="AX182" s="6"/>
      <c r="AY182" s="6">
        <f t="shared" si="40"/>
        <v>232</v>
      </c>
      <c r="AZ182" s="6">
        <v>387</v>
      </c>
      <c r="BA182" s="6"/>
      <c r="BB182" s="6">
        <f t="shared" si="41"/>
        <v>48</v>
      </c>
      <c r="BC182" s="6"/>
      <c r="BD182" s="6"/>
      <c r="BE182" s="6"/>
      <c r="BF182" s="6"/>
      <c r="BG182" s="6"/>
      <c r="BH182" s="35"/>
      <c r="BI182" s="6"/>
      <c r="BJ182" s="6"/>
      <c r="BK182" s="6"/>
      <c r="BL182" s="6"/>
      <c r="BM182" s="6"/>
      <c r="BN182" s="35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>
        <v>212</v>
      </c>
      <c r="CH182" s="6">
        <v>389</v>
      </c>
      <c r="CI182" s="6">
        <f t="shared" si="42"/>
        <v>214</v>
      </c>
      <c r="CJ182" s="6">
        <v>444</v>
      </c>
      <c r="CK182" s="6"/>
      <c r="CL182" s="6">
        <f t="shared" si="43"/>
        <v>232</v>
      </c>
      <c r="CM182" s="6">
        <v>676</v>
      </c>
      <c r="CN182" s="6"/>
      <c r="CO182" s="6">
        <f t="shared" si="44"/>
        <v>232</v>
      </c>
      <c r="CP182" s="6">
        <v>81</v>
      </c>
      <c r="CQ182" s="6">
        <v>825</v>
      </c>
      <c r="CR182" s="6">
        <f t="shared" si="45"/>
        <v>230</v>
      </c>
      <c r="CS182" s="6">
        <v>314</v>
      </c>
      <c r="CT182" s="6"/>
      <c r="CU182" s="6">
        <f t="shared" si="46"/>
        <v>233</v>
      </c>
      <c r="CV182" s="35">
        <v>523</v>
      </c>
      <c r="CW182" s="6"/>
      <c r="CX182" s="6">
        <f t="shared" si="47"/>
        <v>209</v>
      </c>
    </row>
    <row r="183" spans="1:102">
      <c r="A183" s="6">
        <v>179</v>
      </c>
      <c r="B183" s="6">
        <v>839</v>
      </c>
      <c r="C183" s="6"/>
      <c r="D183" s="6">
        <v>208</v>
      </c>
      <c r="E183" s="33" t="s">
        <v>124</v>
      </c>
      <c r="F183" s="33" t="s">
        <v>124</v>
      </c>
      <c r="G183" s="33" t="s">
        <v>124</v>
      </c>
      <c r="H183" s="33" t="s">
        <v>124</v>
      </c>
      <c r="I183" s="33" t="s">
        <v>124</v>
      </c>
      <c r="J183" s="33" t="s">
        <v>124</v>
      </c>
      <c r="K183" s="33" t="s">
        <v>124</v>
      </c>
      <c r="L183" s="33" t="s">
        <v>124</v>
      </c>
      <c r="M183" s="33" t="s">
        <v>124</v>
      </c>
      <c r="N183" s="33" t="s">
        <v>124</v>
      </c>
      <c r="O183" s="33" t="s">
        <v>124</v>
      </c>
      <c r="P183" s="33" t="s">
        <v>124</v>
      </c>
      <c r="Q183" s="33" t="s">
        <v>124</v>
      </c>
      <c r="R183" s="33" t="s">
        <v>124</v>
      </c>
      <c r="S183" s="33" t="s">
        <v>124</v>
      </c>
      <c r="T183" s="33" t="s">
        <v>124</v>
      </c>
      <c r="U183" s="33" t="s">
        <v>124</v>
      </c>
      <c r="V183" s="6">
        <v>1088</v>
      </c>
      <c r="W183" s="6"/>
      <c r="X183" s="35">
        <f t="shared" si="32"/>
        <v>249</v>
      </c>
      <c r="Y183" s="35">
        <v>1320</v>
      </c>
      <c r="Z183" s="35"/>
      <c r="AA183" s="35">
        <f t="shared" si="33"/>
        <v>232</v>
      </c>
      <c r="AB183" s="6">
        <v>1552</v>
      </c>
      <c r="AC183" s="6"/>
      <c r="AD183" s="35">
        <f t="shared" si="34"/>
        <v>232</v>
      </c>
      <c r="AE183" s="6">
        <v>222</v>
      </c>
      <c r="AF183" s="6">
        <v>1560</v>
      </c>
      <c r="AG183" s="34">
        <f t="shared" si="35"/>
        <v>230</v>
      </c>
      <c r="AH183" s="35">
        <v>417</v>
      </c>
      <c r="AI183" s="35"/>
      <c r="AJ183" s="35">
        <f t="shared" si="36"/>
        <v>195</v>
      </c>
      <c r="AK183" s="6">
        <v>635</v>
      </c>
      <c r="AL183" s="6"/>
      <c r="AM183" s="35">
        <f t="shared" si="37"/>
        <v>218</v>
      </c>
      <c r="AN183" s="6"/>
      <c r="AO183" s="6"/>
      <c r="AP183" s="35"/>
      <c r="AQ183" s="35">
        <v>864</v>
      </c>
      <c r="AR183" s="6"/>
      <c r="AS183" s="35">
        <f t="shared" si="38"/>
        <v>229</v>
      </c>
      <c r="AT183" s="6">
        <v>1096</v>
      </c>
      <c r="AU183" s="6"/>
      <c r="AV183" s="35">
        <f t="shared" si="48"/>
        <v>232</v>
      </c>
      <c r="AW183" s="35">
        <v>1325</v>
      </c>
      <c r="AX183" s="6"/>
      <c r="AY183" s="6">
        <f t="shared" si="40"/>
        <v>229</v>
      </c>
      <c r="AZ183" s="6">
        <v>1383</v>
      </c>
      <c r="BA183" s="6"/>
      <c r="BB183" s="6">
        <f t="shared" si="41"/>
        <v>58</v>
      </c>
      <c r="BC183" s="6"/>
      <c r="BD183" s="6"/>
      <c r="BE183" s="6"/>
      <c r="BF183" s="6"/>
      <c r="BG183" s="6"/>
      <c r="BH183" s="35"/>
      <c r="BI183" s="6"/>
      <c r="BJ183" s="6"/>
      <c r="BK183" s="6"/>
      <c r="BL183" s="6"/>
      <c r="BM183" s="6"/>
      <c r="BN183" s="35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>
        <v>1607</v>
      </c>
      <c r="CH183" s="6"/>
      <c r="CI183" s="6">
        <f t="shared" si="42"/>
        <v>224</v>
      </c>
      <c r="CJ183" s="6">
        <v>1835</v>
      </c>
      <c r="CK183" s="6"/>
      <c r="CL183" s="6">
        <f t="shared" si="43"/>
        <v>228</v>
      </c>
      <c r="CM183" s="6">
        <v>68</v>
      </c>
      <c r="CN183" s="6">
        <v>2000</v>
      </c>
      <c r="CO183" s="6">
        <f t="shared" si="44"/>
        <v>233</v>
      </c>
      <c r="CP183" s="6">
        <v>295</v>
      </c>
      <c r="CQ183" s="6"/>
      <c r="CR183" s="6">
        <f t="shared" si="45"/>
        <v>227</v>
      </c>
      <c r="CS183" s="6">
        <v>519</v>
      </c>
      <c r="CT183" s="6"/>
      <c r="CU183" s="6">
        <f t="shared" si="46"/>
        <v>224</v>
      </c>
      <c r="CV183" s="6">
        <v>722</v>
      </c>
      <c r="CW183" s="6"/>
      <c r="CX183" s="6">
        <f t="shared" si="47"/>
        <v>203</v>
      </c>
    </row>
    <row r="184" spans="1:102">
      <c r="A184" s="6">
        <v>180</v>
      </c>
      <c r="B184" s="6">
        <v>382</v>
      </c>
      <c r="C184" s="6"/>
      <c r="D184" s="6">
        <v>200</v>
      </c>
      <c r="E184" s="33" t="s">
        <v>124</v>
      </c>
      <c r="F184" s="33" t="s">
        <v>124</v>
      </c>
      <c r="G184" s="33" t="s">
        <v>124</v>
      </c>
      <c r="H184" s="33" t="s">
        <v>124</v>
      </c>
      <c r="I184" s="33" t="s">
        <v>124</v>
      </c>
      <c r="J184" s="33" t="s">
        <v>124</v>
      </c>
      <c r="K184" s="33" t="s">
        <v>124</v>
      </c>
      <c r="L184" s="33" t="s">
        <v>124</v>
      </c>
      <c r="M184" s="33" t="s">
        <v>124</v>
      </c>
      <c r="N184" s="33" t="s">
        <v>124</v>
      </c>
      <c r="O184" s="33" t="s">
        <v>124</v>
      </c>
      <c r="P184" s="33" t="s">
        <v>124</v>
      </c>
      <c r="Q184" s="33" t="s">
        <v>124</v>
      </c>
      <c r="R184" s="33" t="s">
        <v>124</v>
      </c>
      <c r="S184" s="33" t="s">
        <v>124</v>
      </c>
      <c r="T184" s="33" t="s">
        <v>124</v>
      </c>
      <c r="U184" s="33" t="s">
        <v>124</v>
      </c>
      <c r="V184" s="6">
        <v>621</v>
      </c>
      <c r="W184" s="6"/>
      <c r="X184" s="35">
        <f t="shared" si="32"/>
        <v>239</v>
      </c>
      <c r="Y184" s="35">
        <v>843</v>
      </c>
      <c r="Z184" s="35"/>
      <c r="AA184" s="35">
        <f t="shared" si="33"/>
        <v>222</v>
      </c>
      <c r="AB184" s="6">
        <v>1064</v>
      </c>
      <c r="AC184" s="6"/>
      <c r="AD184" s="35">
        <f t="shared" si="34"/>
        <v>221</v>
      </c>
      <c r="AE184" s="6">
        <v>1284</v>
      </c>
      <c r="AF184" s="6"/>
      <c r="AG184" s="34">
        <f t="shared" si="35"/>
        <v>220</v>
      </c>
      <c r="AH184" s="35">
        <v>1490</v>
      </c>
      <c r="AI184" s="35"/>
      <c r="AJ184" s="35">
        <f t="shared" si="36"/>
        <v>206</v>
      </c>
      <c r="AK184" s="6">
        <v>1701</v>
      </c>
      <c r="AL184" s="6"/>
      <c r="AM184" s="35">
        <f t="shared" si="37"/>
        <v>211</v>
      </c>
      <c r="AN184" s="6"/>
      <c r="AO184" s="6"/>
      <c r="AP184" s="35"/>
      <c r="AQ184" s="6">
        <v>1927</v>
      </c>
      <c r="AR184" s="35"/>
      <c r="AS184" s="35">
        <f t="shared" si="38"/>
        <v>226</v>
      </c>
      <c r="AT184" s="6">
        <v>145</v>
      </c>
      <c r="AU184" s="6">
        <v>2000</v>
      </c>
      <c r="AV184" s="35">
        <f t="shared" si="48"/>
        <v>218</v>
      </c>
      <c r="AW184" s="35">
        <v>366</v>
      </c>
      <c r="AX184" s="6"/>
      <c r="AY184" s="6">
        <f t="shared" si="40"/>
        <v>221</v>
      </c>
      <c r="AZ184" s="6">
        <v>426</v>
      </c>
      <c r="BA184" s="6"/>
      <c r="BB184" s="6">
        <f t="shared" si="41"/>
        <v>60</v>
      </c>
      <c r="BC184" s="6"/>
      <c r="BD184" s="6"/>
      <c r="BE184" s="6"/>
      <c r="BF184" s="6"/>
      <c r="BG184" s="6"/>
      <c r="BH184" s="35"/>
      <c r="BI184" s="35"/>
      <c r="BJ184" s="6"/>
      <c r="BK184" s="6"/>
      <c r="BL184" s="6"/>
      <c r="BM184" s="6"/>
      <c r="BN184" s="35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>
        <v>650</v>
      </c>
      <c r="CH184" s="6"/>
      <c r="CI184" s="6">
        <f t="shared" si="42"/>
        <v>224</v>
      </c>
      <c r="CJ184" s="6">
        <v>871</v>
      </c>
      <c r="CK184" s="6"/>
      <c r="CL184" s="6">
        <f t="shared" si="43"/>
        <v>221</v>
      </c>
      <c r="CM184" s="6">
        <v>1096</v>
      </c>
      <c r="CN184" s="6"/>
      <c r="CO184" s="6">
        <f t="shared" si="44"/>
        <v>225</v>
      </c>
      <c r="CP184" s="6">
        <v>1318</v>
      </c>
      <c r="CQ184" s="6"/>
      <c r="CR184" s="6">
        <f t="shared" si="45"/>
        <v>222</v>
      </c>
      <c r="CS184" s="6">
        <v>1537</v>
      </c>
      <c r="CT184" s="6"/>
      <c r="CU184" s="6">
        <f t="shared" si="46"/>
        <v>219</v>
      </c>
      <c r="CV184" s="6">
        <v>1739</v>
      </c>
      <c r="CW184" s="6"/>
      <c r="CX184" s="6">
        <f t="shared" si="47"/>
        <v>202</v>
      </c>
    </row>
    <row r="185" spans="1:102">
      <c r="A185" s="6">
        <v>181</v>
      </c>
      <c r="B185" s="6">
        <v>349</v>
      </c>
      <c r="C185" s="6"/>
      <c r="D185" s="6">
        <v>221</v>
      </c>
      <c r="E185" s="33" t="s">
        <v>72</v>
      </c>
      <c r="F185" s="33" t="s">
        <v>72</v>
      </c>
      <c r="G185" s="33" t="s">
        <v>72</v>
      </c>
      <c r="H185" s="33" t="s">
        <v>72</v>
      </c>
      <c r="I185" s="33" t="s">
        <v>72</v>
      </c>
      <c r="J185" s="33" t="s">
        <v>72</v>
      </c>
      <c r="K185" s="33" t="s">
        <v>72</v>
      </c>
      <c r="L185" s="33" t="s">
        <v>72</v>
      </c>
      <c r="M185" s="33" t="s">
        <v>72</v>
      </c>
      <c r="N185" s="33" t="s">
        <v>72</v>
      </c>
      <c r="O185" s="33" t="s">
        <v>72</v>
      </c>
      <c r="P185" s="33" t="s">
        <v>72</v>
      </c>
      <c r="Q185" s="33" t="s">
        <v>72</v>
      </c>
      <c r="R185" s="33" t="s">
        <v>72</v>
      </c>
      <c r="S185" s="148" t="s">
        <v>72</v>
      </c>
      <c r="T185" s="33" t="s">
        <v>72</v>
      </c>
      <c r="U185" s="33" t="s">
        <v>72</v>
      </c>
      <c r="V185" s="35">
        <v>602</v>
      </c>
      <c r="W185" s="35"/>
      <c r="X185" s="35">
        <f t="shared" si="32"/>
        <v>253</v>
      </c>
      <c r="Y185" s="35">
        <v>218</v>
      </c>
      <c r="Z185" s="35">
        <v>621</v>
      </c>
      <c r="AA185" s="35">
        <f t="shared" si="33"/>
        <v>237</v>
      </c>
      <c r="AB185" s="6">
        <v>463</v>
      </c>
      <c r="AC185" s="6"/>
      <c r="AD185" s="35">
        <f t="shared" si="34"/>
        <v>245</v>
      </c>
      <c r="AE185" s="6">
        <v>51</v>
      </c>
      <c r="AF185" s="6">
        <v>650</v>
      </c>
      <c r="AG185" s="34">
        <f t="shared" si="35"/>
        <v>238</v>
      </c>
      <c r="AH185" s="35">
        <v>296</v>
      </c>
      <c r="AI185" s="35"/>
      <c r="AJ185" s="35">
        <f t="shared" si="36"/>
        <v>245</v>
      </c>
      <c r="AK185" s="6">
        <v>24</v>
      </c>
      <c r="AL185" s="6">
        <v>488</v>
      </c>
      <c r="AM185" s="35">
        <f t="shared" si="37"/>
        <v>216</v>
      </c>
      <c r="AN185" s="6"/>
      <c r="AO185" s="6"/>
      <c r="AP185" s="35"/>
      <c r="AQ185" s="35">
        <v>274</v>
      </c>
      <c r="AR185" s="35"/>
      <c r="AS185" s="35">
        <f t="shared" si="38"/>
        <v>250</v>
      </c>
      <c r="AT185" s="6">
        <v>526</v>
      </c>
      <c r="AU185" s="6"/>
      <c r="AV185" s="35">
        <f t="shared" si="48"/>
        <v>252</v>
      </c>
      <c r="AW185" s="35">
        <v>774</v>
      </c>
      <c r="AX185" s="6"/>
      <c r="AY185" s="35">
        <f>AX185+AW185-AT185</f>
        <v>248</v>
      </c>
      <c r="AZ185" s="6">
        <v>47</v>
      </c>
      <c r="BA185" s="6">
        <v>794</v>
      </c>
      <c r="BB185" s="6">
        <f t="shared" si="41"/>
        <v>67</v>
      </c>
      <c r="BC185" s="6"/>
      <c r="BD185" s="6"/>
      <c r="BE185" s="6"/>
      <c r="BF185" s="6"/>
      <c r="BG185" s="6"/>
      <c r="BH185" s="35"/>
      <c r="BI185" s="6"/>
      <c r="BJ185" s="6"/>
      <c r="BK185" s="6"/>
      <c r="BL185" s="6"/>
      <c r="BM185" s="6"/>
      <c r="BN185" s="35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>
        <v>298</v>
      </c>
      <c r="CH185" s="6"/>
      <c r="CI185" s="6">
        <f t="shared" si="42"/>
        <v>251</v>
      </c>
      <c r="CJ185" s="6">
        <v>545</v>
      </c>
      <c r="CK185" s="6"/>
      <c r="CL185" s="6">
        <f t="shared" si="43"/>
        <v>247</v>
      </c>
      <c r="CM185" s="6">
        <v>0</v>
      </c>
      <c r="CN185" s="6">
        <v>699</v>
      </c>
      <c r="CO185" s="6">
        <f t="shared" si="44"/>
        <v>154</v>
      </c>
      <c r="CP185" s="6">
        <v>229</v>
      </c>
      <c r="CQ185" s="6"/>
      <c r="CR185" s="6">
        <f t="shared" si="45"/>
        <v>229</v>
      </c>
      <c r="CS185" s="6">
        <v>479</v>
      </c>
      <c r="CT185" s="6"/>
      <c r="CU185" s="6">
        <f t="shared" si="46"/>
        <v>250</v>
      </c>
      <c r="CV185" s="6">
        <v>706</v>
      </c>
      <c r="CW185" s="6"/>
      <c r="CX185" s="6">
        <f t="shared" si="47"/>
        <v>227</v>
      </c>
    </row>
    <row r="186" spans="1:102">
      <c r="A186" s="6">
        <v>182</v>
      </c>
      <c r="B186" s="6">
        <v>327</v>
      </c>
      <c r="C186" s="6"/>
      <c r="D186" s="6">
        <v>203</v>
      </c>
      <c r="E186" s="33" t="s">
        <v>72</v>
      </c>
      <c r="F186" s="33" t="s">
        <v>72</v>
      </c>
      <c r="G186" s="33" t="s">
        <v>72</v>
      </c>
      <c r="H186" s="33" t="s">
        <v>72</v>
      </c>
      <c r="I186" s="33" t="s">
        <v>72</v>
      </c>
      <c r="J186" s="33" t="s">
        <v>72</v>
      </c>
      <c r="K186" s="33" t="s">
        <v>72</v>
      </c>
      <c r="L186" s="33" t="s">
        <v>72</v>
      </c>
      <c r="M186" s="33" t="s">
        <v>72</v>
      </c>
      <c r="N186" s="33" t="s">
        <v>72</v>
      </c>
      <c r="O186" s="33" t="s">
        <v>72</v>
      </c>
      <c r="P186" s="33" t="s">
        <v>72</v>
      </c>
      <c r="Q186" s="33" t="s">
        <v>72</v>
      </c>
      <c r="R186" s="33" t="s">
        <v>72</v>
      </c>
      <c r="S186" s="33" t="s">
        <v>72</v>
      </c>
      <c r="T186" s="33" t="s">
        <v>72</v>
      </c>
      <c r="U186" s="33" t="s">
        <v>72</v>
      </c>
      <c r="V186" s="6">
        <v>570</v>
      </c>
      <c r="W186" s="6"/>
      <c r="X186" s="35">
        <f t="shared" si="32"/>
        <v>243</v>
      </c>
      <c r="Y186" s="35">
        <v>791</v>
      </c>
      <c r="Z186" s="35"/>
      <c r="AA186" s="35">
        <f t="shared" si="33"/>
        <v>221</v>
      </c>
      <c r="AB186" s="6">
        <v>1018</v>
      </c>
      <c r="AC186" s="6"/>
      <c r="AD186" s="35">
        <f t="shared" si="34"/>
        <v>227</v>
      </c>
      <c r="AE186" s="6">
        <v>156</v>
      </c>
      <c r="AF186" s="6">
        <v>1100</v>
      </c>
      <c r="AG186" s="34">
        <f t="shared" si="35"/>
        <v>238</v>
      </c>
      <c r="AH186" s="35">
        <v>394</v>
      </c>
      <c r="AI186" s="35"/>
      <c r="AJ186" s="35">
        <f t="shared" si="36"/>
        <v>238</v>
      </c>
      <c r="AK186" s="6">
        <v>21</v>
      </c>
      <c r="AL186" s="6">
        <v>581</v>
      </c>
      <c r="AM186" s="35">
        <f t="shared" si="37"/>
        <v>208</v>
      </c>
      <c r="AN186" s="6"/>
      <c r="AO186" s="6"/>
      <c r="AP186" s="35"/>
      <c r="AQ186" s="35">
        <v>221</v>
      </c>
      <c r="AR186" s="35"/>
      <c r="AS186" s="35">
        <f t="shared" si="38"/>
        <v>200</v>
      </c>
      <c r="AT186" s="6">
        <v>440</v>
      </c>
      <c r="AU186" s="6"/>
      <c r="AV186" s="35">
        <f t="shared" si="48"/>
        <v>219</v>
      </c>
      <c r="AW186" s="35">
        <v>676</v>
      </c>
      <c r="AX186" s="6"/>
      <c r="AY186" s="6">
        <f t="shared" si="40"/>
        <v>236</v>
      </c>
      <c r="AZ186" s="6">
        <v>739</v>
      </c>
      <c r="BA186" s="6"/>
      <c r="BB186" s="6">
        <f t="shared" si="41"/>
        <v>63</v>
      </c>
      <c r="BC186" s="6"/>
      <c r="BD186" s="6"/>
      <c r="BE186" s="6"/>
      <c r="BF186" s="6"/>
      <c r="BG186" s="6"/>
      <c r="BH186" s="35"/>
      <c r="BI186" s="6"/>
      <c r="BJ186" s="6"/>
      <c r="BK186" s="6"/>
      <c r="BL186" s="6"/>
      <c r="BM186" s="6"/>
      <c r="BN186" s="35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>
        <v>964</v>
      </c>
      <c r="CH186" s="6"/>
      <c r="CI186" s="6">
        <f t="shared" si="42"/>
        <v>225</v>
      </c>
      <c r="CJ186" s="6">
        <v>107</v>
      </c>
      <c r="CK186" s="6">
        <v>1100</v>
      </c>
      <c r="CL186" s="6">
        <f t="shared" si="43"/>
        <v>243</v>
      </c>
      <c r="CM186" s="6">
        <v>352</v>
      </c>
      <c r="CN186" s="6"/>
      <c r="CO186" s="6">
        <f t="shared" si="44"/>
        <v>245</v>
      </c>
      <c r="CP186" s="6">
        <v>598</v>
      </c>
      <c r="CQ186" s="6"/>
      <c r="CR186" s="6">
        <f t="shared" si="45"/>
        <v>246</v>
      </c>
      <c r="CS186" s="6">
        <v>829</v>
      </c>
      <c r="CT186" s="6"/>
      <c r="CU186" s="6">
        <f t="shared" si="46"/>
        <v>231</v>
      </c>
      <c r="CV186" s="6">
        <v>1045</v>
      </c>
      <c r="CW186" s="6"/>
      <c r="CX186" s="6">
        <f t="shared" si="47"/>
        <v>216</v>
      </c>
    </row>
    <row r="187" spans="1:102">
      <c r="A187" s="6">
        <v>183</v>
      </c>
      <c r="B187" s="6">
        <v>151</v>
      </c>
      <c r="C187" s="6">
        <v>380</v>
      </c>
      <c r="D187" s="6">
        <v>191</v>
      </c>
      <c r="E187" s="148" t="s">
        <v>72</v>
      </c>
      <c r="F187" s="33" t="s">
        <v>72</v>
      </c>
      <c r="G187" s="33" t="s">
        <v>72</v>
      </c>
      <c r="H187" s="33" t="s">
        <v>72</v>
      </c>
      <c r="I187" s="33" t="s">
        <v>72</v>
      </c>
      <c r="J187" s="33" t="s">
        <v>72</v>
      </c>
      <c r="K187" s="33" t="s">
        <v>72</v>
      </c>
      <c r="L187" s="33" t="s">
        <v>72</v>
      </c>
      <c r="M187" s="33" t="s">
        <v>72</v>
      </c>
      <c r="N187" s="33" t="s">
        <v>72</v>
      </c>
      <c r="O187" s="33" t="s">
        <v>72</v>
      </c>
      <c r="P187" s="33" t="s">
        <v>72</v>
      </c>
      <c r="Q187" s="33" t="s">
        <v>72</v>
      </c>
      <c r="R187" s="33" t="s">
        <v>72</v>
      </c>
      <c r="S187" s="33" t="s">
        <v>72</v>
      </c>
      <c r="T187" s="33" t="s">
        <v>72</v>
      </c>
      <c r="U187" s="33" t="s">
        <v>72</v>
      </c>
      <c r="V187" s="6">
        <v>398</v>
      </c>
      <c r="W187" s="6"/>
      <c r="X187" s="35">
        <f t="shared" si="32"/>
        <v>247</v>
      </c>
      <c r="Y187" s="35">
        <v>623</v>
      </c>
      <c r="Z187" s="35"/>
      <c r="AA187" s="35">
        <f t="shared" si="33"/>
        <v>225</v>
      </c>
      <c r="AB187" s="6">
        <v>52</v>
      </c>
      <c r="AC187" s="6">
        <v>800</v>
      </c>
      <c r="AD187" s="35">
        <f t="shared" si="34"/>
        <v>229</v>
      </c>
      <c r="AE187" s="6">
        <v>285</v>
      </c>
      <c r="AF187" s="6"/>
      <c r="AG187" s="34">
        <f t="shared" si="35"/>
        <v>233</v>
      </c>
      <c r="AH187" s="35">
        <v>532</v>
      </c>
      <c r="AI187" s="35"/>
      <c r="AJ187" s="35">
        <f t="shared" si="36"/>
        <v>247</v>
      </c>
      <c r="AK187" s="6">
        <v>750</v>
      </c>
      <c r="AL187" s="6"/>
      <c r="AM187" s="35">
        <f t="shared" si="37"/>
        <v>218</v>
      </c>
      <c r="AN187" s="6"/>
      <c r="AO187" s="6"/>
      <c r="AP187" s="35"/>
      <c r="AQ187" s="35">
        <v>1001</v>
      </c>
      <c r="AR187" s="35"/>
      <c r="AS187" s="35">
        <f t="shared" si="38"/>
        <v>251</v>
      </c>
      <c r="AT187" s="6">
        <v>152</v>
      </c>
      <c r="AU187" s="6">
        <v>1100</v>
      </c>
      <c r="AV187" s="35">
        <f t="shared" si="48"/>
        <v>251</v>
      </c>
      <c r="AW187" s="35">
        <v>400</v>
      </c>
      <c r="AX187" s="6"/>
      <c r="AY187" s="6">
        <f t="shared" si="40"/>
        <v>248</v>
      </c>
      <c r="AZ187" s="6">
        <v>467</v>
      </c>
      <c r="BA187" s="6"/>
      <c r="BB187" s="6">
        <f t="shared" si="41"/>
        <v>67</v>
      </c>
      <c r="BC187" s="6"/>
      <c r="BD187" s="6"/>
      <c r="BE187" s="6"/>
      <c r="BF187" s="6"/>
      <c r="BG187" s="6"/>
      <c r="BH187" s="35"/>
      <c r="BI187" s="6"/>
      <c r="BJ187" s="6"/>
      <c r="BK187" s="6"/>
      <c r="BL187" s="6"/>
      <c r="BM187" s="6"/>
      <c r="BN187" s="35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>
        <v>718</v>
      </c>
      <c r="CH187" s="6"/>
      <c r="CI187" s="6">
        <f t="shared" si="42"/>
        <v>251</v>
      </c>
      <c r="CJ187" s="6">
        <v>958</v>
      </c>
      <c r="CK187" s="6"/>
      <c r="CL187" s="6">
        <f t="shared" si="43"/>
        <v>240</v>
      </c>
      <c r="CM187" s="6">
        <v>110</v>
      </c>
      <c r="CN187" s="6">
        <v>1100</v>
      </c>
      <c r="CO187" s="6">
        <f t="shared" si="44"/>
        <v>252</v>
      </c>
      <c r="CP187" s="6">
        <v>359</v>
      </c>
      <c r="CQ187" s="6"/>
      <c r="CR187" s="6">
        <f t="shared" si="45"/>
        <v>249</v>
      </c>
      <c r="CS187" s="6">
        <v>607</v>
      </c>
      <c r="CT187" s="6"/>
      <c r="CU187" s="6">
        <f t="shared" si="46"/>
        <v>248</v>
      </c>
      <c r="CV187" s="6">
        <v>836</v>
      </c>
      <c r="CW187" s="6"/>
      <c r="CX187" s="6">
        <f t="shared" si="47"/>
        <v>229</v>
      </c>
    </row>
    <row r="188" spans="1:102">
      <c r="A188" s="6">
        <v>184</v>
      </c>
      <c r="B188" s="6">
        <v>546</v>
      </c>
      <c r="C188" s="6"/>
      <c r="D188" s="6">
        <v>195</v>
      </c>
      <c r="E188" s="33" t="s">
        <v>79</v>
      </c>
      <c r="F188" s="33" t="s">
        <v>79</v>
      </c>
      <c r="G188" s="33" t="s">
        <v>79</v>
      </c>
      <c r="H188" s="33" t="s">
        <v>79</v>
      </c>
      <c r="I188" s="33" t="s">
        <v>79</v>
      </c>
      <c r="J188" s="33" t="s">
        <v>79</v>
      </c>
      <c r="K188" s="33" t="s">
        <v>79</v>
      </c>
      <c r="L188" s="33" t="s">
        <v>79</v>
      </c>
      <c r="M188" s="33" t="s">
        <v>79</v>
      </c>
      <c r="N188" s="33" t="s">
        <v>79</v>
      </c>
      <c r="O188" s="33" t="s">
        <v>79</v>
      </c>
      <c r="P188" s="33" t="s">
        <v>79</v>
      </c>
      <c r="Q188" s="33" t="s">
        <v>79</v>
      </c>
      <c r="R188" s="33" t="s">
        <v>79</v>
      </c>
      <c r="S188" s="33" t="s">
        <v>79</v>
      </c>
      <c r="T188" s="33" t="s">
        <v>79</v>
      </c>
      <c r="U188" s="33" t="s">
        <v>79</v>
      </c>
      <c r="V188" s="6">
        <v>787</v>
      </c>
      <c r="W188" s="6"/>
      <c r="X188" s="35">
        <f t="shared" si="32"/>
        <v>241</v>
      </c>
      <c r="Y188" s="35">
        <v>207</v>
      </c>
      <c r="Z188" s="35">
        <v>800</v>
      </c>
      <c r="AA188" s="35">
        <f t="shared" si="33"/>
        <v>220</v>
      </c>
      <c r="AB188" s="6">
        <v>434</v>
      </c>
      <c r="AC188" s="6"/>
      <c r="AD188" s="35">
        <f t="shared" si="34"/>
        <v>227</v>
      </c>
      <c r="AE188" s="6">
        <v>665</v>
      </c>
      <c r="AF188" s="6"/>
      <c r="AG188" s="34">
        <f t="shared" si="35"/>
        <v>231</v>
      </c>
      <c r="AH188" s="35">
        <v>107</v>
      </c>
      <c r="AI188" s="35">
        <v>800</v>
      </c>
      <c r="AJ188" s="35">
        <f t="shared" si="36"/>
        <v>242</v>
      </c>
      <c r="AK188" s="6">
        <v>327</v>
      </c>
      <c r="AL188" s="6"/>
      <c r="AM188" s="35">
        <f t="shared" si="37"/>
        <v>220</v>
      </c>
      <c r="AN188" s="6"/>
      <c r="AO188" s="6"/>
      <c r="AP188" s="35"/>
      <c r="AQ188" s="35">
        <v>579</v>
      </c>
      <c r="AR188" s="35"/>
      <c r="AS188" s="35">
        <f t="shared" si="38"/>
        <v>252</v>
      </c>
      <c r="AT188" s="6">
        <v>26</v>
      </c>
      <c r="AU188" s="6">
        <v>800</v>
      </c>
      <c r="AV188" s="35">
        <f t="shared" si="48"/>
        <v>247</v>
      </c>
      <c r="AW188" s="35">
        <v>273</v>
      </c>
      <c r="AX188" s="6"/>
      <c r="AY188" s="6">
        <f t="shared" si="40"/>
        <v>247</v>
      </c>
      <c r="AZ188" s="6">
        <v>333</v>
      </c>
      <c r="BA188" s="6"/>
      <c r="BB188" s="6">
        <f t="shared" si="41"/>
        <v>60</v>
      </c>
      <c r="BC188" s="6"/>
      <c r="BD188" s="6"/>
      <c r="BE188" s="6"/>
      <c r="BF188" s="6"/>
      <c r="BG188" s="6"/>
      <c r="BH188" s="35"/>
      <c r="BI188" s="6"/>
      <c r="BJ188" s="6"/>
      <c r="BK188" s="6"/>
      <c r="BL188" s="6"/>
      <c r="BM188" s="6"/>
      <c r="BN188" s="35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>
        <v>578</v>
      </c>
      <c r="CH188" s="6"/>
      <c r="CI188" s="6">
        <f t="shared" si="42"/>
        <v>245</v>
      </c>
      <c r="CJ188" s="6">
        <v>17</v>
      </c>
      <c r="CK188" s="6">
        <v>800</v>
      </c>
      <c r="CL188" s="6">
        <f t="shared" si="43"/>
        <v>239</v>
      </c>
      <c r="CM188" s="6">
        <v>266</v>
      </c>
      <c r="CN188" s="6"/>
      <c r="CO188" s="6">
        <f t="shared" si="44"/>
        <v>249</v>
      </c>
      <c r="CP188" s="6">
        <v>515</v>
      </c>
      <c r="CQ188" s="6"/>
      <c r="CR188" s="6">
        <f t="shared" si="45"/>
        <v>249</v>
      </c>
      <c r="CS188" s="6">
        <v>759</v>
      </c>
      <c r="CT188" s="6"/>
      <c r="CU188" s="6">
        <f t="shared" si="46"/>
        <v>244</v>
      </c>
      <c r="CV188" s="6">
        <v>983</v>
      </c>
      <c r="CW188" s="6"/>
      <c r="CX188" s="6">
        <f t="shared" si="47"/>
        <v>224</v>
      </c>
    </row>
    <row r="189" spans="1:102">
      <c r="A189" s="6">
        <v>185</v>
      </c>
      <c r="B189" s="6">
        <v>73</v>
      </c>
      <c r="C189" s="6">
        <v>422</v>
      </c>
      <c r="D189" s="6">
        <v>208</v>
      </c>
      <c r="E189" s="33" t="s">
        <v>72</v>
      </c>
      <c r="F189" s="33" t="s">
        <v>72</v>
      </c>
      <c r="G189" s="33" t="s">
        <v>72</v>
      </c>
      <c r="H189" s="33" t="s">
        <v>72</v>
      </c>
      <c r="I189" s="33" t="s">
        <v>72</v>
      </c>
      <c r="J189" s="33" t="s">
        <v>72</v>
      </c>
      <c r="K189" s="33" t="s">
        <v>72</v>
      </c>
      <c r="L189" s="33" t="s">
        <v>72</v>
      </c>
      <c r="M189" s="33" t="s">
        <v>72</v>
      </c>
      <c r="N189" s="33" t="s">
        <v>72</v>
      </c>
      <c r="O189" s="33" t="s">
        <v>72</v>
      </c>
      <c r="P189" s="33" t="s">
        <v>72</v>
      </c>
      <c r="Q189" s="33" t="s">
        <v>72</v>
      </c>
      <c r="R189" s="33" t="s">
        <v>72</v>
      </c>
      <c r="S189" s="33" t="s">
        <v>72</v>
      </c>
      <c r="T189" s="148" t="s">
        <v>72</v>
      </c>
      <c r="U189" s="33" t="s">
        <v>72</v>
      </c>
      <c r="V189" s="6">
        <v>317</v>
      </c>
      <c r="W189" s="6"/>
      <c r="X189" s="35">
        <f t="shared" si="32"/>
        <v>244</v>
      </c>
      <c r="Y189" s="35">
        <v>547</v>
      </c>
      <c r="Z189" s="35"/>
      <c r="AA189" s="35">
        <f t="shared" si="33"/>
        <v>230</v>
      </c>
      <c r="AB189" s="6">
        <v>36</v>
      </c>
      <c r="AC189" s="6">
        <v>733</v>
      </c>
      <c r="AD189" s="35">
        <f t="shared" si="34"/>
        <v>222</v>
      </c>
      <c r="AE189" s="6">
        <v>276</v>
      </c>
      <c r="AF189" s="6"/>
      <c r="AG189" s="34">
        <f t="shared" si="35"/>
        <v>240</v>
      </c>
      <c r="AH189" s="35">
        <v>515</v>
      </c>
      <c r="AI189" s="35"/>
      <c r="AJ189" s="35">
        <f t="shared" si="36"/>
        <v>239</v>
      </c>
      <c r="AK189" s="6">
        <v>712</v>
      </c>
      <c r="AL189" s="6"/>
      <c r="AM189" s="35">
        <f t="shared" si="37"/>
        <v>197</v>
      </c>
      <c r="AN189" s="6"/>
      <c r="AO189" s="6"/>
      <c r="AP189" s="35"/>
      <c r="AQ189" s="35">
        <v>963</v>
      </c>
      <c r="AR189" s="35"/>
      <c r="AS189" s="35">
        <f t="shared" si="38"/>
        <v>251</v>
      </c>
      <c r="AT189" s="6">
        <v>206</v>
      </c>
      <c r="AU189" s="6">
        <v>999</v>
      </c>
      <c r="AV189" s="35">
        <f t="shared" si="48"/>
        <v>242</v>
      </c>
      <c r="AW189" s="35">
        <v>455</v>
      </c>
      <c r="AX189" s="6"/>
      <c r="AY189" s="6">
        <f t="shared" si="40"/>
        <v>249</v>
      </c>
      <c r="AZ189" s="6">
        <v>517</v>
      </c>
      <c r="BA189" s="6"/>
      <c r="BB189" s="6">
        <f t="shared" si="41"/>
        <v>62</v>
      </c>
      <c r="BC189" s="6"/>
      <c r="BD189" s="6"/>
      <c r="BE189" s="6"/>
      <c r="BF189" s="6"/>
      <c r="BG189" s="6"/>
      <c r="BH189" s="35"/>
      <c r="BI189" s="6"/>
      <c r="BJ189" s="6"/>
      <c r="BK189" s="6"/>
      <c r="BL189" s="6"/>
      <c r="BM189" s="6"/>
      <c r="BN189" s="35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>
        <v>768</v>
      </c>
      <c r="CH189" s="6"/>
      <c r="CI189" s="6">
        <f t="shared" si="42"/>
        <v>251</v>
      </c>
      <c r="CJ189" s="6">
        <v>1010</v>
      </c>
      <c r="CK189" s="6"/>
      <c r="CL189" s="6">
        <f t="shared" si="43"/>
        <v>242</v>
      </c>
      <c r="CM189" s="6">
        <v>153</v>
      </c>
      <c r="CN189" s="6">
        <v>1100</v>
      </c>
      <c r="CO189" s="6">
        <f t="shared" si="44"/>
        <v>243</v>
      </c>
      <c r="CP189" s="6">
        <v>0</v>
      </c>
      <c r="CQ189" s="6">
        <v>383</v>
      </c>
      <c r="CR189" s="6">
        <f t="shared" si="45"/>
        <v>230</v>
      </c>
      <c r="CS189" s="6">
        <v>229</v>
      </c>
      <c r="CT189" s="6"/>
      <c r="CU189" s="6">
        <f t="shared" si="46"/>
        <v>229</v>
      </c>
      <c r="CV189" s="6">
        <v>453</v>
      </c>
      <c r="CW189" s="6"/>
      <c r="CX189" s="6">
        <f t="shared" si="47"/>
        <v>224</v>
      </c>
    </row>
    <row r="190" spans="1:102" ht="14.25" customHeight="1">
      <c r="A190" s="6">
        <v>186</v>
      </c>
      <c r="B190" s="6">
        <v>766</v>
      </c>
      <c r="C190" s="6"/>
      <c r="D190" s="6">
        <v>207</v>
      </c>
      <c r="E190" s="33" t="s">
        <v>72</v>
      </c>
      <c r="F190" s="33" t="s">
        <v>72</v>
      </c>
      <c r="G190" s="33" t="s">
        <v>72</v>
      </c>
      <c r="H190" s="33" t="s">
        <v>72</v>
      </c>
      <c r="I190" s="33" t="s">
        <v>72</v>
      </c>
      <c r="J190" s="33" t="s">
        <v>72</v>
      </c>
      <c r="K190" s="33" t="s">
        <v>72</v>
      </c>
      <c r="L190" s="33" t="s">
        <v>72</v>
      </c>
      <c r="M190" s="33" t="s">
        <v>72</v>
      </c>
      <c r="N190" s="33" t="s">
        <v>72</v>
      </c>
      <c r="O190" s="33" t="s">
        <v>72</v>
      </c>
      <c r="P190" s="33" t="s">
        <v>72</v>
      </c>
      <c r="Q190" s="33" t="s">
        <v>72</v>
      </c>
      <c r="R190" s="33" t="s">
        <v>72</v>
      </c>
      <c r="S190" s="33" t="s">
        <v>72</v>
      </c>
      <c r="T190" s="148" t="s">
        <v>72</v>
      </c>
      <c r="U190" s="33" t="s">
        <v>72</v>
      </c>
      <c r="V190" s="35">
        <v>212</v>
      </c>
      <c r="W190" s="35">
        <v>800</v>
      </c>
      <c r="X190" s="35">
        <f t="shared" si="32"/>
        <v>246</v>
      </c>
      <c r="Y190" s="35">
        <v>441</v>
      </c>
      <c r="Z190" s="35"/>
      <c r="AA190" s="35">
        <f t="shared" si="33"/>
        <v>229</v>
      </c>
      <c r="AB190" s="6">
        <v>672</v>
      </c>
      <c r="AC190" s="6"/>
      <c r="AD190" s="35">
        <f t="shared" si="34"/>
        <v>231</v>
      </c>
      <c r="AE190" s="6">
        <v>917</v>
      </c>
      <c r="AF190" s="6"/>
      <c r="AG190" s="34">
        <f t="shared" si="35"/>
        <v>245</v>
      </c>
      <c r="AH190" s="35">
        <v>210</v>
      </c>
      <c r="AI190" s="35">
        <v>948</v>
      </c>
      <c r="AJ190" s="35">
        <f t="shared" si="36"/>
        <v>241</v>
      </c>
      <c r="AK190" s="6">
        <v>155</v>
      </c>
      <c r="AL190" s="6">
        <v>259</v>
      </c>
      <c r="AM190" s="35">
        <f t="shared" si="37"/>
        <v>204</v>
      </c>
      <c r="AN190" s="6"/>
      <c r="AO190" s="6"/>
      <c r="AP190" s="35"/>
      <c r="AQ190" s="6">
        <v>399</v>
      </c>
      <c r="AR190" s="6"/>
      <c r="AS190" s="35">
        <f t="shared" si="38"/>
        <v>244</v>
      </c>
      <c r="AT190" s="6">
        <v>138</v>
      </c>
      <c r="AU190" s="6">
        <v>502</v>
      </c>
      <c r="AV190" s="35">
        <f t="shared" si="48"/>
        <v>241</v>
      </c>
      <c r="AW190" s="35">
        <v>379</v>
      </c>
      <c r="AX190" s="6"/>
      <c r="AY190" s="6">
        <f t="shared" si="40"/>
        <v>241</v>
      </c>
      <c r="AZ190" s="6">
        <v>436</v>
      </c>
      <c r="BA190" s="35"/>
      <c r="BB190" s="6">
        <f t="shared" si="41"/>
        <v>57</v>
      </c>
      <c r="BC190" s="6"/>
      <c r="BD190" s="6"/>
      <c r="BE190" s="6"/>
      <c r="BF190" s="6"/>
      <c r="BG190" s="6"/>
      <c r="BH190" s="35"/>
      <c r="BI190" s="6"/>
      <c r="BJ190" s="6"/>
      <c r="BK190" s="6"/>
      <c r="BL190" s="6"/>
      <c r="BM190" s="6"/>
      <c r="BN190" s="35"/>
      <c r="BO190" s="6"/>
      <c r="BP190" s="35"/>
      <c r="BQ190" s="6"/>
      <c r="BR190" s="6"/>
      <c r="BS190" s="6"/>
      <c r="BT190" s="35"/>
      <c r="BU190" s="6"/>
      <c r="BV190" s="35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35">
        <v>680</v>
      </c>
      <c r="CH190" s="6"/>
      <c r="CI190" s="6">
        <f t="shared" si="42"/>
        <v>244</v>
      </c>
      <c r="CJ190" s="6">
        <v>933</v>
      </c>
      <c r="CK190" s="6"/>
      <c r="CL190" s="6">
        <f t="shared" si="43"/>
        <v>253</v>
      </c>
      <c r="CM190" s="6">
        <v>84</v>
      </c>
      <c r="CN190" s="6">
        <v>1100</v>
      </c>
      <c r="CO190" s="6">
        <f t="shared" si="44"/>
        <v>251</v>
      </c>
      <c r="CP190" s="6">
        <v>324</v>
      </c>
      <c r="CQ190" s="6"/>
      <c r="CR190" s="6">
        <f t="shared" si="45"/>
        <v>240</v>
      </c>
      <c r="CS190" s="6">
        <v>180</v>
      </c>
      <c r="CT190" s="6">
        <v>385</v>
      </c>
      <c r="CU190" s="6">
        <f t="shared" si="46"/>
        <v>241</v>
      </c>
      <c r="CV190" s="6">
        <v>404</v>
      </c>
      <c r="CW190" s="6"/>
      <c r="CX190" s="6">
        <f t="shared" si="47"/>
        <v>224</v>
      </c>
    </row>
    <row r="191" spans="1:102">
      <c r="A191" s="6">
        <v>187</v>
      </c>
      <c r="B191" s="6">
        <v>756</v>
      </c>
      <c r="C191" s="6"/>
      <c r="D191" s="6">
        <v>199</v>
      </c>
      <c r="E191" s="33" t="s">
        <v>79</v>
      </c>
      <c r="F191" s="33" t="s">
        <v>79</v>
      </c>
      <c r="G191" s="33" t="s">
        <v>79</v>
      </c>
      <c r="H191" s="33" t="s">
        <v>79</v>
      </c>
      <c r="I191" s="33" t="s">
        <v>79</v>
      </c>
      <c r="J191" s="33" t="s">
        <v>79</v>
      </c>
      <c r="K191" s="33" t="s">
        <v>79</v>
      </c>
      <c r="L191" s="33" t="s">
        <v>79</v>
      </c>
      <c r="M191" s="33" t="s">
        <v>79</v>
      </c>
      <c r="N191" s="33" t="s">
        <v>79</v>
      </c>
      <c r="O191" s="33" t="s">
        <v>79</v>
      </c>
      <c r="P191" s="33" t="s">
        <v>79</v>
      </c>
      <c r="Q191" s="33" t="s">
        <v>79</v>
      </c>
      <c r="R191" s="33" t="s">
        <v>79</v>
      </c>
      <c r="S191" s="33" t="s">
        <v>79</v>
      </c>
      <c r="T191" s="33" t="s">
        <v>79</v>
      </c>
      <c r="U191" s="33" t="s">
        <v>79</v>
      </c>
      <c r="V191" s="6">
        <v>189</v>
      </c>
      <c r="W191" s="6">
        <v>800</v>
      </c>
      <c r="X191" s="35">
        <f t="shared" si="32"/>
        <v>233</v>
      </c>
      <c r="Y191" s="35">
        <v>412</v>
      </c>
      <c r="Z191" s="35"/>
      <c r="AA191" s="35">
        <f t="shared" si="33"/>
        <v>223</v>
      </c>
      <c r="AB191" s="6">
        <v>634</v>
      </c>
      <c r="AC191" s="6"/>
      <c r="AD191" s="35">
        <f t="shared" si="34"/>
        <v>222</v>
      </c>
      <c r="AE191" s="6">
        <v>69</v>
      </c>
      <c r="AF191" s="6">
        <v>805</v>
      </c>
      <c r="AG191" s="34">
        <f t="shared" si="35"/>
        <v>240</v>
      </c>
      <c r="AH191" s="35">
        <v>313</v>
      </c>
      <c r="AI191" s="35"/>
      <c r="AJ191" s="35">
        <f t="shared" si="36"/>
        <v>244</v>
      </c>
      <c r="AK191" s="6">
        <v>527</v>
      </c>
      <c r="AL191" s="6"/>
      <c r="AM191" s="35">
        <f t="shared" si="37"/>
        <v>214</v>
      </c>
      <c r="AN191" s="6"/>
      <c r="AO191" s="6"/>
      <c r="AP191" s="35"/>
      <c r="AQ191" s="35">
        <v>775</v>
      </c>
      <c r="AR191" s="35"/>
      <c r="AS191" s="35">
        <f t="shared" si="38"/>
        <v>248</v>
      </c>
      <c r="AT191" s="6">
        <v>219</v>
      </c>
      <c r="AU191" s="6">
        <v>800</v>
      </c>
      <c r="AV191" s="35">
        <f t="shared" si="48"/>
        <v>244</v>
      </c>
      <c r="AW191" s="35">
        <v>462</v>
      </c>
      <c r="AX191" s="6"/>
      <c r="AY191" s="6">
        <f t="shared" si="40"/>
        <v>243</v>
      </c>
      <c r="AZ191" s="6">
        <v>526</v>
      </c>
      <c r="BA191" s="6"/>
      <c r="BB191" s="6">
        <f t="shared" si="41"/>
        <v>64</v>
      </c>
      <c r="BC191" s="6"/>
      <c r="BD191" s="6"/>
      <c r="BE191" s="6"/>
      <c r="BF191" s="6"/>
      <c r="BG191" s="6"/>
      <c r="BH191" s="35"/>
      <c r="BI191" s="6"/>
      <c r="BJ191" s="6"/>
      <c r="BK191" s="6"/>
      <c r="BL191" s="6"/>
      <c r="BM191" s="6"/>
      <c r="BN191" s="35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>
        <v>777</v>
      </c>
      <c r="CH191" s="6"/>
      <c r="CI191" s="6">
        <f t="shared" si="42"/>
        <v>251</v>
      </c>
      <c r="CJ191" s="6">
        <v>207</v>
      </c>
      <c r="CK191" s="6">
        <v>810</v>
      </c>
      <c r="CL191" s="6">
        <f t="shared" si="43"/>
        <v>240</v>
      </c>
      <c r="CM191" s="6">
        <v>448</v>
      </c>
      <c r="CN191" s="6"/>
      <c r="CO191" s="6">
        <f t="shared" si="44"/>
        <v>241</v>
      </c>
      <c r="CP191" s="6">
        <v>692</v>
      </c>
      <c r="CQ191" s="6"/>
      <c r="CR191" s="6">
        <f t="shared" si="45"/>
        <v>244</v>
      </c>
      <c r="CS191" s="6">
        <v>133</v>
      </c>
      <c r="CT191" s="6">
        <v>800</v>
      </c>
      <c r="CU191" s="6">
        <f t="shared" si="46"/>
        <v>241</v>
      </c>
      <c r="CV191" s="6">
        <v>356</v>
      </c>
      <c r="CW191" s="6"/>
      <c r="CX191" s="6">
        <f t="shared" si="47"/>
        <v>223</v>
      </c>
    </row>
    <row r="192" spans="1:102">
      <c r="A192" s="6">
        <v>188</v>
      </c>
      <c r="B192" s="6">
        <v>759</v>
      </c>
      <c r="C192" s="6"/>
      <c r="D192" s="6">
        <v>201</v>
      </c>
      <c r="E192" s="141" t="s">
        <v>79</v>
      </c>
      <c r="F192" s="141" t="s">
        <v>79</v>
      </c>
      <c r="G192" s="141" t="s">
        <v>79</v>
      </c>
      <c r="H192" s="141" t="s">
        <v>79</v>
      </c>
      <c r="I192" s="141" t="s">
        <v>79</v>
      </c>
      <c r="J192" s="141" t="s">
        <v>79</v>
      </c>
      <c r="K192" s="141" t="s">
        <v>79</v>
      </c>
      <c r="L192" s="141" t="s">
        <v>79</v>
      </c>
      <c r="M192" s="141" t="s">
        <v>79</v>
      </c>
      <c r="N192" s="141" t="s">
        <v>79</v>
      </c>
      <c r="O192" s="141" t="s">
        <v>79</v>
      </c>
      <c r="P192" s="141" t="s">
        <v>79</v>
      </c>
      <c r="Q192" s="141" t="s">
        <v>79</v>
      </c>
      <c r="R192" s="141" t="s">
        <v>79</v>
      </c>
      <c r="S192" s="141" t="s">
        <v>79</v>
      </c>
      <c r="T192" s="141" t="s">
        <v>79</v>
      </c>
      <c r="U192" s="141" t="s">
        <v>79</v>
      </c>
      <c r="V192" s="6">
        <v>206</v>
      </c>
      <c r="W192" s="6">
        <v>800</v>
      </c>
      <c r="X192" s="35">
        <f t="shared" si="32"/>
        <v>247</v>
      </c>
      <c r="Y192" s="35">
        <v>436</v>
      </c>
      <c r="Z192" s="35"/>
      <c r="AA192" s="35">
        <f t="shared" si="33"/>
        <v>230</v>
      </c>
      <c r="AB192" s="6">
        <v>664</v>
      </c>
      <c r="AC192" s="6"/>
      <c r="AD192" s="35">
        <f t="shared" si="34"/>
        <v>228</v>
      </c>
      <c r="AE192" s="6">
        <v>106</v>
      </c>
      <c r="AF192" s="6">
        <v>800</v>
      </c>
      <c r="AG192" s="34">
        <f t="shared" si="35"/>
        <v>242</v>
      </c>
      <c r="AH192" s="35">
        <v>352</v>
      </c>
      <c r="AI192" s="35"/>
      <c r="AJ192" s="35">
        <f t="shared" si="36"/>
        <v>246</v>
      </c>
      <c r="AK192" s="6">
        <v>569</v>
      </c>
      <c r="AL192" s="6"/>
      <c r="AM192" s="35">
        <f t="shared" si="37"/>
        <v>217</v>
      </c>
      <c r="AN192" s="6"/>
      <c r="AO192" s="6"/>
      <c r="AP192" s="35"/>
      <c r="AQ192" s="35">
        <v>10</v>
      </c>
      <c r="AR192" s="35">
        <v>800</v>
      </c>
      <c r="AS192" s="35">
        <f t="shared" si="38"/>
        <v>241</v>
      </c>
      <c r="AT192" s="6">
        <v>256</v>
      </c>
      <c r="AU192" s="6"/>
      <c r="AV192" s="35">
        <f t="shared" si="48"/>
        <v>246</v>
      </c>
      <c r="AW192" s="35">
        <v>501</v>
      </c>
      <c r="AX192" s="6"/>
      <c r="AY192" s="6">
        <f t="shared" si="40"/>
        <v>245</v>
      </c>
      <c r="AZ192" s="6">
        <v>567</v>
      </c>
      <c r="BA192" s="6"/>
      <c r="BB192" s="6">
        <f t="shared" si="41"/>
        <v>66</v>
      </c>
      <c r="BC192" s="6"/>
      <c r="BD192" s="6"/>
      <c r="BE192" s="6"/>
      <c r="BF192" s="6"/>
      <c r="BG192" s="6"/>
      <c r="BH192" s="35"/>
      <c r="BI192" s="6"/>
      <c r="BJ192" s="6"/>
      <c r="BK192" s="6"/>
      <c r="BL192" s="6"/>
      <c r="BM192" s="6"/>
      <c r="BN192" s="35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>
        <v>15</v>
      </c>
      <c r="CH192" s="6">
        <v>800</v>
      </c>
      <c r="CI192" s="6">
        <f t="shared" si="42"/>
        <v>248</v>
      </c>
      <c r="CJ192" s="6">
        <v>260</v>
      </c>
      <c r="CK192" s="6"/>
      <c r="CL192" s="6">
        <f t="shared" si="43"/>
        <v>245</v>
      </c>
      <c r="CM192" s="6">
        <v>506</v>
      </c>
      <c r="CN192" s="6"/>
      <c r="CO192" s="6">
        <f t="shared" si="44"/>
        <v>246</v>
      </c>
      <c r="CP192" s="6">
        <v>749</v>
      </c>
      <c r="CQ192" s="6"/>
      <c r="CR192" s="6">
        <f t="shared" si="45"/>
        <v>243</v>
      </c>
      <c r="CS192" s="6">
        <v>189</v>
      </c>
      <c r="CT192" s="6">
        <v>800</v>
      </c>
      <c r="CU192" s="6">
        <f t="shared" si="46"/>
        <v>240</v>
      </c>
      <c r="CV192" s="6">
        <v>412</v>
      </c>
      <c r="CW192" s="6"/>
      <c r="CX192" s="6">
        <f t="shared" si="47"/>
        <v>223</v>
      </c>
    </row>
    <row r="193" spans="1:102">
      <c r="A193" s="6">
        <v>189</v>
      </c>
      <c r="B193" s="6">
        <v>333</v>
      </c>
      <c r="C193" s="6"/>
      <c r="D193" s="6">
        <v>211</v>
      </c>
      <c r="E193" s="33" t="s">
        <v>79</v>
      </c>
      <c r="F193" s="33" t="s">
        <v>79</v>
      </c>
      <c r="G193" s="33" t="s">
        <v>79</v>
      </c>
      <c r="H193" s="33" t="s">
        <v>79</v>
      </c>
      <c r="I193" s="33" t="s">
        <v>79</v>
      </c>
      <c r="J193" s="33" t="s">
        <v>79</v>
      </c>
      <c r="K193" s="33" t="s">
        <v>79</v>
      </c>
      <c r="L193" s="33" t="s">
        <v>79</v>
      </c>
      <c r="M193" s="33" t="s">
        <v>79</v>
      </c>
      <c r="N193" s="33" t="s">
        <v>79</v>
      </c>
      <c r="O193" s="33" t="s">
        <v>79</v>
      </c>
      <c r="P193" s="33" t="s">
        <v>79</v>
      </c>
      <c r="Q193" s="33" t="s">
        <v>79</v>
      </c>
      <c r="R193" s="33" t="s">
        <v>79</v>
      </c>
      <c r="S193" s="33" t="s">
        <v>79</v>
      </c>
      <c r="T193" s="33" t="s">
        <v>79</v>
      </c>
      <c r="U193" s="33" t="s">
        <v>79</v>
      </c>
      <c r="V193" s="6">
        <v>580</v>
      </c>
      <c r="W193" s="6"/>
      <c r="X193" s="35">
        <f t="shared" si="32"/>
        <v>247</v>
      </c>
      <c r="Y193" s="35">
        <v>9</v>
      </c>
      <c r="Z193" s="35">
        <v>800</v>
      </c>
      <c r="AA193" s="35">
        <f t="shared" si="33"/>
        <v>229</v>
      </c>
      <c r="AB193" s="6">
        <v>236</v>
      </c>
      <c r="AC193" s="6"/>
      <c r="AD193" s="35">
        <f t="shared" si="34"/>
        <v>227</v>
      </c>
      <c r="AE193" s="6">
        <v>468</v>
      </c>
      <c r="AF193" s="6"/>
      <c r="AG193" s="34">
        <f t="shared" si="35"/>
        <v>232</v>
      </c>
      <c r="AH193" s="35">
        <v>711</v>
      </c>
      <c r="AI193" s="35"/>
      <c r="AJ193" s="35">
        <f t="shared" si="36"/>
        <v>243</v>
      </c>
      <c r="AK193" s="6">
        <v>114</v>
      </c>
      <c r="AL193" s="6">
        <v>800</v>
      </c>
      <c r="AM193" s="35">
        <f t="shared" si="37"/>
        <v>203</v>
      </c>
      <c r="AN193" s="6"/>
      <c r="AO193" s="6"/>
      <c r="AP193" s="35"/>
      <c r="AQ193" s="35">
        <v>365</v>
      </c>
      <c r="AR193" s="35"/>
      <c r="AS193" s="35">
        <f t="shared" si="38"/>
        <v>251</v>
      </c>
      <c r="AT193" s="6">
        <v>614</v>
      </c>
      <c r="AU193" s="6"/>
      <c r="AV193" s="35">
        <f t="shared" si="48"/>
        <v>249</v>
      </c>
      <c r="AW193" s="35">
        <v>60</v>
      </c>
      <c r="AX193" s="6">
        <v>797</v>
      </c>
      <c r="AY193" s="6">
        <f t="shared" si="40"/>
        <v>243</v>
      </c>
      <c r="AZ193" s="6">
        <v>125</v>
      </c>
      <c r="BA193" s="6"/>
      <c r="BB193" s="6">
        <f t="shared" si="41"/>
        <v>65</v>
      </c>
      <c r="BC193" s="6"/>
      <c r="BD193" s="6"/>
      <c r="BE193" s="6"/>
      <c r="BF193" s="6"/>
      <c r="BG193" s="6"/>
      <c r="BH193" s="35"/>
      <c r="BI193" s="6"/>
      <c r="BJ193" s="6"/>
      <c r="BK193" s="6"/>
      <c r="BL193" s="6"/>
      <c r="BM193" s="6"/>
      <c r="BN193" s="35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>
        <v>376</v>
      </c>
      <c r="CH193" s="6"/>
      <c r="CI193" s="6">
        <f t="shared" si="42"/>
        <v>251</v>
      </c>
      <c r="CJ193" s="6">
        <v>30</v>
      </c>
      <c r="CK193" s="6">
        <v>564</v>
      </c>
      <c r="CL193" s="6">
        <f t="shared" si="43"/>
        <v>218</v>
      </c>
      <c r="CM193" s="6">
        <v>276</v>
      </c>
      <c r="CN193" s="6"/>
      <c r="CO193" s="6">
        <f t="shared" si="44"/>
        <v>246</v>
      </c>
      <c r="CP193" s="6">
        <v>520</v>
      </c>
      <c r="CQ193" s="6"/>
      <c r="CR193" s="6">
        <f t="shared" si="45"/>
        <v>244</v>
      </c>
      <c r="CS193" s="6">
        <v>765</v>
      </c>
      <c r="CT193" s="6"/>
      <c r="CU193" s="6">
        <f t="shared" si="46"/>
        <v>245</v>
      </c>
      <c r="CV193" s="6">
        <v>186</v>
      </c>
      <c r="CW193" s="6">
        <v>800</v>
      </c>
      <c r="CX193" s="6">
        <f t="shared" si="47"/>
        <v>221</v>
      </c>
    </row>
    <row r="194" spans="1:102">
      <c r="A194" s="6">
        <v>190</v>
      </c>
      <c r="B194" s="6">
        <v>665</v>
      </c>
      <c r="C194" s="6"/>
      <c r="D194" s="6">
        <v>213</v>
      </c>
      <c r="E194" s="33" t="s">
        <v>79</v>
      </c>
      <c r="F194" s="33" t="s">
        <v>79</v>
      </c>
      <c r="G194" s="148" t="s">
        <v>79</v>
      </c>
      <c r="H194" s="33" t="s">
        <v>79</v>
      </c>
      <c r="I194" s="33" t="s">
        <v>79</v>
      </c>
      <c r="J194" s="33" t="s">
        <v>79</v>
      </c>
      <c r="K194" s="33" t="s">
        <v>79</v>
      </c>
      <c r="L194" s="33" t="s">
        <v>79</v>
      </c>
      <c r="M194" s="33" t="s">
        <v>79</v>
      </c>
      <c r="N194" s="33" t="s">
        <v>79</v>
      </c>
      <c r="O194" s="33" t="s">
        <v>79</v>
      </c>
      <c r="P194" s="33" t="s">
        <v>79</v>
      </c>
      <c r="Q194" s="33" t="s">
        <v>79</v>
      </c>
      <c r="R194" s="33" t="s">
        <v>79</v>
      </c>
      <c r="S194" s="33" t="s">
        <v>79</v>
      </c>
      <c r="T194" s="33" t="s">
        <v>79</v>
      </c>
      <c r="U194" s="33" t="s">
        <v>79</v>
      </c>
      <c r="V194" s="6">
        <v>0</v>
      </c>
      <c r="W194" s="6">
        <v>773</v>
      </c>
      <c r="X194" s="35">
        <f t="shared" si="32"/>
        <v>108</v>
      </c>
      <c r="Y194" s="35">
        <v>230</v>
      </c>
      <c r="Z194" s="35"/>
      <c r="AA194" s="35">
        <f t="shared" si="33"/>
        <v>230</v>
      </c>
      <c r="AB194" s="6">
        <v>468</v>
      </c>
      <c r="AC194" s="6"/>
      <c r="AD194" s="35">
        <f t="shared" si="34"/>
        <v>238</v>
      </c>
      <c r="AE194" s="6">
        <v>699</v>
      </c>
      <c r="AF194" s="6"/>
      <c r="AG194" s="34">
        <f t="shared" si="35"/>
        <v>231</v>
      </c>
      <c r="AH194" s="35">
        <v>145</v>
      </c>
      <c r="AI194" s="35">
        <v>800</v>
      </c>
      <c r="AJ194" s="35">
        <f t="shared" si="36"/>
        <v>246</v>
      </c>
      <c r="AK194" s="6">
        <v>360</v>
      </c>
      <c r="AL194" s="6"/>
      <c r="AM194" s="35">
        <f t="shared" si="37"/>
        <v>215</v>
      </c>
      <c r="AN194" s="6"/>
      <c r="AO194" s="6"/>
      <c r="AP194" s="35"/>
      <c r="AQ194" s="35">
        <v>610</v>
      </c>
      <c r="AR194" s="35"/>
      <c r="AS194" s="35">
        <f t="shared" si="38"/>
        <v>250</v>
      </c>
      <c r="AT194" s="6">
        <v>56</v>
      </c>
      <c r="AU194" s="6">
        <v>800</v>
      </c>
      <c r="AV194" s="35">
        <f t="shared" si="48"/>
        <v>246</v>
      </c>
      <c r="AW194" s="35">
        <v>309</v>
      </c>
      <c r="AX194" s="6"/>
      <c r="AY194" s="6">
        <f t="shared" si="40"/>
        <v>253</v>
      </c>
      <c r="AZ194" s="6">
        <v>366</v>
      </c>
      <c r="BA194" s="6"/>
      <c r="BB194" s="6">
        <f t="shared" si="41"/>
        <v>57</v>
      </c>
      <c r="BC194" s="6"/>
      <c r="BD194" s="6"/>
      <c r="BE194" s="6"/>
      <c r="BF194" s="6"/>
      <c r="BG194" s="6"/>
      <c r="BH194" s="35"/>
      <c r="BI194" s="6"/>
      <c r="BJ194" s="6"/>
      <c r="BK194" s="6"/>
      <c r="BL194" s="35"/>
      <c r="BM194" s="6"/>
      <c r="BN194" s="35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>
        <v>544</v>
      </c>
      <c r="CH194" s="6"/>
      <c r="CI194" s="6">
        <f t="shared" si="42"/>
        <v>178</v>
      </c>
      <c r="CJ194" s="6">
        <v>792</v>
      </c>
      <c r="CK194" s="6"/>
      <c r="CL194" s="6">
        <f t="shared" si="43"/>
        <v>248</v>
      </c>
      <c r="CM194" s="6">
        <v>241</v>
      </c>
      <c r="CN194" s="6">
        <v>800</v>
      </c>
      <c r="CO194" s="6">
        <f t="shared" si="44"/>
        <v>249</v>
      </c>
      <c r="CP194" s="6">
        <v>488</v>
      </c>
      <c r="CQ194" s="6"/>
      <c r="CR194" s="6">
        <f t="shared" si="45"/>
        <v>247</v>
      </c>
      <c r="CS194" s="6">
        <v>726</v>
      </c>
      <c r="CT194" s="6"/>
      <c r="CU194" s="6">
        <f t="shared" si="46"/>
        <v>238</v>
      </c>
      <c r="CV194" s="6">
        <v>141</v>
      </c>
      <c r="CW194" s="6">
        <v>800</v>
      </c>
      <c r="CX194" s="6">
        <f t="shared" si="47"/>
        <v>215</v>
      </c>
    </row>
    <row r="195" spans="1:102">
      <c r="A195" s="6">
        <v>191</v>
      </c>
      <c r="B195" s="6">
        <v>25</v>
      </c>
      <c r="C195" s="6">
        <v>330</v>
      </c>
      <c r="D195" s="6">
        <v>196</v>
      </c>
      <c r="E195" s="33" t="s">
        <v>72</v>
      </c>
      <c r="F195" s="33" t="s">
        <v>72</v>
      </c>
      <c r="G195" s="33" t="s">
        <v>72</v>
      </c>
      <c r="H195" s="33" t="s">
        <v>72</v>
      </c>
      <c r="I195" s="33" t="s">
        <v>72</v>
      </c>
      <c r="J195" s="33" t="s">
        <v>72</v>
      </c>
      <c r="K195" s="33" t="s">
        <v>72</v>
      </c>
      <c r="L195" s="33" t="s">
        <v>72</v>
      </c>
      <c r="M195" s="33" t="s">
        <v>72</v>
      </c>
      <c r="N195" s="33" t="s">
        <v>72</v>
      </c>
      <c r="O195" s="33" t="s">
        <v>72</v>
      </c>
      <c r="P195" s="33" t="s">
        <v>72</v>
      </c>
      <c r="Q195" s="33" t="s">
        <v>72</v>
      </c>
      <c r="R195" s="33" t="s">
        <v>72</v>
      </c>
      <c r="S195" s="33" t="s">
        <v>72</v>
      </c>
      <c r="T195" s="33" t="s">
        <v>72</v>
      </c>
      <c r="U195" s="33" t="s">
        <v>72</v>
      </c>
      <c r="V195" s="35">
        <v>166</v>
      </c>
      <c r="W195" s="35"/>
      <c r="X195" s="35">
        <f t="shared" si="32"/>
        <v>141</v>
      </c>
      <c r="Y195" s="35">
        <v>6</v>
      </c>
      <c r="Z195" s="35">
        <v>376</v>
      </c>
      <c r="AA195" s="35">
        <f t="shared" si="33"/>
        <v>216</v>
      </c>
      <c r="AB195" s="6">
        <v>231</v>
      </c>
      <c r="AC195" s="6"/>
      <c r="AD195" s="35">
        <f t="shared" si="34"/>
        <v>225</v>
      </c>
      <c r="AE195" s="6">
        <v>451</v>
      </c>
      <c r="AF195" s="6"/>
      <c r="AG195" s="34">
        <f t="shared" si="35"/>
        <v>220</v>
      </c>
      <c r="AH195" s="35">
        <v>137</v>
      </c>
      <c r="AI195" s="35">
        <v>495</v>
      </c>
      <c r="AJ195" s="35">
        <f t="shared" si="36"/>
        <v>181</v>
      </c>
      <c r="AK195" s="6">
        <v>293</v>
      </c>
      <c r="AL195" s="6"/>
      <c r="AM195" s="35">
        <f t="shared" si="37"/>
        <v>156</v>
      </c>
      <c r="AN195" s="6"/>
      <c r="AO195" s="6"/>
      <c r="AP195" s="35"/>
      <c r="AQ195" s="35">
        <v>471</v>
      </c>
      <c r="AR195" s="35"/>
      <c r="AS195" s="35">
        <f t="shared" si="38"/>
        <v>178</v>
      </c>
      <c r="AT195" s="6">
        <v>630</v>
      </c>
      <c r="AU195" s="6"/>
      <c r="AV195" s="35">
        <f t="shared" si="48"/>
        <v>159</v>
      </c>
      <c r="AW195" s="35">
        <v>807</v>
      </c>
      <c r="AX195" s="6"/>
      <c r="AY195" s="6">
        <f t="shared" si="40"/>
        <v>177</v>
      </c>
      <c r="AZ195" s="6">
        <v>852</v>
      </c>
      <c r="BA195" s="6"/>
      <c r="BB195" s="6">
        <f t="shared" si="41"/>
        <v>45</v>
      </c>
      <c r="BC195" s="6"/>
      <c r="BD195" s="6"/>
      <c r="BE195" s="6"/>
      <c r="BF195" s="6"/>
      <c r="BG195" s="6"/>
      <c r="BH195" s="35"/>
      <c r="BI195" s="6"/>
      <c r="BJ195" s="6"/>
      <c r="BK195" s="6"/>
      <c r="BL195" s="35"/>
      <c r="BM195" s="6"/>
      <c r="BN195" s="35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>
        <v>1033</v>
      </c>
      <c r="CH195" s="6"/>
      <c r="CI195" s="6">
        <f t="shared" si="42"/>
        <v>181</v>
      </c>
      <c r="CJ195" s="6">
        <v>110</v>
      </c>
      <c r="CK195" s="6">
        <v>1100</v>
      </c>
      <c r="CL195" s="6">
        <f t="shared" si="43"/>
        <v>177</v>
      </c>
      <c r="CM195" s="6">
        <v>290</v>
      </c>
      <c r="CN195" s="6"/>
      <c r="CO195" s="6">
        <f t="shared" si="44"/>
        <v>180</v>
      </c>
      <c r="CP195" s="6">
        <v>467</v>
      </c>
      <c r="CQ195" s="6"/>
      <c r="CR195" s="6">
        <f t="shared" si="45"/>
        <v>177</v>
      </c>
      <c r="CS195" s="6">
        <v>643</v>
      </c>
      <c r="CT195" s="6"/>
      <c r="CU195" s="6">
        <f t="shared" si="46"/>
        <v>176</v>
      </c>
      <c r="CV195" s="6">
        <v>805</v>
      </c>
      <c r="CW195" s="6"/>
      <c r="CX195" s="6">
        <f t="shared" si="47"/>
        <v>162</v>
      </c>
    </row>
    <row r="196" spans="1:102">
      <c r="A196" s="6">
        <v>192</v>
      </c>
      <c r="B196" s="6">
        <v>573</v>
      </c>
      <c r="C196" s="6"/>
      <c r="D196" s="6">
        <v>205</v>
      </c>
      <c r="E196" s="33" t="s">
        <v>79</v>
      </c>
      <c r="F196" s="33" t="s">
        <v>79</v>
      </c>
      <c r="G196" s="33" t="s">
        <v>79</v>
      </c>
      <c r="H196" s="33" t="s">
        <v>79</v>
      </c>
      <c r="I196" s="33" t="s">
        <v>79</v>
      </c>
      <c r="J196" s="33" t="s">
        <v>79</v>
      </c>
      <c r="K196" s="33" t="s">
        <v>79</v>
      </c>
      <c r="L196" s="33" t="s">
        <v>79</v>
      </c>
      <c r="M196" s="33" t="s">
        <v>79</v>
      </c>
      <c r="N196" s="33" t="s">
        <v>79</v>
      </c>
      <c r="O196" s="33" t="s">
        <v>79</v>
      </c>
      <c r="P196" s="33" t="s">
        <v>79</v>
      </c>
      <c r="Q196" s="33" t="s">
        <v>79</v>
      </c>
      <c r="R196" s="33" t="s">
        <v>79</v>
      </c>
      <c r="S196" s="148" t="s">
        <v>72</v>
      </c>
      <c r="T196" s="33" t="s">
        <v>72</v>
      </c>
      <c r="U196" s="33" t="s">
        <v>72</v>
      </c>
      <c r="V196" s="6">
        <v>22</v>
      </c>
      <c r="W196" s="6">
        <v>800</v>
      </c>
      <c r="X196" s="35">
        <f t="shared" si="32"/>
        <v>249</v>
      </c>
      <c r="Y196" s="35">
        <v>253</v>
      </c>
      <c r="Z196" s="35"/>
      <c r="AA196" s="35">
        <f t="shared" si="33"/>
        <v>231</v>
      </c>
      <c r="AB196" s="6">
        <v>488</v>
      </c>
      <c r="AC196" s="6"/>
      <c r="AD196" s="35">
        <f t="shared" si="34"/>
        <v>235</v>
      </c>
      <c r="AE196" s="6">
        <v>720</v>
      </c>
      <c r="AF196" s="6"/>
      <c r="AG196" s="34">
        <f t="shared" si="35"/>
        <v>232</v>
      </c>
      <c r="AH196" s="35">
        <v>163</v>
      </c>
      <c r="AI196" s="35">
        <v>800</v>
      </c>
      <c r="AJ196" s="35">
        <f t="shared" si="36"/>
        <v>243</v>
      </c>
      <c r="AK196" s="6">
        <v>92</v>
      </c>
      <c r="AL196" s="6">
        <v>252</v>
      </c>
      <c r="AM196" s="35">
        <f t="shared" si="37"/>
        <v>181</v>
      </c>
      <c r="AN196" s="6"/>
      <c r="AO196" s="6"/>
      <c r="AP196" s="35"/>
      <c r="AQ196" s="35">
        <v>326</v>
      </c>
      <c r="AR196" s="35"/>
      <c r="AS196" s="35">
        <f t="shared" si="38"/>
        <v>234</v>
      </c>
      <c r="AT196" s="6">
        <v>557</v>
      </c>
      <c r="AU196" s="6"/>
      <c r="AV196" s="35">
        <f t="shared" si="48"/>
        <v>231</v>
      </c>
      <c r="AW196" s="35">
        <v>784</v>
      </c>
      <c r="AX196" s="6"/>
      <c r="AY196" s="6">
        <f t="shared" si="40"/>
        <v>227</v>
      </c>
      <c r="AZ196" s="6">
        <v>43</v>
      </c>
      <c r="BA196" s="6">
        <v>800</v>
      </c>
      <c r="BB196" s="6">
        <f t="shared" si="41"/>
        <v>59</v>
      </c>
      <c r="BC196" s="6"/>
      <c r="BD196" s="6"/>
      <c r="BE196" s="6"/>
      <c r="BF196" s="6"/>
      <c r="BG196" s="6"/>
      <c r="BH196" s="35"/>
      <c r="BI196" s="6"/>
      <c r="BJ196" s="6"/>
      <c r="BK196" s="6"/>
      <c r="BL196" s="35"/>
      <c r="BM196" s="6"/>
      <c r="BN196" s="35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>
        <v>278</v>
      </c>
      <c r="CH196" s="6"/>
      <c r="CI196" s="6">
        <f t="shared" si="42"/>
        <v>235</v>
      </c>
      <c r="CJ196" s="6">
        <v>508</v>
      </c>
      <c r="CK196" s="6"/>
      <c r="CL196" s="6">
        <f t="shared" si="43"/>
        <v>230</v>
      </c>
      <c r="CM196" s="6">
        <v>0</v>
      </c>
      <c r="CN196" s="6">
        <v>688</v>
      </c>
      <c r="CO196" s="6">
        <f t="shared" si="44"/>
        <v>180</v>
      </c>
      <c r="CP196" s="6">
        <v>212</v>
      </c>
      <c r="CQ196" s="6"/>
      <c r="CR196" s="6">
        <f t="shared" si="45"/>
        <v>212</v>
      </c>
      <c r="CS196" s="6">
        <v>445</v>
      </c>
      <c r="CT196" s="6"/>
      <c r="CU196" s="6">
        <f t="shared" si="46"/>
        <v>233</v>
      </c>
      <c r="CV196" s="6">
        <v>660</v>
      </c>
      <c r="CW196" s="6"/>
      <c r="CX196" s="6">
        <f t="shared" si="47"/>
        <v>215</v>
      </c>
    </row>
    <row r="197" spans="1:102">
      <c r="A197" s="6">
        <v>193</v>
      </c>
      <c r="B197" s="6">
        <v>673</v>
      </c>
      <c r="C197" s="6"/>
      <c r="D197" s="6">
        <v>212</v>
      </c>
      <c r="E197" s="33" t="s">
        <v>72</v>
      </c>
      <c r="F197" s="33" t="s">
        <v>72</v>
      </c>
      <c r="G197" s="33" t="s">
        <v>72</v>
      </c>
      <c r="H197" s="33" t="s">
        <v>72</v>
      </c>
      <c r="I197" s="33" t="s">
        <v>72</v>
      </c>
      <c r="J197" s="33" t="s">
        <v>72</v>
      </c>
      <c r="K197" s="33" t="s">
        <v>72</v>
      </c>
      <c r="L197" s="33" t="s">
        <v>72</v>
      </c>
      <c r="M197" s="33" t="s">
        <v>72</v>
      </c>
      <c r="N197" s="33" t="s">
        <v>72</v>
      </c>
      <c r="O197" s="33" t="s">
        <v>72</v>
      </c>
      <c r="P197" s="33" t="s">
        <v>72</v>
      </c>
      <c r="Q197" s="33" t="s">
        <v>72</v>
      </c>
      <c r="R197" s="33" t="s">
        <v>72</v>
      </c>
      <c r="S197" s="148" t="s">
        <v>72</v>
      </c>
      <c r="T197" s="33" t="s">
        <v>72</v>
      </c>
      <c r="U197" s="33" t="s">
        <v>72</v>
      </c>
      <c r="V197" s="6">
        <v>924</v>
      </c>
      <c r="W197" s="6"/>
      <c r="X197" s="35">
        <f t="shared" ref="X197:X260" si="49">W197+V197-B197</f>
        <v>251</v>
      </c>
      <c r="Y197" s="35">
        <v>59</v>
      </c>
      <c r="Z197" s="35">
        <v>1100</v>
      </c>
      <c r="AA197" s="35">
        <f t="shared" si="33"/>
        <v>235</v>
      </c>
      <c r="AB197" s="6">
        <v>295</v>
      </c>
      <c r="AC197" s="6"/>
      <c r="AD197" s="35">
        <f t="shared" si="34"/>
        <v>236</v>
      </c>
      <c r="AE197" s="6">
        <v>529</v>
      </c>
      <c r="AF197" s="6"/>
      <c r="AG197" s="34">
        <f t="shared" si="35"/>
        <v>234</v>
      </c>
      <c r="AH197" s="35">
        <v>233</v>
      </c>
      <c r="AI197" s="35">
        <v>530</v>
      </c>
      <c r="AJ197" s="35">
        <f t="shared" si="36"/>
        <v>234</v>
      </c>
      <c r="AK197" s="6">
        <v>456</v>
      </c>
      <c r="AL197" s="6"/>
      <c r="AM197" s="35">
        <f t="shared" si="37"/>
        <v>223</v>
      </c>
      <c r="AN197" s="6"/>
      <c r="AO197" s="6"/>
      <c r="AP197" s="35"/>
      <c r="AQ197" s="35">
        <v>708</v>
      </c>
      <c r="AR197" s="35"/>
      <c r="AS197" s="35">
        <f t="shared" si="38"/>
        <v>252</v>
      </c>
      <c r="AT197" s="6">
        <v>965</v>
      </c>
      <c r="AU197" s="6"/>
      <c r="AV197" s="35">
        <f t="shared" si="48"/>
        <v>257</v>
      </c>
      <c r="AW197" s="35">
        <v>127</v>
      </c>
      <c r="AX197" s="6">
        <v>1100</v>
      </c>
      <c r="AY197" s="6">
        <f t="shared" si="40"/>
        <v>262</v>
      </c>
      <c r="AZ197" s="6">
        <v>192</v>
      </c>
      <c r="BA197" s="6"/>
      <c r="BB197" s="6">
        <f t="shared" si="41"/>
        <v>65</v>
      </c>
      <c r="BC197" s="6"/>
      <c r="BD197" s="6"/>
      <c r="BE197" s="6"/>
      <c r="BF197" s="6"/>
      <c r="BG197" s="6"/>
      <c r="BH197" s="35"/>
      <c r="BI197" s="6"/>
      <c r="BJ197" s="6"/>
      <c r="BK197" s="6"/>
      <c r="BL197" s="35"/>
      <c r="BM197" s="6"/>
      <c r="BN197" s="35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>
        <v>461</v>
      </c>
      <c r="CH197" s="6"/>
      <c r="CI197" s="6">
        <f t="shared" si="42"/>
        <v>269</v>
      </c>
      <c r="CJ197" s="6">
        <v>721</v>
      </c>
      <c r="CK197" s="6"/>
      <c r="CL197" s="6">
        <f t="shared" si="43"/>
        <v>260</v>
      </c>
      <c r="CM197" s="6">
        <v>0</v>
      </c>
      <c r="CN197" s="6">
        <v>980</v>
      </c>
      <c r="CO197" s="6">
        <f t="shared" si="44"/>
        <v>259</v>
      </c>
      <c r="CP197" s="6">
        <v>244</v>
      </c>
      <c r="CQ197" s="6"/>
      <c r="CR197" s="6">
        <f t="shared" si="45"/>
        <v>244</v>
      </c>
      <c r="CS197" s="6">
        <v>502</v>
      </c>
      <c r="CT197" s="6"/>
      <c r="CU197" s="6">
        <f t="shared" si="46"/>
        <v>258</v>
      </c>
      <c r="CV197" s="6">
        <v>736</v>
      </c>
      <c r="CW197" s="6"/>
      <c r="CX197" s="6">
        <f t="shared" si="47"/>
        <v>234</v>
      </c>
    </row>
    <row r="198" spans="1:102">
      <c r="A198" s="6">
        <v>194</v>
      </c>
      <c r="B198" s="6">
        <v>512</v>
      </c>
      <c r="C198" s="6"/>
      <c r="D198" s="6">
        <v>209</v>
      </c>
      <c r="E198" s="33" t="s">
        <v>79</v>
      </c>
      <c r="F198" s="33" t="s">
        <v>79</v>
      </c>
      <c r="G198" s="33" t="s">
        <v>79</v>
      </c>
      <c r="H198" s="33" t="s">
        <v>79</v>
      </c>
      <c r="I198" s="33" t="s">
        <v>79</v>
      </c>
      <c r="J198" s="33" t="s">
        <v>79</v>
      </c>
      <c r="K198" s="33" t="s">
        <v>79</v>
      </c>
      <c r="L198" s="33" t="s">
        <v>79</v>
      </c>
      <c r="M198" s="33" t="s">
        <v>79</v>
      </c>
      <c r="N198" s="33" t="s">
        <v>79</v>
      </c>
      <c r="O198" s="33" t="s">
        <v>79</v>
      </c>
      <c r="P198" s="33" t="s">
        <v>79</v>
      </c>
      <c r="Q198" s="33" t="s">
        <v>79</v>
      </c>
      <c r="R198" s="33" t="s">
        <v>79</v>
      </c>
      <c r="S198" s="33" t="s">
        <v>79</v>
      </c>
      <c r="T198" s="148" t="s">
        <v>79</v>
      </c>
      <c r="U198" s="33" t="s">
        <v>79</v>
      </c>
      <c r="V198" s="6">
        <v>755</v>
      </c>
      <c r="W198" s="6"/>
      <c r="X198" s="35">
        <f t="shared" si="49"/>
        <v>243</v>
      </c>
      <c r="Y198" s="35">
        <v>181</v>
      </c>
      <c r="Z198" s="35">
        <v>800</v>
      </c>
      <c r="AA198" s="35">
        <f t="shared" ref="AA198:AA261" si="50">Z198+Y198-V198</f>
        <v>226</v>
      </c>
      <c r="AB198" s="6">
        <v>398</v>
      </c>
      <c r="AC198" s="6"/>
      <c r="AD198" s="35">
        <f t="shared" ref="AD198:AD261" si="51">AC198+AB198-Y198</f>
        <v>217</v>
      </c>
      <c r="AE198" s="6">
        <v>627</v>
      </c>
      <c r="AF198" s="6"/>
      <c r="AG198" s="34">
        <f t="shared" ref="AG198:AG261" si="52">AF198+AE198-AB198</f>
        <v>229</v>
      </c>
      <c r="AH198" s="35">
        <v>66</v>
      </c>
      <c r="AI198" s="35">
        <v>800</v>
      </c>
      <c r="AJ198" s="35">
        <f t="shared" ref="AJ198:AJ261" si="53">AI198+AH198-AE198</f>
        <v>239</v>
      </c>
      <c r="AK198" s="6">
        <v>283</v>
      </c>
      <c r="AL198" s="6"/>
      <c r="AM198" s="35">
        <f t="shared" ref="AM198:AM261" si="54">AL198+AK198-AH198</f>
        <v>217</v>
      </c>
      <c r="AN198" s="6"/>
      <c r="AO198" s="6"/>
      <c r="AP198" s="35"/>
      <c r="AQ198" s="35">
        <v>529</v>
      </c>
      <c r="AR198" s="35"/>
      <c r="AS198" s="35">
        <f t="shared" ref="AS198:AS261" si="55">AR198+AQ198-AK198</f>
        <v>246</v>
      </c>
      <c r="AT198" s="6">
        <v>778</v>
      </c>
      <c r="AU198" s="6"/>
      <c r="AV198" s="35">
        <f t="shared" si="48"/>
        <v>249</v>
      </c>
      <c r="AW198" s="35">
        <v>220</v>
      </c>
      <c r="AX198" s="6">
        <v>800</v>
      </c>
      <c r="AY198" s="6">
        <f t="shared" ref="AY198:AY261" si="56">AX198+AW198-AT198</f>
        <v>242</v>
      </c>
      <c r="AZ198" s="6">
        <v>283</v>
      </c>
      <c r="BA198" s="6"/>
      <c r="BB198" s="6">
        <f t="shared" ref="BB198:BB261" si="57">BA198+AZ198-AW198</f>
        <v>63</v>
      </c>
      <c r="BC198" s="6"/>
      <c r="BD198" s="35"/>
      <c r="BE198" s="6"/>
      <c r="BF198" s="6"/>
      <c r="BG198" s="6"/>
      <c r="BH198" s="35"/>
      <c r="BI198" s="6"/>
      <c r="BJ198" s="6"/>
      <c r="BK198" s="6"/>
      <c r="BL198" s="35"/>
      <c r="BM198" s="6"/>
      <c r="BN198" s="35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>
        <v>528</v>
      </c>
      <c r="CH198" s="6"/>
      <c r="CI198" s="6">
        <f t="shared" ref="CI198:CI261" si="58">CH198+CG198-AZ198</f>
        <v>245</v>
      </c>
      <c r="CJ198" s="6">
        <v>770</v>
      </c>
      <c r="CK198" s="6"/>
      <c r="CL198" s="6">
        <f t="shared" ref="CL198:CL261" si="59">CK198+CJ198-CG198</f>
        <v>242</v>
      </c>
      <c r="CM198" s="6">
        <v>218</v>
      </c>
      <c r="CN198" s="6">
        <v>800</v>
      </c>
      <c r="CO198" s="6">
        <f t="shared" ref="CO198:CO261" si="60">CN198+CM198-CJ198</f>
        <v>248</v>
      </c>
      <c r="CP198" s="6">
        <v>461</v>
      </c>
      <c r="CQ198" s="6"/>
      <c r="CR198" s="6">
        <f t="shared" ref="CR198:CR261" si="61">CQ198+CP198-CM198</f>
        <v>243</v>
      </c>
      <c r="CS198" s="6">
        <v>133</v>
      </c>
      <c r="CT198" s="6">
        <v>516</v>
      </c>
      <c r="CU198" s="6">
        <f t="shared" ref="CU198:CU261" si="62">CT198+CS198-CP198</f>
        <v>188</v>
      </c>
      <c r="CV198" s="6">
        <v>312</v>
      </c>
      <c r="CW198" s="6"/>
      <c r="CX198" s="6">
        <f t="shared" ref="CX198:CX261" si="63">CW198+CV198-CS198</f>
        <v>179</v>
      </c>
    </row>
    <row r="199" spans="1:102">
      <c r="A199" s="6">
        <v>195</v>
      </c>
      <c r="B199" s="6">
        <v>182</v>
      </c>
      <c r="C199" s="6"/>
      <c r="D199" s="6">
        <v>182</v>
      </c>
      <c r="E199" s="148" t="s">
        <v>79</v>
      </c>
      <c r="F199" s="33" t="s">
        <v>79</v>
      </c>
      <c r="G199" s="33" t="s">
        <v>79</v>
      </c>
      <c r="H199" s="33" t="s">
        <v>79</v>
      </c>
      <c r="I199" s="33" t="s">
        <v>79</v>
      </c>
      <c r="J199" s="33" t="s">
        <v>79</v>
      </c>
      <c r="K199" s="33" t="s">
        <v>79</v>
      </c>
      <c r="L199" s="33" t="s">
        <v>79</v>
      </c>
      <c r="M199" s="33" t="s">
        <v>79</v>
      </c>
      <c r="N199" s="33" t="s">
        <v>79</v>
      </c>
      <c r="O199" s="33" t="s">
        <v>79</v>
      </c>
      <c r="P199" s="33" t="s">
        <v>79</v>
      </c>
      <c r="Q199" s="33" t="s">
        <v>79</v>
      </c>
      <c r="R199" s="33" t="s">
        <v>79</v>
      </c>
      <c r="S199" s="33" t="s">
        <v>79</v>
      </c>
      <c r="T199" s="33" t="s">
        <v>79</v>
      </c>
      <c r="U199" s="33" t="s">
        <v>79</v>
      </c>
      <c r="V199" s="35">
        <v>408</v>
      </c>
      <c r="W199" s="35"/>
      <c r="X199" s="35">
        <f t="shared" si="49"/>
        <v>226</v>
      </c>
      <c r="Y199" s="35">
        <v>637</v>
      </c>
      <c r="Z199" s="35"/>
      <c r="AA199" s="35">
        <f t="shared" si="50"/>
        <v>229</v>
      </c>
      <c r="AB199" s="35">
        <v>65</v>
      </c>
      <c r="AC199" s="35">
        <v>800</v>
      </c>
      <c r="AD199" s="35">
        <f t="shared" si="51"/>
        <v>228</v>
      </c>
      <c r="AE199" s="35">
        <v>294</v>
      </c>
      <c r="AF199" s="35"/>
      <c r="AG199" s="34">
        <f t="shared" si="52"/>
        <v>229</v>
      </c>
      <c r="AH199" s="35">
        <v>536</v>
      </c>
      <c r="AI199" s="35"/>
      <c r="AJ199" s="35">
        <f t="shared" si="53"/>
        <v>242</v>
      </c>
      <c r="AK199" s="6">
        <v>752</v>
      </c>
      <c r="AL199" s="6"/>
      <c r="AM199" s="35">
        <f t="shared" si="54"/>
        <v>216</v>
      </c>
      <c r="AN199" s="6"/>
      <c r="AO199" s="6"/>
      <c r="AP199" s="35"/>
      <c r="AQ199" s="6">
        <v>199</v>
      </c>
      <c r="AR199" s="6">
        <v>800</v>
      </c>
      <c r="AS199" s="35">
        <f t="shared" si="55"/>
        <v>247</v>
      </c>
      <c r="AT199" s="6">
        <v>437</v>
      </c>
      <c r="AU199" s="6"/>
      <c r="AV199" s="35">
        <f t="shared" si="48"/>
        <v>238</v>
      </c>
      <c r="AW199" s="35">
        <v>688</v>
      </c>
      <c r="AX199" s="6"/>
      <c r="AY199" s="6">
        <f t="shared" si="56"/>
        <v>251</v>
      </c>
      <c r="AZ199" s="6">
        <v>751</v>
      </c>
      <c r="BA199" s="35"/>
      <c r="BB199" s="6">
        <f t="shared" si="57"/>
        <v>63</v>
      </c>
      <c r="BC199" s="6"/>
      <c r="BD199" s="35"/>
      <c r="BE199" s="6"/>
      <c r="BF199" s="6"/>
      <c r="BG199" s="6"/>
      <c r="BH199" s="35"/>
      <c r="BI199" s="35"/>
      <c r="BJ199" s="6"/>
      <c r="BK199" s="6"/>
      <c r="BL199" s="35"/>
      <c r="BM199" s="6"/>
      <c r="BN199" s="35"/>
      <c r="BO199" s="6"/>
      <c r="BP199" s="35"/>
      <c r="BQ199" s="6"/>
      <c r="BR199" s="6"/>
      <c r="BS199" s="6"/>
      <c r="BT199" s="35"/>
      <c r="BU199" s="6"/>
      <c r="BV199" s="35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>
        <v>202</v>
      </c>
      <c r="CH199" s="35">
        <v>800</v>
      </c>
      <c r="CI199" s="6">
        <f t="shared" si="58"/>
        <v>251</v>
      </c>
      <c r="CJ199" s="6">
        <v>450</v>
      </c>
      <c r="CK199" s="6"/>
      <c r="CL199" s="6">
        <f t="shared" si="59"/>
        <v>248</v>
      </c>
      <c r="CM199" s="6">
        <v>702</v>
      </c>
      <c r="CN199" s="6"/>
      <c r="CO199" s="6">
        <f t="shared" si="60"/>
        <v>252</v>
      </c>
      <c r="CP199" s="6">
        <v>150</v>
      </c>
      <c r="CQ199" s="6">
        <v>800</v>
      </c>
      <c r="CR199" s="6">
        <f t="shared" si="61"/>
        <v>248</v>
      </c>
      <c r="CS199" s="6">
        <v>398</v>
      </c>
      <c r="CT199" s="6"/>
      <c r="CU199" s="6">
        <f t="shared" si="62"/>
        <v>248</v>
      </c>
      <c r="CV199" s="6">
        <v>626</v>
      </c>
      <c r="CW199" s="6"/>
      <c r="CX199" s="6">
        <f t="shared" si="63"/>
        <v>228</v>
      </c>
    </row>
    <row r="200" spans="1:102">
      <c r="A200" s="6">
        <v>196</v>
      </c>
      <c r="B200" s="6">
        <v>851</v>
      </c>
      <c r="C200" s="6"/>
      <c r="D200" s="6">
        <v>211</v>
      </c>
      <c r="E200" s="33" t="s">
        <v>75</v>
      </c>
      <c r="F200" s="33" t="s">
        <v>75</v>
      </c>
      <c r="G200" s="33" t="s">
        <v>75</v>
      </c>
      <c r="H200" s="148" t="s">
        <v>79</v>
      </c>
      <c r="I200" s="33" t="s">
        <v>79</v>
      </c>
      <c r="J200" s="33" t="s">
        <v>79</v>
      </c>
      <c r="K200" s="33" t="s">
        <v>79</v>
      </c>
      <c r="L200" s="33" t="s">
        <v>79</v>
      </c>
      <c r="M200" s="33" t="s">
        <v>79</v>
      </c>
      <c r="N200" s="33" t="s">
        <v>79</v>
      </c>
      <c r="O200" s="33" t="s">
        <v>79</v>
      </c>
      <c r="P200" s="33" t="s">
        <v>79</v>
      </c>
      <c r="Q200" s="33" t="s">
        <v>79</v>
      </c>
      <c r="R200" s="33" t="s">
        <v>79</v>
      </c>
      <c r="S200" s="33" t="s">
        <v>79</v>
      </c>
      <c r="T200" s="33" t="s">
        <v>79</v>
      </c>
      <c r="U200" s="33" t="s">
        <v>79</v>
      </c>
      <c r="V200" s="6">
        <v>1</v>
      </c>
      <c r="W200" s="6">
        <v>1103</v>
      </c>
      <c r="X200" s="35">
        <f t="shared" si="49"/>
        <v>253</v>
      </c>
      <c r="Y200" s="35">
        <v>234</v>
      </c>
      <c r="Z200" s="35"/>
      <c r="AA200" s="35">
        <f t="shared" si="50"/>
        <v>233</v>
      </c>
      <c r="AB200" s="6">
        <v>174</v>
      </c>
      <c r="AC200" s="6">
        <v>283</v>
      </c>
      <c r="AD200" s="35">
        <f t="shared" si="51"/>
        <v>223</v>
      </c>
      <c r="AE200" s="35">
        <v>192</v>
      </c>
      <c r="AF200" s="6">
        <v>219</v>
      </c>
      <c r="AG200" s="34">
        <f t="shared" si="52"/>
        <v>237</v>
      </c>
      <c r="AH200" s="35">
        <v>10</v>
      </c>
      <c r="AI200" s="35">
        <v>419</v>
      </c>
      <c r="AJ200" s="35">
        <f t="shared" si="53"/>
        <v>237</v>
      </c>
      <c r="AK200" s="6">
        <v>229</v>
      </c>
      <c r="AL200" s="6"/>
      <c r="AM200" s="35">
        <f t="shared" si="54"/>
        <v>219</v>
      </c>
      <c r="AN200" s="6"/>
      <c r="AO200" s="6"/>
      <c r="AP200" s="35"/>
      <c r="AQ200" s="35">
        <v>477</v>
      </c>
      <c r="AR200" s="35"/>
      <c r="AS200" s="35">
        <f t="shared" si="55"/>
        <v>248</v>
      </c>
      <c r="AT200" s="6">
        <v>173</v>
      </c>
      <c r="AU200" s="6">
        <v>545</v>
      </c>
      <c r="AV200" s="35">
        <f t="shared" si="48"/>
        <v>241</v>
      </c>
      <c r="AW200" s="35">
        <v>422</v>
      </c>
      <c r="AX200" s="6"/>
      <c r="AY200" s="6">
        <f t="shared" si="56"/>
        <v>249</v>
      </c>
      <c r="AZ200" s="6">
        <v>487</v>
      </c>
      <c r="BA200" s="6"/>
      <c r="BB200" s="6">
        <f t="shared" si="57"/>
        <v>65</v>
      </c>
      <c r="BC200" s="6"/>
      <c r="BD200" s="35"/>
      <c r="BE200" s="6"/>
      <c r="BF200" s="6"/>
      <c r="BG200" s="6"/>
      <c r="BH200" s="35"/>
      <c r="BI200" s="35"/>
      <c r="BJ200" s="6"/>
      <c r="BK200" s="6"/>
      <c r="BL200" s="35"/>
      <c r="BM200" s="6"/>
      <c r="BN200" s="35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>
        <v>745</v>
      </c>
      <c r="CH200" s="6"/>
      <c r="CI200" s="6">
        <f t="shared" si="58"/>
        <v>258</v>
      </c>
      <c r="CJ200" s="6">
        <v>993</v>
      </c>
      <c r="CK200" s="6"/>
      <c r="CL200" s="6">
        <f t="shared" si="59"/>
        <v>248</v>
      </c>
      <c r="CM200" s="6">
        <v>145</v>
      </c>
      <c r="CN200" s="6">
        <v>1100</v>
      </c>
      <c r="CO200" s="6">
        <f t="shared" si="60"/>
        <v>252</v>
      </c>
      <c r="CP200" s="6">
        <v>396</v>
      </c>
      <c r="CQ200" s="6"/>
      <c r="CR200" s="6">
        <f t="shared" si="61"/>
        <v>251</v>
      </c>
      <c r="CS200" s="6">
        <v>643</v>
      </c>
      <c r="CT200" s="6"/>
      <c r="CU200" s="6">
        <f t="shared" si="62"/>
        <v>247</v>
      </c>
      <c r="CV200" s="6">
        <v>70</v>
      </c>
      <c r="CW200" s="6">
        <v>800</v>
      </c>
      <c r="CX200" s="6">
        <f t="shared" si="63"/>
        <v>227</v>
      </c>
    </row>
    <row r="201" spans="1:102">
      <c r="A201" s="6">
        <v>197</v>
      </c>
      <c r="B201" s="6">
        <v>599</v>
      </c>
      <c r="C201" s="10"/>
      <c r="D201" s="6">
        <v>202</v>
      </c>
      <c r="E201" s="33" t="s">
        <v>72</v>
      </c>
      <c r="F201" s="33" t="s">
        <v>72</v>
      </c>
      <c r="G201" s="33" t="s">
        <v>72</v>
      </c>
      <c r="H201" s="33" t="s">
        <v>72</v>
      </c>
      <c r="I201" s="33" t="s">
        <v>72</v>
      </c>
      <c r="J201" s="33" t="s">
        <v>72</v>
      </c>
      <c r="K201" s="33" t="s">
        <v>72</v>
      </c>
      <c r="L201" s="33" t="s">
        <v>72</v>
      </c>
      <c r="M201" s="33" t="s">
        <v>72</v>
      </c>
      <c r="N201" s="33" t="s">
        <v>72</v>
      </c>
      <c r="O201" s="33" t="s">
        <v>72</v>
      </c>
      <c r="P201" s="33" t="s">
        <v>72</v>
      </c>
      <c r="Q201" s="33" t="s">
        <v>72</v>
      </c>
      <c r="R201" s="33" t="s">
        <v>72</v>
      </c>
      <c r="S201" s="33" t="s">
        <v>72</v>
      </c>
      <c r="T201" s="33" t="s">
        <v>72</v>
      </c>
      <c r="U201" s="148" t="s">
        <v>72</v>
      </c>
      <c r="V201" s="6">
        <v>844</v>
      </c>
      <c r="W201" s="6"/>
      <c r="X201" s="35">
        <f t="shared" si="49"/>
        <v>245</v>
      </c>
      <c r="Y201" s="35">
        <v>4</v>
      </c>
      <c r="Z201" s="35">
        <v>1069</v>
      </c>
      <c r="AA201" s="35">
        <f t="shared" si="50"/>
        <v>229</v>
      </c>
      <c r="AB201" s="6">
        <v>231</v>
      </c>
      <c r="AC201" s="6"/>
      <c r="AD201" s="35">
        <f t="shared" si="51"/>
        <v>227</v>
      </c>
      <c r="AE201" s="6">
        <v>460</v>
      </c>
      <c r="AF201" s="6"/>
      <c r="AG201" s="34">
        <f t="shared" si="52"/>
        <v>229</v>
      </c>
      <c r="AH201" s="35">
        <v>699</v>
      </c>
      <c r="AI201" s="35"/>
      <c r="AJ201" s="35">
        <f t="shared" si="53"/>
        <v>239</v>
      </c>
      <c r="AK201" s="6">
        <v>179</v>
      </c>
      <c r="AL201" s="6">
        <v>733</v>
      </c>
      <c r="AM201" s="35">
        <f t="shared" si="54"/>
        <v>213</v>
      </c>
      <c r="AN201" s="6"/>
      <c r="AO201" s="6"/>
      <c r="AP201" s="35"/>
      <c r="AQ201" s="35">
        <v>202</v>
      </c>
      <c r="AR201" s="35">
        <v>224</v>
      </c>
      <c r="AS201" s="35">
        <f t="shared" si="55"/>
        <v>247</v>
      </c>
      <c r="AT201" s="6">
        <v>447</v>
      </c>
      <c r="AU201" s="6"/>
      <c r="AV201" s="35">
        <f t="shared" si="48"/>
        <v>245</v>
      </c>
      <c r="AW201" s="35">
        <v>693</v>
      </c>
      <c r="AX201" s="6"/>
      <c r="AY201" s="6">
        <f t="shared" si="56"/>
        <v>246</v>
      </c>
      <c r="AZ201" s="6">
        <v>756</v>
      </c>
      <c r="BA201" s="6"/>
      <c r="BB201" s="6">
        <f t="shared" si="57"/>
        <v>63</v>
      </c>
      <c r="BC201" s="6"/>
      <c r="BD201" s="35"/>
      <c r="BE201" s="6"/>
      <c r="BF201" s="6"/>
      <c r="BG201" s="6"/>
      <c r="BH201" s="35"/>
      <c r="BI201" s="35"/>
      <c r="BJ201" s="6"/>
      <c r="BK201" s="6"/>
      <c r="BL201" s="35"/>
      <c r="BM201" s="6"/>
      <c r="BN201" s="35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>
        <v>1006</v>
      </c>
      <c r="CH201" s="6"/>
      <c r="CI201" s="6">
        <f t="shared" si="58"/>
        <v>250</v>
      </c>
      <c r="CJ201" s="6">
        <v>132</v>
      </c>
      <c r="CK201" s="6">
        <v>1100</v>
      </c>
      <c r="CL201" s="6">
        <f t="shared" si="59"/>
        <v>226</v>
      </c>
      <c r="CM201" s="6">
        <v>360</v>
      </c>
      <c r="CN201" s="6"/>
      <c r="CO201" s="6">
        <f t="shared" si="60"/>
        <v>228</v>
      </c>
      <c r="CP201" s="6">
        <v>590</v>
      </c>
      <c r="CQ201" s="6"/>
      <c r="CR201" s="6">
        <f t="shared" si="61"/>
        <v>230</v>
      </c>
      <c r="CS201" s="6">
        <v>0</v>
      </c>
      <c r="CT201" s="6">
        <v>698</v>
      </c>
      <c r="CU201" s="6">
        <f t="shared" si="62"/>
        <v>108</v>
      </c>
      <c r="CV201" s="6">
        <v>204</v>
      </c>
      <c r="CW201" s="10"/>
      <c r="CX201" s="6">
        <f t="shared" si="63"/>
        <v>204</v>
      </c>
    </row>
    <row r="202" spans="1:102">
      <c r="A202" s="6">
        <v>198</v>
      </c>
      <c r="B202" s="6">
        <v>608</v>
      </c>
      <c r="C202" s="10"/>
      <c r="D202" s="6">
        <v>204</v>
      </c>
      <c r="E202" s="33" t="s">
        <v>79</v>
      </c>
      <c r="F202" s="33" t="s">
        <v>79</v>
      </c>
      <c r="G202" s="33" t="s">
        <v>79</v>
      </c>
      <c r="H202" s="33" t="s">
        <v>79</v>
      </c>
      <c r="I202" s="33" t="s">
        <v>79</v>
      </c>
      <c r="J202" s="33" t="s">
        <v>79</v>
      </c>
      <c r="K202" s="33" t="s">
        <v>79</v>
      </c>
      <c r="L202" s="33" t="s">
        <v>79</v>
      </c>
      <c r="M202" s="33" t="s">
        <v>79</v>
      </c>
      <c r="N202" s="33" t="s">
        <v>79</v>
      </c>
      <c r="O202" s="33" t="s">
        <v>79</v>
      </c>
      <c r="P202" s="33" t="s">
        <v>79</v>
      </c>
      <c r="Q202" s="33" t="s">
        <v>79</v>
      </c>
      <c r="R202" s="33" t="s">
        <v>79</v>
      </c>
      <c r="S202" s="33" t="s">
        <v>79</v>
      </c>
      <c r="T202" s="33" t="s">
        <v>79</v>
      </c>
      <c r="U202" s="33" t="s">
        <v>79</v>
      </c>
      <c r="V202" s="6">
        <v>53</v>
      </c>
      <c r="W202" s="6">
        <v>800</v>
      </c>
      <c r="X202" s="35">
        <f t="shared" si="49"/>
        <v>245</v>
      </c>
      <c r="Y202" s="35">
        <v>280</v>
      </c>
      <c r="Z202" s="35"/>
      <c r="AA202" s="35">
        <f t="shared" si="50"/>
        <v>227</v>
      </c>
      <c r="AB202" s="6">
        <v>513</v>
      </c>
      <c r="AC202" s="6"/>
      <c r="AD202" s="35">
        <f t="shared" si="51"/>
        <v>233</v>
      </c>
      <c r="AE202" s="6">
        <v>741</v>
      </c>
      <c r="AF202" s="6"/>
      <c r="AG202" s="34">
        <f t="shared" si="52"/>
        <v>228</v>
      </c>
      <c r="AH202" s="35">
        <v>180</v>
      </c>
      <c r="AI202" s="35">
        <v>800</v>
      </c>
      <c r="AJ202" s="35">
        <f t="shared" si="53"/>
        <v>239</v>
      </c>
      <c r="AK202" s="6">
        <v>395</v>
      </c>
      <c r="AL202" s="6"/>
      <c r="AM202" s="35">
        <f t="shared" si="54"/>
        <v>215</v>
      </c>
      <c r="AN202" s="6"/>
      <c r="AO202" s="6"/>
      <c r="AP202" s="35"/>
      <c r="AQ202" s="35">
        <v>636</v>
      </c>
      <c r="AR202" s="35"/>
      <c r="AS202" s="35">
        <f t="shared" si="55"/>
        <v>241</v>
      </c>
      <c r="AT202" s="6">
        <v>71</v>
      </c>
      <c r="AU202" s="6">
        <v>800</v>
      </c>
      <c r="AV202" s="35">
        <f t="shared" si="48"/>
        <v>235</v>
      </c>
      <c r="AW202" s="35">
        <v>326</v>
      </c>
      <c r="AX202" s="6"/>
      <c r="AY202" s="6">
        <f t="shared" si="56"/>
        <v>255</v>
      </c>
      <c r="AZ202" s="6">
        <v>380</v>
      </c>
      <c r="BA202" s="6"/>
      <c r="BB202" s="6">
        <f t="shared" si="57"/>
        <v>54</v>
      </c>
      <c r="BC202" s="6"/>
      <c r="BD202" s="35"/>
      <c r="BE202" s="6"/>
      <c r="BF202" s="6"/>
      <c r="BG202" s="6"/>
      <c r="BH202" s="35"/>
      <c r="BI202" s="35"/>
      <c r="BJ202" s="6"/>
      <c r="BK202" s="6"/>
      <c r="BL202" s="35"/>
      <c r="BM202" s="6"/>
      <c r="BN202" s="35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>
        <v>634</v>
      </c>
      <c r="CH202" s="6"/>
      <c r="CI202" s="6">
        <f t="shared" si="58"/>
        <v>254</v>
      </c>
      <c r="CJ202" s="6">
        <v>87</v>
      </c>
      <c r="CK202" s="6">
        <v>800</v>
      </c>
      <c r="CL202" s="6">
        <f t="shared" si="59"/>
        <v>253</v>
      </c>
      <c r="CM202" s="6">
        <v>337</v>
      </c>
      <c r="CN202" s="6"/>
      <c r="CO202" s="6">
        <f t="shared" si="60"/>
        <v>250</v>
      </c>
      <c r="CP202" s="6">
        <v>584</v>
      </c>
      <c r="CQ202" s="6"/>
      <c r="CR202" s="6">
        <f t="shared" si="61"/>
        <v>247</v>
      </c>
      <c r="CS202" s="6">
        <v>38</v>
      </c>
      <c r="CT202" s="6">
        <v>800</v>
      </c>
      <c r="CU202" s="6">
        <f t="shared" si="62"/>
        <v>254</v>
      </c>
      <c r="CV202" s="6">
        <v>254</v>
      </c>
      <c r="CW202" s="10"/>
      <c r="CX202" s="6">
        <f t="shared" si="63"/>
        <v>216</v>
      </c>
    </row>
    <row r="203" spans="1:102">
      <c r="A203" s="6">
        <v>199</v>
      </c>
      <c r="B203" s="6">
        <v>109</v>
      </c>
      <c r="C203" s="10">
        <v>800</v>
      </c>
      <c r="D203" s="6">
        <v>208</v>
      </c>
      <c r="E203" s="33" t="s">
        <v>79</v>
      </c>
      <c r="F203" s="33" t="s">
        <v>79</v>
      </c>
      <c r="G203" s="33" t="s">
        <v>79</v>
      </c>
      <c r="H203" s="33" t="s">
        <v>79</v>
      </c>
      <c r="I203" s="33" t="s">
        <v>79</v>
      </c>
      <c r="J203" s="33" t="s">
        <v>79</v>
      </c>
      <c r="K203" s="33" t="s">
        <v>79</v>
      </c>
      <c r="L203" s="33" t="s">
        <v>79</v>
      </c>
      <c r="M203" s="33" t="s">
        <v>79</v>
      </c>
      <c r="N203" s="33" t="s">
        <v>79</v>
      </c>
      <c r="O203" s="33" t="s">
        <v>79</v>
      </c>
      <c r="P203" s="33" t="s">
        <v>79</v>
      </c>
      <c r="Q203" s="148" t="s">
        <v>75</v>
      </c>
      <c r="R203" s="33" t="s">
        <v>75</v>
      </c>
      <c r="S203" s="33" t="s">
        <v>75</v>
      </c>
      <c r="T203" s="33" t="s">
        <v>75</v>
      </c>
      <c r="U203" s="33" t="s">
        <v>75</v>
      </c>
      <c r="V203" s="6">
        <v>353</v>
      </c>
      <c r="W203" s="6"/>
      <c r="X203" s="35">
        <f t="shared" si="49"/>
        <v>244</v>
      </c>
      <c r="Y203" s="35">
        <v>587</v>
      </c>
      <c r="Z203" s="35"/>
      <c r="AA203" s="35">
        <f t="shared" si="50"/>
        <v>234</v>
      </c>
      <c r="AB203" s="6">
        <v>19</v>
      </c>
      <c r="AC203" s="6">
        <v>800</v>
      </c>
      <c r="AD203" s="35">
        <f t="shared" si="51"/>
        <v>232</v>
      </c>
      <c r="AE203" s="6">
        <v>252</v>
      </c>
      <c r="AF203" s="6"/>
      <c r="AG203" s="34">
        <f t="shared" si="52"/>
        <v>233</v>
      </c>
      <c r="AH203" s="35">
        <v>494</v>
      </c>
      <c r="AI203" s="35"/>
      <c r="AJ203" s="35">
        <f t="shared" si="53"/>
        <v>242</v>
      </c>
      <c r="AK203" s="6">
        <v>709</v>
      </c>
      <c r="AL203" s="6"/>
      <c r="AM203" s="35">
        <f t="shared" si="54"/>
        <v>215</v>
      </c>
      <c r="AN203" s="6"/>
      <c r="AO203" s="6"/>
      <c r="AP203" s="35"/>
      <c r="AQ203" s="35">
        <v>157</v>
      </c>
      <c r="AR203" s="35">
        <v>800</v>
      </c>
      <c r="AS203" s="35">
        <f t="shared" si="55"/>
        <v>248</v>
      </c>
      <c r="AT203" s="6">
        <v>409</v>
      </c>
      <c r="AU203" s="6"/>
      <c r="AV203" s="35">
        <f t="shared" si="48"/>
        <v>252</v>
      </c>
      <c r="AW203" s="35">
        <v>662</v>
      </c>
      <c r="AX203" s="6"/>
      <c r="AY203" s="6">
        <f t="shared" si="56"/>
        <v>253</v>
      </c>
      <c r="AZ203" s="6">
        <v>725</v>
      </c>
      <c r="BA203" s="6"/>
      <c r="BB203" s="6">
        <f t="shared" si="57"/>
        <v>63</v>
      </c>
      <c r="BC203" s="6"/>
      <c r="BD203" s="35"/>
      <c r="BE203" s="6"/>
      <c r="BF203" s="6"/>
      <c r="BG203" s="6"/>
      <c r="BH203" s="35"/>
      <c r="BI203" s="35"/>
      <c r="BJ203" s="6"/>
      <c r="BK203" s="6"/>
      <c r="BL203" s="35"/>
      <c r="BM203" s="6"/>
      <c r="BN203" s="35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>
        <v>0</v>
      </c>
      <c r="CH203" s="6">
        <v>841</v>
      </c>
      <c r="CI203" s="6">
        <f t="shared" si="58"/>
        <v>116</v>
      </c>
      <c r="CJ203" s="6">
        <v>245</v>
      </c>
      <c r="CK203" s="6"/>
      <c r="CL203" s="6">
        <f t="shared" si="59"/>
        <v>245</v>
      </c>
      <c r="CM203" s="6">
        <v>501</v>
      </c>
      <c r="CN203" s="6"/>
      <c r="CO203" s="6">
        <f t="shared" si="60"/>
        <v>256</v>
      </c>
      <c r="CP203" s="6">
        <v>749</v>
      </c>
      <c r="CQ203" s="6"/>
      <c r="CR203" s="6">
        <f t="shared" si="61"/>
        <v>248</v>
      </c>
      <c r="CS203" s="6">
        <v>1002</v>
      </c>
      <c r="CT203" s="6"/>
      <c r="CU203" s="6">
        <f t="shared" si="62"/>
        <v>253</v>
      </c>
      <c r="CV203" s="6">
        <v>133</v>
      </c>
      <c r="CW203" s="10">
        <v>1100</v>
      </c>
      <c r="CX203" s="6">
        <f t="shared" si="63"/>
        <v>231</v>
      </c>
    </row>
    <row r="204" spans="1:102">
      <c r="A204" s="6">
        <v>200</v>
      </c>
      <c r="B204" s="6">
        <v>520</v>
      </c>
      <c r="C204" s="10"/>
      <c r="D204" s="6">
        <v>204</v>
      </c>
      <c r="E204" s="33" t="s">
        <v>72</v>
      </c>
      <c r="F204" s="33" t="s">
        <v>72</v>
      </c>
      <c r="G204" s="33" t="s">
        <v>72</v>
      </c>
      <c r="H204" s="33" t="s">
        <v>72</v>
      </c>
      <c r="I204" s="33" t="s">
        <v>72</v>
      </c>
      <c r="J204" s="33" t="s">
        <v>72</v>
      </c>
      <c r="K204" s="33" t="s">
        <v>72</v>
      </c>
      <c r="L204" s="33" t="s">
        <v>72</v>
      </c>
      <c r="M204" s="33" t="s">
        <v>72</v>
      </c>
      <c r="N204" s="33" t="s">
        <v>72</v>
      </c>
      <c r="O204" s="33" t="s">
        <v>72</v>
      </c>
      <c r="P204" s="33" t="s">
        <v>72</v>
      </c>
      <c r="Q204" s="33" t="s">
        <v>72</v>
      </c>
      <c r="R204" s="33" t="s">
        <v>72</v>
      </c>
      <c r="S204" s="33" t="s">
        <v>72</v>
      </c>
      <c r="T204" s="148" t="s">
        <v>72</v>
      </c>
      <c r="U204" s="33" t="s">
        <v>72</v>
      </c>
      <c r="V204" s="6">
        <v>756</v>
      </c>
      <c r="W204" s="6"/>
      <c r="X204" s="35">
        <f t="shared" si="49"/>
        <v>236</v>
      </c>
      <c r="Y204" s="35">
        <v>986</v>
      </c>
      <c r="Z204" s="35"/>
      <c r="AA204" s="35">
        <f t="shared" si="50"/>
        <v>230</v>
      </c>
      <c r="AB204" s="6">
        <v>115</v>
      </c>
      <c r="AC204" s="6">
        <v>1100</v>
      </c>
      <c r="AD204" s="35">
        <f t="shared" si="51"/>
        <v>229</v>
      </c>
      <c r="AE204" s="6">
        <v>343</v>
      </c>
      <c r="AF204" s="6"/>
      <c r="AG204" s="34">
        <f t="shared" si="52"/>
        <v>228</v>
      </c>
      <c r="AH204" s="35">
        <v>164</v>
      </c>
      <c r="AI204" s="35">
        <v>412</v>
      </c>
      <c r="AJ204" s="35">
        <f t="shared" si="53"/>
        <v>233</v>
      </c>
      <c r="AK204" s="6">
        <v>386</v>
      </c>
      <c r="AL204" s="6"/>
      <c r="AM204" s="35">
        <f t="shared" si="54"/>
        <v>222</v>
      </c>
      <c r="AN204" s="6"/>
      <c r="AO204" s="6"/>
      <c r="AP204" s="35"/>
      <c r="AQ204" s="35">
        <v>640</v>
      </c>
      <c r="AR204" s="35"/>
      <c r="AS204" s="35">
        <f t="shared" si="55"/>
        <v>254</v>
      </c>
      <c r="AT204" s="6">
        <v>893</v>
      </c>
      <c r="AU204" s="6"/>
      <c r="AV204" s="35">
        <f t="shared" si="48"/>
        <v>253</v>
      </c>
      <c r="AW204" s="35">
        <v>118</v>
      </c>
      <c r="AX204" s="6">
        <v>1031</v>
      </c>
      <c r="AY204" s="6">
        <f t="shared" si="56"/>
        <v>256</v>
      </c>
      <c r="AZ204" s="6">
        <v>184</v>
      </c>
      <c r="BA204" s="6"/>
      <c r="BB204" s="6">
        <f t="shared" si="57"/>
        <v>66</v>
      </c>
      <c r="BC204" s="35"/>
      <c r="BD204" s="35"/>
      <c r="BE204" s="6"/>
      <c r="BF204" s="6"/>
      <c r="BG204" s="6"/>
      <c r="BH204" s="35"/>
      <c r="BI204" s="35"/>
      <c r="BJ204" s="6"/>
      <c r="BK204" s="6"/>
      <c r="BL204" s="35"/>
      <c r="BM204" s="6"/>
      <c r="BN204" s="35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>
        <v>445</v>
      </c>
      <c r="CH204" s="6"/>
      <c r="CI204" s="6">
        <f t="shared" si="58"/>
        <v>261</v>
      </c>
      <c r="CJ204" s="6">
        <v>701</v>
      </c>
      <c r="CK204" s="6"/>
      <c r="CL204" s="6">
        <f t="shared" si="59"/>
        <v>256</v>
      </c>
      <c r="CM204" s="6">
        <v>960</v>
      </c>
      <c r="CN204" s="6"/>
      <c r="CO204" s="6">
        <f t="shared" si="60"/>
        <v>259</v>
      </c>
      <c r="CP204" s="6">
        <v>0</v>
      </c>
      <c r="CQ204" s="6">
        <v>1177</v>
      </c>
      <c r="CR204" s="6">
        <f t="shared" si="61"/>
        <v>217</v>
      </c>
      <c r="CS204" s="6">
        <v>244</v>
      </c>
      <c r="CT204" s="159"/>
      <c r="CU204" s="6">
        <f t="shared" si="62"/>
        <v>244</v>
      </c>
      <c r="CV204" s="6">
        <v>476</v>
      </c>
      <c r="CW204" s="10"/>
      <c r="CX204" s="6">
        <f t="shared" si="63"/>
        <v>232</v>
      </c>
    </row>
    <row r="205" spans="1:102">
      <c r="A205" s="6">
        <v>201</v>
      </c>
      <c r="B205" s="6">
        <v>0</v>
      </c>
      <c r="C205" s="10">
        <v>1003</v>
      </c>
      <c r="D205" s="6">
        <v>150</v>
      </c>
      <c r="E205" s="141" t="s">
        <v>79</v>
      </c>
      <c r="F205" s="163" t="s">
        <v>79</v>
      </c>
      <c r="G205" s="141" t="s">
        <v>79</v>
      </c>
      <c r="H205" s="141" t="s">
        <v>79</v>
      </c>
      <c r="I205" s="141" t="s">
        <v>79</v>
      </c>
      <c r="J205" s="141" t="s">
        <v>79</v>
      </c>
      <c r="K205" s="141" t="s">
        <v>79</v>
      </c>
      <c r="L205" s="141" t="s">
        <v>79</v>
      </c>
      <c r="M205" s="141" t="s">
        <v>79</v>
      </c>
      <c r="N205" s="141" t="s">
        <v>79</v>
      </c>
      <c r="O205" s="141" t="s">
        <v>79</v>
      </c>
      <c r="P205" s="141" t="s">
        <v>79</v>
      </c>
      <c r="Q205" s="141" t="s">
        <v>79</v>
      </c>
      <c r="R205" s="141" t="s">
        <v>79</v>
      </c>
      <c r="S205" s="141" t="s">
        <v>79</v>
      </c>
      <c r="T205" s="141" t="s">
        <v>79</v>
      </c>
      <c r="U205" s="141" t="s">
        <v>79</v>
      </c>
      <c r="V205" s="6">
        <v>211</v>
      </c>
      <c r="W205" s="6"/>
      <c r="X205" s="35">
        <f t="shared" si="49"/>
        <v>211</v>
      </c>
      <c r="Y205" s="35">
        <v>406</v>
      </c>
      <c r="Z205" s="35"/>
      <c r="AA205" s="35">
        <f t="shared" si="50"/>
        <v>195</v>
      </c>
      <c r="AB205" s="6">
        <v>639</v>
      </c>
      <c r="AC205" s="6"/>
      <c r="AD205" s="35">
        <f t="shared" si="51"/>
        <v>233</v>
      </c>
      <c r="AE205" s="6">
        <v>78</v>
      </c>
      <c r="AF205" s="6">
        <v>800</v>
      </c>
      <c r="AG205" s="34">
        <f t="shared" si="52"/>
        <v>239</v>
      </c>
      <c r="AH205" s="35">
        <v>316</v>
      </c>
      <c r="AI205" s="35"/>
      <c r="AJ205" s="35">
        <f t="shared" si="53"/>
        <v>238</v>
      </c>
      <c r="AK205" s="6">
        <v>531</v>
      </c>
      <c r="AL205" s="6"/>
      <c r="AM205" s="35">
        <f t="shared" si="54"/>
        <v>215</v>
      </c>
      <c r="AN205" s="6"/>
      <c r="AO205" s="6"/>
      <c r="AP205" s="35"/>
      <c r="AQ205" s="35">
        <v>779</v>
      </c>
      <c r="AR205" s="35"/>
      <c r="AS205" s="35">
        <f t="shared" si="55"/>
        <v>248</v>
      </c>
      <c r="AT205" s="6">
        <v>236</v>
      </c>
      <c r="AU205" s="6">
        <v>800</v>
      </c>
      <c r="AV205" s="35">
        <f t="shared" si="48"/>
        <v>257</v>
      </c>
      <c r="AW205" s="35">
        <v>490</v>
      </c>
      <c r="AX205" s="6"/>
      <c r="AY205" s="6">
        <f t="shared" si="56"/>
        <v>254</v>
      </c>
      <c r="AZ205" s="6">
        <v>557</v>
      </c>
      <c r="BA205" s="6"/>
      <c r="BB205" s="6">
        <f t="shared" si="57"/>
        <v>67</v>
      </c>
      <c r="BC205" s="35"/>
      <c r="BD205" s="35"/>
      <c r="BE205" s="6"/>
      <c r="BF205" s="35"/>
      <c r="BG205" s="35"/>
      <c r="BH205" s="35"/>
      <c r="BI205" s="35"/>
      <c r="BJ205" s="35"/>
      <c r="BK205" s="6"/>
      <c r="BL205" s="35"/>
      <c r="BM205" s="35"/>
      <c r="BN205" s="35"/>
      <c r="BO205" s="35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>
        <v>21</v>
      </c>
      <c r="CH205" s="6">
        <v>800</v>
      </c>
      <c r="CI205" s="6">
        <f t="shared" si="58"/>
        <v>264</v>
      </c>
      <c r="CJ205" s="6">
        <v>270</v>
      </c>
      <c r="CK205" s="6"/>
      <c r="CL205" s="6">
        <f t="shared" si="59"/>
        <v>249</v>
      </c>
      <c r="CM205" s="6">
        <v>527</v>
      </c>
      <c r="CN205" s="6"/>
      <c r="CO205" s="6">
        <f t="shared" si="60"/>
        <v>257</v>
      </c>
      <c r="CP205" s="6">
        <v>780</v>
      </c>
      <c r="CQ205" s="6"/>
      <c r="CR205" s="6">
        <f t="shared" si="61"/>
        <v>253</v>
      </c>
      <c r="CS205" s="6">
        <v>230</v>
      </c>
      <c r="CT205" s="6">
        <v>800</v>
      </c>
      <c r="CU205" s="6">
        <f t="shared" si="62"/>
        <v>250</v>
      </c>
      <c r="CV205" s="6">
        <v>454</v>
      </c>
      <c r="CW205" s="10"/>
      <c r="CX205" s="6">
        <f t="shared" si="63"/>
        <v>224</v>
      </c>
    </row>
    <row r="206" spans="1:102">
      <c r="A206" s="6">
        <v>202</v>
      </c>
      <c r="B206" s="6">
        <v>141</v>
      </c>
      <c r="C206" s="10">
        <v>595</v>
      </c>
      <c r="D206" s="6">
        <v>205</v>
      </c>
      <c r="E206" s="141" t="s">
        <v>72</v>
      </c>
      <c r="F206" s="141" t="s">
        <v>72</v>
      </c>
      <c r="G206" s="141" t="s">
        <v>72</v>
      </c>
      <c r="H206" s="141" t="s">
        <v>72</v>
      </c>
      <c r="I206" s="141" t="s">
        <v>72</v>
      </c>
      <c r="J206" s="141" t="s">
        <v>72</v>
      </c>
      <c r="K206" s="141" t="s">
        <v>72</v>
      </c>
      <c r="L206" s="141" t="s">
        <v>72</v>
      </c>
      <c r="M206" s="141" t="s">
        <v>72</v>
      </c>
      <c r="N206" s="141" t="s">
        <v>72</v>
      </c>
      <c r="O206" s="141" t="s">
        <v>72</v>
      </c>
      <c r="P206" s="141" t="s">
        <v>72</v>
      </c>
      <c r="Q206" s="141" t="s">
        <v>72</v>
      </c>
      <c r="R206" s="141" t="s">
        <v>72</v>
      </c>
      <c r="S206" s="163" t="s">
        <v>72</v>
      </c>
      <c r="T206" s="141" t="s">
        <v>72</v>
      </c>
      <c r="U206" s="141" t="s">
        <v>72</v>
      </c>
      <c r="V206" s="6">
        <v>389</v>
      </c>
      <c r="W206" s="6"/>
      <c r="X206" s="35">
        <f t="shared" si="49"/>
        <v>248</v>
      </c>
      <c r="Y206" s="35">
        <v>612</v>
      </c>
      <c r="Z206" s="35"/>
      <c r="AA206" s="35">
        <f t="shared" si="50"/>
        <v>223</v>
      </c>
      <c r="AB206" s="6">
        <v>846</v>
      </c>
      <c r="AC206" s="6"/>
      <c r="AD206" s="35">
        <f t="shared" si="51"/>
        <v>234</v>
      </c>
      <c r="AE206" s="6">
        <v>29</v>
      </c>
      <c r="AF206" s="6">
        <v>1050</v>
      </c>
      <c r="AG206" s="34">
        <f t="shared" si="52"/>
        <v>233</v>
      </c>
      <c r="AH206" s="35">
        <v>272</v>
      </c>
      <c r="AI206" s="35"/>
      <c r="AJ206" s="35">
        <f t="shared" si="53"/>
        <v>243</v>
      </c>
      <c r="AK206" s="6">
        <v>494</v>
      </c>
      <c r="AL206" s="6"/>
      <c r="AM206" s="35">
        <f t="shared" si="54"/>
        <v>222</v>
      </c>
      <c r="AN206" s="6"/>
      <c r="AO206" s="6"/>
      <c r="AP206" s="35"/>
      <c r="AQ206" s="35">
        <v>110</v>
      </c>
      <c r="AR206" s="35">
        <v>637</v>
      </c>
      <c r="AS206" s="35">
        <f t="shared" si="55"/>
        <v>253</v>
      </c>
      <c r="AT206" s="35">
        <v>367</v>
      </c>
      <c r="AU206" s="6"/>
      <c r="AV206" s="35">
        <f t="shared" si="48"/>
        <v>257</v>
      </c>
      <c r="AW206" s="6">
        <v>626</v>
      </c>
      <c r="AX206" s="6"/>
      <c r="AY206" s="6">
        <f t="shared" si="56"/>
        <v>259</v>
      </c>
      <c r="AZ206" s="6">
        <v>694</v>
      </c>
      <c r="BA206" s="6"/>
      <c r="BB206" s="6">
        <f t="shared" si="57"/>
        <v>68</v>
      </c>
      <c r="BC206" s="35"/>
      <c r="BD206" s="35"/>
      <c r="BE206" s="6"/>
      <c r="BF206" s="35"/>
      <c r="BG206" s="35"/>
      <c r="BH206" s="35"/>
      <c r="BI206" s="35"/>
      <c r="BJ206" s="35"/>
      <c r="BK206" s="6"/>
      <c r="BL206" s="35"/>
      <c r="BM206" s="35"/>
      <c r="BN206" s="35"/>
      <c r="BO206" s="35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>
        <v>956</v>
      </c>
      <c r="CH206" s="6"/>
      <c r="CI206" s="6">
        <f t="shared" si="58"/>
        <v>262</v>
      </c>
      <c r="CJ206" s="6">
        <v>115</v>
      </c>
      <c r="CK206" s="6">
        <v>1100</v>
      </c>
      <c r="CL206" s="6">
        <f t="shared" si="59"/>
        <v>259</v>
      </c>
      <c r="CM206" s="6">
        <v>0</v>
      </c>
      <c r="CN206" s="6">
        <v>334</v>
      </c>
      <c r="CO206" s="6">
        <f t="shared" si="60"/>
        <v>219</v>
      </c>
      <c r="CP206" s="6">
        <v>252</v>
      </c>
      <c r="CQ206" s="6"/>
      <c r="CR206" s="6">
        <f t="shared" si="61"/>
        <v>252</v>
      </c>
      <c r="CS206" s="6">
        <v>507</v>
      </c>
      <c r="CT206" s="6"/>
      <c r="CU206" s="6">
        <f t="shared" si="62"/>
        <v>255</v>
      </c>
      <c r="CV206" s="6">
        <v>744</v>
      </c>
      <c r="CW206" s="10"/>
      <c r="CX206" s="6">
        <f t="shared" si="63"/>
        <v>237</v>
      </c>
    </row>
    <row r="207" spans="1:102">
      <c r="A207" s="6">
        <v>203</v>
      </c>
      <c r="B207" s="6">
        <v>0</v>
      </c>
      <c r="C207" s="10">
        <v>186</v>
      </c>
      <c r="D207" s="6">
        <v>129</v>
      </c>
      <c r="E207" s="141" t="s">
        <v>75</v>
      </c>
      <c r="F207" s="163" t="s">
        <v>75</v>
      </c>
      <c r="G207" s="141" t="s">
        <v>75</v>
      </c>
      <c r="H207" s="141" t="s">
        <v>75</v>
      </c>
      <c r="I207" s="141" t="s">
        <v>75</v>
      </c>
      <c r="J207" s="141" t="s">
        <v>75</v>
      </c>
      <c r="K207" s="141" t="s">
        <v>75</v>
      </c>
      <c r="L207" s="141" t="s">
        <v>75</v>
      </c>
      <c r="M207" s="141" t="s">
        <v>75</v>
      </c>
      <c r="N207" s="141" t="s">
        <v>75</v>
      </c>
      <c r="O207" s="141" t="s">
        <v>75</v>
      </c>
      <c r="P207" s="141" t="s">
        <v>75</v>
      </c>
      <c r="Q207" s="141" t="s">
        <v>75</v>
      </c>
      <c r="R207" s="141" t="s">
        <v>75</v>
      </c>
      <c r="S207" s="141" t="s">
        <v>75</v>
      </c>
      <c r="T207" s="141" t="s">
        <v>75</v>
      </c>
      <c r="U207" s="141" t="s">
        <v>75</v>
      </c>
      <c r="V207" s="6">
        <v>225</v>
      </c>
      <c r="W207" s="6"/>
      <c r="X207" s="35">
        <f t="shared" si="49"/>
        <v>225</v>
      </c>
      <c r="Y207" s="35">
        <v>456</v>
      </c>
      <c r="Z207" s="35"/>
      <c r="AA207" s="35">
        <f t="shared" si="50"/>
        <v>231</v>
      </c>
      <c r="AB207" s="6">
        <v>681</v>
      </c>
      <c r="AC207" s="6"/>
      <c r="AD207" s="35">
        <f t="shared" si="51"/>
        <v>225</v>
      </c>
      <c r="AE207" s="6">
        <v>923</v>
      </c>
      <c r="AF207" s="6"/>
      <c r="AG207" s="34">
        <f t="shared" si="52"/>
        <v>242</v>
      </c>
      <c r="AH207" s="35">
        <v>72</v>
      </c>
      <c r="AI207" s="35">
        <v>1100</v>
      </c>
      <c r="AJ207" s="35">
        <f t="shared" si="53"/>
        <v>249</v>
      </c>
      <c r="AK207" s="6">
        <v>297</v>
      </c>
      <c r="AL207" s="6"/>
      <c r="AM207" s="35">
        <f t="shared" si="54"/>
        <v>225</v>
      </c>
      <c r="AN207" s="6"/>
      <c r="AO207" s="6"/>
      <c r="AP207" s="35"/>
      <c r="AQ207" s="35">
        <v>554</v>
      </c>
      <c r="AR207" s="35"/>
      <c r="AS207" s="35">
        <f t="shared" si="55"/>
        <v>257</v>
      </c>
      <c r="AT207" s="35">
        <v>818</v>
      </c>
      <c r="AU207" s="6"/>
      <c r="AV207" s="35">
        <f t="shared" si="48"/>
        <v>264</v>
      </c>
      <c r="AW207" s="6">
        <v>1085</v>
      </c>
      <c r="AX207" s="6"/>
      <c r="AY207" s="6">
        <f t="shared" si="56"/>
        <v>267</v>
      </c>
      <c r="AZ207" s="6">
        <v>54</v>
      </c>
      <c r="BA207" s="6">
        <v>1100</v>
      </c>
      <c r="BB207" s="6">
        <f t="shared" si="57"/>
        <v>69</v>
      </c>
      <c r="BC207" s="35"/>
      <c r="BD207" s="35"/>
      <c r="BE207" s="6"/>
      <c r="BF207" s="35"/>
      <c r="BG207" s="35"/>
      <c r="BH207" s="35"/>
      <c r="BI207" s="35"/>
      <c r="BJ207" s="35"/>
      <c r="BK207" s="6"/>
      <c r="BL207" s="35"/>
      <c r="BM207" s="35"/>
      <c r="BN207" s="35"/>
      <c r="BO207" s="35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>
        <v>327</v>
      </c>
      <c r="CH207" s="6"/>
      <c r="CI207" s="6">
        <f t="shared" si="58"/>
        <v>273</v>
      </c>
      <c r="CJ207" s="6">
        <v>591</v>
      </c>
      <c r="CK207" s="6"/>
      <c r="CL207" s="6">
        <f t="shared" si="59"/>
        <v>264</v>
      </c>
      <c r="CM207" s="6">
        <v>858</v>
      </c>
      <c r="CN207" s="6"/>
      <c r="CO207" s="6">
        <f t="shared" si="60"/>
        <v>267</v>
      </c>
      <c r="CP207" s="6">
        <v>33</v>
      </c>
      <c r="CQ207" s="6">
        <v>1091</v>
      </c>
      <c r="CR207" s="6">
        <f t="shared" si="61"/>
        <v>266</v>
      </c>
      <c r="CS207" s="6">
        <v>294</v>
      </c>
      <c r="CT207" s="6"/>
      <c r="CU207" s="6">
        <f t="shared" si="62"/>
        <v>261</v>
      </c>
      <c r="CV207" s="6">
        <v>526</v>
      </c>
      <c r="CW207" s="10"/>
      <c r="CX207" s="6">
        <f t="shared" si="63"/>
        <v>232</v>
      </c>
    </row>
    <row r="208" spans="1:102">
      <c r="A208" s="6">
        <v>204</v>
      </c>
      <c r="B208" s="6">
        <v>420</v>
      </c>
      <c r="C208" s="10"/>
      <c r="D208" s="6">
        <v>203</v>
      </c>
      <c r="E208" s="141" t="s">
        <v>79</v>
      </c>
      <c r="F208" s="141" t="s">
        <v>79</v>
      </c>
      <c r="G208" s="141" t="s">
        <v>79</v>
      </c>
      <c r="H208" s="141" t="s">
        <v>79</v>
      </c>
      <c r="I208" s="141" t="s">
        <v>79</v>
      </c>
      <c r="J208" s="141" t="s">
        <v>79</v>
      </c>
      <c r="K208" s="141" t="s">
        <v>79</v>
      </c>
      <c r="L208" s="141" t="s">
        <v>79</v>
      </c>
      <c r="M208" s="141" t="s">
        <v>79</v>
      </c>
      <c r="N208" s="141" t="s">
        <v>79</v>
      </c>
      <c r="O208" s="141" t="s">
        <v>79</v>
      </c>
      <c r="P208" s="141" t="s">
        <v>79</v>
      </c>
      <c r="Q208" s="141" t="s">
        <v>79</v>
      </c>
      <c r="R208" s="141" t="s">
        <v>79</v>
      </c>
      <c r="S208" s="141" t="s">
        <v>79</v>
      </c>
      <c r="T208" s="141" t="s">
        <v>79</v>
      </c>
      <c r="U208" s="141" t="s">
        <v>79</v>
      </c>
      <c r="V208" s="6">
        <v>664</v>
      </c>
      <c r="W208" s="6"/>
      <c r="X208" s="35">
        <f t="shared" si="49"/>
        <v>244</v>
      </c>
      <c r="Y208" s="35">
        <v>88</v>
      </c>
      <c r="Z208" s="35">
        <v>800</v>
      </c>
      <c r="AA208" s="35">
        <f t="shared" si="50"/>
        <v>224</v>
      </c>
      <c r="AB208" s="6">
        <v>318</v>
      </c>
      <c r="AC208" s="6"/>
      <c r="AD208" s="35">
        <f t="shared" si="51"/>
        <v>230</v>
      </c>
      <c r="AE208" s="6">
        <v>549</v>
      </c>
      <c r="AF208" s="6"/>
      <c r="AG208" s="34">
        <f t="shared" si="52"/>
        <v>231</v>
      </c>
      <c r="AH208" s="35">
        <v>789</v>
      </c>
      <c r="AI208" s="35"/>
      <c r="AJ208" s="35">
        <f t="shared" si="53"/>
        <v>240</v>
      </c>
      <c r="AK208" s="6">
        <v>197</v>
      </c>
      <c r="AL208" s="6">
        <v>800</v>
      </c>
      <c r="AM208" s="35">
        <f t="shared" si="54"/>
        <v>208</v>
      </c>
      <c r="AN208" s="6"/>
      <c r="AO208" s="6"/>
      <c r="AP208" s="35"/>
      <c r="AQ208" s="35">
        <v>436</v>
      </c>
      <c r="AR208" s="35"/>
      <c r="AS208" s="35">
        <f t="shared" si="55"/>
        <v>239</v>
      </c>
      <c r="AT208" s="35">
        <v>687</v>
      </c>
      <c r="AU208" s="6"/>
      <c r="AV208" s="35">
        <f t="shared" si="48"/>
        <v>251</v>
      </c>
      <c r="AW208" s="6">
        <v>136</v>
      </c>
      <c r="AX208" s="6">
        <v>800</v>
      </c>
      <c r="AY208" s="6">
        <f t="shared" si="56"/>
        <v>249</v>
      </c>
      <c r="AZ208" s="6">
        <v>200</v>
      </c>
      <c r="BA208" s="6"/>
      <c r="BB208" s="6">
        <f t="shared" si="57"/>
        <v>64</v>
      </c>
      <c r="BC208" s="35"/>
      <c r="BD208" s="35"/>
      <c r="BE208" s="6"/>
      <c r="BF208" s="35"/>
      <c r="BG208" s="35"/>
      <c r="BH208" s="35"/>
      <c r="BI208" s="35"/>
      <c r="BJ208" s="35"/>
      <c r="BK208" s="6"/>
      <c r="BL208" s="35"/>
      <c r="BM208" s="35"/>
      <c r="BN208" s="35"/>
      <c r="BO208" s="35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>
        <v>464</v>
      </c>
      <c r="CH208" s="6"/>
      <c r="CI208" s="6">
        <f t="shared" si="58"/>
        <v>264</v>
      </c>
      <c r="CJ208" s="6">
        <v>714</v>
      </c>
      <c r="CK208" s="6"/>
      <c r="CL208" s="6">
        <f t="shared" si="59"/>
        <v>250</v>
      </c>
      <c r="CM208" s="6">
        <v>164</v>
      </c>
      <c r="CN208" s="6">
        <v>800</v>
      </c>
      <c r="CO208" s="6">
        <f t="shared" si="60"/>
        <v>250</v>
      </c>
      <c r="CP208" s="6">
        <v>410</v>
      </c>
      <c r="CQ208" s="6"/>
      <c r="CR208" s="6">
        <f t="shared" si="61"/>
        <v>246</v>
      </c>
      <c r="CS208" s="6">
        <v>655</v>
      </c>
      <c r="CT208" s="6"/>
      <c r="CU208" s="6">
        <f t="shared" si="62"/>
        <v>245</v>
      </c>
      <c r="CV208" s="6">
        <v>80</v>
      </c>
      <c r="CW208" s="10">
        <v>800</v>
      </c>
      <c r="CX208" s="6">
        <f t="shared" si="63"/>
        <v>225</v>
      </c>
    </row>
    <row r="209" spans="1:102">
      <c r="A209" s="6">
        <v>205</v>
      </c>
      <c r="B209" s="6">
        <v>334</v>
      </c>
      <c r="C209" s="10"/>
      <c r="D209" s="6">
        <v>218</v>
      </c>
      <c r="E209" s="141" t="s">
        <v>72</v>
      </c>
      <c r="F209" s="141" t="s">
        <v>72</v>
      </c>
      <c r="G209" s="141" t="s">
        <v>72</v>
      </c>
      <c r="H209" s="141" t="s">
        <v>72</v>
      </c>
      <c r="I209" s="141" t="s">
        <v>72</v>
      </c>
      <c r="J209" s="141" t="s">
        <v>72</v>
      </c>
      <c r="K209" s="141" t="s">
        <v>72</v>
      </c>
      <c r="L209" s="141" t="s">
        <v>72</v>
      </c>
      <c r="M209" s="141" t="s">
        <v>72</v>
      </c>
      <c r="N209" s="141" t="s">
        <v>72</v>
      </c>
      <c r="O209" s="141" t="s">
        <v>72</v>
      </c>
      <c r="P209" s="141" t="s">
        <v>72</v>
      </c>
      <c r="Q209" s="141" t="s">
        <v>72</v>
      </c>
      <c r="R209" s="141" t="s">
        <v>72</v>
      </c>
      <c r="S209" s="163" t="s">
        <v>72</v>
      </c>
      <c r="T209" s="141" t="s">
        <v>72</v>
      </c>
      <c r="U209" s="141" t="s">
        <v>72</v>
      </c>
      <c r="V209" s="6">
        <v>594</v>
      </c>
      <c r="W209" s="6"/>
      <c r="X209" s="35">
        <f t="shared" si="49"/>
        <v>260</v>
      </c>
      <c r="Y209" s="35">
        <v>840</v>
      </c>
      <c r="Z209" s="35"/>
      <c r="AA209" s="35">
        <f t="shared" si="50"/>
        <v>246</v>
      </c>
      <c r="AB209" s="6">
        <v>1086</v>
      </c>
      <c r="AC209" s="6"/>
      <c r="AD209" s="35">
        <f t="shared" si="51"/>
        <v>246</v>
      </c>
      <c r="AE209" s="6">
        <v>233</v>
      </c>
      <c r="AF209" s="6">
        <v>1100</v>
      </c>
      <c r="AG209" s="34">
        <f t="shared" si="52"/>
        <v>247</v>
      </c>
      <c r="AH209" s="35">
        <v>478</v>
      </c>
      <c r="AI209" s="35"/>
      <c r="AJ209" s="35">
        <f t="shared" si="53"/>
        <v>245</v>
      </c>
      <c r="AK209" s="6">
        <v>692</v>
      </c>
      <c r="AL209" s="6"/>
      <c r="AM209" s="35">
        <f t="shared" si="54"/>
        <v>214</v>
      </c>
      <c r="AN209" s="6"/>
      <c r="AO209" s="6"/>
      <c r="AP209" s="35"/>
      <c r="AQ209" s="35">
        <v>945</v>
      </c>
      <c r="AR209" s="35"/>
      <c r="AS209" s="35">
        <f t="shared" si="55"/>
        <v>253</v>
      </c>
      <c r="AT209" s="35">
        <v>103</v>
      </c>
      <c r="AU209" s="6">
        <v>1100</v>
      </c>
      <c r="AV209" s="35">
        <f t="shared" si="48"/>
        <v>258</v>
      </c>
      <c r="AW209" s="6">
        <v>359</v>
      </c>
      <c r="AX209" s="6"/>
      <c r="AY209" s="6">
        <f t="shared" si="56"/>
        <v>256</v>
      </c>
      <c r="AZ209" s="6">
        <v>426</v>
      </c>
      <c r="BA209" s="6"/>
      <c r="BB209" s="6">
        <f t="shared" si="57"/>
        <v>67</v>
      </c>
      <c r="BC209" s="35"/>
      <c r="BD209" s="35"/>
      <c r="BE209" s="6"/>
      <c r="BF209" s="35"/>
      <c r="BG209" s="35"/>
      <c r="BH209" s="35"/>
      <c r="BI209" s="35"/>
      <c r="BJ209" s="35"/>
      <c r="BK209" s="6"/>
      <c r="BL209" s="35"/>
      <c r="BM209" s="35"/>
      <c r="BN209" s="35"/>
      <c r="BO209" s="35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>
        <v>694</v>
      </c>
      <c r="CH209" s="6"/>
      <c r="CI209" s="6">
        <f t="shared" si="58"/>
        <v>268</v>
      </c>
      <c r="CJ209" s="6">
        <v>951</v>
      </c>
      <c r="CK209" s="6"/>
      <c r="CL209" s="6">
        <f t="shared" si="59"/>
        <v>257</v>
      </c>
      <c r="CM209" s="6">
        <v>0</v>
      </c>
      <c r="CN209" s="6">
        <v>1071</v>
      </c>
      <c r="CO209" s="6">
        <f t="shared" si="60"/>
        <v>120</v>
      </c>
      <c r="CP209" s="6">
        <v>256</v>
      </c>
      <c r="CQ209" s="6"/>
      <c r="CR209" s="6">
        <f t="shared" si="61"/>
        <v>256</v>
      </c>
      <c r="CS209" s="6">
        <v>515</v>
      </c>
      <c r="CT209" s="6"/>
      <c r="CU209" s="6">
        <f t="shared" si="62"/>
        <v>259</v>
      </c>
      <c r="CV209" s="6">
        <v>745</v>
      </c>
      <c r="CW209" s="10"/>
      <c r="CX209" s="6">
        <f t="shared" si="63"/>
        <v>230</v>
      </c>
    </row>
    <row r="210" spans="1:102">
      <c r="A210" s="6">
        <v>206</v>
      </c>
      <c r="B210" s="6">
        <v>448</v>
      </c>
      <c r="C210" s="10"/>
      <c r="D210" s="6">
        <v>202</v>
      </c>
      <c r="E210" s="141" t="s">
        <v>72</v>
      </c>
      <c r="F210" s="141" t="s">
        <v>72</v>
      </c>
      <c r="G210" s="141" t="s">
        <v>72</v>
      </c>
      <c r="H210" s="141" t="s">
        <v>72</v>
      </c>
      <c r="I210" s="141" t="s">
        <v>72</v>
      </c>
      <c r="J210" s="141" t="s">
        <v>72</v>
      </c>
      <c r="K210" s="141" t="s">
        <v>72</v>
      </c>
      <c r="L210" s="141" t="s">
        <v>72</v>
      </c>
      <c r="M210" s="141" t="s">
        <v>72</v>
      </c>
      <c r="N210" s="141" t="s">
        <v>72</v>
      </c>
      <c r="O210" s="141" t="s">
        <v>72</v>
      </c>
      <c r="P210" s="141" t="s">
        <v>72</v>
      </c>
      <c r="Q210" s="141" t="s">
        <v>72</v>
      </c>
      <c r="R210" s="141" t="s">
        <v>72</v>
      </c>
      <c r="S210" s="163" t="s">
        <v>72</v>
      </c>
      <c r="T210" s="141" t="s">
        <v>72</v>
      </c>
      <c r="U210" s="141" t="s">
        <v>72</v>
      </c>
      <c r="V210" s="6">
        <v>182</v>
      </c>
      <c r="W210" s="6">
        <v>510</v>
      </c>
      <c r="X210" s="35">
        <f t="shared" si="49"/>
        <v>244</v>
      </c>
      <c r="Y210" s="35">
        <v>415</v>
      </c>
      <c r="Z210" s="35"/>
      <c r="AA210" s="35">
        <f t="shared" si="50"/>
        <v>233</v>
      </c>
      <c r="AB210" s="6">
        <v>652</v>
      </c>
      <c r="AC210" s="6"/>
      <c r="AD210" s="35">
        <f t="shared" si="51"/>
        <v>237</v>
      </c>
      <c r="AE210" s="6">
        <v>130</v>
      </c>
      <c r="AF210" s="6">
        <v>762</v>
      </c>
      <c r="AG210" s="34">
        <f t="shared" si="52"/>
        <v>240</v>
      </c>
      <c r="AH210" s="35">
        <v>374</v>
      </c>
      <c r="AI210" s="35"/>
      <c r="AJ210" s="35">
        <f t="shared" si="53"/>
        <v>244</v>
      </c>
      <c r="AK210" s="6">
        <v>596</v>
      </c>
      <c r="AL210" s="6"/>
      <c r="AM210" s="35">
        <f t="shared" si="54"/>
        <v>222</v>
      </c>
      <c r="AN210" s="6"/>
      <c r="AO210" s="6"/>
      <c r="AP210" s="35"/>
      <c r="AQ210" s="35">
        <v>105</v>
      </c>
      <c r="AR210" s="35">
        <v>702</v>
      </c>
      <c r="AS210" s="35">
        <f t="shared" si="55"/>
        <v>211</v>
      </c>
      <c r="AT210" s="35">
        <v>345</v>
      </c>
      <c r="AU210" s="6"/>
      <c r="AV210" s="35">
        <f t="shared" si="48"/>
        <v>240</v>
      </c>
      <c r="AW210" s="6">
        <v>25</v>
      </c>
      <c r="AX210" s="6">
        <v>573</v>
      </c>
      <c r="AY210" s="6">
        <f t="shared" si="56"/>
        <v>253</v>
      </c>
      <c r="AZ210" s="6">
        <v>89</v>
      </c>
      <c r="BA210" s="6"/>
      <c r="BB210" s="6">
        <f t="shared" si="57"/>
        <v>64</v>
      </c>
      <c r="BC210" s="35"/>
      <c r="BD210" s="35"/>
      <c r="BE210" s="6"/>
      <c r="BF210" s="35"/>
      <c r="BG210" s="35"/>
      <c r="BH210" s="35"/>
      <c r="BI210" s="35"/>
      <c r="BJ210" s="35"/>
      <c r="BK210" s="6"/>
      <c r="BL210" s="35"/>
      <c r="BM210" s="35"/>
      <c r="BN210" s="35"/>
      <c r="BO210" s="35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>
        <v>329</v>
      </c>
      <c r="CH210" s="6"/>
      <c r="CI210" s="6">
        <f t="shared" si="58"/>
        <v>240</v>
      </c>
      <c r="CJ210" s="6">
        <v>590</v>
      </c>
      <c r="CK210" s="6"/>
      <c r="CL210" s="6">
        <f t="shared" si="59"/>
        <v>261</v>
      </c>
      <c r="CM210" s="6">
        <v>847</v>
      </c>
      <c r="CN210" s="6"/>
      <c r="CO210" s="6">
        <f t="shared" si="60"/>
        <v>257</v>
      </c>
      <c r="CP210" s="6">
        <v>183</v>
      </c>
      <c r="CQ210" s="6">
        <v>908</v>
      </c>
      <c r="CR210" s="6">
        <f t="shared" si="61"/>
        <v>244</v>
      </c>
      <c r="CS210" s="6">
        <v>442</v>
      </c>
      <c r="CT210" s="6"/>
      <c r="CU210" s="6">
        <f t="shared" si="62"/>
        <v>259</v>
      </c>
      <c r="CV210" s="6">
        <v>673</v>
      </c>
      <c r="CW210" s="10"/>
      <c r="CX210" s="6">
        <f t="shared" si="63"/>
        <v>231</v>
      </c>
    </row>
    <row r="211" spans="1:102">
      <c r="A211" s="6">
        <v>207</v>
      </c>
      <c r="B211" s="6">
        <v>542</v>
      </c>
      <c r="C211" s="10"/>
      <c r="D211" s="6">
        <v>206</v>
      </c>
      <c r="E211" s="141" t="s">
        <v>75</v>
      </c>
      <c r="F211" s="141" t="s">
        <v>75</v>
      </c>
      <c r="G211" s="163" t="s">
        <v>75</v>
      </c>
      <c r="H211" s="141" t="s">
        <v>75</v>
      </c>
      <c r="I211" s="141" t="s">
        <v>75</v>
      </c>
      <c r="J211" s="141" t="s">
        <v>75</v>
      </c>
      <c r="K211" s="141" t="s">
        <v>75</v>
      </c>
      <c r="L211" s="141" t="s">
        <v>75</v>
      </c>
      <c r="M211" s="141" t="s">
        <v>75</v>
      </c>
      <c r="N211" s="141" t="s">
        <v>75</v>
      </c>
      <c r="O211" s="141" t="s">
        <v>75</v>
      </c>
      <c r="P211" s="141" t="s">
        <v>75</v>
      </c>
      <c r="Q211" s="141" t="s">
        <v>75</v>
      </c>
      <c r="R211" s="141" t="s">
        <v>75</v>
      </c>
      <c r="S211" s="141" t="s">
        <v>75</v>
      </c>
      <c r="T211" s="141" t="s">
        <v>75</v>
      </c>
      <c r="U211" s="141" t="s">
        <v>75</v>
      </c>
      <c r="V211" s="6">
        <v>0</v>
      </c>
      <c r="W211" s="6">
        <v>765</v>
      </c>
      <c r="X211" s="35">
        <f t="shared" si="49"/>
        <v>223</v>
      </c>
      <c r="Y211" s="35">
        <v>219</v>
      </c>
      <c r="Z211" s="35"/>
      <c r="AA211" s="35">
        <f t="shared" si="50"/>
        <v>219</v>
      </c>
      <c r="AB211" s="6">
        <v>449</v>
      </c>
      <c r="AC211" s="6"/>
      <c r="AD211" s="35">
        <f t="shared" si="51"/>
        <v>230</v>
      </c>
      <c r="AE211" s="6">
        <v>692</v>
      </c>
      <c r="AF211" s="6"/>
      <c r="AG211" s="34">
        <f t="shared" si="52"/>
        <v>243</v>
      </c>
      <c r="AH211" s="35">
        <v>939</v>
      </c>
      <c r="AI211" s="35"/>
      <c r="AJ211" s="35">
        <f t="shared" si="53"/>
        <v>247</v>
      </c>
      <c r="AK211" s="6">
        <v>64</v>
      </c>
      <c r="AL211" s="6">
        <v>1100</v>
      </c>
      <c r="AM211" s="35">
        <f t="shared" si="54"/>
        <v>225</v>
      </c>
      <c r="AN211" s="6"/>
      <c r="AO211" s="6"/>
      <c r="AP211" s="35"/>
      <c r="AQ211" s="35">
        <v>320</v>
      </c>
      <c r="AR211" s="35"/>
      <c r="AS211" s="35">
        <f t="shared" si="55"/>
        <v>256</v>
      </c>
      <c r="AT211" s="35">
        <v>576</v>
      </c>
      <c r="AU211" s="6"/>
      <c r="AV211" s="35">
        <f t="shared" si="48"/>
        <v>256</v>
      </c>
      <c r="AW211" s="6">
        <v>840</v>
      </c>
      <c r="AX211" s="6"/>
      <c r="AY211" s="6">
        <f t="shared" si="56"/>
        <v>264</v>
      </c>
      <c r="AZ211" s="6">
        <v>906</v>
      </c>
      <c r="BA211" s="6"/>
      <c r="BB211" s="6">
        <f t="shared" si="57"/>
        <v>66</v>
      </c>
      <c r="BC211" s="35"/>
      <c r="BD211" s="35"/>
      <c r="BE211" s="6"/>
      <c r="BF211" s="35"/>
      <c r="BG211" s="35"/>
      <c r="BH211" s="35"/>
      <c r="BI211" s="35"/>
      <c r="BJ211" s="35"/>
      <c r="BK211" s="6"/>
      <c r="BL211" s="35"/>
      <c r="BM211" s="35"/>
      <c r="BN211" s="35"/>
      <c r="BO211" s="35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>
        <v>71</v>
      </c>
      <c r="CH211" s="6">
        <v>1100</v>
      </c>
      <c r="CI211" s="6">
        <f t="shared" si="58"/>
        <v>265</v>
      </c>
      <c r="CJ211" s="6">
        <v>339</v>
      </c>
      <c r="CK211" s="6"/>
      <c r="CL211" s="6">
        <f t="shared" si="59"/>
        <v>268</v>
      </c>
      <c r="CM211" s="6">
        <v>608</v>
      </c>
      <c r="CN211" s="6"/>
      <c r="CO211" s="6">
        <f t="shared" si="60"/>
        <v>269</v>
      </c>
      <c r="CP211" s="6">
        <v>876</v>
      </c>
      <c r="CQ211" s="6"/>
      <c r="CR211" s="6">
        <f t="shared" si="61"/>
        <v>268</v>
      </c>
      <c r="CS211" s="6">
        <v>39</v>
      </c>
      <c r="CT211" s="6">
        <v>1100</v>
      </c>
      <c r="CU211" s="6">
        <f t="shared" si="62"/>
        <v>263</v>
      </c>
      <c r="CV211" s="6">
        <v>272</v>
      </c>
      <c r="CW211" s="10"/>
      <c r="CX211" s="6">
        <f t="shared" si="63"/>
        <v>233</v>
      </c>
    </row>
    <row r="212" spans="1:102">
      <c r="A212" s="6">
        <v>208</v>
      </c>
      <c r="B212" s="6">
        <v>696</v>
      </c>
      <c r="C212" s="10"/>
      <c r="D212" s="6">
        <v>206</v>
      </c>
      <c r="E212" s="141" t="s">
        <v>72</v>
      </c>
      <c r="F212" s="141" t="s">
        <v>72</v>
      </c>
      <c r="G212" s="141" t="s">
        <v>72</v>
      </c>
      <c r="H212" s="141" t="s">
        <v>72</v>
      </c>
      <c r="I212" s="141" t="s">
        <v>72</v>
      </c>
      <c r="J212" s="141" t="s">
        <v>72</v>
      </c>
      <c r="K212" s="141" t="s">
        <v>72</v>
      </c>
      <c r="L212" s="141" t="s">
        <v>72</v>
      </c>
      <c r="M212" s="141" t="s">
        <v>72</v>
      </c>
      <c r="N212" s="141" t="s">
        <v>72</v>
      </c>
      <c r="O212" s="141" t="s">
        <v>72</v>
      </c>
      <c r="P212" s="141" t="s">
        <v>72</v>
      </c>
      <c r="Q212" s="141" t="s">
        <v>72</v>
      </c>
      <c r="R212" s="141" t="s">
        <v>72</v>
      </c>
      <c r="S212" s="163" t="s">
        <v>72</v>
      </c>
      <c r="T212" s="141" t="s">
        <v>72</v>
      </c>
      <c r="U212" s="141" t="s">
        <v>72</v>
      </c>
      <c r="V212" s="6">
        <v>941</v>
      </c>
      <c r="W212" s="6"/>
      <c r="X212" s="35">
        <f t="shared" si="49"/>
        <v>245</v>
      </c>
      <c r="Y212" s="35">
        <v>209</v>
      </c>
      <c r="Z212" s="35">
        <v>955</v>
      </c>
      <c r="AA212" s="35">
        <f t="shared" si="50"/>
        <v>223</v>
      </c>
      <c r="AB212" s="6">
        <v>442</v>
      </c>
      <c r="AC212" s="6"/>
      <c r="AD212" s="35">
        <f t="shared" si="51"/>
        <v>233</v>
      </c>
      <c r="AE212" s="6">
        <v>672</v>
      </c>
      <c r="AF212" s="6"/>
      <c r="AG212" s="34">
        <f t="shared" si="52"/>
        <v>230</v>
      </c>
      <c r="AH212" s="35">
        <v>140</v>
      </c>
      <c r="AI212" s="35">
        <v>773</v>
      </c>
      <c r="AJ212" s="35">
        <f t="shared" si="53"/>
        <v>241</v>
      </c>
      <c r="AK212" s="6">
        <v>361</v>
      </c>
      <c r="AL212" s="6"/>
      <c r="AM212" s="35">
        <f t="shared" si="54"/>
        <v>221</v>
      </c>
      <c r="AN212" s="6"/>
      <c r="AO212" s="6"/>
      <c r="AP212" s="35"/>
      <c r="AQ212" s="35">
        <v>614</v>
      </c>
      <c r="AR212" s="35"/>
      <c r="AS212" s="35">
        <f t="shared" si="55"/>
        <v>253</v>
      </c>
      <c r="AT212" s="35">
        <v>876</v>
      </c>
      <c r="AU212" s="6"/>
      <c r="AV212" s="35">
        <f t="shared" si="48"/>
        <v>262</v>
      </c>
      <c r="AW212" s="6">
        <v>33</v>
      </c>
      <c r="AX212" s="6">
        <v>1100</v>
      </c>
      <c r="AY212" s="6">
        <f t="shared" si="56"/>
        <v>257</v>
      </c>
      <c r="AZ212" s="6">
        <v>98</v>
      </c>
      <c r="BA212" s="6"/>
      <c r="BB212" s="6">
        <f t="shared" si="57"/>
        <v>65</v>
      </c>
      <c r="BC212" s="35"/>
      <c r="BD212" s="35"/>
      <c r="BE212" s="6"/>
      <c r="BF212" s="35"/>
      <c r="BG212" s="35"/>
      <c r="BH212" s="35"/>
      <c r="BI212" s="35"/>
      <c r="BJ212" s="35"/>
      <c r="BK212" s="6"/>
      <c r="BL212" s="35"/>
      <c r="BM212" s="35"/>
      <c r="BN212" s="35"/>
      <c r="BO212" s="35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>
        <v>360</v>
      </c>
      <c r="CH212" s="6"/>
      <c r="CI212" s="6">
        <f t="shared" si="58"/>
        <v>262</v>
      </c>
      <c r="CJ212" s="6">
        <v>615</v>
      </c>
      <c r="CK212" s="35"/>
      <c r="CL212" s="6">
        <f t="shared" si="59"/>
        <v>255</v>
      </c>
      <c r="CM212" s="6">
        <v>0</v>
      </c>
      <c r="CN212" s="6">
        <v>845</v>
      </c>
      <c r="CO212" s="6">
        <f t="shared" si="60"/>
        <v>230</v>
      </c>
      <c r="CP212" s="6">
        <v>254</v>
      </c>
      <c r="CQ212" s="6"/>
      <c r="CR212" s="6">
        <f t="shared" si="61"/>
        <v>254</v>
      </c>
      <c r="CS212" s="6">
        <v>508</v>
      </c>
      <c r="CT212" s="6"/>
      <c r="CU212" s="6">
        <f t="shared" si="62"/>
        <v>254</v>
      </c>
      <c r="CV212" s="6">
        <v>738</v>
      </c>
      <c r="CW212" s="10"/>
      <c r="CX212" s="6">
        <f t="shared" si="63"/>
        <v>230</v>
      </c>
    </row>
    <row r="213" spans="1:102" ht="15.75" customHeight="1">
      <c r="A213" s="6">
        <v>209</v>
      </c>
      <c r="B213" s="6">
        <v>405</v>
      </c>
      <c r="C213" s="10"/>
      <c r="D213" s="6">
        <v>200</v>
      </c>
      <c r="E213" s="141" t="s">
        <v>79</v>
      </c>
      <c r="F213" s="141" t="s">
        <v>79</v>
      </c>
      <c r="G213" s="141" t="s">
        <v>79</v>
      </c>
      <c r="H213" s="141" t="s">
        <v>79</v>
      </c>
      <c r="I213" s="141" t="s">
        <v>79</v>
      </c>
      <c r="J213" s="141" t="s">
        <v>79</v>
      </c>
      <c r="K213" s="141" t="s">
        <v>79</v>
      </c>
      <c r="L213" s="141" t="s">
        <v>79</v>
      </c>
      <c r="M213" s="141" t="s">
        <v>79</v>
      </c>
      <c r="N213" s="141" t="s">
        <v>79</v>
      </c>
      <c r="O213" s="141" t="s">
        <v>79</v>
      </c>
      <c r="P213" s="141" t="s">
        <v>79</v>
      </c>
      <c r="Q213" s="141" t="s">
        <v>79</v>
      </c>
      <c r="R213" s="141" t="s">
        <v>79</v>
      </c>
      <c r="S213" s="141" t="s">
        <v>79</v>
      </c>
      <c r="T213" s="141" t="s">
        <v>79</v>
      </c>
      <c r="U213" s="141" t="s">
        <v>79</v>
      </c>
      <c r="V213" s="6">
        <v>643</v>
      </c>
      <c r="W213" s="6"/>
      <c r="X213" s="35">
        <f t="shared" si="49"/>
        <v>238</v>
      </c>
      <c r="Y213" s="35">
        <v>63</v>
      </c>
      <c r="Z213" s="35">
        <v>800</v>
      </c>
      <c r="AA213" s="35">
        <f t="shared" si="50"/>
        <v>220</v>
      </c>
      <c r="AB213" s="6">
        <v>291</v>
      </c>
      <c r="AC213" s="6"/>
      <c r="AD213" s="35">
        <f t="shared" si="51"/>
        <v>228</v>
      </c>
      <c r="AE213" s="6">
        <v>529</v>
      </c>
      <c r="AF213" s="6"/>
      <c r="AG213" s="34">
        <f t="shared" si="52"/>
        <v>238</v>
      </c>
      <c r="AH213" s="35">
        <v>12</v>
      </c>
      <c r="AI213" s="35">
        <v>751</v>
      </c>
      <c r="AJ213" s="35">
        <f t="shared" si="53"/>
        <v>234</v>
      </c>
      <c r="AK213" s="6">
        <v>229</v>
      </c>
      <c r="AL213" s="6"/>
      <c r="AM213" s="35">
        <f t="shared" si="54"/>
        <v>217</v>
      </c>
      <c r="AN213" s="6"/>
      <c r="AO213" s="6"/>
      <c r="AP213" s="35"/>
      <c r="AQ213" s="35">
        <v>472</v>
      </c>
      <c r="AR213" s="35"/>
      <c r="AS213" s="35">
        <f t="shared" si="55"/>
        <v>243</v>
      </c>
      <c r="AT213" s="35">
        <v>728</v>
      </c>
      <c r="AU213" s="6"/>
      <c r="AV213" s="35">
        <f t="shared" si="48"/>
        <v>256</v>
      </c>
      <c r="AW213" s="6">
        <v>173</v>
      </c>
      <c r="AX213" s="6">
        <v>800</v>
      </c>
      <c r="AY213" s="6">
        <f t="shared" si="56"/>
        <v>245</v>
      </c>
      <c r="AZ213" s="6">
        <v>229</v>
      </c>
      <c r="BA213" s="6"/>
      <c r="BB213" s="6">
        <f t="shared" si="57"/>
        <v>56</v>
      </c>
      <c r="BC213" s="35"/>
      <c r="BD213" s="35"/>
      <c r="BE213" s="6"/>
      <c r="BF213" s="35"/>
      <c r="BG213" s="35"/>
      <c r="BH213" s="35"/>
      <c r="BI213" s="35"/>
      <c r="BJ213" s="35"/>
      <c r="BK213" s="6"/>
      <c r="BL213" s="35"/>
      <c r="BM213" s="35"/>
      <c r="BN213" s="35"/>
      <c r="BO213" s="35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>
        <v>486</v>
      </c>
      <c r="CH213" s="6"/>
      <c r="CI213" s="6">
        <f t="shared" si="58"/>
        <v>257</v>
      </c>
      <c r="CJ213" s="6">
        <v>741</v>
      </c>
      <c r="CK213" s="6"/>
      <c r="CL213" s="6">
        <f t="shared" si="59"/>
        <v>255</v>
      </c>
      <c r="CM213" s="6">
        <v>204</v>
      </c>
      <c r="CN213" s="6">
        <v>800</v>
      </c>
      <c r="CO213" s="6">
        <f t="shared" si="60"/>
        <v>263</v>
      </c>
      <c r="CP213" s="6">
        <v>457</v>
      </c>
      <c r="CQ213" s="6"/>
      <c r="CR213" s="6">
        <f t="shared" si="61"/>
        <v>253</v>
      </c>
      <c r="CS213" s="6">
        <v>713</v>
      </c>
      <c r="CT213" s="6"/>
      <c r="CU213" s="6">
        <f t="shared" si="62"/>
        <v>256</v>
      </c>
      <c r="CV213" s="6">
        <v>132</v>
      </c>
      <c r="CW213" s="10">
        <v>800</v>
      </c>
      <c r="CX213" s="6">
        <f t="shared" si="63"/>
        <v>219</v>
      </c>
    </row>
    <row r="214" spans="1:102">
      <c r="A214" s="6">
        <v>210</v>
      </c>
      <c r="B214" s="6">
        <v>198</v>
      </c>
      <c r="C214" s="10"/>
      <c r="D214" s="6">
        <v>198</v>
      </c>
      <c r="E214" s="163" t="s">
        <v>79</v>
      </c>
      <c r="F214" s="141" t="s">
        <v>79</v>
      </c>
      <c r="G214" s="141" t="s">
        <v>79</v>
      </c>
      <c r="H214" s="141" t="s">
        <v>79</v>
      </c>
      <c r="I214" s="141" t="s">
        <v>79</v>
      </c>
      <c r="J214" s="141" t="s">
        <v>79</v>
      </c>
      <c r="K214" s="141" t="s">
        <v>79</v>
      </c>
      <c r="L214" s="141" t="s">
        <v>79</v>
      </c>
      <c r="M214" s="141" t="s">
        <v>79</v>
      </c>
      <c r="N214" s="141" t="s">
        <v>79</v>
      </c>
      <c r="O214" s="141" t="s">
        <v>79</v>
      </c>
      <c r="P214" s="141" t="s">
        <v>79</v>
      </c>
      <c r="Q214" s="141" t="s">
        <v>79</v>
      </c>
      <c r="R214" s="141" t="s">
        <v>79</v>
      </c>
      <c r="S214" s="141" t="s">
        <v>79</v>
      </c>
      <c r="T214" s="141" t="s">
        <v>79</v>
      </c>
      <c r="U214" s="141" t="s">
        <v>79</v>
      </c>
      <c r="V214" s="6">
        <v>452</v>
      </c>
      <c r="W214" s="6"/>
      <c r="X214" s="35">
        <f t="shared" si="49"/>
        <v>254</v>
      </c>
      <c r="Y214" s="35">
        <v>689</v>
      </c>
      <c r="Z214" s="35"/>
      <c r="AA214" s="35">
        <f t="shared" si="50"/>
        <v>237</v>
      </c>
      <c r="AB214" s="6">
        <v>126</v>
      </c>
      <c r="AC214" s="6">
        <v>800</v>
      </c>
      <c r="AD214" s="35">
        <f t="shared" si="51"/>
        <v>237</v>
      </c>
      <c r="AE214" s="6">
        <v>370</v>
      </c>
      <c r="AF214" s="6"/>
      <c r="AG214" s="34">
        <f t="shared" si="52"/>
        <v>244</v>
      </c>
      <c r="AH214" s="35">
        <v>617</v>
      </c>
      <c r="AI214" s="35"/>
      <c r="AJ214" s="35">
        <f t="shared" si="53"/>
        <v>247</v>
      </c>
      <c r="AK214" s="6">
        <v>33</v>
      </c>
      <c r="AL214" s="6">
        <v>800</v>
      </c>
      <c r="AM214" s="35">
        <f t="shared" si="54"/>
        <v>216</v>
      </c>
      <c r="AN214" s="35"/>
      <c r="AO214" s="6"/>
      <c r="AP214" s="35"/>
      <c r="AQ214" s="35">
        <v>276</v>
      </c>
      <c r="AR214" s="35"/>
      <c r="AS214" s="35">
        <f t="shared" si="55"/>
        <v>243</v>
      </c>
      <c r="AT214" s="35">
        <v>537</v>
      </c>
      <c r="AU214" s="6"/>
      <c r="AV214" s="35">
        <f t="shared" si="48"/>
        <v>261</v>
      </c>
      <c r="AW214" s="6">
        <v>795</v>
      </c>
      <c r="AX214" s="6"/>
      <c r="AY214" s="6">
        <f t="shared" si="56"/>
        <v>258</v>
      </c>
      <c r="AZ214" s="6">
        <v>61</v>
      </c>
      <c r="BA214" s="6">
        <v>800</v>
      </c>
      <c r="BB214" s="6">
        <f t="shared" si="57"/>
        <v>66</v>
      </c>
      <c r="BC214" s="35"/>
      <c r="BD214" s="35"/>
      <c r="BE214" s="6"/>
      <c r="BF214" s="35"/>
      <c r="BG214" s="35"/>
      <c r="BH214" s="35"/>
      <c r="BI214" s="35"/>
      <c r="BJ214" s="35"/>
      <c r="BK214" s="6"/>
      <c r="BL214" s="35"/>
      <c r="BM214" s="35"/>
      <c r="BN214" s="35"/>
      <c r="BO214" s="35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>
        <v>327</v>
      </c>
      <c r="CH214" s="6"/>
      <c r="CI214" s="6">
        <f t="shared" si="58"/>
        <v>266</v>
      </c>
      <c r="CJ214" s="6">
        <v>586</v>
      </c>
      <c r="CK214" s="6"/>
      <c r="CL214" s="6">
        <f t="shared" si="59"/>
        <v>259</v>
      </c>
      <c r="CM214" s="6">
        <v>44</v>
      </c>
      <c r="CN214" s="6">
        <v>804</v>
      </c>
      <c r="CO214" s="6">
        <f t="shared" si="60"/>
        <v>262</v>
      </c>
      <c r="CP214" s="6">
        <v>303</v>
      </c>
      <c r="CQ214" s="6"/>
      <c r="CR214" s="6">
        <f t="shared" si="61"/>
        <v>259</v>
      </c>
      <c r="CS214" s="6">
        <v>564</v>
      </c>
      <c r="CT214" s="6"/>
      <c r="CU214" s="6">
        <f t="shared" si="62"/>
        <v>261</v>
      </c>
      <c r="CV214" s="6">
        <v>790</v>
      </c>
      <c r="CW214" s="10"/>
      <c r="CX214" s="6">
        <f t="shared" si="63"/>
        <v>226</v>
      </c>
    </row>
    <row r="215" spans="1:102">
      <c r="A215" s="6">
        <v>211</v>
      </c>
      <c r="B215" s="6">
        <v>246</v>
      </c>
      <c r="C215" s="10"/>
      <c r="D215" s="6">
        <v>208</v>
      </c>
      <c r="E215" s="141" t="s">
        <v>72</v>
      </c>
      <c r="F215" s="141" t="s">
        <v>72</v>
      </c>
      <c r="G215" s="141" t="s">
        <v>72</v>
      </c>
      <c r="H215" s="141" t="s">
        <v>72</v>
      </c>
      <c r="I215" s="141" t="s">
        <v>72</v>
      </c>
      <c r="J215" s="141" t="s">
        <v>72</v>
      </c>
      <c r="K215" s="141" t="s">
        <v>72</v>
      </c>
      <c r="L215" s="141" t="s">
        <v>72</v>
      </c>
      <c r="M215" s="141" t="s">
        <v>72</v>
      </c>
      <c r="N215" s="141" t="s">
        <v>72</v>
      </c>
      <c r="O215" s="141" t="s">
        <v>72</v>
      </c>
      <c r="P215" s="141" t="s">
        <v>72</v>
      </c>
      <c r="Q215" s="141" t="s">
        <v>72</v>
      </c>
      <c r="R215" s="141" t="s">
        <v>72</v>
      </c>
      <c r="S215" s="163" t="s">
        <v>75</v>
      </c>
      <c r="T215" s="141" t="s">
        <v>75</v>
      </c>
      <c r="U215" s="141" t="s">
        <v>75</v>
      </c>
      <c r="V215" s="6">
        <v>497</v>
      </c>
      <c r="W215" s="6"/>
      <c r="X215" s="35">
        <f t="shared" si="49"/>
        <v>251</v>
      </c>
      <c r="Y215" s="35">
        <v>735</v>
      </c>
      <c r="Z215" s="35"/>
      <c r="AA215" s="35">
        <f t="shared" si="50"/>
        <v>238</v>
      </c>
      <c r="AB215" s="6">
        <v>960</v>
      </c>
      <c r="AC215" s="6"/>
      <c r="AD215" s="35">
        <f t="shared" si="51"/>
        <v>225</v>
      </c>
      <c r="AE215" s="6">
        <v>101</v>
      </c>
      <c r="AF215" s="6">
        <v>1100</v>
      </c>
      <c r="AG215" s="34">
        <f t="shared" si="52"/>
        <v>241</v>
      </c>
      <c r="AH215" s="35">
        <v>344</v>
      </c>
      <c r="AI215" s="35"/>
      <c r="AJ215" s="35">
        <f t="shared" si="53"/>
        <v>243</v>
      </c>
      <c r="AK215" s="6">
        <v>557</v>
      </c>
      <c r="AL215" s="6"/>
      <c r="AM215" s="35">
        <f t="shared" si="54"/>
        <v>213</v>
      </c>
      <c r="AN215" s="6"/>
      <c r="AO215" s="6"/>
      <c r="AP215" s="35"/>
      <c r="AQ215" s="35">
        <v>808</v>
      </c>
      <c r="AR215" s="35"/>
      <c r="AS215" s="35">
        <f t="shared" si="55"/>
        <v>251</v>
      </c>
      <c r="AT215" s="35">
        <v>1065</v>
      </c>
      <c r="AU215" s="6"/>
      <c r="AV215" s="35">
        <f t="shared" si="48"/>
        <v>257</v>
      </c>
      <c r="AW215" s="6">
        <v>214</v>
      </c>
      <c r="AX215" s="6">
        <v>1100</v>
      </c>
      <c r="AY215" s="6">
        <f t="shared" si="56"/>
        <v>249</v>
      </c>
      <c r="AZ215" s="6">
        <v>281</v>
      </c>
      <c r="BA215" s="6"/>
      <c r="BB215" s="6">
        <f t="shared" si="57"/>
        <v>67</v>
      </c>
      <c r="BC215" s="35"/>
      <c r="BD215" s="35"/>
      <c r="BE215" s="6"/>
      <c r="BF215" s="35"/>
      <c r="BG215" s="35"/>
      <c r="BH215" s="35"/>
      <c r="BI215" s="35"/>
      <c r="BJ215" s="35"/>
      <c r="BK215" s="6"/>
      <c r="BL215" s="35"/>
      <c r="BM215" s="35"/>
      <c r="BN215" s="35"/>
      <c r="BO215" s="35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>
        <v>531</v>
      </c>
      <c r="CH215" s="6"/>
      <c r="CI215" s="6">
        <f t="shared" si="58"/>
        <v>250</v>
      </c>
      <c r="CJ215" s="6">
        <v>789</v>
      </c>
      <c r="CK215" s="35"/>
      <c r="CL215" s="6">
        <f t="shared" si="59"/>
        <v>258</v>
      </c>
      <c r="CM215" s="6">
        <v>0</v>
      </c>
      <c r="CN215" s="6">
        <v>1029</v>
      </c>
      <c r="CO215" s="6">
        <f t="shared" si="60"/>
        <v>240</v>
      </c>
      <c r="CP215" s="6">
        <v>254</v>
      </c>
      <c r="CQ215" s="6"/>
      <c r="CR215" s="6">
        <f t="shared" si="61"/>
        <v>254</v>
      </c>
      <c r="CS215" s="6">
        <v>507</v>
      </c>
      <c r="CT215" s="6"/>
      <c r="CU215" s="6">
        <f t="shared" si="62"/>
        <v>253</v>
      </c>
      <c r="CV215" s="6">
        <v>734</v>
      </c>
      <c r="CW215" s="10"/>
      <c r="CX215" s="6">
        <f t="shared" si="63"/>
        <v>227</v>
      </c>
    </row>
    <row r="216" spans="1:102">
      <c r="A216" s="6">
        <v>212</v>
      </c>
      <c r="B216" s="6">
        <v>385</v>
      </c>
      <c r="C216" s="10"/>
      <c r="D216" s="6">
        <v>208</v>
      </c>
      <c r="E216" s="141" t="s">
        <v>79</v>
      </c>
      <c r="F216" s="141" t="s">
        <v>79</v>
      </c>
      <c r="G216" s="141" t="s">
        <v>79</v>
      </c>
      <c r="H216" s="141" t="s">
        <v>79</v>
      </c>
      <c r="I216" s="141" t="s">
        <v>79</v>
      </c>
      <c r="J216" s="141" t="s">
        <v>79</v>
      </c>
      <c r="K216" s="141" t="s">
        <v>79</v>
      </c>
      <c r="L216" s="141" t="s">
        <v>79</v>
      </c>
      <c r="M216" s="141" t="s">
        <v>79</v>
      </c>
      <c r="N216" s="141" t="s">
        <v>79</v>
      </c>
      <c r="O216" s="141" t="s">
        <v>79</v>
      </c>
      <c r="P216" s="141" t="s">
        <v>79</v>
      </c>
      <c r="Q216" s="141" t="s">
        <v>79</v>
      </c>
      <c r="R216" s="141" t="s">
        <v>79</v>
      </c>
      <c r="S216" s="141" t="s">
        <v>79</v>
      </c>
      <c r="T216" s="141" t="s">
        <v>79</v>
      </c>
      <c r="U216" s="141" t="s">
        <v>79</v>
      </c>
      <c r="V216" s="6">
        <v>634</v>
      </c>
      <c r="W216" s="6"/>
      <c r="X216" s="35">
        <f t="shared" si="49"/>
        <v>249</v>
      </c>
      <c r="Y216" s="35">
        <v>99</v>
      </c>
      <c r="Z216" s="35">
        <v>764</v>
      </c>
      <c r="AA216" s="35">
        <f t="shared" si="50"/>
        <v>229</v>
      </c>
      <c r="AB216" s="6">
        <v>329</v>
      </c>
      <c r="AC216" s="6"/>
      <c r="AD216" s="35">
        <f t="shared" si="51"/>
        <v>230</v>
      </c>
      <c r="AE216" s="6">
        <v>568</v>
      </c>
      <c r="AF216" s="35"/>
      <c r="AG216" s="34">
        <f t="shared" si="52"/>
        <v>239</v>
      </c>
      <c r="AH216" s="35">
        <v>9</v>
      </c>
      <c r="AI216" s="35">
        <v>800</v>
      </c>
      <c r="AJ216" s="35">
        <f t="shared" si="53"/>
        <v>241</v>
      </c>
      <c r="AK216" s="35">
        <v>232</v>
      </c>
      <c r="AL216" s="6"/>
      <c r="AM216" s="35">
        <f t="shared" si="54"/>
        <v>223</v>
      </c>
      <c r="AN216" s="6"/>
      <c r="AO216" s="6"/>
      <c r="AP216" s="35"/>
      <c r="AQ216" s="35">
        <v>485</v>
      </c>
      <c r="AR216" s="35"/>
      <c r="AS216" s="35">
        <f t="shared" si="55"/>
        <v>253</v>
      </c>
      <c r="AT216" s="35">
        <v>731</v>
      </c>
      <c r="AU216" s="6"/>
      <c r="AV216" s="35">
        <f t="shared" si="48"/>
        <v>246</v>
      </c>
      <c r="AW216" s="6">
        <v>181</v>
      </c>
      <c r="AX216" s="6">
        <v>800</v>
      </c>
      <c r="AY216" s="6">
        <f t="shared" si="56"/>
        <v>250</v>
      </c>
      <c r="AZ216" s="6">
        <v>242</v>
      </c>
      <c r="BA216" s="6"/>
      <c r="BB216" s="6">
        <f t="shared" si="57"/>
        <v>61</v>
      </c>
      <c r="BC216" s="35"/>
      <c r="BD216" s="35"/>
      <c r="BE216" s="6"/>
      <c r="BF216" s="35"/>
      <c r="BG216" s="35"/>
      <c r="BH216" s="35"/>
      <c r="BI216" s="35"/>
      <c r="BJ216" s="35"/>
      <c r="BK216" s="6"/>
      <c r="BL216" s="35"/>
      <c r="BM216" s="35"/>
      <c r="BN216" s="35"/>
      <c r="BO216" s="35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>
        <v>473</v>
      </c>
      <c r="CH216" s="6"/>
      <c r="CI216" s="6">
        <f t="shared" si="58"/>
        <v>231</v>
      </c>
      <c r="CJ216" s="6">
        <v>719</v>
      </c>
      <c r="CK216" s="6"/>
      <c r="CL216" s="6">
        <f t="shared" si="59"/>
        <v>246</v>
      </c>
      <c r="CM216" s="6">
        <v>170</v>
      </c>
      <c r="CN216" s="6">
        <v>800</v>
      </c>
      <c r="CO216" s="6">
        <f t="shared" si="60"/>
        <v>251</v>
      </c>
      <c r="CP216" s="6">
        <v>414</v>
      </c>
      <c r="CQ216" s="6"/>
      <c r="CR216" s="6">
        <f t="shared" si="61"/>
        <v>244</v>
      </c>
      <c r="CS216" s="6">
        <v>659</v>
      </c>
      <c r="CT216" s="6"/>
      <c r="CU216" s="6">
        <f t="shared" si="62"/>
        <v>245</v>
      </c>
      <c r="CV216" s="6">
        <v>85</v>
      </c>
      <c r="CW216" s="10">
        <v>800</v>
      </c>
      <c r="CX216" s="6">
        <f t="shared" si="63"/>
        <v>226</v>
      </c>
    </row>
    <row r="217" spans="1:102">
      <c r="A217" s="151">
        <v>213</v>
      </c>
      <c r="B217" s="6">
        <v>161</v>
      </c>
      <c r="C217" s="10">
        <v>880</v>
      </c>
      <c r="D217" s="6">
        <v>186</v>
      </c>
      <c r="E217" s="163" t="s">
        <v>79</v>
      </c>
      <c r="F217" s="141" t="s">
        <v>79</v>
      </c>
      <c r="G217" s="141" t="s">
        <v>79</v>
      </c>
      <c r="H217" s="141" t="s">
        <v>79</v>
      </c>
      <c r="I217" s="141" t="s">
        <v>79</v>
      </c>
      <c r="J217" s="141" t="s">
        <v>79</v>
      </c>
      <c r="K217" s="141" t="s">
        <v>79</v>
      </c>
      <c r="L217" s="141" t="s">
        <v>79</v>
      </c>
      <c r="M217" s="141" t="s">
        <v>79</v>
      </c>
      <c r="N217" s="141" t="s">
        <v>79</v>
      </c>
      <c r="O217" s="141" t="s">
        <v>79</v>
      </c>
      <c r="P217" s="141" t="s">
        <v>79</v>
      </c>
      <c r="Q217" s="141" t="s">
        <v>79</v>
      </c>
      <c r="R217" s="141" t="s">
        <v>79</v>
      </c>
      <c r="S217" s="141" t="s">
        <v>79</v>
      </c>
      <c r="T217" s="141" t="s">
        <v>79</v>
      </c>
      <c r="U217" s="141" t="s">
        <v>79</v>
      </c>
      <c r="V217" s="6">
        <v>406</v>
      </c>
      <c r="W217" s="6"/>
      <c r="X217" s="35">
        <f t="shared" si="49"/>
        <v>245</v>
      </c>
      <c r="Y217" s="35">
        <v>636</v>
      </c>
      <c r="Z217" s="35"/>
      <c r="AA217" s="35">
        <f t="shared" si="50"/>
        <v>230</v>
      </c>
      <c r="AB217" s="6">
        <v>67</v>
      </c>
      <c r="AC217" s="6">
        <v>800</v>
      </c>
      <c r="AD217" s="35">
        <f t="shared" si="51"/>
        <v>231</v>
      </c>
      <c r="AE217" s="6">
        <v>307</v>
      </c>
      <c r="AF217" s="6"/>
      <c r="AG217" s="34">
        <f t="shared" si="52"/>
        <v>240</v>
      </c>
      <c r="AH217" s="35">
        <v>550</v>
      </c>
      <c r="AI217" s="35"/>
      <c r="AJ217" s="35">
        <f t="shared" si="53"/>
        <v>243</v>
      </c>
      <c r="AK217" s="6">
        <v>772</v>
      </c>
      <c r="AL217" s="6"/>
      <c r="AM217" s="35">
        <f t="shared" si="54"/>
        <v>222</v>
      </c>
      <c r="AN217" s="6"/>
      <c r="AO217" s="6"/>
      <c r="AP217" s="35"/>
      <c r="AQ217" s="35">
        <v>225</v>
      </c>
      <c r="AR217" s="35">
        <v>800</v>
      </c>
      <c r="AS217" s="35">
        <f t="shared" si="55"/>
        <v>253</v>
      </c>
      <c r="AT217" s="35">
        <v>485</v>
      </c>
      <c r="AU217" s="6"/>
      <c r="AV217" s="35">
        <f t="shared" si="48"/>
        <v>260</v>
      </c>
      <c r="AW217" s="6">
        <v>744</v>
      </c>
      <c r="AX217" s="6"/>
      <c r="AY217" s="6">
        <f t="shared" si="56"/>
        <v>259</v>
      </c>
      <c r="AZ217" s="6">
        <v>809</v>
      </c>
      <c r="BA217" s="6"/>
      <c r="BB217" s="6">
        <f t="shared" si="57"/>
        <v>65</v>
      </c>
      <c r="BC217" s="35"/>
      <c r="BD217" s="35"/>
      <c r="BE217" s="6"/>
      <c r="BF217" s="35"/>
      <c r="BG217" s="35"/>
      <c r="BH217" s="35"/>
      <c r="BI217" s="35"/>
      <c r="BJ217" s="35"/>
      <c r="BK217" s="6"/>
      <c r="BL217" s="35"/>
      <c r="BM217" s="35"/>
      <c r="BN217" s="35"/>
      <c r="BO217" s="35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>
        <v>1078</v>
      </c>
      <c r="CH217" s="6"/>
      <c r="CI217" s="6">
        <f t="shared" si="58"/>
        <v>269</v>
      </c>
      <c r="CJ217" s="6">
        <v>238</v>
      </c>
      <c r="CK217" s="6">
        <v>1100</v>
      </c>
      <c r="CL217" s="6">
        <f t="shared" si="59"/>
        <v>260</v>
      </c>
      <c r="CM217" s="6">
        <v>500</v>
      </c>
      <c r="CN217" s="6"/>
      <c r="CO217" s="6">
        <f t="shared" si="60"/>
        <v>262</v>
      </c>
      <c r="CP217" s="6">
        <v>752</v>
      </c>
      <c r="CQ217" s="6"/>
      <c r="CR217" s="6">
        <f t="shared" si="61"/>
        <v>252</v>
      </c>
      <c r="CS217" s="6">
        <v>1009</v>
      </c>
      <c r="CT217" s="6"/>
      <c r="CU217" s="6">
        <f t="shared" si="62"/>
        <v>257</v>
      </c>
      <c r="CV217" s="6">
        <v>139</v>
      </c>
      <c r="CW217" s="10">
        <v>1100</v>
      </c>
      <c r="CX217" s="6">
        <f t="shared" si="63"/>
        <v>230</v>
      </c>
    </row>
    <row r="218" spans="1:102">
      <c r="A218" s="6">
        <v>214</v>
      </c>
      <c r="B218" s="6">
        <v>375</v>
      </c>
      <c r="C218" s="10"/>
      <c r="D218" s="6">
        <v>203</v>
      </c>
      <c r="E218" s="141" t="s">
        <v>79</v>
      </c>
      <c r="F218" s="141" t="s">
        <v>79</v>
      </c>
      <c r="G218" s="141" t="s">
        <v>79</v>
      </c>
      <c r="H218" s="141" t="s">
        <v>79</v>
      </c>
      <c r="I218" s="141" t="s">
        <v>79</v>
      </c>
      <c r="J218" s="141" t="s">
        <v>79</v>
      </c>
      <c r="K218" s="141" t="s">
        <v>79</v>
      </c>
      <c r="L218" s="141" t="s">
        <v>79</v>
      </c>
      <c r="M218" s="141" t="s">
        <v>79</v>
      </c>
      <c r="N218" s="141" t="s">
        <v>79</v>
      </c>
      <c r="O218" s="141" t="s">
        <v>79</v>
      </c>
      <c r="P218" s="141" t="s">
        <v>79</v>
      </c>
      <c r="Q218" s="141" t="s">
        <v>79</v>
      </c>
      <c r="R218" s="141" t="s">
        <v>79</v>
      </c>
      <c r="S218" s="141" t="s">
        <v>79</v>
      </c>
      <c r="T218" s="141" t="s">
        <v>79</v>
      </c>
      <c r="U218" s="141" t="s">
        <v>79</v>
      </c>
      <c r="V218" s="6">
        <v>620</v>
      </c>
      <c r="W218" s="6"/>
      <c r="X218" s="35">
        <f t="shared" si="49"/>
        <v>245</v>
      </c>
      <c r="Y218" s="35">
        <v>51</v>
      </c>
      <c r="Z218" s="35">
        <v>800</v>
      </c>
      <c r="AA218" s="35">
        <f t="shared" si="50"/>
        <v>231</v>
      </c>
      <c r="AB218" s="6">
        <v>283</v>
      </c>
      <c r="AC218" s="6"/>
      <c r="AD218" s="35">
        <f t="shared" si="51"/>
        <v>232</v>
      </c>
      <c r="AE218" s="6">
        <v>524</v>
      </c>
      <c r="AF218" s="6"/>
      <c r="AG218" s="34">
        <f t="shared" si="52"/>
        <v>241</v>
      </c>
      <c r="AH218" s="35">
        <v>769</v>
      </c>
      <c r="AI218" s="35"/>
      <c r="AJ218" s="35">
        <f t="shared" si="53"/>
        <v>245</v>
      </c>
      <c r="AK218" s="6">
        <v>186</v>
      </c>
      <c r="AL218" s="6">
        <v>800</v>
      </c>
      <c r="AM218" s="35">
        <f t="shared" si="54"/>
        <v>217</v>
      </c>
      <c r="AN218" s="6"/>
      <c r="AO218" s="6"/>
      <c r="AP218" s="35"/>
      <c r="AQ218" s="35">
        <v>437</v>
      </c>
      <c r="AR218" s="35"/>
      <c r="AS218" s="35">
        <f t="shared" si="55"/>
        <v>251</v>
      </c>
      <c r="AT218" s="35">
        <v>693</v>
      </c>
      <c r="AU218" s="6"/>
      <c r="AV218" s="35">
        <f t="shared" ref="AV218:AV266" si="64">AU218+AT218-AQ218</f>
        <v>256</v>
      </c>
      <c r="AW218" s="6">
        <v>151</v>
      </c>
      <c r="AX218" s="6">
        <v>800</v>
      </c>
      <c r="AY218" s="6">
        <f t="shared" si="56"/>
        <v>258</v>
      </c>
      <c r="AZ218" s="6">
        <v>217</v>
      </c>
      <c r="BA218" s="6"/>
      <c r="BB218" s="6">
        <f t="shared" si="57"/>
        <v>66</v>
      </c>
      <c r="BC218" s="35"/>
      <c r="BD218" s="35"/>
      <c r="BE218" s="6"/>
      <c r="BF218" s="35"/>
      <c r="BG218" s="35"/>
      <c r="BH218" s="35"/>
      <c r="BI218" s="35"/>
      <c r="BJ218" s="35"/>
      <c r="BK218" s="6"/>
      <c r="BL218" s="35"/>
      <c r="BM218" s="35"/>
      <c r="BN218" s="35"/>
      <c r="BO218" s="35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>
        <v>481</v>
      </c>
      <c r="CH218" s="6"/>
      <c r="CI218" s="6">
        <f t="shared" si="58"/>
        <v>264</v>
      </c>
      <c r="CJ218" s="6">
        <v>739</v>
      </c>
      <c r="CK218" s="6"/>
      <c r="CL218" s="6">
        <f t="shared" si="59"/>
        <v>258</v>
      </c>
      <c r="CM218" s="6">
        <v>204</v>
      </c>
      <c r="CN218" s="6">
        <v>800</v>
      </c>
      <c r="CO218" s="6">
        <f t="shared" si="60"/>
        <v>265</v>
      </c>
      <c r="CP218" s="6">
        <v>464</v>
      </c>
      <c r="CQ218" s="6"/>
      <c r="CR218" s="6">
        <f t="shared" si="61"/>
        <v>260</v>
      </c>
      <c r="CS218" s="6">
        <v>724</v>
      </c>
      <c r="CT218" s="6"/>
      <c r="CU218" s="6">
        <f t="shared" si="62"/>
        <v>260</v>
      </c>
      <c r="CV218" s="6">
        <v>152</v>
      </c>
      <c r="CW218" s="10">
        <v>800</v>
      </c>
      <c r="CX218" s="6">
        <f t="shared" si="63"/>
        <v>228</v>
      </c>
    </row>
    <row r="219" spans="1:102">
      <c r="A219" s="6">
        <v>215</v>
      </c>
      <c r="B219" s="6">
        <v>188</v>
      </c>
      <c r="C219" s="10">
        <v>1100</v>
      </c>
      <c r="D219" s="6">
        <v>200</v>
      </c>
      <c r="E219" s="141" t="s">
        <v>72</v>
      </c>
      <c r="F219" s="141" t="s">
        <v>72</v>
      </c>
      <c r="G219" s="141" t="s">
        <v>72</v>
      </c>
      <c r="H219" s="141" t="s">
        <v>72</v>
      </c>
      <c r="I219" s="141" t="s">
        <v>72</v>
      </c>
      <c r="J219" s="141" t="s">
        <v>72</v>
      </c>
      <c r="K219" s="141" t="s">
        <v>72</v>
      </c>
      <c r="L219" s="141" t="s">
        <v>72</v>
      </c>
      <c r="M219" s="141" t="s">
        <v>72</v>
      </c>
      <c r="N219" s="141" t="s">
        <v>72</v>
      </c>
      <c r="O219" s="141" t="s">
        <v>72</v>
      </c>
      <c r="P219" s="141" t="s">
        <v>72</v>
      </c>
      <c r="Q219" s="163" t="s">
        <v>72</v>
      </c>
      <c r="R219" s="141" t="s">
        <v>72</v>
      </c>
      <c r="S219" s="141" t="s">
        <v>72</v>
      </c>
      <c r="T219" s="141" t="s">
        <v>72</v>
      </c>
      <c r="U219" s="141" t="s">
        <v>72</v>
      </c>
      <c r="V219" s="6">
        <v>437</v>
      </c>
      <c r="W219" s="6"/>
      <c r="X219" s="35">
        <f t="shared" si="49"/>
        <v>249</v>
      </c>
      <c r="Y219" s="35">
        <v>669</v>
      </c>
      <c r="Z219" s="35"/>
      <c r="AA219" s="35">
        <f t="shared" si="50"/>
        <v>232</v>
      </c>
      <c r="AB219" s="6">
        <v>905</v>
      </c>
      <c r="AC219" s="6"/>
      <c r="AD219" s="35">
        <f t="shared" si="51"/>
        <v>236</v>
      </c>
      <c r="AE219" s="6">
        <v>47</v>
      </c>
      <c r="AF219" s="6">
        <v>1100</v>
      </c>
      <c r="AG219" s="34">
        <f t="shared" si="52"/>
        <v>242</v>
      </c>
      <c r="AH219" s="35">
        <v>291</v>
      </c>
      <c r="AI219" s="35"/>
      <c r="AJ219" s="35">
        <f t="shared" si="53"/>
        <v>244</v>
      </c>
      <c r="AK219" s="6">
        <v>515</v>
      </c>
      <c r="AL219" s="6"/>
      <c r="AM219" s="35">
        <f t="shared" si="54"/>
        <v>224</v>
      </c>
      <c r="AN219" s="6"/>
      <c r="AO219" s="6"/>
      <c r="AP219" s="35"/>
      <c r="AQ219" s="35">
        <v>781</v>
      </c>
      <c r="AR219" s="35"/>
      <c r="AS219" s="35">
        <f t="shared" si="55"/>
        <v>266</v>
      </c>
      <c r="AT219" s="35">
        <v>1043</v>
      </c>
      <c r="AU219" s="6"/>
      <c r="AV219" s="35">
        <f t="shared" si="64"/>
        <v>262</v>
      </c>
      <c r="AW219" s="6">
        <v>207</v>
      </c>
      <c r="AX219" s="6">
        <v>1100</v>
      </c>
      <c r="AY219" s="6">
        <f t="shared" si="56"/>
        <v>264</v>
      </c>
      <c r="AZ219" s="6">
        <v>273</v>
      </c>
      <c r="BA219" s="6"/>
      <c r="BB219" s="6">
        <f t="shared" si="57"/>
        <v>66</v>
      </c>
      <c r="BC219" s="35"/>
      <c r="BD219" s="35"/>
      <c r="BE219" s="6"/>
      <c r="BF219" s="35"/>
      <c r="BG219" s="35"/>
      <c r="BH219" s="35"/>
      <c r="BI219" s="35"/>
      <c r="BJ219" s="35"/>
      <c r="BK219" s="6"/>
      <c r="BL219" s="35"/>
      <c r="BM219" s="35"/>
      <c r="BN219" s="35"/>
      <c r="BO219" s="35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>
        <v>0</v>
      </c>
      <c r="CH219" s="6">
        <v>393</v>
      </c>
      <c r="CI219" s="6">
        <f t="shared" si="58"/>
        <v>120</v>
      </c>
      <c r="CJ219" s="6">
        <v>242</v>
      </c>
      <c r="CK219" s="6"/>
      <c r="CL219" s="6">
        <f t="shared" si="59"/>
        <v>242</v>
      </c>
      <c r="CM219" s="6">
        <v>504</v>
      </c>
      <c r="CN219" s="6"/>
      <c r="CO219" s="6">
        <f t="shared" si="60"/>
        <v>262</v>
      </c>
      <c r="CP219" s="6">
        <v>765</v>
      </c>
      <c r="CQ219" s="6"/>
      <c r="CR219" s="6">
        <f t="shared" si="61"/>
        <v>261</v>
      </c>
      <c r="CS219" s="6">
        <v>208</v>
      </c>
      <c r="CT219" s="6">
        <v>814</v>
      </c>
      <c r="CU219" s="6">
        <f t="shared" si="62"/>
        <v>257</v>
      </c>
      <c r="CV219" s="6">
        <v>437</v>
      </c>
      <c r="CW219" s="10"/>
      <c r="CX219" s="6">
        <f t="shared" si="63"/>
        <v>229</v>
      </c>
    </row>
    <row r="220" spans="1:102">
      <c r="A220" s="6">
        <v>216</v>
      </c>
      <c r="B220" s="6">
        <v>730</v>
      </c>
      <c r="C220" s="10"/>
      <c r="D220" s="6">
        <v>207</v>
      </c>
      <c r="E220" s="141" t="s">
        <v>75</v>
      </c>
      <c r="F220" s="141" t="s">
        <v>75</v>
      </c>
      <c r="G220" s="141" t="s">
        <v>75</v>
      </c>
      <c r="H220" s="141" t="s">
        <v>75</v>
      </c>
      <c r="I220" s="141" t="s">
        <v>75</v>
      </c>
      <c r="J220" s="163" t="s">
        <v>79</v>
      </c>
      <c r="K220" s="141" t="s">
        <v>79</v>
      </c>
      <c r="L220" s="141" t="s">
        <v>79</v>
      </c>
      <c r="M220" s="141" t="s">
        <v>79</v>
      </c>
      <c r="N220" s="141" t="s">
        <v>79</v>
      </c>
      <c r="O220" s="141" t="s">
        <v>79</v>
      </c>
      <c r="P220" s="141" t="s">
        <v>79</v>
      </c>
      <c r="Q220" s="141" t="s">
        <v>79</v>
      </c>
      <c r="R220" s="141" t="s">
        <v>79</v>
      </c>
      <c r="S220" s="141" t="s">
        <v>79</v>
      </c>
      <c r="T220" s="141" t="s">
        <v>79</v>
      </c>
      <c r="U220" s="141" t="s">
        <v>79</v>
      </c>
      <c r="V220" s="6">
        <v>976</v>
      </c>
      <c r="W220" s="6"/>
      <c r="X220" s="35">
        <f t="shared" si="49"/>
        <v>246</v>
      </c>
      <c r="Y220" s="35">
        <v>107</v>
      </c>
      <c r="Z220" s="35">
        <v>1100</v>
      </c>
      <c r="AA220" s="35">
        <f t="shared" si="50"/>
        <v>231</v>
      </c>
      <c r="AB220" s="6">
        <v>341</v>
      </c>
      <c r="AC220" s="6"/>
      <c r="AD220" s="35">
        <f t="shared" si="51"/>
        <v>234</v>
      </c>
      <c r="AE220" s="6">
        <v>0</v>
      </c>
      <c r="AF220" s="6">
        <v>483</v>
      </c>
      <c r="AG220" s="34">
        <f t="shared" si="52"/>
        <v>142</v>
      </c>
      <c r="AH220" s="35">
        <v>236</v>
      </c>
      <c r="AI220" s="35"/>
      <c r="AJ220" s="35">
        <f t="shared" si="53"/>
        <v>236</v>
      </c>
      <c r="AK220" s="6">
        <v>453</v>
      </c>
      <c r="AL220" s="6"/>
      <c r="AM220" s="35">
        <f t="shared" si="54"/>
        <v>217</v>
      </c>
      <c r="AN220" s="6"/>
      <c r="AO220" s="6"/>
      <c r="AP220" s="35"/>
      <c r="AQ220" s="35">
        <v>708</v>
      </c>
      <c r="AR220" s="35"/>
      <c r="AS220" s="35">
        <f t="shared" si="55"/>
        <v>255</v>
      </c>
      <c r="AT220" s="35">
        <v>165</v>
      </c>
      <c r="AU220" s="6">
        <v>800</v>
      </c>
      <c r="AV220" s="35">
        <f t="shared" si="64"/>
        <v>257</v>
      </c>
      <c r="AW220" s="6">
        <v>426</v>
      </c>
      <c r="AX220" s="35"/>
      <c r="AY220" s="6">
        <f t="shared" si="56"/>
        <v>261</v>
      </c>
      <c r="AZ220" s="35">
        <v>490</v>
      </c>
      <c r="BA220" s="35"/>
      <c r="BB220" s="6">
        <f t="shared" si="57"/>
        <v>64</v>
      </c>
      <c r="BC220" s="35"/>
      <c r="BD220" s="35"/>
      <c r="BE220" s="6"/>
      <c r="BF220" s="35"/>
      <c r="BG220" s="35"/>
      <c r="BH220" s="35"/>
      <c r="BI220" s="35"/>
      <c r="BJ220" s="35"/>
      <c r="BK220" s="6"/>
      <c r="BL220" s="35"/>
      <c r="BM220" s="35"/>
      <c r="BN220" s="35"/>
      <c r="BO220" s="35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>
        <v>751</v>
      </c>
      <c r="CH220" s="6"/>
      <c r="CI220" s="6">
        <f t="shared" si="58"/>
        <v>261</v>
      </c>
      <c r="CJ220" s="6">
        <v>190</v>
      </c>
      <c r="CK220" s="6">
        <v>800</v>
      </c>
      <c r="CL220" s="6">
        <f t="shared" si="59"/>
        <v>239</v>
      </c>
      <c r="CM220" s="6">
        <v>449</v>
      </c>
      <c r="CN220" s="6"/>
      <c r="CO220" s="6">
        <f t="shared" si="60"/>
        <v>259</v>
      </c>
      <c r="CP220" s="6">
        <v>243</v>
      </c>
      <c r="CQ220" s="6">
        <v>462</v>
      </c>
      <c r="CR220" s="6">
        <f t="shared" si="61"/>
        <v>256</v>
      </c>
      <c r="CS220" s="6">
        <v>501</v>
      </c>
      <c r="CT220" s="6"/>
      <c r="CU220" s="6">
        <f t="shared" si="62"/>
        <v>258</v>
      </c>
      <c r="CV220" s="6">
        <v>730</v>
      </c>
      <c r="CW220" s="10"/>
      <c r="CX220" s="6">
        <f t="shared" si="63"/>
        <v>229</v>
      </c>
    </row>
    <row r="221" spans="1:102">
      <c r="A221" s="6">
        <v>217</v>
      </c>
      <c r="B221" s="6">
        <v>0</v>
      </c>
      <c r="C221" s="10"/>
      <c r="D221" s="6">
        <v>0</v>
      </c>
      <c r="E221" s="33" t="s">
        <v>72</v>
      </c>
      <c r="F221" s="33" t="s">
        <v>72</v>
      </c>
      <c r="G221" s="33" t="s">
        <v>72</v>
      </c>
      <c r="H221" s="33" t="s">
        <v>72</v>
      </c>
      <c r="I221" s="33" t="s">
        <v>72</v>
      </c>
      <c r="J221" s="33" t="s">
        <v>72</v>
      </c>
      <c r="K221" s="33" t="s">
        <v>72</v>
      </c>
      <c r="L221" s="33" t="s">
        <v>72</v>
      </c>
      <c r="M221" s="33" t="s">
        <v>72</v>
      </c>
      <c r="N221" s="33" t="s">
        <v>72</v>
      </c>
      <c r="O221" s="33" t="s">
        <v>72</v>
      </c>
      <c r="P221" s="33" t="s">
        <v>72</v>
      </c>
      <c r="Q221" s="33" t="s">
        <v>72</v>
      </c>
      <c r="R221" s="33" t="s">
        <v>72</v>
      </c>
      <c r="S221" s="33" t="s">
        <v>72</v>
      </c>
      <c r="T221" s="33" t="s">
        <v>72</v>
      </c>
      <c r="U221" s="33" t="s">
        <v>72</v>
      </c>
      <c r="V221" s="6">
        <v>0</v>
      </c>
      <c r="W221" s="6"/>
      <c r="X221" s="35">
        <f t="shared" si="49"/>
        <v>0</v>
      </c>
      <c r="Y221" s="35">
        <v>0</v>
      </c>
      <c r="Z221" s="35"/>
      <c r="AA221" s="35">
        <f t="shared" si="50"/>
        <v>0</v>
      </c>
      <c r="AB221" s="6">
        <v>0</v>
      </c>
      <c r="AC221" s="6"/>
      <c r="AD221" s="35">
        <f t="shared" si="51"/>
        <v>0</v>
      </c>
      <c r="AE221" s="6">
        <v>0</v>
      </c>
      <c r="AF221" s="6"/>
      <c r="AG221" s="34">
        <f t="shared" si="52"/>
        <v>0</v>
      </c>
      <c r="AH221" s="35">
        <v>0</v>
      </c>
      <c r="AI221" s="35"/>
      <c r="AJ221" s="35">
        <f t="shared" si="53"/>
        <v>0</v>
      </c>
      <c r="AK221" s="35">
        <v>0</v>
      </c>
      <c r="AL221" s="35"/>
      <c r="AM221" s="35">
        <f t="shared" si="54"/>
        <v>0</v>
      </c>
      <c r="AN221" s="6"/>
      <c r="AO221" s="6"/>
      <c r="AP221" s="35"/>
      <c r="AQ221" s="35">
        <v>0</v>
      </c>
      <c r="AR221" s="35"/>
      <c r="AS221" s="35">
        <f t="shared" si="55"/>
        <v>0</v>
      </c>
      <c r="AT221" s="35">
        <v>0</v>
      </c>
      <c r="AU221" s="6"/>
      <c r="AV221" s="35">
        <f t="shared" si="64"/>
        <v>0</v>
      </c>
      <c r="AW221" s="6">
        <v>0</v>
      </c>
      <c r="AX221" s="35"/>
      <c r="AY221" s="6">
        <f t="shared" si="56"/>
        <v>0</v>
      </c>
      <c r="AZ221" s="35">
        <v>0</v>
      </c>
      <c r="BA221" s="35"/>
      <c r="BB221" s="6">
        <f t="shared" si="57"/>
        <v>0</v>
      </c>
      <c r="BC221" s="35"/>
      <c r="BD221" s="35"/>
      <c r="BE221" s="6"/>
      <c r="BF221" s="35"/>
      <c r="BG221" s="35"/>
      <c r="BH221" s="35"/>
      <c r="BI221" s="35"/>
      <c r="BJ221" s="35"/>
      <c r="BK221" s="6"/>
      <c r="BL221" s="35"/>
      <c r="BM221" s="35"/>
      <c r="BN221" s="35"/>
      <c r="BO221" s="35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>
        <v>0</v>
      </c>
      <c r="CH221" s="6"/>
      <c r="CI221" s="6">
        <f t="shared" si="58"/>
        <v>0</v>
      </c>
      <c r="CJ221" s="6">
        <v>0</v>
      </c>
      <c r="CK221" s="6"/>
      <c r="CL221" s="6">
        <f t="shared" si="59"/>
        <v>0</v>
      </c>
      <c r="CM221" s="6">
        <v>0</v>
      </c>
      <c r="CN221" s="6"/>
      <c r="CO221" s="6">
        <f t="shared" si="60"/>
        <v>0</v>
      </c>
      <c r="CP221" s="6">
        <v>0</v>
      </c>
      <c r="CQ221" s="6"/>
      <c r="CR221" s="6">
        <f t="shared" si="61"/>
        <v>0</v>
      </c>
      <c r="CS221" s="6">
        <v>0</v>
      </c>
      <c r="CT221" s="6"/>
      <c r="CU221" s="6">
        <f t="shared" si="62"/>
        <v>0</v>
      </c>
      <c r="CV221" s="6">
        <v>0</v>
      </c>
      <c r="CW221" s="10"/>
      <c r="CX221" s="6">
        <f t="shared" si="63"/>
        <v>0</v>
      </c>
    </row>
    <row r="222" spans="1:102">
      <c r="A222" s="6">
        <v>218</v>
      </c>
      <c r="B222" s="6">
        <v>0</v>
      </c>
      <c r="C222" s="10"/>
      <c r="D222" s="6">
        <v>0</v>
      </c>
      <c r="E222" s="33" t="s">
        <v>72</v>
      </c>
      <c r="F222" s="33" t="s">
        <v>72</v>
      </c>
      <c r="G222" s="33" t="s">
        <v>72</v>
      </c>
      <c r="H222" s="33" t="s">
        <v>72</v>
      </c>
      <c r="I222" s="33" t="s">
        <v>72</v>
      </c>
      <c r="J222" s="33" t="s">
        <v>72</v>
      </c>
      <c r="K222" s="33" t="s">
        <v>72</v>
      </c>
      <c r="L222" s="33" t="s">
        <v>72</v>
      </c>
      <c r="M222" s="33" t="s">
        <v>72</v>
      </c>
      <c r="N222" s="148" t="s">
        <v>200</v>
      </c>
      <c r="O222" s="33" t="s">
        <v>200</v>
      </c>
      <c r="P222" s="33" t="s">
        <v>200</v>
      </c>
      <c r="Q222" s="33" t="s">
        <v>200</v>
      </c>
      <c r="R222" s="33" t="s">
        <v>200</v>
      </c>
      <c r="S222" s="33" t="s">
        <v>200</v>
      </c>
      <c r="T222" s="33" t="s">
        <v>200</v>
      </c>
      <c r="U222" s="33" t="s">
        <v>200</v>
      </c>
      <c r="V222" s="6">
        <v>0</v>
      </c>
      <c r="W222" s="6"/>
      <c r="X222" s="35">
        <f t="shared" si="49"/>
        <v>0</v>
      </c>
      <c r="Y222" s="35">
        <v>0</v>
      </c>
      <c r="Z222" s="35"/>
      <c r="AA222" s="35">
        <f t="shared" si="50"/>
        <v>0</v>
      </c>
      <c r="AB222" s="6">
        <v>0</v>
      </c>
      <c r="AC222" s="6"/>
      <c r="AD222" s="35">
        <f t="shared" si="51"/>
        <v>0</v>
      </c>
      <c r="AE222" s="6">
        <v>0</v>
      </c>
      <c r="AF222" s="6"/>
      <c r="AG222" s="34">
        <f t="shared" si="52"/>
        <v>0</v>
      </c>
      <c r="AH222" s="35">
        <v>0</v>
      </c>
      <c r="AI222" s="35"/>
      <c r="AJ222" s="35">
        <f t="shared" si="53"/>
        <v>0</v>
      </c>
      <c r="AK222" s="35">
        <v>0</v>
      </c>
      <c r="AL222" s="6"/>
      <c r="AM222" s="35">
        <f t="shared" si="54"/>
        <v>0</v>
      </c>
      <c r="AN222" s="6"/>
      <c r="AO222" s="6"/>
      <c r="AP222" s="35"/>
      <c r="AQ222" s="35">
        <v>0</v>
      </c>
      <c r="AR222" s="35"/>
      <c r="AS222" s="35">
        <f t="shared" si="55"/>
        <v>0</v>
      </c>
      <c r="AT222" s="35">
        <v>0</v>
      </c>
      <c r="AU222" s="6"/>
      <c r="AV222" s="35">
        <f t="shared" si="64"/>
        <v>0</v>
      </c>
      <c r="AW222" s="6">
        <v>163</v>
      </c>
      <c r="AX222" s="35"/>
      <c r="AY222" s="6">
        <f t="shared" si="56"/>
        <v>163</v>
      </c>
      <c r="AZ222" s="35">
        <v>215</v>
      </c>
      <c r="BA222" s="35"/>
      <c r="BB222" s="6">
        <f t="shared" si="57"/>
        <v>52</v>
      </c>
      <c r="BC222" s="35"/>
      <c r="BD222" s="35"/>
      <c r="BE222" s="6"/>
      <c r="BF222" s="35"/>
      <c r="BG222" s="35"/>
      <c r="BH222" s="35"/>
      <c r="BI222" s="35"/>
      <c r="BJ222" s="35"/>
      <c r="BK222" s="6"/>
      <c r="BL222" s="35"/>
      <c r="BM222" s="35"/>
      <c r="BN222" s="35"/>
      <c r="BO222" s="35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>
        <v>69</v>
      </c>
      <c r="CH222" s="6">
        <v>365</v>
      </c>
      <c r="CI222" s="6">
        <f t="shared" si="58"/>
        <v>219</v>
      </c>
      <c r="CJ222" s="6">
        <v>0</v>
      </c>
      <c r="CK222" s="6">
        <v>113</v>
      </c>
      <c r="CL222" s="6">
        <f t="shared" si="59"/>
        <v>44</v>
      </c>
      <c r="CM222" s="6">
        <v>0</v>
      </c>
      <c r="CN222" s="6"/>
      <c r="CO222" s="6">
        <f t="shared" si="60"/>
        <v>0</v>
      </c>
      <c r="CP222" s="6">
        <v>0</v>
      </c>
      <c r="CQ222" s="6"/>
      <c r="CR222" s="6">
        <f t="shared" si="61"/>
        <v>0</v>
      </c>
      <c r="CS222" s="6">
        <v>0</v>
      </c>
      <c r="CT222" s="6"/>
      <c r="CU222" s="6">
        <f t="shared" si="62"/>
        <v>0</v>
      </c>
      <c r="CV222" s="6">
        <v>0</v>
      </c>
      <c r="CW222" s="10"/>
      <c r="CX222" s="6">
        <f t="shared" si="63"/>
        <v>0</v>
      </c>
    </row>
    <row r="223" spans="1:102">
      <c r="A223" s="6">
        <v>219</v>
      </c>
      <c r="B223" s="6">
        <v>0</v>
      </c>
      <c r="C223" s="10"/>
      <c r="D223" s="6">
        <v>0</v>
      </c>
      <c r="E223" s="33" t="s">
        <v>79</v>
      </c>
      <c r="F223" s="33" t="s">
        <v>79</v>
      </c>
      <c r="G223" s="33" t="s">
        <v>79</v>
      </c>
      <c r="H223" s="33" t="s">
        <v>79</v>
      </c>
      <c r="I223" s="33" t="s">
        <v>79</v>
      </c>
      <c r="J223" s="33" t="s">
        <v>79</v>
      </c>
      <c r="K223" s="33" t="s">
        <v>79</v>
      </c>
      <c r="L223" s="33" t="s">
        <v>79</v>
      </c>
      <c r="M223" s="33" t="s">
        <v>79</v>
      </c>
      <c r="N223" s="33" t="s">
        <v>79</v>
      </c>
      <c r="O223" s="33" t="s">
        <v>79</v>
      </c>
      <c r="P223" s="33" t="s">
        <v>79</v>
      </c>
      <c r="Q223" s="33" t="s">
        <v>79</v>
      </c>
      <c r="R223" s="33" t="s">
        <v>79</v>
      </c>
      <c r="S223" s="33" t="s">
        <v>79</v>
      </c>
      <c r="T223" s="33" t="s">
        <v>79</v>
      </c>
      <c r="U223" s="33" t="s">
        <v>79</v>
      </c>
      <c r="V223" s="6">
        <v>0</v>
      </c>
      <c r="W223" s="6"/>
      <c r="X223" s="35">
        <f t="shared" si="49"/>
        <v>0</v>
      </c>
      <c r="Y223" s="35">
        <v>0</v>
      </c>
      <c r="Z223" s="35"/>
      <c r="AA223" s="35">
        <f t="shared" si="50"/>
        <v>0</v>
      </c>
      <c r="AB223" s="6">
        <v>0</v>
      </c>
      <c r="AC223" s="6"/>
      <c r="AD223" s="35">
        <f t="shared" si="51"/>
        <v>0</v>
      </c>
      <c r="AE223" s="6">
        <v>0</v>
      </c>
      <c r="AF223" s="6"/>
      <c r="AG223" s="34">
        <f t="shared" si="52"/>
        <v>0</v>
      </c>
      <c r="AH223" s="35">
        <v>0</v>
      </c>
      <c r="AI223" s="35"/>
      <c r="AJ223" s="35">
        <f t="shared" si="53"/>
        <v>0</v>
      </c>
      <c r="AK223" s="6">
        <v>0</v>
      </c>
      <c r="AL223" s="6"/>
      <c r="AM223" s="35">
        <f t="shared" si="54"/>
        <v>0</v>
      </c>
      <c r="AN223" s="6"/>
      <c r="AO223" s="6"/>
      <c r="AP223" s="35"/>
      <c r="AQ223" s="35">
        <v>0</v>
      </c>
      <c r="AR223" s="35"/>
      <c r="AS223" s="35">
        <f t="shared" si="55"/>
        <v>0</v>
      </c>
      <c r="AT223" s="35">
        <v>0</v>
      </c>
      <c r="AU223" s="6"/>
      <c r="AV223" s="35">
        <f t="shared" si="64"/>
        <v>0</v>
      </c>
      <c r="AW223" s="6">
        <v>0</v>
      </c>
      <c r="AX223" s="35"/>
      <c r="AY223" s="6">
        <f t="shared" si="56"/>
        <v>0</v>
      </c>
      <c r="AZ223" s="35">
        <v>0</v>
      </c>
      <c r="BA223" s="35"/>
      <c r="BB223" s="6">
        <f t="shared" si="57"/>
        <v>0</v>
      </c>
      <c r="BC223" s="35"/>
      <c r="BD223" s="35"/>
      <c r="BE223" s="6"/>
      <c r="BF223" s="35"/>
      <c r="BG223" s="35"/>
      <c r="BH223" s="35"/>
      <c r="BI223" s="35"/>
      <c r="BJ223" s="35"/>
      <c r="BK223" s="6"/>
      <c r="BL223" s="35"/>
      <c r="BM223" s="35"/>
      <c r="BN223" s="35"/>
      <c r="BO223" s="35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>
        <v>0</v>
      </c>
      <c r="CH223" s="6"/>
      <c r="CI223" s="6">
        <f t="shared" si="58"/>
        <v>0</v>
      </c>
      <c r="CJ223" s="6">
        <v>0</v>
      </c>
      <c r="CK223" s="6"/>
      <c r="CL223" s="6">
        <f t="shared" si="59"/>
        <v>0</v>
      </c>
      <c r="CM223" s="6">
        <v>0</v>
      </c>
      <c r="CN223" s="6"/>
      <c r="CO223" s="6">
        <f t="shared" si="60"/>
        <v>0</v>
      </c>
      <c r="CP223" s="6">
        <v>0</v>
      </c>
      <c r="CQ223" s="6"/>
      <c r="CR223" s="6">
        <f t="shared" si="61"/>
        <v>0</v>
      </c>
      <c r="CS223" s="6">
        <v>0</v>
      </c>
      <c r="CT223" s="6"/>
      <c r="CU223" s="6">
        <f t="shared" si="62"/>
        <v>0</v>
      </c>
      <c r="CV223" s="6">
        <v>0</v>
      </c>
      <c r="CW223" s="10"/>
      <c r="CX223" s="6">
        <f t="shared" si="63"/>
        <v>0</v>
      </c>
    </row>
    <row r="224" spans="1:102">
      <c r="A224" s="6">
        <v>220</v>
      </c>
      <c r="B224" s="6">
        <v>0</v>
      </c>
      <c r="C224" s="10"/>
      <c r="D224" s="6">
        <v>0</v>
      </c>
      <c r="E224" s="141" t="s">
        <v>75</v>
      </c>
      <c r="F224" s="141" t="s">
        <v>75</v>
      </c>
      <c r="G224" s="141" t="s">
        <v>75</v>
      </c>
      <c r="H224" s="141" t="s">
        <v>75</v>
      </c>
      <c r="I224" s="141" t="s">
        <v>75</v>
      </c>
      <c r="J224" s="141" t="s">
        <v>75</v>
      </c>
      <c r="K224" s="141" t="s">
        <v>75</v>
      </c>
      <c r="L224" s="141" t="s">
        <v>75</v>
      </c>
      <c r="M224" s="141" t="s">
        <v>75</v>
      </c>
      <c r="N224" s="141" t="s">
        <v>75</v>
      </c>
      <c r="O224" s="141" t="s">
        <v>75</v>
      </c>
      <c r="P224" s="141" t="s">
        <v>75</v>
      </c>
      <c r="Q224" s="141" t="s">
        <v>75</v>
      </c>
      <c r="R224" s="141" t="s">
        <v>75</v>
      </c>
      <c r="S224" s="141" t="s">
        <v>75</v>
      </c>
      <c r="T224" s="141" t="s">
        <v>75</v>
      </c>
      <c r="U224" s="141" t="s">
        <v>75</v>
      </c>
      <c r="V224" s="6">
        <v>0</v>
      </c>
      <c r="W224" s="6"/>
      <c r="X224" s="35">
        <f t="shared" si="49"/>
        <v>0</v>
      </c>
      <c r="Y224" s="35">
        <v>0</v>
      </c>
      <c r="Z224" s="35"/>
      <c r="AA224" s="35">
        <f t="shared" si="50"/>
        <v>0</v>
      </c>
      <c r="AB224" s="6">
        <v>0</v>
      </c>
      <c r="AC224" s="6"/>
      <c r="AD224" s="35">
        <f t="shared" si="51"/>
        <v>0</v>
      </c>
      <c r="AE224" s="6">
        <v>0</v>
      </c>
      <c r="AF224" s="6"/>
      <c r="AG224" s="34">
        <f t="shared" si="52"/>
        <v>0</v>
      </c>
      <c r="AH224" s="35">
        <v>0</v>
      </c>
      <c r="AI224" s="35"/>
      <c r="AJ224" s="35">
        <f t="shared" si="53"/>
        <v>0</v>
      </c>
      <c r="AK224" s="6">
        <v>0</v>
      </c>
      <c r="AL224" s="6"/>
      <c r="AM224" s="35">
        <f t="shared" si="54"/>
        <v>0</v>
      </c>
      <c r="AN224" s="6"/>
      <c r="AO224" s="6"/>
      <c r="AP224" s="35"/>
      <c r="AQ224" s="35">
        <v>0</v>
      </c>
      <c r="AR224" s="35"/>
      <c r="AS224" s="35">
        <f t="shared" si="55"/>
        <v>0</v>
      </c>
      <c r="AT224" s="35">
        <v>0</v>
      </c>
      <c r="AU224" s="6"/>
      <c r="AV224" s="35">
        <f t="shared" si="64"/>
        <v>0</v>
      </c>
      <c r="AW224" s="6">
        <v>0</v>
      </c>
      <c r="AX224" s="35"/>
      <c r="AY224" s="6">
        <f t="shared" si="56"/>
        <v>0</v>
      </c>
      <c r="AZ224" s="35">
        <v>0</v>
      </c>
      <c r="BA224" s="35"/>
      <c r="BB224" s="6">
        <f t="shared" si="57"/>
        <v>0</v>
      </c>
      <c r="BC224" s="35"/>
      <c r="BD224" s="35"/>
      <c r="BE224" s="6"/>
      <c r="BF224" s="35"/>
      <c r="BG224" s="35"/>
      <c r="BH224" s="35"/>
      <c r="BI224" s="35"/>
      <c r="BJ224" s="35"/>
      <c r="BK224" s="6"/>
      <c r="BL224" s="35"/>
      <c r="BM224" s="35"/>
      <c r="BN224" s="35"/>
      <c r="BO224" s="35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>
        <v>0</v>
      </c>
      <c r="CH224" s="6"/>
      <c r="CI224" s="6">
        <f t="shared" si="58"/>
        <v>0</v>
      </c>
      <c r="CJ224" s="6">
        <v>0</v>
      </c>
      <c r="CK224" s="6"/>
      <c r="CL224" s="6">
        <f t="shared" si="59"/>
        <v>0</v>
      </c>
      <c r="CM224" s="6">
        <v>0</v>
      </c>
      <c r="CN224" s="6"/>
      <c r="CO224" s="6">
        <f t="shared" si="60"/>
        <v>0</v>
      </c>
      <c r="CP224" s="6">
        <v>0</v>
      </c>
      <c r="CQ224" s="6"/>
      <c r="CR224" s="6">
        <f t="shared" si="61"/>
        <v>0</v>
      </c>
      <c r="CS224" s="6">
        <v>0</v>
      </c>
      <c r="CT224" s="6"/>
      <c r="CU224" s="6">
        <f t="shared" si="62"/>
        <v>0</v>
      </c>
      <c r="CV224" s="6">
        <v>0</v>
      </c>
      <c r="CW224" s="10"/>
      <c r="CX224" s="6">
        <f t="shared" si="63"/>
        <v>0</v>
      </c>
    </row>
    <row r="225" spans="1:102">
      <c r="A225" s="6">
        <v>221</v>
      </c>
      <c r="B225" s="6">
        <v>0</v>
      </c>
      <c r="C225" s="10"/>
      <c r="D225" s="6">
        <v>0</v>
      </c>
      <c r="E225" s="33" t="s">
        <v>75</v>
      </c>
      <c r="F225" s="33" t="s">
        <v>75</v>
      </c>
      <c r="G225" s="33" t="s">
        <v>75</v>
      </c>
      <c r="H225" s="33" t="s">
        <v>75</v>
      </c>
      <c r="I225" s="33" t="s">
        <v>75</v>
      </c>
      <c r="J225" s="33" t="s">
        <v>75</v>
      </c>
      <c r="K225" s="33" t="s">
        <v>75</v>
      </c>
      <c r="L225" s="33" t="s">
        <v>75</v>
      </c>
      <c r="M225" s="33" t="s">
        <v>75</v>
      </c>
      <c r="N225" s="33" t="s">
        <v>75</v>
      </c>
      <c r="O225" s="33" t="s">
        <v>75</v>
      </c>
      <c r="P225" s="33" t="s">
        <v>75</v>
      </c>
      <c r="Q225" s="33" t="s">
        <v>75</v>
      </c>
      <c r="R225" s="33" t="s">
        <v>75</v>
      </c>
      <c r="S225" s="33" t="s">
        <v>75</v>
      </c>
      <c r="T225" s="33" t="s">
        <v>75</v>
      </c>
      <c r="U225" s="33" t="s">
        <v>75</v>
      </c>
      <c r="V225" s="6">
        <v>0</v>
      </c>
      <c r="W225" s="6"/>
      <c r="X225" s="35">
        <f t="shared" si="49"/>
        <v>0</v>
      </c>
      <c r="Y225" s="35">
        <v>0</v>
      </c>
      <c r="Z225" s="35"/>
      <c r="AA225" s="35">
        <f t="shared" si="50"/>
        <v>0</v>
      </c>
      <c r="AB225" s="6">
        <v>0</v>
      </c>
      <c r="AC225" s="6"/>
      <c r="AD225" s="35">
        <f t="shared" si="51"/>
        <v>0</v>
      </c>
      <c r="AE225" s="6">
        <v>0</v>
      </c>
      <c r="AF225" s="6"/>
      <c r="AG225" s="34">
        <f t="shared" si="52"/>
        <v>0</v>
      </c>
      <c r="AH225" s="35">
        <v>0</v>
      </c>
      <c r="AI225" s="35"/>
      <c r="AJ225" s="35">
        <f t="shared" si="53"/>
        <v>0</v>
      </c>
      <c r="AK225" s="6">
        <v>0</v>
      </c>
      <c r="AL225" s="6"/>
      <c r="AM225" s="35">
        <f t="shared" si="54"/>
        <v>0</v>
      </c>
      <c r="AN225" s="6"/>
      <c r="AO225" s="6"/>
      <c r="AP225" s="35"/>
      <c r="AQ225" s="35">
        <v>0</v>
      </c>
      <c r="AR225" s="35"/>
      <c r="AS225" s="35">
        <f t="shared" si="55"/>
        <v>0</v>
      </c>
      <c r="AT225" s="35">
        <v>0</v>
      </c>
      <c r="AU225" s="6"/>
      <c r="AV225" s="35">
        <f t="shared" si="64"/>
        <v>0</v>
      </c>
      <c r="AW225" s="6">
        <v>0</v>
      </c>
      <c r="AX225" s="35"/>
      <c r="AY225" s="6">
        <f t="shared" si="56"/>
        <v>0</v>
      </c>
      <c r="AZ225" s="35">
        <v>0</v>
      </c>
      <c r="BA225" s="35"/>
      <c r="BB225" s="6">
        <f t="shared" si="57"/>
        <v>0</v>
      </c>
      <c r="BC225" s="35"/>
      <c r="BD225" s="35"/>
      <c r="BE225" s="6"/>
      <c r="BF225" s="35"/>
      <c r="BG225" s="35"/>
      <c r="BH225" s="35"/>
      <c r="BI225" s="35"/>
      <c r="BJ225" s="35"/>
      <c r="BK225" s="6"/>
      <c r="BL225" s="6"/>
      <c r="BM225" s="35"/>
      <c r="BN225" s="35"/>
      <c r="BO225" s="35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>
        <v>0</v>
      </c>
      <c r="CH225" s="6"/>
      <c r="CI225" s="6">
        <f t="shared" si="58"/>
        <v>0</v>
      </c>
      <c r="CJ225" s="6">
        <v>0</v>
      </c>
      <c r="CK225" s="6"/>
      <c r="CL225" s="6">
        <f t="shared" si="59"/>
        <v>0</v>
      </c>
      <c r="CM225" s="6">
        <v>0</v>
      </c>
      <c r="CN225" s="6"/>
      <c r="CO225" s="6">
        <f t="shared" si="60"/>
        <v>0</v>
      </c>
      <c r="CP225" s="6">
        <v>0</v>
      </c>
      <c r="CQ225" s="6"/>
      <c r="CR225" s="6">
        <f t="shared" si="61"/>
        <v>0</v>
      </c>
      <c r="CS225" s="6">
        <v>0</v>
      </c>
      <c r="CT225" s="6"/>
      <c r="CU225" s="6">
        <f t="shared" si="62"/>
        <v>0</v>
      </c>
      <c r="CV225" s="6">
        <v>0</v>
      </c>
      <c r="CW225" s="10"/>
      <c r="CX225" s="6">
        <f t="shared" si="63"/>
        <v>0</v>
      </c>
    </row>
    <row r="226" spans="1:102">
      <c r="A226" s="6">
        <v>222</v>
      </c>
      <c r="B226" s="6">
        <v>0</v>
      </c>
      <c r="C226" s="10"/>
      <c r="D226" s="6">
        <v>0</v>
      </c>
      <c r="E226" s="33" t="s">
        <v>79</v>
      </c>
      <c r="F226" s="33" t="s">
        <v>79</v>
      </c>
      <c r="G226" s="33" t="s">
        <v>79</v>
      </c>
      <c r="H226" s="33" t="s">
        <v>79</v>
      </c>
      <c r="I226" s="33" t="s">
        <v>79</v>
      </c>
      <c r="J226" s="33" t="s">
        <v>79</v>
      </c>
      <c r="K226" s="33" t="s">
        <v>79</v>
      </c>
      <c r="L226" s="33" t="s">
        <v>79</v>
      </c>
      <c r="M226" s="33" t="s">
        <v>79</v>
      </c>
      <c r="N226" s="33" t="s">
        <v>79</v>
      </c>
      <c r="O226" s="33" t="s">
        <v>79</v>
      </c>
      <c r="P226" s="33" t="s">
        <v>79</v>
      </c>
      <c r="Q226" s="33" t="s">
        <v>79</v>
      </c>
      <c r="R226" s="33" t="s">
        <v>79</v>
      </c>
      <c r="S226" s="33" t="s">
        <v>79</v>
      </c>
      <c r="T226" s="33" t="s">
        <v>79</v>
      </c>
      <c r="U226" s="33" t="s">
        <v>79</v>
      </c>
      <c r="V226" s="6">
        <v>0</v>
      </c>
      <c r="W226" s="6"/>
      <c r="X226" s="35">
        <f t="shared" si="49"/>
        <v>0</v>
      </c>
      <c r="Y226" s="35">
        <v>0</v>
      </c>
      <c r="Z226" s="35"/>
      <c r="AA226" s="35">
        <f t="shared" si="50"/>
        <v>0</v>
      </c>
      <c r="AB226" s="6">
        <v>0</v>
      </c>
      <c r="AC226" s="6"/>
      <c r="AD226" s="35">
        <f t="shared" si="51"/>
        <v>0</v>
      </c>
      <c r="AE226" s="6">
        <v>0</v>
      </c>
      <c r="AF226" s="35"/>
      <c r="AG226" s="34">
        <f t="shared" si="52"/>
        <v>0</v>
      </c>
      <c r="AH226" s="35">
        <v>0</v>
      </c>
      <c r="AI226" s="35"/>
      <c r="AJ226" s="35">
        <f t="shared" si="53"/>
        <v>0</v>
      </c>
      <c r="AK226" s="6">
        <v>0</v>
      </c>
      <c r="AL226" s="6"/>
      <c r="AM226" s="35">
        <f t="shared" si="54"/>
        <v>0</v>
      </c>
      <c r="AN226" s="6"/>
      <c r="AO226" s="6"/>
      <c r="AP226" s="35"/>
      <c r="AQ226" s="35">
        <v>0</v>
      </c>
      <c r="AR226" s="35"/>
      <c r="AS226" s="35">
        <f t="shared" si="55"/>
        <v>0</v>
      </c>
      <c r="AT226" s="35">
        <v>0</v>
      </c>
      <c r="AU226" s="6"/>
      <c r="AV226" s="35">
        <f t="shared" si="64"/>
        <v>0</v>
      </c>
      <c r="AW226" s="6">
        <v>0</v>
      </c>
      <c r="AX226" s="35"/>
      <c r="AY226" s="6">
        <f t="shared" si="56"/>
        <v>0</v>
      </c>
      <c r="AZ226" s="35">
        <v>0</v>
      </c>
      <c r="BA226" s="35"/>
      <c r="BB226" s="6">
        <f t="shared" si="57"/>
        <v>0</v>
      </c>
      <c r="BC226" s="35"/>
      <c r="BD226" s="35"/>
      <c r="BE226" s="6"/>
      <c r="BF226" s="35"/>
      <c r="BG226" s="35"/>
      <c r="BH226" s="35"/>
      <c r="BI226" s="35"/>
      <c r="BJ226" s="35"/>
      <c r="BK226" s="6"/>
      <c r="BL226" s="6"/>
      <c r="BM226" s="35"/>
      <c r="BN226" s="35"/>
      <c r="BO226" s="35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>
        <v>0</v>
      </c>
      <c r="CH226" s="6"/>
      <c r="CI226" s="6">
        <f t="shared" si="58"/>
        <v>0</v>
      </c>
      <c r="CJ226" s="6">
        <v>0</v>
      </c>
      <c r="CK226" s="6"/>
      <c r="CL226" s="6">
        <f t="shared" si="59"/>
        <v>0</v>
      </c>
      <c r="CM226" s="6">
        <v>0</v>
      </c>
      <c r="CN226" s="6"/>
      <c r="CO226" s="6">
        <f t="shared" si="60"/>
        <v>0</v>
      </c>
      <c r="CP226" s="6">
        <v>0</v>
      </c>
      <c r="CQ226" s="6"/>
      <c r="CR226" s="6">
        <f t="shared" si="61"/>
        <v>0</v>
      </c>
      <c r="CS226" s="6">
        <v>0</v>
      </c>
      <c r="CT226" s="6"/>
      <c r="CU226" s="6">
        <f t="shared" si="62"/>
        <v>0</v>
      </c>
      <c r="CV226" s="6">
        <v>0</v>
      </c>
      <c r="CW226" s="10"/>
      <c r="CX226" s="6">
        <f t="shared" si="63"/>
        <v>0</v>
      </c>
    </row>
    <row r="227" spans="1:102">
      <c r="A227" s="6">
        <v>223</v>
      </c>
      <c r="B227" s="6">
        <v>0</v>
      </c>
      <c r="C227" s="10">
        <v>430</v>
      </c>
      <c r="D227" s="6">
        <v>32</v>
      </c>
      <c r="E227" s="141" t="s">
        <v>79</v>
      </c>
      <c r="F227" s="141" t="s">
        <v>79</v>
      </c>
      <c r="G227" s="141" t="s">
        <v>79</v>
      </c>
      <c r="H227" s="141" t="s">
        <v>79</v>
      </c>
      <c r="I227" s="141" t="s">
        <v>79</v>
      </c>
      <c r="J227" s="163" t="s">
        <v>72</v>
      </c>
      <c r="K227" s="141" t="s">
        <v>72</v>
      </c>
      <c r="L227" s="141" t="s">
        <v>72</v>
      </c>
      <c r="M227" s="141" t="s">
        <v>72</v>
      </c>
      <c r="N227" s="141" t="s">
        <v>72</v>
      </c>
      <c r="O227" s="141" t="s">
        <v>72</v>
      </c>
      <c r="P227" s="141" t="s">
        <v>72</v>
      </c>
      <c r="Q227" s="141" t="s">
        <v>72</v>
      </c>
      <c r="R227" s="141" t="s">
        <v>72</v>
      </c>
      <c r="S227" s="141" t="s">
        <v>72</v>
      </c>
      <c r="T227" s="141" t="s">
        <v>72</v>
      </c>
      <c r="U227" s="141" t="s">
        <v>72</v>
      </c>
      <c r="V227" s="6">
        <v>0</v>
      </c>
      <c r="W227" s="6"/>
      <c r="X227" s="35">
        <f t="shared" si="49"/>
        <v>0</v>
      </c>
      <c r="Y227" s="35">
        <v>0</v>
      </c>
      <c r="Z227" s="35"/>
      <c r="AA227" s="35">
        <f t="shared" si="50"/>
        <v>0</v>
      </c>
      <c r="AB227" s="6">
        <v>0</v>
      </c>
      <c r="AC227" s="6"/>
      <c r="AD227" s="35">
        <f t="shared" si="51"/>
        <v>0</v>
      </c>
      <c r="AE227" s="6">
        <v>0</v>
      </c>
      <c r="AF227" s="6"/>
      <c r="AG227" s="34">
        <f t="shared" si="52"/>
        <v>0</v>
      </c>
      <c r="AH227" s="35">
        <v>188</v>
      </c>
      <c r="AI227" s="35"/>
      <c r="AJ227" s="35">
        <f t="shared" si="53"/>
        <v>188</v>
      </c>
      <c r="AK227" s="6">
        <v>408</v>
      </c>
      <c r="AL227" s="6"/>
      <c r="AM227" s="35">
        <f t="shared" si="54"/>
        <v>220</v>
      </c>
      <c r="AN227" s="6"/>
      <c r="AO227" s="6"/>
      <c r="AP227" s="35"/>
      <c r="AQ227" s="35">
        <v>659</v>
      </c>
      <c r="AR227" s="35"/>
      <c r="AS227" s="35">
        <f t="shared" si="55"/>
        <v>251</v>
      </c>
      <c r="AT227" s="35">
        <v>65</v>
      </c>
      <c r="AU227" s="6">
        <v>844</v>
      </c>
      <c r="AV227" s="35">
        <f t="shared" si="64"/>
        <v>250</v>
      </c>
      <c r="AW227" s="6">
        <v>317</v>
      </c>
      <c r="AX227" s="35"/>
      <c r="AY227" s="6">
        <f t="shared" si="56"/>
        <v>252</v>
      </c>
      <c r="AZ227" s="35">
        <v>387</v>
      </c>
      <c r="BA227" s="35"/>
      <c r="BB227" s="6">
        <f t="shared" si="57"/>
        <v>70</v>
      </c>
      <c r="BC227" s="35"/>
      <c r="BD227" s="35"/>
      <c r="BE227" s="6"/>
      <c r="BF227" s="35"/>
      <c r="BG227" s="35"/>
      <c r="BH227" s="35"/>
      <c r="BI227" s="35"/>
      <c r="BJ227" s="35"/>
      <c r="BK227" s="6"/>
      <c r="BL227" s="6"/>
      <c r="BM227" s="35"/>
      <c r="BN227" s="35"/>
      <c r="BO227" s="35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>
        <v>647</v>
      </c>
      <c r="CH227" s="6"/>
      <c r="CI227" s="6">
        <f t="shared" si="58"/>
        <v>260</v>
      </c>
      <c r="CJ227" s="6">
        <v>195</v>
      </c>
      <c r="CK227" s="6">
        <v>700</v>
      </c>
      <c r="CL227" s="6">
        <f t="shared" si="59"/>
        <v>248</v>
      </c>
      <c r="CM227" s="6">
        <v>451</v>
      </c>
      <c r="CN227" s="6"/>
      <c r="CO227" s="6">
        <f t="shared" si="60"/>
        <v>256</v>
      </c>
      <c r="CP227" s="6">
        <v>713</v>
      </c>
      <c r="CQ227" s="6"/>
      <c r="CR227" s="6">
        <f t="shared" si="61"/>
        <v>262</v>
      </c>
      <c r="CS227" s="6">
        <v>975</v>
      </c>
      <c r="CT227" s="6"/>
      <c r="CU227" s="6">
        <f t="shared" si="62"/>
        <v>262</v>
      </c>
      <c r="CV227" s="6">
        <v>110</v>
      </c>
      <c r="CW227" s="10">
        <v>1100</v>
      </c>
      <c r="CX227" s="6">
        <f t="shared" si="63"/>
        <v>235</v>
      </c>
    </row>
    <row r="228" spans="1:102">
      <c r="A228" s="6">
        <v>224</v>
      </c>
      <c r="B228" s="6">
        <v>0</v>
      </c>
      <c r="C228" s="10"/>
      <c r="D228" s="6">
        <v>0</v>
      </c>
      <c r="E228" s="33" t="s">
        <v>79</v>
      </c>
      <c r="F228" s="33" t="s">
        <v>79</v>
      </c>
      <c r="G228" s="33" t="s">
        <v>79</v>
      </c>
      <c r="H228" s="33" t="s">
        <v>79</v>
      </c>
      <c r="I228" s="33" t="s">
        <v>79</v>
      </c>
      <c r="J228" s="148" t="s">
        <v>72</v>
      </c>
      <c r="K228" s="33" t="s">
        <v>72</v>
      </c>
      <c r="L228" s="33" t="s">
        <v>72</v>
      </c>
      <c r="M228" s="33" t="s">
        <v>72</v>
      </c>
      <c r="N228" s="33" t="s">
        <v>72</v>
      </c>
      <c r="O228" s="33" t="s">
        <v>72</v>
      </c>
      <c r="P228" s="33" t="s">
        <v>72</v>
      </c>
      <c r="Q228" s="33" t="s">
        <v>72</v>
      </c>
      <c r="R228" s="33" t="s">
        <v>72</v>
      </c>
      <c r="S228" s="33" t="s">
        <v>72</v>
      </c>
      <c r="T228" s="33" t="s">
        <v>72</v>
      </c>
      <c r="U228" s="33" t="s">
        <v>72</v>
      </c>
      <c r="V228" s="6">
        <v>0</v>
      </c>
      <c r="W228" s="6"/>
      <c r="X228" s="35">
        <f t="shared" si="49"/>
        <v>0</v>
      </c>
      <c r="Y228" s="35">
        <v>0</v>
      </c>
      <c r="Z228" s="35"/>
      <c r="AA228" s="35">
        <f t="shared" si="50"/>
        <v>0</v>
      </c>
      <c r="AB228" s="6">
        <v>0</v>
      </c>
      <c r="AC228" s="6"/>
      <c r="AD228" s="35">
        <f t="shared" si="51"/>
        <v>0</v>
      </c>
      <c r="AE228" s="6">
        <v>0</v>
      </c>
      <c r="AF228" s="6"/>
      <c r="AG228" s="34">
        <f t="shared" si="52"/>
        <v>0</v>
      </c>
      <c r="AH228" s="35">
        <v>181</v>
      </c>
      <c r="AI228" s="35"/>
      <c r="AJ228" s="35">
        <f t="shared" si="53"/>
        <v>181</v>
      </c>
      <c r="AK228" s="6">
        <v>410</v>
      </c>
      <c r="AL228" s="6"/>
      <c r="AM228" s="35">
        <f t="shared" si="54"/>
        <v>229</v>
      </c>
      <c r="AN228" s="6"/>
      <c r="AO228" s="6"/>
      <c r="AP228" s="35"/>
      <c r="AQ228" s="35">
        <v>656</v>
      </c>
      <c r="AR228" s="35"/>
      <c r="AS228" s="35">
        <f t="shared" si="55"/>
        <v>246</v>
      </c>
      <c r="AT228" s="35">
        <v>917</v>
      </c>
      <c r="AU228" s="6"/>
      <c r="AV228" s="35">
        <f t="shared" si="64"/>
        <v>261</v>
      </c>
      <c r="AW228" s="6">
        <v>73</v>
      </c>
      <c r="AX228" s="35">
        <v>1110</v>
      </c>
      <c r="AY228" s="6">
        <f t="shared" si="56"/>
        <v>266</v>
      </c>
      <c r="AZ228" s="35">
        <v>146</v>
      </c>
      <c r="BA228" s="35"/>
      <c r="BB228" s="6">
        <f t="shared" si="57"/>
        <v>73</v>
      </c>
      <c r="BC228" s="35"/>
      <c r="BD228" s="35"/>
      <c r="BE228" s="6"/>
      <c r="BF228" s="35"/>
      <c r="BG228" s="35"/>
      <c r="BH228" s="35"/>
      <c r="BI228" s="35"/>
      <c r="BJ228" s="35"/>
      <c r="BK228" s="6"/>
      <c r="BL228" s="6"/>
      <c r="BM228" s="35"/>
      <c r="BN228" s="35"/>
      <c r="BO228" s="35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>
        <v>417</v>
      </c>
      <c r="CH228" s="6"/>
      <c r="CI228" s="6">
        <f t="shared" si="58"/>
        <v>271</v>
      </c>
      <c r="CJ228" s="6">
        <v>670</v>
      </c>
      <c r="CK228" s="6"/>
      <c r="CL228" s="6">
        <f t="shared" si="59"/>
        <v>253</v>
      </c>
      <c r="CM228" s="6">
        <v>931</v>
      </c>
      <c r="CN228" s="6"/>
      <c r="CO228" s="6">
        <f t="shared" si="60"/>
        <v>261</v>
      </c>
      <c r="CP228" s="6">
        <v>88</v>
      </c>
      <c r="CQ228" s="6">
        <v>1100</v>
      </c>
      <c r="CR228" s="6">
        <f t="shared" si="61"/>
        <v>257</v>
      </c>
      <c r="CS228" s="6">
        <v>347</v>
      </c>
      <c r="CT228" s="6"/>
      <c r="CU228" s="6">
        <f t="shared" si="62"/>
        <v>259</v>
      </c>
      <c r="CV228" s="6">
        <v>582</v>
      </c>
      <c r="CW228" s="10"/>
      <c r="CX228" s="6">
        <f t="shared" si="63"/>
        <v>235</v>
      </c>
    </row>
    <row r="229" spans="1:102">
      <c r="A229" s="6">
        <v>225</v>
      </c>
      <c r="B229" s="6">
        <v>0</v>
      </c>
      <c r="C229" s="10"/>
      <c r="D229" s="6">
        <v>0</v>
      </c>
      <c r="E229" s="141" t="s">
        <v>75</v>
      </c>
      <c r="F229" s="141" t="s">
        <v>75</v>
      </c>
      <c r="G229" s="141" t="s">
        <v>75</v>
      </c>
      <c r="H229" s="163" t="s">
        <v>72</v>
      </c>
      <c r="I229" s="141" t="s">
        <v>72</v>
      </c>
      <c r="J229" s="141" t="s">
        <v>72</v>
      </c>
      <c r="K229" s="141" t="s">
        <v>72</v>
      </c>
      <c r="L229" s="141" t="s">
        <v>72</v>
      </c>
      <c r="M229" s="141" t="s">
        <v>72</v>
      </c>
      <c r="N229" s="141" t="s">
        <v>72</v>
      </c>
      <c r="O229" s="141" t="s">
        <v>72</v>
      </c>
      <c r="P229" s="141" t="s">
        <v>72</v>
      </c>
      <c r="Q229" s="141" t="s">
        <v>72</v>
      </c>
      <c r="R229" s="141" t="s">
        <v>72</v>
      </c>
      <c r="S229" s="141" t="s">
        <v>72</v>
      </c>
      <c r="T229" s="141" t="s">
        <v>72</v>
      </c>
      <c r="U229" s="141" t="s">
        <v>72</v>
      </c>
      <c r="V229" s="6">
        <v>0</v>
      </c>
      <c r="W229" s="6"/>
      <c r="X229" s="35">
        <f t="shared" si="49"/>
        <v>0</v>
      </c>
      <c r="Y229" s="35">
        <v>0</v>
      </c>
      <c r="Z229" s="35"/>
      <c r="AA229" s="35">
        <f t="shared" si="50"/>
        <v>0</v>
      </c>
      <c r="AB229" s="6">
        <v>184</v>
      </c>
      <c r="AC229" s="6"/>
      <c r="AD229" s="35">
        <f t="shared" si="51"/>
        <v>184</v>
      </c>
      <c r="AE229" s="6">
        <v>428</v>
      </c>
      <c r="AF229" s="6"/>
      <c r="AG229" s="34">
        <f t="shared" si="52"/>
        <v>244</v>
      </c>
      <c r="AH229" s="35">
        <v>84</v>
      </c>
      <c r="AI229" s="35">
        <v>595</v>
      </c>
      <c r="AJ229" s="35">
        <f t="shared" si="53"/>
        <v>251</v>
      </c>
      <c r="AK229" s="6">
        <v>307</v>
      </c>
      <c r="AL229" s="6"/>
      <c r="AM229" s="35">
        <f t="shared" si="54"/>
        <v>223</v>
      </c>
      <c r="AN229" s="6"/>
      <c r="AO229" s="6"/>
      <c r="AP229" s="35"/>
      <c r="AQ229" s="35">
        <v>570</v>
      </c>
      <c r="AR229" s="35"/>
      <c r="AS229" s="35">
        <f t="shared" si="55"/>
        <v>263</v>
      </c>
      <c r="AT229" s="35">
        <v>832</v>
      </c>
      <c r="AU229" s="6"/>
      <c r="AV229" s="35">
        <f t="shared" si="64"/>
        <v>262</v>
      </c>
      <c r="AW229" s="6">
        <v>1086</v>
      </c>
      <c r="AX229" s="35"/>
      <c r="AY229" s="6">
        <f t="shared" si="56"/>
        <v>254</v>
      </c>
      <c r="AZ229" s="35">
        <v>53</v>
      </c>
      <c r="BA229" s="35">
        <v>1100</v>
      </c>
      <c r="BB229" s="6">
        <f t="shared" si="57"/>
        <v>67</v>
      </c>
      <c r="BC229" s="35"/>
      <c r="BD229" s="35"/>
      <c r="BE229" s="6"/>
      <c r="BF229" s="35"/>
      <c r="BG229" s="35"/>
      <c r="BH229" s="35"/>
      <c r="BI229" s="35"/>
      <c r="BJ229" s="35"/>
      <c r="BK229" s="6"/>
      <c r="BL229" s="6"/>
      <c r="BM229" s="35"/>
      <c r="BN229" s="35"/>
      <c r="BO229" s="35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>
        <v>321</v>
      </c>
      <c r="CH229" s="6"/>
      <c r="CI229" s="6">
        <f t="shared" si="58"/>
        <v>268</v>
      </c>
      <c r="CJ229" s="6">
        <v>185</v>
      </c>
      <c r="CK229" s="6">
        <v>391</v>
      </c>
      <c r="CL229" s="6">
        <f t="shared" si="59"/>
        <v>255</v>
      </c>
      <c r="CM229" s="6">
        <v>9</v>
      </c>
      <c r="CN229" s="6">
        <v>431</v>
      </c>
      <c r="CO229" s="6">
        <f t="shared" si="60"/>
        <v>255</v>
      </c>
      <c r="CP229" s="6">
        <v>262</v>
      </c>
      <c r="CQ229" s="6"/>
      <c r="CR229" s="6">
        <f t="shared" si="61"/>
        <v>253</v>
      </c>
      <c r="CS229" s="6">
        <v>519</v>
      </c>
      <c r="CT229" s="6"/>
      <c r="CU229" s="6">
        <f t="shared" si="62"/>
        <v>257</v>
      </c>
      <c r="CV229" s="6">
        <v>748</v>
      </c>
      <c r="CW229" s="10"/>
      <c r="CX229" s="6">
        <f t="shared" si="63"/>
        <v>229</v>
      </c>
    </row>
    <row r="230" spans="1:102">
      <c r="A230" s="6">
        <v>226</v>
      </c>
      <c r="B230" s="6">
        <v>0</v>
      </c>
      <c r="C230" s="10"/>
      <c r="D230" s="6">
        <v>0</v>
      </c>
      <c r="E230" s="141" t="s">
        <v>75</v>
      </c>
      <c r="F230" s="141" t="s">
        <v>75</v>
      </c>
      <c r="G230" s="141" t="s">
        <v>75</v>
      </c>
      <c r="H230" s="163" t="s">
        <v>72</v>
      </c>
      <c r="I230" s="141" t="s">
        <v>72</v>
      </c>
      <c r="J230" s="141" t="s">
        <v>72</v>
      </c>
      <c r="K230" s="141" t="s">
        <v>72</v>
      </c>
      <c r="L230" s="141" t="s">
        <v>72</v>
      </c>
      <c r="M230" s="141" t="s">
        <v>72</v>
      </c>
      <c r="N230" s="141" t="s">
        <v>72</v>
      </c>
      <c r="O230" s="141" t="s">
        <v>72</v>
      </c>
      <c r="P230" s="141" t="s">
        <v>72</v>
      </c>
      <c r="Q230" s="141" t="s">
        <v>72</v>
      </c>
      <c r="R230" s="141" t="s">
        <v>72</v>
      </c>
      <c r="S230" s="141" t="s">
        <v>72</v>
      </c>
      <c r="T230" s="141" t="s">
        <v>72</v>
      </c>
      <c r="U230" s="141" t="s">
        <v>72</v>
      </c>
      <c r="V230" s="6">
        <v>0</v>
      </c>
      <c r="W230" s="6"/>
      <c r="X230" s="35">
        <f t="shared" si="49"/>
        <v>0</v>
      </c>
      <c r="Y230" s="35">
        <v>0</v>
      </c>
      <c r="Z230" s="35"/>
      <c r="AA230" s="35">
        <f t="shared" si="50"/>
        <v>0</v>
      </c>
      <c r="AB230" s="6">
        <v>156</v>
      </c>
      <c r="AC230" s="6"/>
      <c r="AD230" s="35">
        <f t="shared" si="51"/>
        <v>156</v>
      </c>
      <c r="AE230" s="6">
        <v>394</v>
      </c>
      <c r="AF230" s="6"/>
      <c r="AG230" s="34">
        <f t="shared" si="52"/>
        <v>238</v>
      </c>
      <c r="AH230" s="35">
        <v>645</v>
      </c>
      <c r="AI230" s="35"/>
      <c r="AJ230" s="35">
        <f t="shared" si="53"/>
        <v>251</v>
      </c>
      <c r="AK230" s="6">
        <v>215</v>
      </c>
      <c r="AL230" s="6">
        <v>645</v>
      </c>
      <c r="AM230" s="35">
        <f t="shared" si="54"/>
        <v>215</v>
      </c>
      <c r="AN230" s="6"/>
      <c r="AO230" s="6"/>
      <c r="AP230" s="35"/>
      <c r="AQ230" s="35">
        <v>480</v>
      </c>
      <c r="AR230" s="35"/>
      <c r="AS230" s="35">
        <f t="shared" si="55"/>
        <v>265</v>
      </c>
      <c r="AT230" s="35">
        <v>741</v>
      </c>
      <c r="AU230" s="6"/>
      <c r="AV230" s="35">
        <f t="shared" si="64"/>
        <v>261</v>
      </c>
      <c r="AW230" s="6">
        <v>173</v>
      </c>
      <c r="AX230" s="35">
        <v>828</v>
      </c>
      <c r="AY230" s="6">
        <f t="shared" si="56"/>
        <v>260</v>
      </c>
      <c r="AZ230" s="35">
        <v>242</v>
      </c>
      <c r="BA230" s="35"/>
      <c r="BB230" s="6">
        <f t="shared" si="57"/>
        <v>69</v>
      </c>
      <c r="BC230" s="35"/>
      <c r="BD230" s="35"/>
      <c r="BE230" s="6"/>
      <c r="BF230" s="35"/>
      <c r="BG230" s="35"/>
      <c r="BH230" s="35"/>
      <c r="BI230" s="35"/>
      <c r="BJ230" s="35"/>
      <c r="BK230" s="6"/>
      <c r="BL230" s="6"/>
      <c r="BM230" s="35"/>
      <c r="BN230" s="35"/>
      <c r="BO230" s="35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>
        <v>509</v>
      </c>
      <c r="CH230" s="6"/>
      <c r="CI230" s="6">
        <f t="shared" si="58"/>
        <v>267</v>
      </c>
      <c r="CJ230" s="6">
        <v>766</v>
      </c>
      <c r="CK230" s="6"/>
      <c r="CL230" s="6">
        <f t="shared" si="59"/>
        <v>257</v>
      </c>
      <c r="CM230" s="6">
        <v>1031</v>
      </c>
      <c r="CN230" s="6"/>
      <c r="CO230" s="6">
        <f t="shared" si="60"/>
        <v>265</v>
      </c>
      <c r="CP230" s="6">
        <v>193</v>
      </c>
      <c r="CQ230" s="6">
        <v>1100</v>
      </c>
      <c r="CR230" s="6">
        <f t="shared" si="61"/>
        <v>262</v>
      </c>
      <c r="CS230" s="6">
        <v>450</v>
      </c>
      <c r="CT230" s="6"/>
      <c r="CU230" s="6">
        <f t="shared" si="62"/>
        <v>257</v>
      </c>
      <c r="CV230" s="6">
        <v>684</v>
      </c>
      <c r="CW230" s="10"/>
      <c r="CX230" s="6">
        <f t="shared" si="63"/>
        <v>234</v>
      </c>
    </row>
    <row r="231" spans="1:102">
      <c r="A231" s="151">
        <v>227</v>
      </c>
      <c r="B231" s="6">
        <v>0</v>
      </c>
      <c r="C231" s="10"/>
      <c r="D231" s="6">
        <v>0</v>
      </c>
      <c r="E231" s="141" t="s">
        <v>75</v>
      </c>
      <c r="F231" s="141" t="s">
        <v>75</v>
      </c>
      <c r="G231" s="141" t="s">
        <v>75</v>
      </c>
      <c r="H231" s="163" t="s">
        <v>72</v>
      </c>
      <c r="I231" s="141" t="s">
        <v>72</v>
      </c>
      <c r="J231" s="141" t="s">
        <v>72</v>
      </c>
      <c r="K231" s="141" t="s">
        <v>72</v>
      </c>
      <c r="L231" s="141" t="s">
        <v>72</v>
      </c>
      <c r="M231" s="141" t="s">
        <v>72</v>
      </c>
      <c r="N231" s="141" t="s">
        <v>72</v>
      </c>
      <c r="O231" s="141" t="s">
        <v>72</v>
      </c>
      <c r="P231" s="141" t="s">
        <v>72</v>
      </c>
      <c r="Q231" s="141" t="s">
        <v>72</v>
      </c>
      <c r="R231" s="141" t="s">
        <v>72</v>
      </c>
      <c r="S231" s="141" t="s">
        <v>72</v>
      </c>
      <c r="T231" s="141" t="s">
        <v>72</v>
      </c>
      <c r="U231" s="141" t="s">
        <v>72</v>
      </c>
      <c r="V231" s="6">
        <v>0</v>
      </c>
      <c r="W231" s="6"/>
      <c r="X231" s="35">
        <f t="shared" si="49"/>
        <v>0</v>
      </c>
      <c r="Y231" s="35">
        <v>0</v>
      </c>
      <c r="Z231" s="35"/>
      <c r="AA231" s="35">
        <f t="shared" si="50"/>
        <v>0</v>
      </c>
      <c r="AB231" s="6">
        <v>167</v>
      </c>
      <c r="AC231" s="6"/>
      <c r="AD231" s="35">
        <f t="shared" si="51"/>
        <v>167</v>
      </c>
      <c r="AE231" s="6">
        <v>408</v>
      </c>
      <c r="AF231" s="6"/>
      <c r="AG231" s="34">
        <f t="shared" si="52"/>
        <v>241</v>
      </c>
      <c r="AH231" s="35">
        <v>659</v>
      </c>
      <c r="AI231" s="35"/>
      <c r="AJ231" s="35">
        <f t="shared" si="53"/>
        <v>251</v>
      </c>
      <c r="AK231" s="6">
        <v>887</v>
      </c>
      <c r="AL231" s="6"/>
      <c r="AM231" s="35">
        <f t="shared" si="54"/>
        <v>228</v>
      </c>
      <c r="AN231" s="6"/>
      <c r="AO231" s="6"/>
      <c r="AP231" s="35"/>
      <c r="AQ231" s="35">
        <v>51</v>
      </c>
      <c r="AR231" s="35">
        <v>1100</v>
      </c>
      <c r="AS231" s="35">
        <f t="shared" si="55"/>
        <v>264</v>
      </c>
      <c r="AT231" s="35">
        <v>315</v>
      </c>
      <c r="AU231" s="6"/>
      <c r="AV231" s="35">
        <f t="shared" si="64"/>
        <v>264</v>
      </c>
      <c r="AW231" s="6">
        <v>579</v>
      </c>
      <c r="AX231" s="35"/>
      <c r="AY231" s="6">
        <f t="shared" si="56"/>
        <v>264</v>
      </c>
      <c r="AZ231" s="35">
        <v>650</v>
      </c>
      <c r="BA231" s="35"/>
      <c r="BB231" s="6">
        <f t="shared" si="57"/>
        <v>71</v>
      </c>
      <c r="BC231" s="35"/>
      <c r="BD231" s="35"/>
      <c r="BE231" s="6"/>
      <c r="BF231" s="35"/>
      <c r="BG231" s="35"/>
      <c r="BH231" s="35"/>
      <c r="BI231" s="35"/>
      <c r="BJ231" s="35"/>
      <c r="BK231" s="6"/>
      <c r="BL231" s="6"/>
      <c r="BM231" s="35"/>
      <c r="BN231" s="35"/>
      <c r="BO231" s="35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>
        <v>924</v>
      </c>
      <c r="CH231" s="6"/>
      <c r="CI231" s="6">
        <f t="shared" si="58"/>
        <v>274</v>
      </c>
      <c r="CJ231" s="6">
        <v>85</v>
      </c>
      <c r="CK231" s="6">
        <v>1100</v>
      </c>
      <c r="CL231" s="6">
        <f t="shared" si="59"/>
        <v>261</v>
      </c>
      <c r="CM231" s="6">
        <v>353</v>
      </c>
      <c r="CN231" s="6"/>
      <c r="CO231" s="6">
        <f t="shared" si="60"/>
        <v>268</v>
      </c>
      <c r="CP231" s="6">
        <v>619</v>
      </c>
      <c r="CQ231" s="6"/>
      <c r="CR231" s="6">
        <f t="shared" si="61"/>
        <v>266</v>
      </c>
      <c r="CS231" s="6">
        <v>881</v>
      </c>
      <c r="CT231" s="6"/>
      <c r="CU231" s="6">
        <f t="shared" si="62"/>
        <v>262</v>
      </c>
      <c r="CV231" s="6">
        <v>12</v>
      </c>
      <c r="CW231" s="10">
        <v>1100</v>
      </c>
      <c r="CX231" s="6">
        <f t="shared" si="63"/>
        <v>231</v>
      </c>
    </row>
    <row r="232" spans="1:102">
      <c r="A232" s="151">
        <v>228</v>
      </c>
      <c r="B232" s="6">
        <v>0</v>
      </c>
      <c r="C232" s="10"/>
      <c r="D232" s="6">
        <v>0</v>
      </c>
      <c r="E232" s="141" t="s">
        <v>72</v>
      </c>
      <c r="F232" s="141" t="s">
        <v>72</v>
      </c>
      <c r="G232" s="141" t="s">
        <v>72</v>
      </c>
      <c r="H232" s="163" t="s">
        <v>72</v>
      </c>
      <c r="I232" s="141" t="s">
        <v>72</v>
      </c>
      <c r="J232" s="141" t="s">
        <v>72</v>
      </c>
      <c r="K232" s="141" t="s">
        <v>72</v>
      </c>
      <c r="L232" s="141" t="s">
        <v>72</v>
      </c>
      <c r="M232" s="141" t="s">
        <v>72</v>
      </c>
      <c r="N232" s="141" t="s">
        <v>72</v>
      </c>
      <c r="O232" s="141" t="s">
        <v>72</v>
      </c>
      <c r="P232" s="141" t="s">
        <v>72</v>
      </c>
      <c r="Q232" s="141" t="s">
        <v>72</v>
      </c>
      <c r="R232" s="141" t="s">
        <v>72</v>
      </c>
      <c r="S232" s="141" t="s">
        <v>72</v>
      </c>
      <c r="T232" s="141" t="s">
        <v>72</v>
      </c>
      <c r="U232" s="141" t="s">
        <v>72</v>
      </c>
      <c r="V232" s="6">
        <v>0</v>
      </c>
      <c r="W232" s="6"/>
      <c r="X232" s="35">
        <f t="shared" si="49"/>
        <v>0</v>
      </c>
      <c r="Y232" s="35">
        <v>0</v>
      </c>
      <c r="Z232" s="35"/>
      <c r="AA232" s="35">
        <f t="shared" si="50"/>
        <v>0</v>
      </c>
      <c r="AB232" s="6">
        <v>229</v>
      </c>
      <c r="AC232" s="6"/>
      <c r="AD232" s="35">
        <f t="shared" si="51"/>
        <v>229</v>
      </c>
      <c r="AE232" s="6">
        <v>472</v>
      </c>
      <c r="AF232" s="6"/>
      <c r="AG232" s="34">
        <f t="shared" si="52"/>
        <v>243</v>
      </c>
      <c r="AH232" s="35">
        <v>230</v>
      </c>
      <c r="AI232" s="35">
        <v>494</v>
      </c>
      <c r="AJ232" s="35">
        <f t="shared" si="53"/>
        <v>252</v>
      </c>
      <c r="AK232" s="6">
        <v>462</v>
      </c>
      <c r="AL232" s="35"/>
      <c r="AM232" s="35">
        <f t="shared" si="54"/>
        <v>232</v>
      </c>
      <c r="AN232" s="6"/>
      <c r="AO232" s="6"/>
      <c r="AP232" s="35"/>
      <c r="AQ232" s="35">
        <v>726</v>
      </c>
      <c r="AR232" s="35"/>
      <c r="AS232" s="35">
        <f t="shared" si="55"/>
        <v>264</v>
      </c>
      <c r="AT232" s="35">
        <v>34</v>
      </c>
      <c r="AU232" s="6">
        <v>954</v>
      </c>
      <c r="AV232" s="35">
        <f t="shared" si="64"/>
        <v>262</v>
      </c>
      <c r="AW232" s="6">
        <v>295</v>
      </c>
      <c r="AX232" s="35"/>
      <c r="AY232" s="6">
        <f t="shared" si="56"/>
        <v>261</v>
      </c>
      <c r="AZ232" s="35">
        <v>364</v>
      </c>
      <c r="BA232" s="35"/>
      <c r="BB232" s="6">
        <f t="shared" si="57"/>
        <v>69</v>
      </c>
      <c r="BC232" s="35"/>
      <c r="BD232" s="35"/>
      <c r="BE232" s="6"/>
      <c r="BF232" s="35"/>
      <c r="BG232" s="35"/>
      <c r="BH232" s="35"/>
      <c r="BI232" s="35"/>
      <c r="BJ232" s="35"/>
      <c r="BK232" s="6"/>
      <c r="BL232" s="6"/>
      <c r="BM232" s="35"/>
      <c r="BN232" s="35"/>
      <c r="BO232" s="35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>
        <v>4</v>
      </c>
      <c r="CH232" s="6">
        <v>625</v>
      </c>
      <c r="CI232" s="6">
        <f t="shared" si="58"/>
        <v>265</v>
      </c>
      <c r="CJ232" s="6">
        <v>259</v>
      </c>
      <c r="CK232" s="6"/>
      <c r="CL232" s="6">
        <f t="shared" si="59"/>
        <v>255</v>
      </c>
      <c r="CM232" s="6">
        <v>524</v>
      </c>
      <c r="CN232" s="6"/>
      <c r="CO232" s="6">
        <f t="shared" si="60"/>
        <v>265</v>
      </c>
      <c r="CP232" s="6">
        <v>250</v>
      </c>
      <c r="CQ232" s="6">
        <v>536</v>
      </c>
      <c r="CR232" s="6">
        <f t="shared" si="61"/>
        <v>262</v>
      </c>
      <c r="CS232" s="6">
        <v>512</v>
      </c>
      <c r="CT232" s="6"/>
      <c r="CU232" s="6">
        <f t="shared" si="62"/>
        <v>262</v>
      </c>
      <c r="CV232" s="6">
        <v>7</v>
      </c>
      <c r="CW232" s="10">
        <v>727</v>
      </c>
      <c r="CX232" s="6">
        <f t="shared" si="63"/>
        <v>222</v>
      </c>
    </row>
    <row r="233" spans="1:102">
      <c r="A233" s="151">
        <v>229</v>
      </c>
      <c r="B233" s="6">
        <v>0</v>
      </c>
      <c r="C233" s="10"/>
      <c r="D233" s="6">
        <v>0</v>
      </c>
      <c r="E233" s="33" t="s">
        <v>72</v>
      </c>
      <c r="F233" s="33" t="s">
        <v>72</v>
      </c>
      <c r="G233" s="33" t="s">
        <v>72</v>
      </c>
      <c r="H233" s="148" t="s">
        <v>72</v>
      </c>
      <c r="I233" s="33" t="s">
        <v>72</v>
      </c>
      <c r="J233" s="33" t="s">
        <v>72</v>
      </c>
      <c r="K233" s="33" t="s">
        <v>72</v>
      </c>
      <c r="L233" s="33" t="s">
        <v>72</v>
      </c>
      <c r="M233" s="33" t="s">
        <v>72</v>
      </c>
      <c r="N233" s="33" t="s">
        <v>72</v>
      </c>
      <c r="O233" s="33" t="s">
        <v>72</v>
      </c>
      <c r="P233" s="33" t="s">
        <v>72</v>
      </c>
      <c r="Q233" s="33" t="s">
        <v>72</v>
      </c>
      <c r="R233" s="33" t="s">
        <v>72</v>
      </c>
      <c r="S233" s="33" t="s">
        <v>72</v>
      </c>
      <c r="T233" s="33" t="s">
        <v>72</v>
      </c>
      <c r="U233" s="33" t="s">
        <v>72</v>
      </c>
      <c r="V233" s="6">
        <v>0</v>
      </c>
      <c r="W233" s="6"/>
      <c r="X233" s="35">
        <f t="shared" si="49"/>
        <v>0</v>
      </c>
      <c r="Y233" s="35">
        <v>0</v>
      </c>
      <c r="Z233" s="35"/>
      <c r="AA233" s="35">
        <f t="shared" si="50"/>
        <v>0</v>
      </c>
      <c r="AB233" s="6">
        <v>221</v>
      </c>
      <c r="AC233" s="6"/>
      <c r="AD233" s="35">
        <f t="shared" si="51"/>
        <v>221</v>
      </c>
      <c r="AE233" s="6">
        <v>460</v>
      </c>
      <c r="AF233" s="6"/>
      <c r="AG233" s="34">
        <f t="shared" si="52"/>
        <v>239</v>
      </c>
      <c r="AH233" s="35">
        <v>90</v>
      </c>
      <c r="AI233" s="35">
        <v>608</v>
      </c>
      <c r="AJ233" s="35">
        <f t="shared" si="53"/>
        <v>238</v>
      </c>
      <c r="AK233" s="6">
        <v>2</v>
      </c>
      <c r="AL233" s="6">
        <v>307</v>
      </c>
      <c r="AM233" s="35">
        <f t="shared" si="54"/>
        <v>219</v>
      </c>
      <c r="AN233" s="6"/>
      <c r="AO233" s="6"/>
      <c r="AP233" s="35"/>
      <c r="AQ233" s="35">
        <v>262</v>
      </c>
      <c r="AR233" s="35"/>
      <c r="AS233" s="35">
        <f t="shared" si="55"/>
        <v>260</v>
      </c>
      <c r="AT233" s="35">
        <v>62</v>
      </c>
      <c r="AU233" s="6">
        <v>454</v>
      </c>
      <c r="AV233" s="35">
        <f t="shared" si="64"/>
        <v>254</v>
      </c>
      <c r="AW233" s="6">
        <v>307</v>
      </c>
      <c r="AX233" s="35"/>
      <c r="AY233" s="6">
        <f t="shared" si="56"/>
        <v>245</v>
      </c>
      <c r="AZ233" s="35">
        <v>375</v>
      </c>
      <c r="BA233" s="35"/>
      <c r="BB233" s="6">
        <f t="shared" si="57"/>
        <v>68</v>
      </c>
      <c r="BC233" s="35"/>
      <c r="BD233" s="35"/>
      <c r="BE233" s="6"/>
      <c r="BF233" s="35"/>
      <c r="BG233" s="35"/>
      <c r="BH233" s="35"/>
      <c r="BI233" s="35"/>
      <c r="BJ233" s="35"/>
      <c r="BK233" s="6"/>
      <c r="BL233" s="6"/>
      <c r="BM233" s="35"/>
      <c r="BN233" s="35"/>
      <c r="BO233" s="35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>
        <v>638</v>
      </c>
      <c r="CH233" s="6"/>
      <c r="CI233" s="6">
        <f t="shared" si="58"/>
        <v>263</v>
      </c>
      <c r="CJ233" s="6">
        <v>880</v>
      </c>
      <c r="CK233" s="6"/>
      <c r="CL233" s="6">
        <f t="shared" si="59"/>
        <v>242</v>
      </c>
      <c r="CM233" s="6">
        <v>37</v>
      </c>
      <c r="CN233" s="6">
        <v>1100</v>
      </c>
      <c r="CO233" s="6">
        <f t="shared" si="60"/>
        <v>257</v>
      </c>
      <c r="CP233" s="6">
        <v>278</v>
      </c>
      <c r="CQ233" s="6"/>
      <c r="CR233" s="6">
        <f t="shared" si="61"/>
        <v>241</v>
      </c>
      <c r="CS233" s="6">
        <v>510</v>
      </c>
      <c r="CT233" s="6"/>
      <c r="CU233" s="6">
        <f t="shared" si="62"/>
        <v>232</v>
      </c>
      <c r="CV233" s="6">
        <v>734</v>
      </c>
      <c r="CW233" s="10"/>
      <c r="CX233" s="6">
        <f t="shared" si="63"/>
        <v>224</v>
      </c>
    </row>
    <row r="234" spans="1:102">
      <c r="A234" s="151">
        <v>230</v>
      </c>
      <c r="B234" s="6">
        <v>699</v>
      </c>
      <c r="C234" s="10"/>
      <c r="D234" s="6">
        <v>0</v>
      </c>
      <c r="E234" s="141" t="s">
        <v>72</v>
      </c>
      <c r="F234" s="141" t="s">
        <v>72</v>
      </c>
      <c r="G234" s="141" t="s">
        <v>72</v>
      </c>
      <c r="H234" s="163" t="s">
        <v>72</v>
      </c>
      <c r="I234" s="141" t="s">
        <v>72</v>
      </c>
      <c r="J234" s="141" t="s">
        <v>72</v>
      </c>
      <c r="K234" s="141" t="s">
        <v>72</v>
      </c>
      <c r="L234" s="141" t="s">
        <v>72</v>
      </c>
      <c r="M234" s="141" t="s">
        <v>72</v>
      </c>
      <c r="N234" s="141" t="s">
        <v>72</v>
      </c>
      <c r="O234" s="141" t="s">
        <v>72</v>
      </c>
      <c r="P234" s="141" t="s">
        <v>72</v>
      </c>
      <c r="Q234" s="141" t="s">
        <v>72</v>
      </c>
      <c r="R234" s="141" t="s">
        <v>72</v>
      </c>
      <c r="S234" s="141" t="s">
        <v>72</v>
      </c>
      <c r="T234" s="141" t="s">
        <v>72</v>
      </c>
      <c r="U234" s="141" t="s">
        <v>72</v>
      </c>
      <c r="V234" s="6">
        <v>699</v>
      </c>
      <c r="W234" s="6"/>
      <c r="X234" s="35">
        <f t="shared" si="49"/>
        <v>0</v>
      </c>
      <c r="Y234" s="35">
        <v>0</v>
      </c>
      <c r="Z234" s="35">
        <v>699</v>
      </c>
      <c r="AA234" s="35">
        <f t="shared" si="50"/>
        <v>0</v>
      </c>
      <c r="AB234" s="6">
        <v>223</v>
      </c>
      <c r="AC234" s="6"/>
      <c r="AD234" s="35">
        <f t="shared" si="51"/>
        <v>223</v>
      </c>
      <c r="AE234" s="6">
        <v>11</v>
      </c>
      <c r="AF234" s="6">
        <v>455</v>
      </c>
      <c r="AG234" s="34">
        <f t="shared" si="52"/>
        <v>243</v>
      </c>
      <c r="AH234" s="35">
        <v>251</v>
      </c>
      <c r="AI234" s="35"/>
      <c r="AJ234" s="35">
        <f t="shared" si="53"/>
        <v>240</v>
      </c>
      <c r="AK234" s="6">
        <v>476</v>
      </c>
      <c r="AL234" s="6"/>
      <c r="AM234" s="35">
        <f t="shared" si="54"/>
        <v>225</v>
      </c>
      <c r="AN234" s="6"/>
      <c r="AO234" s="6"/>
      <c r="AP234" s="35"/>
      <c r="AQ234" s="35">
        <v>742</v>
      </c>
      <c r="AR234" s="35"/>
      <c r="AS234" s="35">
        <f t="shared" si="55"/>
        <v>266</v>
      </c>
      <c r="AT234" s="35">
        <v>1005</v>
      </c>
      <c r="AU234" s="6"/>
      <c r="AV234" s="35">
        <f t="shared" si="64"/>
        <v>263</v>
      </c>
      <c r="AW234" s="6">
        <v>165</v>
      </c>
      <c r="AX234" s="35">
        <v>1100</v>
      </c>
      <c r="AY234" s="6">
        <f t="shared" si="56"/>
        <v>260</v>
      </c>
      <c r="AZ234" s="35">
        <v>237</v>
      </c>
      <c r="BA234" s="35"/>
      <c r="BB234" s="6">
        <f t="shared" si="57"/>
        <v>72</v>
      </c>
      <c r="BC234" s="35"/>
      <c r="BD234" s="35"/>
      <c r="BE234" s="6"/>
      <c r="BF234" s="35"/>
      <c r="BG234" s="35"/>
      <c r="BH234" s="35"/>
      <c r="BI234" s="35"/>
      <c r="BJ234" s="35"/>
      <c r="BK234" s="6"/>
      <c r="BL234" s="6"/>
      <c r="BM234" s="35"/>
      <c r="BN234" s="35"/>
      <c r="BO234" s="35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>
        <v>512</v>
      </c>
      <c r="CH234" s="6"/>
      <c r="CI234" s="6">
        <f t="shared" si="58"/>
        <v>275</v>
      </c>
      <c r="CJ234" s="6">
        <v>777</v>
      </c>
      <c r="CK234" s="6"/>
      <c r="CL234" s="6">
        <f t="shared" si="59"/>
        <v>265</v>
      </c>
      <c r="CM234" s="6">
        <v>1046</v>
      </c>
      <c r="CN234" s="6"/>
      <c r="CO234" s="6">
        <f t="shared" si="60"/>
        <v>269</v>
      </c>
      <c r="CP234" s="6">
        <v>212</v>
      </c>
      <c r="CQ234" s="6">
        <v>1100</v>
      </c>
      <c r="CR234" s="6">
        <f t="shared" si="61"/>
        <v>266</v>
      </c>
      <c r="CS234" s="6">
        <v>473</v>
      </c>
      <c r="CT234" s="6"/>
      <c r="CU234" s="6">
        <f t="shared" si="62"/>
        <v>261</v>
      </c>
      <c r="CV234" s="6">
        <v>708</v>
      </c>
      <c r="CW234" s="10"/>
      <c r="CX234" s="6">
        <f t="shared" si="63"/>
        <v>235</v>
      </c>
    </row>
    <row r="235" spans="1:102">
      <c r="A235" s="151">
        <v>231</v>
      </c>
      <c r="B235" s="6">
        <v>0</v>
      </c>
      <c r="C235" s="10"/>
      <c r="D235" s="6">
        <v>0</v>
      </c>
      <c r="E235" s="33" t="s">
        <v>79</v>
      </c>
      <c r="F235" s="33" t="s">
        <v>79</v>
      </c>
      <c r="G235" s="33" t="s">
        <v>79</v>
      </c>
      <c r="H235" s="163" t="s">
        <v>72</v>
      </c>
      <c r="I235" s="141" t="s">
        <v>72</v>
      </c>
      <c r="J235" s="141" t="s">
        <v>72</v>
      </c>
      <c r="K235" s="141" t="s">
        <v>72</v>
      </c>
      <c r="L235" s="141" t="s">
        <v>72</v>
      </c>
      <c r="M235" s="141" t="s">
        <v>72</v>
      </c>
      <c r="N235" s="141" t="s">
        <v>72</v>
      </c>
      <c r="O235" s="141" t="s">
        <v>72</v>
      </c>
      <c r="P235" s="141" t="s">
        <v>72</v>
      </c>
      <c r="Q235" s="141" t="s">
        <v>72</v>
      </c>
      <c r="R235" s="141" t="s">
        <v>72</v>
      </c>
      <c r="S235" s="141" t="s">
        <v>72</v>
      </c>
      <c r="T235" s="141" t="s">
        <v>72</v>
      </c>
      <c r="U235" s="141" t="s">
        <v>72</v>
      </c>
      <c r="V235" s="6">
        <v>0</v>
      </c>
      <c r="W235" s="6"/>
      <c r="X235" s="35">
        <f t="shared" si="49"/>
        <v>0</v>
      </c>
      <c r="Y235" s="35">
        <v>0</v>
      </c>
      <c r="Z235" s="35"/>
      <c r="AA235" s="35">
        <f t="shared" si="50"/>
        <v>0</v>
      </c>
      <c r="AB235" s="6">
        <v>220</v>
      </c>
      <c r="AC235" s="6"/>
      <c r="AD235" s="35">
        <f t="shared" si="51"/>
        <v>220</v>
      </c>
      <c r="AE235" s="6">
        <v>463</v>
      </c>
      <c r="AF235" s="6"/>
      <c r="AG235" s="34">
        <f t="shared" si="52"/>
        <v>243</v>
      </c>
      <c r="AH235" s="35">
        <v>716</v>
      </c>
      <c r="AI235" s="35"/>
      <c r="AJ235" s="35">
        <f t="shared" si="53"/>
        <v>253</v>
      </c>
      <c r="AK235" s="6">
        <v>98</v>
      </c>
      <c r="AL235" s="6">
        <v>846</v>
      </c>
      <c r="AM235" s="35">
        <f t="shared" si="54"/>
        <v>228</v>
      </c>
      <c r="AN235" s="6"/>
      <c r="AO235" s="6"/>
      <c r="AP235" s="35"/>
      <c r="AQ235" s="35">
        <v>362</v>
      </c>
      <c r="AR235" s="35"/>
      <c r="AS235" s="35">
        <f t="shared" si="55"/>
        <v>264</v>
      </c>
      <c r="AT235" s="35">
        <v>623</v>
      </c>
      <c r="AU235" s="6"/>
      <c r="AV235" s="35">
        <f t="shared" si="64"/>
        <v>261</v>
      </c>
      <c r="AW235" s="6">
        <v>885</v>
      </c>
      <c r="AX235" s="35"/>
      <c r="AY235" s="6">
        <f t="shared" si="56"/>
        <v>262</v>
      </c>
      <c r="AZ235" s="35">
        <v>956</v>
      </c>
      <c r="BA235" s="35"/>
      <c r="BB235" s="6">
        <f t="shared" si="57"/>
        <v>71</v>
      </c>
      <c r="BC235" s="35"/>
      <c r="BD235" s="35"/>
      <c r="BE235" s="6"/>
      <c r="BF235" s="35"/>
      <c r="BG235" s="35"/>
      <c r="BH235" s="35"/>
      <c r="BI235" s="35"/>
      <c r="BJ235" s="35"/>
      <c r="BK235" s="6"/>
      <c r="BL235" s="6"/>
      <c r="BM235" s="35"/>
      <c r="BN235" s="35"/>
      <c r="BO235" s="35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>
        <v>101</v>
      </c>
      <c r="CH235" s="6">
        <v>1100</v>
      </c>
      <c r="CI235" s="6">
        <f t="shared" si="58"/>
        <v>245</v>
      </c>
      <c r="CJ235" s="6">
        <v>351</v>
      </c>
      <c r="CK235" s="6"/>
      <c r="CL235" s="6">
        <f t="shared" si="59"/>
        <v>250</v>
      </c>
      <c r="CM235" s="6">
        <v>617</v>
      </c>
      <c r="CN235" s="6"/>
      <c r="CO235" s="6">
        <f t="shared" si="60"/>
        <v>266</v>
      </c>
      <c r="CP235" s="6">
        <v>880</v>
      </c>
      <c r="CQ235" s="6"/>
      <c r="CR235" s="6">
        <f t="shared" si="61"/>
        <v>263</v>
      </c>
      <c r="CS235" s="6">
        <v>39</v>
      </c>
      <c r="CT235" s="6">
        <v>1100</v>
      </c>
      <c r="CU235" s="6">
        <f t="shared" si="62"/>
        <v>259</v>
      </c>
      <c r="CV235" s="6">
        <v>267</v>
      </c>
      <c r="CW235" s="10"/>
      <c r="CX235" s="6">
        <f t="shared" si="63"/>
        <v>228</v>
      </c>
    </row>
    <row r="236" spans="1:102">
      <c r="A236" s="151">
        <v>232</v>
      </c>
      <c r="B236" s="6">
        <v>0</v>
      </c>
      <c r="C236" s="10"/>
      <c r="D236" s="6">
        <v>0</v>
      </c>
      <c r="E236" s="33" t="s">
        <v>72</v>
      </c>
      <c r="F236" s="33" t="s">
        <v>72</v>
      </c>
      <c r="G236" s="33" t="s">
        <v>72</v>
      </c>
      <c r="H236" s="148" t="s">
        <v>72</v>
      </c>
      <c r="I236" s="33" t="s">
        <v>72</v>
      </c>
      <c r="J236" s="33" t="s">
        <v>72</v>
      </c>
      <c r="K236" s="33" t="s">
        <v>72</v>
      </c>
      <c r="L236" s="33" t="s">
        <v>72</v>
      </c>
      <c r="M236" s="33" t="s">
        <v>72</v>
      </c>
      <c r="N236" s="33" t="s">
        <v>72</v>
      </c>
      <c r="O236" s="33" t="s">
        <v>72</v>
      </c>
      <c r="P236" s="33" t="s">
        <v>72</v>
      </c>
      <c r="Q236" s="33" t="s">
        <v>72</v>
      </c>
      <c r="R236" s="33" t="s">
        <v>72</v>
      </c>
      <c r="S236" s="33" t="s">
        <v>72</v>
      </c>
      <c r="T236" s="33" t="s">
        <v>72</v>
      </c>
      <c r="U236" s="33" t="s">
        <v>72</v>
      </c>
      <c r="V236" s="6">
        <v>0</v>
      </c>
      <c r="W236" s="6"/>
      <c r="X236" s="35">
        <f t="shared" si="49"/>
        <v>0</v>
      </c>
      <c r="Y236" s="35">
        <v>0</v>
      </c>
      <c r="Z236" s="35"/>
      <c r="AA236" s="35">
        <f t="shared" si="50"/>
        <v>0</v>
      </c>
      <c r="AB236" s="6">
        <v>185</v>
      </c>
      <c r="AC236" s="6"/>
      <c r="AD236" s="35">
        <f t="shared" si="51"/>
        <v>185</v>
      </c>
      <c r="AE236" s="6">
        <v>424</v>
      </c>
      <c r="AF236" s="6"/>
      <c r="AG236" s="34">
        <f t="shared" si="52"/>
        <v>239</v>
      </c>
      <c r="AH236" s="35">
        <v>8</v>
      </c>
      <c r="AI236" s="35">
        <v>655</v>
      </c>
      <c r="AJ236" s="35">
        <f t="shared" si="53"/>
        <v>239</v>
      </c>
      <c r="AK236" s="6">
        <v>233</v>
      </c>
      <c r="AL236" s="35"/>
      <c r="AM236" s="35">
        <f t="shared" si="54"/>
        <v>225</v>
      </c>
      <c r="AN236" s="6"/>
      <c r="AO236" s="6"/>
      <c r="AP236" s="35"/>
      <c r="AQ236" s="35">
        <v>91</v>
      </c>
      <c r="AR236" s="35">
        <v>402</v>
      </c>
      <c r="AS236" s="35">
        <f t="shared" si="55"/>
        <v>260</v>
      </c>
      <c r="AT236" s="35">
        <v>348</v>
      </c>
      <c r="AU236" s="6"/>
      <c r="AV236" s="35">
        <f t="shared" si="64"/>
        <v>257</v>
      </c>
      <c r="AW236" s="6">
        <v>90</v>
      </c>
      <c r="AX236" s="35">
        <v>517</v>
      </c>
      <c r="AY236" s="6">
        <f t="shared" si="56"/>
        <v>259</v>
      </c>
      <c r="AZ236" s="35">
        <v>158</v>
      </c>
      <c r="BA236" s="35"/>
      <c r="BB236" s="6">
        <f t="shared" si="57"/>
        <v>68</v>
      </c>
      <c r="BC236" s="35"/>
      <c r="BD236" s="35"/>
      <c r="BE236" s="6"/>
      <c r="BF236" s="35"/>
      <c r="BG236" s="35"/>
      <c r="BH236" s="35"/>
      <c r="BI236" s="35"/>
      <c r="BJ236" s="35"/>
      <c r="BK236" s="6"/>
      <c r="BL236" s="6"/>
      <c r="BM236" s="35"/>
      <c r="BN236" s="35"/>
      <c r="BO236" s="35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>
        <v>431</v>
      </c>
      <c r="CH236" s="6"/>
      <c r="CI236" s="6">
        <f t="shared" si="58"/>
        <v>273</v>
      </c>
      <c r="CJ236" s="6">
        <v>689</v>
      </c>
      <c r="CK236" s="6"/>
      <c r="CL236" s="6">
        <f t="shared" si="59"/>
        <v>258</v>
      </c>
      <c r="CM236" s="6">
        <v>959</v>
      </c>
      <c r="CN236" s="6"/>
      <c r="CO236" s="6">
        <f t="shared" si="60"/>
        <v>270</v>
      </c>
      <c r="CP236" s="6">
        <v>199</v>
      </c>
      <c r="CQ236" s="6">
        <v>1020</v>
      </c>
      <c r="CR236" s="6">
        <f t="shared" si="61"/>
        <v>260</v>
      </c>
      <c r="CS236" s="6">
        <v>461</v>
      </c>
      <c r="CT236" s="6"/>
      <c r="CU236" s="6">
        <f t="shared" si="62"/>
        <v>262</v>
      </c>
      <c r="CV236" s="6">
        <v>693</v>
      </c>
      <c r="CW236" s="10"/>
      <c r="CX236" s="6">
        <f t="shared" si="63"/>
        <v>232</v>
      </c>
    </row>
    <row r="237" spans="1:102">
      <c r="A237" s="151">
        <v>233</v>
      </c>
      <c r="B237" s="6">
        <v>213</v>
      </c>
      <c r="C237" s="10"/>
      <c r="D237" s="6">
        <v>213</v>
      </c>
      <c r="E237" s="163" t="s">
        <v>79</v>
      </c>
      <c r="F237" s="141" t="s">
        <v>79</v>
      </c>
      <c r="G237" s="141" t="s">
        <v>79</v>
      </c>
      <c r="H237" s="141" t="s">
        <v>79</v>
      </c>
      <c r="I237" s="141" t="s">
        <v>79</v>
      </c>
      <c r="J237" s="141" t="s">
        <v>79</v>
      </c>
      <c r="K237" s="141" t="s">
        <v>79</v>
      </c>
      <c r="L237" s="141" t="s">
        <v>79</v>
      </c>
      <c r="M237" s="141" t="s">
        <v>79</v>
      </c>
      <c r="N237" s="141" t="s">
        <v>79</v>
      </c>
      <c r="O237" s="141" t="s">
        <v>79</v>
      </c>
      <c r="P237" s="141" t="s">
        <v>79</v>
      </c>
      <c r="Q237" s="141" t="s">
        <v>79</v>
      </c>
      <c r="R237" s="141" t="s">
        <v>79</v>
      </c>
      <c r="S237" s="141" t="s">
        <v>79</v>
      </c>
      <c r="T237" s="141" t="s">
        <v>79</v>
      </c>
      <c r="U237" s="141" t="s">
        <v>79</v>
      </c>
      <c r="V237" s="6">
        <v>468</v>
      </c>
      <c r="W237" s="6"/>
      <c r="X237" s="35">
        <f t="shared" si="49"/>
        <v>255</v>
      </c>
      <c r="Y237" s="35">
        <v>707</v>
      </c>
      <c r="Z237" s="35"/>
      <c r="AA237" s="35">
        <f t="shared" si="50"/>
        <v>239</v>
      </c>
      <c r="AB237" s="6">
        <v>150</v>
      </c>
      <c r="AC237" s="6">
        <v>800</v>
      </c>
      <c r="AD237" s="35">
        <f t="shared" si="51"/>
        <v>243</v>
      </c>
      <c r="AE237" s="6">
        <v>392</v>
      </c>
      <c r="AF237" s="6"/>
      <c r="AG237" s="34">
        <f t="shared" si="52"/>
        <v>242</v>
      </c>
      <c r="AH237" s="35">
        <v>635</v>
      </c>
      <c r="AI237" s="35"/>
      <c r="AJ237" s="35">
        <f t="shared" si="53"/>
        <v>243</v>
      </c>
      <c r="AK237" s="6">
        <v>65</v>
      </c>
      <c r="AL237" s="6">
        <v>800</v>
      </c>
      <c r="AM237" s="35">
        <f t="shared" si="54"/>
        <v>230</v>
      </c>
      <c r="AN237" s="6"/>
      <c r="AO237" s="6"/>
      <c r="AP237" s="35"/>
      <c r="AQ237" s="35">
        <v>330</v>
      </c>
      <c r="AR237" s="35"/>
      <c r="AS237" s="35">
        <f t="shared" si="55"/>
        <v>265</v>
      </c>
      <c r="AT237" s="35">
        <v>592</v>
      </c>
      <c r="AU237" s="6"/>
      <c r="AV237" s="35">
        <f t="shared" si="64"/>
        <v>262</v>
      </c>
      <c r="AW237" s="6">
        <v>51</v>
      </c>
      <c r="AX237" s="35">
        <v>800</v>
      </c>
      <c r="AY237" s="6">
        <f t="shared" si="56"/>
        <v>259</v>
      </c>
      <c r="AZ237" s="35">
        <v>106</v>
      </c>
      <c r="BA237" s="35"/>
      <c r="BB237" s="6">
        <f t="shared" si="57"/>
        <v>55</v>
      </c>
      <c r="BC237" s="35"/>
      <c r="BD237" s="35"/>
      <c r="BE237" s="6"/>
      <c r="BF237" s="35"/>
      <c r="BG237" s="35"/>
      <c r="BH237" s="35"/>
      <c r="BI237" s="35"/>
      <c r="BJ237" s="35"/>
      <c r="BK237" s="6"/>
      <c r="BL237" s="6"/>
      <c r="BM237" s="35"/>
      <c r="BN237" s="35"/>
      <c r="BO237" s="35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>
        <v>368</v>
      </c>
      <c r="CH237" s="6"/>
      <c r="CI237" s="6">
        <f t="shared" si="58"/>
        <v>262</v>
      </c>
      <c r="CJ237" s="6">
        <v>627</v>
      </c>
      <c r="CK237" s="6"/>
      <c r="CL237" s="6">
        <f t="shared" si="59"/>
        <v>259</v>
      </c>
      <c r="CM237" s="6">
        <v>90</v>
      </c>
      <c r="CN237" s="6">
        <v>800</v>
      </c>
      <c r="CO237" s="6">
        <f t="shared" si="60"/>
        <v>263</v>
      </c>
      <c r="CP237" s="6">
        <v>352</v>
      </c>
      <c r="CQ237" s="6"/>
      <c r="CR237" s="6">
        <f t="shared" si="61"/>
        <v>262</v>
      </c>
      <c r="CS237" s="6">
        <v>608</v>
      </c>
      <c r="CT237" s="6"/>
      <c r="CU237" s="6">
        <f t="shared" si="62"/>
        <v>256</v>
      </c>
      <c r="CV237" s="6">
        <v>45</v>
      </c>
      <c r="CW237" s="10">
        <v>800</v>
      </c>
      <c r="CX237" s="6">
        <f t="shared" si="63"/>
        <v>237</v>
      </c>
    </row>
    <row r="238" spans="1:102">
      <c r="A238" s="151">
        <v>234</v>
      </c>
      <c r="B238" s="6">
        <v>0</v>
      </c>
      <c r="C238" s="10"/>
      <c r="D238" s="6">
        <v>0</v>
      </c>
      <c r="E238" s="33" t="s">
        <v>72</v>
      </c>
      <c r="F238" s="33" t="s">
        <v>72</v>
      </c>
      <c r="G238" s="33" t="s">
        <v>72</v>
      </c>
      <c r="H238" s="148" t="s">
        <v>72</v>
      </c>
      <c r="I238" s="33" t="s">
        <v>72</v>
      </c>
      <c r="J238" s="148" t="s">
        <v>79</v>
      </c>
      <c r="K238" s="33" t="s">
        <v>79</v>
      </c>
      <c r="L238" s="33" t="s">
        <v>79</v>
      </c>
      <c r="M238" s="33" t="s">
        <v>79</v>
      </c>
      <c r="N238" s="33" t="s">
        <v>79</v>
      </c>
      <c r="O238" s="33" t="s">
        <v>79</v>
      </c>
      <c r="P238" s="33" t="s">
        <v>79</v>
      </c>
      <c r="Q238" s="33" t="s">
        <v>79</v>
      </c>
      <c r="R238" s="33" t="s">
        <v>79</v>
      </c>
      <c r="S238" s="33" t="s">
        <v>79</v>
      </c>
      <c r="T238" s="33" t="s">
        <v>79</v>
      </c>
      <c r="U238" s="33" t="s">
        <v>79</v>
      </c>
      <c r="V238" s="6">
        <v>0</v>
      </c>
      <c r="W238" s="6"/>
      <c r="X238" s="35">
        <f t="shared" si="49"/>
        <v>0</v>
      </c>
      <c r="Y238" s="35">
        <v>0</v>
      </c>
      <c r="Z238" s="35"/>
      <c r="AA238" s="35">
        <f t="shared" si="50"/>
        <v>0</v>
      </c>
      <c r="AB238" s="6">
        <v>177</v>
      </c>
      <c r="AC238" s="6"/>
      <c r="AD238" s="35">
        <f t="shared" si="51"/>
        <v>177</v>
      </c>
      <c r="AE238" s="6">
        <v>0</v>
      </c>
      <c r="AF238" s="6">
        <v>360</v>
      </c>
      <c r="AG238" s="34">
        <f t="shared" si="52"/>
        <v>183</v>
      </c>
      <c r="AH238" s="35">
        <v>238</v>
      </c>
      <c r="AI238" s="35"/>
      <c r="AJ238" s="35">
        <f t="shared" si="53"/>
        <v>238</v>
      </c>
      <c r="AK238" s="35">
        <v>467</v>
      </c>
      <c r="AL238" s="6"/>
      <c r="AM238" s="35">
        <f t="shared" si="54"/>
        <v>229</v>
      </c>
      <c r="AN238" s="6"/>
      <c r="AO238" s="6"/>
      <c r="AP238" s="35"/>
      <c r="AQ238" s="35">
        <v>727</v>
      </c>
      <c r="AR238" s="35"/>
      <c r="AS238" s="35">
        <f t="shared" si="55"/>
        <v>260</v>
      </c>
      <c r="AT238" s="35">
        <v>19</v>
      </c>
      <c r="AU238" s="6">
        <v>966</v>
      </c>
      <c r="AV238" s="35">
        <f t="shared" si="64"/>
        <v>258</v>
      </c>
      <c r="AW238" s="6">
        <v>277</v>
      </c>
      <c r="AX238" s="35"/>
      <c r="AY238" s="6">
        <f t="shared" si="56"/>
        <v>258</v>
      </c>
      <c r="AZ238" s="35">
        <v>346</v>
      </c>
      <c r="BA238" s="35"/>
      <c r="BB238" s="6">
        <f t="shared" si="57"/>
        <v>69</v>
      </c>
      <c r="BC238" s="35"/>
      <c r="BD238" s="35"/>
      <c r="BE238" s="6"/>
      <c r="BF238" s="35"/>
      <c r="BG238" s="35"/>
      <c r="BH238" s="35"/>
      <c r="BI238" s="35"/>
      <c r="BJ238" s="35"/>
      <c r="BK238" s="6"/>
      <c r="BL238" s="6"/>
      <c r="BM238" s="35"/>
      <c r="BN238" s="35"/>
      <c r="BO238" s="35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>
        <v>607</v>
      </c>
      <c r="CH238" s="6"/>
      <c r="CI238" s="6">
        <f t="shared" si="58"/>
        <v>261</v>
      </c>
      <c r="CJ238" s="6">
        <v>60</v>
      </c>
      <c r="CK238" s="6">
        <v>800</v>
      </c>
      <c r="CL238" s="6">
        <f t="shared" si="59"/>
        <v>253</v>
      </c>
      <c r="CM238" s="6">
        <v>320</v>
      </c>
      <c r="CN238" s="6"/>
      <c r="CO238" s="6">
        <f t="shared" si="60"/>
        <v>260</v>
      </c>
      <c r="CP238" s="6">
        <v>575</v>
      </c>
      <c r="CQ238" s="6"/>
      <c r="CR238" s="6">
        <f t="shared" si="61"/>
        <v>255</v>
      </c>
      <c r="CS238" s="6">
        <v>29</v>
      </c>
      <c r="CT238" s="6">
        <v>800</v>
      </c>
      <c r="CU238" s="6">
        <f t="shared" si="62"/>
        <v>254</v>
      </c>
      <c r="CV238" s="6">
        <v>259</v>
      </c>
      <c r="CW238" s="10"/>
      <c r="CX238" s="6">
        <f t="shared" si="63"/>
        <v>230</v>
      </c>
    </row>
    <row r="239" spans="1:102">
      <c r="A239" s="151">
        <v>235</v>
      </c>
      <c r="B239" s="6">
        <v>33</v>
      </c>
      <c r="C239" s="10">
        <v>800</v>
      </c>
      <c r="D239" s="6">
        <v>212</v>
      </c>
      <c r="E239" s="141" t="s">
        <v>79</v>
      </c>
      <c r="F239" s="141" t="s">
        <v>79</v>
      </c>
      <c r="G239" s="141" t="s">
        <v>79</v>
      </c>
      <c r="H239" s="141" t="s">
        <v>79</v>
      </c>
      <c r="I239" s="141" t="s">
        <v>79</v>
      </c>
      <c r="J239" s="141" t="s">
        <v>79</v>
      </c>
      <c r="K239" s="141" t="s">
        <v>79</v>
      </c>
      <c r="L239" s="141" t="s">
        <v>79</v>
      </c>
      <c r="M239" s="141" t="s">
        <v>79</v>
      </c>
      <c r="N239" s="141" t="s">
        <v>79</v>
      </c>
      <c r="O239" s="141" t="s">
        <v>79</v>
      </c>
      <c r="P239" s="141" t="s">
        <v>79</v>
      </c>
      <c r="Q239" s="141" t="s">
        <v>79</v>
      </c>
      <c r="R239" s="141" t="s">
        <v>79</v>
      </c>
      <c r="S239" s="141" t="s">
        <v>79</v>
      </c>
      <c r="T239" s="141" t="s">
        <v>79</v>
      </c>
      <c r="U239" s="141" t="s">
        <v>79</v>
      </c>
      <c r="V239" s="6">
        <v>286</v>
      </c>
      <c r="W239" s="6"/>
      <c r="X239" s="35">
        <f t="shared" si="49"/>
        <v>253</v>
      </c>
      <c r="Y239" s="35">
        <v>521</v>
      </c>
      <c r="Z239" s="35"/>
      <c r="AA239" s="35">
        <f t="shared" si="50"/>
        <v>235</v>
      </c>
      <c r="AB239" s="6">
        <v>759</v>
      </c>
      <c r="AC239" s="6"/>
      <c r="AD239" s="35">
        <f t="shared" si="51"/>
        <v>238</v>
      </c>
      <c r="AE239" s="6">
        <v>201</v>
      </c>
      <c r="AF239" s="6">
        <v>800</v>
      </c>
      <c r="AG239" s="34">
        <f t="shared" si="52"/>
        <v>242</v>
      </c>
      <c r="AH239" s="35">
        <v>446</v>
      </c>
      <c r="AI239" s="35"/>
      <c r="AJ239" s="35">
        <f t="shared" si="53"/>
        <v>245</v>
      </c>
      <c r="AK239" s="6">
        <v>676</v>
      </c>
      <c r="AL239" s="6"/>
      <c r="AM239" s="35">
        <f t="shared" si="54"/>
        <v>230</v>
      </c>
      <c r="AN239" s="6"/>
      <c r="AO239" s="6"/>
      <c r="AP239" s="35"/>
      <c r="AQ239" s="35">
        <v>134</v>
      </c>
      <c r="AR239" s="35">
        <v>800</v>
      </c>
      <c r="AS239" s="35">
        <f t="shared" si="55"/>
        <v>258</v>
      </c>
      <c r="AT239" s="35">
        <v>384</v>
      </c>
      <c r="AU239" s="6"/>
      <c r="AV239" s="35">
        <f t="shared" si="64"/>
        <v>250</v>
      </c>
      <c r="AW239" s="6">
        <v>642</v>
      </c>
      <c r="AX239" s="6"/>
      <c r="AY239" s="6">
        <f t="shared" si="56"/>
        <v>258</v>
      </c>
      <c r="AZ239" s="6">
        <v>710</v>
      </c>
      <c r="BA239" s="6"/>
      <c r="BB239" s="6">
        <f t="shared" si="57"/>
        <v>68</v>
      </c>
      <c r="BC239" s="35"/>
      <c r="BD239" s="35"/>
      <c r="BE239" s="6"/>
      <c r="BF239" s="35"/>
      <c r="BG239" s="35"/>
      <c r="BH239" s="35"/>
      <c r="BI239" s="35"/>
      <c r="BJ239" s="35"/>
      <c r="BK239" s="6"/>
      <c r="BL239" s="35"/>
      <c r="BM239" s="35"/>
      <c r="BN239" s="35"/>
      <c r="BO239" s="35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>
        <v>152</v>
      </c>
      <c r="CH239" s="6">
        <v>800</v>
      </c>
      <c r="CI239" s="6">
        <f t="shared" si="58"/>
        <v>242</v>
      </c>
      <c r="CJ239" s="6">
        <v>414</v>
      </c>
      <c r="CK239" s="6"/>
      <c r="CL239" s="6">
        <f t="shared" si="59"/>
        <v>262</v>
      </c>
      <c r="CM239" s="6">
        <v>680</v>
      </c>
      <c r="CN239" s="6"/>
      <c r="CO239" s="6">
        <f t="shared" si="60"/>
        <v>266</v>
      </c>
      <c r="CP239" s="6">
        <v>199</v>
      </c>
      <c r="CQ239" s="6">
        <v>738</v>
      </c>
      <c r="CR239" s="6">
        <f t="shared" si="61"/>
        <v>257</v>
      </c>
      <c r="CS239" s="6">
        <v>458</v>
      </c>
      <c r="CT239" s="6"/>
      <c r="CU239" s="6">
        <f t="shared" si="62"/>
        <v>259</v>
      </c>
      <c r="CV239" s="6">
        <v>693</v>
      </c>
      <c r="CW239" s="10"/>
      <c r="CX239" s="6">
        <f t="shared" si="63"/>
        <v>235</v>
      </c>
    </row>
    <row r="240" spans="1:102">
      <c r="A240" s="151">
        <v>236</v>
      </c>
      <c r="B240" s="6">
        <v>610</v>
      </c>
      <c r="C240" s="10"/>
      <c r="D240" s="6">
        <v>208</v>
      </c>
      <c r="E240" s="141" t="s">
        <v>79</v>
      </c>
      <c r="F240" s="141" t="s">
        <v>79</v>
      </c>
      <c r="G240" s="141" t="s">
        <v>79</v>
      </c>
      <c r="H240" s="141" t="s">
        <v>79</v>
      </c>
      <c r="I240" s="141" t="s">
        <v>79</v>
      </c>
      <c r="J240" s="141" t="s">
        <v>79</v>
      </c>
      <c r="K240" s="141" t="s">
        <v>79</v>
      </c>
      <c r="L240" s="141" t="s">
        <v>79</v>
      </c>
      <c r="M240" s="141" t="s">
        <v>79</v>
      </c>
      <c r="N240" s="141" t="s">
        <v>79</v>
      </c>
      <c r="O240" s="141" t="s">
        <v>79</v>
      </c>
      <c r="P240" s="141" t="s">
        <v>79</v>
      </c>
      <c r="Q240" s="141" t="s">
        <v>79</v>
      </c>
      <c r="R240" s="141" t="s">
        <v>79</v>
      </c>
      <c r="S240" s="141" t="s">
        <v>79</v>
      </c>
      <c r="T240" s="141" t="s">
        <v>79</v>
      </c>
      <c r="U240" s="141" t="s">
        <v>79</v>
      </c>
      <c r="V240" s="6">
        <v>50</v>
      </c>
      <c r="W240" s="6">
        <v>800</v>
      </c>
      <c r="X240" s="35">
        <f t="shared" si="49"/>
        <v>240</v>
      </c>
      <c r="Y240" s="35">
        <v>279</v>
      </c>
      <c r="Z240" s="35"/>
      <c r="AA240" s="35">
        <f t="shared" si="50"/>
        <v>229</v>
      </c>
      <c r="AB240" s="6">
        <v>511</v>
      </c>
      <c r="AC240" s="6"/>
      <c r="AD240" s="35">
        <f t="shared" si="51"/>
        <v>232</v>
      </c>
      <c r="AE240" s="6">
        <v>83</v>
      </c>
      <c r="AF240" s="6">
        <v>663</v>
      </c>
      <c r="AG240" s="34">
        <f t="shared" si="52"/>
        <v>235</v>
      </c>
      <c r="AH240" s="35">
        <v>331</v>
      </c>
      <c r="AI240" s="35"/>
      <c r="AJ240" s="35">
        <f t="shared" si="53"/>
        <v>248</v>
      </c>
      <c r="AK240" s="6">
        <v>562</v>
      </c>
      <c r="AL240" s="6"/>
      <c r="AM240" s="35">
        <f t="shared" si="54"/>
        <v>231</v>
      </c>
      <c r="AN240" s="6"/>
      <c r="AO240" s="6"/>
      <c r="AP240" s="35"/>
      <c r="AQ240" s="35">
        <v>20</v>
      </c>
      <c r="AR240" s="35">
        <v>800</v>
      </c>
      <c r="AS240" s="35">
        <f t="shared" si="55"/>
        <v>258</v>
      </c>
      <c r="AT240" s="35">
        <v>275</v>
      </c>
      <c r="AU240" s="6"/>
      <c r="AV240" s="35">
        <f t="shared" si="64"/>
        <v>255</v>
      </c>
      <c r="AW240" s="6">
        <v>532</v>
      </c>
      <c r="AX240" s="6"/>
      <c r="AY240" s="6">
        <f t="shared" si="56"/>
        <v>257</v>
      </c>
      <c r="AZ240" s="6">
        <v>599</v>
      </c>
      <c r="BA240" s="6"/>
      <c r="BB240" s="6">
        <f t="shared" si="57"/>
        <v>67</v>
      </c>
      <c r="BC240" s="35"/>
      <c r="BD240" s="35"/>
      <c r="BE240" s="6"/>
      <c r="BF240" s="35"/>
      <c r="BG240" s="35"/>
      <c r="BH240" s="35"/>
      <c r="BI240" s="35"/>
      <c r="BJ240" s="35"/>
      <c r="BK240" s="6"/>
      <c r="BL240" s="35"/>
      <c r="BM240" s="35"/>
      <c r="BN240" s="35"/>
      <c r="BO240" s="35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>
        <v>61</v>
      </c>
      <c r="CH240" s="6">
        <v>800</v>
      </c>
      <c r="CI240" s="6">
        <f t="shared" si="58"/>
        <v>262</v>
      </c>
      <c r="CJ240" s="6">
        <v>317</v>
      </c>
      <c r="CK240" s="6"/>
      <c r="CL240" s="6">
        <f t="shared" si="59"/>
        <v>256</v>
      </c>
      <c r="CM240" s="6">
        <v>576</v>
      </c>
      <c r="CN240" s="6"/>
      <c r="CO240" s="6">
        <f t="shared" si="60"/>
        <v>259</v>
      </c>
      <c r="CP240" s="6">
        <v>36</v>
      </c>
      <c r="CQ240" s="6">
        <v>800</v>
      </c>
      <c r="CR240" s="6">
        <f t="shared" si="61"/>
        <v>260</v>
      </c>
      <c r="CS240" s="6">
        <v>298</v>
      </c>
      <c r="CT240" s="6"/>
      <c r="CU240" s="6">
        <f t="shared" si="62"/>
        <v>262</v>
      </c>
      <c r="CV240" s="6">
        <v>531</v>
      </c>
      <c r="CW240" s="10"/>
      <c r="CX240" s="6">
        <f t="shared" si="63"/>
        <v>233</v>
      </c>
    </row>
    <row r="241" spans="1:102">
      <c r="A241" s="151">
        <v>237</v>
      </c>
      <c r="B241" s="6">
        <v>407</v>
      </c>
      <c r="C241" s="10"/>
      <c r="D241" s="6">
        <v>208</v>
      </c>
      <c r="E241" s="141" t="s">
        <v>79</v>
      </c>
      <c r="F241" s="141" t="s">
        <v>79</v>
      </c>
      <c r="G241" s="141" t="s">
        <v>79</v>
      </c>
      <c r="H241" s="141" t="s">
        <v>79</v>
      </c>
      <c r="I241" s="141" t="s">
        <v>79</v>
      </c>
      <c r="J241" s="141" t="s">
        <v>79</v>
      </c>
      <c r="K241" s="141" t="s">
        <v>79</v>
      </c>
      <c r="L241" s="141" t="s">
        <v>79</v>
      </c>
      <c r="M241" s="141" t="s">
        <v>79</v>
      </c>
      <c r="N241" s="141" t="s">
        <v>79</v>
      </c>
      <c r="O241" s="141" t="s">
        <v>79</v>
      </c>
      <c r="P241" s="141" t="s">
        <v>79</v>
      </c>
      <c r="Q241" s="141" t="s">
        <v>79</v>
      </c>
      <c r="R241" s="141" t="s">
        <v>79</v>
      </c>
      <c r="S241" s="141" t="s">
        <v>79</v>
      </c>
      <c r="T241" s="141" t="s">
        <v>79</v>
      </c>
      <c r="U241" s="141" t="s">
        <v>79</v>
      </c>
      <c r="V241" s="6">
        <v>655</v>
      </c>
      <c r="W241" s="6"/>
      <c r="X241" s="35">
        <f t="shared" si="49"/>
        <v>248</v>
      </c>
      <c r="Y241" s="35">
        <v>79</v>
      </c>
      <c r="Z241" s="35">
        <v>800</v>
      </c>
      <c r="AA241" s="35">
        <f t="shared" si="50"/>
        <v>224</v>
      </c>
      <c r="AB241" s="6">
        <v>282</v>
      </c>
      <c r="AC241" s="6"/>
      <c r="AD241" s="35">
        <f t="shared" si="51"/>
        <v>203</v>
      </c>
      <c r="AE241" s="6">
        <v>525</v>
      </c>
      <c r="AF241" s="6"/>
      <c r="AG241" s="34">
        <f t="shared" si="52"/>
        <v>243</v>
      </c>
      <c r="AH241" s="35">
        <v>775</v>
      </c>
      <c r="AI241" s="35"/>
      <c r="AJ241" s="35">
        <f t="shared" si="53"/>
        <v>250</v>
      </c>
      <c r="AK241" s="6">
        <v>199</v>
      </c>
      <c r="AL241" s="6">
        <v>800</v>
      </c>
      <c r="AM241" s="35">
        <f t="shared" si="54"/>
        <v>224</v>
      </c>
      <c r="AN241" s="6"/>
      <c r="AO241" s="6"/>
      <c r="AP241" s="35"/>
      <c r="AQ241" s="35">
        <v>450</v>
      </c>
      <c r="AR241" s="35"/>
      <c r="AS241" s="35">
        <f t="shared" si="55"/>
        <v>251</v>
      </c>
      <c r="AT241" s="35">
        <v>712</v>
      </c>
      <c r="AU241" s="6"/>
      <c r="AV241" s="35">
        <f t="shared" si="64"/>
        <v>262</v>
      </c>
      <c r="AW241" s="6">
        <v>170</v>
      </c>
      <c r="AX241" s="6">
        <v>800</v>
      </c>
      <c r="AY241" s="6">
        <f t="shared" si="56"/>
        <v>258</v>
      </c>
      <c r="AZ241" s="6">
        <v>240</v>
      </c>
      <c r="BA241" s="6"/>
      <c r="BB241" s="6">
        <f t="shared" si="57"/>
        <v>70</v>
      </c>
      <c r="BC241" s="35"/>
      <c r="BD241" s="35"/>
      <c r="BE241" s="6"/>
      <c r="BF241" s="35"/>
      <c r="BG241" s="35"/>
      <c r="BH241" s="35"/>
      <c r="BI241" s="35"/>
      <c r="BJ241" s="35"/>
      <c r="BK241" s="6"/>
      <c r="BL241" s="35"/>
      <c r="BM241" s="35"/>
      <c r="BN241" s="35"/>
      <c r="BO241" s="35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>
        <v>509</v>
      </c>
      <c r="CH241" s="6"/>
      <c r="CI241" s="6">
        <f t="shared" si="58"/>
        <v>269</v>
      </c>
      <c r="CJ241" s="6">
        <v>766</v>
      </c>
      <c r="CK241" s="6"/>
      <c r="CL241" s="6">
        <f t="shared" si="59"/>
        <v>257</v>
      </c>
      <c r="CM241" s="6">
        <v>221</v>
      </c>
      <c r="CN241" s="6">
        <v>800</v>
      </c>
      <c r="CO241" s="6">
        <f t="shared" si="60"/>
        <v>255</v>
      </c>
      <c r="CP241" s="6">
        <v>461</v>
      </c>
      <c r="CQ241" s="6"/>
      <c r="CR241" s="6">
        <f t="shared" si="61"/>
        <v>240</v>
      </c>
      <c r="CS241" s="6">
        <v>210</v>
      </c>
      <c r="CT241" s="6">
        <v>506</v>
      </c>
      <c r="CU241" s="6">
        <f t="shared" si="62"/>
        <v>255</v>
      </c>
      <c r="CV241" s="6">
        <v>441</v>
      </c>
      <c r="CW241" s="10"/>
      <c r="CX241" s="6">
        <f t="shared" si="63"/>
        <v>231</v>
      </c>
    </row>
    <row r="242" spans="1:102">
      <c r="A242" s="151">
        <v>238</v>
      </c>
      <c r="B242" s="6">
        <v>676</v>
      </c>
      <c r="C242" s="10"/>
      <c r="D242" s="6">
        <v>230</v>
      </c>
      <c r="E242" s="141" t="s">
        <v>79</v>
      </c>
      <c r="F242" s="141" t="s">
        <v>79</v>
      </c>
      <c r="G242" s="141" t="s">
        <v>79</v>
      </c>
      <c r="H242" s="141" t="s">
        <v>79</v>
      </c>
      <c r="I242" s="141" t="s">
        <v>79</v>
      </c>
      <c r="J242" s="141" t="s">
        <v>79</v>
      </c>
      <c r="K242" s="141" t="s">
        <v>79</v>
      </c>
      <c r="L242" s="141" t="s">
        <v>79</v>
      </c>
      <c r="M242" s="141" t="s">
        <v>79</v>
      </c>
      <c r="N242" s="141" t="s">
        <v>79</v>
      </c>
      <c r="O242" s="141" t="s">
        <v>79</v>
      </c>
      <c r="P242" s="141" t="s">
        <v>79</v>
      </c>
      <c r="Q242" s="141" t="s">
        <v>79</v>
      </c>
      <c r="R242" s="141" t="s">
        <v>79</v>
      </c>
      <c r="S242" s="141" t="s">
        <v>79</v>
      </c>
      <c r="T242" s="141" t="s">
        <v>79</v>
      </c>
      <c r="U242" s="141" t="s">
        <v>79</v>
      </c>
      <c r="V242" s="6">
        <v>124</v>
      </c>
      <c r="W242" s="6">
        <v>800</v>
      </c>
      <c r="X242" s="35">
        <f t="shared" si="49"/>
        <v>248</v>
      </c>
      <c r="Y242" s="35">
        <v>357</v>
      </c>
      <c r="Z242" s="35"/>
      <c r="AA242" s="35">
        <f t="shared" si="50"/>
        <v>233</v>
      </c>
      <c r="AB242" s="6">
        <v>592</v>
      </c>
      <c r="AC242" s="6"/>
      <c r="AD242" s="35">
        <f t="shared" si="51"/>
        <v>235</v>
      </c>
      <c r="AE242" s="6">
        <v>36</v>
      </c>
      <c r="AF242" s="6">
        <v>800</v>
      </c>
      <c r="AG242" s="34">
        <f t="shared" si="52"/>
        <v>244</v>
      </c>
      <c r="AH242" s="35">
        <v>284</v>
      </c>
      <c r="AI242" s="35"/>
      <c r="AJ242" s="35">
        <f t="shared" si="53"/>
        <v>248</v>
      </c>
      <c r="AK242" s="6">
        <v>515</v>
      </c>
      <c r="AL242" s="6"/>
      <c r="AM242" s="35">
        <f t="shared" si="54"/>
        <v>231</v>
      </c>
      <c r="AN242" s="6"/>
      <c r="AO242" s="6"/>
      <c r="AP242" s="35"/>
      <c r="AQ242" s="35">
        <v>776</v>
      </c>
      <c r="AR242" s="35"/>
      <c r="AS242" s="35">
        <f t="shared" si="55"/>
        <v>261</v>
      </c>
      <c r="AT242" s="35">
        <v>233</v>
      </c>
      <c r="AU242" s="6">
        <v>800</v>
      </c>
      <c r="AV242" s="35">
        <f t="shared" si="64"/>
        <v>257</v>
      </c>
      <c r="AW242" s="6">
        <v>491</v>
      </c>
      <c r="AX242" s="6"/>
      <c r="AY242" s="6">
        <f t="shared" si="56"/>
        <v>258</v>
      </c>
      <c r="AZ242" s="6">
        <v>558</v>
      </c>
      <c r="BA242" s="6"/>
      <c r="BB242" s="6">
        <f t="shared" si="57"/>
        <v>67</v>
      </c>
      <c r="BC242" s="35"/>
      <c r="BD242" s="35"/>
      <c r="BE242" s="6"/>
      <c r="BF242" s="35"/>
      <c r="BG242" s="35"/>
      <c r="BH242" s="35"/>
      <c r="BI242" s="35"/>
      <c r="BJ242" s="35"/>
      <c r="BK242" s="6"/>
      <c r="BL242" s="35"/>
      <c r="BM242" s="35"/>
      <c r="BN242" s="35"/>
      <c r="BO242" s="35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>
        <v>795</v>
      </c>
      <c r="CH242" s="6"/>
      <c r="CI242" s="6">
        <f t="shared" si="58"/>
        <v>237</v>
      </c>
      <c r="CJ242" s="6">
        <v>248</v>
      </c>
      <c r="CK242" s="6">
        <v>800</v>
      </c>
      <c r="CL242" s="6">
        <f t="shared" si="59"/>
        <v>253</v>
      </c>
      <c r="CM242" s="6">
        <v>508</v>
      </c>
      <c r="CN242" s="6"/>
      <c r="CO242" s="6">
        <f t="shared" si="60"/>
        <v>260</v>
      </c>
      <c r="CP242" s="6">
        <v>754</v>
      </c>
      <c r="CQ242" s="6"/>
      <c r="CR242" s="6">
        <f t="shared" si="61"/>
        <v>246</v>
      </c>
      <c r="CS242" s="6">
        <v>206</v>
      </c>
      <c r="CT242" s="6">
        <v>800</v>
      </c>
      <c r="CU242" s="6">
        <f t="shared" si="62"/>
        <v>252</v>
      </c>
      <c r="CV242" s="6">
        <v>437</v>
      </c>
      <c r="CW242" s="10"/>
      <c r="CX242" s="6">
        <f t="shared" si="63"/>
        <v>231</v>
      </c>
    </row>
    <row r="243" spans="1:102">
      <c r="A243" s="151">
        <v>239</v>
      </c>
      <c r="B243" s="6">
        <v>199</v>
      </c>
      <c r="C243" s="10">
        <v>693</v>
      </c>
      <c r="D243" s="6">
        <v>201</v>
      </c>
      <c r="E243" s="141" t="s">
        <v>75</v>
      </c>
      <c r="F243" s="141" t="s">
        <v>75</v>
      </c>
      <c r="G243" s="141" t="s">
        <v>75</v>
      </c>
      <c r="H243" s="141" t="s">
        <v>75</v>
      </c>
      <c r="I243" s="141" t="s">
        <v>75</v>
      </c>
      <c r="J243" s="141" t="s">
        <v>75</v>
      </c>
      <c r="K243" s="141" t="s">
        <v>75</v>
      </c>
      <c r="L243" s="141" t="s">
        <v>75</v>
      </c>
      <c r="M243" s="141" t="s">
        <v>75</v>
      </c>
      <c r="N243" s="141" t="s">
        <v>75</v>
      </c>
      <c r="O243" s="141" t="s">
        <v>75</v>
      </c>
      <c r="P243" s="141" t="s">
        <v>75</v>
      </c>
      <c r="Q243" s="141" t="s">
        <v>75</v>
      </c>
      <c r="R243" s="141" t="s">
        <v>75</v>
      </c>
      <c r="S243" s="141" t="s">
        <v>75</v>
      </c>
      <c r="T243" s="141" t="s">
        <v>75</v>
      </c>
      <c r="U243" s="141" t="s">
        <v>75</v>
      </c>
      <c r="V243" s="6">
        <v>448</v>
      </c>
      <c r="W243" s="6"/>
      <c r="X243" s="35">
        <f t="shared" si="49"/>
        <v>249</v>
      </c>
      <c r="Y243" s="35">
        <v>681</v>
      </c>
      <c r="Z243" s="35"/>
      <c r="AA243" s="35">
        <f t="shared" si="50"/>
        <v>233</v>
      </c>
      <c r="AB243" s="6">
        <v>914</v>
      </c>
      <c r="AC243" s="6"/>
      <c r="AD243" s="35">
        <f t="shared" si="51"/>
        <v>233</v>
      </c>
      <c r="AE243" s="6">
        <v>59</v>
      </c>
      <c r="AF243" s="6">
        <v>1100</v>
      </c>
      <c r="AG243" s="34">
        <f t="shared" si="52"/>
        <v>245</v>
      </c>
      <c r="AH243" s="35">
        <v>309</v>
      </c>
      <c r="AI243" s="35"/>
      <c r="AJ243" s="35">
        <f t="shared" si="53"/>
        <v>250</v>
      </c>
      <c r="AK243" s="6">
        <v>175</v>
      </c>
      <c r="AL243" s="6">
        <v>363</v>
      </c>
      <c r="AM243" s="35">
        <f t="shared" si="54"/>
        <v>229</v>
      </c>
      <c r="AN243" s="6"/>
      <c r="AO243" s="6"/>
      <c r="AP243" s="35"/>
      <c r="AQ243" s="35">
        <v>445</v>
      </c>
      <c r="AR243" s="35"/>
      <c r="AS243" s="35">
        <f t="shared" si="55"/>
        <v>270</v>
      </c>
      <c r="AT243" s="35">
        <v>715</v>
      </c>
      <c r="AU243" s="6"/>
      <c r="AV243" s="35">
        <f t="shared" si="64"/>
        <v>270</v>
      </c>
      <c r="AW243" s="6">
        <v>981</v>
      </c>
      <c r="AX243" s="6"/>
      <c r="AY243" s="6">
        <f t="shared" si="56"/>
        <v>266</v>
      </c>
      <c r="AZ243" s="6">
        <v>1052</v>
      </c>
      <c r="BA243" s="6"/>
      <c r="BB243" s="6">
        <f t="shared" si="57"/>
        <v>71</v>
      </c>
      <c r="BC243" s="35"/>
      <c r="BD243" s="35"/>
      <c r="BE243" s="6"/>
      <c r="BF243" s="35"/>
      <c r="BG243" s="35"/>
      <c r="BH243" s="35"/>
      <c r="BI243" s="35"/>
      <c r="BJ243" s="35"/>
      <c r="BK243" s="6"/>
      <c r="BL243" s="6"/>
      <c r="BM243" s="35"/>
      <c r="BN243" s="35"/>
      <c r="BO243" s="35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>
        <v>227</v>
      </c>
      <c r="CH243" s="6">
        <v>1100</v>
      </c>
      <c r="CI243" s="6">
        <f t="shared" si="58"/>
        <v>275</v>
      </c>
      <c r="CJ243" s="6">
        <v>491</v>
      </c>
      <c r="CK243" s="6"/>
      <c r="CL243" s="6">
        <f t="shared" si="59"/>
        <v>264</v>
      </c>
      <c r="CM243" s="6">
        <v>762</v>
      </c>
      <c r="CN243" s="6"/>
      <c r="CO243" s="6">
        <f t="shared" si="60"/>
        <v>271</v>
      </c>
      <c r="CP243" s="6">
        <v>1032</v>
      </c>
      <c r="CQ243" s="6"/>
      <c r="CR243" s="6">
        <f t="shared" si="61"/>
        <v>270</v>
      </c>
      <c r="CS243" s="6">
        <v>198</v>
      </c>
      <c r="CT243" s="6">
        <v>1100</v>
      </c>
      <c r="CU243" s="6">
        <f t="shared" si="62"/>
        <v>266</v>
      </c>
      <c r="CV243" s="6">
        <v>432</v>
      </c>
      <c r="CW243" s="10"/>
      <c r="CX243" s="6">
        <f t="shared" si="63"/>
        <v>234</v>
      </c>
    </row>
    <row r="244" spans="1:102">
      <c r="A244" s="151">
        <v>240</v>
      </c>
      <c r="B244" s="6">
        <v>134</v>
      </c>
      <c r="C244" s="10">
        <v>800</v>
      </c>
      <c r="D244" s="6">
        <v>218</v>
      </c>
      <c r="E244" s="141" t="s">
        <v>75</v>
      </c>
      <c r="F244" s="141" t="s">
        <v>75</v>
      </c>
      <c r="G244" s="141" t="s">
        <v>75</v>
      </c>
      <c r="H244" s="141" t="s">
        <v>75</v>
      </c>
      <c r="I244" s="141" t="s">
        <v>75</v>
      </c>
      <c r="J244" s="141" t="s">
        <v>75</v>
      </c>
      <c r="K244" s="141" t="s">
        <v>75</v>
      </c>
      <c r="L244" s="141" t="s">
        <v>75</v>
      </c>
      <c r="M244" s="141" t="s">
        <v>75</v>
      </c>
      <c r="N244" s="141" t="s">
        <v>75</v>
      </c>
      <c r="O244" s="141" t="s">
        <v>75</v>
      </c>
      <c r="P244" s="141" t="s">
        <v>75</v>
      </c>
      <c r="Q244" s="141" t="s">
        <v>75</v>
      </c>
      <c r="R244" s="141" t="s">
        <v>75</v>
      </c>
      <c r="S244" s="141" t="s">
        <v>75</v>
      </c>
      <c r="T244" s="141" t="s">
        <v>75</v>
      </c>
      <c r="U244" s="141" t="s">
        <v>75</v>
      </c>
      <c r="V244" s="6">
        <v>396</v>
      </c>
      <c r="W244" s="6"/>
      <c r="X244" s="35">
        <f t="shared" si="49"/>
        <v>262</v>
      </c>
      <c r="Y244" s="35">
        <v>642</v>
      </c>
      <c r="Z244" s="35"/>
      <c r="AA244" s="35">
        <f t="shared" si="50"/>
        <v>246</v>
      </c>
      <c r="AB244" s="6">
        <v>890</v>
      </c>
      <c r="AC244" s="6"/>
      <c r="AD244" s="35">
        <f t="shared" si="51"/>
        <v>248</v>
      </c>
      <c r="AE244" s="6">
        <v>37</v>
      </c>
      <c r="AF244" s="6">
        <v>1100</v>
      </c>
      <c r="AG244" s="34">
        <f t="shared" si="52"/>
        <v>247</v>
      </c>
      <c r="AH244" s="35">
        <v>289</v>
      </c>
      <c r="AI244" s="35"/>
      <c r="AJ244" s="35">
        <f t="shared" si="53"/>
        <v>252</v>
      </c>
      <c r="AK244" s="6">
        <v>173</v>
      </c>
      <c r="AL244" s="6">
        <v>344</v>
      </c>
      <c r="AM244" s="35">
        <f t="shared" si="54"/>
        <v>228</v>
      </c>
      <c r="AN244" s="6"/>
      <c r="AO244" s="6"/>
      <c r="AP244" s="35"/>
      <c r="AQ244" s="35">
        <v>443</v>
      </c>
      <c r="AR244" s="35"/>
      <c r="AS244" s="35">
        <f t="shared" si="55"/>
        <v>270</v>
      </c>
      <c r="AT244" s="35">
        <v>709</v>
      </c>
      <c r="AU244" s="6"/>
      <c r="AV244" s="35">
        <f t="shared" si="64"/>
        <v>266</v>
      </c>
      <c r="AW244" s="6">
        <v>977</v>
      </c>
      <c r="AX244" s="6"/>
      <c r="AY244" s="6">
        <f t="shared" si="56"/>
        <v>268</v>
      </c>
      <c r="AZ244" s="6">
        <v>1045</v>
      </c>
      <c r="BA244" s="6"/>
      <c r="BB244" s="6">
        <f t="shared" si="57"/>
        <v>68</v>
      </c>
      <c r="BC244" s="35"/>
      <c r="BD244" s="35"/>
      <c r="BE244" s="6"/>
      <c r="BF244" s="35"/>
      <c r="BG244" s="35"/>
      <c r="BH244" s="35"/>
      <c r="BI244" s="35"/>
      <c r="BJ244" s="35"/>
      <c r="BK244" s="6"/>
      <c r="BL244" s="6"/>
      <c r="BM244" s="35"/>
      <c r="BN244" s="35"/>
      <c r="BO244" s="35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>
        <v>220</v>
      </c>
      <c r="CH244" s="6">
        <v>1100</v>
      </c>
      <c r="CI244" s="6">
        <f t="shared" si="58"/>
        <v>275</v>
      </c>
      <c r="CJ244" s="6">
        <v>488</v>
      </c>
      <c r="CK244" s="6"/>
      <c r="CL244" s="6">
        <f t="shared" si="59"/>
        <v>268</v>
      </c>
      <c r="CM244" s="6">
        <v>760</v>
      </c>
      <c r="CN244" s="6"/>
      <c r="CO244" s="6">
        <f t="shared" si="60"/>
        <v>272</v>
      </c>
      <c r="CP244" s="6">
        <v>1028</v>
      </c>
      <c r="CQ244" s="6"/>
      <c r="CR244" s="6">
        <f t="shared" si="61"/>
        <v>268</v>
      </c>
      <c r="CS244" s="6">
        <v>194</v>
      </c>
      <c r="CT244" s="6">
        <v>1100</v>
      </c>
      <c r="CU244" s="6">
        <f t="shared" si="62"/>
        <v>266</v>
      </c>
      <c r="CV244" s="6">
        <v>0</v>
      </c>
      <c r="CW244" s="10">
        <v>328</v>
      </c>
      <c r="CX244" s="6">
        <f t="shared" si="63"/>
        <v>134</v>
      </c>
    </row>
    <row r="245" spans="1:102">
      <c r="A245" s="151">
        <v>241</v>
      </c>
      <c r="B245" s="6">
        <v>890</v>
      </c>
      <c r="C245" s="10"/>
      <c r="D245" s="6">
        <v>210</v>
      </c>
      <c r="E245" s="141" t="s">
        <v>75</v>
      </c>
      <c r="F245" s="141" t="s">
        <v>75</v>
      </c>
      <c r="G245" s="141" t="s">
        <v>75</v>
      </c>
      <c r="H245" s="141" t="s">
        <v>75</v>
      </c>
      <c r="I245" s="141" t="s">
        <v>75</v>
      </c>
      <c r="J245" s="141" t="s">
        <v>75</v>
      </c>
      <c r="K245" s="141" t="s">
        <v>75</v>
      </c>
      <c r="L245" s="141" t="s">
        <v>75</v>
      </c>
      <c r="M245" s="141" t="s">
        <v>75</v>
      </c>
      <c r="N245" s="141" t="s">
        <v>75</v>
      </c>
      <c r="O245" s="141" t="s">
        <v>75</v>
      </c>
      <c r="P245" s="141" t="s">
        <v>75</v>
      </c>
      <c r="Q245" s="141" t="s">
        <v>75</v>
      </c>
      <c r="R245" s="141" t="s">
        <v>75</v>
      </c>
      <c r="S245" s="141" t="s">
        <v>75</v>
      </c>
      <c r="T245" s="141" t="s">
        <v>75</v>
      </c>
      <c r="U245" s="141" t="s">
        <v>75</v>
      </c>
      <c r="V245" s="6">
        <v>34</v>
      </c>
      <c r="W245" s="6">
        <v>1100</v>
      </c>
      <c r="X245" s="35">
        <f t="shared" si="49"/>
        <v>244</v>
      </c>
      <c r="Y245" s="35">
        <v>268</v>
      </c>
      <c r="Z245" s="35"/>
      <c r="AA245" s="35">
        <f t="shared" si="50"/>
        <v>234</v>
      </c>
      <c r="AB245" s="6">
        <v>502</v>
      </c>
      <c r="AC245" s="6"/>
      <c r="AD245" s="35">
        <f t="shared" si="51"/>
        <v>234</v>
      </c>
      <c r="AE245" s="6">
        <v>746</v>
      </c>
      <c r="AF245" s="6"/>
      <c r="AG245" s="34">
        <f t="shared" si="52"/>
        <v>244</v>
      </c>
      <c r="AH245" s="35">
        <v>997</v>
      </c>
      <c r="AI245" s="35"/>
      <c r="AJ245" s="35">
        <f t="shared" si="53"/>
        <v>251</v>
      </c>
      <c r="AK245" s="6">
        <v>183</v>
      </c>
      <c r="AL245" s="6">
        <v>1052</v>
      </c>
      <c r="AM245" s="35">
        <f t="shared" si="54"/>
        <v>238</v>
      </c>
      <c r="AN245" s="6"/>
      <c r="AO245" s="6"/>
      <c r="AP245" s="35"/>
      <c r="AQ245" s="35">
        <v>454</v>
      </c>
      <c r="AR245" s="35"/>
      <c r="AS245" s="35">
        <f t="shared" si="55"/>
        <v>271</v>
      </c>
      <c r="AT245" s="35">
        <v>721</v>
      </c>
      <c r="AU245" s="6"/>
      <c r="AV245" s="35">
        <f t="shared" si="64"/>
        <v>267</v>
      </c>
      <c r="AW245" s="6">
        <v>989</v>
      </c>
      <c r="AX245" s="6"/>
      <c r="AY245" s="6">
        <f t="shared" si="56"/>
        <v>268</v>
      </c>
      <c r="AZ245" s="6">
        <v>1060</v>
      </c>
      <c r="BA245" s="6"/>
      <c r="BB245" s="6">
        <f t="shared" si="57"/>
        <v>71</v>
      </c>
      <c r="BC245" s="35"/>
      <c r="BD245" s="35"/>
      <c r="BE245" s="6"/>
      <c r="BF245" s="35"/>
      <c r="BG245" s="35"/>
      <c r="BH245" s="35"/>
      <c r="BI245" s="35"/>
      <c r="BJ245" s="35"/>
      <c r="BK245" s="6"/>
      <c r="BL245" s="6"/>
      <c r="BM245" s="35"/>
      <c r="BN245" s="35"/>
      <c r="BO245" s="35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>
        <v>234</v>
      </c>
      <c r="CH245" s="6">
        <v>1100</v>
      </c>
      <c r="CI245" s="6">
        <f t="shared" si="58"/>
        <v>274</v>
      </c>
      <c r="CJ245" s="6">
        <v>500</v>
      </c>
      <c r="CK245" s="6"/>
      <c r="CL245" s="6">
        <f t="shared" si="59"/>
        <v>266</v>
      </c>
      <c r="CM245" s="6">
        <v>768</v>
      </c>
      <c r="CN245" s="6"/>
      <c r="CO245" s="6">
        <f t="shared" si="60"/>
        <v>268</v>
      </c>
      <c r="CP245" s="6">
        <v>1035</v>
      </c>
      <c r="CQ245" s="6"/>
      <c r="CR245" s="6">
        <f t="shared" si="61"/>
        <v>267</v>
      </c>
      <c r="CS245" s="6">
        <v>192</v>
      </c>
      <c r="CT245" s="6">
        <v>1100</v>
      </c>
      <c r="CU245" s="6">
        <f t="shared" si="62"/>
        <v>257</v>
      </c>
      <c r="CV245" s="6">
        <v>423</v>
      </c>
      <c r="CW245" s="10"/>
      <c r="CX245" s="6">
        <f t="shared" si="63"/>
        <v>231</v>
      </c>
    </row>
    <row r="246" spans="1:102">
      <c r="A246" s="151">
        <v>242</v>
      </c>
      <c r="B246" s="6">
        <v>875</v>
      </c>
      <c r="C246" s="10"/>
      <c r="D246" s="6">
        <v>202</v>
      </c>
      <c r="E246" s="141" t="s">
        <v>75</v>
      </c>
      <c r="F246" s="141" t="s">
        <v>75</v>
      </c>
      <c r="G246" s="141" t="s">
        <v>75</v>
      </c>
      <c r="H246" s="141" t="s">
        <v>75</v>
      </c>
      <c r="I246" s="141" t="s">
        <v>75</v>
      </c>
      <c r="J246" s="141" t="s">
        <v>75</v>
      </c>
      <c r="K246" s="141" t="s">
        <v>75</v>
      </c>
      <c r="L246" s="141" t="s">
        <v>75</v>
      </c>
      <c r="M246" s="141" t="s">
        <v>75</v>
      </c>
      <c r="N246" s="141" t="s">
        <v>75</v>
      </c>
      <c r="O246" s="141" t="s">
        <v>75</v>
      </c>
      <c r="P246" s="141" t="s">
        <v>75</v>
      </c>
      <c r="Q246" s="141" t="s">
        <v>75</v>
      </c>
      <c r="R246" s="141" t="s">
        <v>75</v>
      </c>
      <c r="S246" s="141" t="s">
        <v>75</v>
      </c>
      <c r="T246" s="141" t="s">
        <v>75</v>
      </c>
      <c r="U246" s="141" t="s">
        <v>75</v>
      </c>
      <c r="V246" s="6">
        <v>23</v>
      </c>
      <c r="W246" s="6">
        <v>1100</v>
      </c>
      <c r="X246" s="35">
        <f t="shared" si="49"/>
        <v>248</v>
      </c>
      <c r="Y246" s="35">
        <v>254</v>
      </c>
      <c r="Z246" s="35"/>
      <c r="AA246" s="35">
        <f t="shared" si="50"/>
        <v>231</v>
      </c>
      <c r="AB246" s="6">
        <v>489</v>
      </c>
      <c r="AC246" s="6"/>
      <c r="AD246" s="35">
        <f t="shared" si="51"/>
        <v>235</v>
      </c>
      <c r="AE246" s="6">
        <v>735</v>
      </c>
      <c r="AF246" s="6"/>
      <c r="AG246" s="34">
        <f t="shared" si="52"/>
        <v>246</v>
      </c>
      <c r="AH246" s="35">
        <v>983</v>
      </c>
      <c r="AI246" s="35"/>
      <c r="AJ246" s="35">
        <f t="shared" si="53"/>
        <v>248</v>
      </c>
      <c r="AK246" s="6">
        <v>181</v>
      </c>
      <c r="AL246" s="6">
        <v>1037</v>
      </c>
      <c r="AM246" s="35">
        <f t="shared" si="54"/>
        <v>235</v>
      </c>
      <c r="AN246" s="6"/>
      <c r="AO246" s="6"/>
      <c r="AP246" s="35"/>
      <c r="AQ246" s="35">
        <v>452</v>
      </c>
      <c r="AR246" s="35"/>
      <c r="AS246" s="35">
        <f t="shared" si="55"/>
        <v>271</v>
      </c>
      <c r="AT246" s="35">
        <v>717</v>
      </c>
      <c r="AU246" s="6"/>
      <c r="AV246" s="35">
        <f t="shared" si="64"/>
        <v>265</v>
      </c>
      <c r="AW246" s="6">
        <v>984</v>
      </c>
      <c r="AX246" s="6"/>
      <c r="AY246" s="6">
        <f t="shared" si="56"/>
        <v>267</v>
      </c>
      <c r="AZ246" s="6">
        <v>1056</v>
      </c>
      <c r="BA246" s="6"/>
      <c r="BB246" s="6">
        <f t="shared" si="57"/>
        <v>72</v>
      </c>
      <c r="BC246" s="35"/>
      <c r="BD246" s="35"/>
      <c r="BE246" s="6"/>
      <c r="BF246" s="35"/>
      <c r="BG246" s="35"/>
      <c r="BH246" s="35"/>
      <c r="BI246" s="35"/>
      <c r="BJ246" s="35"/>
      <c r="BK246" s="6"/>
      <c r="BL246" s="6"/>
      <c r="BM246" s="35"/>
      <c r="BN246" s="35"/>
      <c r="BO246" s="35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>
        <v>224</v>
      </c>
      <c r="CH246" s="6">
        <v>1100</v>
      </c>
      <c r="CI246" s="6">
        <f t="shared" si="58"/>
        <v>268</v>
      </c>
      <c r="CJ246" s="6">
        <v>492</v>
      </c>
      <c r="CK246" s="6"/>
      <c r="CL246" s="6">
        <f t="shared" si="59"/>
        <v>268</v>
      </c>
      <c r="CM246" s="6">
        <v>764</v>
      </c>
      <c r="CN246" s="6"/>
      <c r="CO246" s="6">
        <f t="shared" si="60"/>
        <v>272</v>
      </c>
      <c r="CP246" s="6">
        <v>1033</v>
      </c>
      <c r="CQ246" s="6"/>
      <c r="CR246" s="6">
        <f t="shared" si="61"/>
        <v>269</v>
      </c>
      <c r="CS246" s="6">
        <v>200</v>
      </c>
      <c r="CT246" s="6">
        <v>1100</v>
      </c>
      <c r="CU246" s="6">
        <f t="shared" si="62"/>
        <v>267</v>
      </c>
      <c r="CV246" s="6">
        <v>428</v>
      </c>
      <c r="CW246" s="10"/>
      <c r="CX246" s="6">
        <f t="shared" si="63"/>
        <v>228</v>
      </c>
    </row>
    <row r="247" spans="1:102">
      <c r="A247" s="151">
        <v>243</v>
      </c>
      <c r="B247" s="6">
        <v>594</v>
      </c>
      <c r="C247" s="10"/>
      <c r="D247" s="6">
        <v>209</v>
      </c>
      <c r="E247" s="141" t="s">
        <v>79</v>
      </c>
      <c r="F247" s="141" t="s">
        <v>79</v>
      </c>
      <c r="G247" s="141" t="s">
        <v>79</v>
      </c>
      <c r="H247" s="141" t="s">
        <v>79</v>
      </c>
      <c r="I247" s="141" t="s">
        <v>79</v>
      </c>
      <c r="J247" s="141" t="s">
        <v>79</v>
      </c>
      <c r="K247" s="141" t="s">
        <v>79</v>
      </c>
      <c r="L247" s="141" t="s">
        <v>79</v>
      </c>
      <c r="M247" s="141" t="s">
        <v>79</v>
      </c>
      <c r="N247" s="141" t="s">
        <v>79</v>
      </c>
      <c r="O247" s="141" t="s">
        <v>79</v>
      </c>
      <c r="P247" s="141" t="s">
        <v>79</v>
      </c>
      <c r="Q247" s="141" t="s">
        <v>79</v>
      </c>
      <c r="R247" s="141" t="s">
        <v>79</v>
      </c>
      <c r="S247" s="141" t="s">
        <v>79</v>
      </c>
      <c r="T247" s="141" t="s">
        <v>79</v>
      </c>
      <c r="U247" s="141" t="s">
        <v>79</v>
      </c>
      <c r="V247" s="6">
        <v>46</v>
      </c>
      <c r="W247" s="6">
        <v>800</v>
      </c>
      <c r="X247" s="35">
        <f t="shared" si="49"/>
        <v>252</v>
      </c>
      <c r="Y247" s="35">
        <v>282</v>
      </c>
      <c r="Z247" s="35"/>
      <c r="AA247" s="35">
        <f t="shared" si="50"/>
        <v>236</v>
      </c>
      <c r="AB247" s="6">
        <v>519</v>
      </c>
      <c r="AC247" s="6"/>
      <c r="AD247" s="35">
        <f t="shared" si="51"/>
        <v>237</v>
      </c>
      <c r="AE247" s="6">
        <v>761</v>
      </c>
      <c r="AF247" s="6"/>
      <c r="AG247" s="34">
        <f t="shared" si="52"/>
        <v>242</v>
      </c>
      <c r="AH247" s="35">
        <v>206</v>
      </c>
      <c r="AI247" s="35">
        <v>800</v>
      </c>
      <c r="AJ247" s="35">
        <f t="shared" si="53"/>
        <v>245</v>
      </c>
      <c r="AK247" s="6">
        <v>429</v>
      </c>
      <c r="AL247" s="6"/>
      <c r="AM247" s="35">
        <f t="shared" si="54"/>
        <v>223</v>
      </c>
      <c r="AN247" s="6"/>
      <c r="AO247" s="6"/>
      <c r="AP247" s="35"/>
      <c r="AQ247" s="35">
        <v>686</v>
      </c>
      <c r="AR247" s="35"/>
      <c r="AS247" s="35">
        <f t="shared" si="55"/>
        <v>257</v>
      </c>
      <c r="AT247" s="35">
        <v>174</v>
      </c>
      <c r="AU247" s="6">
        <v>762</v>
      </c>
      <c r="AV247" s="35">
        <f t="shared" si="64"/>
        <v>250</v>
      </c>
      <c r="AW247" s="6">
        <v>428</v>
      </c>
      <c r="AX247" s="6"/>
      <c r="AY247" s="6">
        <f t="shared" si="56"/>
        <v>254</v>
      </c>
      <c r="AZ247" s="6">
        <v>497</v>
      </c>
      <c r="BA247" s="6"/>
      <c r="BB247" s="6">
        <f t="shared" si="57"/>
        <v>69</v>
      </c>
      <c r="BC247" s="35"/>
      <c r="BD247" s="35"/>
      <c r="BE247" s="6"/>
      <c r="BF247" s="35"/>
      <c r="BG247" s="35"/>
      <c r="BH247" s="35"/>
      <c r="BI247" s="35"/>
      <c r="BJ247" s="35"/>
      <c r="BK247" s="6"/>
      <c r="BL247" s="6"/>
      <c r="BM247" s="35"/>
      <c r="BN247" s="35"/>
      <c r="BO247" s="35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>
        <v>761</v>
      </c>
      <c r="CH247" s="6"/>
      <c r="CI247" s="6">
        <f t="shared" si="58"/>
        <v>264</v>
      </c>
      <c r="CJ247" s="6">
        <v>219</v>
      </c>
      <c r="CK247" s="6">
        <v>800</v>
      </c>
      <c r="CL247" s="6">
        <f t="shared" si="59"/>
        <v>258</v>
      </c>
      <c r="CM247" s="6">
        <v>479</v>
      </c>
      <c r="CN247" s="6"/>
      <c r="CO247" s="6">
        <f t="shared" si="60"/>
        <v>260</v>
      </c>
      <c r="CP247" s="6">
        <v>740</v>
      </c>
      <c r="CQ247" s="6"/>
      <c r="CR247" s="6">
        <f t="shared" si="61"/>
        <v>261</v>
      </c>
      <c r="CS247" s="6">
        <v>200</v>
      </c>
      <c r="CT247" s="6">
        <v>800</v>
      </c>
      <c r="CU247" s="6">
        <f t="shared" si="62"/>
        <v>260</v>
      </c>
      <c r="CV247" s="6">
        <v>429</v>
      </c>
      <c r="CW247" s="10"/>
      <c r="CX247" s="6">
        <f t="shared" si="63"/>
        <v>229</v>
      </c>
    </row>
    <row r="248" spans="1:102">
      <c r="A248" s="151">
        <v>244</v>
      </c>
      <c r="B248" s="6">
        <v>782</v>
      </c>
      <c r="C248" s="10"/>
      <c r="D248" s="6">
        <v>206</v>
      </c>
      <c r="E248" s="141" t="s">
        <v>75</v>
      </c>
      <c r="F248" s="141" t="s">
        <v>75</v>
      </c>
      <c r="G248" s="141" t="s">
        <v>75</v>
      </c>
      <c r="H248" s="141" t="s">
        <v>75</v>
      </c>
      <c r="I248" s="163" t="s">
        <v>75</v>
      </c>
      <c r="J248" s="141" t="s">
        <v>75</v>
      </c>
      <c r="K248" s="141" t="s">
        <v>75</v>
      </c>
      <c r="L248" s="141" t="s">
        <v>75</v>
      </c>
      <c r="M248" s="141" t="s">
        <v>75</v>
      </c>
      <c r="N248" s="141" t="s">
        <v>75</v>
      </c>
      <c r="O248" s="141" t="s">
        <v>75</v>
      </c>
      <c r="P248" s="141" t="s">
        <v>75</v>
      </c>
      <c r="Q248" s="141" t="s">
        <v>75</v>
      </c>
      <c r="R248" s="141" t="s">
        <v>75</v>
      </c>
      <c r="S248" s="141" t="s">
        <v>75</v>
      </c>
      <c r="T248" s="141" t="s">
        <v>75</v>
      </c>
      <c r="U248" s="141" t="s">
        <v>75</v>
      </c>
      <c r="V248" s="6">
        <v>1026</v>
      </c>
      <c r="W248" s="6"/>
      <c r="X248" s="35">
        <f t="shared" si="49"/>
        <v>244</v>
      </c>
      <c r="Y248" s="35">
        <v>153</v>
      </c>
      <c r="Z248" s="35">
        <v>1100</v>
      </c>
      <c r="AA248" s="35">
        <f t="shared" si="50"/>
        <v>227</v>
      </c>
      <c r="AB248" s="35">
        <v>0</v>
      </c>
      <c r="AC248" s="6">
        <v>379</v>
      </c>
      <c r="AD248" s="35">
        <f t="shared" si="51"/>
        <v>226</v>
      </c>
      <c r="AE248" s="6">
        <v>229</v>
      </c>
      <c r="AF248" s="6"/>
      <c r="AG248" s="34">
        <f t="shared" si="52"/>
        <v>229</v>
      </c>
      <c r="AH248" s="35">
        <v>479</v>
      </c>
      <c r="AI248" s="35"/>
      <c r="AJ248" s="35">
        <f t="shared" si="53"/>
        <v>250</v>
      </c>
      <c r="AK248" s="6">
        <v>182</v>
      </c>
      <c r="AL248" s="6">
        <v>533</v>
      </c>
      <c r="AM248" s="35">
        <f t="shared" si="54"/>
        <v>236</v>
      </c>
      <c r="AN248" s="6"/>
      <c r="AO248" s="6"/>
      <c r="AP248" s="35"/>
      <c r="AQ248" s="35">
        <v>453</v>
      </c>
      <c r="AR248" s="35"/>
      <c r="AS248" s="35">
        <f t="shared" si="55"/>
        <v>271</v>
      </c>
      <c r="AT248" s="35">
        <v>721</v>
      </c>
      <c r="AU248" s="6"/>
      <c r="AV248" s="35">
        <f t="shared" si="64"/>
        <v>268</v>
      </c>
      <c r="AW248" s="6">
        <v>989</v>
      </c>
      <c r="AX248" s="6"/>
      <c r="AY248" s="6">
        <f t="shared" si="56"/>
        <v>268</v>
      </c>
      <c r="AZ248" s="6">
        <v>1059</v>
      </c>
      <c r="BA248" s="35"/>
      <c r="BB248" s="6">
        <f t="shared" si="57"/>
        <v>70</v>
      </c>
      <c r="BC248" s="35"/>
      <c r="BD248" s="35"/>
      <c r="BE248" s="6"/>
      <c r="BF248" s="35"/>
      <c r="BG248" s="35"/>
      <c r="BH248" s="35"/>
      <c r="BI248" s="35"/>
      <c r="BJ248" s="35"/>
      <c r="BK248" s="6"/>
      <c r="BL248" s="6"/>
      <c r="BM248" s="35"/>
      <c r="BN248" s="35"/>
      <c r="BO248" s="35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>
        <v>209</v>
      </c>
      <c r="CH248" s="6">
        <v>1100</v>
      </c>
      <c r="CI248" s="6">
        <f t="shared" si="58"/>
        <v>250</v>
      </c>
      <c r="CJ248" s="6">
        <v>476</v>
      </c>
      <c r="CK248" s="6"/>
      <c r="CL248" s="6">
        <f t="shared" si="59"/>
        <v>267</v>
      </c>
      <c r="CM248" s="6">
        <v>748</v>
      </c>
      <c r="CN248" s="6"/>
      <c r="CO248" s="6">
        <f t="shared" si="60"/>
        <v>272</v>
      </c>
      <c r="CP248" s="6">
        <v>1018</v>
      </c>
      <c r="CQ248" s="6"/>
      <c r="CR248" s="6">
        <f t="shared" si="61"/>
        <v>270</v>
      </c>
      <c r="CS248" s="6">
        <v>184</v>
      </c>
      <c r="CT248" s="6">
        <v>1100</v>
      </c>
      <c r="CU248" s="6">
        <f t="shared" si="62"/>
        <v>266</v>
      </c>
      <c r="CV248" s="6">
        <v>411</v>
      </c>
      <c r="CW248" s="10"/>
      <c r="CX248" s="6">
        <f t="shared" si="63"/>
        <v>227</v>
      </c>
    </row>
    <row r="249" spans="1:102">
      <c r="A249" s="151">
        <v>245</v>
      </c>
      <c r="B249" s="6">
        <v>656</v>
      </c>
      <c r="C249" s="10"/>
      <c r="D249" s="6">
        <v>208</v>
      </c>
      <c r="E249" s="141" t="s">
        <v>79</v>
      </c>
      <c r="F249" s="141" t="s">
        <v>79</v>
      </c>
      <c r="G249" s="141" t="s">
        <v>79</v>
      </c>
      <c r="H249" s="141" t="s">
        <v>79</v>
      </c>
      <c r="I249" s="141" t="s">
        <v>79</v>
      </c>
      <c r="J249" s="141" t="s">
        <v>79</v>
      </c>
      <c r="K249" s="141" t="s">
        <v>79</v>
      </c>
      <c r="L249" s="141" t="s">
        <v>79</v>
      </c>
      <c r="M249" s="141" t="s">
        <v>79</v>
      </c>
      <c r="N249" s="141" t="s">
        <v>79</v>
      </c>
      <c r="O249" s="141" t="s">
        <v>79</v>
      </c>
      <c r="P249" s="141" t="s">
        <v>79</v>
      </c>
      <c r="Q249" s="141" t="s">
        <v>79</v>
      </c>
      <c r="R249" s="141" t="s">
        <v>79</v>
      </c>
      <c r="S249" s="141" t="s">
        <v>79</v>
      </c>
      <c r="T249" s="141" t="s">
        <v>79</v>
      </c>
      <c r="U249" s="141" t="s">
        <v>79</v>
      </c>
      <c r="V249" s="6">
        <v>103</v>
      </c>
      <c r="W249" s="6">
        <v>800</v>
      </c>
      <c r="X249" s="35">
        <f t="shared" si="49"/>
        <v>247</v>
      </c>
      <c r="Y249" s="35">
        <v>339</v>
      </c>
      <c r="Z249" s="35"/>
      <c r="AA249" s="35">
        <f t="shared" si="50"/>
        <v>236</v>
      </c>
      <c r="AB249" s="6">
        <v>574</v>
      </c>
      <c r="AC249" s="6"/>
      <c r="AD249" s="35">
        <f t="shared" si="51"/>
        <v>235</v>
      </c>
      <c r="AE249" s="6">
        <v>17</v>
      </c>
      <c r="AF249" s="6">
        <v>800</v>
      </c>
      <c r="AG249" s="34">
        <f t="shared" si="52"/>
        <v>243</v>
      </c>
      <c r="AH249" s="35">
        <v>261</v>
      </c>
      <c r="AI249" s="35"/>
      <c r="AJ249" s="35">
        <f t="shared" si="53"/>
        <v>244</v>
      </c>
      <c r="AK249" s="6">
        <v>484</v>
      </c>
      <c r="AL249" s="6"/>
      <c r="AM249" s="35">
        <f t="shared" si="54"/>
        <v>223</v>
      </c>
      <c r="AN249" s="6"/>
      <c r="AO249" s="6"/>
      <c r="AP249" s="35"/>
      <c r="AQ249" s="35">
        <v>742</v>
      </c>
      <c r="AR249" s="35"/>
      <c r="AS249" s="35">
        <f t="shared" si="55"/>
        <v>258</v>
      </c>
      <c r="AT249" s="35">
        <v>200</v>
      </c>
      <c r="AU249" s="6">
        <v>800</v>
      </c>
      <c r="AV249" s="35">
        <f t="shared" si="64"/>
        <v>258</v>
      </c>
      <c r="AW249" s="6">
        <v>458</v>
      </c>
      <c r="AX249" s="6"/>
      <c r="AY249" s="6">
        <f t="shared" si="56"/>
        <v>258</v>
      </c>
      <c r="AZ249" s="6">
        <v>527</v>
      </c>
      <c r="BA249" s="6"/>
      <c r="BB249" s="6">
        <f t="shared" si="57"/>
        <v>69</v>
      </c>
      <c r="BC249" s="35"/>
      <c r="BD249" s="35"/>
      <c r="BE249" s="6"/>
      <c r="BF249" s="35"/>
      <c r="BG249" s="35"/>
      <c r="BH249" s="35"/>
      <c r="BI249" s="35"/>
      <c r="BJ249" s="35"/>
      <c r="BK249" s="6"/>
      <c r="BL249" s="6"/>
      <c r="BM249" s="35"/>
      <c r="BN249" s="35"/>
      <c r="BO249" s="35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>
        <v>796</v>
      </c>
      <c r="CH249" s="6"/>
      <c r="CI249" s="6">
        <f t="shared" si="58"/>
        <v>269</v>
      </c>
      <c r="CJ249" s="6">
        <v>257</v>
      </c>
      <c r="CK249" s="6">
        <v>800</v>
      </c>
      <c r="CL249" s="6">
        <f t="shared" si="59"/>
        <v>261</v>
      </c>
      <c r="CM249" s="6">
        <v>519</v>
      </c>
      <c r="CN249" s="6"/>
      <c r="CO249" s="6">
        <f t="shared" si="60"/>
        <v>262</v>
      </c>
      <c r="CP249" s="6">
        <v>776</v>
      </c>
      <c r="CQ249" s="6"/>
      <c r="CR249" s="6">
        <f t="shared" si="61"/>
        <v>257</v>
      </c>
      <c r="CS249" s="6">
        <v>225</v>
      </c>
      <c r="CT249" s="6">
        <v>800</v>
      </c>
      <c r="CU249" s="6">
        <f t="shared" si="62"/>
        <v>249</v>
      </c>
      <c r="CV249" s="6">
        <v>455</v>
      </c>
      <c r="CW249" s="10"/>
      <c r="CX249" s="6">
        <f t="shared" si="63"/>
        <v>230</v>
      </c>
    </row>
    <row r="250" spans="1:102">
      <c r="A250" s="151">
        <v>246</v>
      </c>
      <c r="B250" s="6">
        <v>669</v>
      </c>
      <c r="C250" s="10"/>
      <c r="D250" s="6">
        <v>207</v>
      </c>
      <c r="E250" s="141" t="s">
        <v>75</v>
      </c>
      <c r="F250" s="141" t="s">
        <v>75</v>
      </c>
      <c r="G250" s="141" t="s">
        <v>75</v>
      </c>
      <c r="H250" s="141" t="s">
        <v>75</v>
      </c>
      <c r="I250" s="141" t="s">
        <v>75</v>
      </c>
      <c r="J250" s="141" t="s">
        <v>75</v>
      </c>
      <c r="K250" s="141" t="s">
        <v>75</v>
      </c>
      <c r="L250" s="141" t="s">
        <v>75</v>
      </c>
      <c r="M250" s="141" t="s">
        <v>75</v>
      </c>
      <c r="N250" s="141" t="s">
        <v>75</v>
      </c>
      <c r="O250" s="141" t="s">
        <v>75</v>
      </c>
      <c r="P250" s="141" t="s">
        <v>75</v>
      </c>
      <c r="Q250" s="141" t="s">
        <v>75</v>
      </c>
      <c r="R250" s="141" t="s">
        <v>75</v>
      </c>
      <c r="S250" s="141" t="s">
        <v>75</v>
      </c>
      <c r="T250" s="141" t="s">
        <v>75</v>
      </c>
      <c r="U250" s="141" t="s">
        <v>75</v>
      </c>
      <c r="V250" s="6">
        <v>917</v>
      </c>
      <c r="W250" s="6"/>
      <c r="X250" s="35">
        <f t="shared" si="49"/>
        <v>248</v>
      </c>
      <c r="Y250" s="35">
        <v>50</v>
      </c>
      <c r="Z250" s="35">
        <v>1100</v>
      </c>
      <c r="AA250" s="35">
        <f t="shared" si="50"/>
        <v>233</v>
      </c>
      <c r="AB250" s="6">
        <v>289</v>
      </c>
      <c r="AC250" s="6"/>
      <c r="AD250" s="35">
        <f t="shared" si="51"/>
        <v>239</v>
      </c>
      <c r="AE250" s="6">
        <v>535</v>
      </c>
      <c r="AF250" s="6"/>
      <c r="AG250" s="34">
        <f t="shared" si="52"/>
        <v>246</v>
      </c>
      <c r="AH250" s="35">
        <v>783</v>
      </c>
      <c r="AI250" s="35"/>
      <c r="AJ250" s="35">
        <f t="shared" si="53"/>
        <v>248</v>
      </c>
      <c r="AK250" s="6">
        <v>172</v>
      </c>
      <c r="AL250" s="6">
        <v>838</v>
      </c>
      <c r="AM250" s="35">
        <f t="shared" si="54"/>
        <v>227</v>
      </c>
      <c r="AN250" s="6"/>
      <c r="AO250" s="6"/>
      <c r="AP250" s="35"/>
      <c r="AQ250" s="35">
        <v>431</v>
      </c>
      <c r="AR250" s="35"/>
      <c r="AS250" s="35">
        <f t="shared" si="55"/>
        <v>259</v>
      </c>
      <c r="AT250" s="35">
        <v>688</v>
      </c>
      <c r="AU250" s="6"/>
      <c r="AV250" s="35">
        <f t="shared" si="64"/>
        <v>257</v>
      </c>
      <c r="AW250" s="6">
        <v>948</v>
      </c>
      <c r="AX250" s="6"/>
      <c r="AY250" s="6">
        <f t="shared" si="56"/>
        <v>260</v>
      </c>
      <c r="AZ250" s="6">
        <v>1017</v>
      </c>
      <c r="BA250" s="6"/>
      <c r="BB250" s="6">
        <f t="shared" si="57"/>
        <v>69</v>
      </c>
      <c r="BC250" s="35"/>
      <c r="BD250" s="35"/>
      <c r="BE250" s="6"/>
      <c r="BF250" s="35"/>
      <c r="BG250" s="35"/>
      <c r="BH250" s="35"/>
      <c r="BI250" s="35"/>
      <c r="BJ250" s="35"/>
      <c r="BK250" s="6"/>
      <c r="BL250" s="6"/>
      <c r="BM250" s="35"/>
      <c r="BN250" s="35"/>
      <c r="BO250" s="35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>
        <v>184</v>
      </c>
      <c r="CH250" s="6">
        <v>1100</v>
      </c>
      <c r="CI250" s="6">
        <f t="shared" si="58"/>
        <v>267</v>
      </c>
      <c r="CJ250" s="6">
        <v>444</v>
      </c>
      <c r="CK250" s="6"/>
      <c r="CL250" s="6">
        <f t="shared" si="59"/>
        <v>260</v>
      </c>
      <c r="CM250" s="6">
        <v>710</v>
      </c>
      <c r="CN250" s="6"/>
      <c r="CO250" s="6">
        <f t="shared" si="60"/>
        <v>266</v>
      </c>
      <c r="CP250" s="6">
        <v>972</v>
      </c>
      <c r="CQ250" s="6"/>
      <c r="CR250" s="6">
        <f t="shared" si="61"/>
        <v>262</v>
      </c>
      <c r="CS250" s="6">
        <v>132</v>
      </c>
      <c r="CT250" s="6">
        <v>1100</v>
      </c>
      <c r="CU250" s="6">
        <f t="shared" si="62"/>
        <v>260</v>
      </c>
      <c r="CV250" s="6">
        <v>363</v>
      </c>
      <c r="CW250" s="10"/>
      <c r="CX250" s="6">
        <f t="shared" si="63"/>
        <v>231</v>
      </c>
    </row>
    <row r="251" spans="1:102">
      <c r="A251" s="151">
        <v>247</v>
      </c>
      <c r="B251" s="6">
        <v>447</v>
      </c>
      <c r="C251" s="10"/>
      <c r="D251" s="6">
        <v>213</v>
      </c>
      <c r="E251" s="141" t="s">
        <v>79</v>
      </c>
      <c r="F251" s="141" t="s">
        <v>79</v>
      </c>
      <c r="G251" s="141" t="s">
        <v>79</v>
      </c>
      <c r="H251" s="141" t="s">
        <v>79</v>
      </c>
      <c r="I251" s="141" t="s">
        <v>79</v>
      </c>
      <c r="J251" s="141" t="s">
        <v>79</v>
      </c>
      <c r="K251" s="141" t="s">
        <v>79</v>
      </c>
      <c r="L251" s="141" t="s">
        <v>79</v>
      </c>
      <c r="M251" s="141" t="s">
        <v>79</v>
      </c>
      <c r="N251" s="141" t="s">
        <v>79</v>
      </c>
      <c r="O251" s="141" t="s">
        <v>79</v>
      </c>
      <c r="P251" s="141" t="s">
        <v>79</v>
      </c>
      <c r="Q251" s="141" t="s">
        <v>79</v>
      </c>
      <c r="R251" s="141" t="s">
        <v>79</v>
      </c>
      <c r="S251" s="141" t="s">
        <v>79</v>
      </c>
      <c r="T251" s="141" t="s">
        <v>79</v>
      </c>
      <c r="U251" s="141" t="s">
        <v>79</v>
      </c>
      <c r="V251" s="6">
        <v>699</v>
      </c>
      <c r="W251" s="6"/>
      <c r="X251" s="35">
        <f t="shared" si="49"/>
        <v>252</v>
      </c>
      <c r="Y251" s="35">
        <v>134</v>
      </c>
      <c r="Z251" s="35">
        <v>800</v>
      </c>
      <c r="AA251" s="35">
        <f t="shared" si="50"/>
        <v>235</v>
      </c>
      <c r="AB251" s="6">
        <v>373</v>
      </c>
      <c r="AC251" s="6"/>
      <c r="AD251" s="35">
        <f t="shared" si="51"/>
        <v>239</v>
      </c>
      <c r="AE251" s="6">
        <v>611</v>
      </c>
      <c r="AF251" s="6"/>
      <c r="AG251" s="34">
        <f t="shared" si="52"/>
        <v>238</v>
      </c>
      <c r="AH251" s="35">
        <v>239</v>
      </c>
      <c r="AI251" s="35">
        <v>611</v>
      </c>
      <c r="AJ251" s="35">
        <f t="shared" si="53"/>
        <v>239</v>
      </c>
      <c r="AK251" s="6">
        <v>467</v>
      </c>
      <c r="AL251" s="6"/>
      <c r="AM251" s="35">
        <f t="shared" si="54"/>
        <v>228</v>
      </c>
      <c r="AN251" s="6"/>
      <c r="AO251" s="6"/>
      <c r="AP251" s="35"/>
      <c r="AQ251" s="35">
        <v>727</v>
      </c>
      <c r="AR251" s="35"/>
      <c r="AS251" s="35">
        <f t="shared" si="55"/>
        <v>260</v>
      </c>
      <c r="AT251" s="35">
        <v>184</v>
      </c>
      <c r="AU251" s="6">
        <v>800</v>
      </c>
      <c r="AV251" s="35">
        <f t="shared" si="64"/>
        <v>257</v>
      </c>
      <c r="AW251" s="6">
        <v>438</v>
      </c>
      <c r="AX251" s="6"/>
      <c r="AY251" s="6">
        <f t="shared" si="56"/>
        <v>254</v>
      </c>
      <c r="AZ251" s="6">
        <v>507</v>
      </c>
      <c r="BA251" s="6"/>
      <c r="BB251" s="6">
        <f t="shared" si="57"/>
        <v>69</v>
      </c>
      <c r="BC251" s="35"/>
      <c r="BD251" s="35"/>
      <c r="BE251" s="6"/>
      <c r="BF251" s="35"/>
      <c r="BG251" s="35"/>
      <c r="BH251" s="35"/>
      <c r="BI251" s="35"/>
      <c r="BJ251" s="35"/>
      <c r="BK251" s="6"/>
      <c r="BL251" s="6"/>
      <c r="BM251" s="6"/>
      <c r="BN251" s="35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>
        <v>771</v>
      </c>
      <c r="CH251" s="6"/>
      <c r="CI251" s="6">
        <f t="shared" si="58"/>
        <v>264</v>
      </c>
      <c r="CJ251" s="6">
        <v>226</v>
      </c>
      <c r="CK251" s="6">
        <v>800</v>
      </c>
      <c r="CL251" s="6">
        <f t="shared" si="59"/>
        <v>255</v>
      </c>
      <c r="CM251" s="6">
        <v>485</v>
      </c>
      <c r="CN251" s="6"/>
      <c r="CO251" s="6">
        <f t="shared" si="60"/>
        <v>259</v>
      </c>
      <c r="CP251" s="6">
        <v>743</v>
      </c>
      <c r="CQ251" s="6"/>
      <c r="CR251" s="6">
        <f t="shared" si="61"/>
        <v>258</v>
      </c>
      <c r="CS251" s="6">
        <v>196</v>
      </c>
      <c r="CT251" s="6">
        <v>800</v>
      </c>
      <c r="CU251" s="6">
        <f t="shared" si="62"/>
        <v>253</v>
      </c>
      <c r="CV251" s="6">
        <v>430</v>
      </c>
      <c r="CW251" s="10"/>
      <c r="CX251" s="6">
        <f t="shared" si="63"/>
        <v>234</v>
      </c>
    </row>
    <row r="252" spans="1:102">
      <c r="A252" s="151">
        <v>248</v>
      </c>
      <c r="B252" s="6">
        <v>382</v>
      </c>
      <c r="C252" s="10"/>
      <c r="D252" s="6">
        <v>204</v>
      </c>
      <c r="E252" s="141" t="s">
        <v>75</v>
      </c>
      <c r="F252" s="141" t="s">
        <v>75</v>
      </c>
      <c r="G252" s="141" t="s">
        <v>75</v>
      </c>
      <c r="H252" s="141" t="s">
        <v>75</v>
      </c>
      <c r="I252" s="141" t="s">
        <v>75</v>
      </c>
      <c r="J252" s="141" t="s">
        <v>75</v>
      </c>
      <c r="K252" s="141" t="s">
        <v>75</v>
      </c>
      <c r="L252" s="141" t="s">
        <v>75</v>
      </c>
      <c r="M252" s="141" t="s">
        <v>75</v>
      </c>
      <c r="N252" s="141" t="s">
        <v>75</v>
      </c>
      <c r="O252" s="141" t="s">
        <v>75</v>
      </c>
      <c r="P252" s="141" t="s">
        <v>75</v>
      </c>
      <c r="Q252" s="141" t="s">
        <v>75</v>
      </c>
      <c r="R252" s="141" t="s">
        <v>75</v>
      </c>
      <c r="S252" s="141" t="s">
        <v>75</v>
      </c>
      <c r="T252" s="141" t="s">
        <v>75</v>
      </c>
      <c r="U252" s="141" t="s">
        <v>75</v>
      </c>
      <c r="V252" s="6">
        <v>623</v>
      </c>
      <c r="W252" s="6"/>
      <c r="X252" s="35">
        <f t="shared" si="49"/>
        <v>241</v>
      </c>
      <c r="Y252" s="35">
        <v>852</v>
      </c>
      <c r="Z252" s="35"/>
      <c r="AA252" s="35">
        <f t="shared" si="50"/>
        <v>229</v>
      </c>
      <c r="AB252" s="6">
        <v>1079</v>
      </c>
      <c r="AC252" s="6"/>
      <c r="AD252" s="35">
        <f t="shared" si="51"/>
        <v>227</v>
      </c>
      <c r="AE252" s="6">
        <v>225</v>
      </c>
      <c r="AF252" s="6">
        <v>1100</v>
      </c>
      <c r="AG252" s="34">
        <f t="shared" si="52"/>
        <v>246</v>
      </c>
      <c r="AH252" s="35">
        <v>473</v>
      </c>
      <c r="AI252" s="35"/>
      <c r="AJ252" s="35">
        <f t="shared" si="53"/>
        <v>248</v>
      </c>
      <c r="AK252" s="6">
        <v>181</v>
      </c>
      <c r="AL252" s="6">
        <v>528</v>
      </c>
      <c r="AM252" s="35">
        <f t="shared" si="54"/>
        <v>236</v>
      </c>
      <c r="AN252" s="6"/>
      <c r="AO252" s="6"/>
      <c r="AP252" s="35"/>
      <c r="AQ252" s="35">
        <v>449</v>
      </c>
      <c r="AR252" s="35"/>
      <c r="AS252" s="35">
        <f t="shared" si="55"/>
        <v>268</v>
      </c>
      <c r="AT252" s="35">
        <v>715</v>
      </c>
      <c r="AU252" s="6"/>
      <c r="AV252" s="35">
        <f t="shared" si="64"/>
        <v>266</v>
      </c>
      <c r="AW252" s="6">
        <v>980</v>
      </c>
      <c r="AX252" s="6"/>
      <c r="AY252" s="6">
        <f t="shared" si="56"/>
        <v>265</v>
      </c>
      <c r="AZ252" s="6">
        <v>1051</v>
      </c>
      <c r="BA252" s="6"/>
      <c r="BB252" s="6">
        <f t="shared" si="57"/>
        <v>71</v>
      </c>
      <c r="BC252" s="35"/>
      <c r="BD252" s="35"/>
      <c r="BE252" s="6"/>
      <c r="BF252" s="35"/>
      <c r="BG252" s="35"/>
      <c r="BH252" s="35"/>
      <c r="BI252" s="35"/>
      <c r="BJ252" s="35"/>
      <c r="BK252" s="6"/>
      <c r="BL252" s="6"/>
      <c r="BM252" s="6"/>
      <c r="BN252" s="35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>
        <v>221</v>
      </c>
      <c r="CH252" s="6">
        <v>1100</v>
      </c>
      <c r="CI252" s="6">
        <f t="shared" si="58"/>
        <v>270</v>
      </c>
      <c r="CJ252" s="6">
        <v>485</v>
      </c>
      <c r="CK252" s="6"/>
      <c r="CL252" s="6">
        <f t="shared" si="59"/>
        <v>264</v>
      </c>
      <c r="CM252" s="6">
        <v>756</v>
      </c>
      <c r="CN252" s="6"/>
      <c r="CO252" s="6">
        <f t="shared" si="60"/>
        <v>271</v>
      </c>
      <c r="CP252" s="6">
        <v>1023</v>
      </c>
      <c r="CQ252" s="6"/>
      <c r="CR252" s="6">
        <f t="shared" si="61"/>
        <v>267</v>
      </c>
      <c r="CS252" s="6">
        <v>189</v>
      </c>
      <c r="CT252" s="6">
        <v>1100</v>
      </c>
      <c r="CU252" s="6">
        <f t="shared" si="62"/>
        <v>266</v>
      </c>
      <c r="CV252" s="6">
        <v>425</v>
      </c>
      <c r="CW252" s="10"/>
      <c r="CX252" s="6">
        <f t="shared" si="63"/>
        <v>236</v>
      </c>
    </row>
    <row r="253" spans="1:102">
      <c r="A253" s="151">
        <v>249</v>
      </c>
      <c r="B253" s="6">
        <v>500</v>
      </c>
      <c r="C253" s="10"/>
      <c r="D253" s="6">
        <v>208</v>
      </c>
      <c r="E253" s="33" t="s">
        <v>75</v>
      </c>
      <c r="F253" s="33" t="s">
        <v>75</v>
      </c>
      <c r="G253" s="33" t="s">
        <v>75</v>
      </c>
      <c r="H253" s="33" t="s">
        <v>75</v>
      </c>
      <c r="I253" s="33" t="s">
        <v>75</v>
      </c>
      <c r="J253" s="33" t="s">
        <v>75</v>
      </c>
      <c r="K253" s="33" t="s">
        <v>75</v>
      </c>
      <c r="L253" s="33" t="s">
        <v>75</v>
      </c>
      <c r="M253" s="33" t="s">
        <v>75</v>
      </c>
      <c r="N253" s="33" t="s">
        <v>75</v>
      </c>
      <c r="O253" s="33" t="s">
        <v>75</v>
      </c>
      <c r="P253" s="33" t="s">
        <v>75</v>
      </c>
      <c r="Q253" s="33" t="s">
        <v>75</v>
      </c>
      <c r="R253" s="33" t="s">
        <v>75</v>
      </c>
      <c r="S253" s="148" t="s">
        <v>75</v>
      </c>
      <c r="T253" s="33" t="s">
        <v>75</v>
      </c>
      <c r="U253" s="33" t="s">
        <v>75</v>
      </c>
      <c r="V253" s="6">
        <v>748</v>
      </c>
      <c r="W253" s="6"/>
      <c r="X253" s="35">
        <f t="shared" si="49"/>
        <v>248</v>
      </c>
      <c r="Y253" s="35">
        <v>980</v>
      </c>
      <c r="Z253" s="35"/>
      <c r="AA253" s="35">
        <f t="shared" si="50"/>
        <v>232</v>
      </c>
      <c r="AB253" s="6">
        <v>117</v>
      </c>
      <c r="AC253" s="6">
        <v>1100</v>
      </c>
      <c r="AD253" s="35">
        <f t="shared" si="51"/>
        <v>237</v>
      </c>
      <c r="AE253" s="6">
        <v>364</v>
      </c>
      <c r="AF253" s="6"/>
      <c r="AG253" s="34">
        <f t="shared" si="52"/>
        <v>247</v>
      </c>
      <c r="AH253" s="35">
        <v>613</v>
      </c>
      <c r="AI253" s="35"/>
      <c r="AJ253" s="35">
        <f t="shared" si="53"/>
        <v>249</v>
      </c>
      <c r="AK253" s="6">
        <v>180</v>
      </c>
      <c r="AL253" s="6">
        <v>666</v>
      </c>
      <c r="AM253" s="35">
        <f t="shared" si="54"/>
        <v>233</v>
      </c>
      <c r="AN253" s="6"/>
      <c r="AO253" s="6"/>
      <c r="AP253" s="35"/>
      <c r="AQ253" s="35">
        <v>449</v>
      </c>
      <c r="AR253" s="35"/>
      <c r="AS253" s="35">
        <f t="shared" si="55"/>
        <v>269</v>
      </c>
      <c r="AT253" s="35">
        <v>717</v>
      </c>
      <c r="AU253" s="6"/>
      <c r="AV253" s="35">
        <f t="shared" si="64"/>
        <v>268</v>
      </c>
      <c r="AW253" s="6">
        <v>984</v>
      </c>
      <c r="AX253" s="6"/>
      <c r="AY253" s="6">
        <f t="shared" si="56"/>
        <v>267</v>
      </c>
      <c r="AZ253" s="6">
        <v>1051</v>
      </c>
      <c r="BA253" s="6"/>
      <c r="BB253" s="6">
        <f t="shared" si="57"/>
        <v>67</v>
      </c>
      <c r="BC253" s="35"/>
      <c r="BD253" s="35"/>
      <c r="BE253" s="6"/>
      <c r="BF253" s="35"/>
      <c r="BG253" s="35"/>
      <c r="BH253" s="35"/>
      <c r="BI253" s="35"/>
      <c r="BJ253" s="35"/>
      <c r="BK253" s="6"/>
      <c r="BL253" s="6"/>
      <c r="BM253" s="6"/>
      <c r="BN253" s="35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>
        <v>199</v>
      </c>
      <c r="CH253" s="6">
        <v>1100</v>
      </c>
      <c r="CI253" s="6">
        <f t="shared" si="58"/>
        <v>248</v>
      </c>
      <c r="CJ253" s="6">
        <v>464</v>
      </c>
      <c r="CK253" s="6"/>
      <c r="CL253" s="6">
        <f t="shared" si="59"/>
        <v>265</v>
      </c>
      <c r="CM253" s="6">
        <v>734</v>
      </c>
      <c r="CN253" s="6"/>
      <c r="CO253" s="6">
        <f t="shared" si="60"/>
        <v>270</v>
      </c>
      <c r="CP253" s="6">
        <v>186</v>
      </c>
      <c r="CQ253" s="6">
        <v>799</v>
      </c>
      <c r="CR253" s="6">
        <f t="shared" si="61"/>
        <v>251</v>
      </c>
      <c r="CS253" s="6">
        <v>448</v>
      </c>
      <c r="CT253" s="6"/>
      <c r="CU253" s="6">
        <f t="shared" si="62"/>
        <v>262</v>
      </c>
      <c r="CV253" s="6">
        <v>680</v>
      </c>
      <c r="CW253" s="10"/>
      <c r="CX253" s="6">
        <f t="shared" si="63"/>
        <v>232</v>
      </c>
    </row>
    <row r="254" spans="1:102">
      <c r="A254" s="151">
        <v>250</v>
      </c>
      <c r="B254" s="6">
        <v>241</v>
      </c>
      <c r="C254" s="10"/>
      <c r="D254" s="6">
        <v>205</v>
      </c>
      <c r="E254" s="141" t="s">
        <v>75</v>
      </c>
      <c r="F254" s="141" t="s">
        <v>75</v>
      </c>
      <c r="G254" s="141" t="s">
        <v>75</v>
      </c>
      <c r="H254" s="141" t="s">
        <v>75</v>
      </c>
      <c r="I254" s="141" t="s">
        <v>75</v>
      </c>
      <c r="J254" s="141" t="s">
        <v>75</v>
      </c>
      <c r="K254" s="141" t="s">
        <v>75</v>
      </c>
      <c r="L254" s="141" t="s">
        <v>75</v>
      </c>
      <c r="M254" s="141" t="s">
        <v>75</v>
      </c>
      <c r="N254" s="141" t="s">
        <v>75</v>
      </c>
      <c r="O254" s="141" t="s">
        <v>75</v>
      </c>
      <c r="P254" s="141" t="s">
        <v>75</v>
      </c>
      <c r="Q254" s="141" t="s">
        <v>75</v>
      </c>
      <c r="R254" s="141" t="s">
        <v>75</v>
      </c>
      <c r="S254" s="141" t="s">
        <v>75</v>
      </c>
      <c r="T254" s="163" t="s">
        <v>75</v>
      </c>
      <c r="U254" s="141" t="s">
        <v>75</v>
      </c>
      <c r="V254" s="6">
        <v>481</v>
      </c>
      <c r="W254" s="6"/>
      <c r="X254" s="35">
        <f t="shared" si="49"/>
        <v>240</v>
      </c>
      <c r="Y254" s="35">
        <v>711</v>
      </c>
      <c r="Z254" s="35"/>
      <c r="AA254" s="35">
        <f t="shared" si="50"/>
        <v>230</v>
      </c>
      <c r="AB254" s="6">
        <v>943</v>
      </c>
      <c r="AC254" s="6"/>
      <c r="AD254" s="35">
        <f t="shared" si="51"/>
        <v>232</v>
      </c>
      <c r="AE254" s="6">
        <v>86</v>
      </c>
      <c r="AF254" s="6">
        <v>1100</v>
      </c>
      <c r="AG254" s="34">
        <f t="shared" si="52"/>
        <v>243</v>
      </c>
      <c r="AH254" s="35">
        <v>334</v>
      </c>
      <c r="AI254" s="35"/>
      <c r="AJ254" s="35">
        <f t="shared" si="53"/>
        <v>248</v>
      </c>
      <c r="AK254" s="6">
        <v>179</v>
      </c>
      <c r="AL254" s="6">
        <v>389</v>
      </c>
      <c r="AM254" s="35">
        <f t="shared" si="54"/>
        <v>234</v>
      </c>
      <c r="AN254" s="6"/>
      <c r="AO254" s="6"/>
      <c r="AP254" s="35"/>
      <c r="AQ254" s="35">
        <v>446</v>
      </c>
      <c r="AR254" s="35"/>
      <c r="AS254" s="35">
        <f t="shared" si="55"/>
        <v>267</v>
      </c>
      <c r="AT254" s="35">
        <v>714</v>
      </c>
      <c r="AU254" s="6"/>
      <c r="AV254" s="35">
        <f t="shared" si="64"/>
        <v>268</v>
      </c>
      <c r="AW254" s="6">
        <v>984</v>
      </c>
      <c r="AX254" s="6"/>
      <c r="AY254" s="6">
        <f t="shared" si="56"/>
        <v>270</v>
      </c>
      <c r="AZ254" s="6">
        <v>1054</v>
      </c>
      <c r="BA254" s="6"/>
      <c r="BB254" s="6">
        <f t="shared" si="57"/>
        <v>70</v>
      </c>
      <c r="BC254" s="35"/>
      <c r="BD254" s="35"/>
      <c r="BE254" s="6"/>
      <c r="BF254" s="35"/>
      <c r="BG254" s="35"/>
      <c r="BH254" s="35"/>
      <c r="BI254" s="35"/>
      <c r="BJ254" s="35"/>
      <c r="BK254" s="6"/>
      <c r="BL254" s="6"/>
      <c r="BM254" s="6"/>
      <c r="BN254" s="35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>
        <v>226</v>
      </c>
      <c r="CH254" s="6">
        <v>1100</v>
      </c>
      <c r="CI254" s="6">
        <f t="shared" si="58"/>
        <v>272</v>
      </c>
      <c r="CJ254" s="6">
        <v>492</v>
      </c>
      <c r="CK254" s="6"/>
      <c r="CL254" s="6">
        <f t="shared" si="59"/>
        <v>266</v>
      </c>
      <c r="CM254" s="6">
        <v>763</v>
      </c>
      <c r="CN254" s="6"/>
      <c r="CO254" s="6">
        <f t="shared" si="60"/>
        <v>271</v>
      </c>
      <c r="CP254" s="6">
        <v>1033</v>
      </c>
      <c r="CQ254" s="6"/>
      <c r="CR254" s="6">
        <f t="shared" si="61"/>
        <v>270</v>
      </c>
      <c r="CS254" s="6">
        <v>206</v>
      </c>
      <c r="CT254" s="6">
        <v>1070</v>
      </c>
      <c r="CU254" s="6">
        <f t="shared" si="62"/>
        <v>243</v>
      </c>
      <c r="CV254" s="6">
        <v>437</v>
      </c>
      <c r="CW254" s="10"/>
      <c r="CX254" s="6">
        <f t="shared" si="63"/>
        <v>231</v>
      </c>
    </row>
    <row r="255" spans="1:102">
      <c r="A255" s="151">
        <v>251</v>
      </c>
      <c r="B255" s="6">
        <v>296</v>
      </c>
      <c r="C255" s="10"/>
      <c r="D255" s="6">
        <v>209</v>
      </c>
      <c r="E255" s="33" t="s">
        <v>75</v>
      </c>
      <c r="F255" s="33" t="s">
        <v>75</v>
      </c>
      <c r="G255" s="33" t="s">
        <v>75</v>
      </c>
      <c r="H255" s="33" t="s">
        <v>75</v>
      </c>
      <c r="I255" s="33" t="s">
        <v>75</v>
      </c>
      <c r="J255" s="33" t="s">
        <v>75</v>
      </c>
      <c r="K255" s="33" t="s">
        <v>75</v>
      </c>
      <c r="L255" s="33" t="s">
        <v>75</v>
      </c>
      <c r="M255" s="33" t="s">
        <v>75</v>
      </c>
      <c r="N255" s="33" t="s">
        <v>75</v>
      </c>
      <c r="O255" s="33" t="s">
        <v>75</v>
      </c>
      <c r="P255" s="33" t="s">
        <v>75</v>
      </c>
      <c r="Q255" s="33" t="s">
        <v>75</v>
      </c>
      <c r="R255" s="33" t="s">
        <v>75</v>
      </c>
      <c r="S255" s="33" t="s">
        <v>75</v>
      </c>
      <c r="T255" s="148" t="s">
        <v>75</v>
      </c>
      <c r="U255" s="33" t="s">
        <v>75</v>
      </c>
      <c r="V255" s="6">
        <v>547</v>
      </c>
      <c r="W255" s="6"/>
      <c r="X255" s="35">
        <f t="shared" si="49"/>
        <v>251</v>
      </c>
      <c r="Y255" s="35">
        <v>785</v>
      </c>
      <c r="Z255" s="35"/>
      <c r="AA255" s="35">
        <f t="shared" si="50"/>
        <v>238</v>
      </c>
      <c r="AB255" s="6">
        <v>1021</v>
      </c>
      <c r="AC255" s="6"/>
      <c r="AD255" s="35">
        <f t="shared" si="51"/>
        <v>236</v>
      </c>
      <c r="AE255" s="6">
        <v>166</v>
      </c>
      <c r="AF255" s="6">
        <v>1100</v>
      </c>
      <c r="AG255" s="34">
        <f t="shared" si="52"/>
        <v>245</v>
      </c>
      <c r="AH255" s="35">
        <v>414</v>
      </c>
      <c r="AI255" s="35"/>
      <c r="AJ255" s="35">
        <f t="shared" si="53"/>
        <v>248</v>
      </c>
      <c r="AK255" s="6">
        <v>182</v>
      </c>
      <c r="AL255" s="6">
        <v>470</v>
      </c>
      <c r="AM255" s="35">
        <f t="shared" si="54"/>
        <v>238</v>
      </c>
      <c r="AN255" s="6"/>
      <c r="AO255" s="6"/>
      <c r="AP255" s="35"/>
      <c r="AQ255" s="35">
        <v>451</v>
      </c>
      <c r="AR255" s="35"/>
      <c r="AS255" s="35">
        <f t="shared" si="55"/>
        <v>269</v>
      </c>
      <c r="AT255" s="35">
        <v>210</v>
      </c>
      <c r="AU255" s="6">
        <v>498</v>
      </c>
      <c r="AV255" s="35">
        <f t="shared" si="64"/>
        <v>257</v>
      </c>
      <c r="AW255" s="6">
        <v>479</v>
      </c>
      <c r="AX255" s="6"/>
      <c r="AY255" s="6">
        <f t="shared" si="56"/>
        <v>269</v>
      </c>
      <c r="AZ255" s="6">
        <v>549</v>
      </c>
      <c r="BA255" s="6"/>
      <c r="BB255" s="6">
        <f t="shared" si="57"/>
        <v>70</v>
      </c>
      <c r="BC255" s="35"/>
      <c r="BD255" s="35"/>
      <c r="BE255" s="6"/>
      <c r="BF255" s="35"/>
      <c r="BG255" s="35"/>
      <c r="BH255" s="35"/>
      <c r="BI255" s="35"/>
      <c r="BJ255" s="35"/>
      <c r="BK255" s="6"/>
      <c r="BL255" s="6"/>
      <c r="BM255" s="6"/>
      <c r="BN255" s="35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>
        <v>819</v>
      </c>
      <c r="CH255" s="6"/>
      <c r="CI255" s="6">
        <f t="shared" si="58"/>
        <v>270</v>
      </c>
      <c r="CJ255" s="6">
        <v>1082</v>
      </c>
      <c r="CK255" s="6"/>
      <c r="CL255" s="6">
        <f t="shared" si="59"/>
        <v>263</v>
      </c>
      <c r="CM255" s="6">
        <v>253</v>
      </c>
      <c r="CN255" s="6">
        <v>1100</v>
      </c>
      <c r="CO255" s="6">
        <f t="shared" si="60"/>
        <v>271</v>
      </c>
      <c r="CP255" s="6">
        <v>0</v>
      </c>
      <c r="CQ255" s="6">
        <v>512</v>
      </c>
      <c r="CR255" s="6">
        <f t="shared" si="61"/>
        <v>259</v>
      </c>
      <c r="CS255" s="6">
        <v>262</v>
      </c>
      <c r="CT255" s="6"/>
      <c r="CU255" s="6">
        <f t="shared" si="62"/>
        <v>262</v>
      </c>
      <c r="CV255" s="6">
        <v>492</v>
      </c>
      <c r="CW255" s="10"/>
      <c r="CX255" s="6">
        <f t="shared" si="63"/>
        <v>230</v>
      </c>
    </row>
    <row r="256" spans="1:102">
      <c r="A256" s="151">
        <v>252</v>
      </c>
      <c r="B256" s="6">
        <v>890</v>
      </c>
      <c r="C256" s="10"/>
      <c r="D256" s="6">
        <v>200</v>
      </c>
      <c r="E256" s="33" t="s">
        <v>75</v>
      </c>
      <c r="F256" s="33" t="s">
        <v>75</v>
      </c>
      <c r="G256" s="33" t="s">
        <v>75</v>
      </c>
      <c r="H256" s="33" t="s">
        <v>75</v>
      </c>
      <c r="I256" s="33" t="s">
        <v>75</v>
      </c>
      <c r="J256" s="33" t="s">
        <v>75</v>
      </c>
      <c r="K256" s="33" t="s">
        <v>75</v>
      </c>
      <c r="L256" s="33" t="s">
        <v>75</v>
      </c>
      <c r="M256" s="33" t="s">
        <v>75</v>
      </c>
      <c r="N256" s="33" t="s">
        <v>75</v>
      </c>
      <c r="O256" s="33" t="s">
        <v>75</v>
      </c>
      <c r="P256" s="33" t="s">
        <v>75</v>
      </c>
      <c r="Q256" s="33" t="s">
        <v>75</v>
      </c>
      <c r="R256" s="33" t="s">
        <v>75</v>
      </c>
      <c r="S256" s="33" t="s">
        <v>75</v>
      </c>
      <c r="T256" s="33" t="s">
        <v>75</v>
      </c>
      <c r="U256" s="33" t="s">
        <v>75</v>
      </c>
      <c r="V256" s="6">
        <v>35</v>
      </c>
      <c r="W256" s="6">
        <v>1100</v>
      </c>
      <c r="X256" s="35">
        <f t="shared" si="49"/>
        <v>245</v>
      </c>
      <c r="Y256" s="35">
        <v>268</v>
      </c>
      <c r="Z256" s="35"/>
      <c r="AA256" s="35">
        <f t="shared" si="50"/>
        <v>233</v>
      </c>
      <c r="AB256" s="6">
        <v>503</v>
      </c>
      <c r="AC256" s="6"/>
      <c r="AD256" s="35">
        <f t="shared" si="51"/>
        <v>235</v>
      </c>
      <c r="AE256" s="6">
        <v>748</v>
      </c>
      <c r="AF256" s="6"/>
      <c r="AG256" s="34">
        <f t="shared" si="52"/>
        <v>245</v>
      </c>
      <c r="AH256" s="35">
        <v>997</v>
      </c>
      <c r="AI256" s="35"/>
      <c r="AJ256" s="35">
        <f t="shared" si="53"/>
        <v>249</v>
      </c>
      <c r="AK256" s="6">
        <v>180</v>
      </c>
      <c r="AL256" s="6">
        <v>1053</v>
      </c>
      <c r="AM256" s="35">
        <f t="shared" si="54"/>
        <v>236</v>
      </c>
      <c r="AN256" s="6"/>
      <c r="AO256" s="6"/>
      <c r="AP256" s="35"/>
      <c r="AQ256" s="35">
        <v>451</v>
      </c>
      <c r="AR256" s="35"/>
      <c r="AS256" s="35">
        <f t="shared" si="55"/>
        <v>271</v>
      </c>
      <c r="AT256" s="35">
        <v>716</v>
      </c>
      <c r="AU256" s="6"/>
      <c r="AV256" s="35">
        <f t="shared" si="64"/>
        <v>265</v>
      </c>
      <c r="AW256" s="6">
        <v>982</v>
      </c>
      <c r="AX256" s="6"/>
      <c r="AY256" s="6">
        <f t="shared" si="56"/>
        <v>266</v>
      </c>
      <c r="AZ256" s="6">
        <v>62</v>
      </c>
      <c r="BA256" s="6">
        <v>989</v>
      </c>
      <c r="BB256" s="6">
        <f t="shared" si="57"/>
        <v>69</v>
      </c>
      <c r="BC256" s="35"/>
      <c r="BD256" s="35"/>
      <c r="BE256" s="6"/>
      <c r="BF256" s="35"/>
      <c r="BG256" s="35"/>
      <c r="BH256" s="35"/>
      <c r="BI256" s="35"/>
      <c r="BJ256" s="35"/>
      <c r="BK256" s="6"/>
      <c r="BL256" s="6"/>
      <c r="BM256" s="6"/>
      <c r="BN256" s="35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>
        <v>334</v>
      </c>
      <c r="CH256" s="6"/>
      <c r="CI256" s="6">
        <f t="shared" si="58"/>
        <v>272</v>
      </c>
      <c r="CJ256" s="6">
        <v>601</v>
      </c>
      <c r="CK256" s="6"/>
      <c r="CL256" s="6">
        <f t="shared" si="59"/>
        <v>267</v>
      </c>
      <c r="CM256" s="6">
        <v>869</v>
      </c>
      <c r="CN256" s="6"/>
      <c r="CO256" s="6">
        <f t="shared" si="60"/>
        <v>268</v>
      </c>
      <c r="CP256" s="6">
        <v>40</v>
      </c>
      <c r="CQ256" s="6">
        <v>1100</v>
      </c>
      <c r="CR256" s="6">
        <f t="shared" si="61"/>
        <v>271</v>
      </c>
      <c r="CS256" s="6">
        <v>308</v>
      </c>
      <c r="CT256" s="6"/>
      <c r="CU256" s="6">
        <f t="shared" si="62"/>
        <v>268</v>
      </c>
      <c r="CV256" s="6">
        <v>0</v>
      </c>
      <c r="CW256" s="10">
        <v>526</v>
      </c>
      <c r="CX256" s="6">
        <f t="shared" si="63"/>
        <v>218</v>
      </c>
    </row>
    <row r="257" spans="1:102">
      <c r="A257" s="6">
        <v>253</v>
      </c>
      <c r="B257" s="6"/>
      <c r="C257" s="10"/>
      <c r="D257" s="6"/>
      <c r="E257" s="141" t="s">
        <v>75</v>
      </c>
      <c r="F257" s="141" t="s">
        <v>75</v>
      </c>
      <c r="G257" s="141" t="s">
        <v>75</v>
      </c>
      <c r="H257" s="141" t="s">
        <v>75</v>
      </c>
      <c r="I257" s="141" t="s">
        <v>75</v>
      </c>
      <c r="J257" s="141" t="s">
        <v>75</v>
      </c>
      <c r="K257" s="141" t="s">
        <v>75</v>
      </c>
      <c r="L257" s="141" t="s">
        <v>75</v>
      </c>
      <c r="M257" s="141" t="s">
        <v>75</v>
      </c>
      <c r="N257" s="141" t="s">
        <v>75</v>
      </c>
      <c r="O257" s="141" t="s">
        <v>75</v>
      </c>
      <c r="P257" s="141" t="s">
        <v>75</v>
      </c>
      <c r="Q257" s="141" t="s">
        <v>75</v>
      </c>
      <c r="R257" s="141" t="s">
        <v>75</v>
      </c>
      <c r="S257" s="141" t="s">
        <v>75</v>
      </c>
      <c r="T257" s="141" t="s">
        <v>75</v>
      </c>
      <c r="U257" s="141" t="s">
        <v>75</v>
      </c>
      <c r="V257" s="6">
        <v>0</v>
      </c>
      <c r="W257" s="6"/>
      <c r="X257" s="35">
        <f t="shared" si="49"/>
        <v>0</v>
      </c>
      <c r="Y257" s="35">
        <v>0</v>
      </c>
      <c r="Z257" s="35"/>
      <c r="AA257" s="35">
        <f t="shared" si="50"/>
        <v>0</v>
      </c>
      <c r="AB257" s="6"/>
      <c r="AC257" s="6"/>
      <c r="AD257" s="35">
        <f t="shared" si="51"/>
        <v>0</v>
      </c>
      <c r="AE257" s="6">
        <v>0</v>
      </c>
      <c r="AF257" s="6"/>
      <c r="AG257" s="34">
        <f t="shared" si="52"/>
        <v>0</v>
      </c>
      <c r="AH257" s="35">
        <v>0</v>
      </c>
      <c r="AI257" s="35"/>
      <c r="AJ257" s="35">
        <f t="shared" si="53"/>
        <v>0</v>
      </c>
      <c r="AK257" s="6">
        <v>0</v>
      </c>
      <c r="AL257" s="6"/>
      <c r="AM257" s="35">
        <f t="shared" si="54"/>
        <v>0</v>
      </c>
      <c r="AN257" s="6"/>
      <c r="AO257" s="6"/>
      <c r="AP257" s="35"/>
      <c r="AQ257" s="35">
        <v>0</v>
      </c>
      <c r="AR257" s="35"/>
      <c r="AS257" s="35">
        <f t="shared" si="55"/>
        <v>0</v>
      </c>
      <c r="AT257" s="35">
        <v>0</v>
      </c>
      <c r="AU257" s="6"/>
      <c r="AV257" s="35">
        <f t="shared" si="64"/>
        <v>0</v>
      </c>
      <c r="AW257" s="6">
        <v>0</v>
      </c>
      <c r="AX257" s="6"/>
      <c r="AY257" s="6">
        <f t="shared" si="56"/>
        <v>0</v>
      </c>
      <c r="AZ257" s="6">
        <v>0</v>
      </c>
      <c r="BA257" s="6"/>
      <c r="BB257" s="6">
        <f t="shared" si="57"/>
        <v>0</v>
      </c>
      <c r="BC257" s="35"/>
      <c r="BD257" s="35"/>
      <c r="BE257" s="6"/>
      <c r="BF257" s="35"/>
      <c r="BG257" s="35"/>
      <c r="BH257" s="35"/>
      <c r="BI257" s="35"/>
      <c r="BJ257" s="35"/>
      <c r="BK257" s="6"/>
      <c r="BL257" s="6"/>
      <c r="BM257" s="6"/>
      <c r="BN257" s="35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>
        <v>0</v>
      </c>
      <c r="CH257" s="6"/>
      <c r="CI257" s="6">
        <f t="shared" si="58"/>
        <v>0</v>
      </c>
      <c r="CJ257" s="6">
        <v>0</v>
      </c>
      <c r="CK257" s="6"/>
      <c r="CL257" s="6">
        <f t="shared" si="59"/>
        <v>0</v>
      </c>
      <c r="CM257" s="6">
        <v>0</v>
      </c>
      <c r="CN257" s="6"/>
      <c r="CO257" s="6">
        <f t="shared" si="60"/>
        <v>0</v>
      </c>
      <c r="CP257" s="6">
        <v>0</v>
      </c>
      <c r="CQ257" s="6"/>
      <c r="CR257" s="6">
        <f t="shared" si="61"/>
        <v>0</v>
      </c>
      <c r="CS257" s="6">
        <v>0</v>
      </c>
      <c r="CT257" s="6"/>
      <c r="CU257" s="6">
        <f t="shared" si="62"/>
        <v>0</v>
      </c>
      <c r="CV257" s="6">
        <v>0</v>
      </c>
      <c r="CW257" s="10"/>
      <c r="CX257" s="6">
        <f t="shared" si="63"/>
        <v>0</v>
      </c>
    </row>
    <row r="258" spans="1:102">
      <c r="A258" s="6">
        <v>254</v>
      </c>
      <c r="B258" s="6"/>
      <c r="C258" s="10"/>
      <c r="D258" s="6"/>
      <c r="E258" s="141" t="s">
        <v>75</v>
      </c>
      <c r="F258" s="141" t="s">
        <v>75</v>
      </c>
      <c r="G258" s="141" t="s">
        <v>75</v>
      </c>
      <c r="H258" s="141" t="s">
        <v>75</v>
      </c>
      <c r="I258" s="141" t="s">
        <v>75</v>
      </c>
      <c r="J258" s="141" t="s">
        <v>75</v>
      </c>
      <c r="K258" s="141" t="s">
        <v>75</v>
      </c>
      <c r="L258" s="141" t="s">
        <v>75</v>
      </c>
      <c r="M258" s="141" t="s">
        <v>75</v>
      </c>
      <c r="N258" s="141" t="s">
        <v>75</v>
      </c>
      <c r="O258" s="141" t="s">
        <v>75</v>
      </c>
      <c r="P258" s="141" t="s">
        <v>75</v>
      </c>
      <c r="Q258" s="141" t="s">
        <v>75</v>
      </c>
      <c r="R258" s="141" t="s">
        <v>75</v>
      </c>
      <c r="S258" s="141" t="s">
        <v>75</v>
      </c>
      <c r="T258" s="141" t="s">
        <v>75</v>
      </c>
      <c r="U258" s="141" t="s">
        <v>75</v>
      </c>
      <c r="V258" s="6">
        <v>0</v>
      </c>
      <c r="W258" s="6"/>
      <c r="X258" s="35">
        <f t="shared" si="49"/>
        <v>0</v>
      </c>
      <c r="Y258" s="35">
        <v>0</v>
      </c>
      <c r="Z258" s="35"/>
      <c r="AA258" s="35">
        <f t="shared" si="50"/>
        <v>0</v>
      </c>
      <c r="AB258" s="6"/>
      <c r="AC258" s="6"/>
      <c r="AD258" s="35">
        <f t="shared" si="51"/>
        <v>0</v>
      </c>
      <c r="AE258" s="6">
        <v>0</v>
      </c>
      <c r="AF258" s="6"/>
      <c r="AG258" s="34">
        <f t="shared" si="52"/>
        <v>0</v>
      </c>
      <c r="AH258" s="35">
        <v>0</v>
      </c>
      <c r="AI258" s="35"/>
      <c r="AJ258" s="35">
        <f t="shared" si="53"/>
        <v>0</v>
      </c>
      <c r="AK258" s="6">
        <v>0</v>
      </c>
      <c r="AL258" s="6"/>
      <c r="AM258" s="35">
        <f t="shared" si="54"/>
        <v>0</v>
      </c>
      <c r="AN258" s="6"/>
      <c r="AO258" s="6"/>
      <c r="AP258" s="35"/>
      <c r="AQ258" s="35">
        <v>0</v>
      </c>
      <c r="AR258" s="35"/>
      <c r="AS258" s="35">
        <f t="shared" si="55"/>
        <v>0</v>
      </c>
      <c r="AT258" s="35">
        <v>0</v>
      </c>
      <c r="AU258" s="6"/>
      <c r="AV258" s="35">
        <f t="shared" si="64"/>
        <v>0</v>
      </c>
      <c r="AW258" s="6">
        <v>0</v>
      </c>
      <c r="AX258" s="6"/>
      <c r="AY258" s="6">
        <f t="shared" si="56"/>
        <v>0</v>
      </c>
      <c r="AZ258" s="6">
        <v>0</v>
      </c>
      <c r="BA258" s="6"/>
      <c r="BB258" s="6">
        <f t="shared" si="57"/>
        <v>0</v>
      </c>
      <c r="BC258" s="35"/>
      <c r="BD258" s="35"/>
      <c r="BE258" s="6"/>
      <c r="BF258" s="35"/>
      <c r="BG258" s="35"/>
      <c r="BH258" s="35"/>
      <c r="BI258" s="35"/>
      <c r="BJ258" s="35"/>
      <c r="BK258" s="6"/>
      <c r="BL258" s="6"/>
      <c r="BM258" s="6"/>
      <c r="BN258" s="35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>
        <v>0</v>
      </c>
      <c r="CH258" s="6"/>
      <c r="CI258" s="6">
        <f t="shared" si="58"/>
        <v>0</v>
      </c>
      <c r="CJ258" s="6">
        <v>0</v>
      </c>
      <c r="CK258" s="6"/>
      <c r="CL258" s="6">
        <f t="shared" si="59"/>
        <v>0</v>
      </c>
      <c r="CM258" s="6">
        <v>0</v>
      </c>
      <c r="CN258" s="6"/>
      <c r="CO258" s="6">
        <f t="shared" si="60"/>
        <v>0</v>
      </c>
      <c r="CP258" s="6">
        <v>0</v>
      </c>
      <c r="CQ258" s="6"/>
      <c r="CR258" s="6">
        <f t="shared" si="61"/>
        <v>0</v>
      </c>
      <c r="CS258" s="6">
        <v>0</v>
      </c>
      <c r="CT258" s="6"/>
      <c r="CU258" s="6">
        <f t="shared" si="62"/>
        <v>0</v>
      </c>
      <c r="CV258" s="6">
        <v>0</v>
      </c>
      <c r="CW258" s="10"/>
      <c r="CX258" s="6">
        <f t="shared" si="63"/>
        <v>0</v>
      </c>
    </row>
    <row r="259" spans="1:102">
      <c r="A259" s="6">
        <v>255</v>
      </c>
      <c r="B259" s="6"/>
      <c r="C259" s="10"/>
      <c r="D259" s="6"/>
      <c r="E259" s="141" t="s">
        <v>75</v>
      </c>
      <c r="F259" s="141" t="s">
        <v>75</v>
      </c>
      <c r="G259" s="141" t="s">
        <v>75</v>
      </c>
      <c r="H259" s="141" t="s">
        <v>75</v>
      </c>
      <c r="I259" s="141" t="s">
        <v>75</v>
      </c>
      <c r="J259" s="141" t="s">
        <v>75</v>
      </c>
      <c r="K259" s="141" t="s">
        <v>75</v>
      </c>
      <c r="L259" s="141" t="s">
        <v>75</v>
      </c>
      <c r="M259" s="141" t="s">
        <v>75</v>
      </c>
      <c r="N259" s="141" t="s">
        <v>75</v>
      </c>
      <c r="O259" s="141" t="s">
        <v>75</v>
      </c>
      <c r="P259" s="141" t="s">
        <v>75</v>
      </c>
      <c r="Q259" s="141" t="s">
        <v>75</v>
      </c>
      <c r="R259" s="141" t="s">
        <v>75</v>
      </c>
      <c r="S259" s="141" t="s">
        <v>75</v>
      </c>
      <c r="T259" s="141" t="s">
        <v>75</v>
      </c>
      <c r="U259" s="141" t="s">
        <v>75</v>
      </c>
      <c r="V259" s="6">
        <v>0</v>
      </c>
      <c r="W259" s="6"/>
      <c r="X259" s="35">
        <f t="shared" si="49"/>
        <v>0</v>
      </c>
      <c r="Y259" s="35">
        <v>0</v>
      </c>
      <c r="Z259" s="35"/>
      <c r="AA259" s="35">
        <f t="shared" si="50"/>
        <v>0</v>
      </c>
      <c r="AB259" s="6"/>
      <c r="AC259" s="6"/>
      <c r="AD259" s="35">
        <f t="shared" si="51"/>
        <v>0</v>
      </c>
      <c r="AE259" s="6">
        <v>0</v>
      </c>
      <c r="AF259" s="6"/>
      <c r="AG259" s="34">
        <f t="shared" si="52"/>
        <v>0</v>
      </c>
      <c r="AH259" s="35">
        <v>0</v>
      </c>
      <c r="AI259" s="35"/>
      <c r="AJ259" s="35">
        <f t="shared" si="53"/>
        <v>0</v>
      </c>
      <c r="AK259" s="6">
        <v>0</v>
      </c>
      <c r="AL259" s="6"/>
      <c r="AM259" s="35">
        <f t="shared" si="54"/>
        <v>0</v>
      </c>
      <c r="AN259" s="6"/>
      <c r="AO259" s="6"/>
      <c r="AP259" s="35"/>
      <c r="AQ259" s="35">
        <v>0</v>
      </c>
      <c r="AR259" s="35"/>
      <c r="AS259" s="35">
        <f t="shared" si="55"/>
        <v>0</v>
      </c>
      <c r="AT259" s="35">
        <v>0</v>
      </c>
      <c r="AU259" s="6"/>
      <c r="AV259" s="35">
        <f t="shared" si="64"/>
        <v>0</v>
      </c>
      <c r="AW259" s="6">
        <v>0</v>
      </c>
      <c r="AX259" s="6"/>
      <c r="AY259" s="6">
        <f t="shared" si="56"/>
        <v>0</v>
      </c>
      <c r="AZ259" s="6">
        <v>0</v>
      </c>
      <c r="BA259" s="6"/>
      <c r="BB259" s="6">
        <f t="shared" si="57"/>
        <v>0</v>
      </c>
      <c r="BC259" s="35"/>
      <c r="BD259" s="35"/>
      <c r="BE259" s="6"/>
      <c r="BF259" s="35"/>
      <c r="BG259" s="35"/>
      <c r="BH259" s="35"/>
      <c r="BI259" s="35"/>
      <c r="BJ259" s="35"/>
      <c r="BK259" s="6"/>
      <c r="BL259" s="6"/>
      <c r="BM259" s="6"/>
      <c r="BN259" s="35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>
        <v>0</v>
      </c>
      <c r="CH259" s="6"/>
      <c r="CI259" s="6">
        <f t="shared" si="58"/>
        <v>0</v>
      </c>
      <c r="CJ259" s="6">
        <v>0</v>
      </c>
      <c r="CK259" s="6"/>
      <c r="CL259" s="6">
        <f t="shared" si="59"/>
        <v>0</v>
      </c>
      <c r="CM259" s="6">
        <v>0</v>
      </c>
      <c r="CN259" s="6"/>
      <c r="CO259" s="6">
        <f t="shared" si="60"/>
        <v>0</v>
      </c>
      <c r="CP259" s="6">
        <v>0</v>
      </c>
      <c r="CQ259" s="6"/>
      <c r="CR259" s="6">
        <f t="shared" si="61"/>
        <v>0</v>
      </c>
      <c r="CS259" s="6">
        <v>0</v>
      </c>
      <c r="CT259" s="6"/>
      <c r="CU259" s="6">
        <f t="shared" si="62"/>
        <v>0</v>
      </c>
      <c r="CV259" s="6">
        <v>0</v>
      </c>
      <c r="CW259" s="10"/>
      <c r="CX259" s="6">
        <f t="shared" si="63"/>
        <v>0</v>
      </c>
    </row>
    <row r="260" spans="1:102">
      <c r="A260" s="6">
        <v>256</v>
      </c>
      <c r="B260" s="6"/>
      <c r="C260" s="10"/>
      <c r="D260" s="6"/>
      <c r="E260" s="141" t="s">
        <v>75</v>
      </c>
      <c r="F260" s="141" t="s">
        <v>75</v>
      </c>
      <c r="G260" s="141" t="s">
        <v>75</v>
      </c>
      <c r="H260" s="141" t="s">
        <v>75</v>
      </c>
      <c r="I260" s="141" t="s">
        <v>75</v>
      </c>
      <c r="J260" s="141" t="s">
        <v>75</v>
      </c>
      <c r="K260" s="141" t="s">
        <v>75</v>
      </c>
      <c r="L260" s="141" t="s">
        <v>75</v>
      </c>
      <c r="M260" s="141" t="s">
        <v>75</v>
      </c>
      <c r="N260" s="141" t="s">
        <v>75</v>
      </c>
      <c r="O260" s="141" t="s">
        <v>75</v>
      </c>
      <c r="P260" s="141" t="s">
        <v>75</v>
      </c>
      <c r="Q260" s="141" t="s">
        <v>75</v>
      </c>
      <c r="R260" s="141" t="s">
        <v>75</v>
      </c>
      <c r="S260" s="141" t="s">
        <v>75</v>
      </c>
      <c r="T260" s="141" t="s">
        <v>75</v>
      </c>
      <c r="U260" s="141" t="s">
        <v>75</v>
      </c>
      <c r="V260" s="6">
        <v>0</v>
      </c>
      <c r="W260" s="6"/>
      <c r="X260" s="35">
        <f t="shared" si="49"/>
        <v>0</v>
      </c>
      <c r="Y260" s="35">
        <v>0</v>
      </c>
      <c r="Z260" s="35"/>
      <c r="AA260" s="35">
        <f t="shared" si="50"/>
        <v>0</v>
      </c>
      <c r="AB260" s="6"/>
      <c r="AC260" s="6"/>
      <c r="AD260" s="35">
        <f t="shared" si="51"/>
        <v>0</v>
      </c>
      <c r="AE260" s="6">
        <v>0</v>
      </c>
      <c r="AF260" s="6"/>
      <c r="AG260" s="34">
        <f t="shared" si="52"/>
        <v>0</v>
      </c>
      <c r="AH260" s="35">
        <v>0</v>
      </c>
      <c r="AI260" s="35"/>
      <c r="AJ260" s="35">
        <f t="shared" si="53"/>
        <v>0</v>
      </c>
      <c r="AK260" s="6">
        <v>0</v>
      </c>
      <c r="AL260" s="6"/>
      <c r="AM260" s="35">
        <f t="shared" si="54"/>
        <v>0</v>
      </c>
      <c r="AN260" s="6"/>
      <c r="AO260" s="6"/>
      <c r="AP260" s="35"/>
      <c r="AQ260" s="35">
        <v>0</v>
      </c>
      <c r="AR260" s="35"/>
      <c r="AS260" s="35">
        <f t="shared" si="55"/>
        <v>0</v>
      </c>
      <c r="AT260" s="35">
        <v>0</v>
      </c>
      <c r="AU260" s="6"/>
      <c r="AV260" s="35">
        <f t="shared" si="64"/>
        <v>0</v>
      </c>
      <c r="AW260" s="6">
        <v>0</v>
      </c>
      <c r="AX260" s="6"/>
      <c r="AY260" s="6">
        <f t="shared" si="56"/>
        <v>0</v>
      </c>
      <c r="AZ260" s="6">
        <v>0</v>
      </c>
      <c r="BA260" s="6"/>
      <c r="BB260" s="6">
        <f t="shared" si="57"/>
        <v>0</v>
      </c>
      <c r="BC260" s="35"/>
      <c r="BD260" s="35"/>
      <c r="BE260" s="6"/>
      <c r="BF260" s="35"/>
      <c r="BG260" s="35"/>
      <c r="BH260" s="35"/>
      <c r="BI260" s="35"/>
      <c r="BJ260" s="35"/>
      <c r="BK260" s="6"/>
      <c r="BL260" s="6"/>
      <c r="BM260" s="6"/>
      <c r="BN260" s="35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>
        <v>0</v>
      </c>
      <c r="CH260" s="6"/>
      <c r="CI260" s="6">
        <f t="shared" si="58"/>
        <v>0</v>
      </c>
      <c r="CJ260" s="6">
        <v>0</v>
      </c>
      <c r="CK260" s="6"/>
      <c r="CL260" s="6">
        <f t="shared" si="59"/>
        <v>0</v>
      </c>
      <c r="CM260" s="6">
        <v>0</v>
      </c>
      <c r="CN260" s="6"/>
      <c r="CO260" s="6">
        <f t="shared" si="60"/>
        <v>0</v>
      </c>
      <c r="CP260" s="6">
        <v>0</v>
      </c>
      <c r="CQ260" s="6"/>
      <c r="CR260" s="6">
        <f t="shared" si="61"/>
        <v>0</v>
      </c>
      <c r="CS260" s="6">
        <v>0</v>
      </c>
      <c r="CT260" s="6"/>
      <c r="CU260" s="6">
        <f t="shared" si="62"/>
        <v>0</v>
      </c>
      <c r="CV260" s="6">
        <v>0</v>
      </c>
      <c r="CW260" s="10"/>
      <c r="CX260" s="6">
        <f t="shared" si="63"/>
        <v>0</v>
      </c>
    </row>
    <row r="261" spans="1:102">
      <c r="A261" s="6">
        <v>257</v>
      </c>
      <c r="B261" s="6"/>
      <c r="C261" s="10"/>
      <c r="D261" s="6"/>
      <c r="E261" s="141" t="s">
        <v>75</v>
      </c>
      <c r="F261" s="141" t="s">
        <v>75</v>
      </c>
      <c r="G261" s="141" t="s">
        <v>75</v>
      </c>
      <c r="H261" s="141" t="s">
        <v>75</v>
      </c>
      <c r="I261" s="141" t="s">
        <v>75</v>
      </c>
      <c r="J261" s="141" t="s">
        <v>75</v>
      </c>
      <c r="K261" s="141" t="s">
        <v>75</v>
      </c>
      <c r="L261" s="141" t="s">
        <v>75</v>
      </c>
      <c r="M261" s="141" t="s">
        <v>75</v>
      </c>
      <c r="N261" s="141" t="s">
        <v>75</v>
      </c>
      <c r="O261" s="141" t="s">
        <v>75</v>
      </c>
      <c r="P261" s="141" t="s">
        <v>75</v>
      </c>
      <c r="Q261" s="141" t="s">
        <v>75</v>
      </c>
      <c r="R261" s="141" t="s">
        <v>75</v>
      </c>
      <c r="S261" s="141" t="s">
        <v>75</v>
      </c>
      <c r="T261" s="141" t="s">
        <v>75</v>
      </c>
      <c r="U261" s="141" t="s">
        <v>75</v>
      </c>
      <c r="V261" s="6">
        <v>0</v>
      </c>
      <c r="W261" s="6"/>
      <c r="X261" s="35">
        <f t="shared" ref="X261:X266" si="65">W261+V261-B261</f>
        <v>0</v>
      </c>
      <c r="Y261" s="35">
        <v>0</v>
      </c>
      <c r="Z261" s="35"/>
      <c r="AA261" s="35">
        <f t="shared" si="50"/>
        <v>0</v>
      </c>
      <c r="AB261" s="6"/>
      <c r="AC261" s="6"/>
      <c r="AD261" s="35">
        <f t="shared" si="51"/>
        <v>0</v>
      </c>
      <c r="AE261" s="6">
        <v>0</v>
      </c>
      <c r="AF261" s="6"/>
      <c r="AG261" s="34">
        <f t="shared" si="52"/>
        <v>0</v>
      </c>
      <c r="AH261" s="35">
        <v>0</v>
      </c>
      <c r="AI261" s="35"/>
      <c r="AJ261" s="35">
        <f t="shared" si="53"/>
        <v>0</v>
      </c>
      <c r="AK261" s="6">
        <v>0</v>
      </c>
      <c r="AL261" s="6"/>
      <c r="AM261" s="35">
        <f t="shared" si="54"/>
        <v>0</v>
      </c>
      <c r="AN261" s="6"/>
      <c r="AO261" s="6"/>
      <c r="AP261" s="35"/>
      <c r="AQ261" s="35">
        <v>0</v>
      </c>
      <c r="AR261" s="35"/>
      <c r="AS261" s="35">
        <f t="shared" si="55"/>
        <v>0</v>
      </c>
      <c r="AT261" s="35">
        <v>0</v>
      </c>
      <c r="AU261" s="6"/>
      <c r="AV261" s="35">
        <f t="shared" si="64"/>
        <v>0</v>
      </c>
      <c r="AW261" s="6">
        <v>0</v>
      </c>
      <c r="AX261" s="6"/>
      <c r="AY261" s="6">
        <f t="shared" si="56"/>
        <v>0</v>
      </c>
      <c r="AZ261" s="6">
        <v>0</v>
      </c>
      <c r="BA261" s="6"/>
      <c r="BB261" s="6">
        <f t="shared" si="57"/>
        <v>0</v>
      </c>
      <c r="BC261" s="35"/>
      <c r="BD261" s="35"/>
      <c r="BE261" s="6"/>
      <c r="BF261" s="35"/>
      <c r="BG261" s="35"/>
      <c r="BH261" s="35"/>
      <c r="BI261" s="35"/>
      <c r="BJ261" s="35"/>
      <c r="BK261" s="6"/>
      <c r="BL261" s="6"/>
      <c r="BM261" s="6"/>
      <c r="BN261" s="35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>
        <v>0</v>
      </c>
      <c r="CH261" s="6"/>
      <c r="CI261" s="6">
        <f t="shared" si="58"/>
        <v>0</v>
      </c>
      <c r="CJ261" s="6">
        <v>0</v>
      </c>
      <c r="CK261" s="6"/>
      <c r="CL261" s="6">
        <f t="shared" si="59"/>
        <v>0</v>
      </c>
      <c r="CM261" s="6">
        <v>0</v>
      </c>
      <c r="CN261" s="6"/>
      <c r="CO261" s="6">
        <f t="shared" si="60"/>
        <v>0</v>
      </c>
      <c r="CP261" s="6">
        <v>0</v>
      </c>
      <c r="CQ261" s="6"/>
      <c r="CR261" s="6">
        <f t="shared" si="61"/>
        <v>0</v>
      </c>
      <c r="CS261" s="6">
        <v>0</v>
      </c>
      <c r="CT261" s="6"/>
      <c r="CU261" s="6">
        <f t="shared" si="62"/>
        <v>0</v>
      </c>
      <c r="CV261" s="6">
        <v>0</v>
      </c>
      <c r="CW261" s="10"/>
      <c r="CX261" s="6">
        <f t="shared" si="63"/>
        <v>0</v>
      </c>
    </row>
    <row r="262" spans="1:102">
      <c r="A262" s="6">
        <v>258</v>
      </c>
      <c r="B262" s="6"/>
      <c r="C262" s="10"/>
      <c r="D262" s="6"/>
      <c r="E262" s="141" t="s">
        <v>75</v>
      </c>
      <c r="F262" s="141" t="s">
        <v>75</v>
      </c>
      <c r="G262" s="141" t="s">
        <v>75</v>
      </c>
      <c r="H262" s="141" t="s">
        <v>75</v>
      </c>
      <c r="I262" s="141" t="s">
        <v>75</v>
      </c>
      <c r="J262" s="141" t="s">
        <v>75</v>
      </c>
      <c r="K262" s="141" t="s">
        <v>75</v>
      </c>
      <c r="L262" s="141" t="s">
        <v>75</v>
      </c>
      <c r="M262" s="141" t="s">
        <v>75</v>
      </c>
      <c r="N262" s="141" t="s">
        <v>75</v>
      </c>
      <c r="O262" s="141" t="s">
        <v>75</v>
      </c>
      <c r="P262" s="141" t="s">
        <v>75</v>
      </c>
      <c r="Q262" s="141" t="s">
        <v>75</v>
      </c>
      <c r="R262" s="141" t="s">
        <v>75</v>
      </c>
      <c r="S262" s="141" t="s">
        <v>75</v>
      </c>
      <c r="T262" s="141" t="s">
        <v>75</v>
      </c>
      <c r="U262" s="141" t="s">
        <v>75</v>
      </c>
      <c r="V262" s="6">
        <v>0</v>
      </c>
      <c r="W262" s="6"/>
      <c r="X262" s="35">
        <f t="shared" si="65"/>
        <v>0</v>
      </c>
      <c r="Y262" s="35">
        <v>0</v>
      </c>
      <c r="Z262" s="35"/>
      <c r="AA262" s="35">
        <f>Z262+Y262-V262</f>
        <v>0</v>
      </c>
      <c r="AB262" s="6"/>
      <c r="AC262" s="6"/>
      <c r="AD262" s="35">
        <f>AC262+AB262-Y262</f>
        <v>0</v>
      </c>
      <c r="AE262" s="6">
        <v>0</v>
      </c>
      <c r="AF262" s="6"/>
      <c r="AG262" s="34">
        <f>AF262+AE262-AB262</f>
        <v>0</v>
      </c>
      <c r="AH262" s="35">
        <v>0</v>
      </c>
      <c r="AI262" s="35"/>
      <c r="AJ262" s="35">
        <f>AI262+AH262-AE262</f>
        <v>0</v>
      </c>
      <c r="AK262" s="6">
        <v>0</v>
      </c>
      <c r="AL262" s="6"/>
      <c r="AM262" s="35">
        <f>AL262+AK262-AH262</f>
        <v>0</v>
      </c>
      <c r="AN262" s="6"/>
      <c r="AO262" s="6"/>
      <c r="AP262" s="35"/>
      <c r="AQ262" s="35">
        <v>0</v>
      </c>
      <c r="AR262" s="35"/>
      <c r="AS262" s="35">
        <f>AR262+AQ262-AK262</f>
        <v>0</v>
      </c>
      <c r="AT262" s="35">
        <v>0</v>
      </c>
      <c r="AU262" s="6"/>
      <c r="AV262" s="35">
        <f t="shared" si="64"/>
        <v>0</v>
      </c>
      <c r="AW262" s="6">
        <v>0</v>
      </c>
      <c r="AX262" s="6"/>
      <c r="AY262" s="6">
        <f>AX262+AW262-AT262</f>
        <v>0</v>
      </c>
      <c r="AZ262" s="6">
        <v>0</v>
      </c>
      <c r="BA262" s="6"/>
      <c r="BB262" s="6">
        <f>BA262+AZ262-AW262</f>
        <v>0</v>
      </c>
      <c r="BC262" s="35"/>
      <c r="BD262" s="35"/>
      <c r="BE262" s="6"/>
      <c r="BF262" s="35"/>
      <c r="BG262" s="35"/>
      <c r="BH262" s="35"/>
      <c r="BI262" s="35"/>
      <c r="BJ262" s="35"/>
      <c r="BK262" s="6"/>
      <c r="BL262" s="6"/>
      <c r="BM262" s="6"/>
      <c r="BN262" s="35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>
        <v>0</v>
      </c>
      <c r="CH262" s="6"/>
      <c r="CI262" s="6">
        <f>CH262+CG262-AZ262</f>
        <v>0</v>
      </c>
      <c r="CJ262" s="6">
        <v>0</v>
      </c>
      <c r="CK262" s="6"/>
      <c r="CL262" s="6">
        <f>CK262+CJ262-CG262</f>
        <v>0</v>
      </c>
      <c r="CM262" s="6">
        <v>0</v>
      </c>
      <c r="CN262" s="6"/>
      <c r="CO262" s="6">
        <f>CN262+CM262-CJ262</f>
        <v>0</v>
      </c>
      <c r="CP262" s="6">
        <v>0</v>
      </c>
      <c r="CQ262" s="6"/>
      <c r="CR262" s="6">
        <f>CQ262+CP262-CM262</f>
        <v>0</v>
      </c>
      <c r="CS262" s="6">
        <v>0</v>
      </c>
      <c r="CT262" s="6"/>
      <c r="CU262" s="6">
        <f>CT262+CS262-CP262</f>
        <v>0</v>
      </c>
      <c r="CV262" s="6">
        <v>0</v>
      </c>
      <c r="CW262" s="10"/>
      <c r="CX262" s="6">
        <f>CW262+CV262-CS262</f>
        <v>0</v>
      </c>
    </row>
    <row r="263" spans="1:102" ht="14.25" customHeight="1">
      <c r="A263" s="6">
        <v>259</v>
      </c>
      <c r="B263" s="6"/>
      <c r="C263" s="10"/>
      <c r="D263" s="6"/>
      <c r="E263" s="33" t="s">
        <v>75</v>
      </c>
      <c r="F263" s="33" t="s">
        <v>75</v>
      </c>
      <c r="G263" s="33" t="s">
        <v>75</v>
      </c>
      <c r="H263" s="33" t="s">
        <v>75</v>
      </c>
      <c r="I263" s="33" t="s">
        <v>75</v>
      </c>
      <c r="J263" s="33" t="s">
        <v>75</v>
      </c>
      <c r="K263" s="33" t="s">
        <v>75</v>
      </c>
      <c r="L263" s="33" t="s">
        <v>75</v>
      </c>
      <c r="M263" s="33" t="s">
        <v>75</v>
      </c>
      <c r="N263" s="33" t="s">
        <v>75</v>
      </c>
      <c r="O263" s="33" t="s">
        <v>75</v>
      </c>
      <c r="P263" s="33" t="s">
        <v>75</v>
      </c>
      <c r="Q263" s="33" t="s">
        <v>75</v>
      </c>
      <c r="R263" s="33" t="s">
        <v>75</v>
      </c>
      <c r="S263" s="33" t="s">
        <v>75</v>
      </c>
      <c r="T263" s="33" t="s">
        <v>75</v>
      </c>
      <c r="U263" s="33" t="s">
        <v>75</v>
      </c>
      <c r="V263" s="6">
        <v>0</v>
      </c>
      <c r="W263" s="6"/>
      <c r="X263" s="35">
        <f t="shared" si="65"/>
        <v>0</v>
      </c>
      <c r="Y263" s="35">
        <v>0</v>
      </c>
      <c r="Z263" s="35"/>
      <c r="AA263" s="35">
        <f>Z263+Y263-V263</f>
        <v>0</v>
      </c>
      <c r="AB263" s="6"/>
      <c r="AC263" s="6"/>
      <c r="AD263" s="35">
        <f>AC263+AB263-Y263</f>
        <v>0</v>
      </c>
      <c r="AE263" s="6">
        <v>0</v>
      </c>
      <c r="AF263" s="6"/>
      <c r="AG263" s="34">
        <f>AF263+AE263-AB263</f>
        <v>0</v>
      </c>
      <c r="AH263" s="35">
        <v>0</v>
      </c>
      <c r="AI263" s="35"/>
      <c r="AJ263" s="35">
        <f>AI263+AH263-AE263</f>
        <v>0</v>
      </c>
      <c r="AK263" s="6">
        <v>0</v>
      </c>
      <c r="AL263" s="6"/>
      <c r="AM263" s="35">
        <f>AL263+AK263-AH263</f>
        <v>0</v>
      </c>
      <c r="AN263" s="6"/>
      <c r="AO263" s="6"/>
      <c r="AP263" s="35"/>
      <c r="AQ263" s="35">
        <v>0</v>
      </c>
      <c r="AR263" s="35"/>
      <c r="AS263" s="35">
        <f>AR263+AQ263-AK263</f>
        <v>0</v>
      </c>
      <c r="AT263" s="35">
        <v>0</v>
      </c>
      <c r="AU263" s="6"/>
      <c r="AV263" s="35">
        <f t="shared" si="64"/>
        <v>0</v>
      </c>
      <c r="AW263" s="6">
        <v>0</v>
      </c>
      <c r="AX263" s="6"/>
      <c r="AY263" s="6">
        <f>AX263+AW263-AT263</f>
        <v>0</v>
      </c>
      <c r="AZ263" s="6">
        <v>0</v>
      </c>
      <c r="BA263" s="6"/>
      <c r="BB263" s="6">
        <f>BA263+AZ263-AW263</f>
        <v>0</v>
      </c>
      <c r="BC263" s="35"/>
      <c r="BD263" s="35"/>
      <c r="BE263" s="6"/>
      <c r="BF263" s="35"/>
      <c r="BG263" s="35"/>
      <c r="BH263" s="35"/>
      <c r="BI263" s="35"/>
      <c r="BJ263" s="35"/>
      <c r="BK263" s="6"/>
      <c r="BL263" s="6"/>
      <c r="BM263" s="6"/>
      <c r="BN263" s="35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>
        <v>0</v>
      </c>
      <c r="CH263" s="6"/>
      <c r="CI263" s="6">
        <f>CH263+CG263-AZ263</f>
        <v>0</v>
      </c>
      <c r="CJ263" s="6">
        <v>0</v>
      </c>
      <c r="CK263" s="6"/>
      <c r="CL263" s="6">
        <f>CK263+CJ263-CG263</f>
        <v>0</v>
      </c>
      <c r="CM263" s="6">
        <v>0</v>
      </c>
      <c r="CN263" s="6"/>
      <c r="CO263" s="6">
        <f>CN263+CM263-CJ263</f>
        <v>0</v>
      </c>
      <c r="CP263" s="6">
        <v>0</v>
      </c>
      <c r="CQ263" s="6"/>
      <c r="CR263" s="6">
        <f>CQ263+CP263-CM263</f>
        <v>0</v>
      </c>
      <c r="CS263" s="6">
        <v>0</v>
      </c>
      <c r="CT263" s="6"/>
      <c r="CU263" s="6">
        <f>CT263+CS263-CP263</f>
        <v>0</v>
      </c>
      <c r="CV263" s="6">
        <v>0</v>
      </c>
      <c r="CW263" s="10"/>
      <c r="CX263" s="6">
        <f>CW263+CV263-CS263</f>
        <v>0</v>
      </c>
    </row>
    <row r="264" spans="1:102">
      <c r="A264" s="6">
        <v>260</v>
      </c>
      <c r="B264" s="6"/>
      <c r="C264" s="10"/>
      <c r="D264" s="6"/>
      <c r="E264" s="141" t="s">
        <v>75</v>
      </c>
      <c r="F264" s="141" t="s">
        <v>75</v>
      </c>
      <c r="G264" s="141" t="s">
        <v>75</v>
      </c>
      <c r="H264" s="141" t="s">
        <v>75</v>
      </c>
      <c r="I264" s="141" t="s">
        <v>75</v>
      </c>
      <c r="J264" s="141" t="s">
        <v>75</v>
      </c>
      <c r="K264" s="141" t="s">
        <v>75</v>
      </c>
      <c r="L264" s="141" t="s">
        <v>75</v>
      </c>
      <c r="M264" s="141" t="s">
        <v>75</v>
      </c>
      <c r="N264" s="141" t="s">
        <v>75</v>
      </c>
      <c r="O264" s="141" t="s">
        <v>75</v>
      </c>
      <c r="P264" s="141" t="s">
        <v>75</v>
      </c>
      <c r="Q264" s="141" t="s">
        <v>75</v>
      </c>
      <c r="R264" s="141" t="s">
        <v>75</v>
      </c>
      <c r="S264" s="141" t="s">
        <v>75</v>
      </c>
      <c r="T264" s="141" t="s">
        <v>75</v>
      </c>
      <c r="U264" s="141" t="s">
        <v>75</v>
      </c>
      <c r="V264" s="6">
        <v>0</v>
      </c>
      <c r="W264" s="6"/>
      <c r="X264" s="35">
        <f t="shared" si="65"/>
        <v>0</v>
      </c>
      <c r="Y264" s="35">
        <v>0</v>
      </c>
      <c r="Z264" s="35"/>
      <c r="AA264" s="35">
        <f>Z264+Y264-V264</f>
        <v>0</v>
      </c>
      <c r="AB264" s="6"/>
      <c r="AC264" s="6"/>
      <c r="AD264" s="35">
        <f>AC264+AB264-Y264</f>
        <v>0</v>
      </c>
      <c r="AE264" s="6">
        <v>0</v>
      </c>
      <c r="AF264" s="6"/>
      <c r="AG264" s="34">
        <f>AF264+AE264-AB264</f>
        <v>0</v>
      </c>
      <c r="AH264" s="35">
        <v>0</v>
      </c>
      <c r="AI264" s="35"/>
      <c r="AJ264" s="35">
        <f>AI264+AH264-AE264</f>
        <v>0</v>
      </c>
      <c r="AK264" s="6">
        <v>0</v>
      </c>
      <c r="AL264" s="6"/>
      <c r="AM264" s="35">
        <f>AL264+AK264-AH264</f>
        <v>0</v>
      </c>
      <c r="AN264" s="6"/>
      <c r="AO264" s="6"/>
      <c r="AP264" s="35"/>
      <c r="AQ264" s="35">
        <v>0</v>
      </c>
      <c r="AR264" s="35"/>
      <c r="AS264" s="35">
        <f>AR264+AQ264-AK264</f>
        <v>0</v>
      </c>
      <c r="AT264" s="35">
        <v>0</v>
      </c>
      <c r="AU264" s="6"/>
      <c r="AV264" s="35">
        <f t="shared" si="64"/>
        <v>0</v>
      </c>
      <c r="AW264" s="6">
        <v>0</v>
      </c>
      <c r="AX264" s="6"/>
      <c r="AY264" s="6">
        <f>AX264+AW264-AT264</f>
        <v>0</v>
      </c>
      <c r="AZ264" s="6">
        <v>0</v>
      </c>
      <c r="BA264" s="6"/>
      <c r="BB264" s="6">
        <f>BA264+AZ264-AW264</f>
        <v>0</v>
      </c>
      <c r="BC264" s="35"/>
      <c r="BD264" s="35"/>
      <c r="BE264" s="6"/>
      <c r="BF264" s="35"/>
      <c r="BG264" s="35"/>
      <c r="BH264" s="35"/>
      <c r="BI264" s="35"/>
      <c r="BJ264" s="35"/>
      <c r="BK264" s="6"/>
      <c r="BL264" s="6"/>
      <c r="BM264" s="6"/>
      <c r="BN264" s="35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>
        <v>0</v>
      </c>
      <c r="CH264" s="6"/>
      <c r="CI264" s="6">
        <f>CH264+CG264-AZ264</f>
        <v>0</v>
      </c>
      <c r="CJ264" s="6">
        <v>0</v>
      </c>
      <c r="CK264" s="6"/>
      <c r="CL264" s="6">
        <f>CK264+CJ264-CG264</f>
        <v>0</v>
      </c>
      <c r="CM264" s="6">
        <v>0</v>
      </c>
      <c r="CN264" s="6"/>
      <c r="CO264" s="6">
        <f>CN264+CM264-CJ264</f>
        <v>0</v>
      </c>
      <c r="CP264" s="6">
        <v>0</v>
      </c>
      <c r="CQ264" s="6"/>
      <c r="CR264" s="6">
        <f>CQ264+CP264-CM264</f>
        <v>0</v>
      </c>
      <c r="CS264" s="6">
        <v>0</v>
      </c>
      <c r="CT264" s="6"/>
      <c r="CU264" s="6">
        <f>CT264+CS264-CP264</f>
        <v>0</v>
      </c>
      <c r="CV264" s="6">
        <v>0</v>
      </c>
      <c r="CW264" s="10"/>
      <c r="CX264" s="6">
        <f>CW264+CV264-CS264</f>
        <v>0</v>
      </c>
    </row>
    <row r="265" spans="1:102">
      <c r="A265" s="6">
        <v>361</v>
      </c>
      <c r="B265" s="6"/>
      <c r="C265" s="10"/>
      <c r="D265" s="6"/>
      <c r="E265" s="33" t="s">
        <v>110</v>
      </c>
      <c r="F265" s="33" t="s">
        <v>110</v>
      </c>
      <c r="G265" s="33" t="s">
        <v>110</v>
      </c>
      <c r="H265" s="33" t="s">
        <v>110</v>
      </c>
      <c r="I265" s="33" t="s">
        <v>110</v>
      </c>
      <c r="J265" s="33" t="s">
        <v>110</v>
      </c>
      <c r="K265" s="33" t="s">
        <v>110</v>
      </c>
      <c r="L265" s="33" t="s">
        <v>110</v>
      </c>
      <c r="M265" s="33" t="s">
        <v>110</v>
      </c>
      <c r="N265" s="33" t="s">
        <v>110</v>
      </c>
      <c r="O265" s="33" t="s">
        <v>110</v>
      </c>
      <c r="P265" s="33" t="s">
        <v>110</v>
      </c>
      <c r="Q265" s="33" t="s">
        <v>110</v>
      </c>
      <c r="R265" s="33" t="s">
        <v>110</v>
      </c>
      <c r="S265" s="33" t="s">
        <v>110</v>
      </c>
      <c r="T265" s="33" t="s">
        <v>110</v>
      </c>
      <c r="U265" s="33" t="s">
        <v>110</v>
      </c>
      <c r="V265" s="6">
        <v>0</v>
      </c>
      <c r="W265" s="6"/>
      <c r="X265" s="35">
        <f t="shared" si="65"/>
        <v>0</v>
      </c>
      <c r="Y265" s="35">
        <v>0</v>
      </c>
      <c r="Z265" s="35"/>
      <c r="AA265" s="35">
        <f>Z265+Y265-V265</f>
        <v>0</v>
      </c>
      <c r="AB265" s="6"/>
      <c r="AC265" s="6"/>
      <c r="AD265" s="35">
        <f>AC265+AB265-Y265</f>
        <v>0</v>
      </c>
      <c r="AE265" s="34">
        <v>0</v>
      </c>
      <c r="AF265" s="34"/>
      <c r="AG265" s="34">
        <f>AF265+AE265-AB265</f>
        <v>0</v>
      </c>
      <c r="AH265" s="35">
        <v>0</v>
      </c>
      <c r="AI265" s="35"/>
      <c r="AJ265" s="35">
        <f>AI265+AH265-AE265</f>
        <v>0</v>
      </c>
      <c r="AK265" s="6">
        <v>0</v>
      </c>
      <c r="AL265" s="6"/>
      <c r="AM265" s="35">
        <f>AL265+AK265-AH265</f>
        <v>0</v>
      </c>
      <c r="AN265" s="6"/>
      <c r="AO265" s="6"/>
      <c r="AP265" s="35"/>
      <c r="AQ265" s="35">
        <v>0</v>
      </c>
      <c r="AR265" s="6"/>
      <c r="AS265" s="35">
        <f>AR265+AQ265-AK265</f>
        <v>0</v>
      </c>
      <c r="AT265" s="35">
        <v>0</v>
      </c>
      <c r="AU265" s="6"/>
      <c r="AV265" s="35">
        <f t="shared" si="64"/>
        <v>0</v>
      </c>
      <c r="AW265" s="6">
        <v>0</v>
      </c>
      <c r="AX265" s="6"/>
      <c r="AY265" s="6">
        <f>AX265+AW265-AT265</f>
        <v>0</v>
      </c>
      <c r="AZ265" s="6">
        <v>0</v>
      </c>
      <c r="BA265" s="6"/>
      <c r="BB265" s="6">
        <f>BA265+AZ265-AW265</f>
        <v>0</v>
      </c>
      <c r="BC265" s="35"/>
      <c r="BD265" s="35"/>
      <c r="BE265" s="6"/>
      <c r="BF265" s="35"/>
      <c r="BG265" s="35"/>
      <c r="BH265" s="35"/>
      <c r="BI265" s="35"/>
      <c r="BJ265" s="35"/>
      <c r="BK265" s="6"/>
      <c r="BL265" s="6"/>
      <c r="BM265" s="6"/>
      <c r="BN265" s="35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>
        <v>0</v>
      </c>
      <c r="CH265" s="6"/>
      <c r="CI265" s="6">
        <f>CH265+CG265-AZ265</f>
        <v>0</v>
      </c>
      <c r="CJ265" s="6">
        <v>0</v>
      </c>
      <c r="CK265" s="6"/>
      <c r="CL265" s="6">
        <f>CK265+CJ265-CG265</f>
        <v>0</v>
      </c>
      <c r="CM265" s="6">
        <v>0</v>
      </c>
      <c r="CN265" s="6"/>
      <c r="CO265" s="6">
        <f>CN265+CM265-CJ265</f>
        <v>0</v>
      </c>
      <c r="CP265" s="6">
        <v>0</v>
      </c>
      <c r="CQ265" s="6"/>
      <c r="CR265" s="6">
        <f>CQ265+CP265-CM265</f>
        <v>0</v>
      </c>
      <c r="CS265" s="6">
        <v>0</v>
      </c>
      <c r="CT265" s="6"/>
      <c r="CU265" s="6">
        <f>CT265+CS265-CP265</f>
        <v>0</v>
      </c>
      <c r="CV265" s="6">
        <v>0</v>
      </c>
      <c r="CW265" s="10"/>
      <c r="CX265" s="6">
        <f>CW265+CV265-CS265</f>
        <v>0</v>
      </c>
    </row>
    <row r="266" spans="1:102">
      <c r="A266" s="6">
        <v>362</v>
      </c>
      <c r="B266" s="6"/>
      <c r="C266" s="10"/>
      <c r="D266" s="6"/>
      <c r="E266" s="33" t="s">
        <v>111</v>
      </c>
      <c r="F266" s="33" t="s">
        <v>111</v>
      </c>
      <c r="G266" s="33" t="s">
        <v>111</v>
      </c>
      <c r="H266" s="33" t="s">
        <v>111</v>
      </c>
      <c r="I266" s="33" t="s">
        <v>111</v>
      </c>
      <c r="J266" s="33" t="s">
        <v>111</v>
      </c>
      <c r="K266" s="33" t="s">
        <v>111</v>
      </c>
      <c r="L266" s="33" t="s">
        <v>111</v>
      </c>
      <c r="M266" s="33" t="s">
        <v>111</v>
      </c>
      <c r="N266" s="33" t="s">
        <v>111</v>
      </c>
      <c r="O266" s="33" t="s">
        <v>111</v>
      </c>
      <c r="P266" s="33" t="s">
        <v>111</v>
      </c>
      <c r="Q266" s="33" t="s">
        <v>111</v>
      </c>
      <c r="R266" s="33" t="s">
        <v>111</v>
      </c>
      <c r="S266" s="33" t="s">
        <v>111</v>
      </c>
      <c r="T266" s="33" t="s">
        <v>111</v>
      </c>
      <c r="U266" s="33" t="s">
        <v>111</v>
      </c>
      <c r="V266" s="6">
        <v>0</v>
      </c>
      <c r="W266" s="6"/>
      <c r="X266" s="35">
        <f t="shared" si="65"/>
        <v>0</v>
      </c>
      <c r="Y266" s="35">
        <v>0</v>
      </c>
      <c r="Z266" s="35"/>
      <c r="AA266" s="35">
        <f>Z266+Y266-V266</f>
        <v>0</v>
      </c>
      <c r="AB266" s="6"/>
      <c r="AC266" s="6"/>
      <c r="AD266" s="35">
        <f>AC266+AB266-Y266</f>
        <v>0</v>
      </c>
      <c r="AE266" s="34">
        <v>0</v>
      </c>
      <c r="AF266" s="34"/>
      <c r="AG266" s="34">
        <f>AF266+AE266-AB266</f>
        <v>0</v>
      </c>
      <c r="AH266" s="35">
        <v>0</v>
      </c>
      <c r="AI266" s="35"/>
      <c r="AJ266" s="35">
        <f>AI266+AH266-AE266</f>
        <v>0</v>
      </c>
      <c r="AK266" s="6">
        <v>0</v>
      </c>
      <c r="AL266" s="6"/>
      <c r="AM266" s="35">
        <f>AL266+AK266-AH266</f>
        <v>0</v>
      </c>
      <c r="AN266" s="6"/>
      <c r="AO266" s="6"/>
      <c r="AP266" s="35"/>
      <c r="AQ266" s="35">
        <v>0</v>
      </c>
      <c r="AR266" s="6"/>
      <c r="AS266" s="35">
        <f>AR266+AQ266-AK266</f>
        <v>0</v>
      </c>
      <c r="AT266" s="35">
        <v>0</v>
      </c>
      <c r="AU266" s="6"/>
      <c r="AV266" s="35">
        <f t="shared" si="64"/>
        <v>0</v>
      </c>
      <c r="AW266" s="6">
        <v>0</v>
      </c>
      <c r="AX266" s="6"/>
      <c r="AY266" s="6">
        <f>AX266+AW266-AT266</f>
        <v>0</v>
      </c>
      <c r="AZ266" s="6">
        <v>0</v>
      </c>
      <c r="BA266" s="6"/>
      <c r="BB266" s="6">
        <f>BA266+AZ266-AW266</f>
        <v>0</v>
      </c>
      <c r="BC266" s="35"/>
      <c r="BD266" s="35"/>
      <c r="BE266" s="6"/>
      <c r="BF266" s="35"/>
      <c r="BG266" s="35"/>
      <c r="BH266" s="35"/>
      <c r="BI266" s="35"/>
      <c r="BJ266" s="35"/>
      <c r="BK266" s="6"/>
      <c r="BL266" s="6"/>
      <c r="BM266" s="6"/>
      <c r="BN266" s="35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>
        <v>0</v>
      </c>
      <c r="CH266" s="6"/>
      <c r="CI266" s="6">
        <f>CH266+CG266-AZ266</f>
        <v>0</v>
      </c>
      <c r="CJ266" s="6">
        <v>0</v>
      </c>
      <c r="CK266" s="6"/>
      <c r="CL266" s="6">
        <f>CK266+CJ266-CG266</f>
        <v>0</v>
      </c>
      <c r="CM266" s="6">
        <v>0</v>
      </c>
      <c r="CN266" s="6"/>
      <c r="CO266" s="6">
        <f>CN266+CM266-CJ266</f>
        <v>0</v>
      </c>
      <c r="CP266" s="6">
        <v>0</v>
      </c>
      <c r="CQ266" s="6"/>
      <c r="CR266" s="6">
        <f>CQ266+CP266-CM266</f>
        <v>0</v>
      </c>
      <c r="CS266" s="6">
        <v>0</v>
      </c>
      <c r="CT266" s="6"/>
      <c r="CU266" s="6">
        <f>CT266+CS266-CP266</f>
        <v>0</v>
      </c>
      <c r="CV266" s="6">
        <v>0</v>
      </c>
      <c r="CW266" s="10"/>
      <c r="CX266" s="6">
        <f>CW266+CV266-CS266</f>
        <v>0</v>
      </c>
    </row>
    <row r="267" spans="1:102">
      <c r="A267" s="6" t="s">
        <v>1</v>
      </c>
      <c r="B267" s="35"/>
      <c r="C267" s="35">
        <f>SUM(C5:C266)</f>
        <v>56213</v>
      </c>
      <c r="D267" s="35">
        <f>SUM(D5:D266)</f>
        <v>65357</v>
      </c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35"/>
      <c r="W267" s="35">
        <f>SUBTOTAL(9,W4:W266)</f>
        <v>91299</v>
      </c>
      <c r="X267" s="35">
        <f t="shared" ref="X267:CH267" si="66">SUBTOTAL(9,X4:X266)</f>
        <v>76056</v>
      </c>
      <c r="Y267" s="35"/>
      <c r="Z267" s="35">
        <f t="shared" si="66"/>
        <v>56631</v>
      </c>
      <c r="AA267" s="35">
        <f t="shared" si="66"/>
        <v>70597</v>
      </c>
      <c r="AB267" s="35"/>
      <c r="AC267" s="35">
        <f t="shared" si="66"/>
        <v>68236</v>
      </c>
      <c r="AD267" s="35">
        <f t="shared" si="66"/>
        <v>67272</v>
      </c>
      <c r="AE267" s="35"/>
      <c r="AF267" s="35">
        <f t="shared" si="66"/>
        <v>69232</v>
      </c>
      <c r="AG267" s="35">
        <f t="shared" si="66"/>
        <v>61274</v>
      </c>
      <c r="AH267" s="35"/>
      <c r="AI267" s="35">
        <f t="shared" si="66"/>
        <v>63185</v>
      </c>
      <c r="AJ267" s="35">
        <f t="shared" si="66"/>
        <v>66574</v>
      </c>
      <c r="AK267" s="35"/>
      <c r="AL267" s="35">
        <f t="shared" si="66"/>
        <v>68755</v>
      </c>
      <c r="AM267" s="35">
        <f t="shared" si="66"/>
        <v>66833</v>
      </c>
      <c r="AN267" s="35">
        <f t="shared" si="66"/>
        <v>0</v>
      </c>
      <c r="AO267" s="35">
        <f t="shared" si="66"/>
        <v>0</v>
      </c>
      <c r="AP267" s="35">
        <f t="shared" si="66"/>
        <v>0</v>
      </c>
      <c r="AQ267" s="35"/>
      <c r="AR267" s="35">
        <f>SUBTOTAL(9,AR4:AR266)</f>
        <v>66689</v>
      </c>
      <c r="AS267" s="35">
        <f t="shared" si="66"/>
        <v>73256</v>
      </c>
      <c r="AT267" s="35"/>
      <c r="AU267" s="35">
        <f t="shared" si="66"/>
        <v>74619</v>
      </c>
      <c r="AV267" s="35">
        <f t="shared" si="66"/>
        <v>73178</v>
      </c>
      <c r="AW267" s="35"/>
      <c r="AX267" s="35">
        <f t="shared" si="66"/>
        <v>68667</v>
      </c>
      <c r="AY267" s="35">
        <f t="shared" si="66"/>
        <v>73019</v>
      </c>
      <c r="AZ267" s="35"/>
      <c r="BA267" s="35">
        <f>SUBTOTAL(9,BA4:BA266)</f>
        <v>14612</v>
      </c>
      <c r="BB267" s="35">
        <f t="shared" si="66"/>
        <v>17916</v>
      </c>
      <c r="BC267" s="35">
        <f t="shared" si="66"/>
        <v>0</v>
      </c>
      <c r="BD267" s="35">
        <f t="shared" si="66"/>
        <v>0</v>
      </c>
      <c r="BE267" s="35">
        <f t="shared" si="66"/>
        <v>0</v>
      </c>
      <c r="BF267" s="35">
        <f t="shared" si="66"/>
        <v>0</v>
      </c>
      <c r="BG267" s="35">
        <f t="shared" si="66"/>
        <v>0</v>
      </c>
      <c r="BH267" s="35">
        <f t="shared" si="66"/>
        <v>0</v>
      </c>
      <c r="BI267" s="35">
        <f t="shared" si="66"/>
        <v>0</v>
      </c>
      <c r="BJ267" s="35">
        <f t="shared" si="66"/>
        <v>0</v>
      </c>
      <c r="BK267" s="35">
        <f t="shared" si="66"/>
        <v>0</v>
      </c>
      <c r="BL267" s="35">
        <f t="shared" si="66"/>
        <v>0</v>
      </c>
      <c r="BM267" s="35">
        <f t="shared" si="66"/>
        <v>0</v>
      </c>
      <c r="BN267" s="35">
        <f t="shared" si="66"/>
        <v>0</v>
      </c>
      <c r="BO267" s="35">
        <f t="shared" si="66"/>
        <v>0</v>
      </c>
      <c r="BP267" s="35">
        <f t="shared" si="66"/>
        <v>0</v>
      </c>
      <c r="BQ267" s="35">
        <f t="shared" si="66"/>
        <v>0</v>
      </c>
      <c r="BR267" s="35">
        <f t="shared" si="66"/>
        <v>0</v>
      </c>
      <c r="BS267" s="35">
        <f t="shared" si="66"/>
        <v>0</v>
      </c>
      <c r="BT267" s="35">
        <f t="shared" si="66"/>
        <v>0</v>
      </c>
      <c r="BU267" s="35">
        <f t="shared" si="66"/>
        <v>0</v>
      </c>
      <c r="BV267" s="35">
        <f t="shared" si="66"/>
        <v>0</v>
      </c>
      <c r="BW267" s="35">
        <f t="shared" si="66"/>
        <v>0</v>
      </c>
      <c r="BX267" s="35">
        <f t="shared" si="66"/>
        <v>0</v>
      </c>
      <c r="BY267" s="35">
        <f t="shared" si="66"/>
        <v>0</v>
      </c>
      <c r="BZ267" s="35">
        <f t="shared" si="66"/>
        <v>0</v>
      </c>
      <c r="CA267" s="35">
        <f t="shared" si="66"/>
        <v>0</v>
      </c>
      <c r="CB267" s="35">
        <f t="shared" si="66"/>
        <v>0</v>
      </c>
      <c r="CC267" s="35">
        <f t="shared" si="66"/>
        <v>0</v>
      </c>
      <c r="CD267" s="35">
        <f t="shared" si="66"/>
        <v>0</v>
      </c>
      <c r="CE267" s="35">
        <f t="shared" si="66"/>
        <v>0</v>
      </c>
      <c r="CF267" s="35">
        <f t="shared" si="66"/>
        <v>0</v>
      </c>
      <c r="CG267" s="35"/>
      <c r="CH267" s="35">
        <f t="shared" si="66"/>
        <v>79209</v>
      </c>
      <c r="CI267" s="35">
        <f>SUBTOTAL(9,CI4:CI266)</f>
        <v>73496</v>
      </c>
      <c r="CJ267" s="35"/>
      <c r="CK267" s="35">
        <f t="shared" ref="CK267:CX267" si="67">SUBTOTAL(9,CK4:CK266)</f>
        <v>68361</v>
      </c>
      <c r="CL267" s="35">
        <f t="shared" si="67"/>
        <v>74120</v>
      </c>
      <c r="CM267" s="35"/>
      <c r="CN267" s="35">
        <f t="shared" si="67"/>
        <v>78437</v>
      </c>
      <c r="CO267" s="35">
        <f t="shared" si="67"/>
        <v>72620</v>
      </c>
      <c r="CP267" s="35"/>
      <c r="CQ267" s="35">
        <f t="shared" si="67"/>
        <v>82646</v>
      </c>
      <c r="CR267" s="35">
        <f t="shared" si="67"/>
        <v>72249</v>
      </c>
      <c r="CS267" s="35"/>
      <c r="CT267" s="35">
        <f t="shared" si="67"/>
        <v>72215</v>
      </c>
      <c r="CU267" s="35">
        <f t="shared" si="67"/>
        <v>72594</v>
      </c>
      <c r="CV267" s="35"/>
      <c r="CW267" s="35">
        <f t="shared" si="67"/>
        <v>52234</v>
      </c>
      <c r="CX267" s="35">
        <f t="shared" si="67"/>
        <v>66050</v>
      </c>
    </row>
    <row r="268" spans="1:102">
      <c r="A268" s="5"/>
      <c r="B268" s="29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AE268" s="29"/>
      <c r="BI268" s="29"/>
      <c r="BJ268" s="29"/>
      <c r="BK268" s="29"/>
      <c r="BL268" s="29"/>
      <c r="BW268" s="29"/>
      <c r="BZ268" s="29"/>
      <c r="CH268" s="29"/>
      <c r="CI268" s="29"/>
    </row>
    <row r="269" spans="1:102">
      <c r="A269" s="5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AA269" s="29">
        <f>+AA14+AA22+Y24+AA125+AA131+AA135+AA136+AA139+AA141</f>
        <v>3046</v>
      </c>
      <c r="AV269" s="29"/>
      <c r="BW269" s="29"/>
    </row>
    <row r="270" spans="1:102">
      <c r="B270" s="9"/>
      <c r="V270" s="9" t="s">
        <v>166</v>
      </c>
      <c r="Y270" s="9" t="s">
        <v>167</v>
      </c>
      <c r="AB270" s="9" t="s">
        <v>168</v>
      </c>
      <c r="AE270" s="9" t="s">
        <v>169</v>
      </c>
      <c r="AH270" s="9" t="s">
        <v>170</v>
      </c>
      <c r="AK270" s="4" t="s">
        <v>171</v>
      </c>
      <c r="AN270" s="9" t="s">
        <v>172</v>
      </c>
      <c r="AQ270" s="9" t="s">
        <v>173</v>
      </c>
      <c r="AT270" s="9" t="s">
        <v>174</v>
      </c>
      <c r="AW270" s="9" t="s">
        <v>175</v>
      </c>
      <c r="AZ270" s="9" t="s">
        <v>176</v>
      </c>
      <c r="BC270" s="9" t="s">
        <v>177</v>
      </c>
      <c r="BF270" s="9" t="s">
        <v>178</v>
      </c>
      <c r="BI270" s="9" t="s">
        <v>179</v>
      </c>
      <c r="BL270" s="9" t="s">
        <v>180</v>
      </c>
      <c r="BO270" s="9" t="s">
        <v>181</v>
      </c>
      <c r="BR270" s="9" t="s">
        <v>182</v>
      </c>
      <c r="BU270" s="9" t="s">
        <v>183</v>
      </c>
      <c r="BX270" s="9" t="s">
        <v>184</v>
      </c>
      <c r="CA270" s="9" t="s">
        <v>185</v>
      </c>
      <c r="CD270" s="9" t="s">
        <v>186</v>
      </c>
      <c r="CG270" s="9" t="s">
        <v>187</v>
      </c>
      <c r="CJ270" s="9" t="s">
        <v>188</v>
      </c>
      <c r="CM270" s="9" t="s">
        <v>189</v>
      </c>
      <c r="CP270" s="9" t="s">
        <v>190</v>
      </c>
      <c r="CS270" s="9" t="s">
        <v>191</v>
      </c>
      <c r="CV270" s="9" t="s">
        <v>192</v>
      </c>
    </row>
    <row r="271" spans="1:102" s="4" customFormat="1">
      <c r="A271" s="23"/>
      <c r="B271" s="24"/>
      <c r="C271" s="24"/>
      <c r="D271" s="2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24" t="s">
        <v>41</v>
      </c>
      <c r="W271" s="24" t="s">
        <v>4</v>
      </c>
      <c r="X271" s="24" t="s">
        <v>2</v>
      </c>
      <c r="Y271" s="24" t="s">
        <v>41</v>
      </c>
      <c r="Z271" s="24" t="s">
        <v>4</v>
      </c>
      <c r="AA271" s="24" t="s">
        <v>2</v>
      </c>
      <c r="AB271" s="24" t="s">
        <v>41</v>
      </c>
      <c r="AC271" s="24" t="s">
        <v>4</v>
      </c>
      <c r="AD271" s="24" t="s">
        <v>2</v>
      </c>
      <c r="AE271" s="24" t="s">
        <v>41</v>
      </c>
      <c r="AF271" s="24" t="s">
        <v>4</v>
      </c>
      <c r="AG271" s="24" t="s">
        <v>2</v>
      </c>
      <c r="AH271" s="24" t="s">
        <v>41</v>
      </c>
      <c r="AI271" s="24" t="s">
        <v>4</v>
      </c>
      <c r="AJ271" s="24" t="s">
        <v>2</v>
      </c>
      <c r="AK271" s="24" t="s">
        <v>41</v>
      </c>
      <c r="AL271" s="24" t="s">
        <v>4</v>
      </c>
      <c r="AM271" s="24" t="s">
        <v>2</v>
      </c>
      <c r="AN271" s="24" t="s">
        <v>41</v>
      </c>
      <c r="AO271" s="24" t="s">
        <v>4</v>
      </c>
      <c r="AP271" s="24" t="s">
        <v>2</v>
      </c>
      <c r="AQ271" s="24" t="s">
        <v>41</v>
      </c>
      <c r="AR271" s="24" t="s">
        <v>4</v>
      </c>
      <c r="AS271" s="24" t="s">
        <v>2</v>
      </c>
      <c r="AT271" s="24" t="s">
        <v>41</v>
      </c>
      <c r="AU271" s="24" t="s">
        <v>4</v>
      </c>
      <c r="AV271" s="24" t="s">
        <v>2</v>
      </c>
      <c r="AW271" s="24" t="s">
        <v>41</v>
      </c>
      <c r="AX271" s="24" t="s">
        <v>4</v>
      </c>
      <c r="AY271" s="24" t="s">
        <v>2</v>
      </c>
      <c r="AZ271" s="24" t="s">
        <v>41</v>
      </c>
      <c r="BA271" s="24" t="s">
        <v>4</v>
      </c>
      <c r="BB271" s="24" t="s">
        <v>2</v>
      </c>
      <c r="BC271" s="24" t="s">
        <v>41</v>
      </c>
      <c r="BD271" s="24" t="s">
        <v>4</v>
      </c>
      <c r="BE271" s="24" t="s">
        <v>2</v>
      </c>
      <c r="BF271" s="24" t="s">
        <v>41</v>
      </c>
      <c r="BG271" s="24" t="s">
        <v>4</v>
      </c>
      <c r="BH271" s="24" t="s">
        <v>2</v>
      </c>
      <c r="BI271" s="24" t="s">
        <v>41</v>
      </c>
      <c r="BJ271" s="24" t="s">
        <v>4</v>
      </c>
      <c r="BK271" s="24" t="s">
        <v>2</v>
      </c>
      <c r="BL271" s="24" t="s">
        <v>41</v>
      </c>
      <c r="BM271" s="24" t="s">
        <v>4</v>
      </c>
      <c r="BN271" s="24" t="s">
        <v>2</v>
      </c>
      <c r="BO271" s="24" t="s">
        <v>41</v>
      </c>
      <c r="BP271" s="24" t="s">
        <v>4</v>
      </c>
      <c r="BQ271" s="24" t="s">
        <v>2</v>
      </c>
      <c r="BR271" s="24" t="s">
        <v>41</v>
      </c>
      <c r="BS271" s="24" t="s">
        <v>4</v>
      </c>
      <c r="BT271" s="24" t="s">
        <v>2</v>
      </c>
      <c r="BU271" s="24" t="s">
        <v>41</v>
      </c>
      <c r="BV271" s="24" t="s">
        <v>4</v>
      </c>
      <c r="BW271" s="24" t="s">
        <v>2</v>
      </c>
      <c r="BX271" s="24" t="s">
        <v>41</v>
      </c>
      <c r="BY271" s="24" t="s">
        <v>4</v>
      </c>
      <c r="BZ271" s="24" t="s">
        <v>2</v>
      </c>
      <c r="CA271" s="24" t="s">
        <v>41</v>
      </c>
      <c r="CB271" s="24" t="s">
        <v>4</v>
      </c>
      <c r="CC271" s="24" t="s">
        <v>2</v>
      </c>
      <c r="CD271" s="24" t="s">
        <v>41</v>
      </c>
      <c r="CE271" s="24" t="s">
        <v>4</v>
      </c>
      <c r="CF271" s="24" t="s">
        <v>2</v>
      </c>
      <c r="CG271" s="24" t="s">
        <v>41</v>
      </c>
      <c r="CH271" s="24" t="s">
        <v>4</v>
      </c>
      <c r="CI271" s="24" t="s">
        <v>2</v>
      </c>
      <c r="CJ271" s="24" t="s">
        <v>41</v>
      </c>
      <c r="CK271" s="24" t="s">
        <v>4</v>
      </c>
      <c r="CL271" s="24" t="s">
        <v>2</v>
      </c>
      <c r="CM271" s="24" t="s">
        <v>41</v>
      </c>
      <c r="CN271" s="24" t="s">
        <v>4</v>
      </c>
      <c r="CO271" s="24" t="s">
        <v>2</v>
      </c>
      <c r="CP271" s="24" t="s">
        <v>41</v>
      </c>
      <c r="CQ271" s="24" t="s">
        <v>4</v>
      </c>
      <c r="CR271" s="24" t="s">
        <v>2</v>
      </c>
      <c r="CS271" s="24" t="s">
        <v>41</v>
      </c>
      <c r="CT271" s="24" t="s">
        <v>4</v>
      </c>
      <c r="CU271" s="24" t="s">
        <v>2</v>
      </c>
      <c r="CV271" s="24" t="s">
        <v>41</v>
      </c>
      <c r="CW271" s="24" t="s">
        <v>4</v>
      </c>
      <c r="CX271" s="24" t="s">
        <v>2</v>
      </c>
    </row>
    <row r="272" spans="1:102" s="4" customFormat="1" ht="16.5" customHeight="1">
      <c r="A272" s="73" t="s">
        <v>143</v>
      </c>
      <c r="B272" s="25"/>
      <c r="C272" s="25"/>
      <c r="D272" s="2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25">
        <v>70</v>
      </c>
      <c r="W272" s="25">
        <v>35966</v>
      </c>
      <c r="X272" s="25">
        <v>26637</v>
      </c>
      <c r="Y272" s="25">
        <v>68</v>
      </c>
      <c r="Z272" s="25">
        <f>15447+1267</f>
        <v>16714</v>
      </c>
      <c r="AA272" s="25">
        <v>23827</v>
      </c>
      <c r="AB272" s="25">
        <v>68</v>
      </c>
      <c r="AC272" s="25">
        <v>26445</v>
      </c>
      <c r="AD272" s="25">
        <v>20326</v>
      </c>
      <c r="AE272" s="25">
        <v>67</v>
      </c>
      <c r="AF272" s="25">
        <v>16413</v>
      </c>
      <c r="AG272" s="25">
        <v>17837</v>
      </c>
      <c r="AH272" s="25">
        <v>68</v>
      </c>
      <c r="AI272" s="25">
        <v>23176</v>
      </c>
      <c r="AJ272" s="25">
        <v>20329</v>
      </c>
      <c r="AK272" s="25">
        <v>67</v>
      </c>
      <c r="AL272" s="25">
        <f>9910+2394</f>
        <v>12304</v>
      </c>
      <c r="AM272" s="25">
        <f>22627+104</f>
        <v>22731</v>
      </c>
      <c r="AN272" s="25"/>
      <c r="AO272" s="25"/>
      <c r="AP272" s="25"/>
      <c r="AQ272" s="25">
        <v>67</v>
      </c>
      <c r="AR272" s="25">
        <v>21717</v>
      </c>
      <c r="AS272" s="25">
        <v>24444</v>
      </c>
      <c r="AT272" s="25">
        <v>67</v>
      </c>
      <c r="AU272" s="25">
        <v>34118</v>
      </c>
      <c r="AV272" s="25">
        <v>24305</v>
      </c>
      <c r="AW272" s="25">
        <v>66</v>
      </c>
      <c r="AX272" s="25">
        <f>25306+637</f>
        <v>25943</v>
      </c>
      <c r="AY272" s="25">
        <v>23716</v>
      </c>
      <c r="AZ272" s="25">
        <v>65</v>
      </c>
      <c r="BA272" s="25">
        <v>3417</v>
      </c>
      <c r="BB272" s="25">
        <v>5448</v>
      </c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91"/>
      <c r="BS272" s="91"/>
      <c r="BT272" s="91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>
        <v>66</v>
      </c>
      <c r="CH272" s="25">
        <v>22231</v>
      </c>
      <c r="CI272" s="25">
        <v>23935</v>
      </c>
      <c r="CJ272" s="25">
        <v>70</v>
      </c>
      <c r="CK272" s="25">
        <v>18884</v>
      </c>
      <c r="CL272" s="25">
        <v>25600</v>
      </c>
      <c r="CM272" s="25">
        <v>75</v>
      </c>
      <c r="CN272" s="25">
        <v>27772</v>
      </c>
      <c r="CO272" s="25">
        <v>26531</v>
      </c>
      <c r="CP272" s="25">
        <v>77</v>
      </c>
      <c r="CQ272" s="25">
        <v>30672</v>
      </c>
      <c r="CR272" s="25">
        <v>27007</v>
      </c>
      <c r="CS272" s="25">
        <v>77</v>
      </c>
      <c r="CT272" s="25">
        <v>23922</v>
      </c>
      <c r="CU272" s="25">
        <v>27275</v>
      </c>
      <c r="CV272" s="25">
        <v>77</v>
      </c>
      <c r="CW272" s="25">
        <v>21391</v>
      </c>
      <c r="CX272" s="25">
        <v>24677</v>
      </c>
    </row>
    <row r="273" spans="1:104" s="28" customFormat="1">
      <c r="A273" s="74" t="s">
        <v>145</v>
      </c>
      <c r="B273" s="27"/>
      <c r="C273" s="27"/>
      <c r="D273" s="27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27">
        <v>11</v>
      </c>
      <c r="W273" s="27">
        <v>6131</v>
      </c>
      <c r="X273" s="27">
        <v>3976</v>
      </c>
      <c r="Y273" s="27">
        <v>10</v>
      </c>
      <c r="Z273" s="27">
        <v>4680</v>
      </c>
      <c r="AA273" s="27">
        <v>3550</v>
      </c>
      <c r="AB273" s="27">
        <v>10</v>
      </c>
      <c r="AC273" s="27"/>
      <c r="AD273" s="27">
        <v>2958</v>
      </c>
      <c r="AE273" s="27">
        <v>10</v>
      </c>
      <c r="AF273" s="27">
        <v>4890</v>
      </c>
      <c r="AG273" s="27">
        <v>2029</v>
      </c>
      <c r="AH273" s="27">
        <v>8</v>
      </c>
      <c r="AI273" s="27">
        <v>343</v>
      </c>
      <c r="AJ273" s="27">
        <v>2404</v>
      </c>
      <c r="AK273" s="27">
        <v>6</v>
      </c>
      <c r="AL273" s="27">
        <f>1737+1560</f>
        <v>3297</v>
      </c>
      <c r="AM273" s="27">
        <f>84+2025</f>
        <v>2109</v>
      </c>
      <c r="AN273" s="27"/>
      <c r="AO273" s="27"/>
      <c r="AP273" s="27"/>
      <c r="AQ273" s="76">
        <v>5</v>
      </c>
      <c r="AR273" s="76">
        <f>4726+1674</f>
        <v>6400</v>
      </c>
      <c r="AS273" s="76">
        <f>1816+115</f>
        <v>1931</v>
      </c>
      <c r="AT273" s="25">
        <v>5</v>
      </c>
      <c r="AU273" s="25">
        <v>1591</v>
      </c>
      <c r="AV273" s="25">
        <v>1605</v>
      </c>
      <c r="AW273" s="27">
        <v>4</v>
      </c>
      <c r="AX273" s="27"/>
      <c r="AY273" s="27">
        <v>1477</v>
      </c>
      <c r="AZ273" s="27">
        <v>4</v>
      </c>
      <c r="BA273" s="27">
        <v>842</v>
      </c>
      <c r="BB273" s="27">
        <v>369</v>
      </c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5">
        <v>4</v>
      </c>
      <c r="CH273" s="27">
        <v>3035</v>
      </c>
      <c r="CI273" s="25">
        <v>1177</v>
      </c>
      <c r="CJ273" s="27">
        <v>2</v>
      </c>
      <c r="CK273" s="27">
        <v>2326</v>
      </c>
      <c r="CL273" s="27">
        <v>629</v>
      </c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</row>
    <row r="274" spans="1:104" s="28" customFormat="1">
      <c r="A274" s="74" t="s">
        <v>146</v>
      </c>
      <c r="B274" s="27"/>
      <c r="C274" s="27"/>
      <c r="D274" s="27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27">
        <v>28</v>
      </c>
      <c r="W274" s="27">
        <v>14878</v>
      </c>
      <c r="X274" s="27">
        <v>10832</v>
      </c>
      <c r="Y274" s="27">
        <v>31</v>
      </c>
      <c r="Z274" s="27">
        <v>9561</v>
      </c>
      <c r="AA274" s="27">
        <v>10655</v>
      </c>
      <c r="AB274" s="27">
        <v>31</v>
      </c>
      <c r="AC274" s="27">
        <v>9978</v>
      </c>
      <c r="AD274" s="27">
        <v>9883</v>
      </c>
      <c r="AE274" s="27">
        <v>32</v>
      </c>
      <c r="AF274" s="27">
        <v>2883</v>
      </c>
      <c r="AG274" s="27">
        <v>6700</v>
      </c>
      <c r="AH274" s="27">
        <v>33</v>
      </c>
      <c r="AI274" s="27">
        <v>8652</v>
      </c>
      <c r="AJ274" s="27">
        <v>10450</v>
      </c>
      <c r="AK274" s="27">
        <v>36</v>
      </c>
      <c r="AL274" s="27">
        <v>15421</v>
      </c>
      <c r="AM274" s="27">
        <v>12273</v>
      </c>
      <c r="AN274" s="27"/>
      <c r="AO274" s="27"/>
      <c r="AP274" s="27"/>
      <c r="AQ274" s="76">
        <v>39</v>
      </c>
      <c r="AR274" s="76">
        <v>11728</v>
      </c>
      <c r="AS274" s="76">
        <v>13969</v>
      </c>
      <c r="AT274" s="27">
        <v>39</v>
      </c>
      <c r="AU274" s="27">
        <v>7177</v>
      </c>
      <c r="AV274" s="27">
        <v>14344</v>
      </c>
      <c r="AW274" s="27">
        <v>43</v>
      </c>
      <c r="AX274" s="27">
        <v>13086</v>
      </c>
      <c r="AY274" s="27">
        <v>15648</v>
      </c>
      <c r="AZ274" s="27">
        <v>47</v>
      </c>
      <c r="BA274" s="27">
        <v>2564</v>
      </c>
      <c r="BB274" s="27">
        <v>3995</v>
      </c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179"/>
      <c r="CB274" s="27"/>
      <c r="CC274" s="27"/>
      <c r="CD274" s="27"/>
      <c r="CE274" s="27"/>
      <c r="CF274" s="27"/>
      <c r="CG274" s="25">
        <v>47</v>
      </c>
      <c r="CH274" s="27">
        <v>22304</v>
      </c>
      <c r="CI274" s="25">
        <v>16974</v>
      </c>
      <c r="CJ274" s="27">
        <v>45</v>
      </c>
      <c r="CK274" s="27">
        <v>13900</v>
      </c>
      <c r="CL274" s="27">
        <v>16495</v>
      </c>
      <c r="CM274" s="27">
        <v>42</v>
      </c>
      <c r="CN274" s="27">
        <v>17492</v>
      </c>
      <c r="CO274" s="27">
        <v>14715</v>
      </c>
      <c r="CP274" s="27">
        <v>40</v>
      </c>
      <c r="CQ274" s="27">
        <v>18357</v>
      </c>
      <c r="CR274" s="27">
        <v>14106</v>
      </c>
      <c r="CS274" s="27">
        <v>40</v>
      </c>
      <c r="CT274" s="27">
        <v>15340</v>
      </c>
      <c r="CU274" s="27">
        <v>14298</v>
      </c>
      <c r="CV274" s="27">
        <v>39</v>
      </c>
      <c r="CW274" s="27">
        <v>7317</v>
      </c>
      <c r="CX274" s="27">
        <v>12860</v>
      </c>
    </row>
    <row r="275" spans="1:104" s="4" customFormat="1">
      <c r="A275" s="74" t="s">
        <v>150</v>
      </c>
      <c r="B275" s="25"/>
      <c r="C275" s="25"/>
      <c r="D275" s="25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69">
        <v>30</v>
      </c>
      <c r="W275" s="69">
        <v>12544</v>
      </c>
      <c r="X275" s="69">
        <v>10911</v>
      </c>
      <c r="Y275" s="68">
        <v>30</v>
      </c>
      <c r="Z275" s="68">
        <v>4699</v>
      </c>
      <c r="AA275" s="68">
        <v>10197</v>
      </c>
      <c r="AB275" s="70">
        <v>30</v>
      </c>
      <c r="AC275" s="70">
        <v>12655</v>
      </c>
      <c r="AD275" s="70">
        <v>10010</v>
      </c>
      <c r="AE275" s="70">
        <v>30</v>
      </c>
      <c r="AF275" s="25">
        <v>14555</v>
      </c>
      <c r="AG275" s="25">
        <v>10170</v>
      </c>
      <c r="AH275" s="71">
        <v>30</v>
      </c>
      <c r="AI275" s="71">
        <v>7975</v>
      </c>
      <c r="AJ275" s="71">
        <v>9067</v>
      </c>
      <c r="AK275" s="72">
        <v>30</v>
      </c>
      <c r="AL275" s="72">
        <v>8644</v>
      </c>
      <c r="AM275" s="72">
        <v>8120</v>
      </c>
      <c r="AN275" s="75"/>
      <c r="AO275" s="75"/>
      <c r="AP275" s="174"/>
      <c r="AQ275" s="76">
        <v>29</v>
      </c>
      <c r="AR275" s="76">
        <v>9394</v>
      </c>
      <c r="AS275" s="76">
        <v>9649</v>
      </c>
      <c r="AT275" s="25">
        <v>29</v>
      </c>
      <c r="AU275" s="25">
        <v>9135</v>
      </c>
      <c r="AV275" s="25">
        <v>9894</v>
      </c>
      <c r="AW275" s="25">
        <v>29</v>
      </c>
      <c r="AX275" s="25">
        <v>11034</v>
      </c>
      <c r="AY275" s="25">
        <v>9105</v>
      </c>
      <c r="AZ275" s="25">
        <v>26</v>
      </c>
      <c r="BA275" s="25">
        <v>2206</v>
      </c>
      <c r="BB275" s="25">
        <v>2206</v>
      </c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>
        <v>26</v>
      </c>
      <c r="CH275" s="25">
        <v>6366</v>
      </c>
      <c r="CI275" s="25">
        <v>8707</v>
      </c>
      <c r="CJ275" s="25">
        <v>26</v>
      </c>
      <c r="CK275" s="25">
        <v>9927</v>
      </c>
      <c r="CL275" s="25">
        <v>8916</v>
      </c>
      <c r="CM275" s="25">
        <v>26</v>
      </c>
      <c r="CN275" s="25">
        <v>5716</v>
      </c>
      <c r="CO275" s="25">
        <v>8939</v>
      </c>
      <c r="CP275" s="25">
        <v>26</v>
      </c>
      <c r="CQ275" s="25">
        <v>14229</v>
      </c>
      <c r="CR275" s="25">
        <v>8794</v>
      </c>
      <c r="CS275" s="25">
        <v>26</v>
      </c>
      <c r="CT275" s="25">
        <v>11181</v>
      </c>
      <c r="CU275" s="25">
        <v>8837</v>
      </c>
      <c r="CV275" s="25">
        <v>27</v>
      </c>
      <c r="CW275" s="25">
        <v>4317</v>
      </c>
      <c r="CX275" s="25">
        <v>8422</v>
      </c>
      <c r="CY275" s="29"/>
      <c r="CZ275" s="29"/>
    </row>
    <row r="276" spans="1:104" s="4" customFormat="1">
      <c r="A276" s="74" t="s">
        <v>151</v>
      </c>
      <c r="B276" s="25"/>
      <c r="C276" s="25"/>
      <c r="D276" s="25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25">
        <v>15</v>
      </c>
      <c r="W276" s="25">
        <v>5168</v>
      </c>
      <c r="X276" s="25">
        <v>3667</v>
      </c>
      <c r="Y276" s="68">
        <v>15</v>
      </c>
      <c r="Z276" s="68">
        <v>3300</v>
      </c>
      <c r="AA276" s="68">
        <v>3480</v>
      </c>
      <c r="AB276" s="70">
        <v>14</v>
      </c>
      <c r="AC276" s="99">
        <f>1479+283</f>
        <v>1762</v>
      </c>
      <c r="AD276" s="70">
        <f>3271+49</f>
        <v>3320</v>
      </c>
      <c r="AE276" s="70">
        <v>14</v>
      </c>
      <c r="AF276" s="25">
        <v>5983</v>
      </c>
      <c r="AG276" s="25">
        <v>3310</v>
      </c>
      <c r="AH276" s="71">
        <v>13</v>
      </c>
      <c r="AI276" s="71">
        <v>1100</v>
      </c>
      <c r="AJ276" s="71">
        <v>3237</v>
      </c>
      <c r="AK276" s="72">
        <v>13</v>
      </c>
      <c r="AL276" s="72">
        <v>8373</v>
      </c>
      <c r="AM276" s="72">
        <v>3020</v>
      </c>
      <c r="AN276" s="75"/>
      <c r="AO276" s="75"/>
      <c r="AP276" s="75"/>
      <c r="AQ276" s="76">
        <v>13</v>
      </c>
      <c r="AR276" s="76"/>
      <c r="AS276" s="76">
        <v>3469</v>
      </c>
      <c r="AT276" s="106">
        <v>13</v>
      </c>
      <c r="AU276" s="106">
        <v>498</v>
      </c>
      <c r="AV276" s="106">
        <v>3437</v>
      </c>
      <c r="AW276" s="25">
        <v>13</v>
      </c>
      <c r="AX276" s="25"/>
      <c r="AY276" s="25">
        <v>3465</v>
      </c>
      <c r="AZ276" s="25">
        <v>13</v>
      </c>
      <c r="BA276" s="25">
        <v>2089</v>
      </c>
      <c r="BB276" s="25">
        <v>903</v>
      </c>
      <c r="BC276" s="25"/>
      <c r="BD276" s="25"/>
      <c r="BE276" s="25"/>
      <c r="BF276" s="25"/>
      <c r="BG276" s="25"/>
      <c r="BH276" s="56"/>
      <c r="BI276" s="25"/>
      <c r="BJ276" s="25"/>
      <c r="BK276" s="25"/>
      <c r="BL276" s="25"/>
      <c r="BM276" s="25"/>
      <c r="BN276" s="25"/>
      <c r="BO276" s="25"/>
      <c r="BP276" s="25"/>
      <c r="BQ276" s="25"/>
      <c r="BR276" s="91"/>
      <c r="BS276" s="91"/>
      <c r="BT276" s="91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>
        <v>13</v>
      </c>
      <c r="CH276" s="25">
        <v>11000</v>
      </c>
      <c r="CI276" s="25">
        <v>3479</v>
      </c>
      <c r="CJ276" s="25">
        <v>14</v>
      </c>
      <c r="CK276" s="25"/>
      <c r="CL276" s="25">
        <v>3695</v>
      </c>
      <c r="CM276" s="25">
        <v>14</v>
      </c>
      <c r="CN276" s="25">
        <v>1100</v>
      </c>
      <c r="CO276" s="25">
        <v>3764</v>
      </c>
      <c r="CP276" s="25">
        <v>15</v>
      </c>
      <c r="CQ276" s="25">
        <v>3502</v>
      </c>
      <c r="CR276" s="25">
        <v>3960</v>
      </c>
      <c r="CS276" s="25">
        <v>15</v>
      </c>
      <c r="CT276" s="25">
        <v>9870</v>
      </c>
      <c r="CU276" s="25">
        <v>3913</v>
      </c>
      <c r="CV276" s="25">
        <v>15</v>
      </c>
      <c r="CW276" s="25">
        <v>1954</v>
      </c>
      <c r="CX276" s="25">
        <v>3355</v>
      </c>
    </row>
    <row r="277" spans="1:104" s="4" customFormat="1">
      <c r="A277" s="74" t="s">
        <v>152</v>
      </c>
      <c r="B277" s="25"/>
      <c r="C277" s="25"/>
      <c r="D277" s="25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25">
        <v>15</v>
      </c>
      <c r="W277" s="25">
        <v>1310</v>
      </c>
      <c r="X277" s="25">
        <v>3603</v>
      </c>
      <c r="Y277" s="68">
        <v>15</v>
      </c>
      <c r="Z277" s="68">
        <v>4820</v>
      </c>
      <c r="AA277" s="68">
        <v>3447</v>
      </c>
      <c r="AB277" s="70">
        <v>24</v>
      </c>
      <c r="AC277" s="70">
        <v>2633</v>
      </c>
      <c r="AD277" s="70">
        <v>5244</v>
      </c>
      <c r="AE277" s="70">
        <v>24</v>
      </c>
      <c r="AF277" s="25">
        <v>7677</v>
      </c>
      <c r="AG277" s="25">
        <v>5651</v>
      </c>
      <c r="AH277" s="71">
        <v>25</v>
      </c>
      <c r="AI277" s="71">
        <v>5510</v>
      </c>
      <c r="AJ277" s="71">
        <v>5901</v>
      </c>
      <c r="AK277" s="86">
        <v>25</v>
      </c>
      <c r="AL277" s="86">
        <v>3859</v>
      </c>
      <c r="AM277" s="86">
        <v>5417</v>
      </c>
      <c r="AN277" s="75"/>
      <c r="AO277" s="75"/>
      <c r="AP277" s="75"/>
      <c r="AQ277" s="76">
        <v>25</v>
      </c>
      <c r="AR277" s="76">
        <v>3065</v>
      </c>
      <c r="AS277" s="76">
        <v>6217</v>
      </c>
      <c r="AT277" s="106">
        <v>25</v>
      </c>
      <c r="AU277" s="106">
        <v>5953</v>
      </c>
      <c r="AV277" s="106">
        <v>6250</v>
      </c>
      <c r="AW277" s="88">
        <v>25</v>
      </c>
      <c r="AX277" s="88">
        <v>9559</v>
      </c>
      <c r="AY277" s="88">
        <v>6284</v>
      </c>
      <c r="AZ277" s="25">
        <v>25</v>
      </c>
      <c r="BA277" s="25">
        <v>1894</v>
      </c>
      <c r="BB277" s="25">
        <v>1650</v>
      </c>
      <c r="BC277" s="25"/>
      <c r="BD277" s="25"/>
      <c r="BE277" s="25"/>
      <c r="BF277" s="25"/>
      <c r="BG277" s="25"/>
      <c r="BH277" s="56"/>
      <c r="BI277" s="25"/>
      <c r="BJ277" s="25"/>
      <c r="BK277" s="25"/>
      <c r="BL277" s="25"/>
      <c r="BM277" s="25"/>
      <c r="BN277" s="25"/>
      <c r="BO277" s="25"/>
      <c r="BP277" s="25"/>
      <c r="BQ277" s="25"/>
      <c r="BR277" s="91"/>
      <c r="BS277" s="91"/>
      <c r="BT277" s="91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149">
        <v>25</v>
      </c>
      <c r="CH277" s="149">
        <v>2118</v>
      </c>
      <c r="CI277" s="149">
        <v>6246</v>
      </c>
      <c r="CJ277" s="25">
        <v>25</v>
      </c>
      <c r="CK277" s="25">
        <v>6591</v>
      </c>
      <c r="CL277" s="25">
        <v>6220</v>
      </c>
      <c r="CM277" s="25">
        <v>25</v>
      </c>
      <c r="CN277" s="25">
        <v>9789</v>
      </c>
      <c r="CO277" s="25">
        <v>6031</v>
      </c>
      <c r="CP277" s="25">
        <v>25</v>
      </c>
      <c r="CQ277" s="25">
        <v>7324</v>
      </c>
      <c r="CR277" s="25">
        <v>6133</v>
      </c>
      <c r="CS277" s="25">
        <v>25</v>
      </c>
      <c r="CT277" s="25">
        <v>2997</v>
      </c>
      <c r="CU277" s="25">
        <v>6075</v>
      </c>
      <c r="CV277" s="25">
        <v>25</v>
      </c>
      <c r="CW277" s="25">
        <v>2927</v>
      </c>
      <c r="CX277" s="25">
        <v>5629</v>
      </c>
    </row>
    <row r="278" spans="1:104" s="205" customFormat="1">
      <c r="A278" s="209" t="s">
        <v>153</v>
      </c>
      <c r="B278" s="202"/>
      <c r="C278" s="202"/>
      <c r="D278" s="202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202">
        <v>25</v>
      </c>
      <c r="W278" s="202">
        <v>7173</v>
      </c>
      <c r="X278" s="202">
        <v>5964</v>
      </c>
      <c r="Y278" s="202">
        <v>25</v>
      </c>
      <c r="Z278" s="202">
        <v>7164</v>
      </c>
      <c r="AA278" s="202">
        <v>5712</v>
      </c>
      <c r="AB278" s="202">
        <v>26</v>
      </c>
      <c r="AC278" s="202">
        <v>4000</v>
      </c>
      <c r="AD278" s="202">
        <v>5944</v>
      </c>
      <c r="AE278" s="202">
        <v>26</v>
      </c>
      <c r="AF278" s="202">
        <v>5687</v>
      </c>
      <c r="AG278" s="202">
        <v>6165</v>
      </c>
      <c r="AH278" s="202">
        <v>28</v>
      </c>
      <c r="AI278" s="202">
        <v>7381</v>
      </c>
      <c r="AJ278" s="202">
        <v>6787</v>
      </c>
      <c r="AK278" s="202">
        <v>28</v>
      </c>
      <c r="AL278" s="202">
        <v>5052</v>
      </c>
      <c r="AM278" s="202">
        <v>6116</v>
      </c>
      <c r="AN278" s="202"/>
      <c r="AO278" s="202"/>
      <c r="AP278" s="202"/>
      <c r="AQ278" s="202">
        <v>28</v>
      </c>
      <c r="AR278" s="202">
        <v>4800</v>
      </c>
      <c r="AS278" s="202">
        <v>7019</v>
      </c>
      <c r="AT278" s="202">
        <v>28</v>
      </c>
      <c r="AU278" s="202">
        <v>9473</v>
      </c>
      <c r="AV278" s="202">
        <v>7031</v>
      </c>
      <c r="AW278" s="202">
        <v>28</v>
      </c>
      <c r="AX278" s="202">
        <v>6397</v>
      </c>
      <c r="AY278" s="202">
        <v>7056</v>
      </c>
      <c r="AZ278" s="202">
        <v>28</v>
      </c>
      <c r="BA278" s="202">
        <v>1600</v>
      </c>
      <c r="BB278" s="202">
        <v>1791</v>
      </c>
      <c r="BC278" s="202"/>
      <c r="BD278" s="202"/>
      <c r="BE278" s="202"/>
      <c r="BF278" s="202"/>
      <c r="BG278" s="202"/>
      <c r="BH278" s="203"/>
      <c r="BI278" s="202"/>
      <c r="BJ278" s="202"/>
      <c r="BK278" s="202"/>
      <c r="BL278" s="202"/>
      <c r="BM278" s="202"/>
      <c r="BN278" s="202"/>
      <c r="BO278" s="202"/>
      <c r="BP278" s="202"/>
      <c r="BQ278" s="202"/>
      <c r="BR278" s="202"/>
      <c r="BS278" s="202"/>
      <c r="BT278" s="202"/>
      <c r="BU278" s="202"/>
      <c r="BV278" s="202"/>
      <c r="BW278" s="202"/>
      <c r="BX278" s="202"/>
      <c r="BY278" s="202"/>
      <c r="BZ278" s="202"/>
      <c r="CA278" s="202"/>
      <c r="CB278" s="202"/>
      <c r="CC278" s="202"/>
      <c r="CD278" s="202"/>
      <c r="CE278" s="202"/>
      <c r="CF278" s="202"/>
      <c r="CG278" s="204">
        <v>28</v>
      </c>
      <c r="CH278" s="202">
        <v>4841</v>
      </c>
      <c r="CI278" s="204">
        <v>6938</v>
      </c>
      <c r="CJ278" s="202">
        <v>27</v>
      </c>
      <c r="CK278" s="202">
        <v>8874</v>
      </c>
      <c r="CL278" s="202">
        <v>6741</v>
      </c>
      <c r="CM278" s="202">
        <v>27</v>
      </c>
      <c r="CN278" s="202">
        <v>8992</v>
      </c>
      <c r="CO278" s="202">
        <v>6826</v>
      </c>
      <c r="CP278" s="202">
        <v>26</v>
      </c>
      <c r="CQ278" s="202">
        <v>2800</v>
      </c>
      <c r="CR278" s="202">
        <v>6535</v>
      </c>
      <c r="CS278" s="202">
        <v>26</v>
      </c>
      <c r="CT278" s="202">
        <v>8222</v>
      </c>
      <c r="CU278" s="202">
        <v>6477</v>
      </c>
      <c r="CV278" s="202">
        <v>26</v>
      </c>
      <c r="CW278" s="202">
        <v>7500</v>
      </c>
      <c r="CX278" s="202">
        <v>5853</v>
      </c>
    </row>
    <row r="279" spans="1:104" s="205" customFormat="1">
      <c r="A279" s="228" t="s">
        <v>201</v>
      </c>
      <c r="B279" s="202"/>
      <c r="C279" s="202"/>
      <c r="D279" s="202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202"/>
      <c r="W279" s="202"/>
      <c r="X279" s="202"/>
      <c r="Y279" s="202"/>
      <c r="Z279" s="202"/>
      <c r="AA279" s="202"/>
      <c r="AB279" s="202"/>
      <c r="AC279" s="202"/>
      <c r="AD279" s="202"/>
      <c r="AE279" s="202"/>
      <c r="AF279" s="202"/>
      <c r="AG279" s="202"/>
      <c r="AH279" s="202"/>
      <c r="AI279" s="202"/>
      <c r="AJ279" s="202"/>
      <c r="AK279" s="202"/>
      <c r="AL279" s="202"/>
      <c r="AM279" s="202"/>
      <c r="AN279" s="202"/>
      <c r="AO279" s="202"/>
      <c r="AP279" s="202"/>
      <c r="AQ279" s="202"/>
      <c r="AR279" s="202"/>
      <c r="AS279" s="202"/>
      <c r="AT279" s="202"/>
      <c r="AU279" s="202"/>
      <c r="AV279" s="202"/>
      <c r="AW279" s="202">
        <v>1</v>
      </c>
      <c r="AX279" s="202"/>
      <c r="AY279" s="202">
        <v>163</v>
      </c>
      <c r="AZ279" s="202">
        <v>1</v>
      </c>
      <c r="BA279" s="202"/>
      <c r="BB279" s="202">
        <v>52</v>
      </c>
      <c r="BC279" s="202"/>
      <c r="BD279" s="202"/>
      <c r="BE279" s="202"/>
      <c r="BF279" s="202"/>
      <c r="BG279" s="202"/>
      <c r="BH279" s="203"/>
      <c r="BI279" s="202"/>
      <c r="BJ279" s="202"/>
      <c r="BK279" s="202"/>
      <c r="BL279" s="202"/>
      <c r="BM279" s="202"/>
      <c r="BN279" s="202"/>
      <c r="BO279" s="202"/>
      <c r="BP279" s="202"/>
      <c r="BQ279" s="202"/>
      <c r="BR279" s="202"/>
      <c r="BS279" s="202"/>
      <c r="BT279" s="202"/>
      <c r="BU279" s="202"/>
      <c r="BV279" s="202"/>
      <c r="BW279" s="202"/>
      <c r="BX279" s="202"/>
      <c r="BY279" s="202"/>
      <c r="BZ279" s="202"/>
      <c r="CA279" s="202"/>
      <c r="CB279" s="202"/>
      <c r="CC279" s="202"/>
      <c r="CD279" s="202"/>
      <c r="CE279" s="202"/>
      <c r="CF279" s="202"/>
      <c r="CG279" s="202">
        <v>1</v>
      </c>
      <c r="CH279" s="202">
        <v>365</v>
      </c>
      <c r="CI279" s="202">
        <v>219</v>
      </c>
      <c r="CJ279" s="202">
        <v>1</v>
      </c>
      <c r="CK279" s="202">
        <v>113</v>
      </c>
      <c r="CL279" s="202">
        <v>44</v>
      </c>
      <c r="CM279" s="202"/>
      <c r="CN279" s="202"/>
      <c r="CO279" s="202"/>
      <c r="CP279" s="202"/>
      <c r="CQ279" s="202"/>
      <c r="CR279" s="202"/>
      <c r="CS279" s="202"/>
      <c r="CT279" s="202"/>
      <c r="CU279" s="202"/>
      <c r="CV279" s="202"/>
      <c r="CW279" s="202"/>
      <c r="CX279" s="202"/>
    </row>
    <row r="280" spans="1:104" s="16" customFormat="1" ht="15" customHeight="1">
      <c r="A280" s="90" t="s">
        <v>142</v>
      </c>
      <c r="B280" s="42"/>
      <c r="C280" s="42"/>
      <c r="D280" s="42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97">
        <v>14</v>
      </c>
      <c r="W280" s="97">
        <v>1536</v>
      </c>
      <c r="X280" s="97">
        <v>3510</v>
      </c>
      <c r="Y280" s="98">
        <v>14</v>
      </c>
      <c r="Z280" s="98"/>
      <c r="AA280" s="98">
        <v>3197</v>
      </c>
      <c r="AB280" s="95">
        <v>14</v>
      </c>
      <c r="AC280" s="100">
        <v>2000</v>
      </c>
      <c r="AD280" s="100">
        <v>3172</v>
      </c>
      <c r="AE280" s="101">
        <v>14</v>
      </c>
      <c r="AF280" s="101">
        <v>7481</v>
      </c>
      <c r="AG280" s="101">
        <v>3043</v>
      </c>
      <c r="AH280" s="102">
        <v>14</v>
      </c>
      <c r="AI280" s="102">
        <v>3526</v>
      </c>
      <c r="AJ280" s="102">
        <v>2893</v>
      </c>
      <c r="AK280" s="166">
        <v>14</v>
      </c>
      <c r="AL280" s="166">
        <v>5216</v>
      </c>
      <c r="AM280" s="166">
        <v>3110</v>
      </c>
      <c r="AN280" s="104"/>
      <c r="AO280" s="104"/>
      <c r="AP280" s="104"/>
      <c r="AQ280" s="105">
        <v>13</v>
      </c>
      <c r="AR280" s="105">
        <f>1217+2764</f>
        <v>3981</v>
      </c>
      <c r="AS280" s="105">
        <f>36+3022</f>
        <v>3058</v>
      </c>
      <c r="AT280" s="172">
        <v>13</v>
      </c>
      <c r="AU280" s="172">
        <v>4757</v>
      </c>
      <c r="AV280" s="172">
        <v>2870</v>
      </c>
      <c r="AW280" s="108">
        <v>11</v>
      </c>
      <c r="AX280" s="108">
        <v>1148</v>
      </c>
      <c r="AY280" s="108">
        <f>72+2556</f>
        <v>2628</v>
      </c>
      <c r="AZ280" s="110">
        <v>11</v>
      </c>
      <c r="BA280" s="110"/>
      <c r="BB280" s="110">
        <v>619</v>
      </c>
      <c r="BC280" s="112"/>
      <c r="BD280" s="112"/>
      <c r="BE280" s="112"/>
      <c r="BF280" s="52"/>
      <c r="BG280" s="52"/>
      <c r="BH280" s="52"/>
      <c r="BI280" s="54"/>
      <c r="BJ280" s="54"/>
      <c r="BK280" s="54"/>
      <c r="BL280" s="55"/>
      <c r="BM280" s="55"/>
      <c r="BN280" s="55"/>
      <c r="BO280" s="55"/>
      <c r="BP280" s="55"/>
      <c r="BQ280" s="55"/>
      <c r="BR280" s="92"/>
      <c r="BS280" s="92"/>
      <c r="BT280" s="92"/>
      <c r="BU280" s="93"/>
      <c r="BV280" s="93"/>
      <c r="BW280" s="93"/>
      <c r="BX280" s="57"/>
      <c r="BY280" s="57"/>
      <c r="BZ280" s="57"/>
      <c r="CA280" s="58"/>
      <c r="CB280" s="58"/>
      <c r="CC280" s="58"/>
      <c r="CD280" s="60"/>
      <c r="CE280" s="60"/>
      <c r="CF280" s="60"/>
      <c r="CG280" s="150">
        <v>10</v>
      </c>
      <c r="CH280" s="150">
        <v>2449</v>
      </c>
      <c r="CI280" s="150">
        <v>2301</v>
      </c>
      <c r="CJ280" s="62">
        <v>10</v>
      </c>
      <c r="CK280" s="62">
        <v>2925</v>
      </c>
      <c r="CL280" s="62">
        <v>2313</v>
      </c>
      <c r="CM280" s="95">
        <v>10</v>
      </c>
      <c r="CN280" s="95">
        <v>4000</v>
      </c>
      <c r="CO280" s="95">
        <v>2346</v>
      </c>
      <c r="CP280" s="95">
        <v>10</v>
      </c>
      <c r="CQ280" s="95">
        <v>1142</v>
      </c>
      <c r="CR280" s="95">
        <v>2239</v>
      </c>
      <c r="CS280" s="95">
        <v>10</v>
      </c>
      <c r="CT280" s="95">
        <v>683</v>
      </c>
      <c r="CU280" s="95">
        <v>2286</v>
      </c>
      <c r="CV280" s="42">
        <v>10</v>
      </c>
      <c r="CW280" s="42">
        <v>3328</v>
      </c>
      <c r="CX280" s="42">
        <v>2104</v>
      </c>
    </row>
    <row r="281" spans="1:104" s="16" customFormat="1" ht="15" customHeight="1">
      <c r="A281" s="90" t="s">
        <v>154</v>
      </c>
      <c r="B281" s="42"/>
      <c r="C281" s="42"/>
      <c r="D281" s="42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97">
        <v>8</v>
      </c>
      <c r="W281" s="97">
        <v>4500</v>
      </c>
      <c r="X281" s="97">
        <v>2242</v>
      </c>
      <c r="Y281" s="98">
        <v>8</v>
      </c>
      <c r="Z281" s="98">
        <v>1500</v>
      </c>
      <c r="AA281" s="98">
        <v>2057</v>
      </c>
      <c r="AB281" s="95">
        <v>8</v>
      </c>
      <c r="AC281" s="214">
        <v>2497</v>
      </c>
      <c r="AD281" s="214">
        <v>2088</v>
      </c>
      <c r="AE281" s="101">
        <v>8</v>
      </c>
      <c r="AF281" s="101"/>
      <c r="AG281" s="101">
        <v>2097</v>
      </c>
      <c r="AH281" s="165">
        <v>8</v>
      </c>
      <c r="AI281" s="165">
        <v>3725</v>
      </c>
      <c r="AJ281" s="165">
        <v>1872</v>
      </c>
      <c r="AK281" s="166">
        <v>8</v>
      </c>
      <c r="AL281" s="166">
        <v>580</v>
      </c>
      <c r="AM281" s="166">
        <v>1961</v>
      </c>
      <c r="AN281" s="104"/>
      <c r="AO281" s="104"/>
      <c r="AP281" s="104"/>
      <c r="AQ281" s="105">
        <v>8</v>
      </c>
      <c r="AR281" s="105">
        <v>4500</v>
      </c>
      <c r="AS281" s="105">
        <v>2113</v>
      </c>
      <c r="AT281" s="172">
        <v>8</v>
      </c>
      <c r="AU281" s="172">
        <v>196</v>
      </c>
      <c r="AV281" s="172">
        <v>2080</v>
      </c>
      <c r="AW281" s="108">
        <v>8</v>
      </c>
      <c r="AX281" s="108">
        <v>1500</v>
      </c>
      <c r="AY281" s="108">
        <v>2099</v>
      </c>
      <c r="AZ281" s="110">
        <v>8</v>
      </c>
      <c r="BA281" s="110"/>
      <c r="BB281" s="110">
        <v>531</v>
      </c>
      <c r="BC281" s="175"/>
      <c r="BD281" s="175"/>
      <c r="BE281" s="175"/>
      <c r="BF281" s="52"/>
      <c r="BG281" s="52"/>
      <c r="BH281" s="52"/>
      <c r="BI281" s="54"/>
      <c r="BJ281" s="54"/>
      <c r="BK281" s="54"/>
      <c r="BL281" s="55"/>
      <c r="BM281" s="55"/>
      <c r="BN281" s="55"/>
      <c r="BO281" s="55"/>
      <c r="BP281" s="55"/>
      <c r="BQ281" s="55"/>
      <c r="BR281" s="124"/>
      <c r="BS281" s="124"/>
      <c r="BT281" s="124"/>
      <c r="BU281" s="178"/>
      <c r="BV281" s="178"/>
      <c r="BW281" s="178"/>
      <c r="BX281" s="57"/>
      <c r="BY281" s="57"/>
      <c r="BZ281" s="57"/>
      <c r="CA281" s="58"/>
      <c r="CB281" s="58"/>
      <c r="CC281" s="58"/>
      <c r="CD281" s="60"/>
      <c r="CE281" s="60"/>
      <c r="CF281" s="60"/>
      <c r="CG281" s="150">
        <v>8</v>
      </c>
      <c r="CH281" s="150">
        <v>4500</v>
      </c>
      <c r="CI281" s="150">
        <v>2126</v>
      </c>
      <c r="CJ281" s="62">
        <v>8</v>
      </c>
      <c r="CK281" s="62">
        <v>1500</v>
      </c>
      <c r="CL281" s="62">
        <v>2094</v>
      </c>
      <c r="CM281" s="95">
        <v>8</v>
      </c>
      <c r="CN281" s="95">
        <v>1745</v>
      </c>
      <c r="CO281" s="95">
        <v>2077</v>
      </c>
      <c r="CP281" s="95">
        <v>8</v>
      </c>
      <c r="CQ281" s="95">
        <v>3000</v>
      </c>
      <c r="CR281" s="95">
        <v>2093</v>
      </c>
      <c r="CS281" s="95">
        <v>8</v>
      </c>
      <c r="CT281" s="95"/>
      <c r="CU281" s="95">
        <v>2071</v>
      </c>
      <c r="CV281" s="42">
        <v>8</v>
      </c>
      <c r="CW281" s="42">
        <v>1500</v>
      </c>
      <c r="CX281" s="42">
        <v>1892</v>
      </c>
    </row>
    <row r="282" spans="1:104" s="16" customFormat="1" ht="15" customHeight="1">
      <c r="A282" s="90" t="s">
        <v>155</v>
      </c>
      <c r="B282" s="42"/>
      <c r="C282" s="42"/>
      <c r="D282" s="42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97">
        <v>4</v>
      </c>
      <c r="W282" s="97">
        <v>1200</v>
      </c>
      <c r="X282" s="97">
        <v>1477</v>
      </c>
      <c r="Y282" s="98">
        <v>4</v>
      </c>
      <c r="Z282" s="98">
        <v>1800</v>
      </c>
      <c r="AA282" s="98">
        <v>1473</v>
      </c>
      <c r="AB282" s="95">
        <v>4</v>
      </c>
      <c r="AC282" s="214">
        <v>1015</v>
      </c>
      <c r="AD282" s="214">
        <v>1432</v>
      </c>
      <c r="AE282" s="101">
        <v>4</v>
      </c>
      <c r="AF282" s="101">
        <v>1200</v>
      </c>
      <c r="AG282" s="101">
        <v>1453</v>
      </c>
      <c r="AH282" s="165">
        <v>4</v>
      </c>
      <c r="AI282" s="165">
        <v>1401</v>
      </c>
      <c r="AJ282" s="165">
        <v>1298</v>
      </c>
      <c r="AK282" s="166">
        <v>3</v>
      </c>
      <c r="AL282" s="166">
        <v>1376</v>
      </c>
      <c r="AM282" s="166">
        <v>185</v>
      </c>
      <c r="AN282" s="104"/>
      <c r="AO282" s="104"/>
      <c r="AP282" s="104"/>
      <c r="AQ282" s="105">
        <v>3</v>
      </c>
      <c r="AR282" s="105"/>
      <c r="AS282" s="105"/>
      <c r="AT282" s="172">
        <v>3</v>
      </c>
      <c r="AU282" s="172"/>
      <c r="AV282" s="172"/>
      <c r="AW282" s="108">
        <v>3</v>
      </c>
      <c r="AX282" s="108"/>
      <c r="AY282" s="108"/>
      <c r="AZ282" s="110">
        <v>3</v>
      </c>
      <c r="BA282" s="110"/>
      <c r="BB282" s="110"/>
      <c r="BC282" s="175"/>
      <c r="BD282" s="175"/>
      <c r="BE282" s="175"/>
      <c r="BF282" s="52"/>
      <c r="BG282" s="52"/>
      <c r="BH282" s="52"/>
      <c r="BI282" s="54"/>
      <c r="BJ282" s="54"/>
      <c r="BK282" s="54"/>
      <c r="BL282" s="55"/>
      <c r="BM282" s="55"/>
      <c r="BN282" s="55"/>
      <c r="BO282" s="55"/>
      <c r="BP282" s="55"/>
      <c r="BQ282" s="55"/>
      <c r="BR282" s="124"/>
      <c r="BS282" s="124"/>
      <c r="BT282" s="124"/>
      <c r="BU282" s="178"/>
      <c r="BV282" s="178"/>
      <c r="BW282" s="178"/>
      <c r="BX282" s="57"/>
      <c r="BY282" s="57"/>
      <c r="BZ282" s="57"/>
      <c r="CA282" s="58"/>
      <c r="CB282" s="58"/>
      <c r="CC282" s="58"/>
      <c r="CD282" s="60"/>
      <c r="CE282" s="60"/>
      <c r="CF282" s="60"/>
      <c r="CG282" s="150">
        <v>3</v>
      </c>
      <c r="CH282" s="150"/>
      <c r="CI282" s="150"/>
      <c r="CJ282" s="62">
        <v>3</v>
      </c>
      <c r="CK282" s="62"/>
      <c r="CL282" s="62"/>
      <c r="CM282" s="95">
        <v>3</v>
      </c>
      <c r="CN282" s="95"/>
      <c r="CO282" s="95"/>
      <c r="CP282" s="95">
        <v>3</v>
      </c>
      <c r="CQ282" s="95"/>
      <c r="CR282" s="95"/>
      <c r="CS282" s="95">
        <v>3</v>
      </c>
      <c r="CT282" s="95"/>
      <c r="CU282" s="95"/>
      <c r="CV282" s="42">
        <v>3</v>
      </c>
      <c r="CW282" s="42"/>
      <c r="CX282" s="42"/>
    </row>
    <row r="283" spans="1:104" s="16" customFormat="1" ht="15" customHeight="1">
      <c r="A283" s="90" t="s">
        <v>156</v>
      </c>
      <c r="B283" s="42"/>
      <c r="C283" s="42"/>
      <c r="D283" s="42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97">
        <v>3</v>
      </c>
      <c r="W283" s="97"/>
      <c r="X283" s="97">
        <v>925</v>
      </c>
      <c r="Y283" s="98">
        <v>3</v>
      </c>
      <c r="Z283" s="98">
        <v>1800</v>
      </c>
      <c r="AA283" s="98">
        <v>851</v>
      </c>
      <c r="AB283" s="95">
        <v>3</v>
      </c>
      <c r="AC283" s="214">
        <v>418</v>
      </c>
      <c r="AD283" s="214">
        <v>843</v>
      </c>
      <c r="AE283" s="101">
        <v>3</v>
      </c>
      <c r="AF283" s="101">
        <v>1360</v>
      </c>
      <c r="AG283" s="101">
        <v>812</v>
      </c>
      <c r="AH283" s="165">
        <v>3</v>
      </c>
      <c r="AI283" s="165">
        <v>89</v>
      </c>
      <c r="AJ283" s="165">
        <v>708</v>
      </c>
      <c r="AK283" s="166">
        <v>3</v>
      </c>
      <c r="AL283" s="166">
        <v>1325</v>
      </c>
      <c r="AM283" s="166">
        <v>471</v>
      </c>
      <c r="AN283" s="104"/>
      <c r="AO283" s="104"/>
      <c r="AP283" s="104"/>
      <c r="AQ283" s="105"/>
      <c r="AR283" s="105"/>
      <c r="AS283" s="105"/>
      <c r="AT283" s="172"/>
      <c r="AU283" s="172"/>
      <c r="AV283" s="172"/>
      <c r="AW283" s="108"/>
      <c r="AX283" s="108"/>
      <c r="AY283" s="108"/>
      <c r="AZ283" s="110"/>
      <c r="BA283" s="110"/>
      <c r="BB283" s="110"/>
      <c r="BC283" s="175"/>
      <c r="BD283" s="175"/>
      <c r="BE283" s="175"/>
      <c r="BF283" s="52"/>
      <c r="BG283" s="52"/>
      <c r="BH283" s="52"/>
      <c r="BI283" s="54"/>
      <c r="BJ283" s="54"/>
      <c r="BK283" s="54"/>
      <c r="BL283" s="55"/>
      <c r="BM283" s="55"/>
      <c r="BN283" s="55"/>
      <c r="BO283" s="55"/>
      <c r="BP283" s="55"/>
      <c r="BQ283" s="55"/>
      <c r="BR283" s="124"/>
      <c r="BS283" s="124"/>
      <c r="BT283" s="124"/>
      <c r="BU283" s="178"/>
      <c r="BV283" s="178"/>
      <c r="BW283" s="178"/>
      <c r="BX283" s="57"/>
      <c r="BY283" s="57"/>
      <c r="BZ283" s="57"/>
      <c r="CA283" s="58"/>
      <c r="CB283" s="58"/>
      <c r="CC283" s="58"/>
      <c r="CD283" s="60"/>
      <c r="CE283" s="60"/>
      <c r="CF283" s="60"/>
      <c r="CG283" s="150"/>
      <c r="CH283" s="150"/>
      <c r="CI283" s="150"/>
      <c r="CJ283" s="62"/>
      <c r="CK283" s="62"/>
      <c r="CL283" s="62"/>
      <c r="CM283" s="95"/>
      <c r="CN283" s="95"/>
      <c r="CO283" s="95"/>
      <c r="CP283" s="95"/>
      <c r="CQ283" s="95"/>
      <c r="CR283" s="95"/>
      <c r="CS283" s="95"/>
      <c r="CT283" s="95"/>
      <c r="CU283" s="95"/>
      <c r="CV283" s="42"/>
      <c r="CW283" s="42"/>
      <c r="CX283" s="42"/>
    </row>
    <row r="284" spans="1:104" s="16" customFormat="1" ht="15" customHeight="1">
      <c r="A284" s="90" t="s">
        <v>157</v>
      </c>
      <c r="B284" s="42"/>
      <c r="C284" s="42"/>
      <c r="D284" s="42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97">
        <v>2</v>
      </c>
      <c r="W284" s="97">
        <v>893</v>
      </c>
      <c r="X284" s="97">
        <v>808</v>
      </c>
      <c r="Y284" s="98">
        <v>2</v>
      </c>
      <c r="Z284" s="98"/>
      <c r="AA284" s="98">
        <v>745</v>
      </c>
      <c r="AB284" s="95">
        <v>2</v>
      </c>
      <c r="AC284" s="214">
        <v>1200</v>
      </c>
      <c r="AD284" s="214">
        <v>775</v>
      </c>
      <c r="AE284" s="101">
        <v>2</v>
      </c>
      <c r="AF284" s="101">
        <v>1103</v>
      </c>
      <c r="AG284" s="101">
        <v>624</v>
      </c>
      <c r="AH284" s="165">
        <v>2</v>
      </c>
      <c r="AI284" s="165">
        <v>307</v>
      </c>
      <c r="AJ284" s="165">
        <v>452</v>
      </c>
      <c r="AK284" s="166">
        <v>2</v>
      </c>
      <c r="AL284" s="166">
        <v>312</v>
      </c>
      <c r="AM284" s="166">
        <v>25</v>
      </c>
      <c r="AN284" s="104"/>
      <c r="AO284" s="104"/>
      <c r="AP284" s="104"/>
      <c r="AQ284" s="105">
        <v>2</v>
      </c>
      <c r="AR284" s="105"/>
      <c r="AS284" s="105"/>
      <c r="AT284" s="172">
        <v>2</v>
      </c>
      <c r="AU284" s="172"/>
      <c r="AV284" s="172"/>
      <c r="AW284" s="108">
        <v>2</v>
      </c>
      <c r="AX284" s="108"/>
      <c r="AY284" s="108"/>
      <c r="AZ284" s="110">
        <v>2</v>
      </c>
      <c r="BA284" s="110"/>
      <c r="BB284" s="110"/>
      <c r="BC284" s="175"/>
      <c r="BD284" s="175"/>
      <c r="BE284" s="175"/>
      <c r="BF284" s="52"/>
      <c r="BG284" s="52"/>
      <c r="BH284" s="52"/>
      <c r="BI284" s="54"/>
      <c r="BJ284" s="54"/>
      <c r="BK284" s="54"/>
      <c r="BL284" s="55"/>
      <c r="BM284" s="55"/>
      <c r="BN284" s="55"/>
      <c r="BO284" s="55"/>
      <c r="BP284" s="55"/>
      <c r="BQ284" s="55"/>
      <c r="BR284" s="124"/>
      <c r="BS284" s="124"/>
      <c r="BT284" s="124"/>
      <c r="BU284" s="178"/>
      <c r="BV284" s="178"/>
      <c r="BW284" s="178"/>
      <c r="BX284" s="57"/>
      <c r="BY284" s="57"/>
      <c r="BZ284" s="57"/>
      <c r="CA284" s="58"/>
      <c r="CB284" s="58"/>
      <c r="CC284" s="58"/>
      <c r="CD284" s="60"/>
      <c r="CE284" s="60"/>
      <c r="CF284" s="60"/>
      <c r="CG284" s="150">
        <v>2</v>
      </c>
      <c r="CH284" s="150"/>
      <c r="CI284" s="150"/>
      <c r="CJ284" s="62">
        <v>2</v>
      </c>
      <c r="CK284" s="62"/>
      <c r="CL284" s="62"/>
      <c r="CM284" s="95">
        <v>2</v>
      </c>
      <c r="CN284" s="95"/>
      <c r="CO284" s="95"/>
      <c r="CP284" s="95">
        <v>2</v>
      </c>
      <c r="CQ284" s="95"/>
      <c r="CR284" s="95"/>
      <c r="CS284" s="95">
        <v>2</v>
      </c>
      <c r="CT284" s="95"/>
      <c r="CU284" s="95"/>
      <c r="CV284" s="42">
        <v>2</v>
      </c>
      <c r="CW284" s="42"/>
      <c r="CX284" s="42"/>
    </row>
    <row r="285" spans="1:104" s="16" customFormat="1" ht="15" customHeight="1">
      <c r="A285" s="90" t="s">
        <v>158</v>
      </c>
      <c r="B285" s="42"/>
      <c r="C285" s="42"/>
      <c r="D285" s="42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97">
        <v>5</v>
      </c>
      <c r="W285" s="97"/>
      <c r="X285" s="97">
        <v>1504</v>
      </c>
      <c r="Y285" s="98">
        <v>5</v>
      </c>
      <c r="Z285" s="98">
        <v>593</v>
      </c>
      <c r="AA285" s="98">
        <v>1406</v>
      </c>
      <c r="AB285" s="95">
        <v>5</v>
      </c>
      <c r="AC285" s="214">
        <v>3633</v>
      </c>
      <c r="AD285" s="214">
        <v>1277</v>
      </c>
      <c r="AE285" s="101">
        <v>5</v>
      </c>
      <c r="AF285" s="101"/>
      <c r="AG285" s="101">
        <v>1383</v>
      </c>
      <c r="AH285" s="165">
        <v>5</v>
      </c>
      <c r="AI285" s="165"/>
      <c r="AJ285" s="165">
        <v>1176</v>
      </c>
      <c r="AK285" s="166">
        <v>5</v>
      </c>
      <c r="AL285" s="166">
        <v>2996</v>
      </c>
      <c r="AM285" s="166">
        <v>1295</v>
      </c>
      <c r="AN285" s="104"/>
      <c r="AO285" s="104"/>
      <c r="AP285" s="104"/>
      <c r="AQ285" s="105">
        <v>5</v>
      </c>
      <c r="AR285" s="105">
        <v>1104</v>
      </c>
      <c r="AS285" s="105">
        <v>1387</v>
      </c>
      <c r="AT285" s="172">
        <v>5</v>
      </c>
      <c r="AU285" s="172">
        <v>1721</v>
      </c>
      <c r="AV285" s="172">
        <v>1362</v>
      </c>
      <c r="AW285" s="108">
        <v>5</v>
      </c>
      <c r="AX285" s="108"/>
      <c r="AY285" s="108">
        <v>1378</v>
      </c>
      <c r="AZ285" s="110">
        <v>5</v>
      </c>
      <c r="BA285" s="110"/>
      <c r="BB285" s="110">
        <v>352</v>
      </c>
      <c r="BC285" s="175"/>
      <c r="BD285" s="175"/>
      <c r="BE285" s="175"/>
      <c r="BF285" s="52"/>
      <c r="BG285" s="52"/>
      <c r="BH285" s="52"/>
      <c r="BI285" s="54"/>
      <c r="BJ285" s="54"/>
      <c r="BK285" s="54"/>
      <c r="BL285" s="55"/>
      <c r="BM285" s="55"/>
      <c r="BN285" s="55"/>
      <c r="BO285" s="55"/>
      <c r="BP285" s="55"/>
      <c r="BQ285" s="55"/>
      <c r="BR285" s="124"/>
      <c r="BS285" s="124"/>
      <c r="BT285" s="124"/>
      <c r="BU285" s="178"/>
      <c r="BV285" s="178"/>
      <c r="BW285" s="178"/>
      <c r="BX285" s="57"/>
      <c r="BY285" s="57"/>
      <c r="BZ285" s="57"/>
      <c r="CA285" s="58"/>
      <c r="CB285" s="58"/>
      <c r="CC285" s="58"/>
      <c r="CD285" s="60"/>
      <c r="CE285" s="60"/>
      <c r="CF285" s="60"/>
      <c r="CG285" s="150">
        <v>5</v>
      </c>
      <c r="CH285" s="150"/>
      <c r="CI285" s="150">
        <v>1394</v>
      </c>
      <c r="CJ285" s="62">
        <v>5</v>
      </c>
      <c r="CK285" s="62">
        <v>3321</v>
      </c>
      <c r="CL285" s="62">
        <v>1373</v>
      </c>
      <c r="CM285" s="95">
        <v>5</v>
      </c>
      <c r="CN285" s="95">
        <v>1831</v>
      </c>
      <c r="CO285" s="95">
        <v>1391</v>
      </c>
      <c r="CP285" s="95">
        <v>5</v>
      </c>
      <c r="CQ285" s="95">
        <v>1620</v>
      </c>
      <c r="CR285" s="95">
        <v>1382</v>
      </c>
      <c r="CS285" s="95">
        <v>5</v>
      </c>
      <c r="CT285" s="95"/>
      <c r="CU285" s="95">
        <v>1362</v>
      </c>
      <c r="CV285" s="42">
        <v>5</v>
      </c>
      <c r="CW285" s="42">
        <v>2000</v>
      </c>
      <c r="CX285" s="42">
        <v>1258</v>
      </c>
    </row>
    <row r="286" spans="1:104" s="16" customFormat="1" ht="15" customHeight="1">
      <c r="A286" s="90" t="s">
        <v>159</v>
      </c>
      <c r="B286" s="42"/>
      <c r="C286" s="42"/>
      <c r="D286" s="42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97">
        <v>1</v>
      </c>
      <c r="W286" s="97"/>
      <c r="X286" s="97"/>
      <c r="Y286" s="98">
        <v>1</v>
      </c>
      <c r="Z286" s="98"/>
      <c r="AA286" s="98"/>
      <c r="AB286" s="95">
        <v>1</v>
      </c>
      <c r="AC286" s="40"/>
      <c r="AD286" s="40"/>
      <c r="AE286" s="101">
        <v>1</v>
      </c>
      <c r="AF286" s="101"/>
      <c r="AG286" s="101"/>
      <c r="AH286" s="165">
        <v>1</v>
      </c>
      <c r="AI286" s="165"/>
      <c r="AJ286" s="165"/>
      <c r="AK286" s="166">
        <v>1</v>
      </c>
      <c r="AL286" s="166"/>
      <c r="AM286" s="166"/>
      <c r="AN286" s="104"/>
      <c r="AO286" s="104"/>
      <c r="AP286" s="104"/>
      <c r="AQ286" s="105">
        <v>1</v>
      </c>
      <c r="AR286" s="105"/>
      <c r="AS286" s="105"/>
      <c r="AT286" s="105">
        <v>1</v>
      </c>
      <c r="AU286" s="172"/>
      <c r="AV286" s="172"/>
      <c r="AW286" s="108">
        <v>1</v>
      </c>
      <c r="AX286" s="108"/>
      <c r="AY286" s="108"/>
      <c r="AZ286" s="110">
        <v>1</v>
      </c>
      <c r="BA286" s="110"/>
      <c r="BB286" s="110"/>
      <c r="BC286" s="175"/>
      <c r="BD286" s="175"/>
      <c r="BE286" s="175"/>
      <c r="BF286" s="52"/>
      <c r="BG286" s="52"/>
      <c r="BH286" s="52"/>
      <c r="BI286" s="54"/>
      <c r="BJ286" s="54"/>
      <c r="BK286" s="54"/>
      <c r="BL286" s="55"/>
      <c r="BM286" s="55"/>
      <c r="BN286" s="55"/>
      <c r="BO286" s="55"/>
      <c r="BP286" s="55"/>
      <c r="BQ286" s="55"/>
      <c r="BR286" s="124"/>
      <c r="BS286" s="124"/>
      <c r="BT286" s="124"/>
      <c r="BU286" s="178"/>
      <c r="BV286" s="178"/>
      <c r="BW286" s="178"/>
      <c r="BX286" s="57"/>
      <c r="BY286" s="57"/>
      <c r="BZ286" s="57"/>
      <c r="CA286" s="58"/>
      <c r="CB286" s="58"/>
      <c r="CC286" s="58"/>
      <c r="CD286" s="60"/>
      <c r="CE286" s="60"/>
      <c r="CF286" s="60"/>
      <c r="CG286" s="150">
        <v>1</v>
      </c>
      <c r="CH286" s="150"/>
      <c r="CI286" s="150"/>
      <c r="CJ286" s="62">
        <v>1</v>
      </c>
      <c r="CK286" s="62"/>
      <c r="CL286" s="62"/>
      <c r="CM286" s="95">
        <v>1</v>
      </c>
      <c r="CN286" s="95"/>
      <c r="CO286" s="95"/>
      <c r="CP286" s="95">
        <v>1</v>
      </c>
      <c r="CQ286" s="95"/>
      <c r="CR286" s="95"/>
      <c r="CS286" s="95">
        <v>1</v>
      </c>
      <c r="CT286" s="95"/>
      <c r="CU286" s="95"/>
      <c r="CV286" s="42">
        <v>1</v>
      </c>
      <c r="CW286" s="42"/>
      <c r="CX286" s="42"/>
    </row>
    <row r="287" spans="1:104" s="16" customFormat="1" ht="15" customHeight="1">
      <c r="A287" s="90" t="s">
        <v>160</v>
      </c>
      <c r="B287" s="42"/>
      <c r="C287" s="42"/>
      <c r="D287" s="42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97">
        <v>1</v>
      </c>
      <c r="W287" s="97"/>
      <c r="X287" s="97"/>
      <c r="Y287" s="98">
        <v>1</v>
      </c>
      <c r="Z287" s="98"/>
      <c r="AA287" s="98"/>
      <c r="AB287" s="95">
        <v>1</v>
      </c>
      <c r="AC287" s="40"/>
      <c r="AD287" s="40"/>
      <c r="AE287" s="101">
        <v>1</v>
      </c>
      <c r="AF287" s="101"/>
      <c r="AG287" s="101"/>
      <c r="AH287" s="165">
        <v>1</v>
      </c>
      <c r="AI287" s="165"/>
      <c r="AJ287" s="165"/>
      <c r="AK287" s="166">
        <v>1</v>
      </c>
      <c r="AL287" s="166"/>
      <c r="AM287" s="166"/>
      <c r="AN287" s="104"/>
      <c r="AO287" s="104"/>
      <c r="AP287" s="104"/>
      <c r="AQ287" s="105">
        <v>1</v>
      </c>
      <c r="AR287" s="105"/>
      <c r="AS287" s="105"/>
      <c r="AT287" s="105">
        <v>1</v>
      </c>
      <c r="AU287" s="172"/>
      <c r="AV287" s="172"/>
      <c r="AW287" s="108">
        <v>1</v>
      </c>
      <c r="AX287" s="108"/>
      <c r="AY287" s="108"/>
      <c r="AZ287" s="110">
        <v>1</v>
      </c>
      <c r="BA287" s="110"/>
      <c r="BB287" s="110"/>
      <c r="BC287" s="175"/>
      <c r="BD287" s="175"/>
      <c r="BE287" s="175"/>
      <c r="BF287" s="52"/>
      <c r="BG287" s="52"/>
      <c r="BH287" s="52"/>
      <c r="BI287" s="54"/>
      <c r="BJ287" s="54"/>
      <c r="BK287" s="54"/>
      <c r="BL287" s="55"/>
      <c r="BM287" s="55"/>
      <c r="BN287" s="55"/>
      <c r="BO287" s="55"/>
      <c r="BP287" s="55"/>
      <c r="BQ287" s="55"/>
      <c r="BR287" s="124"/>
      <c r="BS287" s="124"/>
      <c r="BT287" s="124"/>
      <c r="BU287" s="178"/>
      <c r="BV287" s="178"/>
      <c r="BW287" s="178"/>
      <c r="BX287" s="57"/>
      <c r="BY287" s="57"/>
      <c r="BZ287" s="57"/>
      <c r="CA287" s="58"/>
      <c r="CB287" s="58"/>
      <c r="CC287" s="58"/>
      <c r="CD287" s="60"/>
      <c r="CE287" s="60"/>
      <c r="CF287" s="60"/>
      <c r="CG287" s="150">
        <v>1</v>
      </c>
      <c r="CH287" s="150"/>
      <c r="CI287" s="150"/>
      <c r="CJ287" s="62">
        <v>1</v>
      </c>
      <c r="CK287" s="62"/>
      <c r="CL287" s="62"/>
      <c r="CM287" s="95">
        <v>1</v>
      </c>
      <c r="CN287" s="95"/>
      <c r="CO287" s="95"/>
      <c r="CP287" s="95">
        <v>1</v>
      </c>
      <c r="CQ287" s="95"/>
      <c r="CR287" s="95"/>
      <c r="CS287" s="95">
        <v>1</v>
      </c>
      <c r="CT287" s="95"/>
      <c r="CU287" s="95"/>
      <c r="CV287" s="42">
        <v>1</v>
      </c>
      <c r="CW287" s="42"/>
      <c r="CX287" s="42"/>
    </row>
    <row r="288" spans="1:104" s="16" customFormat="1" ht="15" customHeight="1">
      <c r="A288" s="90" t="s">
        <v>161</v>
      </c>
      <c r="B288" s="42"/>
      <c r="C288" s="42"/>
      <c r="D288" s="42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97">
        <v>1</v>
      </c>
      <c r="W288" s="97"/>
      <c r="X288" s="97"/>
      <c r="Y288" s="98">
        <v>1</v>
      </c>
      <c r="Z288" s="98"/>
      <c r="AA288" s="98"/>
      <c r="AB288" s="95">
        <v>1</v>
      </c>
      <c r="AC288" s="40"/>
      <c r="AD288" s="40"/>
      <c r="AE288" s="101">
        <v>1</v>
      </c>
      <c r="AF288" s="101"/>
      <c r="AG288" s="101"/>
      <c r="AH288" s="165">
        <v>1</v>
      </c>
      <c r="AI288" s="165"/>
      <c r="AJ288" s="165"/>
      <c r="AK288" s="166">
        <v>1</v>
      </c>
      <c r="AL288" s="166"/>
      <c r="AM288" s="166"/>
      <c r="AN288" s="104"/>
      <c r="AO288" s="104"/>
      <c r="AP288" s="104"/>
      <c r="AQ288" s="105">
        <v>1</v>
      </c>
      <c r="AR288" s="105"/>
      <c r="AS288" s="105"/>
      <c r="AT288" s="105">
        <v>1</v>
      </c>
      <c r="AU288" s="172"/>
      <c r="AV288" s="172"/>
      <c r="AW288" s="108">
        <v>1</v>
      </c>
      <c r="AX288" s="108"/>
      <c r="AY288" s="108"/>
      <c r="AZ288" s="110">
        <v>1</v>
      </c>
      <c r="BA288" s="110"/>
      <c r="BB288" s="110"/>
      <c r="BC288" s="175"/>
      <c r="BD288" s="175"/>
      <c r="BE288" s="175"/>
      <c r="BF288" s="52"/>
      <c r="BG288" s="52"/>
      <c r="BH288" s="52"/>
      <c r="BI288" s="54"/>
      <c r="BJ288" s="54"/>
      <c r="BK288" s="54"/>
      <c r="BL288" s="55"/>
      <c r="BM288" s="55"/>
      <c r="BN288" s="55"/>
      <c r="BO288" s="55"/>
      <c r="BP288" s="55"/>
      <c r="BQ288" s="55"/>
      <c r="BR288" s="124"/>
      <c r="BS288" s="124"/>
      <c r="BT288" s="124"/>
      <c r="BU288" s="178"/>
      <c r="BV288" s="178"/>
      <c r="BW288" s="178"/>
      <c r="BX288" s="57"/>
      <c r="BY288" s="57"/>
      <c r="BZ288" s="57"/>
      <c r="CA288" s="58"/>
      <c r="CB288" s="58"/>
      <c r="CC288" s="58"/>
      <c r="CD288" s="60"/>
      <c r="CE288" s="60"/>
      <c r="CF288" s="60"/>
      <c r="CG288" s="150">
        <v>1</v>
      </c>
      <c r="CH288" s="150"/>
      <c r="CI288" s="150"/>
      <c r="CJ288" s="62">
        <v>1</v>
      </c>
      <c r="CK288" s="62"/>
      <c r="CL288" s="62"/>
      <c r="CM288" s="95">
        <v>1</v>
      </c>
      <c r="CN288" s="95"/>
      <c r="CO288" s="95"/>
      <c r="CP288" s="95">
        <v>1</v>
      </c>
      <c r="CQ288" s="95"/>
      <c r="CR288" s="95"/>
      <c r="CS288" s="95">
        <v>1</v>
      </c>
      <c r="CT288" s="95"/>
      <c r="CU288" s="95"/>
      <c r="CV288" s="42">
        <v>1</v>
      </c>
      <c r="CW288" s="42"/>
      <c r="CX288" s="42"/>
    </row>
    <row r="289" spans="1:102" s="16" customFormat="1" ht="15" customHeight="1">
      <c r="A289" s="90" t="s">
        <v>162</v>
      </c>
      <c r="B289" s="42"/>
      <c r="C289" s="42"/>
      <c r="D289" s="42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97">
        <v>1</v>
      </c>
      <c r="W289" s="97"/>
      <c r="X289" s="97"/>
      <c r="Y289" s="98">
        <v>1</v>
      </c>
      <c r="Z289" s="98"/>
      <c r="AA289" s="98"/>
      <c r="AB289" s="95">
        <v>1</v>
      </c>
      <c r="AC289" s="40"/>
      <c r="AD289" s="40"/>
      <c r="AE289" s="101">
        <v>1</v>
      </c>
      <c r="AF289" s="101"/>
      <c r="AG289" s="101"/>
      <c r="AH289" s="165">
        <v>1</v>
      </c>
      <c r="AI289" s="165"/>
      <c r="AJ289" s="165"/>
      <c r="AK289" s="166">
        <v>1</v>
      </c>
      <c r="AL289" s="166"/>
      <c r="AM289" s="166"/>
      <c r="AN289" s="104"/>
      <c r="AO289" s="104"/>
      <c r="AP289" s="104"/>
      <c r="AQ289" s="105">
        <v>1</v>
      </c>
      <c r="AR289" s="105"/>
      <c r="AS289" s="105"/>
      <c r="AT289" s="105">
        <v>1</v>
      </c>
      <c r="AU289" s="172"/>
      <c r="AV289" s="172"/>
      <c r="AW289" s="108">
        <v>1</v>
      </c>
      <c r="AX289" s="108"/>
      <c r="AY289" s="108"/>
      <c r="AZ289" s="110">
        <v>1</v>
      </c>
      <c r="BA289" s="110"/>
      <c r="BB289" s="110"/>
      <c r="BC289" s="175"/>
      <c r="BD289" s="175"/>
      <c r="BE289" s="175"/>
      <c r="BF289" s="52"/>
      <c r="BG289" s="52"/>
      <c r="BH289" s="52"/>
      <c r="BI289" s="54"/>
      <c r="BJ289" s="54"/>
      <c r="BK289" s="54"/>
      <c r="BL289" s="55"/>
      <c r="BM289" s="55"/>
      <c r="BN289" s="55"/>
      <c r="BO289" s="55"/>
      <c r="BP289" s="55"/>
      <c r="BQ289" s="55"/>
      <c r="BR289" s="124"/>
      <c r="BS289" s="124"/>
      <c r="BT289" s="124"/>
      <c r="BU289" s="178"/>
      <c r="BV289" s="178"/>
      <c r="BW289" s="178"/>
      <c r="BX289" s="57"/>
      <c r="BY289" s="57"/>
      <c r="BZ289" s="57"/>
      <c r="CA289" s="58"/>
      <c r="CB289" s="58"/>
      <c r="CC289" s="58"/>
      <c r="CD289" s="60"/>
      <c r="CE289" s="60"/>
      <c r="CF289" s="60"/>
      <c r="CG289" s="150">
        <v>1</v>
      </c>
      <c r="CH289" s="150"/>
      <c r="CI289" s="150"/>
      <c r="CJ289" s="62">
        <v>1</v>
      </c>
      <c r="CK289" s="62"/>
      <c r="CL289" s="62"/>
      <c r="CM289" s="95">
        <v>1</v>
      </c>
      <c r="CN289" s="95"/>
      <c r="CO289" s="95"/>
      <c r="CP289" s="95">
        <v>1</v>
      </c>
      <c r="CQ289" s="95"/>
      <c r="CR289" s="95"/>
      <c r="CS289" s="95">
        <v>1</v>
      </c>
      <c r="CT289" s="95"/>
      <c r="CU289" s="95"/>
      <c r="CV289" s="42">
        <v>1</v>
      </c>
      <c r="CW289" s="42"/>
      <c r="CX289" s="42"/>
    </row>
    <row r="290" spans="1:102" s="16" customFormat="1" ht="15" customHeight="1">
      <c r="A290" s="90" t="s">
        <v>163</v>
      </c>
      <c r="B290" s="42"/>
      <c r="C290" s="42"/>
      <c r="D290" s="42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97">
        <v>1</v>
      </c>
      <c r="W290" s="97"/>
      <c r="X290" s="97"/>
      <c r="Y290" s="98">
        <v>1</v>
      </c>
      <c r="Z290" s="98"/>
      <c r="AA290" s="98"/>
      <c r="AB290" s="95">
        <v>1</v>
      </c>
      <c r="AC290" s="40"/>
      <c r="AD290" s="40"/>
      <c r="AE290" s="101">
        <v>1</v>
      </c>
      <c r="AF290" s="101"/>
      <c r="AG290" s="101"/>
      <c r="AH290" s="165">
        <v>1</v>
      </c>
      <c r="AI290" s="165"/>
      <c r="AJ290" s="165"/>
      <c r="AK290" s="166">
        <v>1</v>
      </c>
      <c r="AL290" s="166"/>
      <c r="AM290" s="166"/>
      <c r="AN290" s="104"/>
      <c r="AO290" s="104"/>
      <c r="AP290" s="104"/>
      <c r="AQ290" s="105">
        <v>1</v>
      </c>
      <c r="AR290" s="105"/>
      <c r="AS290" s="105"/>
      <c r="AT290" s="105">
        <v>1</v>
      </c>
      <c r="AU290" s="172"/>
      <c r="AV290" s="172"/>
      <c r="AW290" s="108">
        <v>1</v>
      </c>
      <c r="AX290" s="108"/>
      <c r="AY290" s="108"/>
      <c r="AZ290" s="110">
        <v>1</v>
      </c>
      <c r="BA290" s="110"/>
      <c r="BB290" s="110"/>
      <c r="BC290" s="175"/>
      <c r="BD290" s="175"/>
      <c r="BE290" s="175"/>
      <c r="BF290" s="52"/>
      <c r="BG290" s="52"/>
      <c r="BH290" s="52"/>
      <c r="BI290" s="54"/>
      <c r="BJ290" s="54"/>
      <c r="BK290" s="54"/>
      <c r="BL290" s="55"/>
      <c r="BM290" s="55"/>
      <c r="BN290" s="55"/>
      <c r="BO290" s="55"/>
      <c r="BP290" s="55"/>
      <c r="BQ290" s="55"/>
      <c r="BR290" s="124"/>
      <c r="BS290" s="124"/>
      <c r="BT290" s="124"/>
      <c r="BU290" s="178"/>
      <c r="BV290" s="178"/>
      <c r="BW290" s="178"/>
      <c r="BX290" s="57"/>
      <c r="BY290" s="57"/>
      <c r="BZ290" s="57"/>
      <c r="CA290" s="58"/>
      <c r="CB290" s="58"/>
      <c r="CC290" s="58"/>
      <c r="CD290" s="60"/>
      <c r="CE290" s="60"/>
      <c r="CF290" s="60"/>
      <c r="CG290" s="150">
        <v>1</v>
      </c>
      <c r="CH290" s="150"/>
      <c r="CI290" s="150"/>
      <c r="CJ290" s="62">
        <v>1</v>
      </c>
      <c r="CK290" s="62"/>
      <c r="CL290" s="62"/>
      <c r="CM290" s="95">
        <v>1</v>
      </c>
      <c r="CN290" s="95"/>
      <c r="CO290" s="95"/>
      <c r="CP290" s="95">
        <v>1</v>
      </c>
      <c r="CQ290" s="95"/>
      <c r="CR290" s="95"/>
      <c r="CS290" s="95">
        <v>1</v>
      </c>
      <c r="CT290" s="95"/>
      <c r="CU290" s="95"/>
      <c r="CV290" s="42">
        <v>1</v>
      </c>
      <c r="CW290" s="42"/>
      <c r="CX290" s="42"/>
    </row>
    <row r="291" spans="1:102" s="16" customFormat="1" ht="15" customHeight="1">
      <c r="A291" s="90" t="s">
        <v>164</v>
      </c>
      <c r="B291" s="42"/>
      <c r="C291" s="42"/>
      <c r="D291" s="42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97">
        <v>1</v>
      </c>
      <c r="W291" s="97"/>
      <c r="X291" s="97"/>
      <c r="Y291" s="98">
        <v>1</v>
      </c>
      <c r="Z291" s="98"/>
      <c r="AA291" s="98"/>
      <c r="AB291" s="95">
        <v>1</v>
      </c>
      <c r="AC291" s="40"/>
      <c r="AD291" s="40"/>
      <c r="AE291" s="101">
        <v>1</v>
      </c>
      <c r="AF291" s="101"/>
      <c r="AG291" s="101"/>
      <c r="AH291" s="165">
        <v>1</v>
      </c>
      <c r="AI291" s="165"/>
      <c r="AJ291" s="165"/>
      <c r="AK291" s="166">
        <v>1</v>
      </c>
      <c r="AL291" s="166"/>
      <c r="AM291" s="166"/>
      <c r="AN291" s="104"/>
      <c r="AO291" s="104"/>
      <c r="AP291" s="104"/>
      <c r="AQ291" s="105">
        <v>1</v>
      </c>
      <c r="AR291" s="105"/>
      <c r="AS291" s="105"/>
      <c r="AT291" s="105">
        <v>1</v>
      </c>
      <c r="AU291" s="172"/>
      <c r="AV291" s="172"/>
      <c r="AW291" s="108">
        <v>1</v>
      </c>
      <c r="AX291" s="108"/>
      <c r="AY291" s="108"/>
      <c r="AZ291" s="110">
        <v>1</v>
      </c>
      <c r="BA291" s="110"/>
      <c r="BB291" s="110"/>
      <c r="BC291" s="175"/>
      <c r="BD291" s="175"/>
      <c r="BE291" s="175"/>
      <c r="BF291" s="52"/>
      <c r="BG291" s="52"/>
      <c r="BH291" s="52"/>
      <c r="BI291" s="54"/>
      <c r="BJ291" s="54"/>
      <c r="BK291" s="54"/>
      <c r="BL291" s="55"/>
      <c r="BM291" s="55"/>
      <c r="BN291" s="55"/>
      <c r="BO291" s="55"/>
      <c r="BP291" s="55"/>
      <c r="BQ291" s="55"/>
      <c r="BR291" s="124"/>
      <c r="BS291" s="124"/>
      <c r="BT291" s="124"/>
      <c r="BU291" s="178"/>
      <c r="BV291" s="178"/>
      <c r="BW291" s="178"/>
      <c r="BX291" s="57"/>
      <c r="BY291" s="57"/>
      <c r="BZ291" s="57"/>
      <c r="CA291" s="58"/>
      <c r="CB291" s="58"/>
      <c r="CC291" s="58"/>
      <c r="CD291" s="60"/>
      <c r="CE291" s="60"/>
      <c r="CF291" s="60"/>
      <c r="CG291" s="150">
        <v>1</v>
      </c>
      <c r="CH291" s="150"/>
      <c r="CI291" s="150"/>
      <c r="CJ291" s="62">
        <v>1</v>
      </c>
      <c r="CK291" s="62"/>
      <c r="CL291" s="62"/>
      <c r="CM291" s="95">
        <v>1</v>
      </c>
      <c r="CN291" s="95"/>
      <c r="CO291" s="95"/>
      <c r="CP291" s="95">
        <v>1</v>
      </c>
      <c r="CQ291" s="95"/>
      <c r="CR291" s="95"/>
      <c r="CS291" s="95">
        <v>1</v>
      </c>
      <c r="CT291" s="95"/>
      <c r="CU291" s="95"/>
      <c r="CV291" s="42">
        <v>1</v>
      </c>
      <c r="CW291" s="42"/>
      <c r="CX291" s="42"/>
    </row>
    <row r="292" spans="1:102" s="16" customFormat="1" ht="15" customHeight="1">
      <c r="A292" s="90" t="s">
        <v>165</v>
      </c>
      <c r="B292" s="42"/>
      <c r="C292" s="42"/>
      <c r="D292" s="42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97">
        <v>1</v>
      </c>
      <c r="W292" s="97"/>
      <c r="X292" s="97"/>
      <c r="Y292" s="98">
        <v>1</v>
      </c>
      <c r="Z292" s="98"/>
      <c r="AA292" s="98"/>
      <c r="AB292" s="95">
        <v>1</v>
      </c>
      <c r="AC292" s="40"/>
      <c r="AD292" s="40"/>
      <c r="AE292" s="101">
        <v>1</v>
      </c>
      <c r="AF292" s="101"/>
      <c r="AG292" s="101"/>
      <c r="AH292" s="165">
        <v>1</v>
      </c>
      <c r="AI292" s="165"/>
      <c r="AJ292" s="165"/>
      <c r="AK292" s="166"/>
      <c r="AL292" s="166"/>
      <c r="AM292" s="166"/>
      <c r="AN292" s="104"/>
      <c r="AO292" s="104"/>
      <c r="AP292" s="104"/>
      <c r="AQ292" s="105"/>
      <c r="AR292" s="105"/>
      <c r="AS292" s="105"/>
      <c r="AT292" s="172"/>
      <c r="AU292" s="172"/>
      <c r="AV292" s="172"/>
      <c r="AW292" s="108"/>
      <c r="AX292" s="108"/>
      <c r="AY292" s="108"/>
      <c r="AZ292" s="110"/>
      <c r="BA292" s="110"/>
      <c r="BB292" s="110"/>
      <c r="BC292" s="175"/>
      <c r="BD292" s="175"/>
      <c r="BE292" s="175"/>
      <c r="BF292" s="52"/>
      <c r="BG292" s="52"/>
      <c r="BH292" s="52"/>
      <c r="BI292" s="54"/>
      <c r="BJ292" s="54"/>
      <c r="BK292" s="54"/>
      <c r="BL292" s="55"/>
      <c r="BM292" s="55"/>
      <c r="BN292" s="55"/>
      <c r="BO292" s="55"/>
      <c r="BP292" s="55"/>
      <c r="BQ292" s="55"/>
      <c r="BR292" s="124"/>
      <c r="BS292" s="124"/>
      <c r="BT292" s="124"/>
      <c r="BU292" s="178"/>
      <c r="BV292" s="178"/>
      <c r="BW292" s="178"/>
      <c r="BX292" s="57"/>
      <c r="BY292" s="57"/>
      <c r="BZ292" s="57"/>
      <c r="CA292" s="58"/>
      <c r="CB292" s="58"/>
      <c r="CC292" s="58"/>
      <c r="CD292" s="60"/>
      <c r="CE292" s="60"/>
      <c r="CF292" s="60"/>
      <c r="CG292" s="150"/>
      <c r="CH292" s="150"/>
      <c r="CI292" s="150"/>
      <c r="CJ292" s="62"/>
      <c r="CK292" s="62"/>
      <c r="CL292" s="62"/>
      <c r="CM292" s="95"/>
      <c r="CN292" s="95"/>
      <c r="CO292" s="95"/>
      <c r="CP292" s="95"/>
      <c r="CQ292" s="95"/>
      <c r="CR292" s="95"/>
      <c r="CS292" s="95"/>
      <c r="CT292" s="95"/>
      <c r="CU292" s="95"/>
      <c r="CV292" s="42"/>
      <c r="CW292" s="42"/>
      <c r="CX292" s="42"/>
    </row>
    <row r="293" spans="1:102" s="22" customFormat="1" ht="15.75">
      <c r="A293" s="94" t="s">
        <v>70</v>
      </c>
      <c r="B293" s="26"/>
      <c r="C293" s="26"/>
      <c r="D293" s="26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26">
        <f>SUBTOTAL(9,V272:V292)</f>
        <v>237</v>
      </c>
      <c r="W293" s="26">
        <f t="shared" ref="W293:CH293" si="68">SUBTOTAL(9,W272:W292)</f>
        <v>91299</v>
      </c>
      <c r="X293" s="26">
        <f t="shared" si="68"/>
        <v>76056</v>
      </c>
      <c r="Y293" s="26">
        <f t="shared" si="68"/>
        <v>237</v>
      </c>
      <c r="Z293" s="26">
        <f t="shared" si="68"/>
        <v>56631</v>
      </c>
      <c r="AA293" s="26">
        <f t="shared" si="68"/>
        <v>70597</v>
      </c>
      <c r="AB293" s="26">
        <f t="shared" si="68"/>
        <v>246</v>
      </c>
      <c r="AC293" s="26">
        <f t="shared" si="68"/>
        <v>68236</v>
      </c>
      <c r="AD293" s="26">
        <f t="shared" si="68"/>
        <v>67272</v>
      </c>
      <c r="AE293" s="26">
        <f t="shared" si="68"/>
        <v>246</v>
      </c>
      <c r="AF293" s="26">
        <f t="shared" si="68"/>
        <v>69232</v>
      </c>
      <c r="AG293" s="26">
        <f t="shared" si="68"/>
        <v>61274</v>
      </c>
      <c r="AH293" s="26">
        <f t="shared" si="68"/>
        <v>248</v>
      </c>
      <c r="AI293" s="26">
        <f t="shared" si="68"/>
        <v>63185</v>
      </c>
      <c r="AJ293" s="26">
        <f t="shared" si="68"/>
        <v>66574</v>
      </c>
      <c r="AK293" s="26">
        <f>SUBTOTAL(9,AK272:AK292)</f>
        <v>246</v>
      </c>
      <c r="AL293" s="26">
        <f t="shared" si="68"/>
        <v>68755</v>
      </c>
      <c r="AM293" s="26">
        <f t="shared" si="68"/>
        <v>66833</v>
      </c>
      <c r="AN293" s="26">
        <f t="shared" si="68"/>
        <v>0</v>
      </c>
      <c r="AO293" s="26">
        <f t="shared" si="68"/>
        <v>0</v>
      </c>
      <c r="AP293" s="26">
        <f t="shared" si="68"/>
        <v>0</v>
      </c>
      <c r="AQ293" s="26">
        <f t="shared" si="68"/>
        <v>243</v>
      </c>
      <c r="AR293" s="26">
        <f t="shared" si="68"/>
        <v>66689</v>
      </c>
      <c r="AS293" s="26">
        <f t="shared" si="68"/>
        <v>73256</v>
      </c>
      <c r="AT293" s="26">
        <f t="shared" si="68"/>
        <v>243</v>
      </c>
      <c r="AU293" s="26">
        <f t="shared" si="68"/>
        <v>74619</v>
      </c>
      <c r="AV293" s="26">
        <f t="shared" si="68"/>
        <v>73178</v>
      </c>
      <c r="AW293" s="26">
        <f>SUBTOTAL(9,AW272:AW292)</f>
        <v>244</v>
      </c>
      <c r="AX293" s="26">
        <f>SUBTOTAL(9,AX272:AX292)</f>
        <v>68667</v>
      </c>
      <c r="AY293" s="26">
        <f>SUBTOTAL(9,AY272:AY292)</f>
        <v>73019</v>
      </c>
      <c r="AZ293" s="26">
        <f t="shared" si="68"/>
        <v>244</v>
      </c>
      <c r="BA293" s="26">
        <f t="shared" si="68"/>
        <v>14612</v>
      </c>
      <c r="BB293" s="26">
        <f t="shared" si="68"/>
        <v>17916</v>
      </c>
      <c r="BC293" s="26">
        <f t="shared" si="68"/>
        <v>0</v>
      </c>
      <c r="BD293" s="26">
        <f t="shared" si="68"/>
        <v>0</v>
      </c>
      <c r="BE293" s="26">
        <f t="shared" si="68"/>
        <v>0</v>
      </c>
      <c r="BF293" s="26">
        <f t="shared" si="68"/>
        <v>0</v>
      </c>
      <c r="BG293" s="26">
        <f t="shared" si="68"/>
        <v>0</v>
      </c>
      <c r="BH293" s="26">
        <f t="shared" si="68"/>
        <v>0</v>
      </c>
      <c r="BI293" s="26">
        <f t="shared" si="68"/>
        <v>0</v>
      </c>
      <c r="BJ293" s="26">
        <f t="shared" si="68"/>
        <v>0</v>
      </c>
      <c r="BK293" s="26">
        <f t="shared" si="68"/>
        <v>0</v>
      </c>
      <c r="BL293" s="26">
        <f t="shared" si="68"/>
        <v>0</v>
      </c>
      <c r="BM293" s="26">
        <f t="shared" si="68"/>
        <v>0</v>
      </c>
      <c r="BN293" s="26">
        <f t="shared" si="68"/>
        <v>0</v>
      </c>
      <c r="BO293" s="26">
        <f t="shared" si="68"/>
        <v>0</v>
      </c>
      <c r="BP293" s="26">
        <f t="shared" si="68"/>
        <v>0</v>
      </c>
      <c r="BQ293" s="26">
        <f t="shared" si="68"/>
        <v>0</v>
      </c>
      <c r="BR293" s="26">
        <f t="shared" si="68"/>
        <v>0</v>
      </c>
      <c r="BS293" s="26">
        <f t="shared" si="68"/>
        <v>0</v>
      </c>
      <c r="BT293" s="26">
        <f t="shared" si="68"/>
        <v>0</v>
      </c>
      <c r="BU293" s="26">
        <f t="shared" si="68"/>
        <v>0</v>
      </c>
      <c r="BV293" s="26">
        <f t="shared" si="68"/>
        <v>0</v>
      </c>
      <c r="BW293" s="26">
        <f t="shared" si="68"/>
        <v>0</v>
      </c>
      <c r="BX293" s="26">
        <f t="shared" si="68"/>
        <v>0</v>
      </c>
      <c r="BY293" s="26">
        <f t="shared" si="68"/>
        <v>0</v>
      </c>
      <c r="BZ293" s="26">
        <f t="shared" si="68"/>
        <v>0</v>
      </c>
      <c r="CA293" s="26">
        <f t="shared" si="68"/>
        <v>0</v>
      </c>
      <c r="CB293" s="26">
        <f t="shared" si="68"/>
        <v>0</v>
      </c>
      <c r="CC293" s="26">
        <f t="shared" si="68"/>
        <v>0</v>
      </c>
      <c r="CD293" s="26">
        <f t="shared" si="68"/>
        <v>0</v>
      </c>
      <c r="CE293" s="26">
        <f t="shared" si="68"/>
        <v>0</v>
      </c>
      <c r="CF293" s="26">
        <f t="shared" si="68"/>
        <v>0</v>
      </c>
      <c r="CG293" s="26">
        <f>SUBTOTAL(9,CG272:CG292)</f>
        <v>244</v>
      </c>
      <c r="CH293" s="26">
        <f t="shared" si="68"/>
        <v>79209</v>
      </c>
      <c r="CI293" s="26">
        <f>SUBTOTAL(9,CI272:CI292)</f>
        <v>73496</v>
      </c>
      <c r="CJ293" s="26">
        <f t="shared" ref="CJ293:CX293" si="69">SUBTOTAL(9,CJ272:CJ292)</f>
        <v>244</v>
      </c>
      <c r="CK293" s="26">
        <f t="shared" si="69"/>
        <v>68361</v>
      </c>
      <c r="CL293" s="26">
        <f t="shared" si="69"/>
        <v>74120</v>
      </c>
      <c r="CM293" s="26">
        <f t="shared" si="69"/>
        <v>243</v>
      </c>
      <c r="CN293" s="26">
        <f t="shared" si="69"/>
        <v>78437</v>
      </c>
      <c r="CO293" s="26">
        <f t="shared" si="69"/>
        <v>72620</v>
      </c>
      <c r="CP293" s="26">
        <f t="shared" si="69"/>
        <v>243</v>
      </c>
      <c r="CQ293" s="26">
        <f t="shared" si="69"/>
        <v>82646</v>
      </c>
      <c r="CR293" s="26">
        <f t="shared" si="69"/>
        <v>72249</v>
      </c>
      <c r="CS293" s="26">
        <f t="shared" si="69"/>
        <v>243</v>
      </c>
      <c r="CT293" s="26">
        <f t="shared" si="69"/>
        <v>72215</v>
      </c>
      <c r="CU293" s="26">
        <f t="shared" si="69"/>
        <v>72594</v>
      </c>
      <c r="CV293" s="26">
        <f t="shared" si="69"/>
        <v>243</v>
      </c>
      <c r="CW293" s="26">
        <f t="shared" si="69"/>
        <v>52234</v>
      </c>
      <c r="CX293" s="26">
        <f t="shared" si="69"/>
        <v>66050</v>
      </c>
    </row>
  </sheetData>
  <autoFilter ref="A3:CX266" xr:uid="{00000000-0009-0000-0000-000003000000}"/>
  <mergeCells count="1">
    <mergeCell ref="BC2:CF2"/>
  </mergeCells>
  <pageMargins left="0.7" right="0.7" top="0.75" bottom="0.75" header="0.3" footer="0.3"/>
  <pageSetup paperSize="9" scale="4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Z426"/>
  <sheetViews>
    <sheetView zoomScale="90" zoomScaleNormal="90" workbookViewId="0">
      <pane xSplit="2" ySplit="3" topLeftCell="C4" activePane="bottomRight" state="frozen"/>
      <selection activeCell="L20" sqref="L20"/>
      <selection pane="topRight" activeCell="L20" sqref="L20"/>
      <selection pane="bottomLeft" activeCell="L20" sqref="L20"/>
      <selection pane="bottomRight" activeCell="I357" sqref="I357"/>
    </sheetView>
  </sheetViews>
  <sheetFormatPr defaultRowHeight="15"/>
  <cols>
    <col min="1" max="1" width="11.7109375" style="15" customWidth="1"/>
    <col min="2" max="2" width="18.5703125" style="1" customWidth="1"/>
    <col min="3" max="3" width="45.28515625" style="79" customWidth="1"/>
    <col min="4" max="4" width="20.42578125" style="1" customWidth="1"/>
    <col min="5" max="5" width="13.28515625" style="1" customWidth="1"/>
    <col min="6" max="6" width="8.28515625" style="1" customWidth="1"/>
    <col min="7" max="7" width="13.85546875" style="1" customWidth="1"/>
    <col min="8" max="8" width="14.5703125" style="1" customWidth="1"/>
    <col min="9" max="9" width="11.140625" style="1" customWidth="1"/>
    <col min="10" max="10" width="14" style="1" customWidth="1"/>
    <col min="11" max="11" width="14.42578125" style="1" customWidth="1"/>
    <col min="12" max="12" width="10.42578125" style="1" customWidth="1"/>
    <col min="13" max="13" width="12.28515625" style="1" customWidth="1"/>
    <col min="14" max="14" width="8.85546875" style="1" customWidth="1"/>
    <col min="15" max="15" width="15.140625" style="13" customWidth="1"/>
    <col min="16" max="16" width="15.42578125" style="13" customWidth="1"/>
    <col min="17" max="17" width="15.28515625" style="1" customWidth="1"/>
    <col min="18" max="18" width="12.85546875" style="13" customWidth="1"/>
    <col min="19" max="19" width="12.28515625" style="13" customWidth="1"/>
    <col min="20" max="20" width="14.7109375" style="13" customWidth="1"/>
    <col min="21" max="21" width="12.85546875" style="13" customWidth="1"/>
    <col min="22" max="22" width="16" style="13" customWidth="1"/>
    <col min="23" max="23" width="19" style="1" customWidth="1"/>
    <col min="24" max="24" width="9.140625" style="1" customWidth="1"/>
    <col min="25" max="25" width="14.7109375" style="1" customWidth="1"/>
    <col min="26" max="26" width="10.7109375" style="1" customWidth="1"/>
    <col min="27" max="27" width="16.140625" style="1" customWidth="1"/>
    <col min="28" max="30" width="9.140625" style="1"/>
    <col min="31" max="31" width="10.7109375" style="1" bestFit="1" customWidth="1"/>
    <col min="32" max="16384" width="9.140625" style="1"/>
  </cols>
  <sheetData>
    <row r="2" spans="1:25" ht="31.5" customHeight="1">
      <c r="A2" s="468" t="s">
        <v>38</v>
      </c>
      <c r="B2" s="465" t="s">
        <v>43</v>
      </c>
      <c r="C2" s="469" t="s">
        <v>62</v>
      </c>
      <c r="D2" s="465" t="s">
        <v>36</v>
      </c>
      <c r="E2" s="465" t="s">
        <v>39</v>
      </c>
      <c r="F2" s="469" t="s">
        <v>90</v>
      </c>
      <c r="G2" s="459" t="s">
        <v>49</v>
      </c>
      <c r="H2" s="459" t="s">
        <v>50</v>
      </c>
      <c r="I2" s="459" t="s">
        <v>51</v>
      </c>
      <c r="J2" s="459" t="s">
        <v>52</v>
      </c>
      <c r="K2" s="459" t="s">
        <v>81</v>
      </c>
      <c r="L2" s="459" t="s">
        <v>82</v>
      </c>
      <c r="M2" s="459" t="s">
        <v>83</v>
      </c>
      <c r="N2" s="459" t="s">
        <v>84</v>
      </c>
      <c r="O2" s="466" t="s">
        <v>86</v>
      </c>
      <c r="P2" s="466" t="s">
        <v>87</v>
      </c>
      <c r="Q2" s="465" t="s">
        <v>41</v>
      </c>
      <c r="R2" s="467" t="s">
        <v>46</v>
      </c>
      <c r="S2" s="467"/>
      <c r="T2" s="456" t="s">
        <v>76</v>
      </c>
      <c r="U2" s="456" t="s">
        <v>77</v>
      </c>
      <c r="V2" s="456" t="s">
        <v>78</v>
      </c>
      <c r="W2" s="465" t="s">
        <v>23</v>
      </c>
    </row>
    <row r="3" spans="1:25" ht="21" customHeight="1" thickBot="1">
      <c r="A3" s="468"/>
      <c r="B3" s="465"/>
      <c r="C3" s="461"/>
      <c r="D3" s="465"/>
      <c r="E3" s="465"/>
      <c r="F3" s="470"/>
      <c r="G3" s="461"/>
      <c r="H3" s="461"/>
      <c r="I3" s="460"/>
      <c r="J3" s="461"/>
      <c r="K3" s="460"/>
      <c r="L3" s="460"/>
      <c r="M3" s="460"/>
      <c r="N3" s="460"/>
      <c r="O3" s="467"/>
      <c r="P3" s="467"/>
      <c r="Q3" s="465"/>
      <c r="R3" s="17" t="s">
        <v>26</v>
      </c>
      <c r="S3" s="17" t="s">
        <v>27</v>
      </c>
      <c r="T3" s="458"/>
      <c r="U3" s="457"/>
      <c r="V3" s="458"/>
      <c r="W3" s="465"/>
    </row>
    <row r="4" spans="1:25" ht="15" customHeight="1">
      <c r="A4" s="426">
        <v>46055</v>
      </c>
      <c r="B4" s="429" t="s">
        <v>44</v>
      </c>
      <c r="C4" s="432" t="s">
        <v>240</v>
      </c>
      <c r="D4" s="19" t="s">
        <v>37</v>
      </c>
      <c r="E4" s="19" t="s">
        <v>25</v>
      </c>
      <c r="F4" s="39" t="s">
        <v>40</v>
      </c>
      <c r="G4" s="41"/>
      <c r="H4" s="32"/>
      <c r="I4" s="32"/>
      <c r="J4" s="32"/>
      <c r="K4" s="20">
        <v>16000</v>
      </c>
      <c r="L4" s="20">
        <v>2</v>
      </c>
      <c r="M4" s="20">
        <v>32000</v>
      </c>
      <c r="N4" s="84">
        <v>4</v>
      </c>
      <c r="O4" s="32">
        <f>Feb!W272</f>
        <v>35966</v>
      </c>
      <c r="P4" s="32">
        <f>Feb!X272</f>
        <v>26637</v>
      </c>
      <c r="Q4" s="32">
        <f>Feb!V272</f>
        <v>70</v>
      </c>
      <c r="R4" s="435">
        <f>Feb!W293</f>
        <v>91299</v>
      </c>
      <c r="S4" s="435">
        <f>Feb!X293</f>
        <v>76056</v>
      </c>
      <c r="T4" s="20">
        <v>35425</v>
      </c>
      <c r="U4" s="20"/>
      <c r="V4" s="20">
        <f>O4-T4-U4+13892</f>
        <v>14433</v>
      </c>
      <c r="W4" s="77"/>
      <c r="X4" s="36"/>
    </row>
    <row r="5" spans="1:25" ht="15" customHeight="1">
      <c r="A5" s="427"/>
      <c r="B5" s="430"/>
      <c r="C5" s="433"/>
      <c r="D5" s="113" t="s">
        <v>69</v>
      </c>
      <c r="E5" s="438" t="s">
        <v>24</v>
      </c>
      <c r="F5" s="118" t="s">
        <v>40</v>
      </c>
      <c r="G5" s="38"/>
      <c r="H5" s="37"/>
      <c r="I5" s="125"/>
      <c r="J5" s="125"/>
      <c r="K5" s="127"/>
      <c r="L5" s="127"/>
      <c r="M5" s="127"/>
      <c r="N5" s="81"/>
      <c r="O5" s="125">
        <f>Feb!W273</f>
        <v>6131</v>
      </c>
      <c r="P5" s="125">
        <f>Feb!X273</f>
        <v>3976</v>
      </c>
      <c r="Q5" s="125">
        <f>Feb!V273</f>
        <v>11</v>
      </c>
      <c r="R5" s="436"/>
      <c r="S5" s="436"/>
      <c r="T5" s="127"/>
      <c r="U5" s="127"/>
      <c r="V5" s="127">
        <f>O5-T5-U5+'Total Jan'!V571</f>
        <v>6981</v>
      </c>
      <c r="W5" s="46"/>
      <c r="X5" s="67"/>
    </row>
    <row r="6" spans="1:25" ht="15" customHeight="1">
      <c r="A6" s="427"/>
      <c r="B6" s="431"/>
      <c r="C6" s="434"/>
      <c r="D6" s="113" t="s">
        <v>128</v>
      </c>
      <c r="E6" s="431"/>
      <c r="F6" s="114" t="s">
        <v>40</v>
      </c>
      <c r="G6" s="170"/>
      <c r="H6" s="158"/>
      <c r="I6" s="125"/>
      <c r="J6" s="125"/>
      <c r="K6" s="18"/>
      <c r="L6" s="127"/>
      <c r="M6" s="127">
        <v>127400</v>
      </c>
      <c r="N6" s="81">
        <v>16</v>
      </c>
      <c r="O6" s="126">
        <f>Feb!W274</f>
        <v>14878</v>
      </c>
      <c r="P6" s="125">
        <f>Feb!X274</f>
        <v>10832</v>
      </c>
      <c r="Q6" s="125">
        <f>Feb!V274</f>
        <v>28</v>
      </c>
      <c r="R6" s="436"/>
      <c r="S6" s="436"/>
      <c r="T6" s="127">
        <v>16921</v>
      </c>
      <c r="U6" s="127">
        <v>2</v>
      </c>
      <c r="V6" s="127">
        <f>O6-T6-U6+'Total Jan'!V572</f>
        <v>7318</v>
      </c>
      <c r="W6" s="46"/>
      <c r="X6" s="67"/>
    </row>
    <row r="7" spans="1:25" ht="15" customHeight="1">
      <c r="A7" s="427"/>
      <c r="B7" s="442" t="s">
        <v>45</v>
      </c>
      <c r="C7" s="448" t="s">
        <v>59</v>
      </c>
      <c r="D7" s="118" t="s">
        <v>75</v>
      </c>
      <c r="E7" s="131" t="s">
        <v>25</v>
      </c>
      <c r="F7" s="131" t="s">
        <v>57</v>
      </c>
      <c r="G7" s="87"/>
      <c r="H7" s="136"/>
      <c r="I7" s="126"/>
      <c r="J7" s="2"/>
      <c r="K7" s="127">
        <v>5000</v>
      </c>
      <c r="L7" s="18">
        <v>1</v>
      </c>
      <c r="M7" s="18">
        <v>45300</v>
      </c>
      <c r="N7" s="80">
        <v>9</v>
      </c>
      <c r="O7" s="126">
        <f>Feb!W276</f>
        <v>5168</v>
      </c>
      <c r="P7" s="126">
        <f>Feb!X276</f>
        <v>3667</v>
      </c>
      <c r="Q7" s="2">
        <f>Feb!V276</f>
        <v>15</v>
      </c>
      <c r="R7" s="436"/>
      <c r="S7" s="436"/>
      <c r="T7" s="18"/>
      <c r="U7" s="18"/>
      <c r="V7" s="18">
        <f>O7-T7-U7+'Total Jan'!V573</f>
        <v>36183</v>
      </c>
      <c r="W7" s="46"/>
      <c r="Y7" s="13"/>
    </row>
    <row r="8" spans="1:25">
      <c r="A8" s="427"/>
      <c r="B8" s="439"/>
      <c r="C8" s="440"/>
      <c r="D8" s="118" t="s">
        <v>72</v>
      </c>
      <c r="E8" s="155" t="s">
        <v>24</v>
      </c>
      <c r="F8" s="131" t="s">
        <v>57</v>
      </c>
      <c r="G8" s="136"/>
      <c r="H8" s="136"/>
      <c r="I8" s="126"/>
      <c r="J8" s="126"/>
      <c r="K8" s="127"/>
      <c r="L8" s="18"/>
      <c r="M8" s="18">
        <v>40000</v>
      </c>
      <c r="N8" s="80">
        <v>8</v>
      </c>
      <c r="O8" s="126">
        <f>Feb!W277</f>
        <v>1310</v>
      </c>
      <c r="P8" s="126">
        <f>Feb!X277</f>
        <v>3603</v>
      </c>
      <c r="Q8" s="126">
        <f>Feb!V277</f>
        <v>15</v>
      </c>
      <c r="R8" s="436"/>
      <c r="S8" s="436"/>
      <c r="T8" s="18"/>
      <c r="U8" s="18"/>
      <c r="V8" s="18">
        <f>O8-T8-U8+'Total Jan'!V575</f>
        <v>35546</v>
      </c>
      <c r="W8" s="46"/>
      <c r="Y8" s="13"/>
    </row>
    <row r="9" spans="1:25">
      <c r="A9" s="427"/>
      <c r="B9" s="439"/>
      <c r="C9" s="440"/>
      <c r="D9" s="115" t="s">
        <v>79</v>
      </c>
      <c r="E9" s="424" t="s">
        <v>65</v>
      </c>
      <c r="F9" s="131" t="s">
        <v>57</v>
      </c>
      <c r="G9" s="87">
        <v>1863.59</v>
      </c>
      <c r="H9" s="136"/>
      <c r="I9" s="126"/>
      <c r="J9" s="126"/>
      <c r="K9" s="127">
        <v>5000</v>
      </c>
      <c r="L9" s="18">
        <v>1</v>
      </c>
      <c r="M9" s="18">
        <v>79000</v>
      </c>
      <c r="N9" s="80">
        <v>16</v>
      </c>
      <c r="O9" s="126">
        <f>Feb!W278</f>
        <v>7173</v>
      </c>
      <c r="P9" s="126">
        <f>Feb!X278</f>
        <v>5964</v>
      </c>
      <c r="Q9" s="126">
        <f>Feb!V278</f>
        <v>25</v>
      </c>
      <c r="R9" s="436"/>
      <c r="S9" s="436"/>
      <c r="T9" s="18">
        <v>4203</v>
      </c>
      <c r="U9" s="18"/>
      <c r="V9" s="18">
        <f>O9-T9-U9+'Total Jan'!V576</f>
        <v>5575</v>
      </c>
      <c r="W9" s="46"/>
      <c r="Y9" s="13"/>
    </row>
    <row r="10" spans="1:25">
      <c r="A10" s="427"/>
      <c r="B10" s="443"/>
      <c r="C10" s="449"/>
      <c r="D10" s="115" t="s">
        <v>80</v>
      </c>
      <c r="E10" s="425"/>
      <c r="F10" s="131"/>
      <c r="G10" s="87"/>
      <c r="H10" s="152">
        <v>1980</v>
      </c>
      <c r="I10" s="126"/>
      <c r="J10" s="126"/>
      <c r="K10" s="127"/>
      <c r="L10" s="18"/>
      <c r="M10" s="18"/>
      <c r="N10" s="80"/>
      <c r="O10" s="126"/>
      <c r="P10" s="126"/>
      <c r="Q10" s="126"/>
      <c r="R10" s="436"/>
      <c r="S10" s="436"/>
      <c r="T10" s="18"/>
      <c r="U10" s="18"/>
      <c r="V10" s="18"/>
      <c r="W10" s="46"/>
      <c r="Y10" s="13"/>
    </row>
    <row r="11" spans="1:25" ht="14.25" customHeight="1">
      <c r="A11" s="427"/>
      <c r="B11" s="137" t="s">
        <v>53</v>
      </c>
      <c r="C11" s="157" t="s">
        <v>60</v>
      </c>
      <c r="D11" s="43" t="s">
        <v>130</v>
      </c>
      <c r="E11" s="115" t="s">
        <v>66</v>
      </c>
      <c r="F11" s="118" t="s">
        <v>54</v>
      </c>
      <c r="G11" s="136"/>
      <c r="H11" s="37"/>
      <c r="I11" s="126"/>
      <c r="J11" s="126"/>
      <c r="K11" s="18"/>
      <c r="L11" s="18"/>
      <c r="M11" s="18">
        <v>58750</v>
      </c>
      <c r="N11" s="80">
        <v>10</v>
      </c>
      <c r="O11" s="126">
        <f>Feb!W275</f>
        <v>12544</v>
      </c>
      <c r="P11" s="126">
        <f>Feb!X275</f>
        <v>10911</v>
      </c>
      <c r="Q11" s="126">
        <f>Feb!V275</f>
        <v>30</v>
      </c>
      <c r="R11" s="436"/>
      <c r="S11" s="436"/>
      <c r="T11" s="18">
        <v>14086</v>
      </c>
      <c r="U11" s="18"/>
      <c r="V11" s="18">
        <f>O11-T11-U11+'Total Jan'!V583</f>
        <v>3273</v>
      </c>
      <c r="W11" s="45"/>
      <c r="X11" s="36"/>
    </row>
    <row r="12" spans="1:25" ht="14.25" customHeight="1">
      <c r="A12" s="427"/>
      <c r="B12" s="122" t="s">
        <v>55</v>
      </c>
      <c r="C12" s="180" t="s">
        <v>133</v>
      </c>
      <c r="D12" s="48" t="s">
        <v>56</v>
      </c>
      <c r="E12" s="441" t="s">
        <v>25</v>
      </c>
      <c r="F12" s="118" t="s">
        <v>67</v>
      </c>
      <c r="G12" s="136"/>
      <c r="H12" s="37"/>
      <c r="I12" s="126"/>
      <c r="J12" s="126"/>
      <c r="K12" s="18"/>
      <c r="L12" s="18"/>
      <c r="M12" s="18">
        <v>2800</v>
      </c>
      <c r="N12" s="80">
        <v>1</v>
      </c>
      <c r="O12" s="126"/>
      <c r="P12" s="126"/>
      <c r="Q12" s="126">
        <f>Feb!V292</f>
        <v>1</v>
      </c>
      <c r="R12" s="436"/>
      <c r="S12" s="436"/>
      <c r="T12" s="18"/>
      <c r="U12" s="18"/>
      <c r="V12" s="18">
        <f>O12-T12-U12+'Total Jan'!V587</f>
        <v>500</v>
      </c>
      <c r="W12" s="45"/>
      <c r="X12" s="67"/>
    </row>
    <row r="13" spans="1:25" ht="14.25" customHeight="1">
      <c r="A13" s="427"/>
      <c r="B13" s="442" t="s">
        <v>122</v>
      </c>
      <c r="C13" s="444" t="s">
        <v>123</v>
      </c>
      <c r="D13" s="48" t="s">
        <v>56</v>
      </c>
      <c r="E13" s="441"/>
      <c r="F13" s="155" t="s">
        <v>64</v>
      </c>
      <c r="G13" s="136"/>
      <c r="H13" s="37"/>
      <c r="I13" s="126"/>
      <c r="J13" s="126"/>
      <c r="K13" s="18">
        <v>6200</v>
      </c>
      <c r="L13" s="18">
        <v>2</v>
      </c>
      <c r="M13" s="18">
        <v>9400</v>
      </c>
      <c r="N13" s="80">
        <v>3</v>
      </c>
      <c r="O13" s="126">
        <f>Feb!W282</f>
        <v>1200</v>
      </c>
      <c r="P13" s="126">
        <f>Feb!X282</f>
        <v>1477</v>
      </c>
      <c r="Q13" s="126">
        <f>Feb!V282</f>
        <v>4</v>
      </c>
      <c r="R13" s="436"/>
      <c r="S13" s="436"/>
      <c r="T13" s="18"/>
      <c r="U13" s="18"/>
      <c r="V13" s="18">
        <f>O13-T13-U13+'Total Jan'!V589</f>
        <v>24512</v>
      </c>
      <c r="W13" s="45"/>
      <c r="X13" s="67"/>
    </row>
    <row r="14" spans="1:25" ht="14.25" customHeight="1">
      <c r="A14" s="427"/>
      <c r="B14" s="443"/>
      <c r="C14" s="446"/>
      <c r="D14" s="48" t="s">
        <v>129</v>
      </c>
      <c r="E14" s="441"/>
      <c r="F14" s="155"/>
      <c r="G14" s="136"/>
      <c r="H14" s="158">
        <v>750</v>
      </c>
      <c r="I14" s="158"/>
      <c r="J14" s="158"/>
      <c r="K14" s="128"/>
      <c r="L14" s="128"/>
      <c r="M14" s="128"/>
      <c r="N14" s="164"/>
      <c r="O14" s="158"/>
      <c r="P14" s="158"/>
      <c r="Q14" s="158"/>
      <c r="R14" s="436"/>
      <c r="S14" s="436"/>
      <c r="T14" s="18"/>
      <c r="U14" s="18"/>
      <c r="V14" s="18"/>
      <c r="W14" s="45"/>
      <c r="X14" s="67"/>
    </row>
    <row r="15" spans="1:25" ht="14.25" customHeight="1">
      <c r="A15" s="427"/>
      <c r="B15" s="122" t="s">
        <v>125</v>
      </c>
      <c r="C15" s="180" t="s">
        <v>88</v>
      </c>
      <c r="D15" s="48" t="s">
        <v>124</v>
      </c>
      <c r="E15" s="441"/>
      <c r="F15" s="118" t="s">
        <v>64</v>
      </c>
      <c r="G15" s="37"/>
      <c r="H15" s="37"/>
      <c r="I15" s="126"/>
      <c r="J15" s="126"/>
      <c r="K15" s="18"/>
      <c r="L15" s="18"/>
      <c r="M15" s="18">
        <v>88200</v>
      </c>
      <c r="N15" s="80">
        <v>12</v>
      </c>
      <c r="O15" s="126">
        <f>Feb!W280</f>
        <v>1536</v>
      </c>
      <c r="P15" s="126">
        <f>Feb!X280</f>
        <v>3510</v>
      </c>
      <c r="Q15" s="126">
        <f>Feb!V280</f>
        <v>14</v>
      </c>
      <c r="R15" s="436"/>
      <c r="S15" s="436"/>
      <c r="T15" s="18"/>
      <c r="U15" s="18"/>
      <c r="V15" s="18">
        <f>O15-T15-U15+'Total Jan'!V591</f>
        <v>9188</v>
      </c>
      <c r="W15" s="45"/>
      <c r="X15" s="67"/>
    </row>
    <row r="16" spans="1:25" ht="13.5" customHeight="1">
      <c r="A16" s="427"/>
      <c r="B16" s="442" t="s">
        <v>58</v>
      </c>
      <c r="C16" s="444" t="s">
        <v>136</v>
      </c>
      <c r="D16" s="48" t="s">
        <v>56</v>
      </c>
      <c r="E16" s="441"/>
      <c r="F16" s="118" t="s">
        <v>67</v>
      </c>
      <c r="G16" s="119"/>
      <c r="H16" s="126"/>
      <c r="I16" s="126"/>
      <c r="J16" s="2"/>
      <c r="K16" s="18"/>
      <c r="L16" s="18"/>
      <c r="M16" s="18"/>
      <c r="N16" s="18"/>
      <c r="O16" s="126"/>
      <c r="P16" s="126"/>
      <c r="Q16" s="126"/>
      <c r="R16" s="436"/>
      <c r="S16" s="436"/>
      <c r="T16" s="18"/>
      <c r="U16" s="18"/>
      <c r="V16" s="18">
        <f>O16-T16-U16+'Total Jan'!V596</f>
        <v>43</v>
      </c>
      <c r="W16" s="45"/>
      <c r="X16" s="67"/>
    </row>
    <row r="17" spans="1:25" ht="15.75" customHeight="1">
      <c r="A17" s="427"/>
      <c r="B17" s="439"/>
      <c r="C17" s="445"/>
      <c r="D17" s="48" t="s">
        <v>56</v>
      </c>
      <c r="E17" s="441"/>
      <c r="F17" s="118" t="s">
        <v>140</v>
      </c>
      <c r="G17" s="119"/>
      <c r="H17" s="126"/>
      <c r="I17" s="126"/>
      <c r="J17" s="2"/>
      <c r="K17" s="18"/>
      <c r="L17" s="18"/>
      <c r="M17" s="18"/>
      <c r="N17" s="18"/>
      <c r="O17" s="126"/>
      <c r="P17" s="126">
        <f>Feb!X283</f>
        <v>925</v>
      </c>
      <c r="Q17" s="126">
        <f>Feb!V283</f>
        <v>3</v>
      </c>
      <c r="R17" s="436"/>
      <c r="S17" s="436"/>
      <c r="T17" s="18"/>
      <c r="U17" s="18"/>
      <c r="V17" s="18">
        <f>O17-T17-U17+'Total Jan'!V597</f>
        <v>3570</v>
      </c>
      <c r="W17" s="45"/>
      <c r="X17" s="67"/>
    </row>
    <row r="18" spans="1:25" ht="15" customHeight="1">
      <c r="A18" s="427"/>
      <c r="B18" s="122" t="s">
        <v>47</v>
      </c>
      <c r="C18" s="180" t="s">
        <v>100</v>
      </c>
      <c r="D18" s="48" t="s">
        <v>99</v>
      </c>
      <c r="E18" s="441"/>
      <c r="F18" s="118" t="s">
        <v>71</v>
      </c>
      <c r="G18" s="119"/>
      <c r="H18" s="126"/>
      <c r="I18" s="126"/>
      <c r="J18" s="2"/>
      <c r="K18" s="18"/>
      <c r="L18" s="18"/>
      <c r="M18" s="18">
        <v>36000</v>
      </c>
      <c r="N18" s="18">
        <v>6</v>
      </c>
      <c r="O18" s="126">
        <f>Feb!W281</f>
        <v>4500</v>
      </c>
      <c r="P18" s="126">
        <f>Feb!X281</f>
        <v>2242</v>
      </c>
      <c r="Q18" s="126">
        <f>Feb!V281</f>
        <v>8</v>
      </c>
      <c r="R18" s="436"/>
      <c r="S18" s="436"/>
      <c r="T18" s="18"/>
      <c r="U18" s="18"/>
      <c r="V18" s="18">
        <f>O18-T18-U18+'Total Jan'!V593</f>
        <v>30184</v>
      </c>
      <c r="W18" s="45"/>
      <c r="X18" s="67"/>
    </row>
    <row r="19" spans="1:25" ht="15" customHeight="1">
      <c r="A19" s="427"/>
      <c r="B19" s="122" t="s">
        <v>196</v>
      </c>
      <c r="C19" s="180" t="s">
        <v>63</v>
      </c>
      <c r="D19" s="48" t="s">
        <v>135</v>
      </c>
      <c r="E19" s="441"/>
      <c r="F19" s="118" t="s">
        <v>64</v>
      </c>
      <c r="G19" s="119"/>
      <c r="H19" s="126"/>
      <c r="I19" s="126"/>
      <c r="J19" s="2"/>
      <c r="K19" s="18"/>
      <c r="L19" s="18"/>
      <c r="M19" s="18"/>
      <c r="N19" s="18"/>
      <c r="O19" s="126"/>
      <c r="P19" s="126">
        <f>Feb!X285</f>
        <v>1504</v>
      </c>
      <c r="Q19" s="126">
        <f>Feb!V285</f>
        <v>5</v>
      </c>
      <c r="R19" s="436"/>
      <c r="S19" s="436"/>
      <c r="T19" s="18"/>
      <c r="U19" s="18"/>
      <c r="V19" s="18">
        <f>O19-T19-U19+'Total Jan'!V595</f>
        <v>6845</v>
      </c>
      <c r="W19" s="45"/>
      <c r="X19" s="67"/>
    </row>
    <row r="20" spans="1:25" ht="15" customHeight="1">
      <c r="A20" s="427"/>
      <c r="B20" s="122" t="s">
        <v>61</v>
      </c>
      <c r="C20" s="180" t="s">
        <v>137</v>
      </c>
      <c r="D20" s="48" t="s">
        <v>56</v>
      </c>
      <c r="E20" s="441"/>
      <c r="F20" s="118" t="s">
        <v>67</v>
      </c>
      <c r="G20" s="119"/>
      <c r="H20" s="126"/>
      <c r="I20" s="126"/>
      <c r="J20" s="2"/>
      <c r="K20" s="18"/>
      <c r="L20" s="18"/>
      <c r="M20" s="18"/>
      <c r="N20" s="18"/>
      <c r="O20" s="126">
        <f>Feb!W284</f>
        <v>893</v>
      </c>
      <c r="P20" s="126">
        <f>Feb!X284</f>
        <v>808</v>
      </c>
      <c r="Q20" s="126">
        <f>Feb!V284</f>
        <v>2</v>
      </c>
      <c r="R20" s="436"/>
      <c r="S20" s="436"/>
      <c r="T20" s="18"/>
      <c r="U20" s="18"/>
      <c r="V20" s="18">
        <f>O20-T20-U20+'Total Jan'!V599</f>
        <v>2897</v>
      </c>
      <c r="W20" s="45"/>
      <c r="X20" s="67"/>
    </row>
    <row r="21" spans="1:25" ht="15" customHeight="1">
      <c r="A21" s="427"/>
      <c r="B21" s="122" t="s">
        <v>131</v>
      </c>
      <c r="C21" s="180" t="s">
        <v>194</v>
      </c>
      <c r="D21" s="48" t="s">
        <v>132</v>
      </c>
      <c r="E21" s="441"/>
      <c r="F21" s="118" t="s">
        <v>64</v>
      </c>
      <c r="G21" s="119"/>
      <c r="H21" s="126"/>
      <c r="I21" s="126"/>
      <c r="J21" s="2"/>
      <c r="K21" s="18"/>
      <c r="L21" s="18"/>
      <c r="M21" s="18"/>
      <c r="N21" s="18"/>
      <c r="O21" s="126"/>
      <c r="P21" s="126"/>
      <c r="Q21" s="126">
        <f>Feb!V286</f>
        <v>1</v>
      </c>
      <c r="R21" s="436"/>
      <c r="S21" s="436"/>
      <c r="T21" s="18"/>
      <c r="U21" s="18"/>
      <c r="V21" s="18"/>
      <c r="W21" s="45"/>
      <c r="X21" s="67"/>
    </row>
    <row r="22" spans="1:25" ht="15" customHeight="1">
      <c r="A22" s="427"/>
      <c r="B22" s="122" t="s">
        <v>101</v>
      </c>
      <c r="C22" s="180" t="s">
        <v>193</v>
      </c>
      <c r="D22" s="48" t="s">
        <v>102</v>
      </c>
      <c r="E22" s="441"/>
      <c r="F22" s="118" t="s">
        <v>64</v>
      </c>
      <c r="G22" s="119"/>
      <c r="H22" s="126"/>
      <c r="I22" s="126"/>
      <c r="J22" s="2"/>
      <c r="K22" s="18"/>
      <c r="L22" s="18"/>
      <c r="M22" s="18"/>
      <c r="N22" s="18"/>
      <c r="O22" s="126"/>
      <c r="P22" s="126"/>
      <c r="Q22" s="126">
        <f>Feb!V287</f>
        <v>1</v>
      </c>
      <c r="R22" s="436"/>
      <c r="S22" s="436"/>
      <c r="T22" s="18"/>
      <c r="U22" s="18"/>
      <c r="V22" s="18"/>
      <c r="W22" s="45"/>
      <c r="X22" s="67"/>
    </row>
    <row r="23" spans="1:25" ht="15" customHeight="1">
      <c r="A23" s="427"/>
      <c r="B23" s="122" t="s">
        <v>103</v>
      </c>
      <c r="C23" s="157" t="s">
        <v>197</v>
      </c>
      <c r="D23" s="48" t="s">
        <v>104</v>
      </c>
      <c r="E23" s="441"/>
      <c r="F23" s="118" t="s">
        <v>105</v>
      </c>
      <c r="G23" s="119"/>
      <c r="H23" s="126"/>
      <c r="I23" s="126"/>
      <c r="J23" s="2"/>
      <c r="K23" s="18"/>
      <c r="L23" s="18"/>
      <c r="M23" s="18"/>
      <c r="N23" s="18"/>
      <c r="O23" s="126"/>
      <c r="P23" s="126"/>
      <c r="Q23" s="126">
        <f>Feb!V288</f>
        <v>1</v>
      </c>
      <c r="R23" s="436"/>
      <c r="S23" s="436"/>
      <c r="T23" s="18"/>
      <c r="U23" s="18"/>
      <c r="V23" s="18"/>
      <c r="W23" s="45"/>
      <c r="X23" s="67"/>
    </row>
    <row r="24" spans="1:25" ht="15" customHeight="1">
      <c r="A24" s="427"/>
      <c r="B24" s="137" t="s">
        <v>112</v>
      </c>
      <c r="C24" s="157" t="s">
        <v>197</v>
      </c>
      <c r="D24" s="48" t="s">
        <v>104</v>
      </c>
      <c r="E24" s="441"/>
      <c r="F24" s="118" t="s">
        <v>113</v>
      </c>
      <c r="G24" s="119"/>
      <c r="H24" s="126"/>
      <c r="I24" s="126"/>
      <c r="J24" s="2"/>
      <c r="K24" s="18"/>
      <c r="L24" s="18"/>
      <c r="M24" s="18"/>
      <c r="N24" s="18"/>
      <c r="O24" s="126"/>
      <c r="P24" s="126"/>
      <c r="Q24" s="126">
        <f>Feb!V291</f>
        <v>1</v>
      </c>
      <c r="R24" s="436"/>
      <c r="S24" s="436"/>
      <c r="T24" s="18"/>
      <c r="U24" s="18"/>
      <c r="V24" s="18"/>
      <c r="W24" s="45"/>
      <c r="X24" s="67"/>
    </row>
    <row r="25" spans="1:25" ht="15" customHeight="1">
      <c r="A25" s="427"/>
      <c r="B25" s="137" t="s">
        <v>106</v>
      </c>
      <c r="C25" s="157" t="s">
        <v>141</v>
      </c>
      <c r="D25" s="48" t="s">
        <v>68</v>
      </c>
      <c r="E25" s="441"/>
      <c r="F25" s="118" t="s">
        <v>67</v>
      </c>
      <c r="G25" s="119"/>
      <c r="H25" s="126"/>
      <c r="I25" s="126"/>
      <c r="J25" s="2"/>
      <c r="K25" s="18"/>
      <c r="L25" s="18"/>
      <c r="M25" s="18"/>
      <c r="N25" s="18"/>
      <c r="O25" s="126"/>
      <c r="P25" s="126"/>
      <c r="Q25" s="126">
        <f>Feb!V289</f>
        <v>1</v>
      </c>
      <c r="R25" s="436"/>
      <c r="S25" s="436"/>
      <c r="T25" s="18"/>
      <c r="U25" s="18"/>
      <c r="V25" s="18"/>
      <c r="W25" s="45"/>
      <c r="X25" s="67"/>
    </row>
    <row r="26" spans="1:25" ht="15" customHeight="1" thickBot="1">
      <c r="A26" s="428"/>
      <c r="B26" s="44" t="s">
        <v>107</v>
      </c>
      <c r="C26" s="181" t="s">
        <v>195</v>
      </c>
      <c r="D26" s="61" t="s">
        <v>108</v>
      </c>
      <c r="E26" s="447"/>
      <c r="F26" s="133" t="s">
        <v>48</v>
      </c>
      <c r="G26" s="132"/>
      <c r="H26" s="109"/>
      <c r="I26" s="134"/>
      <c r="J26" s="129"/>
      <c r="K26" s="130"/>
      <c r="L26" s="130"/>
      <c r="M26" s="130"/>
      <c r="N26" s="130"/>
      <c r="O26" s="134"/>
      <c r="P26" s="134"/>
      <c r="Q26" s="134">
        <f>Feb!V290</f>
        <v>1</v>
      </c>
      <c r="R26" s="437"/>
      <c r="S26" s="437"/>
      <c r="T26" s="130"/>
      <c r="U26" s="130"/>
      <c r="V26" s="128"/>
      <c r="W26" s="85"/>
      <c r="X26" s="67"/>
    </row>
    <row r="27" spans="1:25" ht="15" customHeight="1">
      <c r="A27" s="426">
        <v>46056</v>
      </c>
      <c r="B27" s="429" t="s">
        <v>44</v>
      </c>
      <c r="C27" s="432" t="s">
        <v>240</v>
      </c>
      <c r="D27" s="19" t="s">
        <v>37</v>
      </c>
      <c r="E27" s="19" t="s">
        <v>25</v>
      </c>
      <c r="F27" s="39" t="s">
        <v>40</v>
      </c>
      <c r="G27" s="41"/>
      <c r="H27" s="32"/>
      <c r="I27" s="32"/>
      <c r="J27" s="32"/>
      <c r="K27" s="20">
        <v>8000</v>
      </c>
      <c r="L27" s="20">
        <v>1</v>
      </c>
      <c r="M27" s="20">
        <v>32000</v>
      </c>
      <c r="N27" s="84">
        <v>4</v>
      </c>
      <c r="O27" s="32">
        <f>Feb!Z272</f>
        <v>16714</v>
      </c>
      <c r="P27" s="32">
        <f>Feb!AA272</f>
        <v>23827</v>
      </c>
      <c r="Q27" s="32">
        <f>Feb!Y272</f>
        <v>68</v>
      </c>
      <c r="R27" s="435">
        <f>Feb!Z293</f>
        <v>56631</v>
      </c>
      <c r="S27" s="435">
        <f>Feb!AA293</f>
        <v>70597</v>
      </c>
      <c r="T27" s="20">
        <v>15700</v>
      </c>
      <c r="U27" s="20"/>
      <c r="V27" s="20">
        <f t="shared" ref="V27:V32" si="0">O27-T27-U27+V4</f>
        <v>15447</v>
      </c>
      <c r="W27" s="77"/>
      <c r="X27" s="36"/>
    </row>
    <row r="28" spans="1:25" ht="15" customHeight="1">
      <c r="A28" s="427"/>
      <c r="B28" s="430"/>
      <c r="C28" s="433"/>
      <c r="D28" s="113" t="s">
        <v>69</v>
      </c>
      <c r="E28" s="438" t="s">
        <v>24</v>
      </c>
      <c r="F28" s="118" t="s">
        <v>40</v>
      </c>
      <c r="G28" s="38"/>
      <c r="H28" s="37"/>
      <c r="I28" s="125"/>
      <c r="J28" s="125"/>
      <c r="K28" s="127"/>
      <c r="L28" s="127"/>
      <c r="M28" s="127"/>
      <c r="N28" s="81"/>
      <c r="O28" s="125">
        <f>Feb!Z273</f>
        <v>4680</v>
      </c>
      <c r="P28" s="125">
        <f>Feb!AA273</f>
        <v>3550</v>
      </c>
      <c r="Q28" s="125">
        <f>Feb!Y273</f>
        <v>10</v>
      </c>
      <c r="R28" s="436"/>
      <c r="S28" s="436"/>
      <c r="T28" s="127">
        <v>9251</v>
      </c>
      <c r="U28" s="127"/>
      <c r="V28" s="127">
        <f t="shared" si="0"/>
        <v>2410</v>
      </c>
      <c r="W28" s="46"/>
      <c r="X28" s="67"/>
    </row>
    <row r="29" spans="1:25" ht="15" customHeight="1">
      <c r="A29" s="427"/>
      <c r="B29" s="431"/>
      <c r="C29" s="434"/>
      <c r="D29" s="113" t="s">
        <v>128</v>
      </c>
      <c r="E29" s="431"/>
      <c r="F29" s="114" t="s">
        <v>40</v>
      </c>
      <c r="G29" s="170">
        <v>4948.29</v>
      </c>
      <c r="H29" s="135">
        <f>2430+515.3</f>
        <v>2945.3</v>
      </c>
      <c r="I29" s="125"/>
      <c r="J29" s="125"/>
      <c r="K29" s="18">
        <v>24000</v>
      </c>
      <c r="L29" s="127">
        <v>3</v>
      </c>
      <c r="M29" s="127">
        <v>175400</v>
      </c>
      <c r="N29" s="81">
        <v>22</v>
      </c>
      <c r="O29" s="126">
        <f>Feb!Z274</f>
        <v>9561</v>
      </c>
      <c r="P29" s="125">
        <f>Feb!AA274</f>
        <v>10655</v>
      </c>
      <c r="Q29" s="125">
        <f>Feb!Y274</f>
        <v>31</v>
      </c>
      <c r="R29" s="436"/>
      <c r="S29" s="436"/>
      <c r="T29" s="127">
        <v>8083</v>
      </c>
      <c r="U29" s="127"/>
      <c r="V29" s="127">
        <f t="shared" si="0"/>
        <v>8796</v>
      </c>
      <c r="W29" s="46"/>
      <c r="X29" s="67"/>
    </row>
    <row r="30" spans="1:25" ht="15" customHeight="1">
      <c r="A30" s="427"/>
      <c r="B30" s="439" t="s">
        <v>45</v>
      </c>
      <c r="C30" s="440" t="s">
        <v>59</v>
      </c>
      <c r="D30" s="118" t="s">
        <v>75</v>
      </c>
      <c r="E30" s="131" t="s">
        <v>25</v>
      </c>
      <c r="F30" s="131" t="s">
        <v>57</v>
      </c>
      <c r="G30" s="87"/>
      <c r="H30" s="136"/>
      <c r="I30" s="126"/>
      <c r="J30" s="2"/>
      <c r="K30" s="127">
        <v>5000</v>
      </c>
      <c r="L30" s="18">
        <v>1</v>
      </c>
      <c r="M30" s="18">
        <v>40300</v>
      </c>
      <c r="N30" s="80">
        <v>8</v>
      </c>
      <c r="O30" s="126">
        <f>Feb!Z276</f>
        <v>3300</v>
      </c>
      <c r="P30" s="126">
        <f>Feb!AA276</f>
        <v>3480</v>
      </c>
      <c r="Q30" s="2">
        <f>Feb!Y276</f>
        <v>15</v>
      </c>
      <c r="R30" s="436"/>
      <c r="S30" s="436"/>
      <c r="T30" s="18"/>
      <c r="U30" s="18"/>
      <c r="V30" s="18">
        <f t="shared" si="0"/>
        <v>39483</v>
      </c>
      <c r="W30" s="46"/>
      <c r="Y30" s="13"/>
    </row>
    <row r="31" spans="1:25">
      <c r="A31" s="427"/>
      <c r="B31" s="439"/>
      <c r="C31" s="440"/>
      <c r="D31" s="118" t="s">
        <v>72</v>
      </c>
      <c r="E31" s="155" t="s">
        <v>24</v>
      </c>
      <c r="F31" s="131" t="s">
        <v>57</v>
      </c>
      <c r="G31" s="136"/>
      <c r="H31" s="136"/>
      <c r="I31" s="126"/>
      <c r="J31" s="126"/>
      <c r="K31" s="127"/>
      <c r="L31" s="18"/>
      <c r="M31" s="18">
        <v>40000</v>
      </c>
      <c r="N31" s="80">
        <v>8</v>
      </c>
      <c r="O31" s="126">
        <f>Feb!Z277</f>
        <v>4820</v>
      </c>
      <c r="P31" s="126">
        <f>Feb!AA277</f>
        <v>3447</v>
      </c>
      <c r="Q31" s="126">
        <f>Feb!Y277</f>
        <v>15</v>
      </c>
      <c r="R31" s="436"/>
      <c r="S31" s="436"/>
      <c r="T31" s="18">
        <v>25982</v>
      </c>
      <c r="U31" s="18">
        <v>8</v>
      </c>
      <c r="V31" s="18">
        <f t="shared" si="0"/>
        <v>14376</v>
      </c>
      <c r="W31" s="46"/>
      <c r="Y31" s="13"/>
    </row>
    <row r="32" spans="1:25">
      <c r="A32" s="427"/>
      <c r="B32" s="439"/>
      <c r="C32" s="440"/>
      <c r="D32" s="115" t="s">
        <v>79</v>
      </c>
      <c r="E32" s="118" t="s">
        <v>65</v>
      </c>
      <c r="F32" s="131" t="s">
        <v>57</v>
      </c>
      <c r="G32" s="136"/>
      <c r="H32" s="136"/>
      <c r="I32" s="126"/>
      <c r="J32" s="126"/>
      <c r="K32" s="127">
        <v>5000</v>
      </c>
      <c r="L32" s="18">
        <v>1</v>
      </c>
      <c r="M32" s="18">
        <v>74000</v>
      </c>
      <c r="N32" s="80">
        <v>15</v>
      </c>
      <c r="O32" s="126">
        <f>Feb!Z278</f>
        <v>7164</v>
      </c>
      <c r="P32" s="126">
        <f>Feb!AA278</f>
        <v>5712</v>
      </c>
      <c r="Q32" s="126">
        <f>Feb!Y278</f>
        <v>25</v>
      </c>
      <c r="R32" s="436"/>
      <c r="S32" s="436"/>
      <c r="T32" s="18">
        <v>11923</v>
      </c>
      <c r="U32" s="18">
        <v>14</v>
      </c>
      <c r="V32" s="18">
        <f t="shared" si="0"/>
        <v>802</v>
      </c>
      <c r="W32" s="46"/>
      <c r="Y32" s="13"/>
    </row>
    <row r="33" spans="1:24" ht="14.25" customHeight="1">
      <c r="A33" s="427"/>
      <c r="B33" s="442" t="s">
        <v>53</v>
      </c>
      <c r="C33" s="444" t="s">
        <v>60</v>
      </c>
      <c r="D33" s="43" t="s">
        <v>130</v>
      </c>
      <c r="E33" s="115" t="s">
        <v>66</v>
      </c>
      <c r="F33" s="118" t="s">
        <v>54</v>
      </c>
      <c r="G33" s="136"/>
      <c r="H33" s="37"/>
      <c r="I33" s="126"/>
      <c r="J33" s="126"/>
      <c r="K33" s="18">
        <v>5900</v>
      </c>
      <c r="L33" s="18">
        <v>1</v>
      </c>
      <c r="M33" s="18">
        <v>52850</v>
      </c>
      <c r="N33" s="80">
        <v>9</v>
      </c>
      <c r="O33" s="126">
        <f>Feb!Z275</f>
        <v>4699</v>
      </c>
      <c r="P33" s="126">
        <f>Feb!AA275</f>
        <v>10197</v>
      </c>
      <c r="Q33" s="126">
        <f>Feb!Y275</f>
        <v>30</v>
      </c>
      <c r="R33" s="436"/>
      <c r="S33" s="436"/>
      <c r="T33" s="18"/>
      <c r="U33" s="18"/>
      <c r="V33" s="18">
        <f>O33-T33-U33+V11</f>
        <v>7972</v>
      </c>
      <c r="W33" s="45"/>
      <c r="X33" s="36"/>
    </row>
    <row r="34" spans="1:24" ht="14.25" customHeight="1">
      <c r="A34" s="427"/>
      <c r="B34" s="443"/>
      <c r="C34" s="446"/>
      <c r="D34" s="43" t="s">
        <v>127</v>
      </c>
      <c r="E34" s="114" t="s">
        <v>25</v>
      </c>
      <c r="F34" s="118"/>
      <c r="G34" s="136"/>
      <c r="H34" s="126">
        <f>990+1980</f>
        <v>2970</v>
      </c>
      <c r="I34" s="126"/>
      <c r="J34" s="126"/>
      <c r="K34" s="18"/>
      <c r="L34" s="18"/>
      <c r="M34" s="18"/>
      <c r="N34" s="80"/>
      <c r="O34" s="126"/>
      <c r="P34" s="126"/>
      <c r="Q34" s="126"/>
      <c r="R34" s="436"/>
      <c r="S34" s="436"/>
      <c r="T34" s="18"/>
      <c r="U34" s="18"/>
      <c r="V34" s="18"/>
      <c r="W34" s="45"/>
      <c r="X34" s="67"/>
    </row>
    <row r="35" spans="1:24" ht="14.25" customHeight="1">
      <c r="A35" s="427"/>
      <c r="B35" s="122" t="s">
        <v>55</v>
      </c>
      <c r="C35" s="180" t="s">
        <v>133</v>
      </c>
      <c r="D35" s="48" t="s">
        <v>56</v>
      </c>
      <c r="E35" s="424" t="s">
        <v>25</v>
      </c>
      <c r="F35" s="118" t="s">
        <v>67</v>
      </c>
      <c r="G35" s="136"/>
      <c r="H35" s="37"/>
      <c r="I35" s="126"/>
      <c r="J35" s="126"/>
      <c r="K35" s="18"/>
      <c r="L35" s="18"/>
      <c r="M35" s="18">
        <v>2800</v>
      </c>
      <c r="N35" s="80">
        <v>1</v>
      </c>
      <c r="O35" s="126"/>
      <c r="P35" s="126"/>
      <c r="Q35" s="126">
        <f>Feb!Y292</f>
        <v>1</v>
      </c>
      <c r="R35" s="436"/>
      <c r="S35" s="436"/>
      <c r="T35" s="18"/>
      <c r="U35" s="18"/>
      <c r="V35" s="18">
        <f>O35-T35-U35+V12</f>
        <v>500</v>
      </c>
      <c r="W35" s="45"/>
      <c r="X35" s="67"/>
    </row>
    <row r="36" spans="1:24" ht="14.25" customHeight="1">
      <c r="A36" s="427"/>
      <c r="B36" s="122" t="s">
        <v>122</v>
      </c>
      <c r="C36" s="180" t="s">
        <v>123</v>
      </c>
      <c r="D36" s="48" t="s">
        <v>56</v>
      </c>
      <c r="E36" s="441"/>
      <c r="F36" s="155" t="s">
        <v>64</v>
      </c>
      <c r="G36" s="136"/>
      <c r="H36" s="135"/>
      <c r="I36" s="158"/>
      <c r="J36" s="158"/>
      <c r="K36" s="128"/>
      <c r="L36" s="128"/>
      <c r="M36" s="128">
        <v>9400</v>
      </c>
      <c r="N36" s="164">
        <v>3</v>
      </c>
      <c r="O36" s="158">
        <f>Feb!Z282</f>
        <v>1800</v>
      </c>
      <c r="P36" s="158">
        <f>Feb!AA282</f>
        <v>1473</v>
      </c>
      <c r="Q36" s="158">
        <f>Feb!Y282</f>
        <v>4</v>
      </c>
      <c r="R36" s="436"/>
      <c r="S36" s="436"/>
      <c r="T36" s="18"/>
      <c r="U36" s="18"/>
      <c r="V36" s="18">
        <f>O36-T36-U36+V13</f>
        <v>26312</v>
      </c>
      <c r="W36" s="45"/>
      <c r="X36" s="67"/>
    </row>
    <row r="37" spans="1:24" ht="14.25" customHeight="1">
      <c r="A37" s="427"/>
      <c r="B37" s="122" t="s">
        <v>125</v>
      </c>
      <c r="C37" s="180" t="s">
        <v>88</v>
      </c>
      <c r="D37" s="48" t="s">
        <v>124</v>
      </c>
      <c r="E37" s="441"/>
      <c r="F37" s="118" t="s">
        <v>64</v>
      </c>
      <c r="G37" s="37"/>
      <c r="H37" s="126"/>
      <c r="I37" s="126"/>
      <c r="J37" s="126"/>
      <c r="K37" s="18"/>
      <c r="L37" s="18"/>
      <c r="M37" s="18">
        <v>88200</v>
      </c>
      <c r="N37" s="80">
        <v>12</v>
      </c>
      <c r="O37" s="126">
        <f>Feb!Z280</f>
        <v>0</v>
      </c>
      <c r="P37" s="126">
        <f>Feb!AA280</f>
        <v>3197</v>
      </c>
      <c r="Q37" s="126">
        <f>Feb!Y280</f>
        <v>14</v>
      </c>
      <c r="R37" s="436"/>
      <c r="S37" s="436"/>
      <c r="T37" s="18"/>
      <c r="U37" s="18"/>
      <c r="V37" s="18">
        <f t="shared" ref="V37:V42" si="1">O37-T37-U37+V15</f>
        <v>9188</v>
      </c>
      <c r="W37" s="45"/>
      <c r="X37" s="67"/>
    </row>
    <row r="38" spans="1:24" ht="13.5" customHeight="1">
      <c r="A38" s="427"/>
      <c r="B38" s="442" t="s">
        <v>58</v>
      </c>
      <c r="C38" s="444" t="s">
        <v>136</v>
      </c>
      <c r="D38" s="48" t="s">
        <v>56</v>
      </c>
      <c r="E38" s="441"/>
      <c r="F38" s="118" t="s">
        <v>67</v>
      </c>
      <c r="G38" s="119"/>
      <c r="H38" s="126"/>
      <c r="I38" s="126"/>
      <c r="J38" s="2"/>
      <c r="K38" s="18"/>
      <c r="L38" s="18"/>
      <c r="M38" s="18"/>
      <c r="N38" s="18"/>
      <c r="O38" s="126"/>
      <c r="P38" s="126"/>
      <c r="Q38" s="126"/>
      <c r="R38" s="436"/>
      <c r="S38" s="436"/>
      <c r="T38" s="18"/>
      <c r="U38" s="18"/>
      <c r="V38" s="18">
        <f t="shared" si="1"/>
        <v>43</v>
      </c>
      <c r="W38" s="45"/>
      <c r="X38" s="67"/>
    </row>
    <row r="39" spans="1:24" ht="15.75" customHeight="1">
      <c r="A39" s="427"/>
      <c r="B39" s="439"/>
      <c r="C39" s="445"/>
      <c r="D39" s="48" t="s">
        <v>56</v>
      </c>
      <c r="E39" s="441"/>
      <c r="F39" s="118" t="s">
        <v>140</v>
      </c>
      <c r="G39" s="119"/>
      <c r="H39" s="126"/>
      <c r="I39" s="126"/>
      <c r="J39" s="2"/>
      <c r="K39" s="18"/>
      <c r="L39" s="18"/>
      <c r="M39" s="18"/>
      <c r="N39" s="18"/>
      <c r="O39" s="126">
        <f>Feb!Z283</f>
        <v>1800</v>
      </c>
      <c r="P39" s="126">
        <f>Feb!AA283</f>
        <v>851</v>
      </c>
      <c r="Q39" s="126">
        <f>Feb!Y283</f>
        <v>3</v>
      </c>
      <c r="R39" s="436"/>
      <c r="S39" s="436"/>
      <c r="T39" s="18"/>
      <c r="U39" s="18"/>
      <c r="V39" s="18">
        <f t="shared" si="1"/>
        <v>5370</v>
      </c>
      <c r="W39" s="45"/>
      <c r="X39" s="67"/>
    </row>
    <row r="40" spans="1:24" ht="15" customHeight="1">
      <c r="A40" s="427"/>
      <c r="B40" s="137" t="s">
        <v>47</v>
      </c>
      <c r="C40" s="157" t="s">
        <v>100</v>
      </c>
      <c r="D40" s="48" t="s">
        <v>99</v>
      </c>
      <c r="E40" s="441"/>
      <c r="F40" s="118" t="s">
        <v>71</v>
      </c>
      <c r="G40" s="119"/>
      <c r="H40" s="126"/>
      <c r="I40" s="126"/>
      <c r="J40" s="2"/>
      <c r="K40" s="18"/>
      <c r="L40" s="18"/>
      <c r="M40" s="18">
        <v>36000</v>
      </c>
      <c r="N40" s="18">
        <v>6</v>
      </c>
      <c r="O40" s="126">
        <f>Feb!Z281</f>
        <v>1500</v>
      </c>
      <c r="P40" s="126">
        <f>Feb!AA281</f>
        <v>2057</v>
      </c>
      <c r="Q40" s="126">
        <f>Feb!Y281</f>
        <v>8</v>
      </c>
      <c r="R40" s="436"/>
      <c r="S40" s="436"/>
      <c r="T40" s="18"/>
      <c r="U40" s="18"/>
      <c r="V40" s="18">
        <f t="shared" si="1"/>
        <v>31684</v>
      </c>
      <c r="W40" s="45"/>
      <c r="X40" s="67"/>
    </row>
    <row r="41" spans="1:24" ht="15" customHeight="1">
      <c r="A41" s="427"/>
      <c r="B41" s="122" t="s">
        <v>196</v>
      </c>
      <c r="C41" s="180" t="s">
        <v>63</v>
      </c>
      <c r="D41" s="48" t="s">
        <v>135</v>
      </c>
      <c r="E41" s="441"/>
      <c r="F41" s="118" t="s">
        <v>64</v>
      </c>
      <c r="G41" s="119"/>
      <c r="H41" s="126"/>
      <c r="I41" s="126"/>
      <c r="J41" s="2"/>
      <c r="K41" s="18"/>
      <c r="L41" s="18"/>
      <c r="M41" s="18"/>
      <c r="N41" s="18"/>
      <c r="O41" s="126">
        <f>Feb!Z285</f>
        <v>593</v>
      </c>
      <c r="P41" s="126">
        <f>Feb!AA285</f>
        <v>1406</v>
      </c>
      <c r="Q41" s="126">
        <f>Feb!Y285</f>
        <v>5</v>
      </c>
      <c r="R41" s="436"/>
      <c r="S41" s="436"/>
      <c r="T41" s="18"/>
      <c r="U41" s="18"/>
      <c r="V41" s="18">
        <f t="shared" si="1"/>
        <v>7438</v>
      </c>
      <c r="W41" s="45"/>
      <c r="X41" s="67"/>
    </row>
    <row r="42" spans="1:24" ht="15" customHeight="1">
      <c r="A42" s="427"/>
      <c r="B42" s="442" t="s">
        <v>61</v>
      </c>
      <c r="C42" s="444" t="s">
        <v>137</v>
      </c>
      <c r="D42" s="48" t="s">
        <v>56</v>
      </c>
      <c r="E42" s="441"/>
      <c r="F42" s="118" t="s">
        <v>67</v>
      </c>
      <c r="G42" s="126">
        <v>696</v>
      </c>
      <c r="H42" s="126"/>
      <c r="I42" s="126"/>
      <c r="J42" s="2"/>
      <c r="K42" s="18"/>
      <c r="L42" s="18"/>
      <c r="M42" s="18">
        <v>6000</v>
      </c>
      <c r="N42" s="18">
        <v>2</v>
      </c>
      <c r="O42" s="126">
        <f>Feb!Z284</f>
        <v>0</v>
      </c>
      <c r="P42" s="126">
        <f>Feb!AA284</f>
        <v>745</v>
      </c>
      <c r="Q42" s="126">
        <f>Feb!Y284</f>
        <v>2</v>
      </c>
      <c r="R42" s="436"/>
      <c r="S42" s="436"/>
      <c r="T42" s="18"/>
      <c r="U42" s="18"/>
      <c r="V42" s="18">
        <f t="shared" si="1"/>
        <v>2897</v>
      </c>
      <c r="W42" s="45"/>
      <c r="X42" s="67"/>
    </row>
    <row r="43" spans="1:24" ht="15" customHeight="1">
      <c r="A43" s="427"/>
      <c r="B43" s="443"/>
      <c r="C43" s="446"/>
      <c r="D43" s="48" t="s">
        <v>129</v>
      </c>
      <c r="E43" s="441"/>
      <c r="F43" s="118"/>
      <c r="G43" s="119"/>
      <c r="H43" s="126">
        <v>750</v>
      </c>
      <c r="I43" s="126"/>
      <c r="J43" s="2"/>
      <c r="K43" s="18"/>
      <c r="L43" s="18"/>
      <c r="M43" s="18"/>
      <c r="N43" s="18"/>
      <c r="O43" s="126"/>
      <c r="P43" s="126"/>
      <c r="Q43" s="126"/>
      <c r="R43" s="436"/>
      <c r="S43" s="436"/>
      <c r="T43" s="18"/>
      <c r="U43" s="18"/>
      <c r="V43" s="18"/>
      <c r="W43" s="45"/>
      <c r="X43" s="67"/>
    </row>
    <row r="44" spans="1:24" ht="15" customHeight="1">
      <c r="A44" s="427"/>
      <c r="B44" s="122" t="s">
        <v>131</v>
      </c>
      <c r="C44" s="180" t="s">
        <v>194</v>
      </c>
      <c r="D44" s="48" t="s">
        <v>132</v>
      </c>
      <c r="E44" s="441"/>
      <c r="F44" s="118" t="s">
        <v>64</v>
      </c>
      <c r="G44" s="119"/>
      <c r="H44" s="126"/>
      <c r="I44" s="126"/>
      <c r="J44" s="2"/>
      <c r="K44" s="18"/>
      <c r="L44" s="18"/>
      <c r="M44" s="18"/>
      <c r="N44" s="18"/>
      <c r="O44" s="126"/>
      <c r="P44" s="126"/>
      <c r="Q44" s="126">
        <f>Feb!Y286</f>
        <v>1</v>
      </c>
      <c r="R44" s="436"/>
      <c r="S44" s="436"/>
      <c r="T44" s="18"/>
      <c r="U44" s="18"/>
      <c r="V44" s="18"/>
      <c r="W44" s="45"/>
      <c r="X44" s="67"/>
    </row>
    <row r="45" spans="1:24" ht="15" customHeight="1">
      <c r="A45" s="427"/>
      <c r="B45" s="122" t="s">
        <v>101</v>
      </c>
      <c r="C45" s="180" t="s">
        <v>193</v>
      </c>
      <c r="D45" s="48" t="s">
        <v>102</v>
      </c>
      <c r="E45" s="441"/>
      <c r="F45" s="118" t="s">
        <v>64</v>
      </c>
      <c r="G45" s="119"/>
      <c r="H45" s="126"/>
      <c r="I45" s="126"/>
      <c r="J45" s="2"/>
      <c r="K45" s="18"/>
      <c r="L45" s="18"/>
      <c r="M45" s="18"/>
      <c r="N45" s="18"/>
      <c r="O45" s="126"/>
      <c r="P45" s="126"/>
      <c r="Q45" s="126">
        <f>Feb!Y287</f>
        <v>1</v>
      </c>
      <c r="R45" s="436"/>
      <c r="S45" s="436"/>
      <c r="T45" s="18"/>
      <c r="U45" s="18"/>
      <c r="V45" s="18"/>
      <c r="W45" s="45"/>
      <c r="X45" s="67"/>
    </row>
    <row r="46" spans="1:24" ht="15" customHeight="1">
      <c r="A46" s="427"/>
      <c r="B46" s="122" t="s">
        <v>103</v>
      </c>
      <c r="C46" s="157" t="s">
        <v>197</v>
      </c>
      <c r="D46" s="48" t="s">
        <v>104</v>
      </c>
      <c r="E46" s="441"/>
      <c r="F46" s="118" t="s">
        <v>105</v>
      </c>
      <c r="G46" s="119"/>
      <c r="H46" s="126"/>
      <c r="I46" s="126"/>
      <c r="J46" s="2"/>
      <c r="K46" s="18"/>
      <c r="L46" s="18"/>
      <c r="M46" s="18"/>
      <c r="N46" s="18"/>
      <c r="O46" s="126"/>
      <c r="P46" s="126"/>
      <c r="Q46" s="126">
        <f>Feb!Y288</f>
        <v>1</v>
      </c>
      <c r="R46" s="436"/>
      <c r="S46" s="436"/>
      <c r="T46" s="18"/>
      <c r="U46" s="18"/>
      <c r="V46" s="18"/>
      <c r="W46" s="45"/>
      <c r="X46" s="67"/>
    </row>
    <row r="47" spans="1:24" ht="15" customHeight="1">
      <c r="A47" s="427"/>
      <c r="B47" s="137" t="s">
        <v>112</v>
      </c>
      <c r="C47" s="157" t="s">
        <v>197</v>
      </c>
      <c r="D47" s="48" t="s">
        <v>104</v>
      </c>
      <c r="E47" s="441"/>
      <c r="F47" s="118" t="s">
        <v>113</v>
      </c>
      <c r="G47" s="119"/>
      <c r="H47" s="126"/>
      <c r="I47" s="126"/>
      <c r="J47" s="2"/>
      <c r="K47" s="18"/>
      <c r="L47" s="18"/>
      <c r="M47" s="18"/>
      <c r="N47" s="18"/>
      <c r="O47" s="126"/>
      <c r="P47" s="126"/>
      <c r="Q47" s="126">
        <f>Feb!Y291</f>
        <v>1</v>
      </c>
      <c r="R47" s="436"/>
      <c r="S47" s="436"/>
      <c r="T47" s="18"/>
      <c r="U47" s="18"/>
      <c r="V47" s="18"/>
      <c r="W47" s="45"/>
      <c r="X47" s="67"/>
    </row>
    <row r="48" spans="1:24" ht="15" customHeight="1">
      <c r="A48" s="427"/>
      <c r="B48" s="137" t="s">
        <v>106</v>
      </c>
      <c r="C48" s="157" t="s">
        <v>141</v>
      </c>
      <c r="D48" s="48" t="s">
        <v>68</v>
      </c>
      <c r="E48" s="441"/>
      <c r="F48" s="118" t="s">
        <v>67</v>
      </c>
      <c r="G48" s="119"/>
      <c r="H48" s="126"/>
      <c r="I48" s="126"/>
      <c r="J48" s="2"/>
      <c r="K48" s="18"/>
      <c r="L48" s="18"/>
      <c r="M48" s="18"/>
      <c r="N48" s="18"/>
      <c r="O48" s="126"/>
      <c r="P48" s="126"/>
      <c r="Q48" s="126">
        <f>Feb!Y289</f>
        <v>1</v>
      </c>
      <c r="R48" s="436"/>
      <c r="S48" s="436"/>
      <c r="T48" s="18"/>
      <c r="U48" s="18"/>
      <c r="V48" s="18"/>
      <c r="W48" s="45"/>
      <c r="X48" s="67"/>
    </row>
    <row r="49" spans="1:25" ht="15" customHeight="1" thickBot="1">
      <c r="A49" s="428"/>
      <c r="B49" s="44" t="s">
        <v>107</v>
      </c>
      <c r="C49" s="181" t="s">
        <v>195</v>
      </c>
      <c r="D49" s="61" t="s">
        <v>108</v>
      </c>
      <c r="E49" s="447"/>
      <c r="F49" s="133" t="s">
        <v>48</v>
      </c>
      <c r="G49" s="132"/>
      <c r="H49" s="109"/>
      <c r="I49" s="134"/>
      <c r="J49" s="129"/>
      <c r="K49" s="130"/>
      <c r="L49" s="130"/>
      <c r="M49" s="130"/>
      <c r="N49" s="130"/>
      <c r="O49" s="134"/>
      <c r="P49" s="134"/>
      <c r="Q49" s="134">
        <f>Feb!Y290</f>
        <v>1</v>
      </c>
      <c r="R49" s="437"/>
      <c r="S49" s="437"/>
      <c r="T49" s="130"/>
      <c r="U49" s="130"/>
      <c r="V49" s="128"/>
      <c r="W49" s="85"/>
      <c r="X49" s="67"/>
    </row>
    <row r="50" spans="1:25" ht="15" customHeight="1">
      <c r="A50" s="426">
        <v>46057</v>
      </c>
      <c r="B50" s="429" t="s">
        <v>44</v>
      </c>
      <c r="C50" s="432" t="s">
        <v>240</v>
      </c>
      <c r="D50" s="19" t="s">
        <v>37</v>
      </c>
      <c r="E50" s="19" t="s">
        <v>25</v>
      </c>
      <c r="F50" s="39" t="s">
        <v>40</v>
      </c>
      <c r="G50" s="41"/>
      <c r="H50" s="32">
        <v>5760</v>
      </c>
      <c r="I50" s="32"/>
      <c r="J50" s="32"/>
      <c r="K50" s="20">
        <v>8000</v>
      </c>
      <c r="L50" s="20">
        <v>1</v>
      </c>
      <c r="M50" s="20">
        <v>24000</v>
      </c>
      <c r="N50" s="84">
        <v>3</v>
      </c>
      <c r="O50" s="32">
        <f>Feb!AC272</f>
        <v>26445</v>
      </c>
      <c r="P50" s="32">
        <f>Feb!AD272</f>
        <v>20326</v>
      </c>
      <c r="Q50" s="32">
        <f>Feb!AB272</f>
        <v>68</v>
      </c>
      <c r="R50" s="435">
        <f>Feb!AC293</f>
        <v>68236</v>
      </c>
      <c r="S50" s="435">
        <f>Feb!AD293</f>
        <v>67272</v>
      </c>
      <c r="T50" s="20">
        <v>33339</v>
      </c>
      <c r="U50" s="20">
        <v>61</v>
      </c>
      <c r="V50" s="20">
        <f>O50-T50-U50+V27</f>
        <v>8492</v>
      </c>
      <c r="W50" s="77"/>
      <c r="X50" s="36"/>
    </row>
    <row r="51" spans="1:25" ht="15" customHeight="1">
      <c r="A51" s="427"/>
      <c r="B51" s="430"/>
      <c r="C51" s="433"/>
      <c r="D51" s="113" t="s">
        <v>69</v>
      </c>
      <c r="E51" s="438" t="s">
        <v>24</v>
      </c>
      <c r="F51" s="118" t="s">
        <v>40</v>
      </c>
      <c r="G51" s="38"/>
      <c r="H51" s="37"/>
      <c r="I51" s="125"/>
      <c r="J51" s="125"/>
      <c r="K51" s="127"/>
      <c r="L51" s="127"/>
      <c r="M51" s="127"/>
      <c r="N51" s="81"/>
      <c r="O51" s="125"/>
      <c r="P51" s="125">
        <f>Feb!AD273</f>
        <v>2958</v>
      </c>
      <c r="Q51" s="125">
        <f>Feb!AB273</f>
        <v>10</v>
      </c>
      <c r="R51" s="436"/>
      <c r="S51" s="436"/>
      <c r="T51" s="127"/>
      <c r="U51" s="127"/>
      <c r="V51" s="127">
        <f>O51-T51-U51+V28</f>
        <v>2410</v>
      </c>
      <c r="W51" s="46"/>
      <c r="X51" s="67"/>
    </row>
    <row r="52" spans="1:25" ht="15" customHeight="1">
      <c r="A52" s="427"/>
      <c r="B52" s="431"/>
      <c r="C52" s="434"/>
      <c r="D52" s="113" t="s">
        <v>128</v>
      </c>
      <c r="E52" s="431"/>
      <c r="F52" s="114" t="s">
        <v>40</v>
      </c>
      <c r="G52" s="135"/>
      <c r="H52" s="135"/>
      <c r="I52" s="125"/>
      <c r="J52" s="125"/>
      <c r="K52" s="18"/>
      <c r="L52" s="127"/>
      <c r="M52" s="127">
        <v>175400</v>
      </c>
      <c r="N52" s="81">
        <v>22</v>
      </c>
      <c r="O52" s="126">
        <f>Feb!AC274</f>
        <v>9978</v>
      </c>
      <c r="P52" s="125">
        <f>Feb!AD274</f>
        <v>9883</v>
      </c>
      <c r="Q52" s="125">
        <f>Feb!AB274</f>
        <v>31</v>
      </c>
      <c r="R52" s="436"/>
      <c r="S52" s="436"/>
      <c r="T52" s="127">
        <v>15692</v>
      </c>
      <c r="U52" s="127">
        <v>3</v>
      </c>
      <c r="V52" s="127">
        <f>O52-T52-U52+V29</f>
        <v>3079</v>
      </c>
      <c r="W52" s="46"/>
      <c r="X52" s="67"/>
    </row>
    <row r="53" spans="1:25" ht="15" customHeight="1">
      <c r="A53" s="427"/>
      <c r="B53" s="439" t="s">
        <v>45</v>
      </c>
      <c r="C53" s="440" t="s">
        <v>59</v>
      </c>
      <c r="D53" s="118" t="s">
        <v>75</v>
      </c>
      <c r="E53" s="438" t="s">
        <v>25</v>
      </c>
      <c r="F53" s="131" t="s">
        <v>57</v>
      </c>
      <c r="G53" s="87"/>
      <c r="H53" s="136"/>
      <c r="I53" s="126"/>
      <c r="J53" s="2"/>
      <c r="K53" s="127"/>
      <c r="L53" s="18"/>
      <c r="M53" s="18">
        <v>40300</v>
      </c>
      <c r="N53" s="80">
        <v>8</v>
      </c>
      <c r="O53" s="126">
        <f>Feb!AC276</f>
        <v>1762</v>
      </c>
      <c r="P53" s="126">
        <f>Feb!AD276</f>
        <v>3320</v>
      </c>
      <c r="Q53" s="2">
        <f>Feb!AB276</f>
        <v>14</v>
      </c>
      <c r="R53" s="436"/>
      <c r="S53" s="436"/>
      <c r="T53" s="18"/>
      <c r="U53" s="18"/>
      <c r="V53" s="18">
        <f>O53-T53-U53+V30</f>
        <v>41245</v>
      </c>
      <c r="W53" s="46"/>
      <c r="Y53" s="13"/>
    </row>
    <row r="54" spans="1:25" ht="15" customHeight="1">
      <c r="A54" s="427"/>
      <c r="B54" s="439"/>
      <c r="C54" s="440"/>
      <c r="D54" s="118" t="s">
        <v>94</v>
      </c>
      <c r="E54" s="431"/>
      <c r="F54" s="131"/>
      <c r="G54" s="87"/>
      <c r="H54" s="152">
        <v>1620</v>
      </c>
      <c r="I54" s="126"/>
      <c r="J54" s="2"/>
      <c r="K54" s="127"/>
      <c r="L54" s="18"/>
      <c r="M54" s="18"/>
      <c r="N54" s="80"/>
      <c r="O54" s="126"/>
      <c r="P54" s="126"/>
      <c r="Q54" s="2"/>
      <c r="R54" s="436"/>
      <c r="S54" s="436"/>
      <c r="T54" s="18"/>
      <c r="U54" s="18"/>
      <c r="V54" s="18"/>
      <c r="W54" s="46"/>
      <c r="Y54" s="13"/>
    </row>
    <row r="55" spans="1:25">
      <c r="A55" s="427"/>
      <c r="B55" s="439"/>
      <c r="C55" s="440"/>
      <c r="D55" s="118" t="s">
        <v>72</v>
      </c>
      <c r="E55" s="424" t="s">
        <v>24</v>
      </c>
      <c r="F55" s="131" t="s">
        <v>57</v>
      </c>
      <c r="G55" s="136"/>
      <c r="H55" s="136"/>
      <c r="I55" s="126"/>
      <c r="J55" s="126"/>
      <c r="K55" s="127">
        <v>40000</v>
      </c>
      <c r="L55" s="18">
        <v>8</v>
      </c>
      <c r="M55" s="18"/>
      <c r="N55" s="80"/>
      <c r="O55" s="126">
        <f>Feb!AC277</f>
        <v>2633</v>
      </c>
      <c r="P55" s="126">
        <f>Feb!AD277</f>
        <v>5244</v>
      </c>
      <c r="Q55" s="126">
        <f>Feb!AB277</f>
        <v>24</v>
      </c>
      <c r="R55" s="436"/>
      <c r="S55" s="436"/>
      <c r="T55" s="18">
        <v>9152</v>
      </c>
      <c r="U55" s="18">
        <v>34</v>
      </c>
      <c r="V55" s="18">
        <f>O55-T55-U55+V31</f>
        <v>7823</v>
      </c>
      <c r="W55" s="46"/>
      <c r="Y55" s="13"/>
    </row>
    <row r="56" spans="1:25">
      <c r="A56" s="427"/>
      <c r="B56" s="439"/>
      <c r="C56" s="440"/>
      <c r="D56" s="115" t="s">
        <v>73</v>
      </c>
      <c r="E56" s="425"/>
      <c r="F56" s="131"/>
      <c r="G56" s="136"/>
      <c r="H56" s="152">
        <v>1980</v>
      </c>
      <c r="I56" s="126"/>
      <c r="J56" s="126"/>
      <c r="K56" s="127"/>
      <c r="L56" s="18"/>
      <c r="M56" s="18"/>
      <c r="N56" s="80"/>
      <c r="O56" s="126"/>
      <c r="P56" s="126"/>
      <c r="Q56" s="126"/>
      <c r="R56" s="436"/>
      <c r="S56" s="436"/>
      <c r="T56" s="18"/>
      <c r="U56" s="18"/>
      <c r="V56" s="18"/>
      <c r="W56" s="46"/>
      <c r="Y56" s="13"/>
    </row>
    <row r="57" spans="1:25">
      <c r="A57" s="427"/>
      <c r="B57" s="439"/>
      <c r="C57" s="440"/>
      <c r="D57" s="115" t="s">
        <v>79</v>
      </c>
      <c r="E57" s="118" t="s">
        <v>65</v>
      </c>
      <c r="F57" s="131" t="s">
        <v>57</v>
      </c>
      <c r="G57" s="136"/>
      <c r="H57" s="136"/>
      <c r="I57" s="126"/>
      <c r="J57" s="126"/>
      <c r="K57" s="127">
        <v>5000</v>
      </c>
      <c r="L57" s="18">
        <v>1</v>
      </c>
      <c r="M57" s="18">
        <v>69000</v>
      </c>
      <c r="N57" s="80">
        <v>14</v>
      </c>
      <c r="O57" s="126">
        <f>Feb!AC278</f>
        <v>4000</v>
      </c>
      <c r="P57" s="126">
        <f>Feb!AD278</f>
        <v>5944</v>
      </c>
      <c r="Q57" s="126">
        <f>Feb!AB278</f>
        <v>26</v>
      </c>
      <c r="R57" s="436"/>
      <c r="S57" s="436"/>
      <c r="T57" s="18"/>
      <c r="U57" s="18"/>
      <c r="V57" s="18">
        <f>O57-T57-U57+V32</f>
        <v>4802</v>
      </c>
      <c r="W57" s="46"/>
      <c r="Y57" s="13"/>
    </row>
    <row r="58" spans="1:25" ht="14.25" customHeight="1">
      <c r="A58" s="427"/>
      <c r="B58" s="137" t="s">
        <v>53</v>
      </c>
      <c r="C58" s="157" t="s">
        <v>60</v>
      </c>
      <c r="D58" s="43" t="s">
        <v>130</v>
      </c>
      <c r="E58" s="115" t="s">
        <v>66</v>
      </c>
      <c r="F58" s="118" t="s">
        <v>54</v>
      </c>
      <c r="G58" s="87">
        <v>1258.17</v>
      </c>
      <c r="H58" s="37"/>
      <c r="I58" s="126"/>
      <c r="J58" s="126"/>
      <c r="K58" s="18"/>
      <c r="L58" s="18"/>
      <c r="M58" s="18">
        <v>70550</v>
      </c>
      <c r="N58" s="80">
        <v>12</v>
      </c>
      <c r="O58" s="126">
        <f>Feb!AC275</f>
        <v>12655</v>
      </c>
      <c r="P58" s="126">
        <f>Feb!AD275</f>
        <v>10010</v>
      </c>
      <c r="Q58" s="126">
        <f>Feb!AB275</f>
        <v>30</v>
      </c>
      <c r="R58" s="436"/>
      <c r="S58" s="436"/>
      <c r="T58" s="18">
        <v>13808</v>
      </c>
      <c r="U58" s="18"/>
      <c r="V58" s="18">
        <f>O58-T58-U58+V33</f>
        <v>6819</v>
      </c>
      <c r="W58" s="45"/>
      <c r="X58" s="36"/>
    </row>
    <row r="59" spans="1:25" ht="14.25" customHeight="1">
      <c r="A59" s="427"/>
      <c r="B59" s="122" t="s">
        <v>55</v>
      </c>
      <c r="C59" s="180" t="s">
        <v>133</v>
      </c>
      <c r="D59" s="48" t="s">
        <v>56</v>
      </c>
      <c r="E59" s="424" t="s">
        <v>25</v>
      </c>
      <c r="F59" s="118" t="s">
        <v>67</v>
      </c>
      <c r="G59" s="136"/>
      <c r="H59" s="37"/>
      <c r="I59" s="126"/>
      <c r="J59" s="126"/>
      <c r="K59" s="18"/>
      <c r="L59" s="18"/>
      <c r="M59" s="18">
        <v>2800</v>
      </c>
      <c r="N59" s="80">
        <v>1</v>
      </c>
      <c r="O59" s="126"/>
      <c r="P59" s="126"/>
      <c r="Q59" s="126">
        <f>Feb!AB292</f>
        <v>1</v>
      </c>
      <c r="R59" s="436"/>
      <c r="S59" s="436"/>
      <c r="T59" s="18"/>
      <c r="U59" s="18"/>
      <c r="V59" s="18">
        <f t="shared" ref="V59:V64" si="2">O59-T59-U59+V35</f>
        <v>500</v>
      </c>
      <c r="W59" s="45"/>
      <c r="X59" s="67"/>
    </row>
    <row r="60" spans="1:25" ht="14.25" customHeight="1">
      <c r="A60" s="427"/>
      <c r="B60" s="122" t="s">
        <v>122</v>
      </c>
      <c r="C60" s="180" t="s">
        <v>123</v>
      </c>
      <c r="D60" s="48" t="s">
        <v>56</v>
      </c>
      <c r="E60" s="441"/>
      <c r="F60" s="155" t="s">
        <v>64</v>
      </c>
      <c r="G60" s="136"/>
      <c r="H60" s="135"/>
      <c r="I60" s="158"/>
      <c r="J60" s="158"/>
      <c r="K60" s="128"/>
      <c r="L60" s="128"/>
      <c r="M60" s="128">
        <v>9400</v>
      </c>
      <c r="N60" s="164">
        <v>3</v>
      </c>
      <c r="O60" s="158">
        <f>Feb!AC282</f>
        <v>1015</v>
      </c>
      <c r="P60" s="158">
        <f>Feb!AD282</f>
        <v>1432</v>
      </c>
      <c r="Q60" s="158">
        <f>Feb!AB282</f>
        <v>4</v>
      </c>
      <c r="R60" s="436"/>
      <c r="S60" s="436"/>
      <c r="T60" s="18"/>
      <c r="U60" s="18"/>
      <c r="V60" s="18">
        <f t="shared" si="2"/>
        <v>27327</v>
      </c>
      <c r="W60" s="45"/>
      <c r="X60" s="67"/>
    </row>
    <row r="61" spans="1:25" ht="14.25" customHeight="1">
      <c r="A61" s="427"/>
      <c r="B61" s="122" t="s">
        <v>125</v>
      </c>
      <c r="C61" s="180" t="s">
        <v>88</v>
      </c>
      <c r="D61" s="48" t="s">
        <v>124</v>
      </c>
      <c r="E61" s="441"/>
      <c r="F61" s="118" t="s">
        <v>64</v>
      </c>
      <c r="G61" s="37"/>
      <c r="H61" s="126">
        <v>576</v>
      </c>
      <c r="I61" s="126"/>
      <c r="J61" s="126"/>
      <c r="K61" s="18"/>
      <c r="L61" s="18"/>
      <c r="M61" s="18">
        <v>88200</v>
      </c>
      <c r="N61" s="80">
        <v>12</v>
      </c>
      <c r="O61" s="126">
        <f>Feb!AC280</f>
        <v>2000</v>
      </c>
      <c r="P61" s="126">
        <f>Feb!AD280</f>
        <v>3172</v>
      </c>
      <c r="Q61" s="126">
        <f>Feb!AB280</f>
        <v>14</v>
      </c>
      <c r="R61" s="436"/>
      <c r="S61" s="436"/>
      <c r="T61" s="18">
        <v>9188</v>
      </c>
      <c r="U61" s="18"/>
      <c r="V61" s="18">
        <f t="shared" si="2"/>
        <v>2000</v>
      </c>
      <c r="W61" s="45"/>
      <c r="X61" s="67"/>
    </row>
    <row r="62" spans="1:25" ht="13.5" customHeight="1">
      <c r="A62" s="427"/>
      <c r="B62" s="442" t="s">
        <v>58</v>
      </c>
      <c r="C62" s="444" t="s">
        <v>136</v>
      </c>
      <c r="D62" s="48" t="s">
        <v>56</v>
      </c>
      <c r="E62" s="441"/>
      <c r="F62" s="118" t="s">
        <v>67</v>
      </c>
      <c r="G62" s="119"/>
      <c r="H62" s="126"/>
      <c r="I62" s="126"/>
      <c r="J62" s="2"/>
      <c r="K62" s="18"/>
      <c r="L62" s="18"/>
      <c r="M62" s="18"/>
      <c r="N62" s="18"/>
      <c r="O62" s="126"/>
      <c r="P62" s="126"/>
      <c r="Q62" s="126"/>
      <c r="R62" s="436"/>
      <c r="S62" s="436"/>
      <c r="T62" s="18"/>
      <c r="U62" s="18"/>
      <c r="V62" s="18">
        <f t="shared" si="2"/>
        <v>43</v>
      </c>
      <c r="W62" s="45"/>
      <c r="X62" s="67"/>
    </row>
    <row r="63" spans="1:25" ht="15.75" customHeight="1">
      <c r="A63" s="427"/>
      <c r="B63" s="439"/>
      <c r="C63" s="445"/>
      <c r="D63" s="48" t="s">
        <v>56</v>
      </c>
      <c r="E63" s="441"/>
      <c r="F63" s="118" t="s">
        <v>140</v>
      </c>
      <c r="G63" s="119"/>
      <c r="H63" s="126"/>
      <c r="I63" s="126"/>
      <c r="J63" s="2"/>
      <c r="K63" s="18"/>
      <c r="L63" s="18"/>
      <c r="M63" s="18"/>
      <c r="N63" s="18"/>
      <c r="O63" s="126">
        <f>Feb!AC283</f>
        <v>418</v>
      </c>
      <c r="P63" s="126">
        <f>Feb!AD283</f>
        <v>843</v>
      </c>
      <c r="Q63" s="126">
        <f>Feb!AB283</f>
        <v>3</v>
      </c>
      <c r="R63" s="436"/>
      <c r="S63" s="436"/>
      <c r="T63" s="18"/>
      <c r="U63" s="18"/>
      <c r="V63" s="18">
        <f t="shared" si="2"/>
        <v>5788</v>
      </c>
      <c r="W63" s="45"/>
      <c r="X63" s="67"/>
    </row>
    <row r="64" spans="1:25" ht="15" customHeight="1">
      <c r="A64" s="427"/>
      <c r="B64" s="442" t="s">
        <v>47</v>
      </c>
      <c r="C64" s="444" t="s">
        <v>100</v>
      </c>
      <c r="D64" s="48" t="s">
        <v>99</v>
      </c>
      <c r="E64" s="441"/>
      <c r="F64" s="118" t="s">
        <v>71</v>
      </c>
      <c r="G64" s="119"/>
      <c r="H64" s="126"/>
      <c r="I64" s="126"/>
      <c r="J64" s="2"/>
      <c r="K64" s="18"/>
      <c r="L64" s="18"/>
      <c r="M64" s="18">
        <v>36000</v>
      </c>
      <c r="N64" s="18">
        <v>6</v>
      </c>
      <c r="O64" s="126">
        <f>Feb!AC281</f>
        <v>2497</v>
      </c>
      <c r="P64" s="126">
        <f>Feb!AD281</f>
        <v>2088</v>
      </c>
      <c r="Q64" s="126">
        <f>Feb!AB281</f>
        <v>8</v>
      </c>
      <c r="R64" s="436"/>
      <c r="S64" s="436"/>
      <c r="T64" s="18"/>
      <c r="U64" s="18"/>
      <c r="V64" s="18">
        <f t="shared" si="2"/>
        <v>34181</v>
      </c>
      <c r="W64" s="45"/>
      <c r="X64" s="67"/>
    </row>
    <row r="65" spans="1:25" ht="15" customHeight="1">
      <c r="A65" s="427"/>
      <c r="B65" s="443"/>
      <c r="C65" s="446"/>
      <c r="D65" s="48" t="s">
        <v>121</v>
      </c>
      <c r="E65" s="441"/>
      <c r="F65" s="118"/>
      <c r="G65" s="119"/>
      <c r="H65" s="126">
        <v>612</v>
      </c>
      <c r="I65" s="126"/>
      <c r="J65" s="2"/>
      <c r="K65" s="18"/>
      <c r="L65" s="18"/>
      <c r="M65" s="18"/>
      <c r="N65" s="18"/>
      <c r="O65" s="126"/>
      <c r="P65" s="126"/>
      <c r="Q65" s="126"/>
      <c r="R65" s="436"/>
      <c r="S65" s="436"/>
      <c r="T65" s="18"/>
      <c r="U65" s="18"/>
      <c r="V65" s="18"/>
      <c r="W65" s="45"/>
      <c r="X65" s="67"/>
    </row>
    <row r="66" spans="1:25" ht="15" customHeight="1">
      <c r="A66" s="427"/>
      <c r="B66" s="122" t="s">
        <v>196</v>
      </c>
      <c r="C66" s="180" t="s">
        <v>63</v>
      </c>
      <c r="D66" s="48" t="s">
        <v>135</v>
      </c>
      <c r="E66" s="441"/>
      <c r="F66" s="118" t="s">
        <v>64</v>
      </c>
      <c r="G66" s="119"/>
      <c r="H66" s="126"/>
      <c r="I66" s="126"/>
      <c r="J66" s="2"/>
      <c r="K66" s="18"/>
      <c r="L66" s="18"/>
      <c r="M66" s="18"/>
      <c r="N66" s="18"/>
      <c r="O66" s="126">
        <f>Feb!AC285</f>
        <v>3633</v>
      </c>
      <c r="P66" s="126">
        <f>Feb!AD285</f>
        <v>1277</v>
      </c>
      <c r="Q66" s="126">
        <f>Feb!AB285</f>
        <v>5</v>
      </c>
      <c r="R66" s="436"/>
      <c r="S66" s="436"/>
      <c r="T66" s="18"/>
      <c r="U66" s="18"/>
      <c r="V66" s="18">
        <f>O66-T66-U66+V41</f>
        <v>11071</v>
      </c>
      <c r="W66" s="45"/>
      <c r="X66" s="67"/>
    </row>
    <row r="67" spans="1:25" ht="15" customHeight="1">
      <c r="A67" s="427"/>
      <c r="B67" s="122" t="s">
        <v>61</v>
      </c>
      <c r="C67" s="180" t="s">
        <v>137</v>
      </c>
      <c r="D67" s="48" t="s">
        <v>56</v>
      </c>
      <c r="E67" s="441"/>
      <c r="F67" s="118" t="s">
        <v>67</v>
      </c>
      <c r="G67" s="119"/>
      <c r="H67" s="126"/>
      <c r="I67" s="126"/>
      <c r="J67" s="2"/>
      <c r="K67" s="18"/>
      <c r="L67" s="18"/>
      <c r="M67" s="18">
        <v>6000</v>
      </c>
      <c r="N67" s="18">
        <v>2</v>
      </c>
      <c r="O67" s="126">
        <f>Feb!AC284</f>
        <v>1200</v>
      </c>
      <c r="P67" s="126">
        <f>Feb!AD284</f>
        <v>775</v>
      </c>
      <c r="Q67" s="126">
        <f>Feb!AB284</f>
        <v>2</v>
      </c>
      <c r="R67" s="436"/>
      <c r="S67" s="436"/>
      <c r="T67" s="18"/>
      <c r="U67" s="18"/>
      <c r="V67" s="18">
        <f>O67-T67-U67+V42</f>
        <v>4097</v>
      </c>
      <c r="W67" s="45"/>
      <c r="X67" s="67"/>
    </row>
    <row r="68" spans="1:25" ht="15" customHeight="1">
      <c r="A68" s="427"/>
      <c r="B68" s="122" t="s">
        <v>131</v>
      </c>
      <c r="C68" s="180" t="s">
        <v>194</v>
      </c>
      <c r="D68" s="48" t="s">
        <v>132</v>
      </c>
      <c r="E68" s="441"/>
      <c r="F68" s="118" t="s">
        <v>64</v>
      </c>
      <c r="G68" s="119"/>
      <c r="H68" s="126"/>
      <c r="I68" s="126"/>
      <c r="J68" s="2"/>
      <c r="K68" s="18"/>
      <c r="L68" s="18"/>
      <c r="M68" s="18"/>
      <c r="N68" s="18"/>
      <c r="O68" s="126"/>
      <c r="P68" s="126"/>
      <c r="Q68" s="126">
        <f>Feb!AB286</f>
        <v>1</v>
      </c>
      <c r="R68" s="436"/>
      <c r="S68" s="436"/>
      <c r="T68" s="18"/>
      <c r="U68" s="18"/>
      <c r="V68" s="18"/>
      <c r="W68" s="45"/>
      <c r="X68" s="67"/>
    </row>
    <row r="69" spans="1:25" ht="15" customHeight="1">
      <c r="A69" s="427"/>
      <c r="B69" s="122" t="s">
        <v>101</v>
      </c>
      <c r="C69" s="180" t="s">
        <v>193</v>
      </c>
      <c r="D69" s="48" t="s">
        <v>102</v>
      </c>
      <c r="E69" s="441"/>
      <c r="F69" s="118" t="s">
        <v>64</v>
      </c>
      <c r="G69" s="119"/>
      <c r="H69" s="126"/>
      <c r="I69" s="126"/>
      <c r="J69" s="2"/>
      <c r="K69" s="18"/>
      <c r="L69" s="18"/>
      <c r="M69" s="18"/>
      <c r="N69" s="18"/>
      <c r="O69" s="126"/>
      <c r="P69" s="126"/>
      <c r="Q69" s="126">
        <f>Feb!AB287</f>
        <v>1</v>
      </c>
      <c r="R69" s="436"/>
      <c r="S69" s="436"/>
      <c r="T69" s="18"/>
      <c r="U69" s="18"/>
      <c r="V69" s="18"/>
      <c r="W69" s="45"/>
      <c r="X69" s="67"/>
    </row>
    <row r="70" spans="1:25" ht="15" customHeight="1">
      <c r="A70" s="427"/>
      <c r="B70" s="122" t="s">
        <v>103</v>
      </c>
      <c r="C70" s="157" t="s">
        <v>197</v>
      </c>
      <c r="D70" s="48" t="s">
        <v>104</v>
      </c>
      <c r="E70" s="441"/>
      <c r="F70" s="118" t="s">
        <v>105</v>
      </c>
      <c r="G70" s="119"/>
      <c r="H70" s="126"/>
      <c r="I70" s="126"/>
      <c r="J70" s="2"/>
      <c r="K70" s="18"/>
      <c r="L70" s="18"/>
      <c r="M70" s="18"/>
      <c r="N70" s="18"/>
      <c r="O70" s="126"/>
      <c r="P70" s="126"/>
      <c r="Q70" s="126">
        <f>Feb!AB288</f>
        <v>1</v>
      </c>
      <c r="R70" s="436"/>
      <c r="S70" s="436"/>
      <c r="T70" s="18"/>
      <c r="U70" s="18"/>
      <c r="V70" s="18"/>
      <c r="W70" s="45"/>
      <c r="X70" s="67"/>
    </row>
    <row r="71" spans="1:25" ht="15" customHeight="1">
      <c r="A71" s="427"/>
      <c r="B71" s="137" t="s">
        <v>112</v>
      </c>
      <c r="C71" s="157" t="s">
        <v>197</v>
      </c>
      <c r="D71" s="48" t="s">
        <v>104</v>
      </c>
      <c r="E71" s="441"/>
      <c r="F71" s="118" t="s">
        <v>113</v>
      </c>
      <c r="G71" s="119"/>
      <c r="H71" s="126"/>
      <c r="I71" s="126"/>
      <c r="J71" s="2"/>
      <c r="K71" s="18"/>
      <c r="L71" s="18"/>
      <c r="M71" s="18"/>
      <c r="N71" s="18"/>
      <c r="O71" s="126"/>
      <c r="P71" s="126"/>
      <c r="Q71" s="126">
        <f>Feb!AB291</f>
        <v>1</v>
      </c>
      <c r="R71" s="436"/>
      <c r="S71" s="436"/>
      <c r="T71" s="18"/>
      <c r="U71" s="18"/>
      <c r="V71" s="18"/>
      <c r="W71" s="45"/>
      <c r="X71" s="67"/>
    </row>
    <row r="72" spans="1:25" ht="15" customHeight="1">
      <c r="A72" s="427"/>
      <c r="B72" s="137" t="s">
        <v>106</v>
      </c>
      <c r="C72" s="157" t="s">
        <v>141</v>
      </c>
      <c r="D72" s="48" t="s">
        <v>68</v>
      </c>
      <c r="E72" s="441"/>
      <c r="F72" s="118" t="s">
        <v>67</v>
      </c>
      <c r="G72" s="119"/>
      <c r="H72" s="126"/>
      <c r="I72" s="126"/>
      <c r="J72" s="2"/>
      <c r="K72" s="18"/>
      <c r="L72" s="18"/>
      <c r="M72" s="18"/>
      <c r="N72" s="18"/>
      <c r="O72" s="126"/>
      <c r="P72" s="126"/>
      <c r="Q72" s="126">
        <f>Feb!AB289</f>
        <v>1</v>
      </c>
      <c r="R72" s="436"/>
      <c r="S72" s="436"/>
      <c r="T72" s="18"/>
      <c r="U72" s="18"/>
      <c r="V72" s="18"/>
      <c r="W72" s="45"/>
      <c r="X72" s="67"/>
    </row>
    <row r="73" spans="1:25" ht="15" customHeight="1" thickBot="1">
      <c r="A73" s="428"/>
      <c r="B73" s="44" t="s">
        <v>107</v>
      </c>
      <c r="C73" s="181" t="s">
        <v>195</v>
      </c>
      <c r="D73" s="61" t="s">
        <v>108</v>
      </c>
      <c r="E73" s="447"/>
      <c r="F73" s="133" t="s">
        <v>48</v>
      </c>
      <c r="G73" s="132"/>
      <c r="H73" s="109"/>
      <c r="I73" s="134"/>
      <c r="J73" s="129"/>
      <c r="K73" s="130"/>
      <c r="L73" s="130"/>
      <c r="M73" s="130"/>
      <c r="N73" s="130"/>
      <c r="O73" s="134"/>
      <c r="P73" s="134"/>
      <c r="Q73" s="134">
        <f>Feb!AB290</f>
        <v>1</v>
      </c>
      <c r="R73" s="437"/>
      <c r="S73" s="437"/>
      <c r="T73" s="130"/>
      <c r="U73" s="130"/>
      <c r="V73" s="128"/>
      <c r="W73" s="85"/>
      <c r="X73" s="67"/>
    </row>
    <row r="74" spans="1:25" ht="15" customHeight="1">
      <c r="A74" s="426">
        <v>46058</v>
      </c>
      <c r="B74" s="429" t="s">
        <v>44</v>
      </c>
      <c r="C74" s="485" t="s">
        <v>242</v>
      </c>
      <c r="D74" s="19" t="s">
        <v>37</v>
      </c>
      <c r="E74" s="19" t="s">
        <v>25</v>
      </c>
      <c r="F74" s="39" t="s">
        <v>40</v>
      </c>
      <c r="G74" s="41"/>
      <c r="H74" s="32">
        <v>5744</v>
      </c>
      <c r="I74" s="32"/>
      <c r="J74" s="32"/>
      <c r="K74" s="20"/>
      <c r="L74" s="20"/>
      <c r="M74" s="20">
        <v>24000</v>
      </c>
      <c r="N74" s="84">
        <v>3</v>
      </c>
      <c r="O74" s="32">
        <f>Feb!AF272</f>
        <v>16413</v>
      </c>
      <c r="P74" s="32">
        <f>Feb!AG272</f>
        <v>17837</v>
      </c>
      <c r="Q74" s="32">
        <f>Feb!AE272</f>
        <v>67</v>
      </c>
      <c r="R74" s="435">
        <f>Feb!AF293</f>
        <v>69232</v>
      </c>
      <c r="S74" s="435">
        <f>Feb!AG293</f>
        <v>61274</v>
      </c>
      <c r="T74" s="20">
        <v>22099</v>
      </c>
      <c r="U74" s="20"/>
      <c r="V74" s="20">
        <f>O74-T74-U74+V50</f>
        <v>2806</v>
      </c>
      <c r="W74" s="77"/>
      <c r="X74" s="36"/>
    </row>
    <row r="75" spans="1:25" ht="15" customHeight="1">
      <c r="A75" s="427"/>
      <c r="B75" s="430"/>
      <c r="C75" s="486"/>
      <c r="D75" s="113" t="s">
        <v>69</v>
      </c>
      <c r="E75" s="438" t="s">
        <v>24</v>
      </c>
      <c r="F75" s="118" t="s">
        <v>40</v>
      </c>
      <c r="G75" s="38"/>
      <c r="H75" s="37"/>
      <c r="I75" s="125"/>
      <c r="J75" s="125"/>
      <c r="K75" s="127"/>
      <c r="L75" s="127"/>
      <c r="M75" s="127"/>
      <c r="N75" s="81"/>
      <c r="O75" s="125">
        <f>Feb!AF273</f>
        <v>4890</v>
      </c>
      <c r="P75" s="125">
        <f>Feb!AG273</f>
        <v>2029</v>
      </c>
      <c r="Q75" s="125">
        <f>Feb!AE273</f>
        <v>10</v>
      </c>
      <c r="R75" s="436"/>
      <c r="S75" s="436"/>
      <c r="T75" s="127"/>
      <c r="U75" s="127"/>
      <c r="V75" s="127">
        <f>O75-T75-U75+V51</f>
        <v>7300</v>
      </c>
      <c r="W75" s="46"/>
      <c r="X75" s="67"/>
    </row>
    <row r="76" spans="1:25" ht="15" customHeight="1">
      <c r="A76" s="427"/>
      <c r="B76" s="431"/>
      <c r="C76" s="487"/>
      <c r="D76" s="113" t="s">
        <v>128</v>
      </c>
      <c r="E76" s="431"/>
      <c r="F76" s="114" t="s">
        <v>40</v>
      </c>
      <c r="G76" s="170">
        <v>7106.29</v>
      </c>
      <c r="H76" s="135"/>
      <c r="I76" s="125"/>
      <c r="J76" s="125"/>
      <c r="K76" s="18">
        <v>8000</v>
      </c>
      <c r="L76" s="127">
        <v>1</v>
      </c>
      <c r="M76" s="127">
        <v>270800</v>
      </c>
      <c r="N76" s="81">
        <v>34</v>
      </c>
      <c r="O76" s="126">
        <f>Feb!AF274</f>
        <v>2883</v>
      </c>
      <c r="P76" s="125">
        <f>Feb!AG274</f>
        <v>6700</v>
      </c>
      <c r="Q76" s="125">
        <f>Feb!AE274</f>
        <v>32</v>
      </c>
      <c r="R76" s="436"/>
      <c r="S76" s="436"/>
      <c r="T76" s="127">
        <v>8104</v>
      </c>
      <c r="U76" s="127">
        <v>117</v>
      </c>
      <c r="V76" s="127"/>
      <c r="W76" s="46"/>
      <c r="X76" s="67"/>
    </row>
    <row r="77" spans="1:25" ht="15" customHeight="1">
      <c r="A77" s="427"/>
      <c r="B77" s="442" t="s">
        <v>45</v>
      </c>
      <c r="C77" s="448" t="s">
        <v>59</v>
      </c>
      <c r="D77" s="118" t="s">
        <v>75</v>
      </c>
      <c r="E77" s="131" t="s">
        <v>25</v>
      </c>
      <c r="F77" s="131" t="s">
        <v>57</v>
      </c>
      <c r="G77" s="87"/>
      <c r="H77" s="136"/>
      <c r="I77" s="126"/>
      <c r="J77" s="2"/>
      <c r="K77" s="127">
        <v>5000</v>
      </c>
      <c r="L77" s="18">
        <v>1</v>
      </c>
      <c r="M77" s="18">
        <v>35300</v>
      </c>
      <c r="N77" s="80">
        <v>7</v>
      </c>
      <c r="O77" s="126">
        <f>Feb!AF276</f>
        <v>5983</v>
      </c>
      <c r="P77" s="126">
        <f>Feb!AG276</f>
        <v>3310</v>
      </c>
      <c r="Q77" s="2">
        <f>Feb!AE276</f>
        <v>14</v>
      </c>
      <c r="R77" s="436"/>
      <c r="S77" s="436"/>
      <c r="T77" s="18"/>
      <c r="U77" s="18"/>
      <c r="V77" s="18">
        <f>O77-T77-U77+V53</f>
        <v>47228</v>
      </c>
      <c r="W77" s="46"/>
      <c r="Y77" s="13"/>
    </row>
    <row r="78" spans="1:25">
      <c r="A78" s="427"/>
      <c r="B78" s="439"/>
      <c r="C78" s="440"/>
      <c r="D78" s="118" t="s">
        <v>72</v>
      </c>
      <c r="E78" s="155" t="s">
        <v>24</v>
      </c>
      <c r="F78" s="131" t="s">
        <v>57</v>
      </c>
      <c r="G78" s="87">
        <v>388.25</v>
      </c>
      <c r="H78" s="136"/>
      <c r="I78" s="126"/>
      <c r="J78" s="126"/>
      <c r="K78" s="127"/>
      <c r="L78" s="18"/>
      <c r="M78" s="211">
        <v>5000</v>
      </c>
      <c r="N78" s="215">
        <v>1</v>
      </c>
      <c r="O78" s="126">
        <f>Feb!AF277</f>
        <v>7677</v>
      </c>
      <c r="P78" s="126">
        <f>Feb!AG277</f>
        <v>5651</v>
      </c>
      <c r="Q78" s="126">
        <f>Feb!AE277</f>
        <v>24</v>
      </c>
      <c r="R78" s="436"/>
      <c r="S78" s="436"/>
      <c r="T78" s="18">
        <v>11002</v>
      </c>
      <c r="U78" s="18"/>
      <c r="V78" s="18">
        <f>O78-T78-U78+V55</f>
        <v>4498</v>
      </c>
      <c r="W78" s="46"/>
      <c r="Y78" s="13"/>
    </row>
    <row r="79" spans="1:25">
      <c r="A79" s="427"/>
      <c r="B79" s="439"/>
      <c r="C79" s="440"/>
      <c r="D79" s="115" t="s">
        <v>79</v>
      </c>
      <c r="E79" s="424" t="s">
        <v>65</v>
      </c>
      <c r="F79" s="131" t="s">
        <v>57</v>
      </c>
      <c r="G79" s="136"/>
      <c r="H79" s="152"/>
      <c r="I79" s="126"/>
      <c r="J79" s="126"/>
      <c r="K79" s="127"/>
      <c r="L79" s="18"/>
      <c r="M79" s="18">
        <v>69000</v>
      </c>
      <c r="N79" s="80">
        <v>14</v>
      </c>
      <c r="O79" s="126">
        <f>Feb!AF278</f>
        <v>5687</v>
      </c>
      <c r="P79" s="126">
        <f>Feb!AG278</f>
        <v>6165</v>
      </c>
      <c r="Q79" s="126">
        <f>Feb!AE278</f>
        <v>26</v>
      </c>
      <c r="R79" s="436"/>
      <c r="S79" s="436"/>
      <c r="T79" s="18">
        <v>4800</v>
      </c>
      <c r="U79" s="18"/>
      <c r="V79" s="18">
        <f>O79-T79-U79+V57</f>
        <v>5689</v>
      </c>
      <c r="W79" s="46"/>
      <c r="Y79" s="13"/>
    </row>
    <row r="80" spans="1:25">
      <c r="A80" s="427"/>
      <c r="B80" s="443"/>
      <c r="C80" s="449"/>
      <c r="D80" s="115" t="s">
        <v>80</v>
      </c>
      <c r="E80" s="425"/>
      <c r="F80" s="131"/>
      <c r="G80" s="136"/>
      <c r="H80" s="152">
        <v>1980</v>
      </c>
      <c r="I80" s="126"/>
      <c r="J80" s="126"/>
      <c r="K80" s="127"/>
      <c r="L80" s="18"/>
      <c r="M80" s="18"/>
      <c r="N80" s="80"/>
      <c r="O80" s="126"/>
      <c r="P80" s="126"/>
      <c r="Q80" s="126"/>
      <c r="R80" s="436"/>
      <c r="S80" s="436"/>
      <c r="T80" s="18"/>
      <c r="U80" s="18"/>
      <c r="V80" s="18"/>
      <c r="W80" s="46"/>
      <c r="Y80" s="13"/>
    </row>
    <row r="81" spans="1:24" ht="14.25" customHeight="1">
      <c r="A81" s="427"/>
      <c r="B81" s="137" t="s">
        <v>53</v>
      </c>
      <c r="C81" s="157" t="s">
        <v>60</v>
      </c>
      <c r="D81" s="43" t="s">
        <v>130</v>
      </c>
      <c r="E81" s="115" t="s">
        <v>66</v>
      </c>
      <c r="F81" s="118" t="s">
        <v>54</v>
      </c>
      <c r="G81" s="87">
        <v>3774.51</v>
      </c>
      <c r="H81" s="126"/>
      <c r="I81" s="126"/>
      <c r="J81" s="126"/>
      <c r="K81" s="18">
        <v>17450</v>
      </c>
      <c r="L81" s="18">
        <v>3</v>
      </c>
      <c r="M81" s="18">
        <v>106200</v>
      </c>
      <c r="N81" s="80">
        <v>18</v>
      </c>
      <c r="O81" s="126">
        <f>Feb!AF275</f>
        <v>14555</v>
      </c>
      <c r="P81" s="126">
        <f>Feb!AG275</f>
        <v>10170</v>
      </c>
      <c r="Q81" s="126">
        <f>Feb!AE275</f>
        <v>30</v>
      </c>
      <c r="R81" s="436"/>
      <c r="S81" s="436"/>
      <c r="T81" s="18">
        <v>13727</v>
      </c>
      <c r="U81" s="18"/>
      <c r="V81" s="18">
        <f>O81-T81-U81+V58</f>
        <v>7647</v>
      </c>
      <c r="W81" s="45"/>
      <c r="X81" s="36"/>
    </row>
    <row r="82" spans="1:24" ht="14.25" customHeight="1">
      <c r="A82" s="427"/>
      <c r="B82" s="122" t="s">
        <v>55</v>
      </c>
      <c r="C82" s="180" t="s">
        <v>133</v>
      </c>
      <c r="D82" s="48" t="s">
        <v>56</v>
      </c>
      <c r="E82" s="424" t="s">
        <v>25</v>
      </c>
      <c r="F82" s="118" t="s">
        <v>67</v>
      </c>
      <c r="G82" s="136"/>
      <c r="H82" s="126"/>
      <c r="I82" s="126"/>
      <c r="J82" s="126"/>
      <c r="K82" s="18"/>
      <c r="L82" s="18"/>
      <c r="M82" s="18">
        <v>2800</v>
      </c>
      <c r="N82" s="80">
        <v>1</v>
      </c>
      <c r="O82" s="126"/>
      <c r="P82" s="126"/>
      <c r="Q82" s="126">
        <f>Feb!AE292</f>
        <v>1</v>
      </c>
      <c r="R82" s="436"/>
      <c r="S82" s="436"/>
      <c r="T82" s="18"/>
      <c r="U82" s="18"/>
      <c r="V82" s="18">
        <f>O82-T82-U82+V59</f>
        <v>500</v>
      </c>
      <c r="W82" s="45"/>
      <c r="X82" s="67"/>
    </row>
    <row r="83" spans="1:24" ht="14.25" customHeight="1">
      <c r="A83" s="427"/>
      <c r="B83" s="442" t="s">
        <v>122</v>
      </c>
      <c r="C83" s="444" t="s">
        <v>123</v>
      </c>
      <c r="D83" s="48" t="s">
        <v>56</v>
      </c>
      <c r="E83" s="441"/>
      <c r="F83" s="155" t="s">
        <v>64</v>
      </c>
      <c r="G83" s="136"/>
      <c r="H83" s="126"/>
      <c r="I83" s="126"/>
      <c r="J83" s="126"/>
      <c r="K83" s="18">
        <v>3000</v>
      </c>
      <c r="L83" s="18">
        <v>1</v>
      </c>
      <c r="M83" s="18">
        <v>6400</v>
      </c>
      <c r="N83" s="80">
        <v>2</v>
      </c>
      <c r="O83" s="126">
        <f>Feb!AF282</f>
        <v>1200</v>
      </c>
      <c r="P83" s="126">
        <f>Feb!AG282</f>
        <v>1453</v>
      </c>
      <c r="Q83" s="126">
        <f>Feb!AE282</f>
        <v>4</v>
      </c>
      <c r="R83" s="436"/>
      <c r="S83" s="436"/>
      <c r="T83" s="18"/>
      <c r="U83" s="18"/>
      <c r="V83" s="18">
        <f>O83-T83-U83+V60</f>
        <v>28527</v>
      </c>
      <c r="W83" s="45"/>
      <c r="X83" s="67"/>
    </row>
    <row r="84" spans="1:24" ht="14.25" customHeight="1">
      <c r="A84" s="427"/>
      <c r="B84" s="443"/>
      <c r="C84" s="446"/>
      <c r="D84" s="48" t="s">
        <v>129</v>
      </c>
      <c r="E84" s="441"/>
      <c r="F84" s="155"/>
      <c r="G84" s="136"/>
      <c r="H84" s="158">
        <v>750</v>
      </c>
      <c r="I84" s="158"/>
      <c r="J84" s="158"/>
      <c r="K84" s="128"/>
      <c r="L84" s="128"/>
      <c r="M84" s="128"/>
      <c r="N84" s="164"/>
      <c r="O84" s="158"/>
      <c r="P84" s="158"/>
      <c r="Q84" s="158"/>
      <c r="R84" s="436"/>
      <c r="S84" s="436"/>
      <c r="T84" s="18"/>
      <c r="U84" s="18"/>
      <c r="V84" s="18"/>
      <c r="W84" s="45"/>
      <c r="X84" s="67"/>
    </row>
    <row r="85" spans="1:24" ht="14.25" customHeight="1">
      <c r="A85" s="427"/>
      <c r="B85" s="122" t="s">
        <v>125</v>
      </c>
      <c r="C85" s="180" t="s">
        <v>88</v>
      </c>
      <c r="D85" s="48" t="s">
        <v>124</v>
      </c>
      <c r="E85" s="441"/>
      <c r="F85" s="118" t="s">
        <v>64</v>
      </c>
      <c r="G85" s="37"/>
      <c r="H85" s="126"/>
      <c r="I85" s="126"/>
      <c r="J85" s="126"/>
      <c r="K85" s="18"/>
      <c r="L85" s="18"/>
      <c r="M85" s="18">
        <v>88200</v>
      </c>
      <c r="N85" s="80">
        <v>12</v>
      </c>
      <c r="O85" s="126">
        <f>Feb!AF280</f>
        <v>7481</v>
      </c>
      <c r="P85" s="126">
        <f>Feb!AG280</f>
        <v>3043</v>
      </c>
      <c r="Q85" s="126">
        <f>Feb!AE280</f>
        <v>14</v>
      </c>
      <c r="R85" s="436"/>
      <c r="S85" s="436"/>
      <c r="T85" s="18"/>
      <c r="U85" s="18"/>
      <c r="V85" s="18">
        <f>O85-T85-U85+V61</f>
        <v>9481</v>
      </c>
      <c r="W85" s="45"/>
      <c r="X85" s="67"/>
    </row>
    <row r="86" spans="1:24" ht="13.5" customHeight="1">
      <c r="A86" s="427"/>
      <c r="B86" s="442" t="s">
        <v>58</v>
      </c>
      <c r="C86" s="444" t="s">
        <v>136</v>
      </c>
      <c r="D86" s="48" t="s">
        <v>56</v>
      </c>
      <c r="E86" s="441"/>
      <c r="F86" s="118" t="s">
        <v>67</v>
      </c>
      <c r="G86" s="119"/>
      <c r="H86" s="126"/>
      <c r="I86" s="126"/>
      <c r="J86" s="2"/>
      <c r="K86" s="18"/>
      <c r="L86" s="18"/>
      <c r="M86" s="18"/>
      <c r="N86" s="18"/>
      <c r="O86" s="126"/>
      <c r="P86" s="126"/>
      <c r="Q86" s="126"/>
      <c r="R86" s="436"/>
      <c r="S86" s="436"/>
      <c r="T86" s="18"/>
      <c r="U86" s="18"/>
      <c r="V86" s="18">
        <f>O86-T86-U86+V62</f>
        <v>43</v>
      </c>
      <c r="W86" s="45"/>
      <c r="X86" s="67"/>
    </row>
    <row r="87" spans="1:24" ht="15.75" customHeight="1">
      <c r="A87" s="427"/>
      <c r="B87" s="439"/>
      <c r="C87" s="445"/>
      <c r="D87" s="48" t="s">
        <v>56</v>
      </c>
      <c r="E87" s="441"/>
      <c r="F87" s="118" t="s">
        <v>140</v>
      </c>
      <c r="G87" s="119"/>
      <c r="H87" s="126"/>
      <c r="I87" s="126"/>
      <c r="J87" s="2"/>
      <c r="K87" s="18"/>
      <c r="L87" s="18"/>
      <c r="M87" s="18"/>
      <c r="N87" s="18"/>
      <c r="O87" s="126">
        <f>Feb!AF283</f>
        <v>1360</v>
      </c>
      <c r="P87" s="126">
        <f>Feb!AG283</f>
        <v>812</v>
      </c>
      <c r="Q87" s="126">
        <f>Feb!AE283</f>
        <v>3</v>
      </c>
      <c r="R87" s="436"/>
      <c r="S87" s="436"/>
      <c r="T87" s="18"/>
      <c r="U87" s="18"/>
      <c r="V87" s="18">
        <f>O87-T87-U87+V63</f>
        <v>7148</v>
      </c>
      <c r="W87" s="45"/>
      <c r="X87" s="67"/>
    </row>
    <row r="88" spans="1:24" ht="15" customHeight="1">
      <c r="A88" s="427"/>
      <c r="B88" s="137" t="s">
        <v>47</v>
      </c>
      <c r="C88" s="157" t="s">
        <v>100</v>
      </c>
      <c r="D88" s="48" t="s">
        <v>99</v>
      </c>
      <c r="E88" s="441"/>
      <c r="F88" s="118" t="s">
        <v>71</v>
      </c>
      <c r="G88" s="119"/>
      <c r="H88" s="126"/>
      <c r="I88" s="126"/>
      <c r="J88" s="2"/>
      <c r="K88" s="18"/>
      <c r="L88" s="18"/>
      <c r="M88" s="18">
        <v>36000</v>
      </c>
      <c r="N88" s="18">
        <v>6</v>
      </c>
      <c r="O88" s="126"/>
      <c r="P88" s="126">
        <f>Feb!AG281</f>
        <v>2097</v>
      </c>
      <c r="Q88" s="126">
        <f>Feb!AE281</f>
        <v>8</v>
      </c>
      <c r="R88" s="436"/>
      <c r="S88" s="436"/>
      <c r="T88" s="18"/>
      <c r="U88" s="18"/>
      <c r="V88" s="18">
        <f>O88-T88-U88+V64</f>
        <v>34181</v>
      </c>
      <c r="W88" s="45"/>
      <c r="X88" s="67"/>
    </row>
    <row r="89" spans="1:24" ht="15" customHeight="1">
      <c r="A89" s="427"/>
      <c r="B89" s="122" t="s">
        <v>196</v>
      </c>
      <c r="C89" s="180" t="s">
        <v>63</v>
      </c>
      <c r="D89" s="48" t="s">
        <v>135</v>
      </c>
      <c r="E89" s="441"/>
      <c r="F89" s="118" t="s">
        <v>64</v>
      </c>
      <c r="G89" s="119"/>
      <c r="H89" s="126"/>
      <c r="I89" s="126"/>
      <c r="J89" s="2"/>
      <c r="K89" s="18"/>
      <c r="L89" s="18"/>
      <c r="M89" s="18"/>
      <c r="N89" s="18"/>
      <c r="O89" s="126"/>
      <c r="P89" s="126">
        <f>Feb!AG285</f>
        <v>1383</v>
      </c>
      <c r="Q89" s="126">
        <f>Feb!AE285</f>
        <v>5</v>
      </c>
      <c r="R89" s="436"/>
      <c r="S89" s="436"/>
      <c r="T89" s="18">
        <v>9819</v>
      </c>
      <c r="U89" s="18"/>
      <c r="V89" s="18">
        <f>O89-T89-U89+V66</f>
        <v>1252</v>
      </c>
      <c r="W89" s="45"/>
      <c r="X89" s="67"/>
    </row>
    <row r="90" spans="1:24" ht="15" customHeight="1">
      <c r="A90" s="427"/>
      <c r="B90" s="122" t="s">
        <v>61</v>
      </c>
      <c r="C90" s="180" t="s">
        <v>137</v>
      </c>
      <c r="D90" s="48" t="s">
        <v>56</v>
      </c>
      <c r="E90" s="441"/>
      <c r="F90" s="118" t="s">
        <v>67</v>
      </c>
      <c r="G90" s="119"/>
      <c r="H90" s="126"/>
      <c r="I90" s="126"/>
      <c r="J90" s="2"/>
      <c r="K90" s="18"/>
      <c r="L90" s="18"/>
      <c r="M90" s="18">
        <v>6000</v>
      </c>
      <c r="N90" s="18">
        <v>2</v>
      </c>
      <c r="O90" s="126">
        <f>Feb!AF284</f>
        <v>1103</v>
      </c>
      <c r="P90" s="126">
        <f>Feb!AG284</f>
        <v>624</v>
      </c>
      <c r="Q90" s="126">
        <f>Feb!AE284</f>
        <v>2</v>
      </c>
      <c r="R90" s="436"/>
      <c r="S90" s="436"/>
      <c r="T90" s="18"/>
      <c r="U90" s="18"/>
      <c r="V90" s="18">
        <f>O90-T90-U90+V67</f>
        <v>5200</v>
      </c>
      <c r="W90" s="45"/>
      <c r="X90" s="67"/>
    </row>
    <row r="91" spans="1:24" ht="15" customHeight="1">
      <c r="A91" s="427"/>
      <c r="B91" s="122" t="s">
        <v>131</v>
      </c>
      <c r="C91" s="180" t="s">
        <v>194</v>
      </c>
      <c r="D91" s="48" t="s">
        <v>132</v>
      </c>
      <c r="E91" s="441"/>
      <c r="F91" s="118" t="s">
        <v>64</v>
      </c>
      <c r="G91" s="119"/>
      <c r="H91" s="126"/>
      <c r="I91" s="126"/>
      <c r="J91" s="2"/>
      <c r="K91" s="18"/>
      <c r="L91" s="18"/>
      <c r="M91" s="18"/>
      <c r="N91" s="18"/>
      <c r="O91" s="126"/>
      <c r="P91" s="126"/>
      <c r="Q91" s="126">
        <f>Feb!AE286</f>
        <v>1</v>
      </c>
      <c r="R91" s="436"/>
      <c r="S91" s="436"/>
      <c r="T91" s="18"/>
      <c r="U91" s="18"/>
      <c r="V91" s="18"/>
      <c r="W91" s="45"/>
      <c r="X91" s="67"/>
    </row>
    <row r="92" spans="1:24" ht="15" customHeight="1">
      <c r="A92" s="427"/>
      <c r="B92" s="122" t="s">
        <v>101</v>
      </c>
      <c r="C92" s="180" t="s">
        <v>193</v>
      </c>
      <c r="D92" s="48" t="s">
        <v>102</v>
      </c>
      <c r="E92" s="441"/>
      <c r="F92" s="118" t="s">
        <v>64</v>
      </c>
      <c r="G92" s="119"/>
      <c r="H92" s="126"/>
      <c r="I92" s="126"/>
      <c r="J92" s="2"/>
      <c r="K92" s="18"/>
      <c r="L92" s="18"/>
      <c r="M92" s="18"/>
      <c r="N92" s="18"/>
      <c r="O92" s="126"/>
      <c r="P92" s="126"/>
      <c r="Q92" s="126">
        <f>Feb!AE287</f>
        <v>1</v>
      </c>
      <c r="R92" s="436"/>
      <c r="S92" s="436"/>
      <c r="T92" s="18"/>
      <c r="U92" s="18"/>
      <c r="V92" s="18"/>
      <c r="W92" s="45"/>
      <c r="X92" s="67"/>
    </row>
    <row r="93" spans="1:24" ht="15" customHeight="1">
      <c r="A93" s="427"/>
      <c r="B93" s="122" t="s">
        <v>103</v>
      </c>
      <c r="C93" s="157" t="s">
        <v>197</v>
      </c>
      <c r="D93" s="48" t="s">
        <v>104</v>
      </c>
      <c r="E93" s="441"/>
      <c r="F93" s="118" t="s">
        <v>105</v>
      </c>
      <c r="G93" s="119"/>
      <c r="H93" s="126"/>
      <c r="I93" s="126"/>
      <c r="J93" s="2"/>
      <c r="K93" s="18"/>
      <c r="L93" s="18"/>
      <c r="M93" s="18"/>
      <c r="N93" s="18"/>
      <c r="O93" s="126"/>
      <c r="P93" s="126"/>
      <c r="Q93" s="126">
        <f>Feb!AE288</f>
        <v>1</v>
      </c>
      <c r="R93" s="436"/>
      <c r="S93" s="436"/>
      <c r="T93" s="18"/>
      <c r="U93" s="18"/>
      <c r="V93" s="18"/>
      <c r="W93" s="45"/>
      <c r="X93" s="67"/>
    </row>
    <row r="94" spans="1:24" ht="15" customHeight="1">
      <c r="A94" s="427"/>
      <c r="B94" s="137" t="s">
        <v>112</v>
      </c>
      <c r="C94" s="157" t="s">
        <v>197</v>
      </c>
      <c r="D94" s="48" t="s">
        <v>104</v>
      </c>
      <c r="E94" s="441"/>
      <c r="F94" s="118" t="s">
        <v>113</v>
      </c>
      <c r="G94" s="119"/>
      <c r="H94" s="126"/>
      <c r="I94" s="126"/>
      <c r="J94" s="2"/>
      <c r="K94" s="18"/>
      <c r="L94" s="18"/>
      <c r="M94" s="18"/>
      <c r="N94" s="18"/>
      <c r="O94" s="126"/>
      <c r="P94" s="126"/>
      <c r="Q94" s="126">
        <f>Feb!AE291</f>
        <v>1</v>
      </c>
      <c r="R94" s="436"/>
      <c r="S94" s="436"/>
      <c r="T94" s="18"/>
      <c r="U94" s="18"/>
      <c r="V94" s="18"/>
      <c r="W94" s="45"/>
      <c r="X94" s="67"/>
    </row>
    <row r="95" spans="1:24" ht="15" customHeight="1">
      <c r="A95" s="427"/>
      <c r="B95" s="137" t="s">
        <v>106</v>
      </c>
      <c r="C95" s="157" t="s">
        <v>141</v>
      </c>
      <c r="D95" s="48" t="s">
        <v>68</v>
      </c>
      <c r="E95" s="441"/>
      <c r="F95" s="118" t="s">
        <v>67</v>
      </c>
      <c r="G95" s="119"/>
      <c r="H95" s="126"/>
      <c r="I95" s="126"/>
      <c r="J95" s="2"/>
      <c r="K95" s="18"/>
      <c r="L95" s="18"/>
      <c r="M95" s="18"/>
      <c r="N95" s="18"/>
      <c r="O95" s="126"/>
      <c r="P95" s="126"/>
      <c r="Q95" s="126">
        <f>Feb!AE289</f>
        <v>1</v>
      </c>
      <c r="R95" s="436"/>
      <c r="S95" s="436"/>
      <c r="T95" s="18"/>
      <c r="U95" s="18"/>
      <c r="V95" s="18"/>
      <c r="W95" s="45"/>
      <c r="X95" s="67"/>
    </row>
    <row r="96" spans="1:24" ht="15" customHeight="1" thickBot="1">
      <c r="A96" s="428"/>
      <c r="B96" s="44" t="s">
        <v>107</v>
      </c>
      <c r="C96" s="181" t="s">
        <v>195</v>
      </c>
      <c r="D96" s="61" t="s">
        <v>108</v>
      </c>
      <c r="E96" s="447"/>
      <c r="F96" s="133" t="s">
        <v>48</v>
      </c>
      <c r="G96" s="132"/>
      <c r="H96" s="109"/>
      <c r="I96" s="134"/>
      <c r="J96" s="129"/>
      <c r="K96" s="130"/>
      <c r="L96" s="130"/>
      <c r="M96" s="130"/>
      <c r="N96" s="130"/>
      <c r="O96" s="134"/>
      <c r="P96" s="134"/>
      <c r="Q96" s="134">
        <f>Feb!AE290</f>
        <v>1</v>
      </c>
      <c r="R96" s="437"/>
      <c r="S96" s="437"/>
      <c r="T96" s="130"/>
      <c r="U96" s="130"/>
      <c r="V96" s="128"/>
      <c r="W96" s="85"/>
      <c r="X96" s="67"/>
    </row>
    <row r="97" spans="1:25" ht="15" customHeight="1">
      <c r="A97" s="426">
        <v>46059</v>
      </c>
      <c r="B97" s="429" t="s">
        <v>44</v>
      </c>
      <c r="C97" s="432" t="s">
        <v>240</v>
      </c>
      <c r="D97" s="19" t="s">
        <v>37</v>
      </c>
      <c r="E97" s="19" t="s">
        <v>25</v>
      </c>
      <c r="F97" s="39" t="s">
        <v>40</v>
      </c>
      <c r="G97" s="41"/>
      <c r="H97" s="32"/>
      <c r="I97" s="32"/>
      <c r="J97" s="474">
        <v>21.4</v>
      </c>
      <c r="K97" s="20">
        <v>8000</v>
      </c>
      <c r="L97" s="20">
        <v>1</v>
      </c>
      <c r="M97" s="20">
        <v>16000</v>
      </c>
      <c r="N97" s="84">
        <v>2</v>
      </c>
      <c r="O97" s="32">
        <f>Feb!AI272</f>
        <v>23176</v>
      </c>
      <c r="P97" s="32">
        <f>Feb!AJ272</f>
        <v>20329</v>
      </c>
      <c r="Q97" s="32">
        <f>Feb!AH272</f>
        <v>68</v>
      </c>
      <c r="R97" s="435">
        <f>Feb!AI293</f>
        <v>63185</v>
      </c>
      <c r="S97" s="435">
        <f>Feb!AJ293</f>
        <v>66574</v>
      </c>
      <c r="T97" s="20">
        <v>18139</v>
      </c>
      <c r="U97" s="20">
        <v>15</v>
      </c>
      <c r="V97" s="20">
        <f>O97-T97-U97+V74</f>
        <v>7828</v>
      </c>
      <c r="W97" s="77"/>
      <c r="X97" s="36"/>
    </row>
    <row r="98" spans="1:25" ht="15" customHeight="1">
      <c r="A98" s="427"/>
      <c r="B98" s="430"/>
      <c r="C98" s="433"/>
      <c r="D98" s="113" t="s">
        <v>69</v>
      </c>
      <c r="E98" s="438" t="s">
        <v>24</v>
      </c>
      <c r="F98" s="118" t="s">
        <v>40</v>
      </c>
      <c r="G98" s="38"/>
      <c r="H98" s="37"/>
      <c r="I98" s="125"/>
      <c r="J98" s="475"/>
      <c r="K98" s="127"/>
      <c r="L98" s="127"/>
      <c r="M98" s="127"/>
      <c r="N98" s="81"/>
      <c r="O98" s="125">
        <f>Feb!AI273</f>
        <v>343</v>
      </c>
      <c r="P98" s="125">
        <f>Feb!AJ273</f>
        <v>2404</v>
      </c>
      <c r="Q98" s="125">
        <f>Feb!AH273</f>
        <v>8</v>
      </c>
      <c r="R98" s="436"/>
      <c r="S98" s="436"/>
      <c r="T98" s="127"/>
      <c r="U98" s="127"/>
      <c r="V98" s="127">
        <f>O98-T98-U98+V75</f>
        <v>7643</v>
      </c>
      <c r="W98" s="46"/>
      <c r="X98" s="67"/>
    </row>
    <row r="99" spans="1:25" ht="15" customHeight="1">
      <c r="A99" s="427"/>
      <c r="B99" s="431"/>
      <c r="C99" s="434"/>
      <c r="D99" s="113" t="s">
        <v>128</v>
      </c>
      <c r="E99" s="431"/>
      <c r="F99" s="114" t="s">
        <v>40</v>
      </c>
      <c r="G99" s="135"/>
      <c r="H99" s="135">
        <v>3037.5</v>
      </c>
      <c r="I99" s="125"/>
      <c r="J99" s="475"/>
      <c r="K99" s="18">
        <v>8000</v>
      </c>
      <c r="L99" s="127">
        <v>1</v>
      </c>
      <c r="M99" s="127">
        <v>262800</v>
      </c>
      <c r="N99" s="81">
        <v>33</v>
      </c>
      <c r="O99" s="126">
        <f>Feb!AI274</f>
        <v>8652</v>
      </c>
      <c r="P99" s="125">
        <f>Feb!AJ274</f>
        <v>10450</v>
      </c>
      <c r="Q99" s="125">
        <f>Feb!AH274</f>
        <v>33</v>
      </c>
      <c r="R99" s="436"/>
      <c r="S99" s="436"/>
      <c r="T99" s="127"/>
      <c r="U99" s="127"/>
      <c r="V99" s="127">
        <f>O99-T99-U99+V76</f>
        <v>8652</v>
      </c>
      <c r="W99" s="46"/>
      <c r="X99" s="67"/>
    </row>
    <row r="100" spans="1:25" ht="15" customHeight="1">
      <c r="A100" s="427"/>
      <c r="B100" s="439" t="s">
        <v>45</v>
      </c>
      <c r="C100" s="440" t="s">
        <v>59</v>
      </c>
      <c r="D100" s="118" t="s">
        <v>75</v>
      </c>
      <c r="E100" s="131" t="s">
        <v>25</v>
      </c>
      <c r="F100" s="131" t="s">
        <v>57</v>
      </c>
      <c r="G100" s="87"/>
      <c r="H100" s="136"/>
      <c r="I100" s="126"/>
      <c r="J100" s="475"/>
      <c r="K100" s="127"/>
      <c r="L100" s="18"/>
      <c r="M100" s="18">
        <v>35300</v>
      </c>
      <c r="N100" s="80">
        <v>7</v>
      </c>
      <c r="O100" s="126">
        <f>Feb!AI276</f>
        <v>1100</v>
      </c>
      <c r="P100" s="126">
        <f>Feb!AJ276</f>
        <v>3237</v>
      </c>
      <c r="Q100" s="2">
        <f>Feb!AH276</f>
        <v>13</v>
      </c>
      <c r="R100" s="436"/>
      <c r="S100" s="436"/>
      <c r="T100" s="18"/>
      <c r="U100" s="18"/>
      <c r="V100" s="18">
        <f>O100-T100-U100+V77</f>
        <v>48328</v>
      </c>
      <c r="W100" s="46"/>
      <c r="Y100" s="13"/>
    </row>
    <row r="101" spans="1:25">
      <c r="A101" s="427"/>
      <c r="B101" s="439"/>
      <c r="C101" s="440"/>
      <c r="D101" s="118" t="s">
        <v>72</v>
      </c>
      <c r="E101" s="424" t="s">
        <v>24</v>
      </c>
      <c r="F101" s="131" t="s">
        <v>57</v>
      </c>
      <c r="G101" s="87">
        <v>3494.25</v>
      </c>
      <c r="H101" s="136"/>
      <c r="I101" s="126"/>
      <c r="J101" s="475"/>
      <c r="K101" s="216">
        <v>10000</v>
      </c>
      <c r="L101" s="211">
        <v>2</v>
      </c>
      <c r="M101" s="211">
        <v>40000</v>
      </c>
      <c r="N101" s="215">
        <v>8</v>
      </c>
      <c r="O101" s="126">
        <f>Feb!AI277</f>
        <v>5510</v>
      </c>
      <c r="P101" s="126">
        <f>Feb!AJ277</f>
        <v>5901</v>
      </c>
      <c r="Q101" s="126">
        <f>Feb!AH277</f>
        <v>25</v>
      </c>
      <c r="R101" s="436"/>
      <c r="S101" s="436"/>
      <c r="T101" s="18">
        <v>4582</v>
      </c>
      <c r="U101" s="18">
        <v>6</v>
      </c>
      <c r="V101" s="18">
        <f>O101-T101-U101+V78</f>
        <v>5420</v>
      </c>
      <c r="W101" s="46"/>
      <c r="Y101" s="13"/>
    </row>
    <row r="102" spans="1:25">
      <c r="A102" s="427"/>
      <c r="B102" s="439"/>
      <c r="C102" s="440"/>
      <c r="D102" s="115" t="s">
        <v>73</v>
      </c>
      <c r="E102" s="425"/>
      <c r="F102" s="131"/>
      <c r="G102" s="136"/>
      <c r="H102" s="136"/>
      <c r="I102" s="126"/>
      <c r="J102" s="475"/>
      <c r="K102" s="127"/>
      <c r="L102" s="18"/>
      <c r="M102" s="18"/>
      <c r="N102" s="80"/>
      <c r="O102" s="126"/>
      <c r="P102" s="126"/>
      <c r="Q102" s="126"/>
      <c r="R102" s="436"/>
      <c r="S102" s="436"/>
      <c r="T102" s="18"/>
      <c r="U102" s="18"/>
      <c r="V102" s="18"/>
      <c r="W102" s="46"/>
      <c r="Y102" s="13"/>
    </row>
    <row r="103" spans="1:25">
      <c r="A103" s="427"/>
      <c r="B103" s="439"/>
      <c r="C103" s="440"/>
      <c r="D103" s="115" t="s">
        <v>79</v>
      </c>
      <c r="E103" s="118" t="s">
        <v>65</v>
      </c>
      <c r="F103" s="131" t="s">
        <v>57</v>
      </c>
      <c r="G103" s="136"/>
      <c r="H103" s="136"/>
      <c r="I103" s="126"/>
      <c r="J103" s="475"/>
      <c r="K103" s="127">
        <v>10000</v>
      </c>
      <c r="L103" s="18">
        <v>2</v>
      </c>
      <c r="M103" s="18">
        <v>59000</v>
      </c>
      <c r="N103" s="80">
        <v>12</v>
      </c>
      <c r="O103" s="126">
        <f>Feb!AI278</f>
        <v>7381</v>
      </c>
      <c r="P103" s="126">
        <f>Feb!AJ278</f>
        <v>6787</v>
      </c>
      <c r="Q103" s="126">
        <f>Feb!AH278</f>
        <v>28</v>
      </c>
      <c r="R103" s="436"/>
      <c r="S103" s="436"/>
      <c r="T103" s="18">
        <v>10298</v>
      </c>
      <c r="U103" s="18"/>
      <c r="V103" s="18">
        <f>O103-T103-U103+V79</f>
        <v>2772</v>
      </c>
      <c r="W103" s="46"/>
      <c r="Y103" s="13"/>
    </row>
    <row r="104" spans="1:25" ht="14.25" customHeight="1">
      <c r="A104" s="427"/>
      <c r="B104" s="442" t="s">
        <v>53</v>
      </c>
      <c r="C104" s="444" t="s">
        <v>60</v>
      </c>
      <c r="D104" s="43" t="s">
        <v>130</v>
      </c>
      <c r="E104" s="115" t="s">
        <v>66</v>
      </c>
      <c r="F104" s="118" t="s">
        <v>54</v>
      </c>
      <c r="G104" s="136"/>
      <c r="H104" s="37"/>
      <c r="I104" s="126"/>
      <c r="J104" s="475"/>
      <c r="K104" s="18">
        <v>5900</v>
      </c>
      <c r="L104" s="18">
        <v>1</v>
      </c>
      <c r="M104" s="18">
        <v>100300</v>
      </c>
      <c r="N104" s="80">
        <v>17</v>
      </c>
      <c r="O104" s="126">
        <f>Feb!AI275</f>
        <v>7975</v>
      </c>
      <c r="P104" s="126">
        <f>Feb!AJ275</f>
        <v>9067</v>
      </c>
      <c r="Q104" s="126">
        <f>Feb!AH275</f>
        <v>30</v>
      </c>
      <c r="R104" s="436"/>
      <c r="S104" s="436"/>
      <c r="T104" s="18">
        <v>14419</v>
      </c>
      <c r="U104" s="18">
        <v>2</v>
      </c>
      <c r="V104" s="18">
        <f>O104-T104-U104+V81</f>
        <v>1201</v>
      </c>
      <c r="W104" s="45"/>
      <c r="X104" s="36"/>
    </row>
    <row r="105" spans="1:25" ht="14.25" customHeight="1">
      <c r="A105" s="427"/>
      <c r="B105" s="443"/>
      <c r="C105" s="446"/>
      <c r="D105" s="43" t="s">
        <v>96</v>
      </c>
      <c r="E105" s="114" t="s">
        <v>65</v>
      </c>
      <c r="F105" s="118"/>
      <c r="G105" s="136"/>
      <c r="H105" s="126">
        <v>612</v>
      </c>
      <c r="I105" s="126"/>
      <c r="J105" s="475"/>
      <c r="K105" s="18"/>
      <c r="L105" s="18"/>
      <c r="M105" s="18"/>
      <c r="N105" s="80"/>
      <c r="O105" s="126"/>
      <c r="P105" s="126"/>
      <c r="Q105" s="126"/>
      <c r="R105" s="436"/>
      <c r="S105" s="436"/>
      <c r="T105" s="18"/>
      <c r="U105" s="18"/>
      <c r="V105" s="18"/>
      <c r="W105" s="45"/>
      <c r="X105" s="67"/>
    </row>
    <row r="106" spans="1:25" ht="14.25" customHeight="1">
      <c r="A106" s="427"/>
      <c r="B106" s="122" t="s">
        <v>55</v>
      </c>
      <c r="C106" s="180" t="s">
        <v>133</v>
      </c>
      <c r="D106" s="48" t="s">
        <v>56</v>
      </c>
      <c r="E106" s="424" t="s">
        <v>25</v>
      </c>
      <c r="F106" s="118" t="s">
        <v>67</v>
      </c>
      <c r="G106" s="136"/>
      <c r="H106" s="37"/>
      <c r="I106" s="126"/>
      <c r="J106" s="475"/>
      <c r="K106" s="18"/>
      <c r="L106" s="18"/>
      <c r="M106" s="211"/>
      <c r="N106" s="215"/>
      <c r="O106" s="126"/>
      <c r="P106" s="126"/>
      <c r="Q106" s="126">
        <f>Feb!AH292</f>
        <v>1</v>
      </c>
      <c r="R106" s="436"/>
      <c r="S106" s="436"/>
      <c r="T106" s="18"/>
      <c r="U106" s="18"/>
      <c r="V106" s="18">
        <f>O106-T106-U106+V82</f>
        <v>500</v>
      </c>
      <c r="W106" s="45"/>
      <c r="X106" s="67"/>
    </row>
    <row r="107" spans="1:25" ht="14.25" customHeight="1">
      <c r="A107" s="427"/>
      <c r="B107" s="122" t="s">
        <v>122</v>
      </c>
      <c r="C107" s="180" t="s">
        <v>123</v>
      </c>
      <c r="D107" s="48" t="s">
        <v>56</v>
      </c>
      <c r="E107" s="441"/>
      <c r="F107" s="155" t="s">
        <v>64</v>
      </c>
      <c r="G107" s="136"/>
      <c r="H107" s="135"/>
      <c r="I107" s="158"/>
      <c r="J107" s="475"/>
      <c r="K107" s="128"/>
      <c r="L107" s="128"/>
      <c r="M107" s="18">
        <v>6400</v>
      </c>
      <c r="N107" s="164">
        <v>2</v>
      </c>
      <c r="O107" s="158">
        <f>Feb!AI282</f>
        <v>1401</v>
      </c>
      <c r="P107" s="158">
        <f>Feb!AJ282</f>
        <v>1298</v>
      </c>
      <c r="Q107" s="158">
        <f>Feb!AH282</f>
        <v>4</v>
      </c>
      <c r="R107" s="436"/>
      <c r="S107" s="436"/>
      <c r="T107" s="18"/>
      <c r="U107" s="18"/>
      <c r="V107" s="18">
        <f>O107-T107-U107+V83</f>
        <v>29928</v>
      </c>
      <c r="W107" s="45"/>
      <c r="X107" s="67"/>
    </row>
    <row r="108" spans="1:25" ht="14.25" customHeight="1">
      <c r="A108" s="427"/>
      <c r="B108" s="122" t="s">
        <v>125</v>
      </c>
      <c r="C108" s="180" t="s">
        <v>88</v>
      </c>
      <c r="D108" s="48" t="s">
        <v>124</v>
      </c>
      <c r="E108" s="441"/>
      <c r="F108" s="118" t="s">
        <v>64</v>
      </c>
      <c r="G108" s="37"/>
      <c r="H108" s="126"/>
      <c r="I108" s="126"/>
      <c r="J108" s="475"/>
      <c r="K108" s="18"/>
      <c r="L108" s="18"/>
      <c r="M108" s="18">
        <v>88200</v>
      </c>
      <c r="N108" s="80">
        <v>12</v>
      </c>
      <c r="O108" s="126">
        <f>Feb!AI280</f>
        <v>3526</v>
      </c>
      <c r="P108" s="126">
        <f>Feb!AJ280</f>
        <v>2893</v>
      </c>
      <c r="Q108" s="126">
        <f>Feb!AH280</f>
        <v>14</v>
      </c>
      <c r="R108" s="436"/>
      <c r="S108" s="436"/>
      <c r="T108" s="18"/>
      <c r="U108" s="18"/>
      <c r="V108" s="18">
        <f>O108-T108-U108+V85</f>
        <v>13007</v>
      </c>
      <c r="W108" s="45"/>
      <c r="X108" s="67"/>
    </row>
    <row r="109" spans="1:25" ht="13.5" customHeight="1">
      <c r="A109" s="427"/>
      <c r="B109" s="442" t="s">
        <v>58</v>
      </c>
      <c r="C109" s="444" t="s">
        <v>136</v>
      </c>
      <c r="D109" s="48" t="s">
        <v>56</v>
      </c>
      <c r="E109" s="441"/>
      <c r="F109" s="118" t="s">
        <v>67</v>
      </c>
      <c r="G109" s="119"/>
      <c r="H109" s="126"/>
      <c r="I109" s="126"/>
      <c r="J109" s="475"/>
      <c r="K109" s="18"/>
      <c r="L109" s="18"/>
      <c r="M109" s="18"/>
      <c r="N109" s="18"/>
      <c r="O109" s="126"/>
      <c r="P109" s="126"/>
      <c r="Q109" s="126"/>
      <c r="R109" s="436"/>
      <c r="S109" s="436"/>
      <c r="T109" s="18"/>
      <c r="U109" s="18"/>
      <c r="V109" s="18">
        <f>O109-T109-U109+V86</f>
        <v>43</v>
      </c>
      <c r="W109" s="45"/>
      <c r="X109" s="67"/>
    </row>
    <row r="110" spans="1:25" ht="15.75" customHeight="1">
      <c r="A110" s="427"/>
      <c r="B110" s="439"/>
      <c r="C110" s="445"/>
      <c r="D110" s="48" t="s">
        <v>56</v>
      </c>
      <c r="E110" s="441"/>
      <c r="F110" s="118" t="s">
        <v>140</v>
      </c>
      <c r="G110" s="119"/>
      <c r="H110" s="126"/>
      <c r="I110" s="126"/>
      <c r="J110" s="475"/>
      <c r="K110" s="18"/>
      <c r="L110" s="18"/>
      <c r="M110" s="18"/>
      <c r="N110" s="18"/>
      <c r="O110" s="126">
        <f>Feb!AI283</f>
        <v>89</v>
      </c>
      <c r="P110" s="126">
        <f>Feb!AJ283</f>
        <v>708</v>
      </c>
      <c r="Q110" s="126">
        <f>Feb!AH283</f>
        <v>3</v>
      </c>
      <c r="R110" s="436"/>
      <c r="S110" s="436"/>
      <c r="T110" s="18"/>
      <c r="U110" s="18"/>
      <c r="V110" s="18">
        <f>O110-T110-U110+V87</f>
        <v>7237</v>
      </c>
      <c r="W110" s="45"/>
      <c r="X110" s="67"/>
    </row>
    <row r="111" spans="1:25" ht="15.75" customHeight="1">
      <c r="A111" s="427"/>
      <c r="B111" s="443"/>
      <c r="C111" s="446"/>
      <c r="D111" s="48" t="s">
        <v>92</v>
      </c>
      <c r="E111" s="441"/>
      <c r="F111" s="118"/>
      <c r="G111" s="119"/>
      <c r="H111" s="38">
        <v>443.75</v>
      </c>
      <c r="I111" s="126"/>
      <c r="J111" s="475"/>
      <c r="K111" s="18"/>
      <c r="L111" s="18"/>
      <c r="M111" s="18"/>
      <c r="N111" s="18"/>
      <c r="O111" s="126"/>
      <c r="P111" s="126"/>
      <c r="Q111" s="126"/>
      <c r="R111" s="436"/>
      <c r="S111" s="436"/>
      <c r="T111" s="18"/>
      <c r="U111" s="18"/>
      <c r="V111" s="18"/>
      <c r="W111" s="45"/>
      <c r="X111" s="67"/>
    </row>
    <row r="112" spans="1:25" ht="15" customHeight="1">
      <c r="A112" s="427"/>
      <c r="B112" s="137" t="s">
        <v>47</v>
      </c>
      <c r="C112" s="157" t="s">
        <v>100</v>
      </c>
      <c r="D112" s="48" t="s">
        <v>99</v>
      </c>
      <c r="E112" s="441"/>
      <c r="F112" s="118" t="s">
        <v>71</v>
      </c>
      <c r="G112" s="119"/>
      <c r="H112" s="126"/>
      <c r="I112" s="126"/>
      <c r="J112" s="475"/>
      <c r="K112" s="18">
        <v>6000</v>
      </c>
      <c r="L112" s="18">
        <v>1</v>
      </c>
      <c r="M112" s="18">
        <v>30000</v>
      </c>
      <c r="N112" s="18">
        <v>5</v>
      </c>
      <c r="O112" s="126">
        <f>Feb!AI281</f>
        <v>3725</v>
      </c>
      <c r="P112" s="126">
        <f>Feb!AJ281</f>
        <v>1872</v>
      </c>
      <c r="Q112" s="126">
        <f>Feb!AH281</f>
        <v>8</v>
      </c>
      <c r="R112" s="436"/>
      <c r="S112" s="436"/>
      <c r="T112" s="18"/>
      <c r="U112" s="18"/>
      <c r="V112" s="18">
        <f>O112-T112-U112+V88</f>
        <v>37906</v>
      </c>
      <c r="W112" s="45"/>
      <c r="X112" s="67"/>
    </row>
    <row r="113" spans="1:25" ht="15" customHeight="1">
      <c r="A113" s="427"/>
      <c r="B113" s="122" t="s">
        <v>196</v>
      </c>
      <c r="C113" s="180" t="s">
        <v>63</v>
      </c>
      <c r="D113" s="48" t="s">
        <v>135</v>
      </c>
      <c r="E113" s="441"/>
      <c r="F113" s="118" t="s">
        <v>64</v>
      </c>
      <c r="G113" s="119"/>
      <c r="H113" s="37">
        <v>535.5</v>
      </c>
      <c r="I113" s="126"/>
      <c r="J113" s="475"/>
      <c r="K113" s="18"/>
      <c r="L113" s="18"/>
      <c r="M113" s="18"/>
      <c r="N113" s="18"/>
      <c r="O113" s="126"/>
      <c r="P113" s="126">
        <f>Feb!AJ285</f>
        <v>1176</v>
      </c>
      <c r="Q113" s="126">
        <f>Feb!AH285</f>
        <v>5</v>
      </c>
      <c r="R113" s="436"/>
      <c r="S113" s="436"/>
      <c r="T113" s="18"/>
      <c r="U113" s="18"/>
      <c r="V113" s="18">
        <f>O113-T113-U113+V89</f>
        <v>1252</v>
      </c>
      <c r="W113" s="45"/>
      <c r="X113" s="67"/>
    </row>
    <row r="114" spans="1:25" ht="15" customHeight="1">
      <c r="A114" s="427"/>
      <c r="B114" s="122" t="s">
        <v>61</v>
      </c>
      <c r="C114" s="180" t="s">
        <v>137</v>
      </c>
      <c r="D114" s="48" t="s">
        <v>56</v>
      </c>
      <c r="E114" s="441"/>
      <c r="F114" s="118" t="s">
        <v>67</v>
      </c>
      <c r="G114" s="119"/>
      <c r="H114" s="126"/>
      <c r="I114" s="126"/>
      <c r="J114" s="475"/>
      <c r="K114" s="18">
        <v>3000</v>
      </c>
      <c r="L114" s="18">
        <v>1</v>
      </c>
      <c r="M114" s="18">
        <v>3000</v>
      </c>
      <c r="N114" s="18">
        <v>1</v>
      </c>
      <c r="O114" s="126">
        <f>Feb!AI284</f>
        <v>307</v>
      </c>
      <c r="P114" s="126">
        <f>Feb!AJ284</f>
        <v>452</v>
      </c>
      <c r="Q114" s="126">
        <f>Feb!AH284</f>
        <v>2</v>
      </c>
      <c r="R114" s="436"/>
      <c r="S114" s="436"/>
      <c r="T114" s="18"/>
      <c r="U114" s="18"/>
      <c r="V114" s="18">
        <f>O114-T114-U114+V90</f>
        <v>5507</v>
      </c>
      <c r="W114" s="45"/>
      <c r="X114" s="67"/>
    </row>
    <row r="115" spans="1:25" ht="15" customHeight="1">
      <c r="A115" s="427"/>
      <c r="B115" s="122" t="s">
        <v>131</v>
      </c>
      <c r="C115" s="180" t="s">
        <v>194</v>
      </c>
      <c r="D115" s="48" t="s">
        <v>132</v>
      </c>
      <c r="E115" s="441"/>
      <c r="F115" s="118" t="s">
        <v>64</v>
      </c>
      <c r="G115" s="119"/>
      <c r="H115" s="126"/>
      <c r="I115" s="126"/>
      <c r="J115" s="475"/>
      <c r="K115" s="18"/>
      <c r="L115" s="18"/>
      <c r="M115" s="18"/>
      <c r="N115" s="18"/>
      <c r="O115" s="126"/>
      <c r="P115" s="126"/>
      <c r="Q115" s="126">
        <f>Feb!AH286</f>
        <v>1</v>
      </c>
      <c r="R115" s="436"/>
      <c r="S115" s="436"/>
      <c r="T115" s="18"/>
      <c r="U115" s="18"/>
      <c r="V115" s="18"/>
      <c r="W115" s="45"/>
      <c r="X115" s="67"/>
    </row>
    <row r="116" spans="1:25" ht="15" customHeight="1">
      <c r="A116" s="427"/>
      <c r="B116" s="122" t="s">
        <v>101</v>
      </c>
      <c r="C116" s="180" t="s">
        <v>193</v>
      </c>
      <c r="D116" s="48" t="s">
        <v>102</v>
      </c>
      <c r="E116" s="441"/>
      <c r="F116" s="118" t="s">
        <v>64</v>
      </c>
      <c r="G116" s="119"/>
      <c r="H116" s="126"/>
      <c r="I116" s="126"/>
      <c r="J116" s="475"/>
      <c r="K116" s="18"/>
      <c r="L116" s="18"/>
      <c r="M116" s="18"/>
      <c r="N116" s="18"/>
      <c r="O116" s="126"/>
      <c r="P116" s="126"/>
      <c r="Q116" s="126">
        <f>Feb!AH287</f>
        <v>1</v>
      </c>
      <c r="R116" s="436"/>
      <c r="S116" s="436"/>
      <c r="T116" s="18"/>
      <c r="U116" s="18"/>
      <c r="V116" s="18"/>
      <c r="W116" s="45"/>
      <c r="X116" s="67"/>
    </row>
    <row r="117" spans="1:25" ht="15" customHeight="1">
      <c r="A117" s="427"/>
      <c r="B117" s="122" t="s">
        <v>103</v>
      </c>
      <c r="C117" s="157" t="s">
        <v>197</v>
      </c>
      <c r="D117" s="48" t="s">
        <v>104</v>
      </c>
      <c r="E117" s="441"/>
      <c r="F117" s="118" t="s">
        <v>105</v>
      </c>
      <c r="G117" s="119"/>
      <c r="H117" s="126"/>
      <c r="I117" s="126"/>
      <c r="J117" s="475"/>
      <c r="K117" s="18"/>
      <c r="L117" s="18"/>
      <c r="M117" s="18"/>
      <c r="N117" s="18"/>
      <c r="O117" s="126"/>
      <c r="P117" s="126"/>
      <c r="Q117" s="126">
        <f>Feb!AH288</f>
        <v>1</v>
      </c>
      <c r="R117" s="436"/>
      <c r="S117" s="436"/>
      <c r="T117" s="18"/>
      <c r="U117" s="18"/>
      <c r="V117" s="18"/>
      <c r="W117" s="45"/>
      <c r="X117" s="67"/>
    </row>
    <row r="118" spans="1:25" ht="15" customHeight="1">
      <c r="A118" s="427"/>
      <c r="B118" s="137" t="s">
        <v>112</v>
      </c>
      <c r="C118" s="157" t="s">
        <v>197</v>
      </c>
      <c r="D118" s="48" t="s">
        <v>104</v>
      </c>
      <c r="E118" s="441"/>
      <c r="F118" s="118" t="s">
        <v>113</v>
      </c>
      <c r="G118" s="119"/>
      <c r="H118" s="126"/>
      <c r="I118" s="126"/>
      <c r="J118" s="475"/>
      <c r="K118" s="18"/>
      <c r="L118" s="18"/>
      <c r="M118" s="18"/>
      <c r="N118" s="18"/>
      <c r="O118" s="126"/>
      <c r="P118" s="126"/>
      <c r="Q118" s="126">
        <f>Feb!AH291</f>
        <v>1</v>
      </c>
      <c r="R118" s="436"/>
      <c r="S118" s="436"/>
      <c r="T118" s="18"/>
      <c r="U118" s="18"/>
      <c r="V118" s="18"/>
      <c r="W118" s="45"/>
      <c r="X118" s="67"/>
    </row>
    <row r="119" spans="1:25" ht="15" customHeight="1">
      <c r="A119" s="427"/>
      <c r="B119" s="137" t="s">
        <v>106</v>
      </c>
      <c r="C119" s="157" t="s">
        <v>141</v>
      </c>
      <c r="D119" s="48" t="s">
        <v>68</v>
      </c>
      <c r="E119" s="441"/>
      <c r="F119" s="118" t="s">
        <v>67</v>
      </c>
      <c r="G119" s="119"/>
      <c r="H119" s="126"/>
      <c r="I119" s="126"/>
      <c r="J119" s="475"/>
      <c r="K119" s="18"/>
      <c r="L119" s="18"/>
      <c r="M119" s="18"/>
      <c r="N119" s="18"/>
      <c r="O119" s="126"/>
      <c r="P119" s="126"/>
      <c r="Q119" s="126">
        <f>Feb!AH289</f>
        <v>1</v>
      </c>
      <c r="R119" s="436"/>
      <c r="S119" s="436"/>
      <c r="T119" s="18"/>
      <c r="U119" s="18"/>
      <c r="V119" s="18"/>
      <c r="W119" s="45"/>
      <c r="X119" s="67"/>
    </row>
    <row r="120" spans="1:25" ht="15" customHeight="1" thickBot="1">
      <c r="A120" s="428"/>
      <c r="B120" s="44" t="s">
        <v>107</v>
      </c>
      <c r="C120" s="181" t="s">
        <v>195</v>
      </c>
      <c r="D120" s="61" t="s">
        <v>108</v>
      </c>
      <c r="E120" s="447"/>
      <c r="F120" s="133" t="s">
        <v>48</v>
      </c>
      <c r="G120" s="132"/>
      <c r="H120" s="109"/>
      <c r="I120" s="134"/>
      <c r="J120" s="476"/>
      <c r="K120" s="130"/>
      <c r="L120" s="130"/>
      <c r="M120" s="130"/>
      <c r="N120" s="130"/>
      <c r="O120" s="134"/>
      <c r="P120" s="134"/>
      <c r="Q120" s="134">
        <f>Feb!AH290</f>
        <v>1</v>
      </c>
      <c r="R120" s="437"/>
      <c r="S120" s="437"/>
      <c r="T120" s="130"/>
      <c r="U120" s="130"/>
      <c r="V120" s="128"/>
      <c r="W120" s="85"/>
      <c r="X120" s="67"/>
    </row>
    <row r="121" spans="1:25" ht="15" customHeight="1">
      <c r="A121" s="426">
        <v>46060</v>
      </c>
      <c r="B121" s="429" t="s">
        <v>44</v>
      </c>
      <c r="C121" s="432" t="s">
        <v>240</v>
      </c>
      <c r="D121" s="19" t="s">
        <v>37</v>
      </c>
      <c r="E121" s="19" t="s">
        <v>25</v>
      </c>
      <c r="F121" s="39" t="s">
        <v>40</v>
      </c>
      <c r="G121" s="41"/>
      <c r="H121" s="32"/>
      <c r="I121" s="32"/>
      <c r="J121" s="32"/>
      <c r="K121" s="20">
        <v>16000</v>
      </c>
      <c r="L121" s="20">
        <v>2</v>
      </c>
      <c r="M121" s="20"/>
      <c r="N121" s="84"/>
      <c r="O121" s="32">
        <f>Feb!AL272</f>
        <v>12304</v>
      </c>
      <c r="P121" s="32">
        <f>Feb!AM272</f>
        <v>22731</v>
      </c>
      <c r="Q121" s="32">
        <f>Feb!AK272</f>
        <v>67</v>
      </c>
      <c r="R121" s="435">
        <f>Feb!AL293</f>
        <v>68755</v>
      </c>
      <c r="S121" s="435">
        <f>Feb!AM293</f>
        <v>66833</v>
      </c>
      <c r="T121" s="20">
        <v>15048</v>
      </c>
      <c r="U121" s="20">
        <v>12</v>
      </c>
      <c r="V121" s="20">
        <f>O121-T121-U121+V97</f>
        <v>5072</v>
      </c>
      <c r="W121" s="77"/>
      <c r="X121" s="36"/>
    </row>
    <row r="122" spans="1:25" ht="15" customHeight="1">
      <c r="A122" s="427"/>
      <c r="B122" s="430"/>
      <c r="C122" s="433"/>
      <c r="D122" s="113" t="s">
        <v>69</v>
      </c>
      <c r="E122" s="438" t="s">
        <v>24</v>
      </c>
      <c r="F122" s="118" t="s">
        <v>40</v>
      </c>
      <c r="G122" s="38"/>
      <c r="H122" s="37"/>
      <c r="I122" s="125"/>
      <c r="J122" s="125"/>
      <c r="K122" s="127"/>
      <c r="L122" s="127"/>
      <c r="M122" s="127"/>
      <c r="N122" s="81"/>
      <c r="O122" s="125">
        <f>Feb!AL273</f>
        <v>3297</v>
      </c>
      <c r="P122" s="125">
        <f>Feb!AM273</f>
        <v>2109</v>
      </c>
      <c r="Q122" s="125">
        <f>Feb!AK273</f>
        <v>6</v>
      </c>
      <c r="R122" s="436"/>
      <c r="S122" s="436"/>
      <c r="T122" s="127">
        <v>8530</v>
      </c>
      <c r="U122" s="127"/>
      <c r="V122" s="127">
        <f>O122-T122-U122+V98</f>
        <v>2410</v>
      </c>
      <c r="W122" s="46"/>
      <c r="X122" s="67"/>
    </row>
    <row r="123" spans="1:25" ht="15" customHeight="1">
      <c r="A123" s="427"/>
      <c r="B123" s="431"/>
      <c r="C123" s="434"/>
      <c r="D123" s="113" t="s">
        <v>128</v>
      </c>
      <c r="E123" s="431"/>
      <c r="F123" s="114" t="s">
        <v>40</v>
      </c>
      <c r="G123" s="135"/>
      <c r="H123" s="135"/>
      <c r="I123" s="125"/>
      <c r="J123" s="125"/>
      <c r="K123" s="18">
        <v>24000</v>
      </c>
      <c r="L123" s="127">
        <v>3</v>
      </c>
      <c r="M123" s="127">
        <v>238800</v>
      </c>
      <c r="N123" s="81">
        <v>30</v>
      </c>
      <c r="O123" s="126">
        <f>Feb!AL274</f>
        <v>15421</v>
      </c>
      <c r="P123" s="125">
        <f>Feb!AM274</f>
        <v>12273</v>
      </c>
      <c r="Q123" s="125">
        <f>Feb!AK274</f>
        <v>36</v>
      </c>
      <c r="R123" s="436"/>
      <c r="S123" s="436"/>
      <c r="T123" s="127">
        <v>8609</v>
      </c>
      <c r="U123" s="127"/>
      <c r="V123" s="127">
        <f>O123-T123-U123+V99</f>
        <v>15464</v>
      </c>
      <c r="W123" s="46"/>
      <c r="X123" s="67"/>
    </row>
    <row r="124" spans="1:25" ht="15" customHeight="1">
      <c r="A124" s="427"/>
      <c r="B124" s="439" t="s">
        <v>45</v>
      </c>
      <c r="C124" s="440" t="s">
        <v>59</v>
      </c>
      <c r="D124" s="118" t="s">
        <v>75</v>
      </c>
      <c r="E124" s="438" t="s">
        <v>25</v>
      </c>
      <c r="F124" s="131" t="s">
        <v>57</v>
      </c>
      <c r="G124" s="87"/>
      <c r="H124" s="136"/>
      <c r="I124" s="126"/>
      <c r="J124" s="2"/>
      <c r="K124" s="127"/>
      <c r="L124" s="18"/>
      <c r="M124" s="18">
        <v>35300</v>
      </c>
      <c r="N124" s="80">
        <v>7</v>
      </c>
      <c r="O124" s="126">
        <f>Feb!AL276</f>
        <v>8373</v>
      </c>
      <c r="P124" s="126">
        <f>Feb!AM276</f>
        <v>3020</v>
      </c>
      <c r="Q124" s="2">
        <f>Feb!AK276</f>
        <v>13</v>
      </c>
      <c r="R124" s="436"/>
      <c r="S124" s="436"/>
      <c r="T124" s="18"/>
      <c r="U124" s="18"/>
      <c r="V124" s="18">
        <f>O124-T124-U124+V100</f>
        <v>56701</v>
      </c>
      <c r="W124" s="46"/>
      <c r="Y124" s="13"/>
    </row>
    <row r="125" spans="1:25" ht="15" customHeight="1">
      <c r="A125" s="427"/>
      <c r="B125" s="439"/>
      <c r="C125" s="440"/>
      <c r="D125" s="118" t="s">
        <v>94</v>
      </c>
      <c r="E125" s="431"/>
      <c r="F125" s="131"/>
      <c r="G125" s="87"/>
      <c r="H125" s="152">
        <v>1134</v>
      </c>
      <c r="I125" s="126"/>
      <c r="J125" s="2"/>
      <c r="K125" s="127"/>
      <c r="L125" s="18"/>
      <c r="M125" s="18"/>
      <c r="N125" s="80"/>
      <c r="O125" s="126"/>
      <c r="P125" s="126"/>
      <c r="Q125" s="2"/>
      <c r="R125" s="436"/>
      <c r="S125" s="436"/>
      <c r="T125" s="18"/>
      <c r="U125" s="18"/>
      <c r="V125" s="18"/>
      <c r="W125" s="46"/>
      <c r="Y125" s="13"/>
    </row>
    <row r="126" spans="1:25">
      <c r="A126" s="427"/>
      <c r="B126" s="439"/>
      <c r="C126" s="440"/>
      <c r="D126" s="118" t="s">
        <v>72</v>
      </c>
      <c r="E126" s="424" t="s">
        <v>24</v>
      </c>
      <c r="F126" s="131" t="s">
        <v>57</v>
      </c>
      <c r="G126" s="136">
        <v>3882.5</v>
      </c>
      <c r="H126" s="136"/>
      <c r="I126" s="126"/>
      <c r="J126" s="126"/>
      <c r="K126" s="127"/>
      <c r="L126" s="18"/>
      <c r="M126" s="18">
        <v>90000</v>
      </c>
      <c r="N126" s="80">
        <v>18</v>
      </c>
      <c r="O126" s="126">
        <f>Feb!AL277</f>
        <v>3859</v>
      </c>
      <c r="P126" s="126">
        <f>Feb!AM277</f>
        <v>5417</v>
      </c>
      <c r="Q126" s="126">
        <f>Feb!AK277</f>
        <v>25</v>
      </c>
      <c r="R126" s="436"/>
      <c r="S126" s="436"/>
      <c r="T126" s="18">
        <v>6131</v>
      </c>
      <c r="U126" s="18">
        <v>24</v>
      </c>
      <c r="V126" s="18">
        <f>O126-T126-U126+V101</f>
        <v>3124</v>
      </c>
      <c r="W126" s="46"/>
      <c r="Y126" s="13"/>
    </row>
    <row r="127" spans="1:25">
      <c r="A127" s="427"/>
      <c r="B127" s="439"/>
      <c r="C127" s="440"/>
      <c r="D127" s="115" t="s">
        <v>73</v>
      </c>
      <c r="E127" s="425"/>
      <c r="F127" s="131"/>
      <c r="G127" s="136"/>
      <c r="H127" s="152">
        <v>1980</v>
      </c>
      <c r="I127" s="126"/>
      <c r="J127" s="126"/>
      <c r="K127" s="127"/>
      <c r="L127" s="18"/>
      <c r="M127" s="18"/>
      <c r="N127" s="80"/>
      <c r="O127" s="126"/>
      <c r="P127" s="126"/>
      <c r="Q127" s="126"/>
      <c r="R127" s="436"/>
      <c r="S127" s="436"/>
      <c r="T127" s="18"/>
      <c r="U127" s="18"/>
      <c r="V127" s="18"/>
      <c r="W127" s="46"/>
      <c r="Y127" s="13"/>
    </row>
    <row r="128" spans="1:25">
      <c r="A128" s="427"/>
      <c r="B128" s="439"/>
      <c r="C128" s="440"/>
      <c r="D128" s="115" t="s">
        <v>79</v>
      </c>
      <c r="E128" s="118" t="s">
        <v>65</v>
      </c>
      <c r="F128" s="131" t="s">
        <v>57</v>
      </c>
      <c r="G128" s="136"/>
      <c r="H128" s="136"/>
      <c r="I128" s="126"/>
      <c r="J128" s="126"/>
      <c r="K128" s="127"/>
      <c r="L128" s="18"/>
      <c r="M128" s="18">
        <v>59000</v>
      </c>
      <c r="N128" s="80">
        <v>12</v>
      </c>
      <c r="O128" s="126">
        <f>Feb!AL278</f>
        <v>5052</v>
      </c>
      <c r="P128" s="126">
        <f>Feb!AM278</f>
        <v>6116</v>
      </c>
      <c r="Q128" s="126">
        <f>Feb!AK278</f>
        <v>28</v>
      </c>
      <c r="R128" s="436"/>
      <c r="S128" s="436"/>
      <c r="T128" s="18">
        <v>4370</v>
      </c>
      <c r="U128" s="18"/>
      <c r="V128" s="18">
        <f>O128-T128-U128+V103</f>
        <v>3454</v>
      </c>
      <c r="W128" s="46"/>
      <c r="Y128" s="13"/>
    </row>
    <row r="129" spans="1:24" ht="14.25" customHeight="1">
      <c r="A129" s="427"/>
      <c r="B129" s="137" t="s">
        <v>53</v>
      </c>
      <c r="C129" s="157" t="s">
        <v>60</v>
      </c>
      <c r="D129" s="43" t="s">
        <v>130</v>
      </c>
      <c r="E129" s="115" t="s">
        <v>66</v>
      </c>
      <c r="F129" s="118" t="s">
        <v>54</v>
      </c>
      <c r="G129" s="136"/>
      <c r="H129" s="37"/>
      <c r="I129" s="126"/>
      <c r="J129" s="126"/>
      <c r="K129" s="18">
        <v>5900</v>
      </c>
      <c r="L129" s="18">
        <v>1</v>
      </c>
      <c r="M129" s="18">
        <v>94400</v>
      </c>
      <c r="N129" s="80">
        <v>16</v>
      </c>
      <c r="O129" s="126">
        <f>Feb!AL275</f>
        <v>8644</v>
      </c>
      <c r="P129" s="126">
        <f>Feb!AM275</f>
        <v>8120</v>
      </c>
      <c r="Q129" s="126">
        <f>Feb!AK275</f>
        <v>30</v>
      </c>
      <c r="R129" s="436"/>
      <c r="S129" s="436"/>
      <c r="T129" s="18"/>
      <c r="U129" s="18"/>
      <c r="V129" s="18">
        <f>O129-T129-U129+V104</f>
        <v>9845</v>
      </c>
      <c r="W129" s="45"/>
      <c r="X129" s="36"/>
    </row>
    <row r="130" spans="1:24" ht="14.25" customHeight="1">
      <c r="A130" s="427"/>
      <c r="B130" s="122" t="s">
        <v>55</v>
      </c>
      <c r="C130" s="180" t="s">
        <v>133</v>
      </c>
      <c r="D130" s="48" t="s">
        <v>56</v>
      </c>
      <c r="E130" s="424" t="s">
        <v>25</v>
      </c>
      <c r="F130" s="118" t="s">
        <v>67</v>
      </c>
      <c r="G130" s="136"/>
      <c r="H130" s="37"/>
      <c r="I130" s="126"/>
      <c r="J130" s="126"/>
      <c r="K130" s="18"/>
      <c r="L130" s="18"/>
      <c r="M130" s="18"/>
      <c r="N130" s="80"/>
      <c r="O130" s="126"/>
      <c r="P130" s="126"/>
      <c r="Q130" s="126"/>
      <c r="R130" s="436"/>
      <c r="S130" s="436"/>
      <c r="T130" s="18"/>
      <c r="U130" s="18"/>
      <c r="V130" s="18">
        <f>O130-T130-U130+V106</f>
        <v>500</v>
      </c>
      <c r="W130" s="45"/>
      <c r="X130" s="67"/>
    </row>
    <row r="131" spans="1:24" ht="14.25" customHeight="1">
      <c r="A131" s="427"/>
      <c r="B131" s="122" t="s">
        <v>122</v>
      </c>
      <c r="C131" s="180" t="s">
        <v>123</v>
      </c>
      <c r="D131" s="48" t="s">
        <v>56</v>
      </c>
      <c r="E131" s="441"/>
      <c r="F131" s="155" t="s">
        <v>64</v>
      </c>
      <c r="G131" s="136"/>
      <c r="H131" s="135"/>
      <c r="I131" s="158"/>
      <c r="J131" s="158"/>
      <c r="K131" s="128"/>
      <c r="L131" s="128"/>
      <c r="M131" s="128">
        <v>6400</v>
      </c>
      <c r="N131" s="164">
        <v>2</v>
      </c>
      <c r="O131" s="158">
        <f>Feb!AL282</f>
        <v>1376</v>
      </c>
      <c r="P131" s="158">
        <f>Feb!AM282</f>
        <v>185</v>
      </c>
      <c r="Q131" s="158">
        <f>Feb!AK282</f>
        <v>3</v>
      </c>
      <c r="R131" s="436"/>
      <c r="S131" s="436"/>
      <c r="T131" s="18"/>
      <c r="U131" s="18"/>
      <c r="V131" s="18">
        <f>O131-T131-U131+V107</f>
        <v>31304</v>
      </c>
      <c r="W131" s="45"/>
      <c r="X131" s="67"/>
    </row>
    <row r="132" spans="1:24" ht="14.25" customHeight="1">
      <c r="A132" s="427"/>
      <c r="B132" s="122" t="s">
        <v>125</v>
      </c>
      <c r="C132" s="180" t="s">
        <v>88</v>
      </c>
      <c r="D132" s="48" t="s">
        <v>124</v>
      </c>
      <c r="E132" s="441"/>
      <c r="F132" s="118" t="s">
        <v>64</v>
      </c>
      <c r="G132" s="37"/>
      <c r="H132" s="126"/>
      <c r="I132" s="126"/>
      <c r="J132" s="126"/>
      <c r="K132" s="18"/>
      <c r="L132" s="18"/>
      <c r="M132" s="18">
        <v>88200</v>
      </c>
      <c r="N132" s="80">
        <v>12</v>
      </c>
      <c r="O132" s="126">
        <f>Feb!AL280</f>
        <v>5216</v>
      </c>
      <c r="P132" s="126">
        <f>Feb!AM280</f>
        <v>3110</v>
      </c>
      <c r="Q132" s="126">
        <f>Feb!AK280</f>
        <v>14</v>
      </c>
      <c r="R132" s="436"/>
      <c r="S132" s="436"/>
      <c r="T132" s="18"/>
      <c r="U132" s="18"/>
      <c r="V132" s="18">
        <f>O132-T132-U132+V108</f>
        <v>18223</v>
      </c>
      <c r="W132" s="45"/>
      <c r="X132" s="67"/>
    </row>
    <row r="133" spans="1:24" ht="13.5" customHeight="1">
      <c r="A133" s="427"/>
      <c r="B133" s="442" t="s">
        <v>58</v>
      </c>
      <c r="C133" s="444" t="s">
        <v>136</v>
      </c>
      <c r="D133" s="48" t="s">
        <v>56</v>
      </c>
      <c r="E133" s="441"/>
      <c r="F133" s="118" t="s">
        <v>67</v>
      </c>
      <c r="G133" s="119"/>
      <c r="H133" s="126"/>
      <c r="I133" s="126"/>
      <c r="J133" s="2"/>
      <c r="K133" s="18"/>
      <c r="L133" s="18"/>
      <c r="M133" s="18"/>
      <c r="N133" s="18"/>
      <c r="O133" s="126"/>
      <c r="P133" s="126"/>
      <c r="Q133" s="126"/>
      <c r="R133" s="436"/>
      <c r="S133" s="436"/>
      <c r="T133" s="18"/>
      <c r="U133" s="18"/>
      <c r="V133" s="18">
        <f>O133-T133-U133+V109</f>
        <v>43</v>
      </c>
      <c r="W133" s="45"/>
      <c r="X133" s="67"/>
    </row>
    <row r="134" spans="1:24" ht="15.75" customHeight="1">
      <c r="A134" s="427"/>
      <c r="B134" s="439"/>
      <c r="C134" s="445"/>
      <c r="D134" s="48" t="s">
        <v>56</v>
      </c>
      <c r="E134" s="441"/>
      <c r="F134" s="118" t="s">
        <v>140</v>
      </c>
      <c r="G134" s="119"/>
      <c r="H134" s="126"/>
      <c r="I134" s="126"/>
      <c r="J134" s="2"/>
      <c r="K134" s="18"/>
      <c r="L134" s="18"/>
      <c r="M134" s="18"/>
      <c r="N134" s="18"/>
      <c r="O134" s="126">
        <f>Feb!AL283</f>
        <v>1325</v>
      </c>
      <c r="P134" s="126">
        <f>Feb!AM283</f>
        <v>471</v>
      </c>
      <c r="Q134" s="126">
        <f>Feb!AK283</f>
        <v>3</v>
      </c>
      <c r="R134" s="436"/>
      <c r="S134" s="436"/>
      <c r="T134" s="18"/>
      <c r="U134" s="18"/>
      <c r="V134" s="18">
        <f>O134-T134-U134+V110</f>
        <v>8562</v>
      </c>
      <c r="W134" s="45"/>
      <c r="X134" s="67"/>
    </row>
    <row r="135" spans="1:24" ht="15" customHeight="1">
      <c r="A135" s="427"/>
      <c r="B135" s="137" t="s">
        <v>47</v>
      </c>
      <c r="C135" s="157" t="s">
        <v>100</v>
      </c>
      <c r="D135" s="48" t="s">
        <v>99</v>
      </c>
      <c r="E135" s="441"/>
      <c r="F135" s="118" t="s">
        <v>71</v>
      </c>
      <c r="G135" s="119"/>
      <c r="H135" s="126"/>
      <c r="I135" s="126"/>
      <c r="J135" s="2"/>
      <c r="K135" s="18"/>
      <c r="L135" s="18"/>
      <c r="M135" s="18">
        <v>30000</v>
      </c>
      <c r="N135" s="18">
        <v>5</v>
      </c>
      <c r="O135" s="126">
        <f>Feb!AL281</f>
        <v>580</v>
      </c>
      <c r="P135" s="126">
        <f>Feb!AM281</f>
        <v>1961</v>
      </c>
      <c r="Q135" s="126">
        <f>Feb!AK281</f>
        <v>8</v>
      </c>
      <c r="R135" s="436"/>
      <c r="S135" s="436"/>
      <c r="T135" s="18"/>
      <c r="U135" s="18"/>
      <c r="V135" s="18">
        <f>O135-T135-U135+V112</f>
        <v>38486</v>
      </c>
      <c r="W135" s="45"/>
      <c r="X135" s="67"/>
    </row>
    <row r="136" spans="1:24" ht="15" customHeight="1">
      <c r="A136" s="427"/>
      <c r="B136" s="122" t="s">
        <v>196</v>
      </c>
      <c r="C136" s="180" t="s">
        <v>63</v>
      </c>
      <c r="D136" s="48" t="s">
        <v>135</v>
      </c>
      <c r="E136" s="441"/>
      <c r="F136" s="118" t="s">
        <v>64</v>
      </c>
      <c r="G136" s="119"/>
      <c r="H136" s="126"/>
      <c r="I136" s="126"/>
      <c r="J136" s="2"/>
      <c r="K136" s="18"/>
      <c r="L136" s="18"/>
      <c r="M136" s="18"/>
      <c r="N136" s="18"/>
      <c r="O136" s="126">
        <f>Feb!AL285</f>
        <v>2996</v>
      </c>
      <c r="P136" s="126">
        <f>Feb!AM285</f>
        <v>1295</v>
      </c>
      <c r="Q136" s="126">
        <f>Feb!AK285</f>
        <v>5</v>
      </c>
      <c r="R136" s="436"/>
      <c r="S136" s="436"/>
      <c r="T136" s="18"/>
      <c r="U136" s="18"/>
      <c r="V136" s="18">
        <f>O136-T136-U136+V113</f>
        <v>4248</v>
      </c>
      <c r="W136" s="45"/>
      <c r="X136" s="67"/>
    </row>
    <row r="137" spans="1:24" ht="15" customHeight="1">
      <c r="A137" s="427"/>
      <c r="B137" s="122" t="s">
        <v>61</v>
      </c>
      <c r="C137" s="180" t="s">
        <v>137</v>
      </c>
      <c r="D137" s="48" t="s">
        <v>56</v>
      </c>
      <c r="E137" s="441"/>
      <c r="F137" s="118" t="s">
        <v>67</v>
      </c>
      <c r="G137" s="119"/>
      <c r="H137" s="126"/>
      <c r="I137" s="126"/>
      <c r="J137" s="2"/>
      <c r="K137" s="18">
        <v>3000</v>
      </c>
      <c r="L137" s="18">
        <v>1</v>
      </c>
      <c r="M137" s="18"/>
      <c r="N137" s="18"/>
      <c r="O137" s="126">
        <f>Feb!AL284</f>
        <v>312</v>
      </c>
      <c r="P137" s="126">
        <f>Feb!AM284</f>
        <v>25</v>
      </c>
      <c r="Q137" s="126">
        <f>Feb!AK284</f>
        <v>2</v>
      </c>
      <c r="R137" s="436"/>
      <c r="S137" s="436"/>
      <c r="T137" s="18"/>
      <c r="U137" s="18"/>
      <c r="V137" s="18">
        <f>O137-T137-U137+V114</f>
        <v>5819</v>
      </c>
      <c r="W137" s="45"/>
      <c r="X137" s="67"/>
    </row>
    <row r="138" spans="1:24" ht="15" customHeight="1">
      <c r="A138" s="427"/>
      <c r="B138" s="122" t="s">
        <v>131</v>
      </c>
      <c r="C138" s="180" t="s">
        <v>194</v>
      </c>
      <c r="D138" s="48" t="s">
        <v>132</v>
      </c>
      <c r="E138" s="441"/>
      <c r="F138" s="118" t="s">
        <v>64</v>
      </c>
      <c r="G138" s="119"/>
      <c r="H138" s="126"/>
      <c r="I138" s="126"/>
      <c r="J138" s="2"/>
      <c r="K138" s="18"/>
      <c r="L138" s="18"/>
      <c r="M138" s="18"/>
      <c r="N138" s="18"/>
      <c r="O138" s="126"/>
      <c r="P138" s="126"/>
      <c r="Q138" s="126">
        <f>Feb!AK286</f>
        <v>1</v>
      </c>
      <c r="R138" s="436"/>
      <c r="S138" s="436"/>
      <c r="T138" s="18"/>
      <c r="U138" s="18"/>
      <c r="V138" s="18"/>
      <c r="W138" s="45"/>
      <c r="X138" s="67"/>
    </row>
    <row r="139" spans="1:24" ht="15" customHeight="1">
      <c r="A139" s="427"/>
      <c r="B139" s="122" t="s">
        <v>101</v>
      </c>
      <c r="C139" s="180" t="s">
        <v>193</v>
      </c>
      <c r="D139" s="48" t="s">
        <v>102</v>
      </c>
      <c r="E139" s="441"/>
      <c r="F139" s="118" t="s">
        <v>64</v>
      </c>
      <c r="G139" s="119"/>
      <c r="H139" s="126"/>
      <c r="I139" s="126"/>
      <c r="J139" s="2"/>
      <c r="K139" s="18"/>
      <c r="L139" s="18"/>
      <c r="M139" s="18"/>
      <c r="N139" s="18"/>
      <c r="O139" s="126"/>
      <c r="P139" s="126"/>
      <c r="Q139" s="126">
        <f>Feb!AK287</f>
        <v>1</v>
      </c>
      <c r="R139" s="436"/>
      <c r="S139" s="436"/>
      <c r="T139" s="18"/>
      <c r="U139" s="18"/>
      <c r="V139" s="18"/>
      <c r="W139" s="45"/>
      <c r="X139" s="67"/>
    </row>
    <row r="140" spans="1:24" ht="15" customHeight="1">
      <c r="A140" s="427"/>
      <c r="B140" s="122" t="s">
        <v>103</v>
      </c>
      <c r="C140" s="157" t="s">
        <v>197</v>
      </c>
      <c r="D140" s="48" t="s">
        <v>104</v>
      </c>
      <c r="E140" s="441"/>
      <c r="F140" s="118" t="s">
        <v>105</v>
      </c>
      <c r="G140" s="119"/>
      <c r="H140" s="126"/>
      <c r="I140" s="126"/>
      <c r="J140" s="2"/>
      <c r="K140" s="18"/>
      <c r="L140" s="18"/>
      <c r="M140" s="18"/>
      <c r="N140" s="18"/>
      <c r="O140" s="126"/>
      <c r="P140" s="126"/>
      <c r="Q140" s="126">
        <f>Feb!AK288</f>
        <v>1</v>
      </c>
      <c r="R140" s="436"/>
      <c r="S140" s="436"/>
      <c r="T140" s="18"/>
      <c r="U140" s="18"/>
      <c r="V140" s="18"/>
      <c r="W140" s="45"/>
      <c r="X140" s="67"/>
    </row>
    <row r="141" spans="1:24" ht="15" customHeight="1">
      <c r="A141" s="427"/>
      <c r="B141" s="137" t="s">
        <v>112</v>
      </c>
      <c r="C141" s="157" t="s">
        <v>197</v>
      </c>
      <c r="D141" s="48" t="s">
        <v>104</v>
      </c>
      <c r="E141" s="441"/>
      <c r="F141" s="118" t="s">
        <v>113</v>
      </c>
      <c r="G141" s="119"/>
      <c r="H141" s="126"/>
      <c r="I141" s="126"/>
      <c r="J141" s="2"/>
      <c r="K141" s="18"/>
      <c r="L141" s="18"/>
      <c r="M141" s="18"/>
      <c r="N141" s="18"/>
      <c r="O141" s="126"/>
      <c r="P141" s="126"/>
      <c r="Q141" s="126">
        <f>Feb!AK291</f>
        <v>1</v>
      </c>
      <c r="R141" s="436"/>
      <c r="S141" s="436"/>
      <c r="T141" s="18"/>
      <c r="U141" s="18"/>
      <c r="V141" s="18"/>
      <c r="W141" s="45"/>
      <c r="X141" s="67"/>
    </row>
    <row r="142" spans="1:24" ht="15" customHeight="1">
      <c r="A142" s="427"/>
      <c r="B142" s="137" t="s">
        <v>106</v>
      </c>
      <c r="C142" s="157" t="s">
        <v>141</v>
      </c>
      <c r="D142" s="48" t="s">
        <v>68</v>
      </c>
      <c r="E142" s="441"/>
      <c r="F142" s="118" t="s">
        <v>67</v>
      </c>
      <c r="G142" s="119"/>
      <c r="H142" s="126"/>
      <c r="I142" s="126"/>
      <c r="J142" s="2"/>
      <c r="K142" s="18"/>
      <c r="L142" s="18"/>
      <c r="M142" s="18"/>
      <c r="N142" s="18"/>
      <c r="O142" s="126"/>
      <c r="P142" s="126"/>
      <c r="Q142" s="126">
        <f>Feb!AK289</f>
        <v>1</v>
      </c>
      <c r="R142" s="436"/>
      <c r="S142" s="436"/>
      <c r="T142" s="18"/>
      <c r="U142" s="18"/>
      <c r="V142" s="18"/>
      <c r="W142" s="45"/>
      <c r="X142" s="67"/>
    </row>
    <row r="143" spans="1:24" ht="15" customHeight="1" thickBot="1">
      <c r="A143" s="428"/>
      <c r="B143" s="44" t="s">
        <v>107</v>
      </c>
      <c r="C143" s="181" t="s">
        <v>195</v>
      </c>
      <c r="D143" s="61" t="s">
        <v>108</v>
      </c>
      <c r="E143" s="447"/>
      <c r="F143" s="133" t="s">
        <v>48</v>
      </c>
      <c r="G143" s="132"/>
      <c r="H143" s="109"/>
      <c r="I143" s="134"/>
      <c r="J143" s="129"/>
      <c r="K143" s="130"/>
      <c r="L143" s="130"/>
      <c r="M143" s="130"/>
      <c r="N143" s="130"/>
      <c r="O143" s="134"/>
      <c r="P143" s="134"/>
      <c r="Q143" s="134">
        <f>Feb!AK290</f>
        <v>1</v>
      </c>
      <c r="R143" s="437"/>
      <c r="S143" s="437"/>
      <c r="T143" s="130"/>
      <c r="U143" s="130"/>
      <c r="V143" s="128"/>
      <c r="W143" s="85"/>
      <c r="X143" s="67"/>
    </row>
    <row r="144" spans="1:24" ht="15" customHeight="1">
      <c r="A144" s="426">
        <v>46062</v>
      </c>
      <c r="B144" s="429" t="s">
        <v>44</v>
      </c>
      <c r="C144" s="432" t="s">
        <v>240</v>
      </c>
      <c r="D144" s="19" t="s">
        <v>37</v>
      </c>
      <c r="E144" s="19" t="s">
        <v>25</v>
      </c>
      <c r="F144" s="39" t="s">
        <v>40</v>
      </c>
      <c r="G144" s="41"/>
      <c r="H144" s="32">
        <v>5744</v>
      </c>
      <c r="I144" s="32"/>
      <c r="J144" s="32"/>
      <c r="K144" s="20"/>
      <c r="L144" s="20"/>
      <c r="M144" s="20"/>
      <c r="N144" s="84"/>
      <c r="O144" s="32">
        <f>Feb!AR272</f>
        <v>21717</v>
      </c>
      <c r="P144" s="32">
        <f>Feb!AS272</f>
        <v>24444</v>
      </c>
      <c r="Q144" s="32">
        <f>Feb!AQ272</f>
        <v>67</v>
      </c>
      <c r="R144" s="435">
        <f>Feb!AR293</f>
        <v>66689</v>
      </c>
      <c r="S144" s="435">
        <f>Feb!AS293</f>
        <v>73256</v>
      </c>
      <c r="T144" s="20">
        <v>16567</v>
      </c>
      <c r="U144" s="20"/>
      <c r="V144" s="20">
        <f>O144-T144-U144+V121</f>
        <v>10222</v>
      </c>
      <c r="W144" s="77"/>
      <c r="X144" s="36"/>
    </row>
    <row r="145" spans="1:25" ht="15" customHeight="1">
      <c r="A145" s="427"/>
      <c r="B145" s="430"/>
      <c r="C145" s="433"/>
      <c r="D145" s="113" t="s">
        <v>69</v>
      </c>
      <c r="E145" s="438" t="s">
        <v>24</v>
      </c>
      <c r="F145" s="118" t="s">
        <v>40</v>
      </c>
      <c r="G145" s="38"/>
      <c r="H145" s="37"/>
      <c r="I145" s="125"/>
      <c r="J145" s="125"/>
      <c r="K145" s="127"/>
      <c r="L145" s="127"/>
      <c r="M145" s="127"/>
      <c r="N145" s="81"/>
      <c r="O145" s="125">
        <f>Feb!AR273</f>
        <v>6400</v>
      </c>
      <c r="P145" s="125">
        <f>Feb!AS273</f>
        <v>1931</v>
      </c>
      <c r="Q145" s="125">
        <f>Feb!AQ273</f>
        <v>5</v>
      </c>
      <c r="R145" s="436"/>
      <c r="S145" s="436"/>
      <c r="T145" s="127"/>
      <c r="U145" s="127"/>
      <c r="V145" s="127">
        <f>O145-T145-U145+V122</f>
        <v>8810</v>
      </c>
      <c r="W145" s="46"/>
      <c r="X145" s="67"/>
    </row>
    <row r="146" spans="1:25" ht="15" customHeight="1">
      <c r="A146" s="427"/>
      <c r="B146" s="431"/>
      <c r="C146" s="434"/>
      <c r="D146" s="113" t="s">
        <v>128</v>
      </c>
      <c r="E146" s="431"/>
      <c r="F146" s="114" t="s">
        <v>40</v>
      </c>
      <c r="G146" s="135"/>
      <c r="H146" s="135"/>
      <c r="I146" s="125"/>
      <c r="J146" s="125"/>
      <c r="K146" s="18">
        <v>24000</v>
      </c>
      <c r="L146" s="127">
        <v>3</v>
      </c>
      <c r="M146" s="127">
        <v>214800</v>
      </c>
      <c r="N146" s="81">
        <v>27</v>
      </c>
      <c r="O146" s="126">
        <f>Feb!AR274</f>
        <v>11728</v>
      </c>
      <c r="P146" s="125">
        <f>Feb!AS274</f>
        <v>13969</v>
      </c>
      <c r="Q146" s="125">
        <f>Feb!AQ274</f>
        <v>39</v>
      </c>
      <c r="R146" s="436"/>
      <c r="S146" s="436"/>
      <c r="T146" s="127">
        <v>24403</v>
      </c>
      <c r="U146" s="127">
        <v>22</v>
      </c>
      <c r="V146" s="127">
        <f>O146-T146-U146+V123</f>
        <v>2767</v>
      </c>
      <c r="W146" s="46"/>
      <c r="X146" s="67"/>
    </row>
    <row r="147" spans="1:25" ht="15" customHeight="1">
      <c r="A147" s="427"/>
      <c r="B147" s="442" t="s">
        <v>45</v>
      </c>
      <c r="C147" s="448" t="s">
        <v>59</v>
      </c>
      <c r="D147" s="118" t="s">
        <v>75</v>
      </c>
      <c r="E147" s="131" t="s">
        <v>25</v>
      </c>
      <c r="F147" s="131" t="s">
        <v>57</v>
      </c>
      <c r="G147" s="87"/>
      <c r="H147" s="136"/>
      <c r="I147" s="126"/>
      <c r="J147" s="2"/>
      <c r="K147" s="127"/>
      <c r="L147" s="18"/>
      <c r="M147" s="18">
        <v>35300</v>
      </c>
      <c r="N147" s="80">
        <v>7</v>
      </c>
      <c r="O147" s="126"/>
      <c r="P147" s="126">
        <f>Feb!AS276</f>
        <v>3469</v>
      </c>
      <c r="Q147" s="2">
        <f>Feb!AQ276</f>
        <v>13</v>
      </c>
      <c r="R147" s="436"/>
      <c r="S147" s="436"/>
      <c r="T147" s="18"/>
      <c r="U147" s="18"/>
      <c r="V147" s="18">
        <f>O147-T147-U147+V124</f>
        <v>56701</v>
      </c>
      <c r="W147" s="46"/>
      <c r="Y147" s="13"/>
    </row>
    <row r="148" spans="1:25">
      <c r="A148" s="427"/>
      <c r="B148" s="439"/>
      <c r="C148" s="440"/>
      <c r="D148" s="118" t="s">
        <v>72</v>
      </c>
      <c r="E148" s="155" t="s">
        <v>24</v>
      </c>
      <c r="F148" s="131" t="s">
        <v>57</v>
      </c>
      <c r="G148" s="136"/>
      <c r="H148" s="136"/>
      <c r="I148" s="126"/>
      <c r="J148" s="126"/>
      <c r="K148" s="127"/>
      <c r="L148" s="18"/>
      <c r="M148" s="18">
        <v>90000</v>
      </c>
      <c r="N148" s="80">
        <v>18</v>
      </c>
      <c r="O148" s="126">
        <f>Feb!AR277</f>
        <v>3065</v>
      </c>
      <c r="P148" s="126">
        <f>Feb!AS277</f>
        <v>6217</v>
      </c>
      <c r="Q148" s="126">
        <f>Feb!AQ277</f>
        <v>25</v>
      </c>
      <c r="R148" s="436"/>
      <c r="S148" s="436"/>
      <c r="T148" s="18">
        <v>4492</v>
      </c>
      <c r="U148" s="18"/>
      <c r="V148" s="18">
        <f>O148-T148-U148+V126</f>
        <v>1697</v>
      </c>
      <c r="W148" s="46"/>
      <c r="Y148" s="13"/>
    </row>
    <row r="149" spans="1:25">
      <c r="A149" s="427"/>
      <c r="B149" s="439"/>
      <c r="C149" s="440"/>
      <c r="D149" s="115" t="s">
        <v>79</v>
      </c>
      <c r="E149" s="424" t="s">
        <v>65</v>
      </c>
      <c r="F149" s="131" t="s">
        <v>57</v>
      </c>
      <c r="G149" s="136"/>
      <c r="H149" s="136"/>
      <c r="I149" s="126"/>
      <c r="J149" s="126"/>
      <c r="K149" s="127"/>
      <c r="L149" s="18"/>
      <c r="M149" s="18">
        <v>59000</v>
      </c>
      <c r="N149" s="80">
        <v>12</v>
      </c>
      <c r="O149" s="126">
        <f>Feb!AR278</f>
        <v>4800</v>
      </c>
      <c r="P149" s="126">
        <f>Feb!AS278</f>
        <v>7019</v>
      </c>
      <c r="Q149" s="126">
        <f>Feb!AQ278</f>
        <v>28</v>
      </c>
      <c r="R149" s="436"/>
      <c r="S149" s="436"/>
      <c r="T149" s="18">
        <v>4800</v>
      </c>
      <c r="U149" s="18"/>
      <c r="V149" s="18">
        <f>O149-T149-U149+V128</f>
        <v>3454</v>
      </c>
      <c r="W149" s="46"/>
      <c r="Y149" s="13"/>
    </row>
    <row r="150" spans="1:25">
      <c r="A150" s="427"/>
      <c r="B150" s="443"/>
      <c r="C150" s="449"/>
      <c r="D150" s="115" t="s">
        <v>80</v>
      </c>
      <c r="E150" s="425"/>
      <c r="F150" s="131"/>
      <c r="G150" s="136"/>
      <c r="H150" s="152">
        <v>3432</v>
      </c>
      <c r="I150" s="126"/>
      <c r="J150" s="126"/>
      <c r="K150" s="127"/>
      <c r="L150" s="18"/>
      <c r="M150" s="18"/>
      <c r="N150" s="80"/>
      <c r="O150" s="126"/>
      <c r="P150" s="126"/>
      <c r="Q150" s="126"/>
      <c r="R150" s="436"/>
      <c r="S150" s="436"/>
      <c r="T150" s="18"/>
      <c r="U150" s="18"/>
      <c r="V150" s="18"/>
      <c r="W150" s="46"/>
      <c r="Y150" s="13"/>
    </row>
    <row r="151" spans="1:25" ht="14.25" customHeight="1">
      <c r="A151" s="427"/>
      <c r="B151" s="137" t="s">
        <v>53</v>
      </c>
      <c r="C151" s="157" t="s">
        <v>60</v>
      </c>
      <c r="D151" s="43" t="s">
        <v>130</v>
      </c>
      <c r="E151" s="115" t="s">
        <v>66</v>
      </c>
      <c r="F151" s="118" t="s">
        <v>54</v>
      </c>
      <c r="G151" s="87">
        <v>2096.9499999999998</v>
      </c>
      <c r="H151" s="37"/>
      <c r="I151" s="126"/>
      <c r="J151" s="126"/>
      <c r="K151" s="18">
        <v>17700</v>
      </c>
      <c r="L151" s="18">
        <v>3</v>
      </c>
      <c r="M151" s="18">
        <v>106200</v>
      </c>
      <c r="N151" s="80">
        <v>18</v>
      </c>
      <c r="O151" s="126">
        <f>Feb!AR275</f>
        <v>9394</v>
      </c>
      <c r="P151" s="126">
        <f>Feb!AS275</f>
        <v>9649</v>
      </c>
      <c r="Q151" s="126">
        <f>Feb!AQ275</f>
        <v>29</v>
      </c>
      <c r="R151" s="436"/>
      <c r="S151" s="436"/>
      <c r="T151" s="18">
        <v>6865</v>
      </c>
      <c r="U151" s="18"/>
      <c r="V151" s="18">
        <f t="shared" ref="V151:V159" si="3">O151-T151-U151+V129</f>
        <v>12374</v>
      </c>
      <c r="W151" s="45"/>
      <c r="X151" s="36"/>
    </row>
    <row r="152" spans="1:25" ht="14.25" customHeight="1">
      <c r="A152" s="427"/>
      <c r="B152" s="122" t="s">
        <v>55</v>
      </c>
      <c r="C152" s="180" t="s">
        <v>133</v>
      </c>
      <c r="D152" s="48" t="s">
        <v>56</v>
      </c>
      <c r="E152" s="424" t="s">
        <v>25</v>
      </c>
      <c r="F152" s="118" t="s">
        <v>67</v>
      </c>
      <c r="G152" s="136"/>
      <c r="H152" s="37"/>
      <c r="I152" s="126"/>
      <c r="J152" s="126"/>
      <c r="K152" s="18"/>
      <c r="L152" s="18"/>
      <c r="M152" s="18"/>
      <c r="N152" s="80"/>
      <c r="O152" s="126"/>
      <c r="P152" s="126"/>
      <c r="Q152" s="126"/>
      <c r="R152" s="436"/>
      <c r="S152" s="436"/>
      <c r="T152" s="18"/>
      <c r="U152" s="18"/>
      <c r="V152" s="18">
        <f t="shared" si="3"/>
        <v>500</v>
      </c>
      <c r="W152" s="45"/>
      <c r="X152" s="67"/>
    </row>
    <row r="153" spans="1:25" ht="14.25" customHeight="1">
      <c r="A153" s="427"/>
      <c r="B153" s="122" t="s">
        <v>122</v>
      </c>
      <c r="C153" s="180" t="s">
        <v>123</v>
      </c>
      <c r="D153" s="48" t="s">
        <v>56</v>
      </c>
      <c r="E153" s="441"/>
      <c r="F153" s="155" t="s">
        <v>64</v>
      </c>
      <c r="G153" s="136"/>
      <c r="H153" s="135"/>
      <c r="I153" s="158"/>
      <c r="J153" s="158"/>
      <c r="K153" s="128"/>
      <c r="L153" s="128"/>
      <c r="M153" s="128">
        <v>6400</v>
      </c>
      <c r="N153" s="164">
        <v>2</v>
      </c>
      <c r="O153" s="158"/>
      <c r="P153" s="158"/>
      <c r="Q153" s="158">
        <f>Feb!AQ282</f>
        <v>3</v>
      </c>
      <c r="R153" s="436"/>
      <c r="S153" s="436"/>
      <c r="T153" s="18"/>
      <c r="U153" s="18"/>
      <c r="V153" s="18">
        <f t="shared" si="3"/>
        <v>31304</v>
      </c>
      <c r="W153" s="45"/>
      <c r="X153" s="67"/>
    </row>
    <row r="154" spans="1:25" ht="14.25" customHeight="1">
      <c r="A154" s="427"/>
      <c r="B154" s="122" t="s">
        <v>125</v>
      </c>
      <c r="C154" s="180" t="s">
        <v>88</v>
      </c>
      <c r="D154" s="48" t="s">
        <v>124</v>
      </c>
      <c r="E154" s="441"/>
      <c r="F154" s="118" t="s">
        <v>64</v>
      </c>
      <c r="G154" s="37"/>
      <c r="H154" s="126"/>
      <c r="I154" s="126"/>
      <c r="J154" s="126"/>
      <c r="K154" s="18"/>
      <c r="L154" s="18"/>
      <c r="M154" s="18">
        <v>88200</v>
      </c>
      <c r="N154" s="80">
        <v>12</v>
      </c>
      <c r="O154" s="126">
        <f>Feb!AR280</f>
        <v>3981</v>
      </c>
      <c r="P154" s="126">
        <f>Feb!AS280</f>
        <v>3058</v>
      </c>
      <c r="Q154" s="126">
        <f>Feb!AQ280</f>
        <v>13</v>
      </c>
      <c r="R154" s="436"/>
      <c r="S154" s="436"/>
      <c r="T154" s="18">
        <v>10302</v>
      </c>
      <c r="U154" s="18"/>
      <c r="V154" s="18">
        <f t="shared" si="3"/>
        <v>11902</v>
      </c>
      <c r="W154" s="45"/>
      <c r="X154" s="67"/>
    </row>
    <row r="155" spans="1:25" ht="13.5" customHeight="1">
      <c r="A155" s="427"/>
      <c r="B155" s="442" t="s">
        <v>58</v>
      </c>
      <c r="C155" s="444" t="s">
        <v>136</v>
      </c>
      <c r="D155" s="48" t="s">
        <v>56</v>
      </c>
      <c r="E155" s="441"/>
      <c r="F155" s="118" t="s">
        <v>67</v>
      </c>
      <c r="G155" s="119"/>
      <c r="H155" s="126"/>
      <c r="I155" s="126"/>
      <c r="J155" s="2"/>
      <c r="K155" s="18"/>
      <c r="L155" s="18"/>
      <c r="M155" s="18"/>
      <c r="N155" s="18"/>
      <c r="O155" s="126"/>
      <c r="P155" s="126"/>
      <c r="Q155" s="126"/>
      <c r="R155" s="436"/>
      <c r="S155" s="436"/>
      <c r="T155" s="18"/>
      <c r="U155" s="18"/>
      <c r="V155" s="18">
        <f t="shared" si="3"/>
        <v>43</v>
      </c>
      <c r="W155" s="45"/>
      <c r="X155" s="67"/>
    </row>
    <row r="156" spans="1:25" ht="15.75" customHeight="1">
      <c r="A156" s="427"/>
      <c r="B156" s="439"/>
      <c r="C156" s="445"/>
      <c r="D156" s="48" t="s">
        <v>56</v>
      </c>
      <c r="E156" s="441"/>
      <c r="F156" s="118" t="s">
        <v>140</v>
      </c>
      <c r="G156" s="119"/>
      <c r="H156" s="126"/>
      <c r="I156" s="126"/>
      <c r="J156" s="2"/>
      <c r="K156" s="18"/>
      <c r="L156" s="18"/>
      <c r="M156" s="18"/>
      <c r="N156" s="18"/>
      <c r="O156" s="126"/>
      <c r="P156" s="126"/>
      <c r="Q156" s="126"/>
      <c r="R156" s="436"/>
      <c r="S156" s="436"/>
      <c r="T156" s="18"/>
      <c r="U156" s="18"/>
      <c r="V156" s="18">
        <f t="shared" si="3"/>
        <v>8562</v>
      </c>
      <c r="W156" s="45"/>
      <c r="X156" s="67"/>
    </row>
    <row r="157" spans="1:25" ht="15" customHeight="1">
      <c r="A157" s="427"/>
      <c r="B157" s="137" t="s">
        <v>47</v>
      </c>
      <c r="C157" s="157" t="s">
        <v>100</v>
      </c>
      <c r="D157" s="48" t="s">
        <v>99</v>
      </c>
      <c r="E157" s="441"/>
      <c r="F157" s="118" t="s">
        <v>71</v>
      </c>
      <c r="G157" s="223">
        <v>984.6</v>
      </c>
      <c r="H157" s="126"/>
      <c r="I157" s="126"/>
      <c r="J157" s="2"/>
      <c r="K157" s="18"/>
      <c r="L157" s="18"/>
      <c r="M157" s="18">
        <v>48000</v>
      </c>
      <c r="N157" s="18">
        <v>8</v>
      </c>
      <c r="O157" s="126">
        <f>Feb!AR281</f>
        <v>4500</v>
      </c>
      <c r="P157" s="126">
        <f>Feb!AS281</f>
        <v>2113</v>
      </c>
      <c r="Q157" s="126">
        <f>Feb!AQ281</f>
        <v>8</v>
      </c>
      <c r="R157" s="436"/>
      <c r="S157" s="436"/>
      <c r="T157" s="18"/>
      <c r="U157" s="18"/>
      <c r="V157" s="18">
        <f t="shared" si="3"/>
        <v>42986</v>
      </c>
      <c r="W157" s="45"/>
      <c r="X157" s="67"/>
    </row>
    <row r="158" spans="1:25" ht="15" customHeight="1">
      <c r="A158" s="427"/>
      <c r="B158" s="122" t="s">
        <v>196</v>
      </c>
      <c r="C158" s="180" t="s">
        <v>63</v>
      </c>
      <c r="D158" s="48" t="s">
        <v>135</v>
      </c>
      <c r="E158" s="441"/>
      <c r="F158" s="118" t="s">
        <v>64</v>
      </c>
      <c r="G158" s="119"/>
      <c r="H158" s="126"/>
      <c r="I158" s="126"/>
      <c r="J158" s="2"/>
      <c r="K158" s="18"/>
      <c r="L158" s="18"/>
      <c r="M158" s="18"/>
      <c r="N158" s="18"/>
      <c r="O158" s="126">
        <f>Feb!AR285</f>
        <v>1104</v>
      </c>
      <c r="P158" s="126">
        <f>Feb!AS285</f>
        <v>1387</v>
      </c>
      <c r="Q158" s="126">
        <f>Feb!AQ285</f>
        <v>5</v>
      </c>
      <c r="R158" s="436"/>
      <c r="S158" s="436"/>
      <c r="T158" s="18"/>
      <c r="U158" s="18"/>
      <c r="V158" s="18">
        <f t="shared" si="3"/>
        <v>5352</v>
      </c>
      <c r="W158" s="45"/>
      <c r="X158" s="67"/>
    </row>
    <row r="159" spans="1:25" ht="15" customHeight="1">
      <c r="A159" s="427"/>
      <c r="B159" s="122" t="s">
        <v>61</v>
      </c>
      <c r="C159" s="180" t="s">
        <v>137</v>
      </c>
      <c r="D159" s="48" t="s">
        <v>56</v>
      </c>
      <c r="E159" s="441"/>
      <c r="F159" s="118" t="s">
        <v>67</v>
      </c>
      <c r="G159" s="119"/>
      <c r="H159" s="126"/>
      <c r="I159" s="126"/>
      <c r="J159" s="2"/>
      <c r="K159" s="18"/>
      <c r="L159" s="18"/>
      <c r="M159" s="18"/>
      <c r="N159" s="18"/>
      <c r="O159" s="126"/>
      <c r="P159" s="126"/>
      <c r="Q159" s="126">
        <f>Feb!AQ284</f>
        <v>2</v>
      </c>
      <c r="R159" s="436"/>
      <c r="S159" s="436"/>
      <c r="T159" s="18"/>
      <c r="U159" s="18"/>
      <c r="V159" s="18">
        <f t="shared" si="3"/>
        <v>5819</v>
      </c>
      <c r="W159" s="45"/>
      <c r="X159" s="67"/>
    </row>
    <row r="160" spans="1:25" ht="15" customHeight="1">
      <c r="A160" s="427"/>
      <c r="B160" s="122" t="s">
        <v>131</v>
      </c>
      <c r="C160" s="180" t="s">
        <v>194</v>
      </c>
      <c r="D160" s="48" t="s">
        <v>132</v>
      </c>
      <c r="E160" s="441"/>
      <c r="F160" s="118" t="s">
        <v>64</v>
      </c>
      <c r="G160" s="119"/>
      <c r="H160" s="126"/>
      <c r="I160" s="126"/>
      <c r="J160" s="2"/>
      <c r="K160" s="18"/>
      <c r="L160" s="18"/>
      <c r="M160" s="18"/>
      <c r="N160" s="18"/>
      <c r="O160" s="126"/>
      <c r="P160" s="126"/>
      <c r="Q160" s="126">
        <f>Feb!AQ286</f>
        <v>1</v>
      </c>
      <c r="R160" s="436"/>
      <c r="S160" s="436"/>
      <c r="T160" s="18"/>
      <c r="U160" s="18"/>
      <c r="V160" s="18"/>
      <c r="W160" s="45"/>
      <c r="X160" s="67"/>
    </row>
    <row r="161" spans="1:25" ht="15" customHeight="1">
      <c r="A161" s="427"/>
      <c r="B161" s="122" t="s">
        <v>101</v>
      </c>
      <c r="C161" s="180" t="s">
        <v>193</v>
      </c>
      <c r="D161" s="48" t="s">
        <v>102</v>
      </c>
      <c r="E161" s="441"/>
      <c r="F161" s="118" t="s">
        <v>64</v>
      </c>
      <c r="G161" s="119"/>
      <c r="H161" s="126"/>
      <c r="I161" s="126"/>
      <c r="J161" s="2"/>
      <c r="K161" s="18"/>
      <c r="L161" s="18"/>
      <c r="M161" s="18"/>
      <c r="N161" s="18"/>
      <c r="O161" s="126"/>
      <c r="P161" s="126"/>
      <c r="Q161" s="126">
        <f>Feb!AQ287</f>
        <v>1</v>
      </c>
      <c r="R161" s="436"/>
      <c r="S161" s="436"/>
      <c r="T161" s="18"/>
      <c r="U161" s="18"/>
      <c r="V161" s="18"/>
      <c r="W161" s="45"/>
      <c r="X161" s="67"/>
    </row>
    <row r="162" spans="1:25" ht="15" customHeight="1">
      <c r="A162" s="427"/>
      <c r="B162" s="122" t="s">
        <v>103</v>
      </c>
      <c r="C162" s="157" t="s">
        <v>197</v>
      </c>
      <c r="D162" s="48" t="s">
        <v>104</v>
      </c>
      <c r="E162" s="441"/>
      <c r="F162" s="118" t="s">
        <v>105</v>
      </c>
      <c r="G162" s="119"/>
      <c r="H162" s="126"/>
      <c r="I162" s="126"/>
      <c r="J162" s="2"/>
      <c r="K162" s="18"/>
      <c r="L162" s="18"/>
      <c r="M162" s="18"/>
      <c r="N162" s="18"/>
      <c r="O162" s="126"/>
      <c r="P162" s="126"/>
      <c r="Q162" s="126">
        <f>Feb!AQ288</f>
        <v>1</v>
      </c>
      <c r="R162" s="436"/>
      <c r="S162" s="436"/>
      <c r="T162" s="18"/>
      <c r="U162" s="18"/>
      <c r="V162" s="18"/>
      <c r="W162" s="45"/>
      <c r="X162" s="67"/>
    </row>
    <row r="163" spans="1:25" ht="15" customHeight="1">
      <c r="A163" s="427"/>
      <c r="B163" s="137" t="s">
        <v>112</v>
      </c>
      <c r="C163" s="157" t="s">
        <v>197</v>
      </c>
      <c r="D163" s="48" t="s">
        <v>104</v>
      </c>
      <c r="E163" s="441"/>
      <c r="F163" s="118" t="s">
        <v>113</v>
      </c>
      <c r="G163" s="119"/>
      <c r="H163" s="126"/>
      <c r="I163" s="126"/>
      <c r="J163" s="2"/>
      <c r="K163" s="18"/>
      <c r="L163" s="18"/>
      <c r="M163" s="18"/>
      <c r="N163" s="18"/>
      <c r="O163" s="126"/>
      <c r="P163" s="126"/>
      <c r="Q163" s="126">
        <f>Feb!AQ291</f>
        <v>1</v>
      </c>
      <c r="R163" s="436"/>
      <c r="S163" s="436"/>
      <c r="T163" s="18"/>
      <c r="U163" s="18"/>
      <c r="V163" s="18"/>
      <c r="W163" s="45"/>
      <c r="X163" s="67"/>
    </row>
    <row r="164" spans="1:25" ht="15" customHeight="1">
      <c r="A164" s="427"/>
      <c r="B164" s="137" t="s">
        <v>106</v>
      </c>
      <c r="C164" s="157" t="s">
        <v>141</v>
      </c>
      <c r="D164" s="48" t="s">
        <v>68</v>
      </c>
      <c r="E164" s="441"/>
      <c r="F164" s="118" t="s">
        <v>67</v>
      </c>
      <c r="G164" s="119"/>
      <c r="H164" s="126"/>
      <c r="I164" s="126"/>
      <c r="J164" s="2"/>
      <c r="K164" s="18"/>
      <c r="L164" s="18"/>
      <c r="M164" s="18"/>
      <c r="N164" s="18"/>
      <c r="O164" s="126"/>
      <c r="P164" s="126"/>
      <c r="Q164" s="126">
        <f>Feb!AQ289</f>
        <v>1</v>
      </c>
      <c r="R164" s="436"/>
      <c r="S164" s="436"/>
      <c r="T164" s="18"/>
      <c r="U164" s="18"/>
      <c r="V164" s="18"/>
      <c r="W164" s="45"/>
      <c r="X164" s="67"/>
    </row>
    <row r="165" spans="1:25" ht="15" customHeight="1" thickBot="1">
      <c r="A165" s="428"/>
      <c r="B165" s="44" t="s">
        <v>107</v>
      </c>
      <c r="C165" s="181" t="s">
        <v>195</v>
      </c>
      <c r="D165" s="61" t="s">
        <v>108</v>
      </c>
      <c r="E165" s="447"/>
      <c r="F165" s="133" t="s">
        <v>48</v>
      </c>
      <c r="G165" s="132"/>
      <c r="H165" s="109"/>
      <c r="I165" s="134"/>
      <c r="J165" s="129"/>
      <c r="K165" s="130"/>
      <c r="L165" s="130"/>
      <c r="M165" s="130"/>
      <c r="N165" s="130"/>
      <c r="O165" s="134"/>
      <c r="P165" s="134"/>
      <c r="Q165" s="134">
        <f>Feb!AQ290</f>
        <v>1</v>
      </c>
      <c r="R165" s="437"/>
      <c r="S165" s="437"/>
      <c r="T165" s="130"/>
      <c r="U165" s="130"/>
      <c r="V165" s="128"/>
      <c r="W165" s="85"/>
      <c r="X165" s="67"/>
    </row>
    <row r="166" spans="1:25" ht="15" customHeight="1">
      <c r="A166" s="426">
        <v>46063</v>
      </c>
      <c r="B166" s="429" t="s">
        <v>44</v>
      </c>
      <c r="C166" s="432" t="s">
        <v>240</v>
      </c>
      <c r="D166" s="19" t="s">
        <v>37</v>
      </c>
      <c r="E166" s="19" t="s">
        <v>25</v>
      </c>
      <c r="F166" s="39" t="s">
        <v>40</v>
      </c>
      <c r="G166" s="41"/>
      <c r="H166" s="32"/>
      <c r="I166" s="32"/>
      <c r="J166" s="32"/>
      <c r="K166" s="20"/>
      <c r="L166" s="20"/>
      <c r="M166" s="20"/>
      <c r="N166" s="84"/>
      <c r="O166" s="32">
        <f>Feb!AU272</f>
        <v>34118</v>
      </c>
      <c r="P166" s="32">
        <f>Feb!AV272</f>
        <v>24305</v>
      </c>
      <c r="Q166" s="32">
        <f>Feb!AT272</f>
        <v>67</v>
      </c>
      <c r="R166" s="435">
        <f>Feb!AU293</f>
        <v>74619</v>
      </c>
      <c r="S166" s="435">
        <f>Feb!AV293</f>
        <v>73178</v>
      </c>
      <c r="T166" s="20">
        <v>36621</v>
      </c>
      <c r="U166" s="20">
        <v>8</v>
      </c>
      <c r="V166" s="20">
        <f>O166-T166-U166+V144</f>
        <v>7711</v>
      </c>
      <c r="W166" s="77"/>
      <c r="X166" s="36"/>
    </row>
    <row r="167" spans="1:25" ht="15" customHeight="1">
      <c r="A167" s="427"/>
      <c r="B167" s="430"/>
      <c r="C167" s="433"/>
      <c r="D167" s="113" t="s">
        <v>69</v>
      </c>
      <c r="E167" s="438" t="s">
        <v>24</v>
      </c>
      <c r="F167" s="118" t="s">
        <v>40</v>
      </c>
      <c r="G167" s="38"/>
      <c r="H167" s="37"/>
      <c r="I167" s="125"/>
      <c r="J167" s="125"/>
      <c r="K167" s="127"/>
      <c r="L167" s="127"/>
      <c r="M167" s="127"/>
      <c r="N167" s="81"/>
      <c r="O167" s="125">
        <f>Feb!AU273</f>
        <v>1591</v>
      </c>
      <c r="P167" s="125">
        <f>Feb!AV273</f>
        <v>1605</v>
      </c>
      <c r="Q167" s="125">
        <f>Feb!AT273</f>
        <v>5</v>
      </c>
      <c r="R167" s="436"/>
      <c r="S167" s="436"/>
      <c r="T167" s="127">
        <v>7960</v>
      </c>
      <c r="U167" s="127"/>
      <c r="V167" s="127">
        <f>O167-T167-U167+V145</f>
        <v>2441</v>
      </c>
      <c r="W167" s="46"/>
      <c r="X167" s="67"/>
    </row>
    <row r="168" spans="1:25" ht="15" customHeight="1">
      <c r="A168" s="427"/>
      <c r="B168" s="431"/>
      <c r="C168" s="434"/>
      <c r="D168" s="113" t="s">
        <v>128</v>
      </c>
      <c r="E168" s="431"/>
      <c r="F168" s="114" t="s">
        <v>40</v>
      </c>
      <c r="G168" s="135"/>
      <c r="H168" s="135">
        <v>3037.5</v>
      </c>
      <c r="I168" s="125"/>
      <c r="J168" s="125"/>
      <c r="K168" s="18"/>
      <c r="L168" s="127"/>
      <c r="M168" s="127">
        <v>214800</v>
      </c>
      <c r="N168" s="81">
        <v>27</v>
      </c>
      <c r="O168" s="126">
        <f>Feb!AU274</f>
        <v>7177</v>
      </c>
      <c r="P168" s="125">
        <f>Feb!AV274</f>
        <v>14344</v>
      </c>
      <c r="Q168" s="125">
        <f>Feb!AT274</f>
        <v>39</v>
      </c>
      <c r="R168" s="436"/>
      <c r="S168" s="436"/>
      <c r="T168" s="127"/>
      <c r="U168" s="127"/>
      <c r="V168" s="127">
        <f>O168-T168-U168+V146</f>
        <v>9944</v>
      </c>
      <c r="W168" s="46"/>
      <c r="X168" s="67"/>
    </row>
    <row r="169" spans="1:25" ht="15" customHeight="1">
      <c r="A169" s="427"/>
      <c r="B169" s="439" t="s">
        <v>45</v>
      </c>
      <c r="C169" s="440" t="s">
        <v>59</v>
      </c>
      <c r="D169" s="118" t="s">
        <v>75</v>
      </c>
      <c r="E169" s="131" t="s">
        <v>25</v>
      </c>
      <c r="F169" s="131" t="s">
        <v>57</v>
      </c>
      <c r="G169" s="87"/>
      <c r="H169" s="136"/>
      <c r="I169" s="126"/>
      <c r="J169" s="2"/>
      <c r="K169" s="127"/>
      <c r="L169" s="18"/>
      <c r="M169" s="18">
        <v>35300</v>
      </c>
      <c r="N169" s="80">
        <v>7</v>
      </c>
      <c r="O169" s="126">
        <f>Feb!AU276</f>
        <v>498</v>
      </c>
      <c r="P169" s="126">
        <f>Feb!AV276</f>
        <v>3437</v>
      </c>
      <c r="Q169" s="2">
        <f>Feb!AT276</f>
        <v>13</v>
      </c>
      <c r="R169" s="436"/>
      <c r="S169" s="436"/>
      <c r="T169" s="18"/>
      <c r="U169" s="18"/>
      <c r="V169" s="127">
        <f>O169-T169-U169+V147</f>
        <v>57199</v>
      </c>
      <c r="W169" s="46"/>
      <c r="Y169" s="13"/>
    </row>
    <row r="170" spans="1:25">
      <c r="A170" s="427"/>
      <c r="B170" s="439"/>
      <c r="C170" s="440"/>
      <c r="D170" s="118" t="s">
        <v>72</v>
      </c>
      <c r="E170" s="424" t="s">
        <v>24</v>
      </c>
      <c r="F170" s="131" t="s">
        <v>57</v>
      </c>
      <c r="G170" s="136"/>
      <c r="H170" s="136"/>
      <c r="I170" s="126"/>
      <c r="J170" s="126"/>
      <c r="K170" s="127"/>
      <c r="L170" s="18"/>
      <c r="M170" s="18">
        <v>90000</v>
      </c>
      <c r="N170" s="80">
        <v>18</v>
      </c>
      <c r="O170" s="126">
        <f>Feb!AU277</f>
        <v>5953</v>
      </c>
      <c r="P170" s="126">
        <f>Feb!AV277</f>
        <v>6250</v>
      </c>
      <c r="Q170" s="2">
        <f>Feb!AT277</f>
        <v>25</v>
      </c>
      <c r="R170" s="436"/>
      <c r="S170" s="436"/>
      <c r="T170" s="18">
        <v>4532</v>
      </c>
      <c r="U170" s="18"/>
      <c r="V170" s="127">
        <f>O170-T170-U170+V148</f>
        <v>3118</v>
      </c>
      <c r="W170" s="46"/>
      <c r="Y170" s="13"/>
    </row>
    <row r="171" spans="1:25">
      <c r="A171" s="427"/>
      <c r="B171" s="439"/>
      <c r="C171" s="440"/>
      <c r="D171" s="115" t="s">
        <v>73</v>
      </c>
      <c r="E171" s="425"/>
      <c r="F171" s="131"/>
      <c r="G171" s="224"/>
      <c r="H171" s="136"/>
      <c r="I171" s="126"/>
      <c r="J171" s="126"/>
      <c r="K171" s="127"/>
      <c r="L171" s="18"/>
      <c r="M171" s="18"/>
      <c r="N171" s="80"/>
      <c r="O171" s="126"/>
      <c r="P171" s="126"/>
      <c r="Q171" s="126"/>
      <c r="R171" s="436"/>
      <c r="S171" s="436"/>
      <c r="T171" s="18"/>
      <c r="U171" s="18"/>
      <c r="V171" s="127"/>
      <c r="W171" s="46"/>
      <c r="Y171" s="13"/>
    </row>
    <row r="172" spans="1:25">
      <c r="A172" s="427"/>
      <c r="B172" s="439"/>
      <c r="C172" s="440"/>
      <c r="D172" s="115" t="s">
        <v>79</v>
      </c>
      <c r="E172" s="118" t="s">
        <v>65</v>
      </c>
      <c r="F172" s="131" t="s">
        <v>57</v>
      </c>
      <c r="G172" s="224"/>
      <c r="H172" s="136"/>
      <c r="I172" s="126"/>
      <c r="J172" s="126"/>
      <c r="K172" s="127"/>
      <c r="L172" s="18"/>
      <c r="M172" s="18">
        <v>59000</v>
      </c>
      <c r="N172" s="80">
        <v>12</v>
      </c>
      <c r="O172" s="126">
        <f>Feb!AU278</f>
        <v>9473</v>
      </c>
      <c r="P172" s="126">
        <f>Feb!AV278</f>
        <v>7031</v>
      </c>
      <c r="Q172" s="126">
        <f>Feb!AT278</f>
        <v>28</v>
      </c>
      <c r="R172" s="436"/>
      <c r="S172" s="436"/>
      <c r="T172" s="18">
        <v>8759</v>
      </c>
      <c r="U172" s="18"/>
      <c r="V172" s="127">
        <f>O172-T172-U172+V149</f>
        <v>4168</v>
      </c>
      <c r="W172" s="46"/>
      <c r="Y172" s="13"/>
    </row>
    <row r="173" spans="1:25" ht="14.25" customHeight="1">
      <c r="A173" s="427"/>
      <c r="B173" s="442" t="s">
        <v>53</v>
      </c>
      <c r="C173" s="444" t="s">
        <v>60</v>
      </c>
      <c r="D173" s="43" t="s">
        <v>130</v>
      </c>
      <c r="E173" s="115" t="s">
        <v>66</v>
      </c>
      <c r="F173" s="118" t="s">
        <v>54</v>
      </c>
      <c r="G173" s="229">
        <v>1243.95</v>
      </c>
      <c r="H173" s="37"/>
      <c r="I173" s="126"/>
      <c r="J173" s="126"/>
      <c r="K173" s="18">
        <v>17700</v>
      </c>
      <c r="L173" s="18">
        <v>3</v>
      </c>
      <c r="M173" s="211">
        <f>M151+17500-K173</f>
        <v>106000</v>
      </c>
      <c r="N173" s="215">
        <f>N151+4-3</f>
        <v>19</v>
      </c>
      <c r="O173" s="126">
        <f>Feb!AU275</f>
        <v>9135</v>
      </c>
      <c r="P173" s="126">
        <f>Feb!AV275</f>
        <v>9894</v>
      </c>
      <c r="Q173" s="126">
        <f>Feb!AT275</f>
        <v>29</v>
      </c>
      <c r="R173" s="436"/>
      <c r="S173" s="436"/>
      <c r="T173" s="18">
        <v>14635</v>
      </c>
      <c r="U173" s="18"/>
      <c r="V173" s="127">
        <f>O173-T173-U173+V151</f>
        <v>6874</v>
      </c>
      <c r="W173" s="45"/>
      <c r="X173" s="36"/>
    </row>
    <row r="174" spans="1:25" ht="14.25" customHeight="1">
      <c r="A174" s="427"/>
      <c r="B174" s="443"/>
      <c r="C174" s="446"/>
      <c r="D174" s="43" t="s">
        <v>199</v>
      </c>
      <c r="E174" s="114" t="s">
        <v>25</v>
      </c>
      <c r="F174" s="118"/>
      <c r="G174" s="224"/>
      <c r="H174" s="37">
        <v>2801.6</v>
      </c>
      <c r="I174" s="126"/>
      <c r="J174" s="126"/>
      <c r="K174" s="18"/>
      <c r="L174" s="18"/>
      <c r="M174" s="18"/>
      <c r="N174" s="80"/>
      <c r="O174" s="126"/>
      <c r="P174" s="126"/>
      <c r="Q174" s="126"/>
      <c r="R174" s="436"/>
      <c r="S174" s="436"/>
      <c r="T174" s="18"/>
      <c r="U174" s="18"/>
      <c r="V174" s="127"/>
      <c r="W174" s="45"/>
      <c r="X174" s="67"/>
    </row>
    <row r="175" spans="1:25" ht="14.25" customHeight="1">
      <c r="A175" s="427"/>
      <c r="B175" s="122" t="s">
        <v>55</v>
      </c>
      <c r="C175" s="180" t="s">
        <v>133</v>
      </c>
      <c r="D175" s="48" t="s">
        <v>56</v>
      </c>
      <c r="E175" s="424" t="s">
        <v>25</v>
      </c>
      <c r="F175" s="118" t="s">
        <v>67</v>
      </c>
      <c r="G175" s="224"/>
      <c r="H175" s="37"/>
      <c r="I175" s="126"/>
      <c r="J175" s="126"/>
      <c r="K175" s="18"/>
      <c r="L175" s="18"/>
      <c r="M175" s="18"/>
      <c r="N175" s="80"/>
      <c r="O175" s="126"/>
      <c r="P175" s="126"/>
      <c r="Q175" s="126"/>
      <c r="R175" s="436"/>
      <c r="S175" s="436"/>
      <c r="T175" s="18"/>
      <c r="U175" s="18"/>
      <c r="V175" s="127">
        <f t="shared" ref="V175:V180" si="4">O175-T175-U175+V152</f>
        <v>500</v>
      </c>
      <c r="W175" s="45"/>
      <c r="X175" s="67"/>
    </row>
    <row r="176" spans="1:25" ht="14.25" customHeight="1">
      <c r="A176" s="427"/>
      <c r="B176" s="122" t="s">
        <v>122</v>
      </c>
      <c r="C176" s="180" t="s">
        <v>123</v>
      </c>
      <c r="D176" s="48" t="s">
        <v>56</v>
      </c>
      <c r="E176" s="441"/>
      <c r="F176" s="155" t="s">
        <v>64</v>
      </c>
      <c r="G176" s="224"/>
      <c r="H176" s="135"/>
      <c r="I176" s="158"/>
      <c r="J176" s="158"/>
      <c r="K176" s="128"/>
      <c r="L176" s="128"/>
      <c r="M176" s="128">
        <v>6400</v>
      </c>
      <c r="N176" s="164">
        <v>2</v>
      </c>
      <c r="O176" s="158"/>
      <c r="P176" s="158"/>
      <c r="Q176" s="158">
        <f>Feb!AT282</f>
        <v>3</v>
      </c>
      <c r="R176" s="436"/>
      <c r="S176" s="436"/>
      <c r="T176" s="18"/>
      <c r="U176" s="18"/>
      <c r="V176" s="127">
        <f t="shared" si="4"/>
        <v>31304</v>
      </c>
      <c r="W176" s="45"/>
      <c r="X176" s="67"/>
    </row>
    <row r="177" spans="1:24" ht="14.25" customHeight="1">
      <c r="A177" s="427"/>
      <c r="B177" s="122" t="s">
        <v>125</v>
      </c>
      <c r="C177" s="180" t="s">
        <v>88</v>
      </c>
      <c r="D177" s="48" t="s">
        <v>124</v>
      </c>
      <c r="E177" s="441"/>
      <c r="F177" s="118" t="s">
        <v>64</v>
      </c>
      <c r="G177" s="225"/>
      <c r="H177" s="126">
        <v>576</v>
      </c>
      <c r="I177" s="126"/>
      <c r="J177" s="126"/>
      <c r="K177" s="18">
        <v>7400</v>
      </c>
      <c r="L177" s="18">
        <v>1</v>
      </c>
      <c r="M177" s="18">
        <v>80800</v>
      </c>
      <c r="N177" s="80">
        <v>11</v>
      </c>
      <c r="O177" s="126">
        <f>Feb!AU280</f>
        <v>4757</v>
      </c>
      <c r="P177" s="126">
        <f>Feb!AV280</f>
        <v>2870</v>
      </c>
      <c r="Q177" s="126">
        <f>Feb!AT280</f>
        <v>13</v>
      </c>
      <c r="R177" s="436"/>
      <c r="S177" s="436"/>
      <c r="T177" s="18"/>
      <c r="U177" s="18"/>
      <c r="V177" s="127">
        <f t="shared" si="4"/>
        <v>16659</v>
      </c>
      <c r="W177" s="45"/>
      <c r="X177" s="67"/>
    </row>
    <row r="178" spans="1:24" ht="13.5" customHeight="1">
      <c r="A178" s="427"/>
      <c r="B178" s="442" t="s">
        <v>58</v>
      </c>
      <c r="C178" s="444" t="s">
        <v>136</v>
      </c>
      <c r="D178" s="48" t="s">
        <v>56</v>
      </c>
      <c r="E178" s="441"/>
      <c r="F178" s="118" t="s">
        <v>67</v>
      </c>
      <c r="G178" s="226"/>
      <c r="H178" s="126"/>
      <c r="I178" s="126"/>
      <c r="J178" s="2"/>
      <c r="K178" s="18"/>
      <c r="L178" s="18"/>
      <c r="M178" s="18"/>
      <c r="N178" s="18"/>
      <c r="O178" s="126"/>
      <c r="P178" s="126"/>
      <c r="Q178" s="126"/>
      <c r="R178" s="436"/>
      <c r="S178" s="436"/>
      <c r="T178" s="18"/>
      <c r="U178" s="18"/>
      <c r="V178" s="127">
        <f t="shared" si="4"/>
        <v>43</v>
      </c>
      <c r="W178" s="45"/>
      <c r="X178" s="67"/>
    </row>
    <row r="179" spans="1:24" ht="15.75" customHeight="1">
      <c r="A179" s="427"/>
      <c r="B179" s="439"/>
      <c r="C179" s="445"/>
      <c r="D179" s="48" t="s">
        <v>56</v>
      </c>
      <c r="E179" s="441"/>
      <c r="F179" s="118" t="s">
        <v>140</v>
      </c>
      <c r="G179" s="226"/>
      <c r="H179" s="126"/>
      <c r="I179" s="126"/>
      <c r="J179" s="2"/>
      <c r="K179" s="18"/>
      <c r="L179" s="18"/>
      <c r="M179" s="18"/>
      <c r="N179" s="18"/>
      <c r="O179" s="126"/>
      <c r="P179" s="126"/>
      <c r="Q179" s="126"/>
      <c r="R179" s="436"/>
      <c r="S179" s="436"/>
      <c r="T179" s="18"/>
      <c r="U179" s="18"/>
      <c r="V179" s="127">
        <f t="shared" si="4"/>
        <v>8562</v>
      </c>
      <c r="W179" s="45"/>
      <c r="X179" s="67"/>
    </row>
    <row r="180" spans="1:24" ht="15" customHeight="1">
      <c r="A180" s="427"/>
      <c r="B180" s="442" t="s">
        <v>47</v>
      </c>
      <c r="C180" s="444" t="s">
        <v>100</v>
      </c>
      <c r="D180" s="48" t="s">
        <v>99</v>
      </c>
      <c r="E180" s="441"/>
      <c r="F180" s="118" t="s">
        <v>71</v>
      </c>
      <c r="G180" s="226"/>
      <c r="H180" s="126"/>
      <c r="I180" s="126"/>
      <c r="J180" s="2"/>
      <c r="K180" s="18">
        <v>6000</v>
      </c>
      <c r="L180" s="18">
        <v>1</v>
      </c>
      <c r="M180" s="18">
        <v>42000</v>
      </c>
      <c r="N180" s="18">
        <v>7</v>
      </c>
      <c r="O180" s="126">
        <f>Feb!AU281</f>
        <v>196</v>
      </c>
      <c r="P180" s="126">
        <f>Feb!AV281</f>
        <v>2080</v>
      </c>
      <c r="Q180" s="126">
        <f>Feb!AT281</f>
        <v>8</v>
      </c>
      <c r="R180" s="436"/>
      <c r="S180" s="436"/>
      <c r="T180" s="18"/>
      <c r="U180" s="18"/>
      <c r="V180" s="127">
        <f t="shared" si="4"/>
        <v>43182</v>
      </c>
      <c r="W180" s="45"/>
      <c r="X180" s="67"/>
    </row>
    <row r="181" spans="1:24" ht="15" customHeight="1">
      <c r="A181" s="427"/>
      <c r="B181" s="443"/>
      <c r="C181" s="446"/>
      <c r="D181" s="48" t="s">
        <v>121</v>
      </c>
      <c r="E181" s="441"/>
      <c r="F181" s="118"/>
      <c r="G181" s="226"/>
      <c r="H181" s="126">
        <v>612</v>
      </c>
      <c r="I181" s="126"/>
      <c r="J181" s="2"/>
      <c r="K181" s="18"/>
      <c r="L181" s="18"/>
      <c r="M181" s="18"/>
      <c r="N181" s="18"/>
      <c r="O181" s="126"/>
      <c r="P181" s="126"/>
      <c r="Q181" s="126"/>
      <c r="R181" s="436"/>
      <c r="S181" s="436"/>
      <c r="T181" s="18"/>
      <c r="U181" s="18"/>
      <c r="V181" s="127"/>
      <c r="W181" s="45"/>
      <c r="X181" s="67"/>
    </row>
    <row r="182" spans="1:24" ht="15" customHeight="1">
      <c r="A182" s="427"/>
      <c r="B182" s="122" t="s">
        <v>196</v>
      </c>
      <c r="C182" s="180" t="s">
        <v>63</v>
      </c>
      <c r="D182" s="48" t="s">
        <v>135</v>
      </c>
      <c r="E182" s="441"/>
      <c r="F182" s="118" t="s">
        <v>64</v>
      </c>
      <c r="G182" s="226"/>
      <c r="H182" s="126"/>
      <c r="I182" s="126"/>
      <c r="J182" s="2"/>
      <c r="K182" s="18"/>
      <c r="L182" s="18"/>
      <c r="M182" s="18"/>
      <c r="N182" s="18"/>
      <c r="O182" s="126">
        <f>Feb!AU285</f>
        <v>1721</v>
      </c>
      <c r="P182" s="126">
        <f>Feb!AV285</f>
        <v>1362</v>
      </c>
      <c r="Q182" s="126">
        <f>Feb!AT285</f>
        <v>5</v>
      </c>
      <c r="R182" s="436"/>
      <c r="S182" s="436"/>
      <c r="T182" s="18"/>
      <c r="U182" s="18"/>
      <c r="V182" s="127">
        <f>O182-T182-U182+V158</f>
        <v>7073</v>
      </c>
      <c r="W182" s="45"/>
      <c r="X182" s="67"/>
    </row>
    <row r="183" spans="1:24" ht="15" customHeight="1">
      <c r="A183" s="427"/>
      <c r="B183" s="122" t="s">
        <v>61</v>
      </c>
      <c r="C183" s="180" t="s">
        <v>137</v>
      </c>
      <c r="D183" s="48" t="s">
        <v>56</v>
      </c>
      <c r="E183" s="441"/>
      <c r="F183" s="118" t="s">
        <v>67</v>
      </c>
      <c r="G183" s="119"/>
      <c r="H183" s="126"/>
      <c r="I183" s="126"/>
      <c r="J183" s="2"/>
      <c r="K183" s="18"/>
      <c r="L183" s="18"/>
      <c r="M183" s="18"/>
      <c r="N183" s="18"/>
      <c r="O183" s="126"/>
      <c r="P183" s="126"/>
      <c r="Q183" s="126">
        <f>Feb!AT284</f>
        <v>2</v>
      </c>
      <c r="R183" s="436"/>
      <c r="S183" s="436"/>
      <c r="T183" s="18"/>
      <c r="U183" s="18"/>
      <c r="V183" s="127">
        <f>O183-T183-U183+V159</f>
        <v>5819</v>
      </c>
      <c r="W183" s="45"/>
      <c r="X183" s="67"/>
    </row>
    <row r="184" spans="1:24" ht="15" customHeight="1">
      <c r="A184" s="427"/>
      <c r="B184" s="122" t="s">
        <v>131</v>
      </c>
      <c r="C184" s="180" t="s">
        <v>194</v>
      </c>
      <c r="D184" s="48" t="s">
        <v>132</v>
      </c>
      <c r="E184" s="441"/>
      <c r="F184" s="118" t="s">
        <v>64</v>
      </c>
      <c r="G184" s="119"/>
      <c r="H184" s="126"/>
      <c r="I184" s="126"/>
      <c r="J184" s="2"/>
      <c r="K184" s="18"/>
      <c r="L184" s="18"/>
      <c r="M184" s="18"/>
      <c r="N184" s="18"/>
      <c r="O184" s="126"/>
      <c r="P184" s="126"/>
      <c r="Q184" s="126">
        <f>Feb!AT290</f>
        <v>1</v>
      </c>
      <c r="R184" s="436"/>
      <c r="S184" s="436"/>
      <c r="T184" s="18"/>
      <c r="U184" s="18"/>
      <c r="V184" s="18"/>
      <c r="W184" s="45"/>
      <c r="X184" s="67"/>
    </row>
    <row r="185" spans="1:24" ht="15" customHeight="1">
      <c r="A185" s="427"/>
      <c r="B185" s="122" t="s">
        <v>101</v>
      </c>
      <c r="C185" s="180" t="s">
        <v>193</v>
      </c>
      <c r="D185" s="48" t="s">
        <v>102</v>
      </c>
      <c r="E185" s="441"/>
      <c r="F185" s="118" t="s">
        <v>64</v>
      </c>
      <c r="G185" s="119"/>
      <c r="H185" s="126"/>
      <c r="I185" s="126"/>
      <c r="J185" s="2"/>
      <c r="K185" s="18"/>
      <c r="L185" s="18"/>
      <c r="M185" s="18"/>
      <c r="N185" s="18"/>
      <c r="O185" s="126"/>
      <c r="P185" s="126"/>
      <c r="Q185" s="126">
        <f>Feb!AT287</f>
        <v>1</v>
      </c>
      <c r="R185" s="436"/>
      <c r="S185" s="436"/>
      <c r="T185" s="18"/>
      <c r="U185" s="18"/>
      <c r="V185" s="18"/>
      <c r="W185" s="45"/>
      <c r="X185" s="67"/>
    </row>
    <row r="186" spans="1:24" ht="15" customHeight="1">
      <c r="A186" s="427"/>
      <c r="B186" s="122" t="s">
        <v>103</v>
      </c>
      <c r="C186" s="157" t="s">
        <v>197</v>
      </c>
      <c r="D186" s="48" t="s">
        <v>104</v>
      </c>
      <c r="E186" s="441"/>
      <c r="F186" s="118" t="s">
        <v>105</v>
      </c>
      <c r="G186" s="119"/>
      <c r="H186" s="126"/>
      <c r="I186" s="126"/>
      <c r="J186" s="2"/>
      <c r="K186" s="18"/>
      <c r="L186" s="18"/>
      <c r="M186" s="18"/>
      <c r="N186" s="18"/>
      <c r="O186" s="126"/>
      <c r="P186" s="126"/>
      <c r="Q186" s="126">
        <f>Feb!AT288</f>
        <v>1</v>
      </c>
      <c r="R186" s="436"/>
      <c r="S186" s="436"/>
      <c r="T186" s="18"/>
      <c r="U186" s="18"/>
      <c r="V186" s="18"/>
      <c r="W186" s="45"/>
      <c r="X186" s="67"/>
    </row>
    <row r="187" spans="1:24" ht="15" customHeight="1">
      <c r="A187" s="427"/>
      <c r="B187" s="137" t="s">
        <v>112</v>
      </c>
      <c r="C187" s="157" t="s">
        <v>197</v>
      </c>
      <c r="D187" s="48" t="s">
        <v>104</v>
      </c>
      <c r="E187" s="441"/>
      <c r="F187" s="118" t="s">
        <v>113</v>
      </c>
      <c r="G187" s="119"/>
      <c r="H187" s="126"/>
      <c r="I187" s="126"/>
      <c r="J187" s="2"/>
      <c r="K187" s="18"/>
      <c r="L187" s="18"/>
      <c r="M187" s="18"/>
      <c r="N187" s="18"/>
      <c r="O187" s="126"/>
      <c r="P187" s="126"/>
      <c r="Q187" s="126">
        <f>Feb!AT291</f>
        <v>1</v>
      </c>
      <c r="R187" s="436"/>
      <c r="S187" s="436"/>
      <c r="T187" s="18"/>
      <c r="U187" s="18"/>
      <c r="V187" s="18"/>
      <c r="W187" s="45"/>
      <c r="X187" s="67"/>
    </row>
    <row r="188" spans="1:24" ht="15" customHeight="1">
      <c r="A188" s="427"/>
      <c r="B188" s="137" t="s">
        <v>106</v>
      </c>
      <c r="C188" s="157" t="s">
        <v>141</v>
      </c>
      <c r="D188" s="48" t="s">
        <v>68</v>
      </c>
      <c r="E188" s="441"/>
      <c r="F188" s="118" t="s">
        <v>67</v>
      </c>
      <c r="G188" s="119"/>
      <c r="H188" s="126"/>
      <c r="I188" s="126"/>
      <c r="J188" s="2"/>
      <c r="K188" s="18"/>
      <c r="L188" s="18"/>
      <c r="M188" s="18"/>
      <c r="N188" s="18"/>
      <c r="O188" s="126"/>
      <c r="P188" s="126"/>
      <c r="Q188" s="126">
        <f>Feb!AT289</f>
        <v>1</v>
      </c>
      <c r="R188" s="436"/>
      <c r="S188" s="436"/>
      <c r="T188" s="18"/>
      <c r="U188" s="18"/>
      <c r="V188" s="18"/>
      <c r="W188" s="45"/>
      <c r="X188" s="67"/>
    </row>
    <row r="189" spans="1:24" ht="15" customHeight="1" thickBot="1">
      <c r="A189" s="428"/>
      <c r="B189" s="44" t="s">
        <v>107</v>
      </c>
      <c r="C189" s="181" t="s">
        <v>195</v>
      </c>
      <c r="D189" s="61" t="s">
        <v>108</v>
      </c>
      <c r="E189" s="447"/>
      <c r="F189" s="133" t="s">
        <v>48</v>
      </c>
      <c r="G189" s="132"/>
      <c r="H189" s="109"/>
      <c r="I189" s="134"/>
      <c r="J189" s="129"/>
      <c r="K189" s="130"/>
      <c r="L189" s="130"/>
      <c r="M189" s="130"/>
      <c r="N189" s="130"/>
      <c r="O189" s="134"/>
      <c r="P189" s="134"/>
      <c r="Q189" s="134">
        <f>Feb!AT290</f>
        <v>1</v>
      </c>
      <c r="R189" s="437"/>
      <c r="S189" s="437"/>
      <c r="T189" s="130"/>
      <c r="U189" s="130"/>
      <c r="V189" s="128"/>
      <c r="W189" s="85"/>
      <c r="X189" s="67"/>
    </row>
    <row r="190" spans="1:24" ht="15" customHeight="1">
      <c r="A190" s="426">
        <v>46064</v>
      </c>
      <c r="B190" s="429" t="s">
        <v>44</v>
      </c>
      <c r="C190" s="432" t="s">
        <v>240</v>
      </c>
      <c r="D190" s="19" t="s">
        <v>37</v>
      </c>
      <c r="E190" s="19" t="s">
        <v>25</v>
      </c>
      <c r="F190" s="39" t="s">
        <v>40</v>
      </c>
      <c r="G190" s="41"/>
      <c r="H190" s="32"/>
      <c r="I190" s="32"/>
      <c r="J190" s="32"/>
      <c r="K190" s="20"/>
      <c r="L190" s="20"/>
      <c r="M190" s="20"/>
      <c r="N190" s="84"/>
      <c r="O190" s="32">
        <f>Feb!AX272</f>
        <v>25943</v>
      </c>
      <c r="P190" s="32">
        <f>Feb!AY272</f>
        <v>23716</v>
      </c>
      <c r="Q190" s="32">
        <f>Feb!AW272</f>
        <v>66</v>
      </c>
      <c r="R190" s="435">
        <f>Feb!AX293</f>
        <v>68667</v>
      </c>
      <c r="S190" s="435">
        <f>Feb!AY293</f>
        <v>73019</v>
      </c>
      <c r="T190" s="20">
        <v>9224</v>
      </c>
      <c r="U190" s="20"/>
      <c r="V190" s="20">
        <f>O190-T190-U190+V166</f>
        <v>24430</v>
      </c>
      <c r="W190" s="77"/>
      <c r="X190" s="36"/>
    </row>
    <row r="191" spans="1:24" ht="15" customHeight="1">
      <c r="A191" s="427"/>
      <c r="B191" s="430"/>
      <c r="C191" s="433"/>
      <c r="D191" s="113" t="s">
        <v>69</v>
      </c>
      <c r="E191" s="438" t="s">
        <v>24</v>
      </c>
      <c r="F191" s="118" t="s">
        <v>40</v>
      </c>
      <c r="G191" s="38"/>
      <c r="H191" s="37"/>
      <c r="I191" s="125"/>
      <c r="J191" s="125"/>
      <c r="K191" s="127"/>
      <c r="L191" s="127"/>
      <c r="M191" s="127"/>
      <c r="N191" s="81"/>
      <c r="O191" s="125"/>
      <c r="P191" s="125">
        <f>Feb!AY273</f>
        <v>1477</v>
      </c>
      <c r="Q191" s="125">
        <f>Feb!AW273</f>
        <v>4</v>
      </c>
      <c r="R191" s="436"/>
      <c r="S191" s="436"/>
      <c r="T191" s="127"/>
      <c r="U191" s="127"/>
      <c r="V191" s="127">
        <f>O191-T191-U191+V167</f>
        <v>2441</v>
      </c>
      <c r="W191" s="46"/>
      <c r="X191" s="67"/>
    </row>
    <row r="192" spans="1:24" ht="15" customHeight="1">
      <c r="A192" s="427"/>
      <c r="B192" s="431"/>
      <c r="C192" s="434"/>
      <c r="D192" s="113" t="s">
        <v>128</v>
      </c>
      <c r="E192" s="431"/>
      <c r="F192" s="114" t="s">
        <v>40</v>
      </c>
      <c r="G192" s="135"/>
      <c r="H192" s="135"/>
      <c r="I192" s="125"/>
      <c r="J192" s="125"/>
      <c r="K192" s="18">
        <v>31700</v>
      </c>
      <c r="L192" s="127">
        <v>4</v>
      </c>
      <c r="M192" s="127">
        <v>183100</v>
      </c>
      <c r="N192" s="81">
        <v>23</v>
      </c>
      <c r="O192" s="126">
        <f>Feb!AX274</f>
        <v>13086</v>
      </c>
      <c r="P192" s="125">
        <f>Feb!AY274</f>
        <v>15648</v>
      </c>
      <c r="Q192" s="125">
        <f>Feb!AW274</f>
        <v>43</v>
      </c>
      <c r="R192" s="436"/>
      <c r="S192" s="436"/>
      <c r="T192" s="127">
        <v>18582</v>
      </c>
      <c r="U192" s="127">
        <v>24</v>
      </c>
      <c r="V192" s="127">
        <f>O192-T192-U192+V168</f>
        <v>4424</v>
      </c>
      <c r="W192" s="46"/>
      <c r="X192" s="67"/>
    </row>
    <row r="193" spans="1:25" ht="15" customHeight="1">
      <c r="A193" s="427"/>
      <c r="B193" s="442" t="s">
        <v>45</v>
      </c>
      <c r="C193" s="448" t="s">
        <v>59</v>
      </c>
      <c r="D193" s="118" t="s">
        <v>75</v>
      </c>
      <c r="E193" s="131" t="s">
        <v>25</v>
      </c>
      <c r="F193" s="131" t="s">
        <v>57</v>
      </c>
      <c r="G193" s="87"/>
      <c r="H193" s="136"/>
      <c r="I193" s="126"/>
      <c r="J193" s="2"/>
      <c r="K193" s="127"/>
      <c r="L193" s="18"/>
      <c r="M193" s="18">
        <v>35300</v>
      </c>
      <c r="N193" s="80">
        <v>7</v>
      </c>
      <c r="O193" s="126"/>
      <c r="P193" s="126">
        <f>Feb!AY276</f>
        <v>3465</v>
      </c>
      <c r="Q193" s="2">
        <f>Feb!AW276</f>
        <v>13</v>
      </c>
      <c r="R193" s="436"/>
      <c r="S193" s="436"/>
      <c r="T193" s="18"/>
      <c r="U193" s="18"/>
      <c r="V193" s="127">
        <f>O193-T193-U193+V169</f>
        <v>57199</v>
      </c>
      <c r="W193" s="46"/>
      <c r="Y193" s="13"/>
    </row>
    <row r="194" spans="1:25">
      <c r="A194" s="427"/>
      <c r="B194" s="439"/>
      <c r="C194" s="440"/>
      <c r="D194" s="118" t="s">
        <v>72</v>
      </c>
      <c r="E194" s="424" t="s">
        <v>24</v>
      </c>
      <c r="F194" s="131" t="s">
        <v>57</v>
      </c>
      <c r="G194" s="136"/>
      <c r="H194" s="136"/>
      <c r="I194" s="126"/>
      <c r="J194" s="126"/>
      <c r="K194" s="127"/>
      <c r="L194" s="18"/>
      <c r="M194" s="18">
        <v>90000</v>
      </c>
      <c r="N194" s="80">
        <v>18</v>
      </c>
      <c r="O194" s="126">
        <f>Feb!AX277</f>
        <v>9559</v>
      </c>
      <c r="P194" s="126">
        <f>Feb!AY277</f>
        <v>6284</v>
      </c>
      <c r="Q194" s="2">
        <f>Feb!AW277</f>
        <v>25</v>
      </c>
      <c r="R194" s="436"/>
      <c r="S194" s="436"/>
      <c r="T194" s="18">
        <v>6369</v>
      </c>
      <c r="U194" s="18">
        <v>2</v>
      </c>
      <c r="V194" s="127">
        <f>O194-T194-U194+V170</f>
        <v>6306</v>
      </c>
      <c r="W194" s="46"/>
      <c r="Y194" s="13"/>
    </row>
    <row r="195" spans="1:25">
      <c r="A195" s="427"/>
      <c r="B195" s="439"/>
      <c r="C195" s="440"/>
      <c r="D195" s="115" t="s">
        <v>73</v>
      </c>
      <c r="E195" s="425"/>
      <c r="F195" s="131"/>
      <c r="G195" s="224"/>
      <c r="H195" s="152">
        <v>1980</v>
      </c>
      <c r="I195" s="126"/>
      <c r="J195" s="126"/>
      <c r="K195" s="127"/>
      <c r="L195" s="18"/>
      <c r="M195" s="18"/>
      <c r="N195" s="80"/>
      <c r="O195" s="126"/>
      <c r="P195" s="126"/>
      <c r="Q195" s="126"/>
      <c r="R195" s="436"/>
      <c r="S195" s="436"/>
      <c r="T195" s="18"/>
      <c r="U195" s="18"/>
      <c r="V195" s="127"/>
      <c r="W195" s="46"/>
      <c r="Y195" s="13"/>
    </row>
    <row r="196" spans="1:25">
      <c r="A196" s="427"/>
      <c r="B196" s="439"/>
      <c r="C196" s="440"/>
      <c r="D196" s="115" t="s">
        <v>79</v>
      </c>
      <c r="E196" s="424" t="s">
        <v>65</v>
      </c>
      <c r="F196" s="131" t="s">
        <v>57</v>
      </c>
      <c r="G196" s="224"/>
      <c r="H196" s="136"/>
      <c r="I196" s="126"/>
      <c r="J196" s="126"/>
      <c r="K196" s="127"/>
      <c r="L196" s="18"/>
      <c r="M196" s="18">
        <v>59000</v>
      </c>
      <c r="N196" s="80">
        <v>12</v>
      </c>
      <c r="O196" s="126">
        <f>Feb!AX278</f>
        <v>6397</v>
      </c>
      <c r="P196" s="126">
        <f>Feb!AY278</f>
        <v>7056</v>
      </c>
      <c r="Q196" s="126">
        <f>Feb!AW278</f>
        <v>28</v>
      </c>
      <c r="R196" s="436"/>
      <c r="S196" s="436"/>
      <c r="T196" s="18">
        <v>8966</v>
      </c>
      <c r="U196" s="18"/>
      <c r="V196" s="127">
        <f>O196-T196-U196+V172</f>
        <v>1599</v>
      </c>
      <c r="W196" s="46"/>
      <c r="Y196" s="13"/>
    </row>
    <row r="197" spans="1:25">
      <c r="A197" s="427"/>
      <c r="B197" s="439"/>
      <c r="C197" s="440"/>
      <c r="D197" s="115" t="s">
        <v>200</v>
      </c>
      <c r="E197" s="441"/>
      <c r="F197" s="131" t="s">
        <v>57</v>
      </c>
      <c r="G197" s="229">
        <v>38.82</v>
      </c>
      <c r="H197" s="136"/>
      <c r="I197" s="126"/>
      <c r="J197" s="126"/>
      <c r="K197" s="127">
        <v>500</v>
      </c>
      <c r="L197" s="18">
        <v>1</v>
      </c>
      <c r="M197" s="18"/>
      <c r="N197" s="80"/>
      <c r="O197" s="126"/>
      <c r="P197" s="126">
        <f>Feb!AY279</f>
        <v>163</v>
      </c>
      <c r="Q197" s="126">
        <f>Feb!AW279</f>
        <v>1</v>
      </c>
      <c r="R197" s="436"/>
      <c r="S197" s="436"/>
      <c r="T197" s="18"/>
      <c r="U197" s="18"/>
      <c r="V197" s="127"/>
      <c r="W197" s="46"/>
      <c r="Y197" s="13"/>
    </row>
    <row r="198" spans="1:25">
      <c r="A198" s="427"/>
      <c r="B198" s="443"/>
      <c r="C198" s="449"/>
      <c r="D198" s="115" t="s">
        <v>202</v>
      </c>
      <c r="E198" s="425"/>
      <c r="F198" s="131"/>
      <c r="G198" s="224"/>
      <c r="H198" s="136">
        <v>40.799999999999997</v>
      </c>
      <c r="I198" s="126"/>
      <c r="J198" s="126"/>
      <c r="K198" s="127"/>
      <c r="L198" s="18"/>
      <c r="M198" s="18"/>
      <c r="N198" s="80"/>
      <c r="O198" s="126"/>
      <c r="P198" s="126"/>
      <c r="Q198" s="126"/>
      <c r="R198" s="436"/>
      <c r="S198" s="436"/>
      <c r="T198" s="18"/>
      <c r="U198" s="18"/>
      <c r="V198" s="127"/>
      <c r="W198" s="46"/>
      <c r="Y198" s="13"/>
    </row>
    <row r="199" spans="1:25" ht="14.25" customHeight="1">
      <c r="A199" s="427"/>
      <c r="B199" s="137" t="s">
        <v>53</v>
      </c>
      <c r="C199" s="157" t="s">
        <v>60</v>
      </c>
      <c r="D199" s="43" t="s">
        <v>130</v>
      </c>
      <c r="E199" s="115" t="s">
        <v>66</v>
      </c>
      <c r="F199" s="118" t="s">
        <v>54</v>
      </c>
      <c r="G199" s="224"/>
      <c r="H199" s="37"/>
      <c r="I199" s="126"/>
      <c r="J199" s="126"/>
      <c r="K199" s="18">
        <v>5900</v>
      </c>
      <c r="L199" s="18">
        <v>1</v>
      </c>
      <c r="M199" s="18">
        <v>100100</v>
      </c>
      <c r="N199" s="80">
        <v>18</v>
      </c>
      <c r="O199" s="126">
        <f>Feb!AX275</f>
        <v>11034</v>
      </c>
      <c r="P199" s="126">
        <f>Feb!AY275</f>
        <v>9105</v>
      </c>
      <c r="Q199" s="126">
        <f>Feb!AW275</f>
        <v>29</v>
      </c>
      <c r="R199" s="436"/>
      <c r="S199" s="436"/>
      <c r="T199" s="18">
        <v>13628</v>
      </c>
      <c r="U199" s="18"/>
      <c r="V199" s="127">
        <f>O199-T199-U199+V173</f>
        <v>4280</v>
      </c>
      <c r="W199" s="45"/>
      <c r="X199" s="36"/>
    </row>
    <row r="200" spans="1:25" ht="14.25" customHeight="1">
      <c r="A200" s="427"/>
      <c r="B200" s="122" t="s">
        <v>55</v>
      </c>
      <c r="C200" s="180" t="s">
        <v>133</v>
      </c>
      <c r="D200" s="48" t="s">
        <v>56</v>
      </c>
      <c r="E200" s="424" t="s">
        <v>25</v>
      </c>
      <c r="F200" s="118" t="s">
        <v>67</v>
      </c>
      <c r="G200" s="224"/>
      <c r="H200" s="37"/>
      <c r="I200" s="126"/>
      <c r="J200" s="126"/>
      <c r="K200" s="18"/>
      <c r="L200" s="18"/>
      <c r="M200" s="18"/>
      <c r="N200" s="80"/>
      <c r="O200" s="126"/>
      <c r="P200" s="126"/>
      <c r="Q200" s="126"/>
      <c r="R200" s="436"/>
      <c r="S200" s="436"/>
      <c r="T200" s="18"/>
      <c r="U200" s="18"/>
      <c r="V200" s="127">
        <f t="shared" ref="V200:V205" si="5">O200-T200-U200+V175</f>
        <v>500</v>
      </c>
      <c r="W200" s="45"/>
      <c r="X200" s="67"/>
    </row>
    <row r="201" spans="1:25" ht="14.25" customHeight="1">
      <c r="A201" s="427"/>
      <c r="B201" s="122" t="s">
        <v>122</v>
      </c>
      <c r="C201" s="180" t="s">
        <v>123</v>
      </c>
      <c r="D201" s="48" t="s">
        <v>56</v>
      </c>
      <c r="E201" s="441"/>
      <c r="F201" s="155" t="s">
        <v>64</v>
      </c>
      <c r="G201" s="224"/>
      <c r="H201" s="135"/>
      <c r="I201" s="158"/>
      <c r="J201" s="158"/>
      <c r="K201" s="128"/>
      <c r="L201" s="128"/>
      <c r="M201" s="128">
        <v>6400</v>
      </c>
      <c r="N201" s="164">
        <v>2</v>
      </c>
      <c r="O201" s="158"/>
      <c r="P201" s="158"/>
      <c r="Q201" s="158">
        <f>Feb!AW282</f>
        <v>3</v>
      </c>
      <c r="R201" s="436"/>
      <c r="S201" s="436"/>
      <c r="T201" s="18"/>
      <c r="U201" s="18"/>
      <c r="V201" s="127">
        <f t="shared" si="5"/>
        <v>31304</v>
      </c>
      <c r="W201" s="45"/>
      <c r="X201" s="67"/>
    </row>
    <row r="202" spans="1:25" ht="14.25" customHeight="1">
      <c r="A202" s="427"/>
      <c r="B202" s="122" t="s">
        <v>125</v>
      </c>
      <c r="C202" s="180" t="s">
        <v>88</v>
      </c>
      <c r="D202" s="48" t="s">
        <v>124</v>
      </c>
      <c r="E202" s="441"/>
      <c r="F202" s="118" t="s">
        <v>64</v>
      </c>
      <c r="G202" s="225"/>
      <c r="H202" s="126"/>
      <c r="I202" s="126"/>
      <c r="J202" s="126"/>
      <c r="K202" s="18">
        <v>7400</v>
      </c>
      <c r="L202" s="18">
        <v>1</v>
      </c>
      <c r="M202" s="18">
        <v>73400</v>
      </c>
      <c r="N202" s="80">
        <v>10</v>
      </c>
      <c r="O202" s="126">
        <f>Feb!AX280</f>
        <v>1148</v>
      </c>
      <c r="P202" s="126">
        <f>Feb!AY280</f>
        <v>2628</v>
      </c>
      <c r="Q202" s="126">
        <f>Feb!AW280</f>
        <v>11</v>
      </c>
      <c r="R202" s="436"/>
      <c r="S202" s="436"/>
      <c r="T202" s="18"/>
      <c r="U202" s="18"/>
      <c r="V202" s="127">
        <f t="shared" si="5"/>
        <v>17807</v>
      </c>
      <c r="W202" s="45"/>
      <c r="X202" s="67"/>
    </row>
    <row r="203" spans="1:25" ht="13.5" customHeight="1">
      <c r="A203" s="427"/>
      <c r="B203" s="442" t="s">
        <v>58</v>
      </c>
      <c r="C203" s="444" t="s">
        <v>136</v>
      </c>
      <c r="D203" s="48" t="s">
        <v>56</v>
      </c>
      <c r="E203" s="441"/>
      <c r="F203" s="118" t="s">
        <v>67</v>
      </c>
      <c r="G203" s="226"/>
      <c r="H203" s="126"/>
      <c r="I203" s="126"/>
      <c r="J203" s="2"/>
      <c r="K203" s="18"/>
      <c r="L203" s="18"/>
      <c r="M203" s="18"/>
      <c r="N203" s="18"/>
      <c r="O203" s="126"/>
      <c r="P203" s="126"/>
      <c r="Q203" s="126"/>
      <c r="R203" s="436"/>
      <c r="S203" s="436"/>
      <c r="T203" s="18"/>
      <c r="U203" s="18"/>
      <c r="V203" s="127">
        <f t="shared" si="5"/>
        <v>43</v>
      </c>
      <c r="W203" s="45"/>
      <c r="X203" s="67"/>
    </row>
    <row r="204" spans="1:25" ht="15.75" customHeight="1">
      <c r="A204" s="427"/>
      <c r="B204" s="439"/>
      <c r="C204" s="445"/>
      <c r="D204" s="48" t="s">
        <v>56</v>
      </c>
      <c r="E204" s="441"/>
      <c r="F204" s="118" t="s">
        <v>140</v>
      </c>
      <c r="G204" s="226"/>
      <c r="H204" s="126"/>
      <c r="I204" s="126"/>
      <c r="J204" s="2"/>
      <c r="K204" s="18"/>
      <c r="L204" s="18"/>
      <c r="M204" s="18"/>
      <c r="N204" s="18"/>
      <c r="O204" s="126"/>
      <c r="P204" s="126"/>
      <c r="Q204" s="126"/>
      <c r="R204" s="436"/>
      <c r="S204" s="436"/>
      <c r="T204" s="18"/>
      <c r="U204" s="18"/>
      <c r="V204" s="127">
        <f t="shared" si="5"/>
        <v>8562</v>
      </c>
      <c r="W204" s="45"/>
      <c r="X204" s="67"/>
    </row>
    <row r="205" spans="1:25" ht="15" customHeight="1">
      <c r="A205" s="427"/>
      <c r="B205" s="137" t="s">
        <v>47</v>
      </c>
      <c r="C205" s="157" t="s">
        <v>100</v>
      </c>
      <c r="D205" s="48" t="s">
        <v>99</v>
      </c>
      <c r="E205" s="441"/>
      <c r="F205" s="118" t="s">
        <v>71</v>
      </c>
      <c r="G205" s="226"/>
      <c r="H205" s="126"/>
      <c r="I205" s="126"/>
      <c r="J205" s="2"/>
      <c r="K205" s="18"/>
      <c r="L205" s="18"/>
      <c r="M205" s="18">
        <v>42000</v>
      </c>
      <c r="N205" s="18">
        <v>7</v>
      </c>
      <c r="O205" s="126">
        <f>Feb!AX281</f>
        <v>1500</v>
      </c>
      <c r="P205" s="126">
        <f>Feb!AY281</f>
        <v>2099</v>
      </c>
      <c r="Q205" s="126">
        <f>Feb!AW281</f>
        <v>8</v>
      </c>
      <c r="R205" s="436"/>
      <c r="S205" s="436"/>
      <c r="T205" s="18"/>
      <c r="U205" s="18"/>
      <c r="V205" s="127">
        <f t="shared" si="5"/>
        <v>44682</v>
      </c>
      <c r="W205" s="45"/>
      <c r="X205" s="67"/>
    </row>
    <row r="206" spans="1:25" ht="15" customHeight="1">
      <c r="A206" s="427"/>
      <c r="B206" s="122" t="s">
        <v>196</v>
      </c>
      <c r="C206" s="180" t="s">
        <v>63</v>
      </c>
      <c r="D206" s="48" t="s">
        <v>135</v>
      </c>
      <c r="E206" s="441"/>
      <c r="F206" s="118" t="s">
        <v>64</v>
      </c>
      <c r="G206" s="226"/>
      <c r="H206" s="126"/>
      <c r="I206" s="126"/>
      <c r="J206" s="2"/>
      <c r="K206" s="18"/>
      <c r="L206" s="18"/>
      <c r="M206" s="18"/>
      <c r="N206" s="18"/>
      <c r="O206" s="126"/>
      <c r="P206" s="126">
        <f>Feb!AY285</f>
        <v>1378</v>
      </c>
      <c r="Q206" s="126">
        <f>Feb!AW285</f>
        <v>5</v>
      </c>
      <c r="R206" s="436"/>
      <c r="S206" s="436"/>
      <c r="T206" s="18"/>
      <c r="U206" s="18"/>
      <c r="V206" s="127">
        <f>O206-T206-U206+V182</f>
        <v>7073</v>
      </c>
      <c r="W206" s="45"/>
      <c r="X206" s="67"/>
    </row>
    <row r="207" spans="1:25" ht="15" customHeight="1">
      <c r="A207" s="427"/>
      <c r="B207" s="122" t="s">
        <v>61</v>
      </c>
      <c r="C207" s="180" t="s">
        <v>137</v>
      </c>
      <c r="D207" s="48" t="s">
        <v>56</v>
      </c>
      <c r="E207" s="441"/>
      <c r="F207" s="118" t="s">
        <v>67</v>
      </c>
      <c r="G207" s="119"/>
      <c r="H207" s="126"/>
      <c r="I207" s="126"/>
      <c r="J207" s="2"/>
      <c r="K207" s="18"/>
      <c r="L207" s="18"/>
      <c r="M207" s="18"/>
      <c r="N207" s="18"/>
      <c r="O207" s="126"/>
      <c r="P207" s="126"/>
      <c r="Q207" s="126">
        <f>Feb!AW284</f>
        <v>2</v>
      </c>
      <c r="R207" s="436"/>
      <c r="S207" s="436"/>
      <c r="T207" s="18"/>
      <c r="U207" s="18"/>
      <c r="V207" s="127">
        <f>O207-T207-U207+V183</f>
        <v>5819</v>
      </c>
      <c r="W207" s="45"/>
      <c r="X207" s="67"/>
    </row>
    <row r="208" spans="1:25" ht="15" customHeight="1">
      <c r="A208" s="427"/>
      <c r="B208" s="122" t="s">
        <v>131</v>
      </c>
      <c r="C208" s="180" t="s">
        <v>194</v>
      </c>
      <c r="D208" s="48" t="s">
        <v>132</v>
      </c>
      <c r="E208" s="441"/>
      <c r="F208" s="118" t="s">
        <v>64</v>
      </c>
      <c r="G208" s="119"/>
      <c r="H208" s="126"/>
      <c r="I208" s="126"/>
      <c r="J208" s="2"/>
      <c r="K208" s="18"/>
      <c r="L208" s="18"/>
      <c r="M208" s="18"/>
      <c r="N208" s="18"/>
      <c r="O208" s="126"/>
      <c r="P208" s="126"/>
      <c r="Q208" s="126">
        <f>Feb!AW286</f>
        <v>1</v>
      </c>
      <c r="R208" s="436"/>
      <c r="S208" s="436"/>
      <c r="T208" s="18"/>
      <c r="U208" s="18"/>
      <c r="V208" s="18"/>
      <c r="W208" s="45"/>
      <c r="X208" s="67"/>
    </row>
    <row r="209" spans="1:25" ht="15" customHeight="1">
      <c r="A209" s="427"/>
      <c r="B209" s="122" t="s">
        <v>101</v>
      </c>
      <c r="C209" s="180" t="s">
        <v>193</v>
      </c>
      <c r="D209" s="48" t="s">
        <v>102</v>
      </c>
      <c r="E209" s="441"/>
      <c r="F209" s="118" t="s">
        <v>64</v>
      </c>
      <c r="G209" s="119"/>
      <c r="H209" s="126"/>
      <c r="I209" s="126"/>
      <c r="J209" s="2"/>
      <c r="K209" s="18"/>
      <c r="L209" s="18"/>
      <c r="M209" s="18"/>
      <c r="N209" s="18"/>
      <c r="O209" s="126"/>
      <c r="P209" s="126"/>
      <c r="Q209" s="126">
        <f>Feb!AW287</f>
        <v>1</v>
      </c>
      <c r="R209" s="436"/>
      <c r="S209" s="436"/>
      <c r="T209" s="18"/>
      <c r="U209" s="18"/>
      <c r="V209" s="18"/>
      <c r="W209" s="45"/>
      <c r="X209" s="67"/>
    </row>
    <row r="210" spans="1:25" ht="15" customHeight="1">
      <c r="A210" s="427"/>
      <c r="B210" s="122" t="s">
        <v>103</v>
      </c>
      <c r="C210" s="157" t="s">
        <v>197</v>
      </c>
      <c r="D210" s="48" t="s">
        <v>104</v>
      </c>
      <c r="E210" s="441"/>
      <c r="F210" s="118" t="s">
        <v>105</v>
      </c>
      <c r="G210" s="119"/>
      <c r="H210" s="126"/>
      <c r="I210" s="126"/>
      <c r="J210" s="2"/>
      <c r="K210" s="18"/>
      <c r="L210" s="18"/>
      <c r="M210" s="18"/>
      <c r="N210" s="18"/>
      <c r="O210" s="126"/>
      <c r="P210" s="126"/>
      <c r="Q210" s="126">
        <f>Feb!AW288</f>
        <v>1</v>
      </c>
      <c r="R210" s="436"/>
      <c r="S210" s="436"/>
      <c r="T210" s="18"/>
      <c r="U210" s="18"/>
      <c r="V210" s="18"/>
      <c r="W210" s="45"/>
      <c r="X210" s="67"/>
    </row>
    <row r="211" spans="1:25" ht="15" customHeight="1">
      <c r="A211" s="427"/>
      <c r="B211" s="137" t="s">
        <v>112</v>
      </c>
      <c r="C211" s="157" t="s">
        <v>197</v>
      </c>
      <c r="D211" s="48" t="s">
        <v>104</v>
      </c>
      <c r="E211" s="441"/>
      <c r="F211" s="118" t="s">
        <v>113</v>
      </c>
      <c r="G211" s="119"/>
      <c r="H211" s="126"/>
      <c r="I211" s="126"/>
      <c r="J211" s="2"/>
      <c r="K211" s="18"/>
      <c r="L211" s="18"/>
      <c r="M211" s="18"/>
      <c r="N211" s="18"/>
      <c r="O211" s="126"/>
      <c r="P211" s="126"/>
      <c r="Q211" s="126">
        <f>Feb!AW291</f>
        <v>1</v>
      </c>
      <c r="R211" s="436"/>
      <c r="S211" s="436"/>
      <c r="T211" s="18"/>
      <c r="U211" s="18"/>
      <c r="V211" s="18"/>
      <c r="W211" s="45"/>
      <c r="X211" s="67"/>
    </row>
    <row r="212" spans="1:25" ht="15" customHeight="1">
      <c r="A212" s="427"/>
      <c r="B212" s="137" t="s">
        <v>106</v>
      </c>
      <c r="C212" s="157" t="s">
        <v>141</v>
      </c>
      <c r="D212" s="48" t="s">
        <v>68</v>
      </c>
      <c r="E212" s="441"/>
      <c r="F212" s="118" t="s">
        <v>67</v>
      </c>
      <c r="G212" s="119"/>
      <c r="H212" s="126"/>
      <c r="I212" s="126"/>
      <c r="J212" s="2"/>
      <c r="K212" s="18"/>
      <c r="L212" s="18"/>
      <c r="M212" s="18"/>
      <c r="N212" s="18"/>
      <c r="O212" s="126"/>
      <c r="P212" s="126"/>
      <c r="Q212" s="126">
        <f>Feb!AW289</f>
        <v>1</v>
      </c>
      <c r="R212" s="436"/>
      <c r="S212" s="436"/>
      <c r="T212" s="18"/>
      <c r="U212" s="18"/>
      <c r="V212" s="18"/>
      <c r="W212" s="45"/>
      <c r="X212" s="67"/>
    </row>
    <row r="213" spans="1:25" ht="15" customHeight="1" thickBot="1">
      <c r="A213" s="428"/>
      <c r="B213" s="44" t="s">
        <v>107</v>
      </c>
      <c r="C213" s="181" t="s">
        <v>195</v>
      </c>
      <c r="D213" s="61" t="s">
        <v>108</v>
      </c>
      <c r="E213" s="447"/>
      <c r="F213" s="133" t="s">
        <v>48</v>
      </c>
      <c r="G213" s="132"/>
      <c r="H213" s="109"/>
      <c r="I213" s="134"/>
      <c r="J213" s="129"/>
      <c r="K213" s="130"/>
      <c r="L213" s="130"/>
      <c r="M213" s="130"/>
      <c r="N213" s="130"/>
      <c r="O213" s="134"/>
      <c r="P213" s="134"/>
      <c r="Q213" s="134">
        <f>Feb!AW290</f>
        <v>1</v>
      </c>
      <c r="R213" s="437"/>
      <c r="S213" s="437"/>
      <c r="T213" s="130"/>
      <c r="U213" s="130"/>
      <c r="V213" s="128"/>
      <c r="W213" s="85"/>
      <c r="X213" s="67"/>
    </row>
    <row r="214" spans="1:25" ht="15" customHeight="1">
      <c r="A214" s="426">
        <v>46065</v>
      </c>
      <c r="B214" s="429" t="s">
        <v>44</v>
      </c>
      <c r="C214" s="432" t="s">
        <v>240</v>
      </c>
      <c r="D214" s="19" t="s">
        <v>37</v>
      </c>
      <c r="E214" s="19" t="s">
        <v>25</v>
      </c>
      <c r="F214" s="39" t="s">
        <v>40</v>
      </c>
      <c r="G214" s="41"/>
      <c r="H214" s="32"/>
      <c r="I214" s="32"/>
      <c r="J214" s="32"/>
      <c r="K214" s="20"/>
      <c r="L214" s="20"/>
      <c r="M214" s="20"/>
      <c r="N214" s="84"/>
      <c r="O214" s="32">
        <f>Feb!BA272</f>
        <v>3417</v>
      </c>
      <c r="P214" s="32">
        <f>Feb!BB272</f>
        <v>5448</v>
      </c>
      <c r="Q214" s="32">
        <f>Feb!AZ272</f>
        <v>65</v>
      </c>
      <c r="R214" s="435">
        <f>Feb!BA293</f>
        <v>14612</v>
      </c>
      <c r="S214" s="435">
        <f>Feb!BB293</f>
        <v>17916</v>
      </c>
      <c r="T214" s="20">
        <v>18598</v>
      </c>
      <c r="U214" s="20"/>
      <c r="V214" s="20">
        <f>O214-T214-U214+V190</f>
        <v>9249</v>
      </c>
      <c r="W214" s="77"/>
      <c r="X214" s="36"/>
    </row>
    <row r="215" spans="1:25" ht="15" customHeight="1">
      <c r="A215" s="427"/>
      <c r="B215" s="430"/>
      <c r="C215" s="433"/>
      <c r="D215" s="113" t="s">
        <v>69</v>
      </c>
      <c r="E215" s="438" t="s">
        <v>24</v>
      </c>
      <c r="F215" s="118" t="s">
        <v>40</v>
      </c>
      <c r="G215" s="38"/>
      <c r="H215" s="37"/>
      <c r="I215" s="125"/>
      <c r="J215" s="125"/>
      <c r="K215" s="127"/>
      <c r="L215" s="127"/>
      <c r="M215" s="127"/>
      <c r="N215" s="81"/>
      <c r="O215" s="125">
        <f>Feb!BA273</f>
        <v>842</v>
      </c>
      <c r="P215" s="125">
        <f>Feb!BB273</f>
        <v>369</v>
      </c>
      <c r="Q215" s="125">
        <f>Feb!AZ273</f>
        <v>4</v>
      </c>
      <c r="R215" s="436"/>
      <c r="S215" s="436"/>
      <c r="T215" s="127"/>
      <c r="U215" s="127"/>
      <c r="V215" s="127">
        <f>O215-T215-U215+V191</f>
        <v>3283</v>
      </c>
      <c r="W215" s="46"/>
      <c r="X215" s="67"/>
    </row>
    <row r="216" spans="1:25" ht="15" customHeight="1">
      <c r="A216" s="427"/>
      <c r="B216" s="431"/>
      <c r="C216" s="434"/>
      <c r="D216" s="113" t="s">
        <v>128</v>
      </c>
      <c r="E216" s="431"/>
      <c r="F216" s="114" t="s">
        <v>40</v>
      </c>
      <c r="G216" s="135"/>
      <c r="H216" s="135"/>
      <c r="I216" s="125"/>
      <c r="J216" s="125"/>
      <c r="K216" s="18">
        <v>31400</v>
      </c>
      <c r="L216" s="127">
        <v>4</v>
      </c>
      <c r="M216" s="127">
        <v>151700</v>
      </c>
      <c r="N216" s="81">
        <v>19</v>
      </c>
      <c r="O216" s="126">
        <f>Feb!BA274</f>
        <v>2564</v>
      </c>
      <c r="P216" s="125">
        <f>Feb!BB274</f>
        <v>3995</v>
      </c>
      <c r="Q216" s="125">
        <f>Feb!AZ274</f>
        <v>47</v>
      </c>
      <c r="R216" s="436"/>
      <c r="S216" s="436"/>
      <c r="T216" s="127"/>
      <c r="U216" s="127"/>
      <c r="V216" s="127">
        <f>O216-T216-U216+V192</f>
        <v>6988</v>
      </c>
      <c r="W216" s="46"/>
      <c r="X216" s="67"/>
    </row>
    <row r="217" spans="1:25" ht="15" customHeight="1">
      <c r="A217" s="427"/>
      <c r="B217" s="442" t="s">
        <v>45</v>
      </c>
      <c r="C217" s="448" t="s">
        <v>59</v>
      </c>
      <c r="D217" s="118" t="s">
        <v>75</v>
      </c>
      <c r="E217" s="131" t="s">
        <v>25</v>
      </c>
      <c r="F217" s="131" t="s">
        <v>57</v>
      </c>
      <c r="G217" s="87"/>
      <c r="H217" s="136"/>
      <c r="I217" s="126"/>
      <c r="J217" s="2"/>
      <c r="K217" s="127"/>
      <c r="L217" s="18"/>
      <c r="M217" s="18">
        <v>35300</v>
      </c>
      <c r="N217" s="80">
        <v>7</v>
      </c>
      <c r="O217" s="126">
        <f>Feb!BA276</f>
        <v>2089</v>
      </c>
      <c r="P217" s="126">
        <f>Feb!BB276</f>
        <v>903</v>
      </c>
      <c r="Q217" s="2">
        <f>Feb!AZ276</f>
        <v>13</v>
      </c>
      <c r="R217" s="436"/>
      <c r="S217" s="436"/>
      <c r="T217" s="18"/>
      <c r="U217" s="18"/>
      <c r="V217" s="127">
        <f>O217-T217-U217+V193</f>
        <v>59288</v>
      </c>
      <c r="W217" s="46"/>
      <c r="Y217" s="13"/>
    </row>
    <row r="218" spans="1:25">
      <c r="A218" s="427"/>
      <c r="B218" s="439"/>
      <c r="C218" s="440"/>
      <c r="D218" s="118" t="s">
        <v>72</v>
      </c>
      <c r="E218" s="155" t="s">
        <v>24</v>
      </c>
      <c r="F218" s="131" t="s">
        <v>57</v>
      </c>
      <c r="G218" s="136"/>
      <c r="H218" s="136"/>
      <c r="I218" s="126"/>
      <c r="J218" s="126"/>
      <c r="K218" s="127"/>
      <c r="L218" s="18"/>
      <c r="M218" s="18">
        <v>90000</v>
      </c>
      <c r="N218" s="80">
        <v>18</v>
      </c>
      <c r="O218" s="126">
        <f>Feb!BA277</f>
        <v>1894</v>
      </c>
      <c r="P218" s="126">
        <f>Feb!BB277</f>
        <v>1650</v>
      </c>
      <c r="Q218" s="2">
        <f>Feb!AZ277</f>
        <v>25</v>
      </c>
      <c r="R218" s="436"/>
      <c r="S218" s="436"/>
      <c r="T218" s="18"/>
      <c r="U218" s="18"/>
      <c r="V218" s="127">
        <f>O218-T218-U218+V194</f>
        <v>8200</v>
      </c>
      <c r="W218" s="46"/>
      <c r="Y218" s="13"/>
    </row>
    <row r="219" spans="1:25">
      <c r="A219" s="427"/>
      <c r="B219" s="439"/>
      <c r="C219" s="440"/>
      <c r="D219" s="115" t="s">
        <v>79</v>
      </c>
      <c r="E219" s="424" t="s">
        <v>65</v>
      </c>
      <c r="F219" s="131" t="s">
        <v>57</v>
      </c>
      <c r="G219" s="224"/>
      <c r="H219" s="136"/>
      <c r="I219" s="126"/>
      <c r="J219" s="126"/>
      <c r="K219" s="127"/>
      <c r="L219" s="18"/>
      <c r="M219" s="18">
        <v>59000</v>
      </c>
      <c r="N219" s="80">
        <v>12</v>
      </c>
      <c r="O219" s="126">
        <f>Feb!BA278</f>
        <v>1600</v>
      </c>
      <c r="P219" s="126">
        <f>Feb!BB278</f>
        <v>1791</v>
      </c>
      <c r="Q219" s="126">
        <f>Feb!AZ278</f>
        <v>28</v>
      </c>
      <c r="R219" s="436"/>
      <c r="S219" s="436"/>
      <c r="T219" s="18"/>
      <c r="U219" s="18"/>
      <c r="V219" s="127">
        <f>O219-T219-U219+V196</f>
        <v>3199</v>
      </c>
      <c r="W219" s="46"/>
      <c r="Y219" s="13"/>
    </row>
    <row r="220" spans="1:25">
      <c r="A220" s="427"/>
      <c r="B220" s="439"/>
      <c r="C220" s="440"/>
      <c r="D220" s="115" t="s">
        <v>200</v>
      </c>
      <c r="E220" s="425"/>
      <c r="F220" s="131" t="s">
        <v>57</v>
      </c>
      <c r="G220" s="229"/>
      <c r="H220" s="136"/>
      <c r="I220" s="126"/>
      <c r="J220" s="126"/>
      <c r="K220" s="127"/>
      <c r="L220" s="18"/>
      <c r="M220" s="18"/>
      <c r="N220" s="80"/>
      <c r="O220" s="126"/>
      <c r="P220" s="126">
        <f>Feb!BB279</f>
        <v>52</v>
      </c>
      <c r="Q220" s="126">
        <f>Feb!AZ279</f>
        <v>1</v>
      </c>
      <c r="R220" s="436"/>
      <c r="S220" s="436"/>
      <c r="T220" s="18"/>
      <c r="U220" s="18"/>
      <c r="V220" s="127"/>
      <c r="W220" s="46"/>
      <c r="Y220" s="13"/>
    </row>
    <row r="221" spans="1:25" ht="14.25" customHeight="1">
      <c r="A221" s="427"/>
      <c r="B221" s="137" t="s">
        <v>53</v>
      </c>
      <c r="C221" s="157" t="s">
        <v>60</v>
      </c>
      <c r="D221" s="43" t="s">
        <v>130</v>
      </c>
      <c r="E221" s="115" t="s">
        <v>66</v>
      </c>
      <c r="F221" s="118" t="s">
        <v>54</v>
      </c>
      <c r="G221" s="224"/>
      <c r="H221" s="37"/>
      <c r="I221" s="126"/>
      <c r="J221" s="126"/>
      <c r="K221" s="18">
        <v>17700</v>
      </c>
      <c r="L221" s="18">
        <v>3</v>
      </c>
      <c r="M221" s="18">
        <v>82400</v>
      </c>
      <c r="N221" s="80">
        <v>15</v>
      </c>
      <c r="O221" s="126">
        <f>Feb!BA275</f>
        <v>2206</v>
      </c>
      <c r="P221" s="126">
        <f>Feb!BB275</f>
        <v>2206</v>
      </c>
      <c r="Q221" s="126">
        <f>Feb!AZ275</f>
        <v>26</v>
      </c>
      <c r="R221" s="436"/>
      <c r="S221" s="436"/>
      <c r="T221" s="18">
        <v>5424</v>
      </c>
      <c r="U221" s="18"/>
      <c r="V221" s="127">
        <f t="shared" ref="V221:V229" si="6">O221-T221-U221+V199</f>
        <v>1062</v>
      </c>
      <c r="W221" s="45"/>
      <c r="X221" s="36"/>
    </row>
    <row r="222" spans="1:25" ht="14.25" customHeight="1">
      <c r="A222" s="427"/>
      <c r="B222" s="122" t="s">
        <v>55</v>
      </c>
      <c r="C222" s="180" t="s">
        <v>133</v>
      </c>
      <c r="D222" s="48" t="s">
        <v>56</v>
      </c>
      <c r="E222" s="424" t="s">
        <v>25</v>
      </c>
      <c r="F222" s="118" t="s">
        <v>67</v>
      </c>
      <c r="G222" s="224"/>
      <c r="H222" s="37"/>
      <c r="I222" s="126"/>
      <c r="J222" s="126"/>
      <c r="K222" s="18"/>
      <c r="L222" s="18"/>
      <c r="M222" s="18"/>
      <c r="N222" s="80"/>
      <c r="O222" s="126"/>
      <c r="P222" s="126"/>
      <c r="Q222" s="126"/>
      <c r="R222" s="436"/>
      <c r="S222" s="436"/>
      <c r="T222" s="18"/>
      <c r="U222" s="18"/>
      <c r="V222" s="127">
        <f>O222-T222-U222+V200</f>
        <v>500</v>
      </c>
      <c r="W222" s="45"/>
      <c r="X222" s="67"/>
    </row>
    <row r="223" spans="1:25" ht="14.25" customHeight="1">
      <c r="A223" s="427"/>
      <c r="B223" s="122" t="s">
        <v>122</v>
      </c>
      <c r="C223" s="180" t="s">
        <v>123</v>
      </c>
      <c r="D223" s="48" t="s">
        <v>56</v>
      </c>
      <c r="E223" s="441"/>
      <c r="F223" s="155" t="s">
        <v>64</v>
      </c>
      <c r="G223" s="224"/>
      <c r="H223" s="135"/>
      <c r="I223" s="158"/>
      <c r="J223" s="158"/>
      <c r="K223" s="128"/>
      <c r="L223" s="128"/>
      <c r="M223" s="128">
        <v>6400</v>
      </c>
      <c r="N223" s="164">
        <v>2</v>
      </c>
      <c r="O223" s="158"/>
      <c r="P223" s="158"/>
      <c r="Q223" s="158">
        <f>Feb!AZ282</f>
        <v>3</v>
      </c>
      <c r="R223" s="436"/>
      <c r="S223" s="436"/>
      <c r="T223" s="18"/>
      <c r="U223" s="18"/>
      <c r="V223" s="127">
        <f t="shared" si="6"/>
        <v>31304</v>
      </c>
      <c r="W223" s="45"/>
      <c r="X223" s="67"/>
    </row>
    <row r="224" spans="1:25" ht="14.25" customHeight="1">
      <c r="A224" s="427"/>
      <c r="B224" s="122" t="s">
        <v>125</v>
      </c>
      <c r="C224" s="180" t="s">
        <v>88</v>
      </c>
      <c r="D224" s="48" t="s">
        <v>124</v>
      </c>
      <c r="E224" s="441"/>
      <c r="F224" s="118" t="s">
        <v>64</v>
      </c>
      <c r="G224" s="225"/>
      <c r="H224" s="126"/>
      <c r="I224" s="126"/>
      <c r="J224" s="126"/>
      <c r="K224" s="18"/>
      <c r="L224" s="18"/>
      <c r="M224" s="18">
        <v>73400</v>
      </c>
      <c r="N224" s="80">
        <v>10</v>
      </c>
      <c r="O224" s="126"/>
      <c r="P224" s="126">
        <f>Feb!BB280</f>
        <v>619</v>
      </c>
      <c r="Q224" s="126">
        <f>Feb!AZ280</f>
        <v>11</v>
      </c>
      <c r="R224" s="436"/>
      <c r="S224" s="436"/>
      <c r="T224" s="18"/>
      <c r="U224" s="18"/>
      <c r="V224" s="127">
        <f t="shared" si="6"/>
        <v>17807</v>
      </c>
      <c r="W224" s="45"/>
      <c r="X224" s="67"/>
    </row>
    <row r="225" spans="1:25" ht="13.5" customHeight="1">
      <c r="A225" s="427"/>
      <c r="B225" s="442" t="s">
        <v>58</v>
      </c>
      <c r="C225" s="444" t="s">
        <v>136</v>
      </c>
      <c r="D225" s="48" t="s">
        <v>56</v>
      </c>
      <c r="E225" s="441"/>
      <c r="F225" s="118" t="s">
        <v>67</v>
      </c>
      <c r="G225" s="226"/>
      <c r="H225" s="126"/>
      <c r="I225" s="126"/>
      <c r="J225" s="2"/>
      <c r="K225" s="18"/>
      <c r="L225" s="18"/>
      <c r="M225" s="18"/>
      <c r="N225" s="18"/>
      <c r="O225" s="126"/>
      <c r="P225" s="126"/>
      <c r="Q225" s="126"/>
      <c r="R225" s="436"/>
      <c r="S225" s="436"/>
      <c r="T225" s="18"/>
      <c r="U225" s="18"/>
      <c r="V225" s="127">
        <f t="shared" si="6"/>
        <v>43</v>
      </c>
      <c r="W225" s="45"/>
      <c r="X225" s="67"/>
    </row>
    <row r="226" spans="1:25" ht="15.75" customHeight="1">
      <c r="A226" s="427"/>
      <c r="B226" s="439"/>
      <c r="C226" s="445"/>
      <c r="D226" s="48" t="s">
        <v>56</v>
      </c>
      <c r="E226" s="441"/>
      <c r="F226" s="118" t="s">
        <v>140</v>
      </c>
      <c r="G226" s="226"/>
      <c r="H226" s="126"/>
      <c r="I226" s="126"/>
      <c r="J226" s="2"/>
      <c r="K226" s="18"/>
      <c r="L226" s="18"/>
      <c r="M226" s="18"/>
      <c r="N226" s="18"/>
      <c r="O226" s="126"/>
      <c r="P226" s="126"/>
      <c r="Q226" s="126"/>
      <c r="R226" s="436"/>
      <c r="S226" s="436"/>
      <c r="T226" s="18"/>
      <c r="U226" s="18"/>
      <c r="V226" s="127">
        <f t="shared" si="6"/>
        <v>8562</v>
      </c>
      <c r="W226" s="45"/>
      <c r="X226" s="67"/>
    </row>
    <row r="227" spans="1:25" ht="15" customHeight="1">
      <c r="A227" s="427"/>
      <c r="B227" s="137" t="s">
        <v>47</v>
      </c>
      <c r="C227" s="157" t="s">
        <v>100</v>
      </c>
      <c r="D227" s="48" t="s">
        <v>99</v>
      </c>
      <c r="E227" s="441"/>
      <c r="F227" s="118" t="s">
        <v>71</v>
      </c>
      <c r="G227" s="226"/>
      <c r="H227" s="126"/>
      <c r="I227" s="126"/>
      <c r="J227" s="2"/>
      <c r="K227" s="18"/>
      <c r="L227" s="18"/>
      <c r="M227" s="18">
        <v>42000</v>
      </c>
      <c r="N227" s="18">
        <v>7</v>
      </c>
      <c r="O227" s="126"/>
      <c r="P227" s="126">
        <f>Feb!BB281</f>
        <v>531</v>
      </c>
      <c r="Q227" s="126">
        <f>Feb!AZ281</f>
        <v>8</v>
      </c>
      <c r="R227" s="436"/>
      <c r="S227" s="436"/>
      <c r="T227" s="18"/>
      <c r="U227" s="18"/>
      <c r="V227" s="127">
        <f t="shared" si="6"/>
        <v>44682</v>
      </c>
      <c r="W227" s="45"/>
      <c r="X227" s="67"/>
    </row>
    <row r="228" spans="1:25" ht="15" customHeight="1">
      <c r="A228" s="427"/>
      <c r="B228" s="122" t="s">
        <v>196</v>
      </c>
      <c r="C228" s="180" t="s">
        <v>63</v>
      </c>
      <c r="D228" s="48" t="s">
        <v>135</v>
      </c>
      <c r="E228" s="441"/>
      <c r="F228" s="118" t="s">
        <v>64</v>
      </c>
      <c r="G228" s="226"/>
      <c r="H228" s="126"/>
      <c r="I228" s="126"/>
      <c r="J228" s="2"/>
      <c r="K228" s="18"/>
      <c r="L228" s="18"/>
      <c r="M228" s="18"/>
      <c r="N228" s="18"/>
      <c r="O228" s="126"/>
      <c r="P228" s="126">
        <f>Feb!BB285</f>
        <v>352</v>
      </c>
      <c r="Q228" s="126">
        <f>Feb!AZ285</f>
        <v>5</v>
      </c>
      <c r="R228" s="436"/>
      <c r="S228" s="436"/>
      <c r="T228" s="18"/>
      <c r="U228" s="18"/>
      <c r="V228" s="127">
        <f t="shared" si="6"/>
        <v>7073</v>
      </c>
      <c r="W228" s="45"/>
      <c r="X228" s="67"/>
    </row>
    <row r="229" spans="1:25" ht="15" customHeight="1">
      <c r="A229" s="427"/>
      <c r="B229" s="122" t="s">
        <v>61</v>
      </c>
      <c r="C229" s="180" t="s">
        <v>137</v>
      </c>
      <c r="D229" s="48" t="s">
        <v>56</v>
      </c>
      <c r="E229" s="441"/>
      <c r="F229" s="118" t="s">
        <v>67</v>
      </c>
      <c r="G229" s="119"/>
      <c r="H229" s="126"/>
      <c r="I229" s="126"/>
      <c r="J229" s="2"/>
      <c r="K229" s="18"/>
      <c r="L229" s="18"/>
      <c r="M229" s="18"/>
      <c r="N229" s="18"/>
      <c r="O229" s="126"/>
      <c r="P229" s="126"/>
      <c r="Q229" s="126">
        <f>Feb!AZ284</f>
        <v>2</v>
      </c>
      <c r="R229" s="436"/>
      <c r="S229" s="436"/>
      <c r="T229" s="18"/>
      <c r="U229" s="18"/>
      <c r="V229" s="127">
        <f t="shared" si="6"/>
        <v>5819</v>
      </c>
      <c r="W229" s="45"/>
      <c r="X229" s="67"/>
    </row>
    <row r="230" spans="1:25" ht="15" customHeight="1">
      <c r="A230" s="427"/>
      <c r="B230" s="122" t="s">
        <v>131</v>
      </c>
      <c r="C230" s="180" t="s">
        <v>194</v>
      </c>
      <c r="D230" s="48" t="s">
        <v>132</v>
      </c>
      <c r="E230" s="441"/>
      <c r="F230" s="118" t="s">
        <v>64</v>
      </c>
      <c r="G230" s="119"/>
      <c r="H230" s="126"/>
      <c r="I230" s="126"/>
      <c r="J230" s="2"/>
      <c r="K230" s="18"/>
      <c r="L230" s="18"/>
      <c r="M230" s="18"/>
      <c r="N230" s="18"/>
      <c r="O230" s="126"/>
      <c r="P230" s="126"/>
      <c r="Q230" s="126">
        <f>Feb!AZ286</f>
        <v>1</v>
      </c>
      <c r="R230" s="436"/>
      <c r="S230" s="436"/>
      <c r="T230" s="18"/>
      <c r="U230" s="18"/>
      <c r="V230" s="18"/>
      <c r="W230" s="45"/>
      <c r="X230" s="67"/>
    </row>
    <row r="231" spans="1:25" ht="15" customHeight="1">
      <c r="A231" s="427"/>
      <c r="B231" s="122" t="s">
        <v>101</v>
      </c>
      <c r="C231" s="180" t="s">
        <v>193</v>
      </c>
      <c r="D231" s="48" t="s">
        <v>102</v>
      </c>
      <c r="E231" s="441"/>
      <c r="F231" s="118" t="s">
        <v>64</v>
      </c>
      <c r="G231" s="119"/>
      <c r="H231" s="126"/>
      <c r="I231" s="126"/>
      <c r="J231" s="2"/>
      <c r="K231" s="18"/>
      <c r="L231" s="18"/>
      <c r="M231" s="18"/>
      <c r="N231" s="18"/>
      <c r="O231" s="126"/>
      <c r="P231" s="126"/>
      <c r="Q231" s="126">
        <f>Feb!AZ287</f>
        <v>1</v>
      </c>
      <c r="R231" s="436"/>
      <c r="S231" s="436"/>
      <c r="T231" s="18"/>
      <c r="U231" s="18"/>
      <c r="V231" s="18"/>
      <c r="W231" s="45"/>
      <c r="X231" s="67"/>
    </row>
    <row r="232" spans="1:25" ht="15" customHeight="1">
      <c r="A232" s="427"/>
      <c r="B232" s="122" t="s">
        <v>103</v>
      </c>
      <c r="C232" s="157" t="s">
        <v>197</v>
      </c>
      <c r="D232" s="48" t="s">
        <v>104</v>
      </c>
      <c r="E232" s="441"/>
      <c r="F232" s="118" t="s">
        <v>105</v>
      </c>
      <c r="G232" s="119"/>
      <c r="H232" s="126"/>
      <c r="I232" s="126"/>
      <c r="J232" s="2"/>
      <c r="K232" s="18"/>
      <c r="L232" s="18"/>
      <c r="M232" s="18"/>
      <c r="N232" s="18"/>
      <c r="O232" s="126"/>
      <c r="P232" s="126"/>
      <c r="Q232" s="126">
        <f>Feb!AZ288</f>
        <v>1</v>
      </c>
      <c r="R232" s="436"/>
      <c r="S232" s="436"/>
      <c r="T232" s="18"/>
      <c r="U232" s="18"/>
      <c r="V232" s="18"/>
      <c r="W232" s="45"/>
      <c r="X232" s="67"/>
    </row>
    <row r="233" spans="1:25" ht="15" customHeight="1">
      <c r="A233" s="427"/>
      <c r="B233" s="137" t="s">
        <v>112</v>
      </c>
      <c r="C233" s="157" t="s">
        <v>197</v>
      </c>
      <c r="D233" s="48" t="s">
        <v>104</v>
      </c>
      <c r="E233" s="441"/>
      <c r="F233" s="118" t="s">
        <v>113</v>
      </c>
      <c r="G233" s="119"/>
      <c r="H233" s="126"/>
      <c r="I233" s="126"/>
      <c r="J233" s="2"/>
      <c r="K233" s="18"/>
      <c r="L233" s="18"/>
      <c r="M233" s="18"/>
      <c r="N233" s="18"/>
      <c r="O233" s="126"/>
      <c r="P233" s="126"/>
      <c r="Q233" s="126">
        <f>Feb!AZ289</f>
        <v>1</v>
      </c>
      <c r="R233" s="436"/>
      <c r="S233" s="436"/>
      <c r="T233" s="18"/>
      <c r="U233" s="18"/>
      <c r="V233" s="18"/>
      <c r="W233" s="45"/>
      <c r="X233" s="67"/>
    </row>
    <row r="234" spans="1:25" ht="15" customHeight="1">
      <c r="A234" s="427"/>
      <c r="B234" s="137" t="s">
        <v>106</v>
      </c>
      <c r="C234" s="157" t="s">
        <v>141</v>
      </c>
      <c r="D234" s="48" t="s">
        <v>68</v>
      </c>
      <c r="E234" s="441"/>
      <c r="F234" s="118" t="s">
        <v>67</v>
      </c>
      <c r="G234" s="119"/>
      <c r="H234" s="126"/>
      <c r="I234" s="126"/>
      <c r="J234" s="2"/>
      <c r="K234" s="18"/>
      <c r="L234" s="18"/>
      <c r="M234" s="18"/>
      <c r="N234" s="18"/>
      <c r="O234" s="126"/>
      <c r="P234" s="126"/>
      <c r="Q234" s="126">
        <f>Feb!AZ289</f>
        <v>1</v>
      </c>
      <c r="R234" s="436"/>
      <c r="S234" s="436"/>
      <c r="T234" s="18"/>
      <c r="U234" s="18"/>
      <c r="V234" s="18"/>
      <c r="W234" s="45"/>
      <c r="X234" s="67"/>
    </row>
    <row r="235" spans="1:25" ht="15" customHeight="1" thickBot="1">
      <c r="A235" s="428"/>
      <c r="B235" s="44" t="s">
        <v>107</v>
      </c>
      <c r="C235" s="181" t="s">
        <v>195</v>
      </c>
      <c r="D235" s="61" t="s">
        <v>108</v>
      </c>
      <c r="E235" s="447"/>
      <c r="F235" s="133" t="s">
        <v>48</v>
      </c>
      <c r="G235" s="132"/>
      <c r="H235" s="109"/>
      <c r="I235" s="134"/>
      <c r="J235" s="129"/>
      <c r="K235" s="130"/>
      <c r="L235" s="130"/>
      <c r="M235" s="130"/>
      <c r="N235" s="130"/>
      <c r="O235" s="134"/>
      <c r="P235" s="134"/>
      <c r="Q235" s="134">
        <f>Feb!AZ290</f>
        <v>1</v>
      </c>
      <c r="R235" s="437"/>
      <c r="S235" s="437"/>
      <c r="T235" s="130"/>
      <c r="U235" s="130"/>
      <c r="V235" s="128"/>
      <c r="W235" s="85"/>
      <c r="X235" s="67"/>
    </row>
    <row r="236" spans="1:25" ht="15" customHeight="1">
      <c r="A236" s="426">
        <v>46076</v>
      </c>
      <c r="B236" s="429" t="s">
        <v>44</v>
      </c>
      <c r="C236" s="432" t="s">
        <v>240</v>
      </c>
      <c r="D236" s="19" t="s">
        <v>37</v>
      </c>
      <c r="E236" s="19" t="s">
        <v>25</v>
      </c>
      <c r="F236" s="39" t="s">
        <v>40</v>
      </c>
      <c r="G236" s="41">
        <v>2199.2399999999998</v>
      </c>
      <c r="H236" s="32"/>
      <c r="I236" s="32"/>
      <c r="J236" s="32"/>
      <c r="K236" s="20">
        <v>8000</v>
      </c>
      <c r="L236" s="20">
        <v>1</v>
      </c>
      <c r="M236" s="233">
        <v>24000</v>
      </c>
      <c r="N236" s="234">
        <v>3</v>
      </c>
      <c r="O236" s="32">
        <f>Feb!CH272</f>
        <v>22231</v>
      </c>
      <c r="P236" s="32">
        <f>Feb!CI272</f>
        <v>23935</v>
      </c>
      <c r="Q236" s="32">
        <f>Feb!CG272</f>
        <v>66</v>
      </c>
      <c r="R236" s="435">
        <f>Feb!CH293</f>
        <v>79209</v>
      </c>
      <c r="S236" s="435">
        <f>Feb!CI293</f>
        <v>73496</v>
      </c>
      <c r="T236" s="20">
        <v>26544</v>
      </c>
      <c r="U236" s="20">
        <v>38</v>
      </c>
      <c r="V236" s="20">
        <f>O236-T236-U236+V214</f>
        <v>4898</v>
      </c>
      <c r="W236" s="77"/>
      <c r="X236" s="36"/>
    </row>
    <row r="237" spans="1:25" ht="15" customHeight="1">
      <c r="A237" s="427"/>
      <c r="B237" s="430"/>
      <c r="C237" s="433"/>
      <c r="D237" s="113" t="s">
        <v>69</v>
      </c>
      <c r="E237" s="438" t="s">
        <v>24</v>
      </c>
      <c r="F237" s="118" t="s">
        <v>40</v>
      </c>
      <c r="G237" s="38"/>
      <c r="H237" s="37"/>
      <c r="I237" s="125"/>
      <c r="J237" s="125"/>
      <c r="K237" s="127"/>
      <c r="L237" s="127"/>
      <c r="M237" s="127"/>
      <c r="N237" s="81"/>
      <c r="O237" s="125">
        <f>Feb!CH273</f>
        <v>3035</v>
      </c>
      <c r="P237" s="125">
        <f>Feb!CI273</f>
        <v>1177</v>
      </c>
      <c r="Q237" s="125">
        <f>Feb!CG273</f>
        <v>4</v>
      </c>
      <c r="R237" s="436"/>
      <c r="S237" s="436"/>
      <c r="T237" s="127"/>
      <c r="U237" s="127"/>
      <c r="V237" s="127">
        <f>O237-T237-U237+V215</f>
        <v>6318</v>
      </c>
      <c r="W237" s="46"/>
      <c r="X237" s="67"/>
    </row>
    <row r="238" spans="1:25" ht="15" customHeight="1">
      <c r="A238" s="427"/>
      <c r="B238" s="431"/>
      <c r="C238" s="434"/>
      <c r="D238" s="113" t="s">
        <v>128</v>
      </c>
      <c r="E238" s="431"/>
      <c r="F238" s="114" t="s">
        <v>40</v>
      </c>
      <c r="G238" s="135"/>
      <c r="H238" s="135">
        <v>3037.5</v>
      </c>
      <c r="I238" s="125"/>
      <c r="J238" s="125"/>
      <c r="K238" s="18"/>
      <c r="L238" s="127"/>
      <c r="M238" s="127">
        <v>151700</v>
      </c>
      <c r="N238" s="81">
        <v>19</v>
      </c>
      <c r="O238" s="126">
        <f>Feb!CH274</f>
        <v>22304</v>
      </c>
      <c r="P238" s="125">
        <f>Feb!CI274</f>
        <v>16974</v>
      </c>
      <c r="Q238" s="125">
        <f>Feb!CG274</f>
        <v>47</v>
      </c>
      <c r="R238" s="436"/>
      <c r="S238" s="436"/>
      <c r="T238" s="127">
        <v>17092</v>
      </c>
      <c r="U238" s="127">
        <v>30</v>
      </c>
      <c r="V238" s="127">
        <f>O238-T238-U238+V216</f>
        <v>12170</v>
      </c>
      <c r="W238" s="46"/>
      <c r="X238" s="67"/>
    </row>
    <row r="239" spans="1:25" ht="15" customHeight="1">
      <c r="A239" s="427"/>
      <c r="B239" s="442" t="s">
        <v>45</v>
      </c>
      <c r="C239" s="448" t="s">
        <v>59</v>
      </c>
      <c r="D239" s="118" t="s">
        <v>75</v>
      </c>
      <c r="E239" s="131" t="s">
        <v>25</v>
      </c>
      <c r="F239" s="131" t="s">
        <v>57</v>
      </c>
      <c r="G239" s="87"/>
      <c r="H239" s="136"/>
      <c r="I239" s="126"/>
      <c r="J239" s="2"/>
      <c r="K239" s="127"/>
      <c r="L239" s="18"/>
      <c r="M239" s="18">
        <v>35300</v>
      </c>
      <c r="N239" s="80">
        <v>7</v>
      </c>
      <c r="O239" s="126">
        <f>Feb!CH276</f>
        <v>11000</v>
      </c>
      <c r="P239" s="126">
        <f>Feb!CI276</f>
        <v>3479</v>
      </c>
      <c r="Q239" s="2">
        <f>Feb!CG276</f>
        <v>13</v>
      </c>
      <c r="R239" s="436"/>
      <c r="S239" s="436"/>
      <c r="T239" s="18"/>
      <c r="U239" s="18"/>
      <c r="V239" s="127">
        <f>O239-T239-U239+V217</f>
        <v>70288</v>
      </c>
      <c r="W239" s="46"/>
      <c r="Y239" s="13"/>
    </row>
    <row r="240" spans="1:25" ht="15" customHeight="1">
      <c r="A240" s="427"/>
      <c r="B240" s="439"/>
      <c r="C240" s="440"/>
      <c r="D240" s="118" t="s">
        <v>94</v>
      </c>
      <c r="E240" s="131"/>
      <c r="F240" s="131"/>
      <c r="G240" s="87"/>
      <c r="H240" s="152">
        <v>1782</v>
      </c>
      <c r="I240" s="126"/>
      <c r="J240" s="2"/>
      <c r="K240" s="127"/>
      <c r="L240" s="18"/>
      <c r="M240" s="18"/>
      <c r="N240" s="80"/>
      <c r="O240" s="126"/>
      <c r="P240" s="126"/>
      <c r="Q240" s="2"/>
      <c r="R240" s="436"/>
      <c r="S240" s="436"/>
      <c r="T240" s="18"/>
      <c r="U240" s="18"/>
      <c r="V240" s="127"/>
      <c r="W240" s="46"/>
      <c r="Y240" s="13"/>
    </row>
    <row r="241" spans="1:25">
      <c r="A241" s="427"/>
      <c r="B241" s="439"/>
      <c r="C241" s="440"/>
      <c r="D241" s="118" t="s">
        <v>72</v>
      </c>
      <c r="E241" s="424" t="s">
        <v>24</v>
      </c>
      <c r="F241" s="131" t="s">
        <v>57</v>
      </c>
      <c r="G241" s="136"/>
      <c r="H241" s="136"/>
      <c r="I241" s="126"/>
      <c r="J241" s="126"/>
      <c r="K241" s="127"/>
      <c r="L241" s="18"/>
      <c r="M241" s="18">
        <v>90000</v>
      </c>
      <c r="N241" s="80">
        <v>18</v>
      </c>
      <c r="O241" s="126">
        <f>Feb!CH277</f>
        <v>2118</v>
      </c>
      <c r="P241" s="126">
        <f>Feb!CI277</f>
        <v>6246</v>
      </c>
      <c r="Q241" s="2">
        <f>Feb!CG277</f>
        <v>25</v>
      </c>
      <c r="R241" s="436"/>
      <c r="S241" s="436"/>
      <c r="T241" s="18">
        <v>6527</v>
      </c>
      <c r="U241" s="18">
        <v>4</v>
      </c>
      <c r="V241" s="127">
        <f>O241-T241-U241+V218</f>
        <v>3787</v>
      </c>
      <c r="W241" s="46"/>
      <c r="Y241" s="13"/>
    </row>
    <row r="242" spans="1:25">
      <c r="A242" s="427"/>
      <c r="B242" s="439"/>
      <c r="C242" s="440"/>
      <c r="D242" s="115" t="s">
        <v>73</v>
      </c>
      <c r="E242" s="425"/>
      <c r="F242" s="131"/>
      <c r="G242" s="224"/>
      <c r="H242" s="152">
        <v>1980</v>
      </c>
      <c r="I242" s="126"/>
      <c r="J242" s="126"/>
      <c r="K242" s="127"/>
      <c r="L242" s="18"/>
      <c r="M242" s="18"/>
      <c r="N242" s="80"/>
      <c r="O242" s="126"/>
      <c r="P242" s="126"/>
      <c r="Q242" s="126"/>
      <c r="R242" s="436"/>
      <c r="S242" s="436"/>
      <c r="T242" s="18"/>
      <c r="U242" s="18"/>
      <c r="V242" s="127"/>
      <c r="W242" s="46"/>
      <c r="Y242" s="13"/>
    </row>
    <row r="243" spans="1:25">
      <c r="A243" s="427"/>
      <c r="B243" s="439"/>
      <c r="C243" s="440"/>
      <c r="D243" s="115" t="s">
        <v>79</v>
      </c>
      <c r="E243" s="424" t="s">
        <v>65</v>
      </c>
      <c r="F243" s="131" t="s">
        <v>57</v>
      </c>
      <c r="G243" s="224"/>
      <c r="H243" s="136"/>
      <c r="I243" s="126"/>
      <c r="J243" s="126"/>
      <c r="K243" s="127"/>
      <c r="L243" s="18"/>
      <c r="M243" s="18">
        <v>59000</v>
      </c>
      <c r="N243" s="80">
        <v>12</v>
      </c>
      <c r="O243" s="126">
        <f>Feb!CH278</f>
        <v>4841</v>
      </c>
      <c r="P243" s="126">
        <f>Feb!CI278</f>
        <v>6938</v>
      </c>
      <c r="Q243" s="126">
        <f>Feb!CG278</f>
        <v>28</v>
      </c>
      <c r="R243" s="436"/>
      <c r="S243" s="436"/>
      <c r="T243" s="18">
        <v>4797</v>
      </c>
      <c r="U243" s="18"/>
      <c r="V243" s="127">
        <f>O243-T243-U243+V219</f>
        <v>3243</v>
      </c>
      <c r="W243" s="46"/>
      <c r="Y243" s="13"/>
    </row>
    <row r="244" spans="1:25">
      <c r="A244" s="427"/>
      <c r="B244" s="439"/>
      <c r="C244" s="440"/>
      <c r="D244" s="115" t="s">
        <v>200</v>
      </c>
      <c r="E244" s="441"/>
      <c r="F244" s="131" t="s">
        <v>57</v>
      </c>
      <c r="G244" s="229"/>
      <c r="H244" s="136"/>
      <c r="I244" s="126"/>
      <c r="J244" s="126"/>
      <c r="K244" s="127"/>
      <c r="L244" s="18"/>
      <c r="M244" s="18"/>
      <c r="N244" s="80"/>
      <c r="O244" s="126">
        <f>Feb!CH279</f>
        <v>365</v>
      </c>
      <c r="P244" s="126">
        <f>Feb!CI279</f>
        <v>219</v>
      </c>
      <c r="Q244" s="126">
        <f>Feb!CG279</f>
        <v>1</v>
      </c>
      <c r="R244" s="436"/>
      <c r="S244" s="436"/>
      <c r="T244" s="18"/>
      <c r="U244" s="18"/>
      <c r="V244" s="127"/>
      <c r="W244" s="46"/>
      <c r="Y244" s="13"/>
    </row>
    <row r="245" spans="1:25">
      <c r="A245" s="427"/>
      <c r="B245" s="443"/>
      <c r="C245" s="449"/>
      <c r="D245" s="115" t="s">
        <v>202</v>
      </c>
      <c r="E245" s="425"/>
      <c r="F245" s="131"/>
      <c r="G245" s="229"/>
      <c r="H245" s="136">
        <v>10.199999999999999</v>
      </c>
      <c r="I245" s="126"/>
      <c r="J245" s="126"/>
      <c r="K245" s="127"/>
      <c r="L245" s="18"/>
      <c r="M245" s="18"/>
      <c r="N245" s="80"/>
      <c r="O245" s="126"/>
      <c r="P245" s="126"/>
      <c r="Q245" s="126"/>
      <c r="R245" s="436"/>
      <c r="S245" s="436"/>
      <c r="T245" s="18"/>
      <c r="U245" s="18"/>
      <c r="V245" s="127"/>
      <c r="W245" s="46"/>
      <c r="Y245" s="13"/>
    </row>
    <row r="246" spans="1:25" ht="14.25" customHeight="1">
      <c r="A246" s="427"/>
      <c r="B246" s="137" t="s">
        <v>53</v>
      </c>
      <c r="C246" s="157" t="s">
        <v>60</v>
      </c>
      <c r="D246" s="43" t="s">
        <v>130</v>
      </c>
      <c r="E246" s="115" t="s">
        <v>66</v>
      </c>
      <c r="F246" s="118" t="s">
        <v>54</v>
      </c>
      <c r="G246" s="224"/>
      <c r="H246" s="37"/>
      <c r="I246" s="126"/>
      <c r="J246" s="126"/>
      <c r="K246" s="18"/>
      <c r="L246" s="18"/>
      <c r="M246" s="18">
        <v>82400</v>
      </c>
      <c r="N246" s="80">
        <v>15</v>
      </c>
      <c r="O246" s="126">
        <f>Feb!CH275</f>
        <v>6366</v>
      </c>
      <c r="P246" s="126">
        <f>Feb!CI275</f>
        <v>8707</v>
      </c>
      <c r="Q246" s="126">
        <f>Feb!CG275</f>
        <v>26</v>
      </c>
      <c r="R246" s="436"/>
      <c r="S246" s="436"/>
      <c r="T246" s="18"/>
      <c r="U246" s="18"/>
      <c r="V246" s="127">
        <f t="shared" ref="V246:V254" si="7">O246-T246-U246+V221</f>
        <v>7428</v>
      </c>
      <c r="W246" s="45"/>
      <c r="X246" s="36"/>
    </row>
    <row r="247" spans="1:25" ht="14.25" customHeight="1">
      <c r="A247" s="427"/>
      <c r="B247" s="137" t="s">
        <v>55</v>
      </c>
      <c r="C247" s="157" t="s">
        <v>133</v>
      </c>
      <c r="D247" s="43" t="s">
        <v>56</v>
      </c>
      <c r="E247" s="424" t="s">
        <v>25</v>
      </c>
      <c r="F247" s="118" t="s">
        <v>67</v>
      </c>
      <c r="G247" s="225"/>
      <c r="H247" s="37"/>
      <c r="I247" s="126"/>
      <c r="J247" s="126"/>
      <c r="K247" s="18"/>
      <c r="L247" s="18"/>
      <c r="M247" s="18"/>
      <c r="N247" s="80"/>
      <c r="O247" s="126"/>
      <c r="P247" s="126"/>
      <c r="Q247" s="126"/>
      <c r="R247" s="436"/>
      <c r="S247" s="436"/>
      <c r="T247" s="18"/>
      <c r="U247" s="18"/>
      <c r="V247" s="127">
        <f t="shared" si="7"/>
        <v>500</v>
      </c>
      <c r="W247" s="45"/>
      <c r="X247" s="67"/>
    </row>
    <row r="248" spans="1:25" ht="14.25" customHeight="1">
      <c r="A248" s="427"/>
      <c r="B248" s="122" t="s">
        <v>122</v>
      </c>
      <c r="C248" s="180" t="s">
        <v>123</v>
      </c>
      <c r="D248" s="48" t="s">
        <v>56</v>
      </c>
      <c r="E248" s="441"/>
      <c r="F248" s="114" t="s">
        <v>64</v>
      </c>
      <c r="G248" s="235"/>
      <c r="H248" s="135"/>
      <c r="I248" s="158"/>
      <c r="J248" s="158"/>
      <c r="K248" s="128"/>
      <c r="L248" s="128"/>
      <c r="M248" s="128">
        <v>6400</v>
      </c>
      <c r="N248" s="164">
        <v>2</v>
      </c>
      <c r="O248" s="158"/>
      <c r="P248" s="158"/>
      <c r="Q248" s="158">
        <f>Feb!CG282</f>
        <v>3</v>
      </c>
      <c r="R248" s="436"/>
      <c r="S248" s="436"/>
      <c r="T248" s="18"/>
      <c r="U248" s="18"/>
      <c r="V248" s="127">
        <f t="shared" si="7"/>
        <v>31304</v>
      </c>
      <c r="W248" s="45"/>
      <c r="X248" s="67"/>
    </row>
    <row r="249" spans="1:25" ht="14.25" customHeight="1">
      <c r="A249" s="427"/>
      <c r="B249" s="122" t="s">
        <v>125</v>
      </c>
      <c r="C249" s="180" t="s">
        <v>88</v>
      </c>
      <c r="D249" s="48" t="s">
        <v>124</v>
      </c>
      <c r="E249" s="441"/>
      <c r="F249" s="118" t="s">
        <v>64</v>
      </c>
      <c r="G249" s="225"/>
      <c r="H249" s="126"/>
      <c r="I249" s="126"/>
      <c r="J249" s="126"/>
      <c r="K249" s="18"/>
      <c r="L249" s="18"/>
      <c r="M249" s="18">
        <v>73400</v>
      </c>
      <c r="N249" s="80">
        <v>10</v>
      </c>
      <c r="O249" s="126">
        <f>Feb!CH280</f>
        <v>2449</v>
      </c>
      <c r="P249" s="126">
        <f>Feb!CI280</f>
        <v>2301</v>
      </c>
      <c r="Q249" s="126">
        <f>Feb!CG280</f>
        <v>10</v>
      </c>
      <c r="R249" s="436"/>
      <c r="S249" s="436"/>
      <c r="T249" s="18"/>
      <c r="U249" s="18"/>
      <c r="V249" s="127">
        <f t="shared" si="7"/>
        <v>20256</v>
      </c>
      <c r="W249" s="45"/>
      <c r="X249" s="67"/>
    </row>
    <row r="250" spans="1:25" ht="13.5" customHeight="1">
      <c r="A250" s="427"/>
      <c r="B250" s="442" t="s">
        <v>58</v>
      </c>
      <c r="C250" s="444" t="s">
        <v>136</v>
      </c>
      <c r="D250" s="48" t="s">
        <v>56</v>
      </c>
      <c r="E250" s="441"/>
      <c r="F250" s="118" t="s">
        <v>67</v>
      </c>
      <c r="G250" s="226"/>
      <c r="H250" s="126"/>
      <c r="I250" s="126"/>
      <c r="J250" s="2"/>
      <c r="K250" s="18"/>
      <c r="L250" s="18"/>
      <c r="M250" s="18"/>
      <c r="N250" s="18"/>
      <c r="O250" s="126"/>
      <c r="P250" s="126"/>
      <c r="Q250" s="126"/>
      <c r="R250" s="436"/>
      <c r="S250" s="436"/>
      <c r="T250" s="18"/>
      <c r="U250" s="18"/>
      <c r="V250" s="127">
        <f t="shared" si="7"/>
        <v>43</v>
      </c>
      <c r="W250" s="45"/>
      <c r="X250" s="67"/>
    </row>
    <row r="251" spans="1:25" ht="15.75" customHeight="1">
      <c r="A251" s="427"/>
      <c r="B251" s="439"/>
      <c r="C251" s="445"/>
      <c r="D251" s="48" t="s">
        <v>56</v>
      </c>
      <c r="E251" s="441"/>
      <c r="F251" s="118" t="s">
        <v>140</v>
      </c>
      <c r="G251" s="226"/>
      <c r="H251" s="126"/>
      <c r="I251" s="126"/>
      <c r="J251" s="2"/>
      <c r="K251" s="18"/>
      <c r="L251" s="18"/>
      <c r="M251" s="18"/>
      <c r="N251" s="18"/>
      <c r="O251" s="126"/>
      <c r="P251" s="126"/>
      <c r="Q251" s="126"/>
      <c r="R251" s="436"/>
      <c r="S251" s="436"/>
      <c r="T251" s="18"/>
      <c r="U251" s="18"/>
      <c r="V251" s="127">
        <f t="shared" si="7"/>
        <v>8562</v>
      </c>
      <c r="W251" s="45"/>
      <c r="X251" s="67"/>
    </row>
    <row r="252" spans="1:25" ht="15" customHeight="1">
      <c r="A252" s="427"/>
      <c r="B252" s="137" t="s">
        <v>47</v>
      </c>
      <c r="C252" s="157" t="s">
        <v>100</v>
      </c>
      <c r="D252" s="48" t="s">
        <v>99</v>
      </c>
      <c r="E252" s="441"/>
      <c r="F252" s="118" t="s">
        <v>71</v>
      </c>
      <c r="G252" s="226"/>
      <c r="H252" s="126"/>
      <c r="I252" s="126"/>
      <c r="J252" s="2"/>
      <c r="K252" s="18"/>
      <c r="L252" s="18"/>
      <c r="M252" s="18">
        <v>42000</v>
      </c>
      <c r="N252" s="18">
        <v>7</v>
      </c>
      <c r="O252" s="126">
        <f>Feb!CH281</f>
        <v>4500</v>
      </c>
      <c r="P252" s="126">
        <f>Feb!CI281</f>
        <v>2126</v>
      </c>
      <c r="Q252" s="126">
        <f>Feb!CG281</f>
        <v>8</v>
      </c>
      <c r="R252" s="436"/>
      <c r="S252" s="436"/>
      <c r="T252" s="18"/>
      <c r="U252" s="18"/>
      <c r="V252" s="127">
        <f t="shared" si="7"/>
        <v>49182</v>
      </c>
      <c r="W252" s="45"/>
      <c r="X252" s="67"/>
    </row>
    <row r="253" spans="1:25" ht="15" customHeight="1">
      <c r="A253" s="427"/>
      <c r="B253" s="122" t="s">
        <v>196</v>
      </c>
      <c r="C253" s="180" t="s">
        <v>63</v>
      </c>
      <c r="D253" s="48" t="s">
        <v>135</v>
      </c>
      <c r="E253" s="441"/>
      <c r="F253" s="118" t="s">
        <v>64</v>
      </c>
      <c r="G253" s="226"/>
      <c r="H253" s="126"/>
      <c r="I253" s="126"/>
      <c r="J253" s="2"/>
      <c r="K253" s="18"/>
      <c r="L253" s="18"/>
      <c r="M253" s="18"/>
      <c r="N253" s="18"/>
      <c r="O253" s="126"/>
      <c r="P253" s="126">
        <f>Feb!CI285</f>
        <v>1394</v>
      </c>
      <c r="Q253" s="126">
        <f>Feb!CG285</f>
        <v>5</v>
      </c>
      <c r="R253" s="436"/>
      <c r="S253" s="436"/>
      <c r="T253" s="18"/>
      <c r="U253" s="18"/>
      <c r="V253" s="127">
        <f t="shared" si="7"/>
        <v>7073</v>
      </c>
      <c r="W253" s="45"/>
      <c r="X253" s="67"/>
    </row>
    <row r="254" spans="1:25" ht="15" customHeight="1">
      <c r="A254" s="427"/>
      <c r="B254" s="122" t="s">
        <v>61</v>
      </c>
      <c r="C254" s="180" t="s">
        <v>137</v>
      </c>
      <c r="D254" s="48" t="s">
        <v>56</v>
      </c>
      <c r="E254" s="441"/>
      <c r="F254" s="118" t="s">
        <v>67</v>
      </c>
      <c r="G254" s="119"/>
      <c r="H254" s="126"/>
      <c r="I254" s="126"/>
      <c r="J254" s="2"/>
      <c r="K254" s="18"/>
      <c r="L254" s="18"/>
      <c r="M254" s="18"/>
      <c r="N254" s="18"/>
      <c r="O254" s="126"/>
      <c r="P254" s="126"/>
      <c r="Q254" s="126">
        <f>Feb!CG284</f>
        <v>2</v>
      </c>
      <c r="R254" s="436"/>
      <c r="S254" s="436"/>
      <c r="T254" s="18"/>
      <c r="U254" s="18"/>
      <c r="V254" s="127">
        <f t="shared" si="7"/>
        <v>5819</v>
      </c>
      <c r="W254" s="45"/>
      <c r="X254" s="67"/>
    </row>
    <row r="255" spans="1:25" ht="15" customHeight="1">
      <c r="A255" s="427"/>
      <c r="B255" s="122" t="s">
        <v>131</v>
      </c>
      <c r="C255" s="180" t="s">
        <v>194</v>
      </c>
      <c r="D255" s="48" t="s">
        <v>132</v>
      </c>
      <c r="E255" s="441"/>
      <c r="F255" s="118" t="s">
        <v>64</v>
      </c>
      <c r="G255" s="119"/>
      <c r="H255" s="126"/>
      <c r="I255" s="126"/>
      <c r="J255" s="2"/>
      <c r="K255" s="18"/>
      <c r="L255" s="18"/>
      <c r="M255" s="18"/>
      <c r="N255" s="18"/>
      <c r="O255" s="126"/>
      <c r="P255" s="126"/>
      <c r="Q255" s="126">
        <f>Feb!CG287</f>
        <v>1</v>
      </c>
      <c r="R255" s="436"/>
      <c r="S255" s="436"/>
      <c r="T255" s="18"/>
      <c r="U255" s="18"/>
      <c r="V255" s="18"/>
      <c r="W255" s="45"/>
      <c r="X255" s="67"/>
    </row>
    <row r="256" spans="1:25" ht="15" customHeight="1">
      <c r="A256" s="427"/>
      <c r="B256" s="122" t="s">
        <v>101</v>
      </c>
      <c r="C256" s="180" t="s">
        <v>193</v>
      </c>
      <c r="D256" s="48" t="s">
        <v>102</v>
      </c>
      <c r="E256" s="441"/>
      <c r="F256" s="118" t="s">
        <v>64</v>
      </c>
      <c r="G256" s="119"/>
      <c r="H256" s="126"/>
      <c r="I256" s="126"/>
      <c r="J256" s="2"/>
      <c r="K256" s="18"/>
      <c r="L256" s="18"/>
      <c r="M256" s="18"/>
      <c r="N256" s="18"/>
      <c r="O256" s="126"/>
      <c r="P256" s="126"/>
      <c r="Q256" s="126">
        <f>Feb!CG288</f>
        <v>1</v>
      </c>
      <c r="R256" s="436"/>
      <c r="S256" s="436"/>
      <c r="T256" s="18"/>
      <c r="U256" s="18"/>
      <c r="V256" s="18"/>
      <c r="W256" s="45"/>
      <c r="X256" s="67"/>
    </row>
    <row r="257" spans="1:25" ht="15" customHeight="1">
      <c r="A257" s="427"/>
      <c r="B257" s="122" t="s">
        <v>103</v>
      </c>
      <c r="C257" s="157" t="s">
        <v>197</v>
      </c>
      <c r="D257" s="48" t="s">
        <v>104</v>
      </c>
      <c r="E257" s="441"/>
      <c r="F257" s="118" t="s">
        <v>105</v>
      </c>
      <c r="G257" s="119"/>
      <c r="H257" s="126"/>
      <c r="I257" s="126"/>
      <c r="J257" s="2"/>
      <c r="K257" s="18"/>
      <c r="L257" s="18"/>
      <c r="M257" s="18"/>
      <c r="N257" s="18"/>
      <c r="O257" s="126"/>
      <c r="P257" s="126"/>
      <c r="Q257" s="126">
        <f>Feb!CG291</f>
        <v>1</v>
      </c>
      <c r="R257" s="436"/>
      <c r="S257" s="436"/>
      <c r="T257" s="18"/>
      <c r="U257" s="18"/>
      <c r="V257" s="18"/>
      <c r="W257" s="45"/>
      <c r="X257" s="67"/>
    </row>
    <row r="258" spans="1:25" ht="15" customHeight="1">
      <c r="A258" s="427"/>
      <c r="B258" s="137" t="s">
        <v>112</v>
      </c>
      <c r="C258" s="157" t="s">
        <v>197</v>
      </c>
      <c r="D258" s="48" t="s">
        <v>104</v>
      </c>
      <c r="E258" s="441"/>
      <c r="F258" s="118" t="s">
        <v>113</v>
      </c>
      <c r="G258" s="119"/>
      <c r="H258" s="126"/>
      <c r="I258" s="126"/>
      <c r="J258" s="2"/>
      <c r="K258" s="18"/>
      <c r="L258" s="18"/>
      <c r="M258" s="18"/>
      <c r="N258" s="18"/>
      <c r="O258" s="126"/>
      <c r="P258" s="126"/>
      <c r="Q258" s="126">
        <f>Feb!CG291</f>
        <v>1</v>
      </c>
      <c r="R258" s="436"/>
      <c r="S258" s="436"/>
      <c r="T258" s="18"/>
      <c r="U258" s="18"/>
      <c r="V258" s="18"/>
      <c r="W258" s="45"/>
      <c r="X258" s="67"/>
    </row>
    <row r="259" spans="1:25" ht="15" customHeight="1">
      <c r="A259" s="427"/>
      <c r="B259" s="137" t="s">
        <v>106</v>
      </c>
      <c r="C259" s="157" t="s">
        <v>141</v>
      </c>
      <c r="D259" s="48" t="s">
        <v>68</v>
      </c>
      <c r="E259" s="441"/>
      <c r="F259" s="118" t="s">
        <v>67</v>
      </c>
      <c r="G259" s="119"/>
      <c r="H259" s="126"/>
      <c r="I259" s="126"/>
      <c r="J259" s="2"/>
      <c r="K259" s="18"/>
      <c r="L259" s="18"/>
      <c r="M259" s="18"/>
      <c r="N259" s="18"/>
      <c r="O259" s="126"/>
      <c r="P259" s="126"/>
      <c r="Q259" s="126">
        <f>Feb!CG289</f>
        <v>1</v>
      </c>
      <c r="R259" s="436"/>
      <c r="S259" s="436"/>
      <c r="T259" s="18"/>
      <c r="U259" s="18"/>
      <c r="V259" s="18"/>
      <c r="W259" s="45"/>
      <c r="X259" s="67"/>
    </row>
    <row r="260" spans="1:25" ht="15" customHeight="1" thickBot="1">
      <c r="A260" s="428"/>
      <c r="B260" s="44" t="s">
        <v>107</v>
      </c>
      <c r="C260" s="181" t="s">
        <v>195</v>
      </c>
      <c r="D260" s="61" t="s">
        <v>108</v>
      </c>
      <c r="E260" s="447"/>
      <c r="F260" s="133" t="s">
        <v>48</v>
      </c>
      <c r="G260" s="132"/>
      <c r="H260" s="109"/>
      <c r="I260" s="134"/>
      <c r="J260" s="129"/>
      <c r="K260" s="130"/>
      <c r="L260" s="130"/>
      <c r="M260" s="130"/>
      <c r="N260" s="130"/>
      <c r="O260" s="134"/>
      <c r="P260" s="134"/>
      <c r="Q260" s="134">
        <f>Feb!CG290</f>
        <v>1</v>
      </c>
      <c r="R260" s="437"/>
      <c r="S260" s="437"/>
      <c r="T260" s="130"/>
      <c r="U260" s="130"/>
      <c r="V260" s="128"/>
      <c r="W260" s="85"/>
      <c r="X260" s="67"/>
    </row>
    <row r="261" spans="1:25" ht="15" customHeight="1">
      <c r="A261" s="426">
        <v>46077</v>
      </c>
      <c r="B261" s="429" t="s">
        <v>44</v>
      </c>
      <c r="C261" s="432" t="s">
        <v>240</v>
      </c>
      <c r="D261" s="19" t="s">
        <v>37</v>
      </c>
      <c r="E261" s="19" t="s">
        <v>25</v>
      </c>
      <c r="F261" s="39" t="s">
        <v>40</v>
      </c>
      <c r="G261" s="41">
        <v>8247.15</v>
      </c>
      <c r="H261" s="32">
        <v>5760</v>
      </c>
      <c r="I261" s="32"/>
      <c r="J261" s="32"/>
      <c r="K261" s="20">
        <v>40000</v>
      </c>
      <c r="L261" s="20">
        <v>5</v>
      </c>
      <c r="M261" s="20">
        <v>104000</v>
      </c>
      <c r="N261" s="84">
        <v>13</v>
      </c>
      <c r="O261" s="32">
        <f>Feb!CK272</f>
        <v>18884</v>
      </c>
      <c r="P261" s="32">
        <f>Feb!CL272</f>
        <v>25600</v>
      </c>
      <c r="Q261" s="32">
        <f>Feb!CJ272</f>
        <v>70</v>
      </c>
      <c r="R261" s="435">
        <f>Feb!CK293</f>
        <v>68361</v>
      </c>
      <c r="S261" s="435">
        <f>Feb!CL293</f>
        <v>74120</v>
      </c>
      <c r="T261" s="20">
        <v>8062</v>
      </c>
      <c r="U261" s="20"/>
      <c r="V261" s="20">
        <f>O261-T261-U261+V236</f>
        <v>15720</v>
      </c>
      <c r="W261" s="77"/>
      <c r="X261" s="36"/>
    </row>
    <row r="262" spans="1:25" ht="15" customHeight="1">
      <c r="A262" s="427"/>
      <c r="B262" s="430"/>
      <c r="C262" s="433"/>
      <c r="D262" s="113" t="s">
        <v>69</v>
      </c>
      <c r="E262" s="438" t="s">
        <v>24</v>
      </c>
      <c r="F262" s="118" t="s">
        <v>40</v>
      </c>
      <c r="G262" s="38"/>
      <c r="H262" s="37"/>
      <c r="I262" s="125"/>
      <c r="J262" s="125"/>
      <c r="K262" s="127"/>
      <c r="L262" s="127"/>
      <c r="M262" s="127"/>
      <c r="N262" s="81"/>
      <c r="O262" s="125">
        <f>Feb!CK273</f>
        <v>2326</v>
      </c>
      <c r="P262" s="125">
        <f>Feb!CL273</f>
        <v>629</v>
      </c>
      <c r="Q262" s="125">
        <f>Feb!CJ273</f>
        <v>2</v>
      </c>
      <c r="R262" s="436"/>
      <c r="S262" s="436"/>
      <c r="T262" s="127"/>
      <c r="U262" s="127"/>
      <c r="V262" s="127">
        <f>O262-T262-U262+V237</f>
        <v>8644</v>
      </c>
      <c r="W262" s="46"/>
      <c r="X262" s="67"/>
    </row>
    <row r="263" spans="1:25" ht="15" customHeight="1">
      <c r="A263" s="427"/>
      <c r="B263" s="431"/>
      <c r="C263" s="434"/>
      <c r="D263" s="113" t="s">
        <v>128</v>
      </c>
      <c r="E263" s="431"/>
      <c r="F263" s="114" t="s">
        <v>40</v>
      </c>
      <c r="G263" s="135"/>
      <c r="H263" s="135"/>
      <c r="I263" s="125"/>
      <c r="J263" s="125"/>
      <c r="K263" s="18">
        <v>8000</v>
      </c>
      <c r="L263" s="127">
        <v>1</v>
      </c>
      <c r="M263" s="127">
        <v>143700</v>
      </c>
      <c r="N263" s="81">
        <v>18</v>
      </c>
      <c r="O263" s="126">
        <f>Feb!CK274</f>
        <v>13900</v>
      </c>
      <c r="P263" s="125">
        <f>Feb!CL274</f>
        <v>16495</v>
      </c>
      <c r="Q263" s="125">
        <f>Feb!CJ274</f>
        <v>45</v>
      </c>
      <c r="R263" s="436"/>
      <c r="S263" s="436"/>
      <c r="T263" s="127">
        <v>17087</v>
      </c>
      <c r="U263" s="127">
        <v>60</v>
      </c>
      <c r="V263" s="127">
        <f>O263-T263-U263+V238</f>
        <v>8923</v>
      </c>
      <c r="W263" s="46"/>
      <c r="X263" s="67"/>
    </row>
    <row r="264" spans="1:25" ht="15" customHeight="1">
      <c r="A264" s="427"/>
      <c r="B264" s="442" t="s">
        <v>45</v>
      </c>
      <c r="C264" s="448" t="s">
        <v>59</v>
      </c>
      <c r="D264" s="118" t="s">
        <v>75</v>
      </c>
      <c r="E264" s="131" t="s">
        <v>25</v>
      </c>
      <c r="F264" s="131" t="s">
        <v>57</v>
      </c>
      <c r="G264" s="87"/>
      <c r="H264" s="136"/>
      <c r="I264" s="126"/>
      <c r="J264" s="2"/>
      <c r="K264" s="127">
        <v>5000</v>
      </c>
      <c r="L264" s="18">
        <v>1</v>
      </c>
      <c r="M264" s="18">
        <v>30300</v>
      </c>
      <c r="N264" s="80">
        <v>6</v>
      </c>
      <c r="O264" s="126"/>
      <c r="P264" s="126">
        <f>Feb!CL276</f>
        <v>3695</v>
      </c>
      <c r="Q264" s="2">
        <f>Feb!CJ276</f>
        <v>14</v>
      </c>
      <c r="R264" s="436"/>
      <c r="S264" s="436"/>
      <c r="T264" s="18"/>
      <c r="U264" s="18"/>
      <c r="V264" s="127">
        <f>O264-T264-U264+V239</f>
        <v>70288</v>
      </c>
      <c r="W264" s="46"/>
      <c r="Y264" s="13"/>
    </row>
    <row r="265" spans="1:25">
      <c r="A265" s="427"/>
      <c r="B265" s="439"/>
      <c r="C265" s="440"/>
      <c r="D265" s="118" t="s">
        <v>72</v>
      </c>
      <c r="E265" s="155" t="s">
        <v>24</v>
      </c>
      <c r="F265" s="131" t="s">
        <v>57</v>
      </c>
      <c r="G265" s="136"/>
      <c r="H265" s="136"/>
      <c r="I265" s="126"/>
      <c r="J265" s="126"/>
      <c r="K265" s="127">
        <v>5000</v>
      </c>
      <c r="L265" s="18">
        <v>1</v>
      </c>
      <c r="M265" s="18">
        <v>85000</v>
      </c>
      <c r="N265" s="80">
        <v>17</v>
      </c>
      <c r="O265" s="126">
        <f>Feb!CK277</f>
        <v>6591</v>
      </c>
      <c r="P265" s="126">
        <f>Feb!CL277</f>
        <v>6220</v>
      </c>
      <c r="Q265" s="2">
        <f>Feb!CJ277</f>
        <v>25</v>
      </c>
      <c r="R265" s="436"/>
      <c r="S265" s="436"/>
      <c r="T265" s="18">
        <v>6108</v>
      </c>
      <c r="U265" s="18">
        <v>10</v>
      </c>
      <c r="V265" s="127">
        <f>O265-T265-U265+V241</f>
        <v>4260</v>
      </c>
      <c r="W265" s="46"/>
      <c r="Y265" s="13"/>
    </row>
    <row r="266" spans="1:25">
      <c r="A266" s="427"/>
      <c r="B266" s="439"/>
      <c r="C266" s="440"/>
      <c r="D266" s="115" t="s">
        <v>79</v>
      </c>
      <c r="E266" s="424" t="s">
        <v>65</v>
      </c>
      <c r="F266" s="131" t="s">
        <v>57</v>
      </c>
      <c r="G266" s="224"/>
      <c r="H266" s="136"/>
      <c r="I266" s="126"/>
      <c r="J266" s="126"/>
      <c r="K266" s="127"/>
      <c r="L266" s="18"/>
      <c r="M266" s="18">
        <v>59000</v>
      </c>
      <c r="N266" s="80">
        <v>12</v>
      </c>
      <c r="O266" s="126">
        <f>Feb!CK278</f>
        <v>8874</v>
      </c>
      <c r="P266" s="126">
        <f>Feb!CL278</f>
        <v>6741</v>
      </c>
      <c r="Q266" s="126">
        <f>Feb!CJ278</f>
        <v>27</v>
      </c>
      <c r="R266" s="436"/>
      <c r="S266" s="436"/>
      <c r="T266" s="18">
        <v>9141</v>
      </c>
      <c r="U266" s="18"/>
      <c r="V266" s="127">
        <f>O266-T266-U266+V243</f>
        <v>2976</v>
      </c>
      <c r="W266" s="46"/>
      <c r="Y266" s="13"/>
    </row>
    <row r="267" spans="1:25">
      <c r="A267" s="427"/>
      <c r="B267" s="439"/>
      <c r="C267" s="440"/>
      <c r="D267" s="115" t="s">
        <v>80</v>
      </c>
      <c r="E267" s="441"/>
      <c r="F267" s="131"/>
      <c r="G267" s="224"/>
      <c r="H267" s="152">
        <v>2640</v>
      </c>
      <c r="I267" s="126"/>
      <c r="J267" s="126"/>
      <c r="K267" s="127"/>
      <c r="L267" s="18"/>
      <c r="M267" s="18"/>
      <c r="N267" s="80"/>
      <c r="O267" s="126"/>
      <c r="P267" s="126"/>
      <c r="Q267" s="126"/>
      <c r="R267" s="436"/>
      <c r="S267" s="436"/>
      <c r="T267" s="18"/>
      <c r="U267" s="18"/>
      <c r="V267" s="127"/>
      <c r="W267" s="46"/>
      <c r="Y267" s="13"/>
    </row>
    <row r="268" spans="1:25">
      <c r="A268" s="427"/>
      <c r="B268" s="439"/>
      <c r="C268" s="440"/>
      <c r="D268" s="115" t="s">
        <v>200</v>
      </c>
      <c r="E268" s="441"/>
      <c r="F268" s="131" t="s">
        <v>57</v>
      </c>
      <c r="G268" s="229"/>
      <c r="H268" s="136"/>
      <c r="I268" s="126"/>
      <c r="J268" s="126"/>
      <c r="K268" s="127"/>
      <c r="L268" s="18"/>
      <c r="M268" s="18"/>
      <c r="N268" s="80"/>
      <c r="O268" s="126">
        <f>Feb!CK279</f>
        <v>113</v>
      </c>
      <c r="P268" s="126">
        <f>Feb!CL279</f>
        <v>44</v>
      </c>
      <c r="Q268" s="126">
        <f>Feb!CJ279</f>
        <v>1</v>
      </c>
      <c r="R268" s="436"/>
      <c r="S268" s="436"/>
      <c r="T268" s="18">
        <v>478</v>
      </c>
      <c r="U268" s="18"/>
      <c r="V268" s="127"/>
      <c r="W268" s="46"/>
      <c r="Y268" s="13"/>
    </row>
    <row r="269" spans="1:25">
      <c r="A269" s="427"/>
      <c r="B269" s="443"/>
      <c r="C269" s="449"/>
      <c r="D269" s="115" t="s">
        <v>202</v>
      </c>
      <c r="E269" s="425"/>
      <c r="F269" s="131"/>
      <c r="G269" s="224"/>
      <c r="H269" s="136">
        <v>5.0999999999999996</v>
      </c>
      <c r="I269" s="126"/>
      <c r="J269" s="126"/>
      <c r="K269" s="127"/>
      <c r="L269" s="18"/>
      <c r="M269" s="18"/>
      <c r="N269" s="80"/>
      <c r="O269" s="126"/>
      <c r="P269" s="126"/>
      <c r="Q269" s="126"/>
      <c r="R269" s="436"/>
      <c r="S269" s="436"/>
      <c r="T269" s="18"/>
      <c r="U269" s="18"/>
      <c r="V269" s="127"/>
      <c r="W269" s="46"/>
      <c r="Y269" s="13"/>
    </row>
    <row r="270" spans="1:25" ht="14.25" customHeight="1">
      <c r="A270" s="427"/>
      <c r="B270" s="137" t="s">
        <v>53</v>
      </c>
      <c r="C270" s="157" t="s">
        <v>60</v>
      </c>
      <c r="D270" s="43" t="s">
        <v>130</v>
      </c>
      <c r="E270" s="115" t="s">
        <v>66</v>
      </c>
      <c r="F270" s="118" t="s">
        <v>54</v>
      </c>
      <c r="G270" s="224"/>
      <c r="H270" s="37"/>
      <c r="I270" s="126"/>
      <c r="J270" s="126"/>
      <c r="K270" s="18">
        <v>17700</v>
      </c>
      <c r="L270" s="18">
        <v>3</v>
      </c>
      <c r="M270" s="18">
        <v>64700</v>
      </c>
      <c r="N270" s="80">
        <v>12</v>
      </c>
      <c r="O270" s="126">
        <f>Feb!CK275</f>
        <v>9927</v>
      </c>
      <c r="P270" s="126">
        <f>Feb!CL275</f>
        <v>8916</v>
      </c>
      <c r="Q270" s="126">
        <f>Feb!CJ275</f>
        <v>26</v>
      </c>
      <c r="R270" s="436"/>
      <c r="S270" s="436"/>
      <c r="T270" s="18">
        <v>14209</v>
      </c>
      <c r="U270" s="18"/>
      <c r="V270" s="127">
        <f t="shared" ref="V270:V278" si="8">O270-T270-U270+V246</f>
        <v>3146</v>
      </c>
      <c r="W270" s="45"/>
      <c r="X270" s="36"/>
    </row>
    <row r="271" spans="1:25" ht="14.25" customHeight="1">
      <c r="A271" s="427"/>
      <c r="B271" s="122" t="s">
        <v>55</v>
      </c>
      <c r="C271" s="180" t="s">
        <v>133</v>
      </c>
      <c r="D271" s="48" t="s">
        <v>56</v>
      </c>
      <c r="E271" s="424" t="s">
        <v>25</v>
      </c>
      <c r="F271" s="118" t="s">
        <v>67</v>
      </c>
      <c r="G271" s="224"/>
      <c r="H271" s="37"/>
      <c r="I271" s="126"/>
      <c r="J271" s="126"/>
      <c r="K271" s="18"/>
      <c r="L271" s="18"/>
      <c r="M271" s="18"/>
      <c r="N271" s="80"/>
      <c r="O271" s="126"/>
      <c r="P271" s="126"/>
      <c r="Q271" s="126"/>
      <c r="R271" s="436"/>
      <c r="S271" s="436"/>
      <c r="T271" s="18"/>
      <c r="U271" s="18"/>
      <c r="V271" s="127">
        <f t="shared" si="8"/>
        <v>500</v>
      </c>
      <c r="W271" s="45"/>
      <c r="X271" s="67"/>
    </row>
    <row r="272" spans="1:25" ht="14.25" customHeight="1">
      <c r="A272" s="427"/>
      <c r="B272" s="122" t="s">
        <v>122</v>
      </c>
      <c r="C272" s="180" t="s">
        <v>123</v>
      </c>
      <c r="D272" s="48" t="s">
        <v>56</v>
      </c>
      <c r="E272" s="441"/>
      <c r="F272" s="155" t="s">
        <v>64</v>
      </c>
      <c r="G272" s="224"/>
      <c r="H272" s="135"/>
      <c r="I272" s="158"/>
      <c r="J272" s="158"/>
      <c r="K272" s="128"/>
      <c r="L272" s="128"/>
      <c r="M272" s="128">
        <v>6400</v>
      </c>
      <c r="N272" s="164">
        <v>2</v>
      </c>
      <c r="O272" s="158"/>
      <c r="P272" s="158"/>
      <c r="Q272" s="158">
        <f>Feb!CJ282</f>
        <v>3</v>
      </c>
      <c r="R272" s="436"/>
      <c r="S272" s="436"/>
      <c r="T272" s="18"/>
      <c r="U272" s="18"/>
      <c r="V272" s="127">
        <f t="shared" si="8"/>
        <v>31304</v>
      </c>
      <c r="W272" s="45"/>
      <c r="X272" s="67"/>
    </row>
    <row r="273" spans="1:25" ht="14.25" customHeight="1">
      <c r="A273" s="427"/>
      <c r="B273" s="122" t="s">
        <v>125</v>
      </c>
      <c r="C273" s="180" t="s">
        <v>88</v>
      </c>
      <c r="D273" s="48" t="s">
        <v>124</v>
      </c>
      <c r="E273" s="441"/>
      <c r="F273" s="118" t="s">
        <v>64</v>
      </c>
      <c r="G273" s="225"/>
      <c r="H273" s="126">
        <v>576</v>
      </c>
      <c r="I273" s="126"/>
      <c r="J273" s="126"/>
      <c r="K273" s="18">
        <v>7400</v>
      </c>
      <c r="L273" s="18">
        <v>1</v>
      </c>
      <c r="M273" s="18">
        <v>66000</v>
      </c>
      <c r="N273" s="80">
        <v>9</v>
      </c>
      <c r="O273" s="126">
        <f>Feb!CK280</f>
        <v>2925</v>
      </c>
      <c r="P273" s="126">
        <f>Feb!CL280</f>
        <v>2313</v>
      </c>
      <c r="Q273" s="126">
        <f>Feb!CJ280</f>
        <v>10</v>
      </c>
      <c r="R273" s="436"/>
      <c r="S273" s="436"/>
      <c r="T273" s="18">
        <v>9886</v>
      </c>
      <c r="U273" s="18"/>
      <c r="V273" s="127">
        <f t="shared" si="8"/>
        <v>13295</v>
      </c>
      <c r="W273" s="45"/>
      <c r="X273" s="67"/>
    </row>
    <row r="274" spans="1:25" ht="13.5" customHeight="1">
      <c r="A274" s="427"/>
      <c r="B274" s="442" t="s">
        <v>58</v>
      </c>
      <c r="C274" s="444" t="s">
        <v>136</v>
      </c>
      <c r="D274" s="48" t="s">
        <v>56</v>
      </c>
      <c r="E274" s="441"/>
      <c r="F274" s="118" t="s">
        <v>67</v>
      </c>
      <c r="G274" s="226"/>
      <c r="H274" s="126"/>
      <c r="I274" s="126"/>
      <c r="J274" s="2"/>
      <c r="K274" s="18"/>
      <c r="L274" s="18"/>
      <c r="M274" s="18"/>
      <c r="N274" s="18"/>
      <c r="O274" s="126"/>
      <c r="P274" s="126"/>
      <c r="Q274" s="126"/>
      <c r="R274" s="436"/>
      <c r="S274" s="436"/>
      <c r="T274" s="18"/>
      <c r="U274" s="18"/>
      <c r="V274" s="127">
        <f t="shared" si="8"/>
        <v>43</v>
      </c>
      <c r="W274" s="45"/>
      <c r="X274" s="67"/>
    </row>
    <row r="275" spans="1:25" ht="15.75" customHeight="1">
      <c r="A275" s="427"/>
      <c r="B275" s="439"/>
      <c r="C275" s="445"/>
      <c r="D275" s="48" t="s">
        <v>56</v>
      </c>
      <c r="E275" s="441"/>
      <c r="F275" s="118" t="s">
        <v>140</v>
      </c>
      <c r="G275" s="226"/>
      <c r="H275" s="126"/>
      <c r="I275" s="126"/>
      <c r="J275" s="2"/>
      <c r="K275" s="18"/>
      <c r="L275" s="18"/>
      <c r="M275" s="18"/>
      <c r="N275" s="18"/>
      <c r="O275" s="126"/>
      <c r="P275" s="126"/>
      <c r="Q275" s="126"/>
      <c r="R275" s="436"/>
      <c r="S275" s="436"/>
      <c r="T275" s="18"/>
      <c r="U275" s="18"/>
      <c r="V275" s="127">
        <f t="shared" si="8"/>
        <v>8562</v>
      </c>
      <c r="W275" s="45"/>
      <c r="X275" s="67"/>
    </row>
    <row r="276" spans="1:25" ht="15" customHeight="1">
      <c r="A276" s="427"/>
      <c r="B276" s="137" t="s">
        <v>47</v>
      </c>
      <c r="C276" s="157" t="s">
        <v>100</v>
      </c>
      <c r="D276" s="48" t="s">
        <v>99</v>
      </c>
      <c r="E276" s="441"/>
      <c r="F276" s="118" t="s">
        <v>71</v>
      </c>
      <c r="G276" s="226"/>
      <c r="H276" s="126"/>
      <c r="I276" s="126"/>
      <c r="J276" s="2"/>
      <c r="K276" s="18"/>
      <c r="L276" s="18"/>
      <c r="M276" s="18">
        <v>42000</v>
      </c>
      <c r="N276" s="18">
        <v>7</v>
      </c>
      <c r="O276" s="126">
        <f>Feb!CK281</f>
        <v>1500</v>
      </c>
      <c r="P276" s="126">
        <f>Feb!CL281</f>
        <v>2094</v>
      </c>
      <c r="Q276" s="126">
        <f>Feb!CJ281</f>
        <v>8</v>
      </c>
      <c r="R276" s="436"/>
      <c r="S276" s="436"/>
      <c r="T276" s="18"/>
      <c r="U276" s="18"/>
      <c r="V276" s="127">
        <f t="shared" si="8"/>
        <v>50682</v>
      </c>
      <c r="W276" s="45"/>
      <c r="X276" s="67"/>
    </row>
    <row r="277" spans="1:25" ht="15" customHeight="1">
      <c r="A277" s="427"/>
      <c r="B277" s="122" t="s">
        <v>196</v>
      </c>
      <c r="C277" s="180" t="s">
        <v>63</v>
      </c>
      <c r="D277" s="48" t="s">
        <v>135</v>
      </c>
      <c r="E277" s="441"/>
      <c r="F277" s="118" t="s">
        <v>64</v>
      </c>
      <c r="G277" s="226"/>
      <c r="H277" s="126"/>
      <c r="I277" s="126"/>
      <c r="J277" s="2"/>
      <c r="K277" s="18"/>
      <c r="L277" s="18"/>
      <c r="M277" s="18"/>
      <c r="N277" s="18"/>
      <c r="O277" s="126">
        <f>Feb!CK285</f>
        <v>3321</v>
      </c>
      <c r="P277" s="126">
        <f>Feb!CL285</f>
        <v>1373</v>
      </c>
      <c r="Q277" s="126">
        <f>Feb!CJ285</f>
        <v>5</v>
      </c>
      <c r="R277" s="436"/>
      <c r="S277" s="436"/>
      <c r="T277" s="18"/>
      <c r="U277" s="18"/>
      <c r="V277" s="127">
        <f t="shared" si="8"/>
        <v>10394</v>
      </c>
      <c r="W277" s="45"/>
      <c r="X277" s="67"/>
    </row>
    <row r="278" spans="1:25" ht="15" customHeight="1">
      <c r="A278" s="427"/>
      <c r="B278" s="122" t="s">
        <v>61</v>
      </c>
      <c r="C278" s="180" t="s">
        <v>137</v>
      </c>
      <c r="D278" s="48" t="s">
        <v>56</v>
      </c>
      <c r="E278" s="441"/>
      <c r="F278" s="118" t="s">
        <v>67</v>
      </c>
      <c r="G278" s="119"/>
      <c r="H278" s="126"/>
      <c r="I278" s="126"/>
      <c r="J278" s="2"/>
      <c r="K278" s="18"/>
      <c r="L278" s="18"/>
      <c r="M278" s="18"/>
      <c r="N278" s="18"/>
      <c r="O278" s="126"/>
      <c r="P278" s="126"/>
      <c r="Q278" s="126">
        <f>Feb!CJ284</f>
        <v>2</v>
      </c>
      <c r="R278" s="436"/>
      <c r="S278" s="436"/>
      <c r="T278" s="18"/>
      <c r="U278" s="18"/>
      <c r="V278" s="127">
        <f t="shared" si="8"/>
        <v>5819</v>
      </c>
      <c r="W278" s="45"/>
      <c r="X278" s="67"/>
    </row>
    <row r="279" spans="1:25" ht="15" customHeight="1">
      <c r="A279" s="427"/>
      <c r="B279" s="122" t="s">
        <v>131</v>
      </c>
      <c r="C279" s="180" t="s">
        <v>194</v>
      </c>
      <c r="D279" s="48" t="s">
        <v>132</v>
      </c>
      <c r="E279" s="441"/>
      <c r="F279" s="118" t="s">
        <v>64</v>
      </c>
      <c r="G279" s="119"/>
      <c r="H279" s="126"/>
      <c r="I279" s="126"/>
      <c r="J279" s="2"/>
      <c r="K279" s="18"/>
      <c r="L279" s="18"/>
      <c r="M279" s="18"/>
      <c r="N279" s="18"/>
      <c r="O279" s="126"/>
      <c r="P279" s="126"/>
      <c r="Q279" s="126">
        <f>Feb!CJ286</f>
        <v>1</v>
      </c>
      <c r="R279" s="436"/>
      <c r="S279" s="436"/>
      <c r="T279" s="18"/>
      <c r="U279" s="18"/>
      <c r="V279" s="18"/>
      <c r="W279" s="45"/>
      <c r="X279" s="67"/>
    </row>
    <row r="280" spans="1:25" ht="15" customHeight="1">
      <c r="A280" s="427"/>
      <c r="B280" s="122" t="s">
        <v>101</v>
      </c>
      <c r="C280" s="180" t="s">
        <v>193</v>
      </c>
      <c r="D280" s="48" t="s">
        <v>102</v>
      </c>
      <c r="E280" s="441"/>
      <c r="F280" s="118" t="s">
        <v>64</v>
      </c>
      <c r="G280" s="119"/>
      <c r="H280" s="126"/>
      <c r="I280" s="126"/>
      <c r="J280" s="2"/>
      <c r="K280" s="18"/>
      <c r="L280" s="18"/>
      <c r="M280" s="18"/>
      <c r="N280" s="18"/>
      <c r="O280" s="126"/>
      <c r="P280" s="126"/>
      <c r="Q280" s="126">
        <f>Feb!CJ287</f>
        <v>1</v>
      </c>
      <c r="R280" s="436"/>
      <c r="S280" s="436"/>
      <c r="T280" s="18"/>
      <c r="U280" s="18"/>
      <c r="V280" s="18"/>
      <c r="W280" s="45"/>
      <c r="X280" s="67"/>
    </row>
    <row r="281" spans="1:25" ht="15" customHeight="1">
      <c r="A281" s="427"/>
      <c r="B281" s="122" t="s">
        <v>103</v>
      </c>
      <c r="C281" s="157" t="s">
        <v>197</v>
      </c>
      <c r="D281" s="48" t="s">
        <v>104</v>
      </c>
      <c r="E281" s="441"/>
      <c r="F281" s="118" t="s">
        <v>105</v>
      </c>
      <c r="G281" s="119"/>
      <c r="H281" s="126"/>
      <c r="I281" s="126"/>
      <c r="J281" s="2"/>
      <c r="K281" s="18"/>
      <c r="L281" s="18"/>
      <c r="M281" s="18"/>
      <c r="N281" s="18"/>
      <c r="O281" s="126"/>
      <c r="P281" s="126"/>
      <c r="Q281" s="126">
        <f>Feb!CJ288</f>
        <v>1</v>
      </c>
      <c r="R281" s="436"/>
      <c r="S281" s="436"/>
      <c r="T281" s="18"/>
      <c r="U281" s="18"/>
      <c r="V281" s="18"/>
      <c r="W281" s="45"/>
      <c r="X281" s="67"/>
    </row>
    <row r="282" spans="1:25" ht="15" customHeight="1">
      <c r="A282" s="427"/>
      <c r="B282" s="137" t="s">
        <v>112</v>
      </c>
      <c r="C282" s="157" t="s">
        <v>197</v>
      </c>
      <c r="D282" s="48" t="s">
        <v>104</v>
      </c>
      <c r="E282" s="441"/>
      <c r="F282" s="118" t="s">
        <v>113</v>
      </c>
      <c r="G282" s="119"/>
      <c r="H282" s="126"/>
      <c r="I282" s="126"/>
      <c r="J282" s="2"/>
      <c r="K282" s="18"/>
      <c r="L282" s="18"/>
      <c r="M282" s="18"/>
      <c r="N282" s="18"/>
      <c r="O282" s="126"/>
      <c r="P282" s="126"/>
      <c r="Q282" s="126">
        <f>Feb!CJ291</f>
        <v>1</v>
      </c>
      <c r="R282" s="436"/>
      <c r="S282" s="436"/>
      <c r="T282" s="18"/>
      <c r="U282" s="18"/>
      <c r="V282" s="18"/>
      <c r="W282" s="45"/>
      <c r="X282" s="67"/>
    </row>
    <row r="283" spans="1:25" ht="15" customHeight="1">
      <c r="A283" s="427"/>
      <c r="B283" s="137" t="s">
        <v>106</v>
      </c>
      <c r="C283" s="157" t="s">
        <v>141</v>
      </c>
      <c r="D283" s="48" t="s">
        <v>68</v>
      </c>
      <c r="E283" s="441"/>
      <c r="F283" s="118" t="s">
        <v>67</v>
      </c>
      <c r="G283" s="119"/>
      <c r="H283" s="126"/>
      <c r="I283" s="126"/>
      <c r="J283" s="2"/>
      <c r="K283" s="18"/>
      <c r="L283" s="18"/>
      <c r="M283" s="18"/>
      <c r="N283" s="18"/>
      <c r="O283" s="126"/>
      <c r="P283" s="126"/>
      <c r="Q283" s="126">
        <f>Feb!CJ289</f>
        <v>1</v>
      </c>
      <c r="R283" s="436"/>
      <c r="S283" s="436"/>
      <c r="T283" s="18"/>
      <c r="U283" s="18"/>
      <c r="V283" s="18"/>
      <c r="W283" s="45"/>
      <c r="X283" s="67"/>
    </row>
    <row r="284" spans="1:25" ht="15" customHeight="1" thickBot="1">
      <c r="A284" s="428"/>
      <c r="B284" s="44" t="s">
        <v>107</v>
      </c>
      <c r="C284" s="181" t="s">
        <v>195</v>
      </c>
      <c r="D284" s="61" t="s">
        <v>108</v>
      </c>
      <c r="E284" s="447"/>
      <c r="F284" s="133" t="s">
        <v>48</v>
      </c>
      <c r="G284" s="132"/>
      <c r="H284" s="109"/>
      <c r="I284" s="134"/>
      <c r="J284" s="129"/>
      <c r="K284" s="130"/>
      <c r="L284" s="130"/>
      <c r="M284" s="130"/>
      <c r="N284" s="130"/>
      <c r="O284" s="134"/>
      <c r="P284" s="134"/>
      <c r="Q284" s="134"/>
      <c r="R284" s="437"/>
      <c r="S284" s="437"/>
      <c r="T284" s="130"/>
      <c r="U284" s="130"/>
      <c r="V284" s="128"/>
      <c r="W284" s="85"/>
      <c r="X284" s="67"/>
    </row>
    <row r="285" spans="1:25" ht="15" customHeight="1">
      <c r="A285" s="426">
        <v>46078</v>
      </c>
      <c r="B285" s="429" t="s">
        <v>44</v>
      </c>
      <c r="C285" s="432" t="s">
        <v>240</v>
      </c>
      <c r="D285" s="19" t="s">
        <v>37</v>
      </c>
      <c r="E285" s="19" t="s">
        <v>25</v>
      </c>
      <c r="F285" s="39" t="s">
        <v>40</v>
      </c>
      <c r="G285" s="41">
        <v>4398.4799999999996</v>
      </c>
      <c r="H285" s="32"/>
      <c r="I285" s="32"/>
      <c r="J285" s="32"/>
      <c r="K285" s="20">
        <v>80000</v>
      </c>
      <c r="L285" s="20">
        <v>10</v>
      </c>
      <c r="M285" s="20">
        <v>88000</v>
      </c>
      <c r="N285" s="84">
        <v>11</v>
      </c>
      <c r="O285" s="32">
        <f>Feb!CN272</f>
        <v>27772</v>
      </c>
      <c r="P285" s="32">
        <f>Feb!CO272</f>
        <v>26531</v>
      </c>
      <c r="Q285" s="32">
        <f>Feb!CM272</f>
        <v>75</v>
      </c>
      <c r="R285" s="435">
        <f>Feb!CN293</f>
        <v>78437</v>
      </c>
      <c r="S285" s="435">
        <f>Feb!CO293</f>
        <v>72620</v>
      </c>
      <c r="T285" s="20">
        <v>34839</v>
      </c>
      <c r="U285" s="20">
        <v>71</v>
      </c>
      <c r="V285" s="20">
        <f>O285-T285-U285+V261</f>
        <v>8582</v>
      </c>
      <c r="W285" s="77"/>
      <c r="X285" s="36"/>
    </row>
    <row r="286" spans="1:25" ht="15" customHeight="1">
      <c r="A286" s="427"/>
      <c r="B286" s="430"/>
      <c r="C286" s="433"/>
      <c r="D286" s="113" t="s">
        <v>69</v>
      </c>
      <c r="E286" s="438" t="s">
        <v>24</v>
      </c>
      <c r="F286" s="118" t="s">
        <v>40</v>
      </c>
      <c r="G286" s="38"/>
      <c r="H286" s="37"/>
      <c r="I286" s="125"/>
      <c r="J286" s="125"/>
      <c r="K286" s="127"/>
      <c r="L286" s="127"/>
      <c r="M286" s="127"/>
      <c r="N286" s="81"/>
      <c r="O286" s="125"/>
      <c r="P286" s="125"/>
      <c r="Q286" s="125"/>
      <c r="R286" s="436"/>
      <c r="S286" s="436"/>
      <c r="T286" s="127">
        <v>7784</v>
      </c>
      <c r="U286" s="127">
        <v>10</v>
      </c>
      <c r="V286" s="127"/>
      <c r="W286" s="46"/>
      <c r="X286" s="67"/>
    </row>
    <row r="287" spans="1:25" ht="15" customHeight="1">
      <c r="A287" s="427"/>
      <c r="B287" s="431"/>
      <c r="C287" s="434"/>
      <c r="D287" s="113" t="s">
        <v>128</v>
      </c>
      <c r="E287" s="431"/>
      <c r="F287" s="114" t="s">
        <v>40</v>
      </c>
      <c r="G287" s="135"/>
      <c r="H287" s="135"/>
      <c r="I287" s="125"/>
      <c r="J287" s="125"/>
      <c r="K287" s="18">
        <v>8000</v>
      </c>
      <c r="L287" s="127">
        <v>1</v>
      </c>
      <c r="M287" s="127">
        <v>135700</v>
      </c>
      <c r="N287" s="81">
        <v>17</v>
      </c>
      <c r="O287" s="126">
        <f>Feb!CN274</f>
        <v>17492</v>
      </c>
      <c r="P287" s="125">
        <f>Feb!CO274</f>
        <v>14715</v>
      </c>
      <c r="Q287" s="125">
        <f>Feb!CM274</f>
        <v>42</v>
      </c>
      <c r="R287" s="436"/>
      <c r="S287" s="436"/>
      <c r="T287" s="127">
        <v>7635</v>
      </c>
      <c r="U287" s="127">
        <v>2</v>
      </c>
      <c r="V287" s="127">
        <f>O287-T287-U287+V263</f>
        <v>18778</v>
      </c>
      <c r="W287" s="46"/>
      <c r="X287" s="67"/>
    </row>
    <row r="288" spans="1:25" ht="15" customHeight="1">
      <c r="A288" s="427"/>
      <c r="B288" s="442" t="s">
        <v>45</v>
      </c>
      <c r="C288" s="448" t="s">
        <v>59</v>
      </c>
      <c r="D288" s="118" t="s">
        <v>75</v>
      </c>
      <c r="E288" s="131" t="s">
        <v>25</v>
      </c>
      <c r="F288" s="131" t="s">
        <v>57</v>
      </c>
      <c r="G288" s="87"/>
      <c r="H288" s="136"/>
      <c r="I288" s="126"/>
      <c r="J288" s="2"/>
      <c r="K288" s="127"/>
      <c r="L288" s="18"/>
      <c r="M288" s="18">
        <v>30300</v>
      </c>
      <c r="N288" s="80">
        <v>6</v>
      </c>
      <c r="O288" s="126">
        <f>Feb!CN276</f>
        <v>1100</v>
      </c>
      <c r="P288" s="126">
        <f>Feb!CO276</f>
        <v>3764</v>
      </c>
      <c r="Q288" s="2">
        <f>Feb!CM276</f>
        <v>14</v>
      </c>
      <c r="R288" s="436"/>
      <c r="S288" s="436"/>
      <c r="T288" s="18"/>
      <c r="U288" s="18"/>
      <c r="V288" s="127">
        <f>O288-T288-U288+V264</f>
        <v>71388</v>
      </c>
      <c r="W288" s="46"/>
      <c r="Y288" s="13"/>
    </row>
    <row r="289" spans="1:25">
      <c r="A289" s="427"/>
      <c r="B289" s="439"/>
      <c r="C289" s="440"/>
      <c r="D289" s="118" t="s">
        <v>72</v>
      </c>
      <c r="E289" s="424" t="s">
        <v>24</v>
      </c>
      <c r="F289" s="131" t="s">
        <v>57</v>
      </c>
      <c r="G289" s="136"/>
      <c r="H289" s="136"/>
      <c r="I289" s="126"/>
      <c r="J289" s="126"/>
      <c r="K289" s="127"/>
      <c r="L289" s="18"/>
      <c r="M289" s="18">
        <v>85000</v>
      </c>
      <c r="N289" s="80">
        <v>17</v>
      </c>
      <c r="O289" s="126">
        <f>Feb!CN277</f>
        <v>9789</v>
      </c>
      <c r="P289" s="126">
        <f>Feb!CO277</f>
        <v>6031</v>
      </c>
      <c r="Q289" s="2">
        <f>Feb!CM277</f>
        <v>25</v>
      </c>
      <c r="R289" s="436"/>
      <c r="S289" s="436"/>
      <c r="T289" s="18">
        <v>4452</v>
      </c>
      <c r="U289" s="18">
        <v>23</v>
      </c>
      <c r="V289" s="127">
        <f>O289-T289-U289+V265</f>
        <v>9574</v>
      </c>
      <c r="W289" s="46"/>
      <c r="Y289" s="13"/>
    </row>
    <row r="290" spans="1:25">
      <c r="A290" s="427"/>
      <c r="B290" s="439"/>
      <c r="C290" s="440"/>
      <c r="D290" s="115" t="s">
        <v>73</v>
      </c>
      <c r="E290" s="425"/>
      <c r="F290" s="131"/>
      <c r="G290" s="224"/>
      <c r="H290" s="152">
        <v>2310</v>
      </c>
      <c r="I290" s="126"/>
      <c r="J290" s="126"/>
      <c r="K290" s="127"/>
      <c r="L290" s="18"/>
      <c r="M290" s="18"/>
      <c r="N290" s="80"/>
      <c r="O290" s="126"/>
      <c r="P290" s="126"/>
      <c r="Q290" s="126"/>
      <c r="R290" s="436"/>
      <c r="S290" s="436"/>
      <c r="T290" s="18"/>
      <c r="U290" s="18"/>
      <c r="V290" s="127"/>
      <c r="W290" s="46"/>
      <c r="Y290" s="13"/>
    </row>
    <row r="291" spans="1:25">
      <c r="A291" s="427"/>
      <c r="B291" s="439"/>
      <c r="C291" s="440"/>
      <c r="D291" s="115" t="s">
        <v>79</v>
      </c>
      <c r="E291" s="118" t="s">
        <v>65</v>
      </c>
      <c r="F291" s="131" t="s">
        <v>57</v>
      </c>
      <c r="G291" s="224"/>
      <c r="H291" s="136"/>
      <c r="I291" s="126"/>
      <c r="J291" s="126"/>
      <c r="K291" s="127"/>
      <c r="L291" s="18"/>
      <c r="M291" s="18">
        <v>59000</v>
      </c>
      <c r="N291" s="80">
        <v>12</v>
      </c>
      <c r="O291" s="126">
        <f>Feb!CN278</f>
        <v>8992</v>
      </c>
      <c r="P291" s="126">
        <f>Feb!CO278</f>
        <v>6826</v>
      </c>
      <c r="Q291" s="126">
        <f>Feb!CM278</f>
        <v>27</v>
      </c>
      <c r="R291" s="436"/>
      <c r="S291" s="436"/>
      <c r="T291" s="18">
        <v>10457</v>
      </c>
      <c r="U291" s="18">
        <v>11</v>
      </c>
      <c r="V291" s="127">
        <f>O291-T291-U291+V266</f>
        <v>1500</v>
      </c>
      <c r="W291" s="46"/>
      <c r="Y291" s="13"/>
    </row>
    <row r="292" spans="1:25" ht="14.25" customHeight="1">
      <c r="A292" s="427"/>
      <c r="B292" s="137" t="s">
        <v>53</v>
      </c>
      <c r="C292" s="157" t="s">
        <v>60</v>
      </c>
      <c r="D292" s="43" t="s">
        <v>130</v>
      </c>
      <c r="E292" s="115" t="s">
        <v>66</v>
      </c>
      <c r="F292" s="118" t="s">
        <v>54</v>
      </c>
      <c r="G292" s="229">
        <v>1705.96</v>
      </c>
      <c r="H292" s="37"/>
      <c r="I292" s="126"/>
      <c r="J292" s="126"/>
      <c r="K292" s="18">
        <v>11700</v>
      </c>
      <c r="L292" s="18">
        <v>2</v>
      </c>
      <c r="M292" s="18">
        <v>77000</v>
      </c>
      <c r="N292" s="80">
        <v>14</v>
      </c>
      <c r="O292" s="126">
        <f>Feb!CN275</f>
        <v>5716</v>
      </c>
      <c r="P292" s="126">
        <f>Feb!CO275</f>
        <v>8939</v>
      </c>
      <c r="Q292" s="126">
        <f>Feb!CM275</f>
        <v>26</v>
      </c>
      <c r="R292" s="436"/>
      <c r="S292" s="436"/>
      <c r="T292" s="18">
        <v>6457</v>
      </c>
      <c r="U292" s="18"/>
      <c r="V292" s="127">
        <f t="shared" ref="V292:V300" si="9">O292-T292-U292+V270</f>
        <v>2405</v>
      </c>
      <c r="W292" s="45"/>
      <c r="X292" s="36"/>
    </row>
    <row r="293" spans="1:25" ht="14.25" customHeight="1">
      <c r="A293" s="427"/>
      <c r="B293" s="122" t="s">
        <v>55</v>
      </c>
      <c r="C293" s="180" t="s">
        <v>133</v>
      </c>
      <c r="D293" s="48" t="s">
        <v>56</v>
      </c>
      <c r="E293" s="424" t="s">
        <v>25</v>
      </c>
      <c r="F293" s="118" t="s">
        <v>67</v>
      </c>
      <c r="G293" s="224"/>
      <c r="H293" s="37"/>
      <c r="I293" s="126"/>
      <c r="J293" s="126"/>
      <c r="K293" s="18"/>
      <c r="L293" s="18"/>
      <c r="M293" s="18"/>
      <c r="N293" s="80"/>
      <c r="O293" s="126"/>
      <c r="P293" s="126"/>
      <c r="Q293" s="126"/>
      <c r="R293" s="436"/>
      <c r="S293" s="436"/>
      <c r="T293" s="18"/>
      <c r="U293" s="18"/>
      <c r="V293" s="127">
        <f t="shared" si="9"/>
        <v>500</v>
      </c>
      <c r="W293" s="45"/>
      <c r="X293" s="67"/>
    </row>
    <row r="294" spans="1:25" ht="14.25" customHeight="1">
      <c r="A294" s="427"/>
      <c r="B294" s="122" t="s">
        <v>122</v>
      </c>
      <c r="C294" s="180" t="s">
        <v>123</v>
      </c>
      <c r="D294" s="48" t="s">
        <v>56</v>
      </c>
      <c r="E294" s="441"/>
      <c r="F294" s="155" t="s">
        <v>64</v>
      </c>
      <c r="G294" s="224"/>
      <c r="H294" s="135"/>
      <c r="I294" s="158"/>
      <c r="J294" s="158"/>
      <c r="K294" s="128"/>
      <c r="L294" s="128"/>
      <c r="M294" s="128">
        <v>6400</v>
      </c>
      <c r="N294" s="164">
        <v>2</v>
      </c>
      <c r="O294" s="158"/>
      <c r="P294" s="158"/>
      <c r="Q294" s="158">
        <f>Feb!CM282</f>
        <v>3</v>
      </c>
      <c r="R294" s="436"/>
      <c r="S294" s="436"/>
      <c r="T294" s="18"/>
      <c r="U294" s="18"/>
      <c r="V294" s="127">
        <f t="shared" si="9"/>
        <v>31304</v>
      </c>
      <c r="W294" s="45"/>
      <c r="X294" s="67"/>
    </row>
    <row r="295" spans="1:25" ht="14.25" customHeight="1">
      <c r="A295" s="427"/>
      <c r="B295" s="122" t="s">
        <v>125</v>
      </c>
      <c r="C295" s="180" t="s">
        <v>88</v>
      </c>
      <c r="D295" s="48" t="s">
        <v>124</v>
      </c>
      <c r="E295" s="441"/>
      <c r="F295" s="118" t="s">
        <v>64</v>
      </c>
      <c r="G295" s="225"/>
      <c r="H295" s="126"/>
      <c r="I295" s="126"/>
      <c r="J295" s="126"/>
      <c r="K295" s="18"/>
      <c r="L295" s="18"/>
      <c r="M295" s="18">
        <v>66000</v>
      </c>
      <c r="N295" s="80">
        <v>9</v>
      </c>
      <c r="O295" s="126">
        <f>Feb!CN280</f>
        <v>4000</v>
      </c>
      <c r="P295" s="126">
        <f>Feb!CO280</f>
        <v>2346</v>
      </c>
      <c r="Q295" s="126">
        <f>Feb!CM280</f>
        <v>10</v>
      </c>
      <c r="R295" s="436"/>
      <c r="S295" s="436"/>
      <c r="T295" s="18"/>
      <c r="U295" s="18"/>
      <c r="V295" s="127">
        <f t="shared" si="9"/>
        <v>17295</v>
      </c>
      <c r="W295" s="45"/>
      <c r="X295" s="67"/>
    </row>
    <row r="296" spans="1:25" ht="13.5" customHeight="1">
      <c r="A296" s="427"/>
      <c r="B296" s="442" t="s">
        <v>58</v>
      </c>
      <c r="C296" s="444" t="s">
        <v>136</v>
      </c>
      <c r="D296" s="48" t="s">
        <v>56</v>
      </c>
      <c r="E296" s="441"/>
      <c r="F296" s="118" t="s">
        <v>67</v>
      </c>
      <c r="G296" s="226"/>
      <c r="H296" s="126"/>
      <c r="I296" s="126"/>
      <c r="J296" s="2"/>
      <c r="K296" s="18"/>
      <c r="L296" s="18"/>
      <c r="M296" s="18"/>
      <c r="N296" s="18"/>
      <c r="O296" s="126"/>
      <c r="P296" s="126"/>
      <c r="Q296" s="126"/>
      <c r="R296" s="436"/>
      <c r="S296" s="436"/>
      <c r="T296" s="18"/>
      <c r="U296" s="18"/>
      <c r="V296" s="127">
        <f t="shared" si="9"/>
        <v>43</v>
      </c>
      <c r="W296" s="45"/>
      <c r="X296" s="67"/>
    </row>
    <row r="297" spans="1:25" ht="15.75" customHeight="1">
      <c r="A297" s="427"/>
      <c r="B297" s="439"/>
      <c r="C297" s="445"/>
      <c r="D297" s="48" t="s">
        <v>56</v>
      </c>
      <c r="E297" s="441"/>
      <c r="F297" s="118" t="s">
        <v>140</v>
      </c>
      <c r="G297" s="226"/>
      <c r="H297" s="126"/>
      <c r="I297" s="126"/>
      <c r="J297" s="2"/>
      <c r="K297" s="18"/>
      <c r="L297" s="18"/>
      <c r="M297" s="18"/>
      <c r="N297" s="18"/>
      <c r="O297" s="126"/>
      <c r="P297" s="126"/>
      <c r="Q297" s="126"/>
      <c r="R297" s="436"/>
      <c r="S297" s="436"/>
      <c r="T297" s="18"/>
      <c r="U297" s="18"/>
      <c r="V297" s="127">
        <f t="shared" si="9"/>
        <v>8562</v>
      </c>
      <c r="W297" s="45"/>
      <c r="X297" s="67"/>
    </row>
    <row r="298" spans="1:25" ht="15" customHeight="1">
      <c r="A298" s="427"/>
      <c r="B298" s="137" t="s">
        <v>47</v>
      </c>
      <c r="C298" s="157" t="s">
        <v>100</v>
      </c>
      <c r="D298" s="48" t="s">
        <v>99</v>
      </c>
      <c r="E298" s="441"/>
      <c r="F298" s="118" t="s">
        <v>71</v>
      </c>
      <c r="G298" s="226"/>
      <c r="H298" s="126"/>
      <c r="I298" s="126"/>
      <c r="J298" s="2"/>
      <c r="K298" s="18">
        <v>12000</v>
      </c>
      <c r="L298" s="18">
        <v>2</v>
      </c>
      <c r="M298" s="18">
        <v>30000</v>
      </c>
      <c r="N298" s="18">
        <v>5</v>
      </c>
      <c r="O298" s="126">
        <f>Feb!CN281</f>
        <v>1745</v>
      </c>
      <c r="P298" s="126">
        <f>Feb!CO281</f>
        <v>2077</v>
      </c>
      <c r="Q298" s="126">
        <f>Feb!CM281</f>
        <v>8</v>
      </c>
      <c r="R298" s="436"/>
      <c r="S298" s="436"/>
      <c r="T298" s="18"/>
      <c r="U298" s="18"/>
      <c r="V298" s="127">
        <f t="shared" si="9"/>
        <v>52427</v>
      </c>
      <c r="W298" s="45"/>
      <c r="X298" s="67"/>
    </row>
    <row r="299" spans="1:25" ht="15" customHeight="1">
      <c r="A299" s="427"/>
      <c r="B299" s="122" t="s">
        <v>196</v>
      </c>
      <c r="C299" s="180" t="s">
        <v>63</v>
      </c>
      <c r="D299" s="48" t="s">
        <v>135</v>
      </c>
      <c r="E299" s="441"/>
      <c r="F299" s="118" t="s">
        <v>64</v>
      </c>
      <c r="G299" s="226"/>
      <c r="H299" s="126"/>
      <c r="I299" s="126"/>
      <c r="J299" s="2"/>
      <c r="K299" s="18"/>
      <c r="L299" s="18"/>
      <c r="M299" s="18"/>
      <c r="N299" s="18"/>
      <c r="O299" s="126">
        <f>Feb!CN285</f>
        <v>1831</v>
      </c>
      <c r="P299" s="126">
        <f>Feb!CO285</f>
        <v>1391</v>
      </c>
      <c r="Q299" s="126">
        <f>Feb!CM285</f>
        <v>5</v>
      </c>
      <c r="R299" s="436"/>
      <c r="S299" s="436"/>
      <c r="T299" s="18"/>
      <c r="U299" s="18"/>
      <c r="V299" s="127">
        <f t="shared" si="9"/>
        <v>12225</v>
      </c>
      <c r="W299" s="45"/>
      <c r="X299" s="67"/>
    </row>
    <row r="300" spans="1:25" ht="15" customHeight="1">
      <c r="A300" s="427"/>
      <c r="B300" s="122" t="s">
        <v>61</v>
      </c>
      <c r="C300" s="180" t="s">
        <v>137</v>
      </c>
      <c r="D300" s="48" t="s">
        <v>56</v>
      </c>
      <c r="E300" s="441"/>
      <c r="F300" s="118" t="s">
        <v>67</v>
      </c>
      <c r="G300" s="119"/>
      <c r="H300" s="126"/>
      <c r="I300" s="126"/>
      <c r="J300" s="2"/>
      <c r="K300" s="18"/>
      <c r="L300" s="18"/>
      <c r="M300" s="18"/>
      <c r="N300" s="18"/>
      <c r="O300" s="126"/>
      <c r="P300" s="126"/>
      <c r="Q300" s="126">
        <f>Feb!CM284</f>
        <v>2</v>
      </c>
      <c r="R300" s="436"/>
      <c r="S300" s="436"/>
      <c r="T300" s="18"/>
      <c r="U300" s="18"/>
      <c r="V300" s="127">
        <f t="shared" si="9"/>
        <v>5819</v>
      </c>
      <c r="W300" s="45"/>
      <c r="X300" s="67"/>
    </row>
    <row r="301" spans="1:25" ht="15" customHeight="1">
      <c r="A301" s="427"/>
      <c r="B301" s="122" t="s">
        <v>131</v>
      </c>
      <c r="C301" s="180" t="s">
        <v>194</v>
      </c>
      <c r="D301" s="48" t="s">
        <v>132</v>
      </c>
      <c r="E301" s="441"/>
      <c r="F301" s="118" t="s">
        <v>64</v>
      </c>
      <c r="G301" s="119"/>
      <c r="H301" s="126"/>
      <c r="I301" s="126"/>
      <c r="J301" s="2"/>
      <c r="K301" s="18"/>
      <c r="L301" s="18"/>
      <c r="M301" s="18"/>
      <c r="N301" s="18"/>
      <c r="O301" s="126"/>
      <c r="P301" s="126"/>
      <c r="Q301" s="126">
        <f>Feb!CM286</f>
        <v>1</v>
      </c>
      <c r="R301" s="436"/>
      <c r="S301" s="436"/>
      <c r="T301" s="18"/>
      <c r="U301" s="18"/>
      <c r="V301" s="18"/>
      <c r="W301" s="45"/>
      <c r="X301" s="67"/>
    </row>
    <row r="302" spans="1:25" ht="15" customHeight="1">
      <c r="A302" s="427"/>
      <c r="B302" s="122" t="s">
        <v>101</v>
      </c>
      <c r="C302" s="180" t="s">
        <v>193</v>
      </c>
      <c r="D302" s="48" t="s">
        <v>102</v>
      </c>
      <c r="E302" s="441"/>
      <c r="F302" s="118" t="s">
        <v>64</v>
      </c>
      <c r="G302" s="119"/>
      <c r="H302" s="126"/>
      <c r="I302" s="126"/>
      <c r="J302" s="2"/>
      <c r="K302" s="18"/>
      <c r="L302" s="18"/>
      <c r="M302" s="18"/>
      <c r="N302" s="18"/>
      <c r="O302" s="126"/>
      <c r="P302" s="126"/>
      <c r="Q302" s="126">
        <f>Feb!CM287</f>
        <v>1</v>
      </c>
      <c r="R302" s="436"/>
      <c r="S302" s="436"/>
      <c r="T302" s="18"/>
      <c r="U302" s="18"/>
      <c r="V302" s="18"/>
      <c r="W302" s="45"/>
      <c r="X302" s="67"/>
    </row>
    <row r="303" spans="1:25" ht="15" customHeight="1">
      <c r="A303" s="427"/>
      <c r="B303" s="122" t="s">
        <v>103</v>
      </c>
      <c r="C303" s="157" t="s">
        <v>197</v>
      </c>
      <c r="D303" s="48" t="s">
        <v>104</v>
      </c>
      <c r="E303" s="441"/>
      <c r="F303" s="118" t="s">
        <v>105</v>
      </c>
      <c r="G303" s="119"/>
      <c r="H303" s="126"/>
      <c r="I303" s="126"/>
      <c r="J303" s="2"/>
      <c r="K303" s="18"/>
      <c r="L303" s="18"/>
      <c r="M303" s="18"/>
      <c r="N303" s="18"/>
      <c r="O303" s="126"/>
      <c r="P303" s="126"/>
      <c r="Q303" s="126">
        <f>Feb!CM288</f>
        <v>1</v>
      </c>
      <c r="R303" s="436"/>
      <c r="S303" s="436"/>
      <c r="T303" s="18"/>
      <c r="U303" s="18"/>
      <c r="V303" s="18"/>
      <c r="W303" s="45"/>
      <c r="X303" s="67"/>
    </row>
    <row r="304" spans="1:25" ht="15" customHeight="1">
      <c r="A304" s="427"/>
      <c r="B304" s="137" t="s">
        <v>112</v>
      </c>
      <c r="C304" s="157" t="s">
        <v>197</v>
      </c>
      <c r="D304" s="48" t="s">
        <v>104</v>
      </c>
      <c r="E304" s="441"/>
      <c r="F304" s="118" t="s">
        <v>113</v>
      </c>
      <c r="G304" s="119"/>
      <c r="H304" s="126"/>
      <c r="I304" s="126"/>
      <c r="J304" s="2"/>
      <c r="K304" s="18"/>
      <c r="L304" s="18"/>
      <c r="M304" s="18"/>
      <c r="N304" s="18"/>
      <c r="O304" s="126"/>
      <c r="P304" s="126"/>
      <c r="Q304" s="126">
        <f>Feb!CM291</f>
        <v>1</v>
      </c>
      <c r="R304" s="436"/>
      <c r="S304" s="436"/>
      <c r="T304" s="18"/>
      <c r="U304" s="18"/>
      <c r="V304" s="18"/>
      <c r="W304" s="45"/>
      <c r="X304" s="67"/>
    </row>
    <row r="305" spans="1:25" ht="15" customHeight="1">
      <c r="A305" s="427"/>
      <c r="B305" s="137" t="s">
        <v>106</v>
      </c>
      <c r="C305" s="157" t="s">
        <v>141</v>
      </c>
      <c r="D305" s="48" t="s">
        <v>68</v>
      </c>
      <c r="E305" s="441"/>
      <c r="F305" s="118" t="s">
        <v>67</v>
      </c>
      <c r="G305" s="119"/>
      <c r="H305" s="126"/>
      <c r="I305" s="126"/>
      <c r="J305" s="2"/>
      <c r="K305" s="18"/>
      <c r="L305" s="18"/>
      <c r="M305" s="18"/>
      <c r="N305" s="18"/>
      <c r="O305" s="126"/>
      <c r="P305" s="126"/>
      <c r="Q305" s="126">
        <f>Feb!CM289</f>
        <v>1</v>
      </c>
      <c r="R305" s="436"/>
      <c r="S305" s="436"/>
      <c r="T305" s="18"/>
      <c r="U305" s="18"/>
      <c r="V305" s="18"/>
      <c r="W305" s="45"/>
      <c r="X305" s="67"/>
    </row>
    <row r="306" spans="1:25" ht="15" customHeight="1" thickBot="1">
      <c r="A306" s="428"/>
      <c r="B306" s="44" t="s">
        <v>107</v>
      </c>
      <c r="C306" s="181" t="s">
        <v>195</v>
      </c>
      <c r="D306" s="61" t="s">
        <v>108</v>
      </c>
      <c r="E306" s="447"/>
      <c r="F306" s="133" t="s">
        <v>48</v>
      </c>
      <c r="G306" s="132"/>
      <c r="H306" s="109"/>
      <c r="I306" s="134"/>
      <c r="J306" s="129"/>
      <c r="K306" s="130"/>
      <c r="L306" s="130"/>
      <c r="M306" s="130"/>
      <c r="N306" s="130"/>
      <c r="O306" s="134"/>
      <c r="P306" s="134"/>
      <c r="Q306" s="134">
        <f>Feb!CM290</f>
        <v>1</v>
      </c>
      <c r="R306" s="437"/>
      <c r="S306" s="437"/>
      <c r="T306" s="130"/>
      <c r="U306" s="130"/>
      <c r="V306" s="128"/>
      <c r="W306" s="85"/>
      <c r="X306" s="67"/>
    </row>
    <row r="307" spans="1:25" ht="15" customHeight="1">
      <c r="A307" s="426">
        <v>46079</v>
      </c>
      <c r="B307" s="429" t="s">
        <v>44</v>
      </c>
      <c r="C307" s="432" t="s">
        <v>240</v>
      </c>
      <c r="D307" s="19" t="s">
        <v>37</v>
      </c>
      <c r="E307" s="19" t="s">
        <v>25</v>
      </c>
      <c r="F307" s="39" t="s">
        <v>40</v>
      </c>
      <c r="G307" s="41">
        <v>5498.1</v>
      </c>
      <c r="H307" s="32"/>
      <c r="I307" s="32"/>
      <c r="J307" s="32"/>
      <c r="K307" s="20">
        <v>96000</v>
      </c>
      <c r="L307" s="20">
        <v>12</v>
      </c>
      <c r="M307" s="20">
        <v>72000</v>
      </c>
      <c r="N307" s="84">
        <v>9</v>
      </c>
      <c r="O307" s="32">
        <f>Feb!CQ272</f>
        <v>30672</v>
      </c>
      <c r="P307" s="32">
        <f>Feb!CR272</f>
        <v>27007</v>
      </c>
      <c r="Q307" s="32">
        <f>Feb!CP272</f>
        <v>77</v>
      </c>
      <c r="R307" s="435">
        <f>Feb!CQ293</f>
        <v>82646</v>
      </c>
      <c r="S307" s="435">
        <f>Feb!CR293</f>
        <v>72249</v>
      </c>
      <c r="T307" s="20">
        <v>25675</v>
      </c>
      <c r="U307" s="20">
        <v>5</v>
      </c>
      <c r="V307" s="20">
        <f>O307-T307-U307+V285</f>
        <v>13574</v>
      </c>
      <c r="W307" s="77"/>
      <c r="X307" s="36"/>
    </row>
    <row r="308" spans="1:25" ht="15" customHeight="1">
      <c r="A308" s="427"/>
      <c r="B308" s="431"/>
      <c r="C308" s="434"/>
      <c r="D308" s="113" t="s">
        <v>128</v>
      </c>
      <c r="E308" s="113" t="s">
        <v>24</v>
      </c>
      <c r="F308" s="114" t="s">
        <v>40</v>
      </c>
      <c r="G308" s="135"/>
      <c r="H308" s="135">
        <v>1822.5</v>
      </c>
      <c r="I308" s="125"/>
      <c r="J308" s="125"/>
      <c r="K308" s="18">
        <v>63700</v>
      </c>
      <c r="L308" s="127">
        <v>8</v>
      </c>
      <c r="M308" s="127">
        <v>72000</v>
      </c>
      <c r="N308" s="81">
        <v>9</v>
      </c>
      <c r="O308" s="126">
        <f>Feb!CQ274</f>
        <v>18357</v>
      </c>
      <c r="P308" s="125">
        <f>Feb!CR274</f>
        <v>14106</v>
      </c>
      <c r="Q308" s="125">
        <f>Feb!CP274</f>
        <v>40</v>
      </c>
      <c r="R308" s="436"/>
      <c r="S308" s="436"/>
      <c r="T308" s="127">
        <v>32090</v>
      </c>
      <c r="U308" s="127">
        <v>56</v>
      </c>
      <c r="V308" s="127">
        <f>O308-T308-U308+V287</f>
        <v>4989</v>
      </c>
      <c r="W308" s="46"/>
      <c r="X308" s="67"/>
    </row>
    <row r="309" spans="1:25" ht="15" customHeight="1">
      <c r="A309" s="427"/>
      <c r="B309" s="442" t="s">
        <v>45</v>
      </c>
      <c r="C309" s="448" t="s">
        <v>59</v>
      </c>
      <c r="D309" s="118" t="s">
        <v>75</v>
      </c>
      <c r="E309" s="131" t="s">
        <v>25</v>
      </c>
      <c r="F309" s="131" t="s">
        <v>57</v>
      </c>
      <c r="G309" s="87">
        <v>2011.12</v>
      </c>
      <c r="H309" s="136"/>
      <c r="I309" s="126"/>
      <c r="J309" s="2"/>
      <c r="K309" s="127">
        <v>10000</v>
      </c>
      <c r="L309" s="18">
        <v>2</v>
      </c>
      <c r="M309" s="18">
        <v>46200</v>
      </c>
      <c r="N309" s="80">
        <v>9</v>
      </c>
      <c r="O309" s="126">
        <f>Feb!CQ276</f>
        <v>3502</v>
      </c>
      <c r="P309" s="126">
        <f>Feb!CR276</f>
        <v>3960</v>
      </c>
      <c r="Q309" s="2">
        <f>Feb!CP276</f>
        <v>15</v>
      </c>
      <c r="R309" s="436"/>
      <c r="S309" s="436"/>
      <c r="T309" s="18"/>
      <c r="U309" s="18"/>
      <c r="V309" s="127">
        <f>O309-T309-U309+V288</f>
        <v>74890</v>
      </c>
      <c r="W309" s="46"/>
      <c r="Y309" s="13"/>
    </row>
    <row r="310" spans="1:25">
      <c r="A310" s="427"/>
      <c r="B310" s="439"/>
      <c r="C310" s="440"/>
      <c r="D310" s="118" t="s">
        <v>72</v>
      </c>
      <c r="E310" s="155" t="s">
        <v>24</v>
      </c>
      <c r="F310" s="131" t="s">
        <v>57</v>
      </c>
      <c r="G310" s="136"/>
      <c r="H310" s="136"/>
      <c r="I310" s="126"/>
      <c r="J310" s="126"/>
      <c r="K310" s="127">
        <v>35000</v>
      </c>
      <c r="L310" s="18">
        <v>7</v>
      </c>
      <c r="M310" s="18">
        <v>50000</v>
      </c>
      <c r="N310" s="80">
        <v>10</v>
      </c>
      <c r="O310" s="126">
        <f>Feb!CQ277</f>
        <v>7324</v>
      </c>
      <c r="P310" s="126">
        <f>Feb!CR277</f>
        <v>6133</v>
      </c>
      <c r="Q310" s="2">
        <f>Feb!CP277</f>
        <v>25</v>
      </c>
      <c r="R310" s="436"/>
      <c r="S310" s="436"/>
      <c r="T310" s="18">
        <v>11220</v>
      </c>
      <c r="U310" s="18">
        <v>13</v>
      </c>
      <c r="V310" s="127">
        <f>O310-T310-U310+V289</f>
        <v>5665</v>
      </c>
      <c r="W310" s="46"/>
      <c r="Y310" s="13"/>
    </row>
    <row r="311" spans="1:25">
      <c r="A311" s="427"/>
      <c r="B311" s="439"/>
      <c r="C311" s="440"/>
      <c r="D311" s="115" t="s">
        <v>79</v>
      </c>
      <c r="E311" s="118" t="s">
        <v>65</v>
      </c>
      <c r="F311" s="131" t="s">
        <v>57</v>
      </c>
      <c r="G311" s="224"/>
      <c r="H311" s="136"/>
      <c r="I311" s="126"/>
      <c r="J311" s="126"/>
      <c r="K311" s="127"/>
      <c r="L311" s="18"/>
      <c r="M311" s="18">
        <v>59000</v>
      </c>
      <c r="N311" s="80">
        <v>12</v>
      </c>
      <c r="O311" s="126">
        <f>Feb!CQ278</f>
        <v>2800</v>
      </c>
      <c r="P311" s="126">
        <f>Feb!CR278</f>
        <v>6535</v>
      </c>
      <c r="Q311" s="126">
        <f>Feb!CP278</f>
        <v>26</v>
      </c>
      <c r="R311" s="436"/>
      <c r="S311" s="436"/>
      <c r="T311" s="18">
        <v>3488</v>
      </c>
      <c r="U311" s="18"/>
      <c r="V311" s="127">
        <f>O311-T311-U311+V291</f>
        <v>812</v>
      </c>
      <c r="W311" s="46"/>
      <c r="Y311" s="13"/>
    </row>
    <row r="312" spans="1:25" ht="14.25" customHeight="1">
      <c r="A312" s="427"/>
      <c r="B312" s="442" t="s">
        <v>53</v>
      </c>
      <c r="C312" s="444" t="s">
        <v>60</v>
      </c>
      <c r="D312" s="43" t="s">
        <v>130</v>
      </c>
      <c r="E312" s="115" t="s">
        <v>66</v>
      </c>
      <c r="F312" s="118" t="s">
        <v>54</v>
      </c>
      <c r="G312" s="224"/>
      <c r="H312" s="37"/>
      <c r="I312" s="126"/>
      <c r="J312" s="126"/>
      <c r="K312" s="18">
        <v>17700</v>
      </c>
      <c r="L312" s="18">
        <v>3</v>
      </c>
      <c r="M312" s="18">
        <v>59300</v>
      </c>
      <c r="N312" s="80">
        <v>11</v>
      </c>
      <c r="O312" s="126">
        <f>Feb!CQ275</f>
        <v>14229</v>
      </c>
      <c r="P312" s="126">
        <f>Feb!CR275</f>
        <v>8794</v>
      </c>
      <c r="Q312" s="126">
        <f>Feb!CP275</f>
        <v>26</v>
      </c>
      <c r="R312" s="436"/>
      <c r="S312" s="436"/>
      <c r="T312" s="18">
        <v>7149</v>
      </c>
      <c r="U312" s="18"/>
      <c r="V312" s="127">
        <f>O312-T312-U312+V292</f>
        <v>9485</v>
      </c>
      <c r="W312" s="45"/>
      <c r="X312" s="36"/>
    </row>
    <row r="313" spans="1:25" ht="14.25" customHeight="1">
      <c r="A313" s="427"/>
      <c r="B313" s="439"/>
      <c r="C313" s="445"/>
      <c r="D313" s="43" t="s">
        <v>199</v>
      </c>
      <c r="E313" s="114" t="s">
        <v>25</v>
      </c>
      <c r="F313" s="118"/>
      <c r="G313" s="224"/>
      <c r="H313" s="38">
        <v>3849.38</v>
      </c>
      <c r="I313" s="126"/>
      <c r="J313" s="126"/>
      <c r="K313" s="18"/>
      <c r="L313" s="18"/>
      <c r="M313" s="18"/>
      <c r="N313" s="80"/>
      <c r="O313" s="126"/>
      <c r="P313" s="126"/>
      <c r="Q313" s="126"/>
      <c r="R313" s="436"/>
      <c r="S313" s="436"/>
      <c r="T313" s="18"/>
      <c r="U313" s="18"/>
      <c r="V313" s="127"/>
      <c r="W313" s="45"/>
      <c r="X313" s="67"/>
    </row>
    <row r="314" spans="1:25" ht="14.25" customHeight="1">
      <c r="A314" s="427"/>
      <c r="B314" s="443"/>
      <c r="C314" s="446"/>
      <c r="D314" s="43" t="s">
        <v>96</v>
      </c>
      <c r="E314" s="155" t="s">
        <v>65</v>
      </c>
      <c r="F314" s="118"/>
      <c r="G314" s="224"/>
      <c r="H314" s="126">
        <v>612</v>
      </c>
      <c r="I314" s="126"/>
      <c r="J314" s="126"/>
      <c r="K314" s="18"/>
      <c r="L314" s="18"/>
      <c r="M314" s="18"/>
      <c r="N314" s="80"/>
      <c r="O314" s="126"/>
      <c r="P314" s="126"/>
      <c r="Q314" s="126"/>
      <c r="R314" s="436"/>
      <c r="S314" s="436"/>
      <c r="T314" s="18"/>
      <c r="U314" s="18"/>
      <c r="V314" s="127"/>
      <c r="W314" s="45"/>
      <c r="X314" s="67"/>
    </row>
    <row r="315" spans="1:25" ht="14.25" customHeight="1">
      <c r="A315" s="427"/>
      <c r="B315" s="122" t="s">
        <v>55</v>
      </c>
      <c r="C315" s="180" t="s">
        <v>133</v>
      </c>
      <c r="D315" s="48" t="s">
        <v>56</v>
      </c>
      <c r="E315" s="424" t="s">
        <v>25</v>
      </c>
      <c r="F315" s="118" t="s">
        <v>67</v>
      </c>
      <c r="G315" s="224"/>
      <c r="H315" s="37"/>
      <c r="I315" s="126"/>
      <c r="J315" s="126"/>
      <c r="K315" s="18"/>
      <c r="L315" s="18"/>
      <c r="M315" s="18"/>
      <c r="N315" s="80"/>
      <c r="O315" s="126"/>
      <c r="P315" s="126"/>
      <c r="Q315" s="126"/>
      <c r="R315" s="436"/>
      <c r="S315" s="436"/>
      <c r="T315" s="18"/>
      <c r="U315" s="18"/>
      <c r="V315" s="127">
        <f t="shared" ref="V315:V322" si="10">O315-T315-U315+V293</f>
        <v>500</v>
      </c>
      <c r="W315" s="45"/>
      <c r="X315" s="67"/>
    </row>
    <row r="316" spans="1:25" ht="14.25" customHeight="1">
      <c r="A316" s="427"/>
      <c r="B316" s="122" t="s">
        <v>122</v>
      </c>
      <c r="C316" s="180" t="s">
        <v>123</v>
      </c>
      <c r="D316" s="48" t="s">
        <v>56</v>
      </c>
      <c r="E316" s="441"/>
      <c r="F316" s="155" t="s">
        <v>64</v>
      </c>
      <c r="G316" s="224"/>
      <c r="H316" s="135"/>
      <c r="I316" s="158"/>
      <c r="J316" s="158"/>
      <c r="K316" s="128"/>
      <c r="L316" s="128"/>
      <c r="M316" s="128">
        <v>6400</v>
      </c>
      <c r="N316" s="164">
        <v>2</v>
      </c>
      <c r="O316" s="158"/>
      <c r="P316" s="158"/>
      <c r="Q316" s="158">
        <f>Feb!CP282</f>
        <v>3</v>
      </c>
      <c r="R316" s="436"/>
      <c r="S316" s="436"/>
      <c r="T316" s="18"/>
      <c r="U316" s="18"/>
      <c r="V316" s="127">
        <f t="shared" si="10"/>
        <v>31304</v>
      </c>
      <c r="W316" s="45"/>
      <c r="X316" s="67"/>
    </row>
    <row r="317" spans="1:25" ht="14.25" customHeight="1">
      <c r="A317" s="427"/>
      <c r="B317" s="122" t="s">
        <v>125</v>
      </c>
      <c r="C317" s="180" t="s">
        <v>88</v>
      </c>
      <c r="D317" s="48" t="s">
        <v>124</v>
      </c>
      <c r="E317" s="441"/>
      <c r="F317" s="118" t="s">
        <v>64</v>
      </c>
      <c r="G317" s="225"/>
      <c r="H317" s="126"/>
      <c r="I317" s="126"/>
      <c r="J317" s="126"/>
      <c r="K317" s="18"/>
      <c r="L317" s="18"/>
      <c r="M317" s="18">
        <v>66000</v>
      </c>
      <c r="N317" s="80">
        <v>9</v>
      </c>
      <c r="O317" s="126">
        <f>Feb!CQ280</f>
        <v>1142</v>
      </c>
      <c r="P317" s="126">
        <f>Feb!CR280</f>
        <v>2239</v>
      </c>
      <c r="Q317" s="126">
        <f>Feb!CP280</f>
        <v>10</v>
      </c>
      <c r="R317" s="436"/>
      <c r="S317" s="436"/>
      <c r="T317" s="18"/>
      <c r="U317" s="18"/>
      <c r="V317" s="127">
        <f t="shared" si="10"/>
        <v>18437</v>
      </c>
      <c r="W317" s="45"/>
      <c r="X317" s="67"/>
    </row>
    <row r="318" spans="1:25" ht="13.5" customHeight="1">
      <c r="A318" s="427"/>
      <c r="B318" s="442" t="s">
        <v>58</v>
      </c>
      <c r="C318" s="444" t="s">
        <v>136</v>
      </c>
      <c r="D318" s="48" t="s">
        <v>56</v>
      </c>
      <c r="E318" s="441"/>
      <c r="F318" s="118" t="s">
        <v>67</v>
      </c>
      <c r="G318" s="226"/>
      <c r="H318" s="126"/>
      <c r="I318" s="126"/>
      <c r="J318" s="2"/>
      <c r="K318" s="18"/>
      <c r="L318" s="18"/>
      <c r="M318" s="18"/>
      <c r="N318" s="18"/>
      <c r="O318" s="126"/>
      <c r="P318" s="126"/>
      <c r="Q318" s="126"/>
      <c r="R318" s="436"/>
      <c r="S318" s="436"/>
      <c r="T318" s="18"/>
      <c r="U318" s="18"/>
      <c r="V318" s="127">
        <f t="shared" si="10"/>
        <v>43</v>
      </c>
      <c r="W318" s="45"/>
      <c r="X318" s="67"/>
    </row>
    <row r="319" spans="1:25" ht="15.75" customHeight="1">
      <c r="A319" s="427"/>
      <c r="B319" s="439"/>
      <c r="C319" s="445"/>
      <c r="D319" s="48" t="s">
        <v>56</v>
      </c>
      <c r="E319" s="441"/>
      <c r="F319" s="118" t="s">
        <v>140</v>
      </c>
      <c r="G319" s="226"/>
      <c r="H319" s="126"/>
      <c r="I319" s="126"/>
      <c r="J319" s="2"/>
      <c r="K319" s="18"/>
      <c r="L319" s="18"/>
      <c r="M319" s="18"/>
      <c r="N319" s="18"/>
      <c r="O319" s="126"/>
      <c r="P319" s="126"/>
      <c r="Q319" s="126"/>
      <c r="R319" s="436"/>
      <c r="S319" s="436"/>
      <c r="T319" s="18"/>
      <c r="U319" s="18"/>
      <c r="V319" s="127">
        <f t="shared" si="10"/>
        <v>8562</v>
      </c>
      <c r="W319" s="45"/>
      <c r="X319" s="67"/>
    </row>
    <row r="320" spans="1:25" ht="15" customHeight="1">
      <c r="A320" s="427"/>
      <c r="B320" s="137" t="s">
        <v>47</v>
      </c>
      <c r="C320" s="157" t="s">
        <v>100</v>
      </c>
      <c r="D320" s="48" t="s">
        <v>99</v>
      </c>
      <c r="E320" s="441"/>
      <c r="F320" s="118" t="s">
        <v>71</v>
      </c>
      <c r="G320" s="226"/>
      <c r="H320" s="126"/>
      <c r="I320" s="126"/>
      <c r="J320" s="2"/>
      <c r="K320" s="18"/>
      <c r="L320" s="18"/>
      <c r="M320" s="18">
        <v>30000</v>
      </c>
      <c r="N320" s="18">
        <v>5</v>
      </c>
      <c r="O320" s="126">
        <f>Feb!CQ281</f>
        <v>3000</v>
      </c>
      <c r="P320" s="126">
        <f>Feb!CR281</f>
        <v>2093</v>
      </c>
      <c r="Q320" s="126">
        <f>Feb!CP281</f>
        <v>8</v>
      </c>
      <c r="R320" s="436"/>
      <c r="S320" s="436"/>
      <c r="T320" s="18"/>
      <c r="U320" s="18"/>
      <c r="V320" s="127">
        <f t="shared" si="10"/>
        <v>55427</v>
      </c>
      <c r="W320" s="45"/>
      <c r="X320" s="67"/>
    </row>
    <row r="321" spans="1:25" ht="15" customHeight="1">
      <c r="A321" s="427"/>
      <c r="B321" s="122" t="s">
        <v>196</v>
      </c>
      <c r="C321" s="180" t="s">
        <v>63</v>
      </c>
      <c r="D321" s="48" t="s">
        <v>135</v>
      </c>
      <c r="E321" s="441"/>
      <c r="F321" s="118" t="s">
        <v>64</v>
      </c>
      <c r="G321" s="226"/>
      <c r="H321" s="126"/>
      <c r="I321" s="126"/>
      <c r="J321" s="2"/>
      <c r="K321" s="18"/>
      <c r="L321" s="18"/>
      <c r="M321" s="18"/>
      <c r="N321" s="18"/>
      <c r="O321" s="126">
        <f>Feb!CQ285</f>
        <v>1620</v>
      </c>
      <c r="P321" s="126">
        <f>Feb!CR285</f>
        <v>1382</v>
      </c>
      <c r="Q321" s="126">
        <f>Feb!CP285</f>
        <v>5</v>
      </c>
      <c r="R321" s="436"/>
      <c r="S321" s="436"/>
      <c r="T321" s="18"/>
      <c r="U321" s="18"/>
      <c r="V321" s="127">
        <f t="shared" si="10"/>
        <v>13845</v>
      </c>
      <c r="W321" s="45"/>
      <c r="X321" s="67"/>
    </row>
    <row r="322" spans="1:25" ht="15" customHeight="1">
      <c r="A322" s="427"/>
      <c r="B322" s="122" t="s">
        <v>61</v>
      </c>
      <c r="C322" s="180" t="s">
        <v>137</v>
      </c>
      <c r="D322" s="48" t="s">
        <v>56</v>
      </c>
      <c r="E322" s="441"/>
      <c r="F322" s="118" t="s">
        <v>67</v>
      </c>
      <c r="G322" s="119"/>
      <c r="H322" s="126"/>
      <c r="I322" s="126"/>
      <c r="J322" s="2"/>
      <c r="K322" s="18"/>
      <c r="L322" s="18"/>
      <c r="M322" s="18"/>
      <c r="N322" s="18"/>
      <c r="O322" s="126"/>
      <c r="P322" s="126"/>
      <c r="Q322" s="126">
        <f>Feb!CP284</f>
        <v>2</v>
      </c>
      <c r="R322" s="436"/>
      <c r="S322" s="436"/>
      <c r="T322" s="18"/>
      <c r="U322" s="18"/>
      <c r="V322" s="127">
        <f t="shared" si="10"/>
        <v>5819</v>
      </c>
      <c r="W322" s="45"/>
      <c r="X322" s="67"/>
    </row>
    <row r="323" spans="1:25" ht="15" customHeight="1">
      <c r="A323" s="427"/>
      <c r="B323" s="122" t="s">
        <v>131</v>
      </c>
      <c r="C323" s="180" t="s">
        <v>194</v>
      </c>
      <c r="D323" s="48" t="s">
        <v>132</v>
      </c>
      <c r="E323" s="441"/>
      <c r="F323" s="118" t="s">
        <v>64</v>
      </c>
      <c r="G323" s="119"/>
      <c r="H323" s="126"/>
      <c r="I323" s="126"/>
      <c r="J323" s="2"/>
      <c r="K323" s="18"/>
      <c r="L323" s="18"/>
      <c r="M323" s="18"/>
      <c r="N323" s="18"/>
      <c r="O323" s="126"/>
      <c r="P323" s="126"/>
      <c r="Q323" s="126">
        <f>Feb!CP286</f>
        <v>1</v>
      </c>
      <c r="R323" s="436"/>
      <c r="S323" s="436"/>
      <c r="T323" s="18"/>
      <c r="U323" s="18"/>
      <c r="V323" s="18"/>
      <c r="W323" s="45"/>
      <c r="X323" s="67"/>
    </row>
    <row r="324" spans="1:25" ht="15" customHeight="1">
      <c r="A324" s="427"/>
      <c r="B324" s="122" t="s">
        <v>101</v>
      </c>
      <c r="C324" s="180" t="s">
        <v>193</v>
      </c>
      <c r="D324" s="48" t="s">
        <v>102</v>
      </c>
      <c r="E324" s="441"/>
      <c r="F324" s="118" t="s">
        <v>64</v>
      </c>
      <c r="G324" s="119"/>
      <c r="H324" s="126"/>
      <c r="I324" s="126"/>
      <c r="J324" s="2"/>
      <c r="K324" s="18"/>
      <c r="L324" s="18"/>
      <c r="M324" s="18"/>
      <c r="N324" s="18"/>
      <c r="O324" s="126"/>
      <c r="P324" s="126"/>
      <c r="Q324" s="126">
        <f>Feb!CP287</f>
        <v>1</v>
      </c>
      <c r="R324" s="436"/>
      <c r="S324" s="436"/>
      <c r="T324" s="18"/>
      <c r="U324" s="18"/>
      <c r="V324" s="18"/>
      <c r="W324" s="45"/>
      <c r="X324" s="67"/>
    </row>
    <row r="325" spans="1:25" ht="15" customHeight="1">
      <c r="A325" s="427"/>
      <c r="B325" s="122" t="s">
        <v>103</v>
      </c>
      <c r="C325" s="157" t="s">
        <v>197</v>
      </c>
      <c r="D325" s="48" t="s">
        <v>104</v>
      </c>
      <c r="E325" s="441"/>
      <c r="F325" s="118" t="s">
        <v>105</v>
      </c>
      <c r="G325" s="119"/>
      <c r="H325" s="126"/>
      <c r="I325" s="126"/>
      <c r="J325" s="2"/>
      <c r="K325" s="18"/>
      <c r="L325" s="18"/>
      <c r="M325" s="18"/>
      <c r="N325" s="18"/>
      <c r="O325" s="126"/>
      <c r="P325" s="126"/>
      <c r="Q325" s="126">
        <f>Feb!CP288</f>
        <v>1</v>
      </c>
      <c r="R325" s="436"/>
      <c r="S325" s="436"/>
      <c r="T325" s="18"/>
      <c r="U325" s="18"/>
      <c r="V325" s="18"/>
      <c r="W325" s="45"/>
      <c r="X325" s="67"/>
    </row>
    <row r="326" spans="1:25" ht="15" customHeight="1">
      <c r="A326" s="427"/>
      <c r="B326" s="137" t="s">
        <v>112</v>
      </c>
      <c r="C326" s="157" t="s">
        <v>197</v>
      </c>
      <c r="D326" s="48" t="s">
        <v>104</v>
      </c>
      <c r="E326" s="441"/>
      <c r="F326" s="118" t="s">
        <v>113</v>
      </c>
      <c r="G326" s="119"/>
      <c r="H326" s="126"/>
      <c r="I326" s="126"/>
      <c r="J326" s="2"/>
      <c r="K326" s="18"/>
      <c r="L326" s="18"/>
      <c r="M326" s="18"/>
      <c r="N326" s="18"/>
      <c r="O326" s="126"/>
      <c r="P326" s="126"/>
      <c r="Q326" s="126">
        <f>Feb!CP291</f>
        <v>1</v>
      </c>
      <c r="R326" s="436"/>
      <c r="S326" s="436"/>
      <c r="T326" s="18"/>
      <c r="U326" s="18"/>
      <c r="V326" s="18"/>
      <c r="W326" s="45"/>
      <c r="X326" s="67"/>
    </row>
    <row r="327" spans="1:25" ht="15" customHeight="1">
      <c r="A327" s="427"/>
      <c r="B327" s="137" t="s">
        <v>106</v>
      </c>
      <c r="C327" s="157" t="s">
        <v>141</v>
      </c>
      <c r="D327" s="48" t="s">
        <v>68</v>
      </c>
      <c r="E327" s="441"/>
      <c r="F327" s="118" t="s">
        <v>67</v>
      </c>
      <c r="G327" s="119"/>
      <c r="H327" s="126"/>
      <c r="I327" s="126"/>
      <c r="J327" s="2"/>
      <c r="K327" s="18"/>
      <c r="L327" s="18"/>
      <c r="M327" s="18"/>
      <c r="N327" s="18"/>
      <c r="O327" s="126"/>
      <c r="P327" s="126"/>
      <c r="Q327" s="126">
        <f>Feb!CP289</f>
        <v>1</v>
      </c>
      <c r="R327" s="436"/>
      <c r="S327" s="436"/>
      <c r="T327" s="18"/>
      <c r="U327" s="18"/>
      <c r="V327" s="18"/>
      <c r="W327" s="45"/>
      <c r="X327" s="67"/>
    </row>
    <row r="328" spans="1:25" ht="15" customHeight="1" thickBot="1">
      <c r="A328" s="428"/>
      <c r="B328" s="44" t="s">
        <v>107</v>
      </c>
      <c r="C328" s="181" t="s">
        <v>195</v>
      </c>
      <c r="D328" s="61" t="s">
        <v>108</v>
      </c>
      <c r="E328" s="447"/>
      <c r="F328" s="133" t="s">
        <v>48</v>
      </c>
      <c r="G328" s="132"/>
      <c r="H328" s="109"/>
      <c r="I328" s="134"/>
      <c r="J328" s="129"/>
      <c r="K328" s="130"/>
      <c r="L328" s="130"/>
      <c r="M328" s="130"/>
      <c r="N328" s="130"/>
      <c r="O328" s="134"/>
      <c r="P328" s="134"/>
      <c r="Q328" s="134">
        <f>Feb!CP290</f>
        <v>1</v>
      </c>
      <c r="R328" s="437"/>
      <c r="S328" s="437"/>
      <c r="T328" s="130"/>
      <c r="U328" s="130"/>
      <c r="V328" s="128"/>
      <c r="W328" s="85"/>
      <c r="X328" s="67"/>
    </row>
    <row r="329" spans="1:25" ht="15" customHeight="1">
      <c r="A329" s="426">
        <v>46080</v>
      </c>
      <c r="B329" s="429" t="s">
        <v>44</v>
      </c>
      <c r="C329" s="432" t="s">
        <v>240</v>
      </c>
      <c r="D329" s="19" t="s">
        <v>37</v>
      </c>
      <c r="E329" s="19" t="s">
        <v>25</v>
      </c>
      <c r="F329" s="39" t="s">
        <v>40</v>
      </c>
      <c r="G329" s="41">
        <v>4948.29</v>
      </c>
      <c r="H329" s="32"/>
      <c r="I329" s="32"/>
      <c r="J329" s="32"/>
      <c r="K329" s="20">
        <v>24000</v>
      </c>
      <c r="L329" s="20">
        <v>3</v>
      </c>
      <c r="M329" s="20">
        <v>120000</v>
      </c>
      <c r="N329" s="84">
        <v>15</v>
      </c>
      <c r="O329" s="32">
        <f>Feb!CT272</f>
        <v>23922</v>
      </c>
      <c r="P329" s="32">
        <f>Feb!CU272</f>
        <v>27275</v>
      </c>
      <c r="Q329" s="32">
        <f>Feb!CS272</f>
        <v>77</v>
      </c>
      <c r="R329" s="435">
        <f>Feb!CT293</f>
        <v>72215</v>
      </c>
      <c r="S329" s="435">
        <f>Feb!CU293</f>
        <v>72594</v>
      </c>
      <c r="T329" s="20">
        <v>25729</v>
      </c>
      <c r="U329" s="20">
        <v>357</v>
      </c>
      <c r="V329" s="20">
        <f>O329-T329-U329+V307</f>
        <v>11410</v>
      </c>
      <c r="W329" s="77"/>
      <c r="X329" s="36"/>
    </row>
    <row r="330" spans="1:25" ht="15" customHeight="1">
      <c r="A330" s="427"/>
      <c r="B330" s="431"/>
      <c r="C330" s="434"/>
      <c r="D330" s="113" t="s">
        <v>128</v>
      </c>
      <c r="E330" s="113" t="s">
        <v>24</v>
      </c>
      <c r="F330" s="114" t="s">
        <v>40</v>
      </c>
      <c r="G330" s="170">
        <v>1099.6199999999999</v>
      </c>
      <c r="H330" s="135"/>
      <c r="I330" s="125"/>
      <c r="J330" s="125"/>
      <c r="K330" s="18">
        <v>8000</v>
      </c>
      <c r="L330" s="127">
        <v>1</v>
      </c>
      <c r="M330" s="216">
        <v>80000</v>
      </c>
      <c r="N330" s="238">
        <v>10</v>
      </c>
      <c r="O330" s="126">
        <f>Feb!CT274</f>
        <v>15340</v>
      </c>
      <c r="P330" s="125">
        <f>Feb!CU274</f>
        <v>14298</v>
      </c>
      <c r="Q330" s="125">
        <f>Feb!CS274</f>
        <v>40</v>
      </c>
      <c r="R330" s="436"/>
      <c r="S330" s="436"/>
      <c r="T330" s="127">
        <v>9032</v>
      </c>
      <c r="U330" s="127">
        <v>6</v>
      </c>
      <c r="V330" s="127">
        <f>O330-T330-U330+V308</f>
        <v>11291</v>
      </c>
      <c r="W330" s="46"/>
      <c r="X330" s="67"/>
    </row>
    <row r="331" spans="1:25" ht="15" customHeight="1">
      <c r="A331" s="427"/>
      <c r="B331" s="442" t="s">
        <v>45</v>
      </c>
      <c r="C331" s="448" t="s">
        <v>59</v>
      </c>
      <c r="D331" s="118" t="s">
        <v>75</v>
      </c>
      <c r="E331" s="438" t="s">
        <v>25</v>
      </c>
      <c r="F331" s="131" t="s">
        <v>57</v>
      </c>
      <c r="G331" s="87"/>
      <c r="H331" s="136"/>
      <c r="I331" s="126"/>
      <c r="J331" s="2"/>
      <c r="K331" s="127">
        <v>10300</v>
      </c>
      <c r="L331" s="18">
        <v>2</v>
      </c>
      <c r="M331" s="18">
        <v>35900</v>
      </c>
      <c r="N331" s="80">
        <v>7</v>
      </c>
      <c r="O331" s="126">
        <f>Feb!CT276</f>
        <v>9870</v>
      </c>
      <c r="P331" s="126">
        <f>Feb!CU276</f>
        <v>3913</v>
      </c>
      <c r="Q331" s="2">
        <f>Feb!CS276</f>
        <v>15</v>
      </c>
      <c r="R331" s="436"/>
      <c r="S331" s="436"/>
      <c r="T331" s="18"/>
      <c r="U331" s="18"/>
      <c r="V331" s="127">
        <f>O331-T331-U331+V309</f>
        <v>84760</v>
      </c>
      <c r="W331" s="46"/>
      <c r="Y331" s="13"/>
    </row>
    <row r="332" spans="1:25" ht="15" customHeight="1">
      <c r="A332" s="427"/>
      <c r="B332" s="439"/>
      <c r="C332" s="440"/>
      <c r="D332" s="118" t="s">
        <v>94</v>
      </c>
      <c r="E332" s="431"/>
      <c r="F332" s="131"/>
      <c r="G332" s="87"/>
      <c r="H332" s="152">
        <v>1620</v>
      </c>
      <c r="I332" s="126"/>
      <c r="J332" s="2"/>
      <c r="K332" s="127"/>
      <c r="L332" s="18"/>
      <c r="M332" s="18"/>
      <c r="N332" s="80"/>
      <c r="O332" s="126"/>
      <c r="P332" s="126"/>
      <c r="Q332" s="2"/>
      <c r="R332" s="436"/>
      <c r="S332" s="436"/>
      <c r="T332" s="18"/>
      <c r="U332" s="18"/>
      <c r="V332" s="127"/>
      <c r="W332" s="46"/>
      <c r="Y332" s="13"/>
    </row>
    <row r="333" spans="1:25">
      <c r="A333" s="427"/>
      <c r="B333" s="439"/>
      <c r="C333" s="440"/>
      <c r="D333" s="118" t="s">
        <v>72</v>
      </c>
      <c r="E333" s="155" t="s">
        <v>24</v>
      </c>
      <c r="F333" s="131" t="s">
        <v>57</v>
      </c>
      <c r="G333" s="136"/>
      <c r="H333" s="136"/>
      <c r="I333" s="126"/>
      <c r="J333" s="126"/>
      <c r="K333" s="127">
        <v>15000</v>
      </c>
      <c r="L333" s="18">
        <v>3</v>
      </c>
      <c r="M333" s="18">
        <v>35000</v>
      </c>
      <c r="N333" s="80">
        <v>7</v>
      </c>
      <c r="O333" s="126">
        <f>Feb!CT277</f>
        <v>2997</v>
      </c>
      <c r="P333" s="126">
        <f>Feb!CU277</f>
        <v>6075</v>
      </c>
      <c r="Q333" s="2">
        <f>Feb!CS277</f>
        <v>25</v>
      </c>
      <c r="R333" s="436"/>
      <c r="S333" s="436"/>
      <c r="T333" s="18">
        <v>6309</v>
      </c>
      <c r="U333" s="18">
        <v>2</v>
      </c>
      <c r="V333" s="127">
        <f>O333-T333-U333+V310</f>
        <v>2351</v>
      </c>
      <c r="W333" s="46"/>
      <c r="Y333" s="13"/>
    </row>
    <row r="334" spans="1:25">
      <c r="A334" s="427"/>
      <c r="B334" s="439"/>
      <c r="C334" s="440"/>
      <c r="D334" s="115" t="s">
        <v>79</v>
      </c>
      <c r="E334" s="118" t="s">
        <v>65</v>
      </c>
      <c r="F334" s="131" t="s">
        <v>57</v>
      </c>
      <c r="G334" s="224"/>
      <c r="H334" s="136"/>
      <c r="I334" s="126"/>
      <c r="J334" s="126"/>
      <c r="K334" s="127">
        <v>5000</v>
      </c>
      <c r="L334" s="18">
        <v>1</v>
      </c>
      <c r="M334" s="18">
        <v>54000</v>
      </c>
      <c r="N334" s="80">
        <v>11</v>
      </c>
      <c r="O334" s="126">
        <f>Feb!CT278</f>
        <v>8222</v>
      </c>
      <c r="P334" s="126">
        <f>Feb!CU278</f>
        <v>6477</v>
      </c>
      <c r="Q334" s="126">
        <f>Feb!CS278</f>
        <v>26</v>
      </c>
      <c r="R334" s="436"/>
      <c r="S334" s="436"/>
      <c r="T334" s="18">
        <v>4506</v>
      </c>
      <c r="U334" s="18"/>
      <c r="V334" s="127">
        <f>O334-T334-U334+V311</f>
        <v>4528</v>
      </c>
      <c r="W334" s="46"/>
      <c r="Y334" s="13"/>
    </row>
    <row r="335" spans="1:25" ht="14.25" customHeight="1">
      <c r="A335" s="427"/>
      <c r="B335" s="137" t="s">
        <v>53</v>
      </c>
      <c r="C335" s="157" t="s">
        <v>60</v>
      </c>
      <c r="D335" s="43" t="s">
        <v>130</v>
      </c>
      <c r="E335" s="115" t="s">
        <v>66</v>
      </c>
      <c r="F335" s="118" t="s">
        <v>54</v>
      </c>
      <c r="G335" s="224"/>
      <c r="H335" s="37"/>
      <c r="I335" s="126"/>
      <c r="J335" s="126"/>
      <c r="K335" s="18">
        <v>59000</v>
      </c>
      <c r="L335" s="18">
        <v>1</v>
      </c>
      <c r="M335" s="18">
        <v>53400</v>
      </c>
      <c r="N335" s="80">
        <v>10</v>
      </c>
      <c r="O335" s="126">
        <f>Feb!CT275</f>
        <v>11181</v>
      </c>
      <c r="P335" s="126">
        <f>Feb!CU275</f>
        <v>8837</v>
      </c>
      <c r="Q335" s="126">
        <f>Feb!CS275</f>
        <v>26</v>
      </c>
      <c r="R335" s="436"/>
      <c r="S335" s="436"/>
      <c r="T335" s="18">
        <v>14219</v>
      </c>
      <c r="U335" s="18">
        <v>62</v>
      </c>
      <c r="V335" s="127">
        <f>O335-T335-U335+V312</f>
        <v>6385</v>
      </c>
      <c r="W335" s="45"/>
      <c r="X335" s="36"/>
    </row>
    <row r="336" spans="1:25" ht="14.25" customHeight="1">
      <c r="A336" s="427"/>
      <c r="B336" s="122" t="s">
        <v>55</v>
      </c>
      <c r="C336" s="180" t="s">
        <v>133</v>
      </c>
      <c r="D336" s="48" t="s">
        <v>56</v>
      </c>
      <c r="E336" s="424" t="s">
        <v>25</v>
      </c>
      <c r="F336" s="118" t="s">
        <v>67</v>
      </c>
      <c r="G336" s="224"/>
      <c r="H336" s="37"/>
      <c r="I336" s="126"/>
      <c r="J336" s="126"/>
      <c r="K336" s="18"/>
      <c r="L336" s="18"/>
      <c r="M336" s="18"/>
      <c r="N336" s="80"/>
      <c r="O336" s="126"/>
      <c r="P336" s="126"/>
      <c r="Q336" s="126"/>
      <c r="R336" s="436"/>
      <c r="S336" s="436"/>
      <c r="T336" s="18"/>
      <c r="U336" s="18"/>
      <c r="V336" s="127">
        <f t="shared" ref="V336:V341" si="11">O336-T336-U336+V315</f>
        <v>500</v>
      </c>
      <c r="W336" s="45"/>
      <c r="X336" s="67"/>
    </row>
    <row r="337" spans="1:24" ht="14.25" customHeight="1">
      <c r="A337" s="427"/>
      <c r="B337" s="122" t="s">
        <v>122</v>
      </c>
      <c r="C337" s="180" t="s">
        <v>123</v>
      </c>
      <c r="D337" s="48" t="s">
        <v>56</v>
      </c>
      <c r="E337" s="441"/>
      <c r="F337" s="155" t="s">
        <v>64</v>
      </c>
      <c r="G337" s="224"/>
      <c r="H337" s="135"/>
      <c r="I337" s="158"/>
      <c r="J337" s="158"/>
      <c r="K337" s="128"/>
      <c r="L337" s="128"/>
      <c r="M337" s="128">
        <v>6400</v>
      </c>
      <c r="N337" s="164">
        <v>2</v>
      </c>
      <c r="O337" s="158"/>
      <c r="P337" s="158"/>
      <c r="Q337" s="158">
        <f>Feb!CS282</f>
        <v>3</v>
      </c>
      <c r="R337" s="436"/>
      <c r="S337" s="436"/>
      <c r="T337" s="18"/>
      <c r="U337" s="18"/>
      <c r="V337" s="127">
        <f t="shared" si="11"/>
        <v>31304</v>
      </c>
      <c r="W337" s="45"/>
      <c r="X337" s="67"/>
    </row>
    <row r="338" spans="1:24" ht="14.25" customHeight="1">
      <c r="A338" s="427"/>
      <c r="B338" s="122" t="s">
        <v>125</v>
      </c>
      <c r="C338" s="180" t="s">
        <v>88</v>
      </c>
      <c r="D338" s="48" t="s">
        <v>124</v>
      </c>
      <c r="E338" s="441"/>
      <c r="F338" s="118" t="s">
        <v>64</v>
      </c>
      <c r="G338" s="225"/>
      <c r="H338" s="126"/>
      <c r="I338" s="126"/>
      <c r="J338" s="126"/>
      <c r="K338" s="18">
        <v>7400</v>
      </c>
      <c r="L338" s="18">
        <v>1</v>
      </c>
      <c r="M338" s="18">
        <v>58600</v>
      </c>
      <c r="N338" s="80">
        <v>8</v>
      </c>
      <c r="O338" s="126">
        <f>Feb!CT280</f>
        <v>683</v>
      </c>
      <c r="P338" s="126">
        <f>Feb!CU280</f>
        <v>2286</v>
      </c>
      <c r="Q338" s="126">
        <f>Feb!CS280</f>
        <v>10</v>
      </c>
      <c r="R338" s="436"/>
      <c r="S338" s="436"/>
      <c r="T338" s="18"/>
      <c r="U338" s="18"/>
      <c r="V338" s="127">
        <f t="shared" si="11"/>
        <v>19120</v>
      </c>
      <c r="W338" s="45"/>
      <c r="X338" s="67"/>
    </row>
    <row r="339" spans="1:24" ht="13.5" customHeight="1">
      <c r="A339" s="427"/>
      <c r="B339" s="442" t="s">
        <v>58</v>
      </c>
      <c r="C339" s="444" t="s">
        <v>136</v>
      </c>
      <c r="D339" s="48" t="s">
        <v>56</v>
      </c>
      <c r="E339" s="441"/>
      <c r="F339" s="118" t="s">
        <v>67</v>
      </c>
      <c r="G339" s="226"/>
      <c r="H339" s="126"/>
      <c r="I339" s="126"/>
      <c r="J339" s="2"/>
      <c r="K339" s="18"/>
      <c r="L339" s="18"/>
      <c r="M339" s="18"/>
      <c r="N339" s="18"/>
      <c r="O339" s="126"/>
      <c r="P339" s="126"/>
      <c r="Q339" s="126"/>
      <c r="R339" s="436"/>
      <c r="S339" s="436"/>
      <c r="T339" s="18"/>
      <c r="U339" s="18"/>
      <c r="V339" s="127">
        <f t="shared" si="11"/>
        <v>43</v>
      </c>
      <c r="W339" s="45"/>
      <c r="X339" s="67"/>
    </row>
    <row r="340" spans="1:24" ht="15.75" customHeight="1">
      <c r="A340" s="427"/>
      <c r="B340" s="439"/>
      <c r="C340" s="445"/>
      <c r="D340" s="48" t="s">
        <v>56</v>
      </c>
      <c r="E340" s="441"/>
      <c r="F340" s="118" t="s">
        <v>140</v>
      </c>
      <c r="G340" s="226"/>
      <c r="H340" s="126"/>
      <c r="I340" s="126"/>
      <c r="J340" s="2"/>
      <c r="K340" s="18"/>
      <c r="L340" s="18"/>
      <c r="M340" s="18"/>
      <c r="N340" s="18"/>
      <c r="O340" s="126"/>
      <c r="P340" s="126"/>
      <c r="Q340" s="126"/>
      <c r="R340" s="436"/>
      <c r="S340" s="436"/>
      <c r="T340" s="18"/>
      <c r="U340" s="18"/>
      <c r="V340" s="127">
        <f t="shared" si="11"/>
        <v>8562</v>
      </c>
      <c r="W340" s="45"/>
      <c r="X340" s="67"/>
    </row>
    <row r="341" spans="1:24" ht="15" customHeight="1">
      <c r="A341" s="427"/>
      <c r="B341" s="442" t="s">
        <v>47</v>
      </c>
      <c r="C341" s="444" t="s">
        <v>100</v>
      </c>
      <c r="D341" s="48" t="s">
        <v>99</v>
      </c>
      <c r="E341" s="441"/>
      <c r="F341" s="118" t="s">
        <v>71</v>
      </c>
      <c r="G341" s="226"/>
      <c r="H341" s="126"/>
      <c r="I341" s="126"/>
      <c r="J341" s="2"/>
      <c r="K341" s="18"/>
      <c r="L341" s="18"/>
      <c r="M341" s="18">
        <v>30000</v>
      </c>
      <c r="N341" s="18">
        <v>5</v>
      </c>
      <c r="O341" s="126"/>
      <c r="P341" s="126">
        <f>Feb!CU281</f>
        <v>2071</v>
      </c>
      <c r="Q341" s="126">
        <f>Feb!CS281</f>
        <v>8</v>
      </c>
      <c r="R341" s="436"/>
      <c r="S341" s="436"/>
      <c r="T341" s="18"/>
      <c r="U341" s="18"/>
      <c r="V341" s="127">
        <f t="shared" si="11"/>
        <v>55427</v>
      </c>
      <c r="W341" s="45"/>
      <c r="X341" s="67"/>
    </row>
    <row r="342" spans="1:24" ht="15" customHeight="1">
      <c r="A342" s="427"/>
      <c r="B342" s="443"/>
      <c r="C342" s="446"/>
      <c r="D342" s="48" t="s">
        <v>121</v>
      </c>
      <c r="E342" s="441"/>
      <c r="F342" s="118"/>
      <c r="G342" s="226"/>
      <c r="H342" s="126">
        <v>612</v>
      </c>
      <c r="I342" s="126"/>
      <c r="J342" s="2"/>
      <c r="K342" s="18"/>
      <c r="L342" s="18"/>
      <c r="M342" s="18"/>
      <c r="N342" s="18"/>
      <c r="O342" s="126"/>
      <c r="P342" s="126"/>
      <c r="Q342" s="126"/>
      <c r="R342" s="436"/>
      <c r="S342" s="436"/>
      <c r="T342" s="18"/>
      <c r="U342" s="18"/>
      <c r="V342" s="127"/>
      <c r="W342" s="45"/>
      <c r="X342" s="67"/>
    </row>
    <row r="343" spans="1:24" ht="15" customHeight="1">
      <c r="A343" s="427"/>
      <c r="B343" s="122" t="s">
        <v>196</v>
      </c>
      <c r="C343" s="180" t="s">
        <v>63</v>
      </c>
      <c r="D343" s="48" t="s">
        <v>135</v>
      </c>
      <c r="E343" s="441"/>
      <c r="F343" s="118" t="s">
        <v>64</v>
      </c>
      <c r="G343" s="226"/>
      <c r="H343" s="126"/>
      <c r="I343" s="126"/>
      <c r="J343" s="2"/>
      <c r="K343" s="18"/>
      <c r="L343" s="18"/>
      <c r="M343" s="18"/>
      <c r="N343" s="18"/>
      <c r="O343" s="126"/>
      <c r="P343" s="126">
        <f>Feb!CU285</f>
        <v>1362</v>
      </c>
      <c r="Q343" s="126">
        <f>Feb!CS285</f>
        <v>5</v>
      </c>
      <c r="R343" s="436"/>
      <c r="S343" s="436"/>
      <c r="T343" s="18"/>
      <c r="U343" s="18"/>
      <c r="V343" s="127">
        <f>O343-T343-U343+V321</f>
        <v>13845</v>
      </c>
      <c r="W343" s="45"/>
      <c r="X343" s="67"/>
    </row>
    <row r="344" spans="1:24" ht="15" customHeight="1">
      <c r="A344" s="427"/>
      <c r="B344" s="122" t="s">
        <v>61</v>
      </c>
      <c r="C344" s="180" t="s">
        <v>137</v>
      </c>
      <c r="D344" s="48" t="s">
        <v>56</v>
      </c>
      <c r="E344" s="441"/>
      <c r="F344" s="118" t="s">
        <v>67</v>
      </c>
      <c r="G344" s="119"/>
      <c r="H344" s="126"/>
      <c r="I344" s="126"/>
      <c r="J344" s="2"/>
      <c r="K344" s="18"/>
      <c r="L344" s="18"/>
      <c r="M344" s="18"/>
      <c r="N344" s="18"/>
      <c r="O344" s="126"/>
      <c r="P344" s="126"/>
      <c r="Q344" s="126">
        <f>Feb!CS284</f>
        <v>2</v>
      </c>
      <c r="R344" s="436"/>
      <c r="S344" s="436"/>
      <c r="T344" s="18"/>
      <c r="U344" s="18"/>
      <c r="V344" s="127">
        <f>O344-T344-U344+V322</f>
        <v>5819</v>
      </c>
      <c r="W344" s="45"/>
      <c r="X344" s="67"/>
    </row>
    <row r="345" spans="1:24" ht="15" customHeight="1">
      <c r="A345" s="427"/>
      <c r="B345" s="122" t="s">
        <v>131</v>
      </c>
      <c r="C345" s="180" t="s">
        <v>194</v>
      </c>
      <c r="D345" s="48" t="s">
        <v>132</v>
      </c>
      <c r="E345" s="441"/>
      <c r="F345" s="118" t="s">
        <v>64</v>
      </c>
      <c r="G345" s="119"/>
      <c r="H345" s="126"/>
      <c r="I345" s="126"/>
      <c r="J345" s="2"/>
      <c r="K345" s="18"/>
      <c r="L345" s="18"/>
      <c r="M345" s="18"/>
      <c r="N345" s="18"/>
      <c r="O345" s="126"/>
      <c r="P345" s="126"/>
      <c r="Q345" s="126">
        <f>Feb!CS286</f>
        <v>1</v>
      </c>
      <c r="R345" s="436"/>
      <c r="S345" s="436"/>
      <c r="T345" s="18"/>
      <c r="U345" s="18"/>
      <c r="V345" s="18"/>
      <c r="W345" s="45"/>
      <c r="X345" s="67"/>
    </row>
    <row r="346" spans="1:24" ht="15" customHeight="1">
      <c r="A346" s="427"/>
      <c r="B346" s="122" t="s">
        <v>101</v>
      </c>
      <c r="C346" s="180" t="s">
        <v>193</v>
      </c>
      <c r="D346" s="48" t="s">
        <v>102</v>
      </c>
      <c r="E346" s="441"/>
      <c r="F346" s="118" t="s">
        <v>64</v>
      </c>
      <c r="G346" s="119"/>
      <c r="H346" s="126"/>
      <c r="I346" s="126"/>
      <c r="J346" s="2"/>
      <c r="K346" s="18"/>
      <c r="L346" s="18"/>
      <c r="M346" s="18"/>
      <c r="N346" s="18"/>
      <c r="O346" s="126"/>
      <c r="P346" s="126"/>
      <c r="Q346" s="126">
        <f>Feb!CS287</f>
        <v>1</v>
      </c>
      <c r="R346" s="436"/>
      <c r="S346" s="436"/>
      <c r="T346" s="18"/>
      <c r="U346" s="18"/>
      <c r="V346" s="18"/>
      <c r="W346" s="45"/>
      <c r="X346" s="67"/>
    </row>
    <row r="347" spans="1:24" ht="15" customHeight="1">
      <c r="A347" s="427"/>
      <c r="B347" s="122" t="s">
        <v>103</v>
      </c>
      <c r="C347" s="157" t="s">
        <v>197</v>
      </c>
      <c r="D347" s="48" t="s">
        <v>104</v>
      </c>
      <c r="E347" s="441"/>
      <c r="F347" s="118" t="s">
        <v>105</v>
      </c>
      <c r="G347" s="119"/>
      <c r="H347" s="126"/>
      <c r="I347" s="126"/>
      <c r="J347" s="2"/>
      <c r="K347" s="18"/>
      <c r="L347" s="18"/>
      <c r="M347" s="18"/>
      <c r="N347" s="18"/>
      <c r="O347" s="126"/>
      <c r="P347" s="126"/>
      <c r="Q347" s="126">
        <f>Feb!CS288</f>
        <v>1</v>
      </c>
      <c r="R347" s="436"/>
      <c r="S347" s="436"/>
      <c r="T347" s="18"/>
      <c r="U347" s="18"/>
      <c r="V347" s="18"/>
      <c r="W347" s="45"/>
      <c r="X347" s="67"/>
    </row>
    <row r="348" spans="1:24" ht="15" customHeight="1">
      <c r="A348" s="427"/>
      <c r="B348" s="137" t="s">
        <v>112</v>
      </c>
      <c r="C348" s="157" t="s">
        <v>197</v>
      </c>
      <c r="D348" s="48" t="s">
        <v>104</v>
      </c>
      <c r="E348" s="441"/>
      <c r="F348" s="118" t="s">
        <v>113</v>
      </c>
      <c r="G348" s="119"/>
      <c r="H348" s="126"/>
      <c r="I348" s="126"/>
      <c r="J348" s="2"/>
      <c r="K348" s="18"/>
      <c r="L348" s="18"/>
      <c r="M348" s="18"/>
      <c r="N348" s="18"/>
      <c r="O348" s="126"/>
      <c r="P348" s="126"/>
      <c r="Q348" s="126">
        <f>Feb!CS291</f>
        <v>1</v>
      </c>
      <c r="R348" s="436"/>
      <c r="S348" s="436"/>
      <c r="T348" s="18"/>
      <c r="U348" s="18"/>
      <c r="V348" s="18"/>
      <c r="W348" s="45"/>
      <c r="X348" s="67"/>
    </row>
    <row r="349" spans="1:24" ht="15" customHeight="1">
      <c r="A349" s="427"/>
      <c r="B349" s="137" t="s">
        <v>106</v>
      </c>
      <c r="C349" s="157" t="s">
        <v>141</v>
      </c>
      <c r="D349" s="48" t="s">
        <v>68</v>
      </c>
      <c r="E349" s="441"/>
      <c r="F349" s="118" t="s">
        <v>67</v>
      </c>
      <c r="G349" s="119"/>
      <c r="H349" s="126"/>
      <c r="I349" s="126"/>
      <c r="J349" s="2"/>
      <c r="K349" s="18"/>
      <c r="L349" s="18"/>
      <c r="M349" s="18"/>
      <c r="N349" s="18"/>
      <c r="O349" s="126"/>
      <c r="P349" s="126"/>
      <c r="Q349" s="126">
        <f>Feb!CS289</f>
        <v>1</v>
      </c>
      <c r="R349" s="436"/>
      <c r="S349" s="436"/>
      <c r="T349" s="18"/>
      <c r="U349" s="18"/>
      <c r="V349" s="18"/>
      <c r="W349" s="45"/>
      <c r="X349" s="67"/>
    </row>
    <row r="350" spans="1:24" ht="15" customHeight="1" thickBot="1">
      <c r="A350" s="428"/>
      <c r="B350" s="44" t="s">
        <v>107</v>
      </c>
      <c r="C350" s="181" t="s">
        <v>195</v>
      </c>
      <c r="D350" s="61" t="s">
        <v>108</v>
      </c>
      <c r="E350" s="447"/>
      <c r="F350" s="133" t="s">
        <v>48</v>
      </c>
      <c r="G350" s="132"/>
      <c r="H350" s="109"/>
      <c r="I350" s="134"/>
      <c r="J350" s="129"/>
      <c r="K350" s="130"/>
      <c r="L350" s="130"/>
      <c r="M350" s="130"/>
      <c r="N350" s="130"/>
      <c r="O350" s="134"/>
      <c r="P350" s="134"/>
      <c r="Q350" s="134"/>
      <c r="R350" s="437"/>
      <c r="S350" s="437"/>
      <c r="T350" s="130"/>
      <c r="U350" s="130"/>
      <c r="V350" s="128"/>
      <c r="W350" s="85"/>
      <c r="X350" s="67"/>
    </row>
    <row r="351" spans="1:24" ht="15" customHeight="1">
      <c r="A351" s="426">
        <v>46081</v>
      </c>
      <c r="B351" s="429" t="s">
        <v>44</v>
      </c>
      <c r="C351" s="432" t="s">
        <v>240</v>
      </c>
      <c r="D351" s="19" t="s">
        <v>37</v>
      </c>
      <c r="E351" s="19" t="s">
        <v>25</v>
      </c>
      <c r="F351" s="39" t="s">
        <v>40</v>
      </c>
      <c r="G351" s="41"/>
      <c r="H351" s="32">
        <v>2864</v>
      </c>
      <c r="I351" s="32"/>
      <c r="J351" s="32"/>
      <c r="K351" s="20">
        <v>96000</v>
      </c>
      <c r="L351" s="20">
        <v>12</v>
      </c>
      <c r="M351" s="20">
        <v>24000</v>
      </c>
      <c r="N351" s="84">
        <v>3</v>
      </c>
      <c r="O351" s="32">
        <f>Feb!CW272</f>
        <v>21391</v>
      </c>
      <c r="P351" s="32">
        <f>Feb!CX272</f>
        <v>24677</v>
      </c>
      <c r="Q351" s="32">
        <f>Feb!CV272</f>
        <v>77</v>
      </c>
      <c r="R351" s="435">
        <f>Feb!CW293</f>
        <v>52234</v>
      </c>
      <c r="S351" s="435">
        <f>Feb!CX293</f>
        <v>66050</v>
      </c>
      <c r="T351" s="20"/>
      <c r="U351" s="20"/>
      <c r="V351" s="20">
        <f>O351-T351-U351+V329</f>
        <v>32801</v>
      </c>
      <c r="W351" s="77"/>
      <c r="X351" s="36"/>
    </row>
    <row r="352" spans="1:24" ht="15" customHeight="1">
      <c r="A352" s="427"/>
      <c r="B352" s="431"/>
      <c r="C352" s="434"/>
      <c r="D352" s="113" t="s">
        <v>128</v>
      </c>
      <c r="E352" s="113" t="s">
        <v>24</v>
      </c>
      <c r="F352" s="114" t="s">
        <v>40</v>
      </c>
      <c r="G352" s="170">
        <v>7147.53</v>
      </c>
      <c r="H352" s="135"/>
      <c r="I352" s="125"/>
      <c r="J352" s="125"/>
      <c r="K352" s="18">
        <v>8000</v>
      </c>
      <c r="L352" s="127">
        <v>1</v>
      </c>
      <c r="M352" s="127">
        <v>176000</v>
      </c>
      <c r="N352" s="81">
        <v>22</v>
      </c>
      <c r="O352" s="126">
        <f>Feb!CW274</f>
        <v>7317</v>
      </c>
      <c r="P352" s="125">
        <f>Feb!CX274</f>
        <v>12860</v>
      </c>
      <c r="Q352" s="125">
        <f>Feb!CV274</f>
        <v>39</v>
      </c>
      <c r="R352" s="436"/>
      <c r="S352" s="436"/>
      <c r="T352" s="127"/>
      <c r="U352" s="127"/>
      <c r="V352" s="127">
        <f>O352-T352-U352+V330</f>
        <v>18608</v>
      </c>
      <c r="W352" s="46"/>
      <c r="X352" s="67"/>
    </row>
    <row r="353" spans="1:25" ht="15" customHeight="1">
      <c r="A353" s="427"/>
      <c r="B353" s="442" t="s">
        <v>45</v>
      </c>
      <c r="C353" s="448" t="s">
        <v>59</v>
      </c>
      <c r="D353" s="118" t="s">
        <v>75</v>
      </c>
      <c r="E353" s="131" t="s">
        <v>25</v>
      </c>
      <c r="F353" s="131" t="s">
        <v>57</v>
      </c>
      <c r="G353" s="87"/>
      <c r="H353" s="136"/>
      <c r="I353" s="126"/>
      <c r="J353" s="2"/>
      <c r="K353" s="127"/>
      <c r="L353" s="18"/>
      <c r="M353" s="18">
        <v>35900</v>
      </c>
      <c r="N353" s="80">
        <v>7</v>
      </c>
      <c r="O353" s="126">
        <f>Feb!CW276</f>
        <v>1954</v>
      </c>
      <c r="P353" s="126">
        <f>Feb!CX276</f>
        <v>3355</v>
      </c>
      <c r="Q353" s="2">
        <f>Feb!CV276</f>
        <v>15</v>
      </c>
      <c r="R353" s="436"/>
      <c r="S353" s="436"/>
      <c r="T353" s="18"/>
      <c r="U353" s="18"/>
      <c r="V353" s="127">
        <f>O353-T353-U353+V331</f>
        <v>86714</v>
      </c>
      <c r="W353" s="46"/>
      <c r="Y353" s="13"/>
    </row>
    <row r="354" spans="1:25">
      <c r="A354" s="427"/>
      <c r="B354" s="439"/>
      <c r="C354" s="440"/>
      <c r="D354" s="118" t="s">
        <v>72</v>
      </c>
      <c r="E354" s="424" t="s">
        <v>24</v>
      </c>
      <c r="F354" s="131" t="s">
        <v>57</v>
      </c>
      <c r="G354" s="136"/>
      <c r="H354" s="136"/>
      <c r="I354" s="126"/>
      <c r="J354" s="126"/>
      <c r="K354" s="127">
        <v>5000</v>
      </c>
      <c r="L354" s="18">
        <v>1</v>
      </c>
      <c r="M354" s="18">
        <v>30000</v>
      </c>
      <c r="N354" s="80">
        <v>6</v>
      </c>
      <c r="O354" s="126">
        <f>Feb!CW277</f>
        <v>2927</v>
      </c>
      <c r="P354" s="126">
        <f>Feb!CX277</f>
        <v>5629</v>
      </c>
      <c r="Q354" s="2">
        <f>Feb!CV277</f>
        <v>25</v>
      </c>
      <c r="R354" s="436"/>
      <c r="S354" s="436"/>
      <c r="T354" s="18"/>
      <c r="U354" s="18"/>
      <c r="V354" s="127">
        <f>O354-T354-U354+V333</f>
        <v>5278</v>
      </c>
      <c r="W354" s="46"/>
      <c r="Y354" s="13"/>
    </row>
    <row r="355" spans="1:25">
      <c r="A355" s="427"/>
      <c r="B355" s="439"/>
      <c r="C355" s="440"/>
      <c r="D355" s="115" t="s">
        <v>73</v>
      </c>
      <c r="E355" s="425"/>
      <c r="F355" s="131"/>
      <c r="G355" s="224"/>
      <c r="H355" s="239">
        <v>1386</v>
      </c>
      <c r="I355" s="126"/>
      <c r="J355" s="126"/>
      <c r="K355" s="127"/>
      <c r="L355" s="18"/>
      <c r="M355" s="18"/>
      <c r="N355" s="80"/>
      <c r="O355" s="126"/>
      <c r="P355" s="126"/>
      <c r="Q355" s="126"/>
      <c r="R355" s="436"/>
      <c r="S355" s="436"/>
      <c r="T355" s="18"/>
      <c r="U355" s="18"/>
      <c r="V355" s="127"/>
      <c r="W355" s="46"/>
      <c r="Y355" s="13"/>
    </row>
    <row r="356" spans="1:25">
      <c r="A356" s="427"/>
      <c r="B356" s="439"/>
      <c r="C356" s="440"/>
      <c r="D356" s="115" t="s">
        <v>79</v>
      </c>
      <c r="E356" s="118" t="s">
        <v>65</v>
      </c>
      <c r="F356" s="131" t="s">
        <v>57</v>
      </c>
      <c r="G356" s="224"/>
      <c r="H356" s="136"/>
      <c r="I356" s="126"/>
      <c r="J356" s="126"/>
      <c r="K356" s="127"/>
      <c r="L356" s="18"/>
      <c r="M356" s="18">
        <v>54000</v>
      </c>
      <c r="N356" s="80">
        <v>11</v>
      </c>
      <c r="O356" s="126">
        <f>Feb!CW278</f>
        <v>7500</v>
      </c>
      <c r="P356" s="126">
        <f>Feb!CX278</f>
        <v>5853</v>
      </c>
      <c r="Q356" s="126">
        <f>Feb!CV278</f>
        <v>26</v>
      </c>
      <c r="R356" s="436"/>
      <c r="S356" s="436"/>
      <c r="T356" s="18"/>
      <c r="U356" s="18"/>
      <c r="V356" s="127">
        <f t="shared" ref="V356:V363" si="12">O356-T356-U356+V334</f>
        <v>12028</v>
      </c>
      <c r="W356" s="46"/>
      <c r="Y356" s="13"/>
    </row>
    <row r="357" spans="1:25" ht="14.25" customHeight="1">
      <c r="A357" s="427"/>
      <c r="B357" s="137" t="s">
        <v>53</v>
      </c>
      <c r="C357" s="157" t="s">
        <v>60</v>
      </c>
      <c r="D357" s="43" t="s">
        <v>130</v>
      </c>
      <c r="E357" s="115" t="s">
        <v>66</v>
      </c>
      <c r="F357" s="118" t="s">
        <v>54</v>
      </c>
      <c r="G357" s="229">
        <v>3411.92</v>
      </c>
      <c r="H357" s="37"/>
      <c r="I357" s="126"/>
      <c r="J357" s="126"/>
      <c r="K357" s="18">
        <v>12000</v>
      </c>
      <c r="L357" s="18">
        <v>2</v>
      </c>
      <c r="M357" s="2">
        <v>89400</v>
      </c>
      <c r="N357" s="2">
        <v>16</v>
      </c>
      <c r="O357" s="126">
        <f>Feb!CW275</f>
        <v>4317</v>
      </c>
      <c r="P357" s="126">
        <f>Feb!CX275</f>
        <v>8422</v>
      </c>
      <c r="Q357" s="126">
        <f>Feb!CV275</f>
        <v>27</v>
      </c>
      <c r="R357" s="436"/>
      <c r="S357" s="436"/>
      <c r="T357" s="18"/>
      <c r="U357" s="18"/>
      <c r="V357" s="127">
        <f t="shared" si="12"/>
        <v>10702</v>
      </c>
      <c r="W357" s="45"/>
      <c r="X357" s="36"/>
    </row>
    <row r="358" spans="1:25" ht="14.25" customHeight="1">
      <c r="A358" s="427"/>
      <c r="B358" s="122" t="s">
        <v>55</v>
      </c>
      <c r="C358" s="180" t="s">
        <v>133</v>
      </c>
      <c r="D358" s="48" t="s">
        <v>56</v>
      </c>
      <c r="E358" s="424" t="s">
        <v>25</v>
      </c>
      <c r="F358" s="118" t="s">
        <v>67</v>
      </c>
      <c r="G358" s="224">
        <v>247.6</v>
      </c>
      <c r="H358" s="37"/>
      <c r="I358" s="126"/>
      <c r="J358" s="126"/>
      <c r="K358" s="18"/>
      <c r="L358" s="18"/>
      <c r="M358" s="18">
        <v>2000</v>
      </c>
      <c r="N358" s="80">
        <v>2</v>
      </c>
      <c r="O358" s="126"/>
      <c r="P358" s="126"/>
      <c r="Q358" s="126"/>
      <c r="R358" s="436"/>
      <c r="S358" s="436"/>
      <c r="T358" s="18"/>
      <c r="U358" s="18"/>
      <c r="V358" s="127">
        <f t="shared" si="12"/>
        <v>500</v>
      </c>
      <c r="W358" s="45"/>
      <c r="X358" s="67"/>
    </row>
    <row r="359" spans="1:25" ht="14.25" customHeight="1">
      <c r="A359" s="427"/>
      <c r="B359" s="122" t="s">
        <v>122</v>
      </c>
      <c r="C359" s="180" t="s">
        <v>123</v>
      </c>
      <c r="D359" s="48" t="s">
        <v>56</v>
      </c>
      <c r="E359" s="441"/>
      <c r="F359" s="155" t="s">
        <v>64</v>
      </c>
      <c r="G359" s="224"/>
      <c r="H359" s="135"/>
      <c r="I359" s="158"/>
      <c r="J359" s="158"/>
      <c r="K359" s="128"/>
      <c r="L359" s="128"/>
      <c r="M359" s="128">
        <v>6400</v>
      </c>
      <c r="N359" s="164">
        <v>2</v>
      </c>
      <c r="O359" s="158"/>
      <c r="P359" s="158"/>
      <c r="Q359" s="158">
        <f>Feb!CV282</f>
        <v>3</v>
      </c>
      <c r="R359" s="436"/>
      <c r="S359" s="436"/>
      <c r="T359" s="18"/>
      <c r="U359" s="18"/>
      <c r="V359" s="127">
        <f t="shared" si="12"/>
        <v>31304</v>
      </c>
      <c r="W359" s="45"/>
      <c r="X359" s="67"/>
    </row>
    <row r="360" spans="1:25" ht="14.25" customHeight="1">
      <c r="A360" s="427"/>
      <c r="B360" s="122" t="s">
        <v>125</v>
      </c>
      <c r="C360" s="180" t="s">
        <v>88</v>
      </c>
      <c r="D360" s="48" t="s">
        <v>124</v>
      </c>
      <c r="E360" s="441"/>
      <c r="F360" s="118" t="s">
        <v>64</v>
      </c>
      <c r="G360" s="225"/>
      <c r="H360" s="126"/>
      <c r="I360" s="126"/>
      <c r="J360" s="126"/>
      <c r="K360" s="18"/>
      <c r="L360" s="18"/>
      <c r="M360" s="18">
        <v>58600</v>
      </c>
      <c r="N360" s="80">
        <v>8</v>
      </c>
      <c r="O360" s="126">
        <f>Feb!CW280</f>
        <v>3328</v>
      </c>
      <c r="P360" s="126">
        <f>Feb!CX280</f>
        <v>2104</v>
      </c>
      <c r="Q360" s="126">
        <f>Feb!CV280</f>
        <v>10</v>
      </c>
      <c r="R360" s="436"/>
      <c r="S360" s="436"/>
      <c r="T360" s="18"/>
      <c r="U360" s="18"/>
      <c r="V360" s="127">
        <f t="shared" si="12"/>
        <v>22448</v>
      </c>
      <c r="W360" s="45"/>
      <c r="X360" s="67"/>
    </row>
    <row r="361" spans="1:25" ht="13.5" customHeight="1">
      <c r="A361" s="427"/>
      <c r="B361" s="442" t="s">
        <v>58</v>
      </c>
      <c r="C361" s="444" t="s">
        <v>136</v>
      </c>
      <c r="D361" s="48" t="s">
        <v>56</v>
      </c>
      <c r="E361" s="441"/>
      <c r="F361" s="118" t="s">
        <v>67</v>
      </c>
      <c r="G361" s="226"/>
      <c r="H361" s="126"/>
      <c r="I361" s="126"/>
      <c r="J361" s="2"/>
      <c r="K361" s="18"/>
      <c r="L361" s="18"/>
      <c r="M361" s="18"/>
      <c r="N361" s="18"/>
      <c r="O361" s="126"/>
      <c r="P361" s="126"/>
      <c r="Q361" s="126"/>
      <c r="R361" s="436"/>
      <c r="S361" s="436"/>
      <c r="T361" s="18"/>
      <c r="U361" s="18">
        <v>43</v>
      </c>
      <c r="V361" s="127">
        <f t="shared" si="12"/>
        <v>0</v>
      </c>
      <c r="W361" s="45"/>
      <c r="X361" s="67"/>
    </row>
    <row r="362" spans="1:25" ht="15.75" customHeight="1">
      <c r="A362" s="427"/>
      <c r="B362" s="439"/>
      <c r="C362" s="445"/>
      <c r="D362" s="48" t="s">
        <v>56</v>
      </c>
      <c r="E362" s="441"/>
      <c r="F362" s="118" t="s">
        <v>140</v>
      </c>
      <c r="G362" s="226"/>
      <c r="H362" s="126"/>
      <c r="I362" s="126"/>
      <c r="J362" s="2"/>
      <c r="K362" s="18"/>
      <c r="L362" s="18"/>
      <c r="M362" s="18"/>
      <c r="N362" s="18"/>
      <c r="O362" s="126"/>
      <c r="P362" s="126"/>
      <c r="Q362" s="126"/>
      <c r="R362" s="436"/>
      <c r="S362" s="436"/>
      <c r="T362" s="18"/>
      <c r="U362" s="18"/>
      <c r="V362" s="127">
        <f t="shared" si="12"/>
        <v>8562</v>
      </c>
      <c r="W362" s="45"/>
      <c r="X362" s="67"/>
    </row>
    <row r="363" spans="1:25" ht="15" customHeight="1">
      <c r="A363" s="427"/>
      <c r="B363" s="137" t="s">
        <v>47</v>
      </c>
      <c r="C363" s="157" t="s">
        <v>100</v>
      </c>
      <c r="D363" s="48" t="s">
        <v>99</v>
      </c>
      <c r="E363" s="441"/>
      <c r="F363" s="118" t="s">
        <v>71</v>
      </c>
      <c r="G363" s="226"/>
      <c r="H363" s="126"/>
      <c r="I363" s="126"/>
      <c r="J363" s="2"/>
      <c r="K363" s="18"/>
      <c r="L363" s="18"/>
      <c r="M363" s="18">
        <v>30000</v>
      </c>
      <c r="N363" s="18">
        <v>5</v>
      </c>
      <c r="O363" s="126">
        <f>Feb!CW281</f>
        <v>1500</v>
      </c>
      <c r="P363" s="126">
        <f>Feb!CX281</f>
        <v>1892</v>
      </c>
      <c r="Q363" s="126">
        <f>Feb!CV281</f>
        <v>8</v>
      </c>
      <c r="R363" s="436"/>
      <c r="S363" s="436"/>
      <c r="T363" s="18"/>
      <c r="U363" s="18"/>
      <c r="V363" s="127">
        <f t="shared" si="12"/>
        <v>56927</v>
      </c>
      <c r="W363" s="45"/>
      <c r="X363" s="67"/>
    </row>
    <row r="364" spans="1:25" ht="15" customHeight="1">
      <c r="A364" s="427"/>
      <c r="B364" s="122" t="s">
        <v>196</v>
      </c>
      <c r="C364" s="180" t="s">
        <v>63</v>
      </c>
      <c r="D364" s="48" t="s">
        <v>135</v>
      </c>
      <c r="E364" s="441"/>
      <c r="F364" s="118" t="s">
        <v>64</v>
      </c>
      <c r="G364" s="226"/>
      <c r="H364" s="126"/>
      <c r="I364" s="126"/>
      <c r="J364" s="2"/>
      <c r="K364" s="18"/>
      <c r="L364" s="18"/>
      <c r="M364" s="18"/>
      <c r="N364" s="18"/>
      <c r="O364" s="126">
        <f>Feb!CW285</f>
        <v>2000</v>
      </c>
      <c r="P364" s="126">
        <f>Feb!CX285</f>
        <v>1258</v>
      </c>
      <c r="Q364" s="126">
        <f>Feb!CV285</f>
        <v>5</v>
      </c>
      <c r="R364" s="436"/>
      <c r="S364" s="436"/>
      <c r="T364" s="18"/>
      <c r="U364" s="18"/>
      <c r="V364" s="127">
        <f>O364-T364-U364+V343</f>
        <v>15845</v>
      </c>
      <c r="W364" s="45"/>
      <c r="X364" s="67"/>
    </row>
    <row r="365" spans="1:25" ht="15" customHeight="1">
      <c r="A365" s="427"/>
      <c r="B365" s="122" t="s">
        <v>61</v>
      </c>
      <c r="C365" s="180" t="s">
        <v>137</v>
      </c>
      <c r="D365" s="48" t="s">
        <v>56</v>
      </c>
      <c r="E365" s="441"/>
      <c r="F365" s="118" t="s">
        <v>67</v>
      </c>
      <c r="G365" s="119"/>
      <c r="H365" s="126"/>
      <c r="I365" s="126"/>
      <c r="J365" s="2"/>
      <c r="K365" s="18"/>
      <c r="L365" s="18"/>
      <c r="M365" s="18"/>
      <c r="N365" s="18"/>
      <c r="O365" s="126"/>
      <c r="P365" s="126"/>
      <c r="Q365" s="126">
        <f>Feb!CV284</f>
        <v>2</v>
      </c>
      <c r="R365" s="436"/>
      <c r="S365" s="436"/>
      <c r="T365" s="18"/>
      <c r="U365" s="18"/>
      <c r="V365" s="127">
        <f>O365-T365-U365+V344</f>
        <v>5819</v>
      </c>
      <c r="W365" s="45"/>
      <c r="X365" s="67"/>
    </row>
    <row r="366" spans="1:25" ht="15" customHeight="1">
      <c r="A366" s="427"/>
      <c r="B366" s="122" t="s">
        <v>131</v>
      </c>
      <c r="C366" s="180" t="s">
        <v>194</v>
      </c>
      <c r="D366" s="48" t="s">
        <v>132</v>
      </c>
      <c r="E366" s="441"/>
      <c r="F366" s="118" t="s">
        <v>64</v>
      </c>
      <c r="G366" s="119"/>
      <c r="H366" s="126"/>
      <c r="I366" s="126"/>
      <c r="J366" s="2"/>
      <c r="K366" s="18"/>
      <c r="L366" s="18"/>
      <c r="M366" s="18"/>
      <c r="N366" s="18"/>
      <c r="O366" s="126"/>
      <c r="P366" s="126"/>
      <c r="Q366" s="126">
        <f>Feb!CV286</f>
        <v>1</v>
      </c>
      <c r="R366" s="436"/>
      <c r="S366" s="436"/>
      <c r="T366" s="18"/>
      <c r="U366" s="18"/>
      <c r="V366" s="18"/>
      <c r="W366" s="45"/>
      <c r="X366" s="67"/>
    </row>
    <row r="367" spans="1:25" ht="15" customHeight="1">
      <c r="A367" s="427"/>
      <c r="B367" s="122" t="s">
        <v>101</v>
      </c>
      <c r="C367" s="180" t="s">
        <v>193</v>
      </c>
      <c r="D367" s="48" t="s">
        <v>102</v>
      </c>
      <c r="E367" s="441"/>
      <c r="F367" s="118" t="s">
        <v>64</v>
      </c>
      <c r="G367" s="119"/>
      <c r="H367" s="126"/>
      <c r="I367" s="126"/>
      <c r="J367" s="2"/>
      <c r="K367" s="18"/>
      <c r="L367" s="18"/>
      <c r="M367" s="18"/>
      <c r="N367" s="18"/>
      <c r="O367" s="126"/>
      <c r="P367" s="126"/>
      <c r="Q367" s="126">
        <f>Feb!CV287</f>
        <v>1</v>
      </c>
      <c r="R367" s="436"/>
      <c r="S367" s="436"/>
      <c r="T367" s="18"/>
      <c r="U367" s="18"/>
      <c r="V367" s="18"/>
      <c r="W367" s="45"/>
      <c r="X367" s="67"/>
    </row>
    <row r="368" spans="1:25" ht="15" customHeight="1">
      <c r="A368" s="427"/>
      <c r="B368" s="122" t="s">
        <v>103</v>
      </c>
      <c r="C368" s="157" t="s">
        <v>197</v>
      </c>
      <c r="D368" s="48" t="s">
        <v>104</v>
      </c>
      <c r="E368" s="441"/>
      <c r="F368" s="118" t="s">
        <v>105</v>
      </c>
      <c r="G368" s="119"/>
      <c r="H368" s="126"/>
      <c r="I368" s="126"/>
      <c r="J368" s="2"/>
      <c r="K368" s="18"/>
      <c r="L368" s="18"/>
      <c r="M368" s="18"/>
      <c r="N368" s="18"/>
      <c r="O368" s="126"/>
      <c r="P368" s="126"/>
      <c r="Q368" s="126">
        <f>Feb!CV288</f>
        <v>1</v>
      </c>
      <c r="R368" s="436"/>
      <c r="S368" s="436"/>
      <c r="T368" s="18"/>
      <c r="U368" s="18"/>
      <c r="V368" s="18"/>
      <c r="W368" s="45"/>
      <c r="X368" s="67"/>
    </row>
    <row r="369" spans="1:24" ht="15" customHeight="1">
      <c r="A369" s="427"/>
      <c r="B369" s="137" t="s">
        <v>112</v>
      </c>
      <c r="C369" s="157" t="s">
        <v>197</v>
      </c>
      <c r="D369" s="48" t="s">
        <v>104</v>
      </c>
      <c r="E369" s="441"/>
      <c r="F369" s="118" t="s">
        <v>113</v>
      </c>
      <c r="G369" s="119"/>
      <c r="H369" s="126"/>
      <c r="I369" s="126"/>
      <c r="J369" s="2"/>
      <c r="K369" s="18"/>
      <c r="L369" s="18"/>
      <c r="M369" s="18"/>
      <c r="N369" s="18"/>
      <c r="O369" s="126"/>
      <c r="P369" s="126"/>
      <c r="Q369" s="126">
        <f>Feb!CV291</f>
        <v>1</v>
      </c>
      <c r="R369" s="436"/>
      <c r="S369" s="436"/>
      <c r="T369" s="18"/>
      <c r="U369" s="18"/>
      <c r="V369" s="18"/>
      <c r="W369" s="45"/>
      <c r="X369" s="67"/>
    </row>
    <row r="370" spans="1:24" ht="15" customHeight="1">
      <c r="A370" s="427"/>
      <c r="B370" s="137" t="s">
        <v>106</v>
      </c>
      <c r="C370" s="157" t="s">
        <v>141</v>
      </c>
      <c r="D370" s="48" t="s">
        <v>68</v>
      </c>
      <c r="E370" s="441"/>
      <c r="F370" s="118" t="s">
        <v>67</v>
      </c>
      <c r="G370" s="119"/>
      <c r="H370" s="126"/>
      <c r="I370" s="126"/>
      <c r="J370" s="2"/>
      <c r="K370" s="18"/>
      <c r="L370" s="18"/>
      <c r="M370" s="18"/>
      <c r="N370" s="18"/>
      <c r="O370" s="126"/>
      <c r="P370" s="126"/>
      <c r="Q370" s="126">
        <f>Feb!CV289</f>
        <v>1</v>
      </c>
      <c r="R370" s="436"/>
      <c r="S370" s="436"/>
      <c r="T370" s="18"/>
      <c r="U370" s="18"/>
      <c r="V370" s="18"/>
      <c r="W370" s="45"/>
      <c r="X370" s="67"/>
    </row>
    <row r="371" spans="1:24" ht="15" customHeight="1" thickBot="1">
      <c r="A371" s="428"/>
      <c r="B371" s="44" t="s">
        <v>107</v>
      </c>
      <c r="C371" s="181" t="s">
        <v>195</v>
      </c>
      <c r="D371" s="61" t="s">
        <v>108</v>
      </c>
      <c r="E371" s="447"/>
      <c r="F371" s="133" t="s">
        <v>48</v>
      </c>
      <c r="G371" s="132"/>
      <c r="H371" s="109"/>
      <c r="I371" s="134"/>
      <c r="J371" s="129"/>
      <c r="K371" s="130"/>
      <c r="L371" s="130"/>
      <c r="M371" s="130"/>
      <c r="N371" s="130"/>
      <c r="O371" s="134"/>
      <c r="P371" s="134"/>
      <c r="Q371" s="134">
        <f>Feb!CV290</f>
        <v>1</v>
      </c>
      <c r="R371" s="437"/>
      <c r="S371" s="437"/>
      <c r="T371" s="130"/>
      <c r="U371" s="130"/>
      <c r="V371" s="128"/>
      <c r="W371" s="85"/>
      <c r="X371" s="67"/>
    </row>
    <row r="372" spans="1:24" ht="15" customHeight="1">
      <c r="A372" s="450" t="s">
        <v>198</v>
      </c>
      <c r="B372" s="429" t="s">
        <v>44</v>
      </c>
      <c r="C372" s="432" t="s">
        <v>241</v>
      </c>
      <c r="D372" s="19" t="s">
        <v>37</v>
      </c>
      <c r="E372" s="19" t="s">
        <v>25</v>
      </c>
      <c r="F372" s="39" t="s">
        <v>40</v>
      </c>
      <c r="G372" s="47">
        <f>SUMIF($D$4:$D$371,"SC-1020",$G$4:$G$371)</f>
        <v>25291.260000000002</v>
      </c>
      <c r="H372" s="183">
        <f>SUMIF($D$4:$D$371,"SC-1020",$H$4:$H$371)</f>
        <v>25872</v>
      </c>
      <c r="I372" s="481"/>
      <c r="J372" s="478">
        <f>SUM(J4:J143)</f>
        <v>21.4</v>
      </c>
      <c r="K372" s="30">
        <f>SUMIFS($K$4:$K$371,$D$4:$D$371,"SC-1020",$F$4:$F$371,"65""")</f>
        <v>400000</v>
      </c>
      <c r="L372" s="30">
        <f>SUMIFS($L$4:$L$371,$D$4:$D$371,"SC-1020",$F$4:$F$371,"65""")</f>
        <v>50</v>
      </c>
      <c r="M372" s="30">
        <f>M351</f>
        <v>24000</v>
      </c>
      <c r="N372" s="30">
        <f>N351</f>
        <v>3</v>
      </c>
      <c r="O372" s="30">
        <f>SUMIFS($O$4:$O$371,$D$4:$D$371,"SC-1020",$F$4:$F$371,"65""")</f>
        <v>361085</v>
      </c>
      <c r="P372" s="30">
        <f>SUMIFS($P$4:$P$371,$D$4:$D$371,"SC-1020",$F$4:$F$371,"65""")</f>
        <v>364625</v>
      </c>
      <c r="Q372" s="30"/>
      <c r="R372" s="453">
        <f>SUM(R4:R371)</f>
        <v>1075027</v>
      </c>
      <c r="S372" s="453">
        <f>SUM(S4:S371)</f>
        <v>1077104</v>
      </c>
      <c r="T372" s="208">
        <f>SUMIFS($T$4:$T$371,$D$4:$D$371,"SC-1020",$F$4:$F$371,"65""")</f>
        <v>341609</v>
      </c>
      <c r="U372" s="194">
        <f>SUMIFS($U$4:$U$371,$D$4:$D$371,"SC-1020",$F$4:$F$371,"65""")</f>
        <v>567</v>
      </c>
      <c r="V372" s="208">
        <f>V351</f>
        <v>32801</v>
      </c>
      <c r="W372" s="19"/>
    </row>
    <row r="373" spans="1:24" ht="16.5" customHeight="1">
      <c r="A373" s="451"/>
      <c r="B373" s="430"/>
      <c r="C373" s="433"/>
      <c r="D373" s="119" t="s">
        <v>69</v>
      </c>
      <c r="E373" s="441" t="s">
        <v>24</v>
      </c>
      <c r="F373" s="118" t="s">
        <v>40</v>
      </c>
      <c r="G373" s="47"/>
      <c r="H373" s="12"/>
      <c r="I373" s="482"/>
      <c r="J373" s="479"/>
      <c r="K373" s="116"/>
      <c r="L373" s="116"/>
      <c r="M373" s="12"/>
      <c r="N373" s="12"/>
      <c r="O373" s="12">
        <f>SUMIFS($O$4:$O$371,$D$4:$D$371,"011-3",$F$4:$F$371,"65""")</f>
        <v>33535</v>
      </c>
      <c r="P373" s="12">
        <f>SUMIFS($P$4:$P$371,$D$4:$D$371,"011-3",$F$4:$F$371,"65""")</f>
        <v>24214</v>
      </c>
      <c r="Q373" s="117"/>
      <c r="R373" s="454"/>
      <c r="S373" s="454"/>
      <c r="T373" s="194">
        <f>SUMIFS($T$4:$T$371,$D$4:$D$371,"011-3",$F$4:$F$371,"65""")</f>
        <v>33525</v>
      </c>
      <c r="U373" s="194">
        <f>SUMIFS($U$4:$U$371,$D$4:$D$371,"011-3",$F$4:$F$371,"65""")</f>
        <v>10</v>
      </c>
      <c r="V373" s="194"/>
      <c r="W373" s="113"/>
    </row>
    <row r="374" spans="1:24" ht="16.5" customHeight="1">
      <c r="A374" s="451"/>
      <c r="B374" s="431"/>
      <c r="C374" s="434"/>
      <c r="D374" s="119" t="s">
        <v>128</v>
      </c>
      <c r="E374" s="425"/>
      <c r="F374" s="118" t="s">
        <v>40</v>
      </c>
      <c r="G374" s="47">
        <f>SUMIF($D$4:$D$371,"011-4",$G$4:$G$371)</f>
        <v>20301.73</v>
      </c>
      <c r="H374" s="218">
        <f>SUMIF($D$4:$D$371,"011-4",$H$4:$H$371)</f>
        <v>13880.3</v>
      </c>
      <c r="I374" s="482"/>
      <c r="J374" s="479"/>
      <c r="K374" s="12">
        <f>SUMIFS($K$4:$K$371,$D$4:$D$371,"011-4",$F$4:$F$371,"65""")</f>
        <v>246800</v>
      </c>
      <c r="L374" s="12">
        <f>SUMIFS($L$4:$L$371,$D$4:$D$371,"011-4",$F$4:$F$371,"65""")</f>
        <v>31</v>
      </c>
      <c r="M374" s="12">
        <f>M352</f>
        <v>176000</v>
      </c>
      <c r="N374" s="12">
        <f>N352</f>
        <v>22</v>
      </c>
      <c r="O374" s="12">
        <f>SUMIFS($O$4:$O$371,$D$4:$D$371,"011-4",$F$4:$F$371,"65""")</f>
        <v>190638</v>
      </c>
      <c r="P374" s="12">
        <f>SUMIFS($P$4:$P$371,$D$4:$D$371,"011-4",$F$4:$F$371,"65""")</f>
        <v>198197</v>
      </c>
      <c r="Q374" s="117"/>
      <c r="R374" s="454"/>
      <c r="S374" s="454"/>
      <c r="T374" s="194">
        <f>SUMIFS($T$4:$T$371,$D$4:$D$371,"011-4",$F$4:$F$371,"65""")</f>
        <v>183330</v>
      </c>
      <c r="U374" s="194">
        <f>SUMIFS($U$4:$U$371,$D$4:$D$371,"011-4",$F$4:$F$371,"65""")</f>
        <v>322</v>
      </c>
      <c r="V374" s="194">
        <f>V352</f>
        <v>18608</v>
      </c>
      <c r="W374" s="113"/>
    </row>
    <row r="375" spans="1:24">
      <c r="A375" s="451"/>
      <c r="B375" s="452" t="s">
        <v>45</v>
      </c>
      <c r="C375" s="471" t="s">
        <v>59</v>
      </c>
      <c r="D375" s="118" t="s">
        <v>75</v>
      </c>
      <c r="E375" s="441" t="s">
        <v>25</v>
      </c>
      <c r="F375" s="119" t="s">
        <v>57</v>
      </c>
      <c r="G375" s="47">
        <f>SUMIF($D$4:$D$371,"AAZ43",$G$4:$G$371)</f>
        <v>2011.12</v>
      </c>
      <c r="H375" s="12"/>
      <c r="I375" s="482"/>
      <c r="J375" s="479"/>
      <c r="K375" s="12">
        <f>SUMIFS($K$4:$K$371,$D$4:$D$371,"AAZ43",$F$4:$F$371,"66.5""")</f>
        <v>40300</v>
      </c>
      <c r="L375" s="12">
        <f>SUMIFS($L$4:$L$371,$D$4:$D$371,"AAZ43",$F$4:$F$371,"66.5""")</f>
        <v>8</v>
      </c>
      <c r="M375" s="12">
        <f>M353</f>
        <v>35900</v>
      </c>
      <c r="N375" s="12">
        <f>N353</f>
        <v>7</v>
      </c>
      <c r="O375" s="12">
        <f>SUMIFS($O$4:$O$371,$D$4:$D$371,"AAZ43",$F$4:$F$371,"66.5""")</f>
        <v>55699</v>
      </c>
      <c r="P375" s="12">
        <f>SUMIFS($P$4:$P$371,$D$4:$D$371,"AAZ43",$F$4:$F$371,"66.5""")</f>
        <v>53474</v>
      </c>
      <c r="Q375" s="12"/>
      <c r="R375" s="454"/>
      <c r="S375" s="454"/>
      <c r="T375" s="194"/>
      <c r="U375" s="194"/>
      <c r="V375" s="183">
        <f>V353</f>
        <v>86714</v>
      </c>
      <c r="W375" s="119"/>
    </row>
    <row r="376" spans="1:24">
      <c r="A376" s="451"/>
      <c r="B376" s="452"/>
      <c r="C376" s="471"/>
      <c r="D376" s="48" t="s">
        <v>94</v>
      </c>
      <c r="E376" s="425"/>
      <c r="F376" s="119"/>
      <c r="G376" s="47"/>
      <c r="H376" s="183">
        <f>SUMIF($D$4:$D$371,"AAZ86",$H$4:$H$371)</f>
        <v>6156</v>
      </c>
      <c r="I376" s="482"/>
      <c r="J376" s="479"/>
      <c r="K376" s="12"/>
      <c r="L376" s="12"/>
      <c r="M376" s="12"/>
      <c r="N376" s="12"/>
      <c r="O376" s="12"/>
      <c r="P376" s="12"/>
      <c r="Q376" s="12"/>
      <c r="R376" s="454"/>
      <c r="S376" s="454"/>
      <c r="T376" s="117"/>
      <c r="U376" s="117"/>
      <c r="V376" s="183"/>
      <c r="W376" s="119"/>
    </row>
    <row r="377" spans="1:24" ht="15.75" customHeight="1">
      <c r="A377" s="451"/>
      <c r="B377" s="452"/>
      <c r="C377" s="471"/>
      <c r="D377" s="118" t="s">
        <v>72</v>
      </c>
      <c r="E377" s="424" t="s">
        <v>24</v>
      </c>
      <c r="F377" s="119" t="s">
        <v>57</v>
      </c>
      <c r="G377" s="47">
        <f>SUMIF($D$4:$D$371,"1800A",$G$4:$G$371)</f>
        <v>7765</v>
      </c>
      <c r="H377" s="119"/>
      <c r="I377" s="482"/>
      <c r="J377" s="479"/>
      <c r="K377" s="12">
        <f>SUMIFS($K$4:$K$371,$D$4:$D$371,"1800A",$F$4:$F$371,"66.5""")</f>
        <v>110000</v>
      </c>
      <c r="L377" s="12">
        <f>SUMIFS($L$4:$L$371,$D$4:$D$371,"1800A",$F$4:$F$371,"66.5""")</f>
        <v>22</v>
      </c>
      <c r="M377" s="12">
        <f>M354</f>
        <v>30000</v>
      </c>
      <c r="N377" s="12">
        <f>N354</f>
        <v>6</v>
      </c>
      <c r="O377" s="12">
        <f>SUMIFS($O$4:$O$371,$D$4:$D$371,"1800A",$F$4:$F$371,"66.5""")</f>
        <v>78026</v>
      </c>
      <c r="P377" s="12">
        <f>SUMIFS($P$4:$P$371,$D$4:$D$371,"1800A",$F$4:$F$371,"66.5""")</f>
        <v>85998</v>
      </c>
      <c r="Q377" s="12"/>
      <c r="R377" s="454"/>
      <c r="S377" s="454"/>
      <c r="T377" s="117">
        <f>SUMIFS($T$4:$T$371,$D$4:$D$371,"1800A",$F$4:$F$371,"66.5""")</f>
        <v>106858</v>
      </c>
      <c r="U377" s="194">
        <f>SUMIFS($U$4:$U$371,$D$4:$D$371,"1800A",$F$4:$F$371,"66.5""")</f>
        <v>126</v>
      </c>
      <c r="V377" s="183">
        <f>V354</f>
        <v>5278</v>
      </c>
      <c r="W377" s="119"/>
    </row>
    <row r="378" spans="1:24" ht="15.75" customHeight="1">
      <c r="A378" s="451"/>
      <c r="B378" s="452"/>
      <c r="C378" s="471"/>
      <c r="D378" s="115" t="s">
        <v>73</v>
      </c>
      <c r="E378" s="425"/>
      <c r="F378" s="119"/>
      <c r="G378" s="12"/>
      <c r="H378" s="183">
        <f>SUMIF($D$4:$D$371,"1801D",$H$4:$H$371)</f>
        <v>11616</v>
      </c>
      <c r="I378" s="482"/>
      <c r="J378" s="479"/>
      <c r="K378" s="12"/>
      <c r="L378" s="12"/>
      <c r="M378" s="12"/>
      <c r="N378" s="12"/>
      <c r="O378" s="12"/>
      <c r="P378" s="12"/>
      <c r="Q378" s="12"/>
      <c r="R378" s="454"/>
      <c r="S378" s="454"/>
      <c r="T378" s="194"/>
      <c r="U378" s="194"/>
      <c r="V378" s="183"/>
      <c r="W378" s="119"/>
    </row>
    <row r="379" spans="1:24" ht="15" customHeight="1">
      <c r="A379" s="451"/>
      <c r="B379" s="452"/>
      <c r="C379" s="471"/>
      <c r="D379" s="115" t="s">
        <v>79</v>
      </c>
      <c r="E379" s="424" t="s">
        <v>65</v>
      </c>
      <c r="F379" s="119" t="s">
        <v>57</v>
      </c>
      <c r="G379" s="47">
        <f>SUMIF($D$4:$D$371,"DJ-234",$G$4:$G$371)</f>
        <v>1863.59</v>
      </c>
      <c r="H379" s="119"/>
      <c r="I379" s="482"/>
      <c r="J379" s="479"/>
      <c r="K379" s="12">
        <f>SUMIFS($K$4:$K$371,$D$4:$D$371,"DJ-234",$F$4:$F$371,"66.5""")</f>
        <v>30000</v>
      </c>
      <c r="L379" s="12">
        <f>SUMIFS($L$4:$L$371,$D$4:$D$371,"DJ-234",$F$4:$F$371,"66.5""")</f>
        <v>6</v>
      </c>
      <c r="M379" s="12">
        <f>M356</f>
        <v>54000</v>
      </c>
      <c r="N379" s="12">
        <f>N356</f>
        <v>11</v>
      </c>
      <c r="O379" s="12">
        <f>SUMIFS($O$4:$O$371,$D$4:$D$371,"DJ-234",$F$4:$F$371,"66.5""")</f>
        <v>99956</v>
      </c>
      <c r="P379" s="12">
        <f>SUMIFS($P$4:$P$371,$D$4:$D$371,"DJ-234",$F$4:$F$371,"66.5""")</f>
        <v>98955</v>
      </c>
      <c r="Q379" s="12"/>
      <c r="R379" s="454"/>
      <c r="S379" s="454"/>
      <c r="T379" s="117">
        <f>SUMIFS($T$4:$T$371,$D$4:$D$371,"DJ-234",$F$4:$F$371,"66.5""")</f>
        <v>90508</v>
      </c>
      <c r="U379" s="194">
        <f>SUMIFS($U$4:$U$371,$D$4:$D$371,"DJ-234",$F$4:$F$371,"66.5""")</f>
        <v>25</v>
      </c>
      <c r="V379" s="183">
        <f>V356</f>
        <v>12028</v>
      </c>
      <c r="W379" s="119"/>
    </row>
    <row r="380" spans="1:24" ht="15" customHeight="1">
      <c r="A380" s="451"/>
      <c r="B380" s="452"/>
      <c r="C380" s="471"/>
      <c r="D380" s="115" t="s">
        <v>80</v>
      </c>
      <c r="E380" s="441"/>
      <c r="F380" s="119"/>
      <c r="G380" s="119"/>
      <c r="H380" s="12">
        <f>SUMIF($D$4:$D$371,"DJ-232A",$H$4:$H$371)</f>
        <v>10032</v>
      </c>
      <c r="I380" s="482"/>
      <c r="J380" s="479"/>
      <c r="K380" s="12"/>
      <c r="L380" s="12"/>
      <c r="M380" s="12"/>
      <c r="N380" s="12"/>
      <c r="O380" s="12"/>
      <c r="P380" s="12"/>
      <c r="Q380" s="119"/>
      <c r="R380" s="454"/>
      <c r="S380" s="454"/>
      <c r="T380" s="117"/>
      <c r="U380" s="117"/>
      <c r="V380" s="183"/>
      <c r="W380" s="119"/>
    </row>
    <row r="381" spans="1:24" ht="15" customHeight="1">
      <c r="A381" s="451"/>
      <c r="B381" s="452"/>
      <c r="C381" s="471"/>
      <c r="D381" s="115" t="s">
        <v>202</v>
      </c>
      <c r="E381" s="441"/>
      <c r="F381" s="119"/>
      <c r="G381" s="119"/>
      <c r="H381" s="31">
        <f>SUMIF($D$4:$D$371,"RD56DJ04Z1Z",$H$4:$H$371)</f>
        <v>56.1</v>
      </c>
      <c r="I381" s="482"/>
      <c r="J381" s="479"/>
      <c r="K381" s="12"/>
      <c r="L381" s="12"/>
      <c r="M381" s="12"/>
      <c r="N381" s="12"/>
      <c r="O381" s="12"/>
      <c r="P381" s="12"/>
      <c r="Q381" s="119"/>
      <c r="R381" s="454"/>
      <c r="S381" s="454"/>
      <c r="T381" s="117"/>
      <c r="U381" s="117"/>
      <c r="V381" s="183"/>
      <c r="W381" s="119"/>
    </row>
    <row r="382" spans="1:24" ht="15" customHeight="1">
      <c r="A382" s="451"/>
      <c r="B382" s="452"/>
      <c r="C382" s="471"/>
      <c r="D382" s="115" t="s">
        <v>200</v>
      </c>
      <c r="E382" s="425"/>
      <c r="F382" s="119" t="s">
        <v>57</v>
      </c>
      <c r="G382" s="47">
        <f>SUMIF($D$4:$D$371,"RD191S",$G$4:$G$371)</f>
        <v>38.82</v>
      </c>
      <c r="H382" s="12"/>
      <c r="I382" s="482"/>
      <c r="J382" s="479"/>
      <c r="K382" s="12">
        <f>SUMIFS($K$4:$K$371,$D$4:$D$371,"RD191S",$F$4:$F$371,"66.5""")</f>
        <v>500</v>
      </c>
      <c r="L382" s="12">
        <f>SUMIFS($L$4:$L$371,$D$4:$D$371,"RD191S",$F$4:$F$371,"66.5""")</f>
        <v>1</v>
      </c>
      <c r="M382" s="12"/>
      <c r="N382" s="12"/>
      <c r="O382" s="12">
        <f>SUMIFS($O$4:$O$371,$D$4:$D$371,"RD191S",$F$4:$F$371,"66.5""")</f>
        <v>478</v>
      </c>
      <c r="P382" s="12">
        <f>SUMIFS($P$4:$P$371,$D$4:$D$371,"RD191S",$F$4:$F$371,"66.5""")</f>
        <v>478</v>
      </c>
      <c r="Q382" s="119"/>
      <c r="R382" s="454"/>
      <c r="S382" s="454"/>
      <c r="T382" s="12">
        <f>SUMIFS($T$4:$T$371,$D$4:$D$371,"RD191S",$F$4:$F$371,"66.5""")</f>
        <v>478</v>
      </c>
      <c r="U382" s="117"/>
      <c r="V382" s="183"/>
      <c r="W382" s="119"/>
    </row>
    <row r="383" spans="1:24" ht="15" customHeight="1">
      <c r="A383" s="451"/>
      <c r="B383" s="452"/>
      <c r="C383" s="471"/>
      <c r="D383" s="115" t="s">
        <v>42</v>
      </c>
      <c r="E383" s="118" t="s">
        <v>25</v>
      </c>
      <c r="F383" s="119"/>
      <c r="G383" s="119"/>
      <c r="H383" s="12"/>
      <c r="I383" s="482"/>
      <c r="J383" s="479"/>
      <c r="K383" s="12"/>
      <c r="L383" s="12"/>
      <c r="M383" s="12">
        <v>2743</v>
      </c>
      <c r="N383" s="12">
        <v>1</v>
      </c>
      <c r="O383" s="12"/>
      <c r="P383" s="12"/>
      <c r="Q383" s="119"/>
      <c r="R383" s="454"/>
      <c r="S383" s="454"/>
      <c r="T383" s="117"/>
      <c r="U383" s="117"/>
      <c r="V383" s="183"/>
      <c r="W383" s="119"/>
    </row>
    <row r="384" spans="1:24" ht="20.25" customHeight="1">
      <c r="A384" s="451"/>
      <c r="B384" s="442" t="s">
        <v>53</v>
      </c>
      <c r="C384" s="444" t="s">
        <v>60</v>
      </c>
      <c r="D384" s="43" t="s">
        <v>130</v>
      </c>
      <c r="E384" s="210" t="s">
        <v>66</v>
      </c>
      <c r="F384" s="118" t="s">
        <v>54</v>
      </c>
      <c r="G384" s="47">
        <f>SUMIF($D$4:$D$371,"RD225Z,DR1074Z",$G$4:$G$371)</f>
        <v>13491.460000000001</v>
      </c>
      <c r="H384" s="113"/>
      <c r="I384" s="482"/>
      <c r="J384" s="479"/>
      <c r="K384" s="12">
        <f>SUMIFS($K$4:$K$371,$D$4:$D$371,"RD225Z,DR1074Z",$F$4:$F$371,"67""")</f>
        <v>212250</v>
      </c>
      <c r="L384" s="12">
        <f>SUMIFS($L$4:$L$371,$D$4:$D$371,"RD225Z,DR1074Z",$F$4:$F$371,"67""")</f>
        <v>27</v>
      </c>
      <c r="M384" s="12">
        <f>M357</f>
        <v>89400</v>
      </c>
      <c r="N384" s="12">
        <f>N357</f>
        <v>16</v>
      </c>
      <c r="O384" s="12">
        <f>SUMIFS($O$4:$O$371,$D$4:$D$371,"RD225Z,DR1074Z",$F$4:$F$371,"67""")</f>
        <v>144577</v>
      </c>
      <c r="P384" s="12">
        <f>SUMIFS($P$4:$P$371,$D$4:$D$371,"RD225Z,DR1074Z",$F$4:$F$371,"67""")</f>
        <v>141944</v>
      </c>
      <c r="Q384" s="12"/>
      <c r="R384" s="454"/>
      <c r="S384" s="454"/>
      <c r="T384" s="117">
        <f>SUMIFS($T$4:$T$371,$D$4:$D$371,"RD225Z,DR1074Z",$F$4:$F$371,"67""")</f>
        <v>138626</v>
      </c>
      <c r="U384" s="194">
        <f>SUMIFS($U$4:$U$371,$D$4:$D$371,"RD225Z,DR1074Z",$F$4:$F$371,"67""")</f>
        <v>64</v>
      </c>
      <c r="V384" s="183">
        <f>V357</f>
        <v>10702</v>
      </c>
      <c r="W384" s="119"/>
    </row>
    <row r="385" spans="1:26" ht="15" customHeight="1">
      <c r="A385" s="451"/>
      <c r="B385" s="439"/>
      <c r="C385" s="445"/>
      <c r="D385" s="48" t="s">
        <v>127</v>
      </c>
      <c r="E385" s="424" t="s">
        <v>25</v>
      </c>
      <c r="F385" s="119"/>
      <c r="G385" s="12"/>
      <c r="H385" s="12">
        <f>SUMIF($D$4:$D$371,"ABZ85",$H$4:$H$371)</f>
        <v>2970</v>
      </c>
      <c r="I385" s="482"/>
      <c r="J385" s="479"/>
      <c r="K385" s="12"/>
      <c r="L385" s="12"/>
      <c r="M385" s="12"/>
      <c r="N385" s="12"/>
      <c r="O385" s="12"/>
      <c r="P385" s="117"/>
      <c r="Q385" s="119"/>
      <c r="R385" s="454"/>
      <c r="S385" s="454"/>
      <c r="T385" s="117"/>
      <c r="U385" s="117"/>
      <c r="V385" s="191"/>
      <c r="W385" s="119"/>
    </row>
    <row r="386" spans="1:26" ht="15" customHeight="1">
      <c r="A386" s="451"/>
      <c r="B386" s="439"/>
      <c r="C386" s="445"/>
      <c r="D386" s="48" t="s">
        <v>199</v>
      </c>
      <c r="E386" s="425"/>
      <c r="F386" s="119"/>
      <c r="G386" s="12"/>
      <c r="H386" s="47">
        <f>SUMIF($D$4:$D$371,"RD225Z",$H$4:$H$371)</f>
        <v>6650.98</v>
      </c>
      <c r="I386" s="482"/>
      <c r="J386" s="479"/>
      <c r="K386" s="12"/>
      <c r="L386" s="12"/>
      <c r="M386" s="12"/>
      <c r="N386" s="12"/>
      <c r="O386" s="12"/>
      <c r="P386" s="117"/>
      <c r="Q386" s="119"/>
      <c r="R386" s="454"/>
      <c r="S386" s="454"/>
      <c r="T386" s="117"/>
      <c r="U386" s="117"/>
      <c r="V386" s="191"/>
      <c r="W386" s="119"/>
    </row>
    <row r="387" spans="1:26" ht="15" customHeight="1">
      <c r="A387" s="451"/>
      <c r="B387" s="443"/>
      <c r="C387" s="446"/>
      <c r="D387" s="48" t="s">
        <v>96</v>
      </c>
      <c r="E387" s="113" t="s">
        <v>65</v>
      </c>
      <c r="F387" s="119"/>
      <c r="G387" s="47"/>
      <c r="H387" s="12">
        <f>SUMIF($D$4:$D$371,"DR1075Z",$H$4:$H$371)</f>
        <v>1224</v>
      </c>
      <c r="I387" s="482"/>
      <c r="J387" s="479"/>
      <c r="K387" s="12"/>
      <c r="L387" s="12"/>
      <c r="M387" s="12"/>
      <c r="N387" s="12"/>
      <c r="O387" s="12"/>
      <c r="P387" s="117"/>
      <c r="Q387" s="119"/>
      <c r="R387" s="454"/>
      <c r="S387" s="454"/>
      <c r="T387" s="117"/>
      <c r="U387" s="117"/>
      <c r="V387" s="191"/>
      <c r="W387" s="119"/>
    </row>
    <row r="388" spans="1:26" ht="18.75" customHeight="1">
      <c r="A388" s="451"/>
      <c r="B388" s="442" t="s">
        <v>55</v>
      </c>
      <c r="C388" s="444" t="s">
        <v>133</v>
      </c>
      <c r="D388" s="43" t="s">
        <v>56</v>
      </c>
      <c r="E388" s="430" t="s">
        <v>25</v>
      </c>
      <c r="F388" s="48" t="s">
        <v>67</v>
      </c>
      <c r="G388" s="196">
        <f>SUMIFS($G$4:$G$371,$D$4:$D$371,"ACZ07",$F$4:$F$371,"56""",$C$4:$C$371,"P/OX 600D*300D, 64T, 135GR/SQM, recycle 67%")</f>
        <v>247.6</v>
      </c>
      <c r="H388" s="31"/>
      <c r="I388" s="482"/>
      <c r="J388" s="479"/>
      <c r="K388" s="183"/>
      <c r="L388" s="183"/>
      <c r="M388" s="117">
        <f>M358</f>
        <v>2000</v>
      </c>
      <c r="N388" s="117">
        <f>N358</f>
        <v>2</v>
      </c>
      <c r="O388" s="183"/>
      <c r="P388" s="183"/>
      <c r="Q388" s="117"/>
      <c r="R388" s="454"/>
      <c r="S388" s="454"/>
      <c r="T388" s="183"/>
      <c r="U388" s="183"/>
      <c r="V388" s="183">
        <f>V358</f>
        <v>500</v>
      </c>
      <c r="W388" s="2"/>
      <c r="Y388" s="13"/>
    </row>
    <row r="389" spans="1:26" ht="18.75" customHeight="1">
      <c r="A389" s="451"/>
      <c r="B389" s="443"/>
      <c r="C389" s="446"/>
      <c r="D389" s="43" t="s">
        <v>68</v>
      </c>
      <c r="E389" s="430"/>
      <c r="F389" s="48"/>
      <c r="G389" s="47"/>
      <c r="H389" s="117"/>
      <c r="I389" s="482"/>
      <c r="J389" s="479"/>
      <c r="K389" s="12"/>
      <c r="L389" s="12"/>
      <c r="M389" s="117"/>
      <c r="N389" s="117"/>
      <c r="O389" s="12"/>
      <c r="P389" s="12"/>
      <c r="Q389" s="117"/>
      <c r="R389" s="454"/>
      <c r="S389" s="454"/>
      <c r="T389" s="117"/>
      <c r="U389" s="117"/>
      <c r="V389" s="183"/>
      <c r="W389" s="2"/>
      <c r="Y389" s="13"/>
      <c r="Z389" s="13"/>
    </row>
    <row r="390" spans="1:26" s="4" customFormat="1" ht="18.75" customHeight="1">
      <c r="A390" s="451"/>
      <c r="B390" s="442" t="s">
        <v>122</v>
      </c>
      <c r="C390" s="444" t="s">
        <v>123</v>
      </c>
      <c r="D390" s="48" t="s">
        <v>56</v>
      </c>
      <c r="E390" s="430"/>
      <c r="F390" s="48" t="s">
        <v>64</v>
      </c>
      <c r="G390" s="218"/>
      <c r="H390" s="183"/>
      <c r="I390" s="482"/>
      <c r="J390" s="479"/>
      <c r="K390" s="183">
        <f>SUMIFS($K$4:$K$371,$D$4:$D$371,"ACZ07",$F$4:$F$371,"60""",$C$4:$C$371,"P/OX 300D* P/SPUN 10'S, Recycle 60""")</f>
        <v>9200</v>
      </c>
      <c r="L390" s="183">
        <f>SUMIFS($L$4:$L$371,$D$4:$D$371,"ACZ07",$F$4:$F$371,"60""",$C$4:$C$371,"P/OX 300D* P/SPUN 10'S, Recycle 60""")</f>
        <v>3</v>
      </c>
      <c r="M390" s="194">
        <f>M359</f>
        <v>6400</v>
      </c>
      <c r="N390" s="194">
        <f>N359</f>
        <v>2</v>
      </c>
      <c r="O390" s="183">
        <f>SUMIFS($O$4:$O$371,$D$4:$D$371,"ACZ07",$F$4:$F$371,"60""",$C$4:$C$371,"P/OX 300D* P/SPUN 10'S, Recycle 60""")</f>
        <v>7992</v>
      </c>
      <c r="P390" s="183">
        <f>SUMIFS($P$4:$P$371,$D$4:$D$371,"ACZ07",$F$4:$F$371,"60""",$C$4:$C$371,"P/OX 300D* P/SPUN 10'S, Recycle 60""")</f>
        <v>7318</v>
      </c>
      <c r="Q390" s="194"/>
      <c r="R390" s="454"/>
      <c r="S390" s="454"/>
      <c r="T390" s="183"/>
      <c r="U390" s="194"/>
      <c r="V390" s="183">
        <f>V359</f>
        <v>31304</v>
      </c>
      <c r="W390" s="6"/>
      <c r="Y390" s="219"/>
    </row>
    <row r="391" spans="1:26" s="4" customFormat="1" ht="18.75" customHeight="1">
      <c r="A391" s="451"/>
      <c r="B391" s="443"/>
      <c r="C391" s="446"/>
      <c r="D391" s="48" t="s">
        <v>129</v>
      </c>
      <c r="E391" s="430"/>
      <c r="F391" s="48"/>
      <c r="G391" s="218"/>
      <c r="H391" s="183">
        <f>SUMIF($D$4:$D$371,"JY-BMAJ10",$H$4:$H$371)</f>
        <v>2250</v>
      </c>
      <c r="I391" s="482"/>
      <c r="J391" s="479"/>
      <c r="K391" s="194"/>
      <c r="L391" s="194"/>
      <c r="M391" s="194"/>
      <c r="N391" s="194"/>
      <c r="O391" s="183"/>
      <c r="P391" s="183"/>
      <c r="Q391" s="194"/>
      <c r="R391" s="454"/>
      <c r="S391" s="454"/>
      <c r="T391" s="194"/>
      <c r="U391" s="194"/>
      <c r="V391" s="183"/>
      <c r="W391" s="6"/>
      <c r="Y391" s="219"/>
    </row>
    <row r="392" spans="1:26" s="4" customFormat="1" ht="18.75" customHeight="1">
      <c r="A392" s="451"/>
      <c r="B392" s="122" t="s">
        <v>125</v>
      </c>
      <c r="C392" s="180" t="s">
        <v>88</v>
      </c>
      <c r="D392" s="48" t="s">
        <v>124</v>
      </c>
      <c r="E392" s="430"/>
      <c r="F392" s="48" t="s">
        <v>64</v>
      </c>
      <c r="G392" s="218"/>
      <c r="H392" s="183">
        <f>SUMIF($D$4:$D$371,"SC-1004",$H$4:$H$371)</f>
        <v>1728</v>
      </c>
      <c r="I392" s="482"/>
      <c r="J392" s="479"/>
      <c r="K392" s="183">
        <f>SUMIFS($K$4:$K$371,$D$4:$D$371,"SC-1004",$F$4:$F$371,"60""")</f>
        <v>29600</v>
      </c>
      <c r="L392" s="183">
        <f>SUMIFS($L$4:$L$371,$D$4:$D$371,"SC-1004",$F$4:$F$371,"60""")</f>
        <v>4</v>
      </c>
      <c r="M392" s="194">
        <f>M360</f>
        <v>58600</v>
      </c>
      <c r="N392" s="194">
        <f>N360</f>
        <v>8</v>
      </c>
      <c r="O392" s="183">
        <f>SUMIFS($O$4:$O$371,$D$4:$D$371,"SC-1004",$F$4:$F$371,"60""")</f>
        <v>44172</v>
      </c>
      <c r="P392" s="183">
        <f>SUMIFS($P$4:$P$371,$D$4:$D$371,"SC-1004",$F$4:$F$371,"60""")</f>
        <v>41689</v>
      </c>
      <c r="Q392" s="194"/>
      <c r="R392" s="454"/>
      <c r="S392" s="454"/>
      <c r="T392" s="194">
        <f>SUMIFS($T$4:$T$371,$D$4:$D$371,"SC-1004",$F$4:$F$371,"60""")</f>
        <v>29376</v>
      </c>
      <c r="U392" s="194"/>
      <c r="V392" s="183">
        <f>V360</f>
        <v>22448</v>
      </c>
      <c r="W392" s="6"/>
      <c r="Y392" s="219"/>
    </row>
    <row r="393" spans="1:26" s="4" customFormat="1">
      <c r="A393" s="451"/>
      <c r="B393" s="122" t="s">
        <v>101</v>
      </c>
      <c r="C393" s="180" t="s">
        <v>193</v>
      </c>
      <c r="D393" s="48" t="s">
        <v>102</v>
      </c>
      <c r="E393" s="430"/>
      <c r="F393" s="48" t="s">
        <v>64</v>
      </c>
      <c r="G393" s="183"/>
      <c r="H393" s="218"/>
      <c r="I393" s="482"/>
      <c r="J393" s="479"/>
      <c r="K393" s="191"/>
      <c r="L393" s="191"/>
      <c r="M393" s="183"/>
      <c r="N393" s="183"/>
      <c r="O393" s="183"/>
      <c r="P393" s="183"/>
      <c r="Q393" s="183"/>
      <c r="R393" s="454"/>
      <c r="S393" s="454"/>
      <c r="T393" s="183"/>
      <c r="U393" s="183"/>
      <c r="V393" s="183"/>
      <c r="W393" s="122"/>
      <c r="Y393" s="219"/>
    </row>
    <row r="394" spans="1:26" s="4" customFormat="1">
      <c r="A394" s="451"/>
      <c r="B394" s="442" t="s">
        <v>47</v>
      </c>
      <c r="C394" s="472" t="s">
        <v>100</v>
      </c>
      <c r="D394" s="89" t="s">
        <v>99</v>
      </c>
      <c r="E394" s="430"/>
      <c r="F394" s="89" t="s">
        <v>71</v>
      </c>
      <c r="G394" s="47">
        <f>SUMIF($D$4:$D$371,"RD159Z",$G$4:$G$371)</f>
        <v>984.6</v>
      </c>
      <c r="H394" s="220"/>
      <c r="I394" s="482"/>
      <c r="J394" s="479"/>
      <c r="K394" s="183">
        <f>SUMIFS($K$4:$K$371,$D$4:$D$371,"RD159Z",$F$4:$F$371,"60.5""")</f>
        <v>24000</v>
      </c>
      <c r="L394" s="183">
        <f>SUMIFS($L$4:$L$371,$D$4:$D$371,"RD159Z",$F$4:$F$371,"60.5""")</f>
        <v>4</v>
      </c>
      <c r="M394" s="221">
        <f>M363</f>
        <v>30000</v>
      </c>
      <c r="N394" s="221">
        <f>N363</f>
        <v>5</v>
      </c>
      <c r="O394" s="221">
        <f>SUMIFS($O$4:$O$371,$D$4:$D$371,"RD159Z",$F$4:$F$371,"60.5""")</f>
        <v>31243</v>
      </c>
      <c r="P394" s="221">
        <f>SUMIFS($P$4:$P$371,$D$4:$D$371,"RD159Z",$F$4:$F$371,"60.5""")</f>
        <v>31493</v>
      </c>
      <c r="Q394" s="221"/>
      <c r="R394" s="454"/>
      <c r="S394" s="454"/>
      <c r="T394" s="194"/>
      <c r="U394" s="183"/>
      <c r="V394" s="183">
        <f>V363</f>
        <v>56927</v>
      </c>
      <c r="W394" s="122"/>
    </row>
    <row r="395" spans="1:26" s="4" customFormat="1">
      <c r="A395" s="451"/>
      <c r="B395" s="439"/>
      <c r="C395" s="473"/>
      <c r="D395" s="59" t="s">
        <v>121</v>
      </c>
      <c r="E395" s="430"/>
      <c r="F395" s="59"/>
      <c r="G395" s="191"/>
      <c r="H395" s="183">
        <f>SUMIF($D$4:$D$371,"RD152Z",$H$4:$H$371)</f>
        <v>1836</v>
      </c>
      <c r="I395" s="482"/>
      <c r="J395" s="479"/>
      <c r="K395" s="191"/>
      <c r="L395" s="191"/>
      <c r="M395" s="191"/>
      <c r="N395" s="191"/>
      <c r="O395" s="183"/>
      <c r="P395" s="183"/>
      <c r="Q395" s="183"/>
      <c r="R395" s="454"/>
      <c r="S395" s="454"/>
      <c r="T395" s="183"/>
      <c r="U395" s="191"/>
      <c r="V395" s="191"/>
      <c r="W395" s="122"/>
    </row>
    <row r="396" spans="1:26" s="4" customFormat="1">
      <c r="A396" s="451"/>
      <c r="B396" s="122" t="s">
        <v>196</v>
      </c>
      <c r="C396" s="180" t="s">
        <v>63</v>
      </c>
      <c r="D396" s="48" t="s">
        <v>135</v>
      </c>
      <c r="E396" s="430"/>
      <c r="F396" s="59" t="s">
        <v>64</v>
      </c>
      <c r="G396" s="196"/>
      <c r="H396" s="218">
        <f>SUMIF($D$4:$D$371,"XB080718",$H$4:$H$371)</f>
        <v>535.5</v>
      </c>
      <c r="I396" s="482"/>
      <c r="J396" s="479"/>
      <c r="K396" s="183"/>
      <c r="L396" s="183"/>
      <c r="M396" s="191"/>
      <c r="N396" s="183"/>
      <c r="O396" s="183">
        <f>SUMIFS($O$4:$O$371,$D$4:$D$371,"XB080718",$F$4:$F$371,"60""")</f>
        <v>18819</v>
      </c>
      <c r="P396" s="183">
        <f>SUMIFS($P$4:$P$371,$D$4:$D$371,"XB080718",$F$4:$F$371,"60""")</f>
        <v>20680</v>
      </c>
      <c r="Q396" s="183"/>
      <c r="R396" s="454"/>
      <c r="S396" s="454"/>
      <c r="T396" s="194">
        <f>SUMIFS($T$4:$T$371,$D$4:$D$371,"XB080718",$F$4:$F$371,"60""")</f>
        <v>9819</v>
      </c>
      <c r="U396" s="191"/>
      <c r="V396" s="191">
        <f>V364</f>
        <v>15845</v>
      </c>
      <c r="W396" s="122"/>
    </row>
    <row r="397" spans="1:26" s="4" customFormat="1">
      <c r="A397" s="451"/>
      <c r="B397" s="442" t="s">
        <v>58</v>
      </c>
      <c r="C397" s="444" t="s">
        <v>139</v>
      </c>
      <c r="D397" s="48" t="s">
        <v>56</v>
      </c>
      <c r="E397" s="430"/>
      <c r="F397" s="59" t="s">
        <v>67</v>
      </c>
      <c r="G397" s="183"/>
      <c r="H397" s="193"/>
      <c r="I397" s="482"/>
      <c r="J397" s="479"/>
      <c r="K397" s="218"/>
      <c r="L397" s="218"/>
      <c r="M397" s="191"/>
      <c r="N397" s="183"/>
      <c r="O397" s="183"/>
      <c r="P397" s="183"/>
      <c r="Q397" s="183"/>
      <c r="R397" s="454"/>
      <c r="S397" s="454"/>
      <c r="T397" s="194"/>
      <c r="U397" s="191">
        <v>43</v>
      </c>
      <c r="V397" s="191">
        <f>V361</f>
        <v>0</v>
      </c>
      <c r="W397" s="122"/>
    </row>
    <row r="398" spans="1:26" s="4" customFormat="1">
      <c r="A398" s="451"/>
      <c r="B398" s="439"/>
      <c r="C398" s="445"/>
      <c r="D398" s="48" t="s">
        <v>56</v>
      </c>
      <c r="E398" s="430"/>
      <c r="F398" s="59" t="s">
        <v>64</v>
      </c>
      <c r="G398" s="183">
        <f>SUMIFS($G$4:$G$388,$D$4:$D$388,"ACZ07",$F$4:$F$388,"60.""")</f>
        <v>0</v>
      </c>
      <c r="H398" s="193"/>
      <c r="I398" s="482"/>
      <c r="J398" s="479"/>
      <c r="K398" s="183">
        <f>SUMIFS($K$4:$K$388,$D$4:$D$388,"ACZ07",$F$4:$F$388,"60.""")</f>
        <v>0</v>
      </c>
      <c r="L398" s="183">
        <f>SUMIFS($L$4:$L$388,$D$4:$D$388,"ACZ07",$F$4:$F$388,"60.""")</f>
        <v>0</v>
      </c>
      <c r="M398" s="191"/>
      <c r="N398" s="183"/>
      <c r="O398" s="183">
        <f>SUMIFS($O$4:$O$388,$D$4:$D$388,"ACZ07",$F$4:$F$388,"60.""")</f>
        <v>4992</v>
      </c>
      <c r="P398" s="183">
        <f>SUMIFS($P$4:$P$388,$D$4:$D$388,"ACZ07",$F$4:$F$388,"60.""")</f>
        <v>4610</v>
      </c>
      <c r="Q398" s="183"/>
      <c r="R398" s="454"/>
      <c r="S398" s="454"/>
      <c r="T398" s="194"/>
      <c r="U398" s="191"/>
      <c r="V398" s="191">
        <f>V362</f>
        <v>8562</v>
      </c>
      <c r="W398" s="122"/>
    </row>
    <row r="399" spans="1:26" s="4" customFormat="1">
      <c r="A399" s="451"/>
      <c r="B399" s="443"/>
      <c r="C399" s="446"/>
      <c r="D399" s="48" t="s">
        <v>92</v>
      </c>
      <c r="E399" s="430"/>
      <c r="F399" s="59"/>
      <c r="G399" s="191"/>
      <c r="H399" s="196">
        <f>SUMIF($D$4:$D$371,"JY-BMAJ16",$H$4:$H$371)</f>
        <v>443.75</v>
      </c>
      <c r="I399" s="482"/>
      <c r="J399" s="479"/>
      <c r="K399" s="218"/>
      <c r="L399" s="218"/>
      <c r="M399" s="191"/>
      <c r="N399" s="183"/>
      <c r="O399" s="183"/>
      <c r="P399" s="183"/>
      <c r="Q399" s="183"/>
      <c r="R399" s="454"/>
      <c r="S399" s="454"/>
      <c r="T399" s="194"/>
      <c r="U399" s="191"/>
      <c r="V399" s="191"/>
      <c r="W399" s="122"/>
    </row>
    <row r="400" spans="1:26" s="4" customFormat="1">
      <c r="A400" s="451"/>
      <c r="B400" s="122" t="s">
        <v>61</v>
      </c>
      <c r="C400" s="180" t="s">
        <v>137</v>
      </c>
      <c r="D400" s="48" t="s">
        <v>56</v>
      </c>
      <c r="E400" s="430"/>
      <c r="F400" s="59" t="s">
        <v>67</v>
      </c>
      <c r="G400" s="183">
        <f>SUMIFS($G$4:$G$49,$C$4:$C$49,"P/OX 300D* P/SPUN 10'S, Recycle 56""",$D$4:$D$49,"ACZ07")</f>
        <v>696</v>
      </c>
      <c r="H400" s="191"/>
      <c r="I400" s="482"/>
      <c r="J400" s="479"/>
      <c r="K400" s="183">
        <f>SUMIFS($K$4:$K$371,$D$4:$D$371,"ACZ07",$F$4:$F$371,"56""",$C$4:$C$371,"P/OX 300D* P/SPUN 10'S, Recycle 56""")</f>
        <v>6000</v>
      </c>
      <c r="L400" s="183">
        <f>SUMIFS($L$4:$L$371,$D$4:$D$371,"ACZ07",$F$4:$F$371,"56""",$C$4:$C$371,"P/OX 300D* P/SPUN 10'S, Recycle 56""")</f>
        <v>2</v>
      </c>
      <c r="M400" s="191"/>
      <c r="N400" s="183"/>
      <c r="O400" s="183">
        <f>SUMIFS($O$4:$O$371,$D$4:$D$371,"ACZ07",$F$4:$F$371,"56""",$C$4:$C$371,"P/OX 300D* P/SPUN 10'S, Recycle 56""")</f>
        <v>3815</v>
      </c>
      <c r="P400" s="183">
        <f>SUMIFS($P$4:$P$371,$D$4:$D$371,"ACZ07",$F$4:$F$371,"56""",$C$4:$C$371,"P/OX 300D* P/SPUN 10'S, Recycle 56""")</f>
        <v>3429</v>
      </c>
      <c r="Q400" s="183"/>
      <c r="R400" s="454"/>
      <c r="S400" s="454"/>
      <c r="T400" s="183"/>
      <c r="U400" s="183"/>
      <c r="V400" s="191">
        <f>V365</f>
        <v>5819</v>
      </c>
      <c r="W400" s="122"/>
    </row>
    <row r="401" spans="1:25">
      <c r="A401" s="451"/>
      <c r="B401" s="122" t="s">
        <v>131</v>
      </c>
      <c r="C401" s="180" t="s">
        <v>194</v>
      </c>
      <c r="D401" s="48" t="s">
        <v>132</v>
      </c>
      <c r="E401" s="430"/>
      <c r="F401" s="59" t="s">
        <v>64</v>
      </c>
      <c r="G401" s="47"/>
      <c r="H401" s="49"/>
      <c r="I401" s="482"/>
      <c r="J401" s="479"/>
      <c r="K401" s="12"/>
      <c r="L401" s="12"/>
      <c r="M401" s="116"/>
      <c r="N401" s="12"/>
      <c r="O401" s="12"/>
      <c r="P401" s="12"/>
      <c r="Q401" s="12"/>
      <c r="R401" s="454"/>
      <c r="S401" s="454"/>
      <c r="T401" s="117"/>
      <c r="U401" s="116"/>
      <c r="V401" s="191"/>
      <c r="W401" s="119"/>
    </row>
    <row r="402" spans="1:25">
      <c r="A402" s="451"/>
      <c r="B402" s="122" t="s">
        <v>103</v>
      </c>
      <c r="C402" s="157" t="s">
        <v>197</v>
      </c>
      <c r="D402" s="48" t="s">
        <v>104</v>
      </c>
      <c r="E402" s="430"/>
      <c r="F402" s="59" t="s">
        <v>105</v>
      </c>
      <c r="G402" s="116"/>
      <c r="H402" s="49"/>
      <c r="I402" s="482"/>
      <c r="J402" s="479"/>
      <c r="K402" s="12"/>
      <c r="L402" s="12"/>
      <c r="M402" s="116"/>
      <c r="N402" s="116"/>
      <c r="O402" s="12"/>
      <c r="P402" s="12"/>
      <c r="Q402" s="12"/>
      <c r="R402" s="454"/>
      <c r="S402" s="454"/>
      <c r="T402" s="12"/>
      <c r="U402" s="116"/>
      <c r="V402" s="191"/>
      <c r="W402" s="119"/>
    </row>
    <row r="403" spans="1:25">
      <c r="A403" s="451"/>
      <c r="B403" s="442" t="s">
        <v>112</v>
      </c>
      <c r="C403" s="444" t="s">
        <v>197</v>
      </c>
      <c r="D403" s="48" t="s">
        <v>104</v>
      </c>
      <c r="E403" s="430"/>
      <c r="F403" s="59" t="s">
        <v>113</v>
      </c>
      <c r="G403" s="116"/>
      <c r="H403" s="184"/>
      <c r="I403" s="482"/>
      <c r="J403" s="479"/>
      <c r="K403" s="12"/>
      <c r="L403" s="12"/>
      <c r="M403" s="116"/>
      <c r="N403" s="116"/>
      <c r="O403" s="12"/>
      <c r="P403" s="12"/>
      <c r="Q403" s="12"/>
      <c r="R403" s="454"/>
      <c r="S403" s="454"/>
      <c r="T403" s="12"/>
      <c r="U403" s="116"/>
      <c r="V403" s="191"/>
      <c r="W403" s="131"/>
    </row>
    <row r="404" spans="1:25">
      <c r="A404" s="451"/>
      <c r="B404" s="443"/>
      <c r="C404" s="446"/>
      <c r="D404" s="48" t="s">
        <v>85</v>
      </c>
      <c r="E404" s="430"/>
      <c r="F404" s="59"/>
      <c r="G404" s="116"/>
      <c r="H404" s="49"/>
      <c r="I404" s="482"/>
      <c r="J404" s="479"/>
      <c r="K404" s="116"/>
      <c r="L404" s="116"/>
      <c r="M404" s="116"/>
      <c r="N404" s="116"/>
      <c r="O404" s="12"/>
      <c r="P404" s="12"/>
      <c r="Q404" s="12"/>
      <c r="R404" s="454"/>
      <c r="S404" s="454"/>
      <c r="T404" s="12"/>
      <c r="U404" s="116"/>
      <c r="V404" s="191"/>
      <c r="W404" s="131"/>
    </row>
    <row r="405" spans="1:25">
      <c r="A405" s="451"/>
      <c r="B405" s="442" t="s">
        <v>106</v>
      </c>
      <c r="C405" s="444" t="s">
        <v>141</v>
      </c>
      <c r="D405" s="48" t="s">
        <v>68</v>
      </c>
      <c r="E405" s="430"/>
      <c r="F405" s="59" t="s">
        <v>67</v>
      </c>
      <c r="G405" s="116"/>
      <c r="H405" s="49"/>
      <c r="I405" s="482"/>
      <c r="J405" s="479"/>
      <c r="K405" s="116"/>
      <c r="L405" s="116"/>
      <c r="M405" s="116"/>
      <c r="N405" s="116"/>
      <c r="O405" s="12"/>
      <c r="P405" s="12"/>
      <c r="Q405" s="12"/>
      <c r="R405" s="454"/>
      <c r="S405" s="454"/>
      <c r="T405" s="117"/>
      <c r="U405" s="116"/>
      <c r="V405" s="191"/>
      <c r="W405" s="131"/>
    </row>
    <row r="406" spans="1:25">
      <c r="A406" s="451"/>
      <c r="B406" s="443"/>
      <c r="C406" s="446"/>
      <c r="D406" s="59" t="s">
        <v>109</v>
      </c>
      <c r="E406" s="430"/>
      <c r="F406" s="59"/>
      <c r="G406" s="116"/>
      <c r="H406" s="116"/>
      <c r="I406" s="482"/>
      <c r="J406" s="479"/>
      <c r="K406" s="116"/>
      <c r="L406" s="116"/>
      <c r="M406" s="116"/>
      <c r="N406" s="116"/>
      <c r="O406" s="12"/>
      <c r="P406" s="12"/>
      <c r="Q406" s="12"/>
      <c r="R406" s="454"/>
      <c r="S406" s="454"/>
      <c r="T406" s="116"/>
      <c r="U406" s="116"/>
      <c r="V406" s="116"/>
      <c r="W406" s="131"/>
    </row>
    <row r="407" spans="1:25" ht="15.75" thickBot="1">
      <c r="A407" s="451"/>
      <c r="B407" s="122" t="s">
        <v>107</v>
      </c>
      <c r="C407" s="180" t="s">
        <v>195</v>
      </c>
      <c r="D407" s="48" t="s">
        <v>108</v>
      </c>
      <c r="E407" s="430"/>
      <c r="F407" s="48" t="s">
        <v>48</v>
      </c>
      <c r="G407" s="12"/>
      <c r="H407" s="49"/>
      <c r="I407" s="483"/>
      <c r="J407" s="480"/>
      <c r="K407" s="116"/>
      <c r="L407" s="116"/>
      <c r="M407" s="12"/>
      <c r="N407" s="12"/>
      <c r="O407" s="121"/>
      <c r="P407" s="121"/>
      <c r="Q407" s="117"/>
      <c r="R407" s="454"/>
      <c r="S407" s="454"/>
      <c r="T407" s="116"/>
      <c r="U407" s="12"/>
      <c r="V407" s="12"/>
      <c r="W407" s="119"/>
    </row>
    <row r="408" spans="1:25" s="111" customFormat="1" ht="18" customHeight="1" thickBot="1">
      <c r="A408" s="185" t="s">
        <v>5</v>
      </c>
      <c r="B408" s="186"/>
      <c r="C408" s="187"/>
      <c r="D408" s="186"/>
      <c r="E408" s="186"/>
      <c r="F408" s="186"/>
      <c r="G408" s="188">
        <f>SUM(G372:G407)</f>
        <v>72691.180000000022</v>
      </c>
      <c r="H408" s="188">
        <f>SUM(H372:H407)</f>
        <v>85250.63</v>
      </c>
      <c r="I408" s="189">
        <f>SUM(I372:I372)</f>
        <v>0</v>
      </c>
      <c r="J408" s="190">
        <f>SUM(J372:J372)</f>
        <v>21.4</v>
      </c>
      <c r="K408" s="189">
        <f t="shared" ref="K408:P408" si="13">SUM(K372:K407)</f>
        <v>1108650</v>
      </c>
      <c r="L408" s="189">
        <f t="shared" si="13"/>
        <v>158</v>
      </c>
      <c r="M408" s="189">
        <f t="shared" si="13"/>
        <v>509043</v>
      </c>
      <c r="N408" s="189">
        <f t="shared" si="13"/>
        <v>83</v>
      </c>
      <c r="O408" s="189">
        <f t="shared" si="13"/>
        <v>1075027</v>
      </c>
      <c r="P408" s="189">
        <f t="shared" si="13"/>
        <v>1077104</v>
      </c>
      <c r="Q408" s="189"/>
      <c r="R408" s="189">
        <f>SUM(R372:R407)</f>
        <v>1075027</v>
      </c>
      <c r="S408" s="189">
        <f>SUM(S372:S407)</f>
        <v>1077104</v>
      </c>
      <c r="T408" s="189">
        <f>SUM(T372:T407)</f>
        <v>934129</v>
      </c>
      <c r="U408" s="189">
        <f>SUM(U372:U407)</f>
        <v>1157</v>
      </c>
      <c r="V408" s="189">
        <f>SUM(V372:V407)</f>
        <v>307536</v>
      </c>
      <c r="W408" s="186"/>
      <c r="Y408" s="201"/>
    </row>
    <row r="409" spans="1:25">
      <c r="G409" s="103"/>
      <c r="P409" s="29"/>
      <c r="Q409" s="13"/>
    </row>
    <row r="410" spans="1:25">
      <c r="G410" s="195"/>
      <c r="K410" s="13"/>
      <c r="L410" s="13"/>
      <c r="M410" s="13"/>
      <c r="N410" s="13"/>
      <c r="Q410" s="13"/>
    </row>
    <row r="411" spans="1:25">
      <c r="K411" s="13"/>
      <c r="L411" s="13"/>
      <c r="M411" s="13"/>
      <c r="N411" s="13"/>
      <c r="Q411" s="13"/>
      <c r="W411" s="13"/>
    </row>
    <row r="412" spans="1:25">
      <c r="K412" s="13"/>
      <c r="L412" s="13"/>
      <c r="M412" s="13"/>
      <c r="N412" s="13"/>
      <c r="Q412" s="13"/>
    </row>
    <row r="413" spans="1:25">
      <c r="K413" s="13"/>
      <c r="L413" s="13"/>
      <c r="M413" s="13"/>
      <c r="N413" s="13"/>
      <c r="Q413" s="13"/>
      <c r="W413" s="13"/>
    </row>
    <row r="414" spans="1:25">
      <c r="K414" s="13"/>
      <c r="L414" s="13"/>
      <c r="M414" s="13"/>
      <c r="N414" s="13"/>
      <c r="Q414" s="13"/>
    </row>
    <row r="415" spans="1:25">
      <c r="H415" s="103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</row>
    <row r="417" spans="1:24">
      <c r="X417" s="4"/>
    </row>
    <row r="422" spans="1:24" s="4" customFormat="1">
      <c r="A422" s="15"/>
      <c r="B422" s="1"/>
      <c r="C422" s="7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3"/>
      <c r="P422" s="13"/>
      <c r="Q422" s="1"/>
      <c r="R422" s="13"/>
      <c r="S422" s="13"/>
      <c r="T422" s="13"/>
      <c r="U422" s="13"/>
      <c r="V422" s="13"/>
      <c r="W422" s="1"/>
      <c r="X422" s="1"/>
    </row>
    <row r="426" spans="1:24">
      <c r="H426" s="103"/>
    </row>
  </sheetData>
  <mergeCells count="263">
    <mergeCell ref="E385:E386"/>
    <mergeCell ref="A261:A284"/>
    <mergeCell ref="B261:B263"/>
    <mergeCell ref="C261:C263"/>
    <mergeCell ref="R261:R284"/>
    <mergeCell ref="S261:S284"/>
    <mergeCell ref="E262:E263"/>
    <mergeCell ref="B264:B269"/>
    <mergeCell ref="C264:C269"/>
    <mergeCell ref="E266:E269"/>
    <mergeCell ref="E271:E284"/>
    <mergeCell ref="B274:B275"/>
    <mergeCell ref="C274:C275"/>
    <mergeCell ref="A372:A407"/>
    <mergeCell ref="B390:B391"/>
    <mergeCell ref="C390:C391"/>
    <mergeCell ref="C384:C387"/>
    <mergeCell ref="B384:B387"/>
    <mergeCell ref="C397:C399"/>
    <mergeCell ref="B403:B404"/>
    <mergeCell ref="C403:C404"/>
    <mergeCell ref="B405:B406"/>
    <mergeCell ref="C405:C406"/>
    <mergeCell ref="A351:A371"/>
    <mergeCell ref="A214:A235"/>
    <mergeCell ref="B214:B216"/>
    <mergeCell ref="C214:C216"/>
    <mergeCell ref="R214:R235"/>
    <mergeCell ref="S214:S235"/>
    <mergeCell ref="E215:E216"/>
    <mergeCell ref="B217:B220"/>
    <mergeCell ref="C217:C220"/>
    <mergeCell ref="E219:E220"/>
    <mergeCell ref="E222:E235"/>
    <mergeCell ref="B225:B226"/>
    <mergeCell ref="C225:C226"/>
    <mergeCell ref="E196:E198"/>
    <mergeCell ref="E200:E213"/>
    <mergeCell ref="B203:B204"/>
    <mergeCell ref="C203:C204"/>
    <mergeCell ref="A121:A143"/>
    <mergeCell ref="B121:B123"/>
    <mergeCell ref="C121:C123"/>
    <mergeCell ref="A144:A165"/>
    <mergeCell ref="B144:B146"/>
    <mergeCell ref="C144:C146"/>
    <mergeCell ref="A166:A189"/>
    <mergeCell ref="B166:B168"/>
    <mergeCell ref="C166:C168"/>
    <mergeCell ref="A190:A213"/>
    <mergeCell ref="B190:B192"/>
    <mergeCell ref="C190:C192"/>
    <mergeCell ref="R121:R143"/>
    <mergeCell ref="S121:S143"/>
    <mergeCell ref="E122:E123"/>
    <mergeCell ref="B124:B128"/>
    <mergeCell ref="C124:C128"/>
    <mergeCell ref="E126:E127"/>
    <mergeCell ref="E130:E143"/>
    <mergeCell ref="B133:B134"/>
    <mergeCell ref="C133:C134"/>
    <mergeCell ref="E124:E125"/>
    <mergeCell ref="A97:A120"/>
    <mergeCell ref="B97:B99"/>
    <mergeCell ref="C97:C99"/>
    <mergeCell ref="R97:R120"/>
    <mergeCell ref="S97:S120"/>
    <mergeCell ref="E98:E99"/>
    <mergeCell ref="B100:B103"/>
    <mergeCell ref="C100:C103"/>
    <mergeCell ref="E101:E102"/>
    <mergeCell ref="B104:B105"/>
    <mergeCell ref="C104:C105"/>
    <mergeCell ref="E106:E120"/>
    <mergeCell ref="B109:B111"/>
    <mergeCell ref="C109:C111"/>
    <mergeCell ref="J97:J120"/>
    <mergeCell ref="A4:A26"/>
    <mergeCell ref="B4:B6"/>
    <mergeCell ref="L2:L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  <mergeCell ref="V2:V3"/>
    <mergeCell ref="W2:W3"/>
    <mergeCell ref="M2:M3"/>
    <mergeCell ref="N2:N3"/>
    <mergeCell ref="O2:O3"/>
    <mergeCell ref="P2:P3"/>
    <mergeCell ref="Q2:Q3"/>
    <mergeCell ref="R2:S2"/>
    <mergeCell ref="S4:S26"/>
    <mergeCell ref="E5:E6"/>
    <mergeCell ref="E12:E26"/>
    <mergeCell ref="C4:C6"/>
    <mergeCell ref="R4:R26"/>
    <mergeCell ref="B16:B17"/>
    <mergeCell ref="C16:C17"/>
    <mergeCell ref="B7:B10"/>
    <mergeCell ref="C7:C10"/>
    <mergeCell ref="E9:E10"/>
    <mergeCell ref="C13:C14"/>
    <mergeCell ref="B13:B14"/>
    <mergeCell ref="R190:R213"/>
    <mergeCell ref="S190:S213"/>
    <mergeCell ref="E191:E192"/>
    <mergeCell ref="B193:B198"/>
    <mergeCell ref="S372:S407"/>
    <mergeCell ref="E373:E374"/>
    <mergeCell ref="B375:B383"/>
    <mergeCell ref="C375:C383"/>
    <mergeCell ref="E375:E376"/>
    <mergeCell ref="B388:B389"/>
    <mergeCell ref="B372:B374"/>
    <mergeCell ref="C372:C374"/>
    <mergeCell ref="I372:I407"/>
    <mergeCell ref="J372:J407"/>
    <mergeCell ref="R372:R407"/>
    <mergeCell ref="C193:C198"/>
    <mergeCell ref="C388:C389"/>
    <mergeCell ref="E388:E407"/>
    <mergeCell ref="B394:B395"/>
    <mergeCell ref="C394:C395"/>
    <mergeCell ref="B397:B399"/>
    <mergeCell ref="E377:E378"/>
    <mergeCell ref="E379:E382"/>
    <mergeCell ref="E194:E195"/>
    <mergeCell ref="A27:A49"/>
    <mergeCell ref="B27:B29"/>
    <mergeCell ref="C27:C29"/>
    <mergeCell ref="R27:R49"/>
    <mergeCell ref="S27:S49"/>
    <mergeCell ref="E28:E29"/>
    <mergeCell ref="B30:B32"/>
    <mergeCell ref="C30:C32"/>
    <mergeCell ref="B33:B34"/>
    <mergeCell ref="C33:C34"/>
    <mergeCell ref="E35:E49"/>
    <mergeCell ref="B38:B39"/>
    <mergeCell ref="C38:C39"/>
    <mergeCell ref="C42:C43"/>
    <mergeCell ref="B42:B43"/>
    <mergeCell ref="A50:A73"/>
    <mergeCell ref="B50:B52"/>
    <mergeCell ref="C50:C52"/>
    <mergeCell ref="R50:R73"/>
    <mergeCell ref="S50:S73"/>
    <mergeCell ref="E51:E52"/>
    <mergeCell ref="B53:B57"/>
    <mergeCell ref="C53:C57"/>
    <mergeCell ref="E55:E56"/>
    <mergeCell ref="E59:E73"/>
    <mergeCell ref="B62:B63"/>
    <mergeCell ref="C62:C63"/>
    <mergeCell ref="B64:B65"/>
    <mergeCell ref="C64:C65"/>
    <mergeCell ref="E53:E54"/>
    <mergeCell ref="A74:A96"/>
    <mergeCell ref="B74:B76"/>
    <mergeCell ref="C74:C76"/>
    <mergeCell ref="R74:R96"/>
    <mergeCell ref="S74:S96"/>
    <mergeCell ref="E75:E76"/>
    <mergeCell ref="E82:E96"/>
    <mergeCell ref="B86:B87"/>
    <mergeCell ref="C86:C87"/>
    <mergeCell ref="E79:E80"/>
    <mergeCell ref="B77:B80"/>
    <mergeCell ref="C77:C80"/>
    <mergeCell ref="C83:C84"/>
    <mergeCell ref="B83:B84"/>
    <mergeCell ref="R144:R165"/>
    <mergeCell ref="S144:S165"/>
    <mergeCell ref="E145:E146"/>
    <mergeCell ref="E152:E165"/>
    <mergeCell ref="B155:B156"/>
    <mergeCell ref="C155:C156"/>
    <mergeCell ref="C147:C150"/>
    <mergeCell ref="B147:B150"/>
    <mergeCell ref="E149:E150"/>
    <mergeCell ref="R166:R189"/>
    <mergeCell ref="S166:S189"/>
    <mergeCell ref="E167:E168"/>
    <mergeCell ref="B169:B172"/>
    <mergeCell ref="C169:C172"/>
    <mergeCell ref="E170:E171"/>
    <mergeCell ref="B173:B174"/>
    <mergeCell ref="C173:C174"/>
    <mergeCell ref="E175:E189"/>
    <mergeCell ref="B178:B179"/>
    <mergeCell ref="C178:C179"/>
    <mergeCell ref="B180:B181"/>
    <mergeCell ref="C180:C181"/>
    <mergeCell ref="B351:B352"/>
    <mergeCell ref="C351:C352"/>
    <mergeCell ref="R351:R371"/>
    <mergeCell ref="S351:S371"/>
    <mergeCell ref="E354:E355"/>
    <mergeCell ref="E358:E371"/>
    <mergeCell ref="B361:B362"/>
    <mergeCell ref="C361:C362"/>
    <mergeCell ref="C353:C356"/>
    <mergeCell ref="B353:B356"/>
    <mergeCell ref="A236:A260"/>
    <mergeCell ref="B236:B238"/>
    <mergeCell ref="C236:C238"/>
    <mergeCell ref="R236:R260"/>
    <mergeCell ref="S236:S260"/>
    <mergeCell ref="E237:E238"/>
    <mergeCell ref="E241:E242"/>
    <mergeCell ref="B250:B251"/>
    <mergeCell ref="C250:C251"/>
    <mergeCell ref="E247:E260"/>
    <mergeCell ref="C239:C245"/>
    <mergeCell ref="B239:B245"/>
    <mergeCell ref="E243:E245"/>
    <mergeCell ref="A285:A306"/>
    <mergeCell ref="B285:B287"/>
    <mergeCell ref="C285:C287"/>
    <mergeCell ref="R285:R306"/>
    <mergeCell ref="S285:S306"/>
    <mergeCell ref="E286:E287"/>
    <mergeCell ref="B288:B291"/>
    <mergeCell ref="C288:C291"/>
    <mergeCell ref="E289:E290"/>
    <mergeCell ref="E293:E306"/>
    <mergeCell ref="B296:B297"/>
    <mergeCell ref="C296:C297"/>
    <mergeCell ref="A307:A328"/>
    <mergeCell ref="B307:B308"/>
    <mergeCell ref="C307:C308"/>
    <mergeCell ref="R307:R328"/>
    <mergeCell ref="S307:S328"/>
    <mergeCell ref="B309:B311"/>
    <mergeCell ref="C309:C311"/>
    <mergeCell ref="E315:E328"/>
    <mergeCell ref="B318:B319"/>
    <mergeCell ref="C318:C319"/>
    <mergeCell ref="C312:C314"/>
    <mergeCell ref="B312:B314"/>
    <mergeCell ref="A329:A350"/>
    <mergeCell ref="B329:B330"/>
    <mergeCell ref="C329:C330"/>
    <mergeCell ref="R329:R350"/>
    <mergeCell ref="S329:S350"/>
    <mergeCell ref="B331:B334"/>
    <mergeCell ref="C331:C334"/>
    <mergeCell ref="E336:E350"/>
    <mergeCell ref="B339:B340"/>
    <mergeCell ref="C339:C340"/>
    <mergeCell ref="B341:B342"/>
    <mergeCell ref="C341:C342"/>
    <mergeCell ref="E331:E332"/>
  </mergeCells>
  <pageMargins left="0.16" right="0.16" top="0.16" bottom="1.29" header="0.16" footer="0.16"/>
  <pageSetup paperSize="9" scale="4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S294"/>
  <sheetViews>
    <sheetView zoomScale="80" zoomScaleNormal="80" workbookViewId="0">
      <pane xSplit="1" ySplit="4" topLeftCell="B5" activePane="bottomRight" state="frozen"/>
      <selection activeCell="K16" sqref="K16"/>
      <selection pane="topRight" activeCell="K16" sqref="K16"/>
      <selection pane="bottomLeft" activeCell="K16" sqref="K16"/>
      <selection pane="bottomRight" activeCell="A293" sqref="A293"/>
    </sheetView>
  </sheetViews>
  <sheetFormatPr defaultRowHeight="15"/>
  <cols>
    <col min="1" max="1" width="89.140625" style="4" customWidth="1"/>
    <col min="2" max="2" width="10.7109375" style="4" hidden="1" customWidth="1"/>
    <col min="3" max="3" width="9.140625" style="4" hidden="1" customWidth="1"/>
    <col min="4" max="4" width="9.7109375" style="4" hidden="1" customWidth="1"/>
    <col min="5" max="31" width="21" style="139" hidden="1" customWidth="1"/>
    <col min="32" max="33" width="9.140625" style="4" customWidth="1"/>
    <col min="34" max="34" width="10.28515625" style="4" customWidth="1"/>
    <col min="35" max="36" width="9.140625" style="4" customWidth="1"/>
    <col min="37" max="37" width="9.7109375" style="4" customWidth="1"/>
    <col min="38" max="39" width="9.140625" style="4" customWidth="1"/>
    <col min="40" max="40" width="10.85546875" style="4" customWidth="1"/>
    <col min="41" max="42" width="9.140625" style="4" customWidth="1"/>
    <col min="43" max="43" width="9.85546875" style="4" customWidth="1"/>
    <col min="44" max="45" width="9.140625" style="4" customWidth="1"/>
    <col min="46" max="46" width="9.7109375" style="4" customWidth="1"/>
    <col min="47" max="48" width="9.140625" style="4" customWidth="1"/>
    <col min="49" max="49" width="9.7109375" style="4" customWidth="1"/>
    <col min="50" max="51" width="9.140625" style="4" customWidth="1"/>
    <col min="52" max="52" width="9.85546875" style="4" customWidth="1"/>
    <col min="53" max="54" width="9.140625" style="4" customWidth="1"/>
    <col min="55" max="55" width="9.5703125" style="4" customWidth="1"/>
    <col min="56" max="57" width="9.140625" style="4" customWidth="1"/>
    <col min="58" max="58" width="10.28515625" style="4" customWidth="1"/>
    <col min="59" max="59" width="9.7109375" style="4" customWidth="1"/>
    <col min="60" max="60" width="9.140625" style="4" customWidth="1"/>
    <col min="61" max="61" width="10.28515625" style="4" customWidth="1"/>
    <col min="62" max="63" width="9.140625" style="4" customWidth="1"/>
    <col min="64" max="64" width="10.42578125" style="4" customWidth="1"/>
    <col min="65" max="65" width="9.140625" style="4" customWidth="1"/>
    <col min="66" max="66" width="10.28515625" style="4" customWidth="1"/>
    <col min="67" max="67" width="10.42578125" style="4" customWidth="1"/>
    <col min="68" max="69" width="9.140625" style="4" customWidth="1"/>
    <col min="70" max="70" width="10" style="4" customWidth="1"/>
    <col min="71" max="72" width="9.140625" style="4" customWidth="1"/>
    <col min="73" max="73" width="9.85546875" style="4" customWidth="1"/>
    <col min="74" max="75" width="9.140625" style="4" customWidth="1"/>
    <col min="76" max="76" width="9.5703125" style="4" customWidth="1"/>
    <col min="77" max="78" width="9.140625" style="4" customWidth="1"/>
    <col min="79" max="79" width="10.28515625" style="4" customWidth="1"/>
    <col min="80" max="80" width="9.7109375" style="4" customWidth="1"/>
    <col min="81" max="81" width="9.140625" style="4" customWidth="1"/>
    <col min="82" max="82" width="10.42578125" style="4" customWidth="1"/>
    <col min="83" max="84" width="9.140625" style="4" customWidth="1"/>
    <col min="85" max="85" width="9.5703125" style="4" customWidth="1"/>
    <col min="86" max="87" width="9.140625" style="4" customWidth="1"/>
    <col min="88" max="88" width="10.28515625" style="4" customWidth="1"/>
    <col min="89" max="89" width="10.7109375" style="4" customWidth="1"/>
    <col min="90" max="90" width="9.140625" style="4" customWidth="1"/>
    <col min="91" max="91" width="10.42578125" style="4" customWidth="1"/>
    <col min="92" max="92" width="9.140625" style="4" customWidth="1"/>
    <col min="93" max="93" width="10.7109375" style="4" customWidth="1"/>
    <col min="94" max="94" width="9.85546875" style="4" customWidth="1"/>
    <col min="95" max="96" width="9.140625" style="4" customWidth="1"/>
    <col min="97" max="97" width="10.7109375" style="4" customWidth="1"/>
    <col min="98" max="99" width="9.140625" style="4" customWidth="1"/>
    <col min="100" max="100" width="10.7109375" style="4" customWidth="1"/>
    <col min="101" max="101" width="9.7109375" style="4" customWidth="1"/>
    <col min="102" max="102" width="9.140625" style="4" customWidth="1"/>
    <col min="103" max="103" width="9.85546875" style="4" customWidth="1"/>
    <col min="104" max="105" width="9.140625" style="4" customWidth="1"/>
    <col min="106" max="106" width="9.5703125" style="4" customWidth="1"/>
    <col min="107" max="108" width="9.140625" style="4" customWidth="1"/>
    <col min="109" max="109" width="9.7109375" style="4" customWidth="1"/>
    <col min="110" max="110" width="10.7109375" style="4" customWidth="1"/>
    <col min="111" max="111" width="9.140625" style="4" customWidth="1"/>
    <col min="112" max="112" width="9.7109375" style="4" customWidth="1"/>
    <col min="113" max="113" width="10.7109375" style="4" customWidth="1"/>
    <col min="114" max="114" width="9.140625" style="4" customWidth="1"/>
    <col min="115" max="115" width="9.7109375" style="4" customWidth="1"/>
    <col min="116" max="116" width="10.7109375" style="4" customWidth="1"/>
    <col min="117" max="117" width="9.140625" style="4" customWidth="1"/>
    <col min="118" max="118" width="9.7109375" style="4" customWidth="1"/>
    <col min="119" max="119" width="10.7109375" style="4" customWidth="1"/>
    <col min="120" max="120" width="9.140625" style="4" customWidth="1"/>
    <col min="121" max="121" width="9.7109375" style="4" customWidth="1"/>
    <col min="122" max="16384" width="9.140625" style="5"/>
  </cols>
  <sheetData>
    <row r="1" spans="1:121" ht="44.25" customHeight="1">
      <c r="A1" s="21" t="s">
        <v>93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14"/>
      <c r="BI1" s="11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</row>
    <row r="2" spans="1:121"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BM2" s="258"/>
      <c r="BN2" s="258"/>
      <c r="BP2" s="258"/>
      <c r="BQ2" s="258"/>
      <c r="BS2" s="258"/>
      <c r="BT2" s="258"/>
      <c r="BU2" s="258"/>
      <c r="BV2" s="258"/>
      <c r="BW2" s="258"/>
      <c r="BY2" s="258"/>
      <c r="BZ2" s="258"/>
      <c r="CB2" s="258"/>
      <c r="CC2" s="258"/>
      <c r="CE2" s="258"/>
      <c r="CF2" s="258"/>
      <c r="CH2" s="258"/>
      <c r="CI2" s="258"/>
      <c r="CK2" s="258"/>
      <c r="CL2" s="258"/>
      <c r="CN2" s="258"/>
      <c r="CO2" s="258"/>
      <c r="CP2" s="258"/>
      <c r="DK2" s="4">
        <f>SUBTOTAL(2,DK5:DK266)</f>
        <v>0</v>
      </c>
      <c r="DN2" s="4">
        <f>SUBTOTAL(2,DN5:DN266)</f>
        <v>223</v>
      </c>
      <c r="DQ2" s="4">
        <f>SUBTOTAL(2,DQ5:DQ266)</f>
        <v>224</v>
      </c>
    </row>
    <row r="3" spans="1:121" ht="20.25" customHeight="1">
      <c r="A3" s="6"/>
      <c r="B3" s="240">
        <v>46081</v>
      </c>
      <c r="C3" s="6" t="s">
        <v>26</v>
      </c>
      <c r="D3" s="6" t="s">
        <v>0</v>
      </c>
      <c r="E3" s="33" t="s">
        <v>36</v>
      </c>
      <c r="F3" s="33" t="s">
        <v>36</v>
      </c>
      <c r="G3" s="33" t="s">
        <v>36</v>
      </c>
      <c r="H3" s="33" t="s">
        <v>36</v>
      </c>
      <c r="I3" s="33" t="s">
        <v>36</v>
      </c>
      <c r="J3" s="33" t="s">
        <v>36</v>
      </c>
      <c r="K3" s="33" t="s">
        <v>36</v>
      </c>
      <c r="L3" s="33" t="s">
        <v>36</v>
      </c>
      <c r="M3" s="33" t="s">
        <v>36</v>
      </c>
      <c r="N3" s="33" t="s">
        <v>36</v>
      </c>
      <c r="O3" s="33" t="s">
        <v>36</v>
      </c>
      <c r="P3" s="33" t="s">
        <v>36</v>
      </c>
      <c r="Q3" s="33" t="s">
        <v>36</v>
      </c>
      <c r="R3" s="33" t="s">
        <v>36</v>
      </c>
      <c r="S3" s="33" t="s">
        <v>36</v>
      </c>
      <c r="T3" s="33" t="s">
        <v>36</v>
      </c>
      <c r="U3" s="33" t="s">
        <v>36</v>
      </c>
      <c r="V3" s="33" t="s">
        <v>36</v>
      </c>
      <c r="W3" s="33" t="s">
        <v>36</v>
      </c>
      <c r="X3" s="33" t="s">
        <v>36</v>
      </c>
      <c r="Y3" s="33" t="s">
        <v>36</v>
      </c>
      <c r="Z3" s="33" t="s">
        <v>36</v>
      </c>
      <c r="AA3" s="33" t="s">
        <v>36</v>
      </c>
      <c r="AB3" s="33" t="s">
        <v>36</v>
      </c>
      <c r="AC3" s="33" t="s">
        <v>36</v>
      </c>
      <c r="AD3" s="33" t="s">
        <v>36</v>
      </c>
      <c r="AE3" s="33" t="s">
        <v>36</v>
      </c>
      <c r="AF3" s="6" t="s">
        <v>208</v>
      </c>
      <c r="AG3" s="6" t="s">
        <v>4</v>
      </c>
      <c r="AH3" s="6" t="s">
        <v>0</v>
      </c>
      <c r="AI3" s="6" t="s">
        <v>209</v>
      </c>
      <c r="AJ3" s="6" t="s">
        <v>4</v>
      </c>
      <c r="AK3" s="6" t="s">
        <v>2</v>
      </c>
      <c r="AL3" s="6" t="s">
        <v>210</v>
      </c>
      <c r="AM3" s="6" t="s">
        <v>26</v>
      </c>
      <c r="AN3" s="6" t="s">
        <v>0</v>
      </c>
      <c r="AO3" s="6" t="s">
        <v>211</v>
      </c>
      <c r="AP3" s="6" t="s">
        <v>4</v>
      </c>
      <c r="AQ3" s="6" t="s">
        <v>0</v>
      </c>
      <c r="AR3" s="6" t="s">
        <v>212</v>
      </c>
      <c r="AS3" s="6" t="s">
        <v>4</v>
      </c>
      <c r="AT3" s="6" t="s">
        <v>0</v>
      </c>
      <c r="AU3" s="6" t="s">
        <v>213</v>
      </c>
      <c r="AV3" s="6" t="s">
        <v>4</v>
      </c>
      <c r="AW3" s="6" t="s">
        <v>0</v>
      </c>
      <c r="AX3" s="6" t="s">
        <v>214</v>
      </c>
      <c r="AY3" s="6" t="s">
        <v>4</v>
      </c>
      <c r="AZ3" s="6" t="s">
        <v>0</v>
      </c>
      <c r="BA3" s="6" t="s">
        <v>215</v>
      </c>
      <c r="BB3" s="6" t="s">
        <v>4</v>
      </c>
      <c r="BC3" s="6" t="s">
        <v>0</v>
      </c>
      <c r="BD3" s="6" t="s">
        <v>216</v>
      </c>
      <c r="BE3" s="6" t="s">
        <v>4</v>
      </c>
      <c r="BF3" s="6" t="s">
        <v>0</v>
      </c>
      <c r="BG3" s="6" t="s">
        <v>217</v>
      </c>
      <c r="BH3" s="6" t="s">
        <v>26</v>
      </c>
      <c r="BI3" s="6" t="s">
        <v>2</v>
      </c>
      <c r="BJ3" s="6" t="s">
        <v>218</v>
      </c>
      <c r="BK3" s="6" t="s">
        <v>26</v>
      </c>
      <c r="BL3" s="6" t="s">
        <v>2</v>
      </c>
      <c r="BM3" s="6" t="s">
        <v>219</v>
      </c>
      <c r="BN3" s="6" t="s">
        <v>26</v>
      </c>
      <c r="BO3" s="6" t="s">
        <v>2</v>
      </c>
      <c r="BP3" s="6" t="s">
        <v>220</v>
      </c>
      <c r="BQ3" s="6" t="s">
        <v>26</v>
      </c>
      <c r="BR3" s="6" t="s">
        <v>2</v>
      </c>
      <c r="BS3" s="6" t="s">
        <v>221</v>
      </c>
      <c r="BT3" s="6" t="s">
        <v>26</v>
      </c>
      <c r="BU3" s="6" t="s">
        <v>2</v>
      </c>
      <c r="BV3" s="6" t="s">
        <v>222</v>
      </c>
      <c r="BW3" s="6" t="s">
        <v>26</v>
      </c>
      <c r="BX3" s="6" t="s">
        <v>0</v>
      </c>
      <c r="BY3" s="6" t="s">
        <v>223</v>
      </c>
      <c r="BZ3" s="6" t="s">
        <v>26</v>
      </c>
      <c r="CA3" s="6" t="s">
        <v>0</v>
      </c>
      <c r="CB3" s="6" t="s">
        <v>224</v>
      </c>
      <c r="CC3" s="6" t="s">
        <v>26</v>
      </c>
      <c r="CD3" s="6" t="s">
        <v>0</v>
      </c>
      <c r="CE3" s="6" t="s">
        <v>256</v>
      </c>
      <c r="CF3" s="6" t="s">
        <v>26</v>
      </c>
      <c r="CG3" s="6" t="s">
        <v>0</v>
      </c>
      <c r="CH3" s="6" t="s">
        <v>225</v>
      </c>
      <c r="CI3" s="6" t="s">
        <v>26</v>
      </c>
      <c r="CJ3" s="6" t="s">
        <v>0</v>
      </c>
      <c r="CK3" s="6" t="s">
        <v>226</v>
      </c>
      <c r="CL3" s="6" t="s">
        <v>26</v>
      </c>
      <c r="CM3" s="6" t="s">
        <v>0</v>
      </c>
      <c r="CN3" s="6" t="s">
        <v>227</v>
      </c>
      <c r="CO3" s="6" t="s">
        <v>26</v>
      </c>
      <c r="CP3" s="6" t="s">
        <v>0</v>
      </c>
      <c r="CQ3" s="6" t="s">
        <v>228</v>
      </c>
      <c r="CR3" s="6" t="s">
        <v>26</v>
      </c>
      <c r="CS3" s="6" t="s">
        <v>0</v>
      </c>
      <c r="CT3" s="6" t="s">
        <v>229</v>
      </c>
      <c r="CU3" s="6" t="s">
        <v>26</v>
      </c>
      <c r="CV3" s="6" t="s">
        <v>0</v>
      </c>
      <c r="CW3" s="6" t="s">
        <v>230</v>
      </c>
      <c r="CX3" s="6" t="s">
        <v>26</v>
      </c>
      <c r="CY3" s="6" t="s">
        <v>0</v>
      </c>
      <c r="CZ3" s="6" t="s">
        <v>231</v>
      </c>
      <c r="DA3" s="6" t="s">
        <v>26</v>
      </c>
      <c r="DB3" s="6" t="s">
        <v>0</v>
      </c>
      <c r="DC3" s="6" t="s">
        <v>232</v>
      </c>
      <c r="DD3" s="6" t="s">
        <v>4</v>
      </c>
      <c r="DE3" s="6" t="s">
        <v>0</v>
      </c>
      <c r="DF3" s="6" t="s">
        <v>233</v>
      </c>
      <c r="DG3" s="6" t="s">
        <v>26</v>
      </c>
      <c r="DH3" s="6" t="s">
        <v>0</v>
      </c>
      <c r="DI3" s="6" t="s">
        <v>234</v>
      </c>
      <c r="DJ3" s="6" t="s">
        <v>26</v>
      </c>
      <c r="DK3" s="6" t="s">
        <v>0</v>
      </c>
      <c r="DL3" s="6" t="s">
        <v>235</v>
      </c>
      <c r="DM3" s="6" t="s">
        <v>26</v>
      </c>
      <c r="DN3" s="6" t="s">
        <v>0</v>
      </c>
      <c r="DO3" s="6" t="s">
        <v>236</v>
      </c>
      <c r="DP3" s="6" t="s">
        <v>26</v>
      </c>
      <c r="DQ3" s="6" t="s">
        <v>0</v>
      </c>
    </row>
    <row r="4" spans="1:121">
      <c r="A4" s="6" t="s">
        <v>35</v>
      </c>
      <c r="B4" s="6"/>
      <c r="C4" s="6"/>
      <c r="D4" s="6"/>
      <c r="E4" s="140">
        <v>46081</v>
      </c>
      <c r="F4" s="140">
        <v>46083</v>
      </c>
      <c r="G4" s="140">
        <v>46084</v>
      </c>
      <c r="H4" s="140">
        <v>46085</v>
      </c>
      <c r="I4" s="140">
        <v>46086</v>
      </c>
      <c r="J4" s="140">
        <v>46087</v>
      </c>
      <c r="K4" s="140">
        <v>46088</v>
      </c>
      <c r="L4" s="140">
        <v>46090</v>
      </c>
      <c r="M4" s="140">
        <v>46091</v>
      </c>
      <c r="N4" s="140">
        <v>46092</v>
      </c>
      <c r="O4" s="140">
        <v>46093</v>
      </c>
      <c r="P4" s="140">
        <v>46094</v>
      </c>
      <c r="Q4" s="140">
        <v>46095</v>
      </c>
      <c r="R4" s="140">
        <v>46097</v>
      </c>
      <c r="S4" s="140">
        <v>46098</v>
      </c>
      <c r="T4" s="140">
        <v>46099</v>
      </c>
      <c r="U4" s="140">
        <v>46100</v>
      </c>
      <c r="V4" s="140">
        <v>46101</v>
      </c>
      <c r="W4" s="140">
        <v>46102</v>
      </c>
      <c r="X4" s="140">
        <v>46104</v>
      </c>
      <c r="Y4" s="140">
        <v>46105</v>
      </c>
      <c r="Z4" s="140">
        <v>46106</v>
      </c>
      <c r="AA4" s="140">
        <v>46107</v>
      </c>
      <c r="AB4" s="140">
        <v>46108</v>
      </c>
      <c r="AC4" s="140">
        <v>46109</v>
      </c>
      <c r="AD4" s="140">
        <v>46111</v>
      </c>
      <c r="AE4" s="140">
        <v>46112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</row>
    <row r="5" spans="1:121">
      <c r="A5" s="6">
        <v>1</v>
      </c>
      <c r="B5" s="6">
        <v>576</v>
      </c>
      <c r="C5" s="6"/>
      <c r="D5" s="6">
        <v>324</v>
      </c>
      <c r="E5" s="33" t="s">
        <v>37</v>
      </c>
      <c r="F5" s="33" t="s">
        <v>37</v>
      </c>
      <c r="G5" s="33" t="s">
        <v>37</v>
      </c>
      <c r="H5" s="33" t="s">
        <v>37</v>
      </c>
      <c r="I5" s="33" t="s">
        <v>37</v>
      </c>
      <c r="J5" s="33" t="s">
        <v>37</v>
      </c>
      <c r="K5" s="33" t="s">
        <v>37</v>
      </c>
      <c r="L5" s="33" t="s">
        <v>37</v>
      </c>
      <c r="M5" s="33" t="s">
        <v>37</v>
      </c>
      <c r="N5" s="33" t="s">
        <v>37</v>
      </c>
      <c r="O5" s="33" t="s">
        <v>37</v>
      </c>
      <c r="P5" s="33" t="s">
        <v>37</v>
      </c>
      <c r="Q5" s="33" t="s">
        <v>37</v>
      </c>
      <c r="R5" s="148" t="s">
        <v>37</v>
      </c>
      <c r="S5" s="33" t="s">
        <v>37</v>
      </c>
      <c r="T5" s="33" t="s">
        <v>37</v>
      </c>
      <c r="U5" s="148" t="s">
        <v>37</v>
      </c>
      <c r="V5" s="33" t="s">
        <v>37</v>
      </c>
      <c r="W5" s="33" t="s">
        <v>37</v>
      </c>
      <c r="X5" s="33" t="s">
        <v>37</v>
      </c>
      <c r="Y5" s="33" t="s">
        <v>37</v>
      </c>
      <c r="Z5" s="33" t="s">
        <v>37</v>
      </c>
      <c r="AA5" s="33" t="s">
        <v>37</v>
      </c>
      <c r="AB5" s="33" t="s">
        <v>37</v>
      </c>
      <c r="AC5" s="33" t="s">
        <v>37</v>
      </c>
      <c r="AD5" s="33" t="s">
        <v>37</v>
      </c>
      <c r="AE5" s="33" t="s">
        <v>37</v>
      </c>
      <c r="AF5" s="6">
        <v>957</v>
      </c>
      <c r="AG5" s="6"/>
      <c r="AH5" s="35">
        <f>AG5+AF5-B5</f>
        <v>381</v>
      </c>
      <c r="AI5" s="35">
        <v>1306</v>
      </c>
      <c r="AJ5" s="35"/>
      <c r="AK5" s="35">
        <f>AJ5+AI5-AF5</f>
        <v>349</v>
      </c>
      <c r="AL5" s="35">
        <v>104</v>
      </c>
      <c r="AM5" s="6">
        <v>1560</v>
      </c>
      <c r="AN5" s="35">
        <f>AM5+AL5-AI5</f>
        <v>358</v>
      </c>
      <c r="AO5" s="6">
        <v>463</v>
      </c>
      <c r="AP5" s="6"/>
      <c r="AQ5" s="34">
        <f>AP5+AO5-AL5</f>
        <v>359</v>
      </c>
      <c r="AR5" s="35">
        <v>823</v>
      </c>
      <c r="AS5" s="35"/>
      <c r="AT5" s="35">
        <f>AS5+AR5-AO5</f>
        <v>360</v>
      </c>
      <c r="AU5" s="6">
        <v>70</v>
      </c>
      <c r="AV5" s="6">
        <v>1090</v>
      </c>
      <c r="AW5" s="35">
        <f>AV5+AU5-AR5</f>
        <v>337</v>
      </c>
      <c r="AX5" s="6"/>
      <c r="AY5" s="6"/>
      <c r="AZ5" s="35"/>
      <c r="BA5" s="35">
        <v>436</v>
      </c>
      <c r="BB5" s="35"/>
      <c r="BC5" s="35">
        <f>BB5+BA5-AU5</f>
        <v>366</v>
      </c>
      <c r="BD5" s="6">
        <v>792</v>
      </c>
      <c r="BE5" s="6"/>
      <c r="BF5" s="35">
        <f>BE5+BD5-BA5</f>
        <v>356</v>
      </c>
      <c r="BG5" s="6">
        <v>1153</v>
      </c>
      <c r="BH5" s="6"/>
      <c r="BI5" s="6">
        <f>BH5+BG5-BD5</f>
        <v>361</v>
      </c>
      <c r="BJ5" s="6">
        <v>1511</v>
      </c>
      <c r="BK5" s="6"/>
      <c r="BL5" s="6">
        <f>BK5+BJ5-BG5</f>
        <v>358</v>
      </c>
      <c r="BM5" s="6">
        <v>309</v>
      </c>
      <c r="BN5" s="6">
        <v>1560</v>
      </c>
      <c r="BO5" s="6">
        <f>BN5+BM5-BJ5</f>
        <v>358</v>
      </c>
      <c r="BP5" s="6">
        <v>0</v>
      </c>
      <c r="BQ5" s="6">
        <v>526</v>
      </c>
      <c r="BR5" s="35">
        <f>BQ5+BP5-BM5</f>
        <v>217</v>
      </c>
      <c r="BS5" s="6"/>
      <c r="BT5" s="6"/>
      <c r="BU5" s="6"/>
      <c r="BV5" s="6">
        <v>369</v>
      </c>
      <c r="BW5" s="6"/>
      <c r="BX5" s="35">
        <f>BW5+BV5-BP5</f>
        <v>369</v>
      </c>
      <c r="BY5" s="6">
        <v>742</v>
      </c>
      <c r="BZ5" s="6"/>
      <c r="CA5" s="6">
        <f>BZ5+BY5-BV5</f>
        <v>373</v>
      </c>
      <c r="CB5" s="6">
        <v>1108</v>
      </c>
      <c r="CC5" s="6"/>
      <c r="CD5" s="6">
        <f>CC5+CB5-BY5</f>
        <v>366</v>
      </c>
      <c r="CE5" s="6">
        <v>223</v>
      </c>
      <c r="CF5" s="6">
        <v>1214</v>
      </c>
      <c r="CG5" s="6">
        <f>CF5+CE5-CB5</f>
        <v>329</v>
      </c>
      <c r="CH5" s="6">
        <v>601</v>
      </c>
      <c r="CI5" s="6"/>
      <c r="CJ5" s="6">
        <f>CI5+CH5-CE5</f>
        <v>378</v>
      </c>
      <c r="CK5" s="6">
        <v>970</v>
      </c>
      <c r="CL5" s="6"/>
      <c r="CM5" s="6">
        <f>CL5+CK5-CH5</f>
        <v>369</v>
      </c>
      <c r="CN5" s="6"/>
      <c r="CO5" s="6"/>
      <c r="CP5" s="6"/>
      <c r="CQ5" s="6">
        <v>1361</v>
      </c>
      <c r="CR5" s="6"/>
      <c r="CS5" s="6">
        <f>CR5+CQ5-CK5</f>
        <v>391</v>
      </c>
      <c r="CT5" s="6">
        <v>182</v>
      </c>
      <c r="CU5" s="6">
        <v>1560</v>
      </c>
      <c r="CV5" s="6">
        <f>CU5+CT5-CQ5</f>
        <v>381</v>
      </c>
      <c r="CW5" s="6">
        <v>566</v>
      </c>
      <c r="CX5" s="6"/>
      <c r="CY5" s="6">
        <f>CX5+CW5-CT5</f>
        <v>384</v>
      </c>
      <c r="CZ5" s="6">
        <v>950</v>
      </c>
      <c r="DA5" s="6"/>
      <c r="DB5" s="6">
        <f>DA5+CZ5-CW5</f>
        <v>384</v>
      </c>
      <c r="DC5" s="6">
        <v>1338</v>
      </c>
      <c r="DD5" s="6"/>
      <c r="DE5" s="6">
        <f>DD5+DC5-CZ5</f>
        <v>388</v>
      </c>
      <c r="DF5" s="6">
        <v>148</v>
      </c>
      <c r="DG5" s="6">
        <v>1560</v>
      </c>
      <c r="DH5" s="6">
        <f>DG5+DF5-DC5</f>
        <v>370</v>
      </c>
      <c r="DI5" s="6"/>
      <c r="DJ5" s="6"/>
      <c r="DK5" s="6"/>
      <c r="DL5" s="6">
        <v>531</v>
      </c>
      <c r="DM5" s="6"/>
      <c r="DN5" s="6">
        <f>DM5+DL5-DF5</f>
        <v>383</v>
      </c>
      <c r="DO5" s="6">
        <v>889</v>
      </c>
      <c r="DP5" s="6"/>
      <c r="DQ5" s="6">
        <f>DP5+DO5-DL5</f>
        <v>358</v>
      </c>
    </row>
    <row r="6" spans="1:121">
      <c r="A6" s="6">
        <v>2</v>
      </c>
      <c r="B6" s="6">
        <v>955</v>
      </c>
      <c r="C6" s="6"/>
      <c r="D6" s="6">
        <v>328</v>
      </c>
      <c r="E6" s="33" t="s">
        <v>128</v>
      </c>
      <c r="F6" s="33" t="s">
        <v>128</v>
      </c>
      <c r="G6" s="33" t="s">
        <v>128</v>
      </c>
      <c r="H6" s="33" t="s">
        <v>128</v>
      </c>
      <c r="I6" s="33" t="s">
        <v>128</v>
      </c>
      <c r="J6" s="33" t="s">
        <v>128</v>
      </c>
      <c r="K6" s="33" t="s">
        <v>128</v>
      </c>
      <c r="L6" s="33" t="s">
        <v>128</v>
      </c>
      <c r="M6" s="33" t="s">
        <v>128</v>
      </c>
      <c r="N6" s="33" t="s">
        <v>128</v>
      </c>
      <c r="O6" s="33" t="s">
        <v>128</v>
      </c>
      <c r="P6" s="33" t="s">
        <v>128</v>
      </c>
      <c r="Q6" s="33" t="s">
        <v>128</v>
      </c>
      <c r="R6" s="33" t="s">
        <v>128</v>
      </c>
      <c r="S6" s="33" t="s">
        <v>128</v>
      </c>
      <c r="T6" s="33" t="s">
        <v>128</v>
      </c>
      <c r="U6" s="148" t="s">
        <v>128</v>
      </c>
      <c r="V6" s="33" t="s">
        <v>128</v>
      </c>
      <c r="W6" s="33" t="s">
        <v>128</v>
      </c>
      <c r="X6" s="33" t="s">
        <v>128</v>
      </c>
      <c r="Y6" s="33" t="s">
        <v>128</v>
      </c>
      <c r="Z6" s="33" t="s">
        <v>128</v>
      </c>
      <c r="AA6" s="33" t="s">
        <v>128</v>
      </c>
      <c r="AB6" s="33" t="s">
        <v>128</v>
      </c>
      <c r="AC6" s="33" t="s">
        <v>128</v>
      </c>
      <c r="AD6" s="33" t="s">
        <v>128</v>
      </c>
      <c r="AE6" s="33" t="s">
        <v>128</v>
      </c>
      <c r="AF6" s="6">
        <v>1332</v>
      </c>
      <c r="AG6" s="6"/>
      <c r="AH6" s="35">
        <f t="shared" ref="AH6:AH69" si="0">AG6+AF6-B6</f>
        <v>377</v>
      </c>
      <c r="AI6" s="35">
        <v>128</v>
      </c>
      <c r="AJ6" s="35">
        <v>1560</v>
      </c>
      <c r="AK6" s="35">
        <f t="shared" ref="AK6:AK69" si="1">AJ6+AI6-AF6</f>
        <v>356</v>
      </c>
      <c r="AL6" s="6">
        <v>485</v>
      </c>
      <c r="AM6" s="6"/>
      <c r="AN6" s="35">
        <f t="shared" ref="AN6:AN69" si="2">AM6+AL6-AI6</f>
        <v>357</v>
      </c>
      <c r="AO6" s="6">
        <v>841</v>
      </c>
      <c r="AP6" s="6"/>
      <c r="AQ6" s="34">
        <f t="shared" ref="AQ6:AQ69" si="3">AP6+AO6-AL6</f>
        <v>356</v>
      </c>
      <c r="AR6" s="35">
        <v>1195</v>
      </c>
      <c r="AS6" s="35"/>
      <c r="AT6" s="35">
        <f t="shared" ref="AT6:AT69" si="4">AS6+AR6-AO6</f>
        <v>354</v>
      </c>
      <c r="AU6" s="6">
        <v>7</v>
      </c>
      <c r="AV6" s="6">
        <v>1515</v>
      </c>
      <c r="AW6" s="35">
        <f t="shared" ref="AW6:AW69" si="5">AV6+AU6-AR6</f>
        <v>327</v>
      </c>
      <c r="AX6" s="6"/>
      <c r="AY6" s="6"/>
      <c r="AZ6" s="35"/>
      <c r="BA6" s="35">
        <v>363</v>
      </c>
      <c r="BB6" s="35"/>
      <c r="BC6" s="35">
        <f t="shared" ref="BC6:BC69" si="6">BB6+BA6-AU6</f>
        <v>356</v>
      </c>
      <c r="BD6" s="6">
        <v>711</v>
      </c>
      <c r="BE6" s="6"/>
      <c r="BF6" s="35">
        <f t="shared" ref="BF6:BF69" si="7">BE6+BD6-BA6</f>
        <v>348</v>
      </c>
      <c r="BG6" s="6">
        <v>1059</v>
      </c>
      <c r="BH6" s="6"/>
      <c r="BI6" s="6">
        <f t="shared" ref="BI6:BI69" si="8">BH6+BG6-BD6</f>
        <v>348</v>
      </c>
      <c r="BJ6" s="6">
        <v>1414</v>
      </c>
      <c r="BK6" s="6"/>
      <c r="BL6" s="6">
        <f t="shared" ref="BL6:BL69" si="9">BK6+BJ6-BG6</f>
        <v>355</v>
      </c>
      <c r="BM6" s="6">
        <v>209</v>
      </c>
      <c r="BN6" s="6">
        <v>1560</v>
      </c>
      <c r="BO6" s="6">
        <f t="shared" ref="BO6:BO69" si="10">BN6+BM6-BJ6</f>
        <v>355</v>
      </c>
      <c r="BP6" s="6">
        <v>543</v>
      </c>
      <c r="BQ6" s="6"/>
      <c r="BR6" s="35">
        <f t="shared" ref="BR6:BR69" si="11">BQ6+BP6-BM6</f>
        <v>334</v>
      </c>
      <c r="BS6" s="6"/>
      <c r="BT6" s="6"/>
      <c r="BU6" s="6"/>
      <c r="BV6" s="6">
        <v>919</v>
      </c>
      <c r="BW6" s="6"/>
      <c r="BX6" s="35">
        <f t="shared" ref="BX6:BX69" si="12">BW6+BV6-BP6</f>
        <v>376</v>
      </c>
      <c r="BY6" s="6">
        <v>1301</v>
      </c>
      <c r="BZ6" s="6"/>
      <c r="CA6" s="6">
        <f t="shared" ref="CA6:CA69" si="13">BZ6+BY6-BV6</f>
        <v>382</v>
      </c>
      <c r="CB6" s="6">
        <v>0</v>
      </c>
      <c r="CC6" s="6">
        <v>1663</v>
      </c>
      <c r="CD6" s="6">
        <f t="shared" ref="CD6:CD69" si="14">CC6+CB6-BY6</f>
        <v>362</v>
      </c>
      <c r="CE6" s="6">
        <v>345</v>
      </c>
      <c r="CF6" s="6"/>
      <c r="CG6" s="6">
        <f t="shared" ref="CG6:CG69" si="15">CF6+CE6-CB6</f>
        <v>345</v>
      </c>
      <c r="CH6" s="6">
        <v>709</v>
      </c>
      <c r="CI6" s="6"/>
      <c r="CJ6" s="6">
        <f t="shared" ref="CJ6:CJ69" si="16">CI6+CH6-CE6</f>
        <v>364</v>
      </c>
      <c r="CK6" s="6">
        <v>1083</v>
      </c>
      <c r="CL6" s="6"/>
      <c r="CM6" s="6">
        <f t="shared" ref="CM6:CM69" si="17">CL6+CK6-CH6</f>
        <v>374</v>
      </c>
      <c r="CN6" s="6"/>
      <c r="CO6" s="6"/>
      <c r="CP6" s="6"/>
      <c r="CQ6" s="6">
        <v>1475</v>
      </c>
      <c r="CR6" s="6"/>
      <c r="CS6" s="6">
        <f t="shared" ref="CS6:CS69" si="18">CR6+CQ6-CK6</f>
        <v>392</v>
      </c>
      <c r="CT6" s="6">
        <v>300</v>
      </c>
      <c r="CU6" s="6">
        <v>1560</v>
      </c>
      <c r="CV6" s="6">
        <f t="shared" ref="CV6:CV69" si="19">CU6+CT6-CQ6</f>
        <v>385</v>
      </c>
      <c r="CW6" s="6">
        <v>688</v>
      </c>
      <c r="CX6" s="6"/>
      <c r="CY6" s="6">
        <f t="shared" ref="CY6:CY69" si="20">CX6+CW6-CT6</f>
        <v>388</v>
      </c>
      <c r="CZ6" s="6">
        <v>1080</v>
      </c>
      <c r="DA6" s="6"/>
      <c r="DB6" s="6">
        <f t="shared" ref="DB6:DB69" si="21">DA6+CZ6-CW6</f>
        <v>392</v>
      </c>
      <c r="DC6" s="6">
        <v>1471</v>
      </c>
      <c r="DD6" s="6"/>
      <c r="DE6" s="6">
        <f t="shared" ref="DE6:DE69" si="22">DD6+DC6-CZ6</f>
        <v>391</v>
      </c>
      <c r="DF6" s="6">
        <v>271</v>
      </c>
      <c r="DG6" s="6">
        <v>1560</v>
      </c>
      <c r="DH6" s="6">
        <f t="shared" ref="DH6:DH69" si="23">DG6+DF6-DC6</f>
        <v>360</v>
      </c>
      <c r="DI6" s="6"/>
      <c r="DJ6" s="6"/>
      <c r="DK6" s="6"/>
      <c r="DL6" s="6">
        <v>658</v>
      </c>
      <c r="DM6" s="6"/>
      <c r="DN6" s="6">
        <f t="shared" ref="DN6:DN69" si="24">DM6+DL6-DF6</f>
        <v>387</v>
      </c>
      <c r="DO6" s="6">
        <v>1015</v>
      </c>
      <c r="DP6" s="6"/>
      <c r="DQ6" s="6">
        <f t="shared" ref="DQ6:DQ69" si="25">DP6+DO6-DL6</f>
        <v>357</v>
      </c>
    </row>
    <row r="7" spans="1:121">
      <c r="A7" s="6">
        <v>3</v>
      </c>
      <c r="B7" s="6">
        <v>388</v>
      </c>
      <c r="C7" s="6"/>
      <c r="D7" s="6">
        <v>331</v>
      </c>
      <c r="E7" s="33" t="s">
        <v>37</v>
      </c>
      <c r="F7" s="33" t="s">
        <v>37</v>
      </c>
      <c r="G7" s="33" t="s">
        <v>37</v>
      </c>
      <c r="H7" s="33" t="s">
        <v>37</v>
      </c>
      <c r="I7" s="33" t="s">
        <v>37</v>
      </c>
      <c r="J7" s="33" t="s">
        <v>37</v>
      </c>
      <c r="K7" s="33" t="s">
        <v>37</v>
      </c>
      <c r="L7" s="33" t="s">
        <v>37</v>
      </c>
      <c r="M7" s="148" t="s">
        <v>37</v>
      </c>
      <c r="N7" s="33" t="s">
        <v>37</v>
      </c>
      <c r="O7" s="33" t="s">
        <v>37</v>
      </c>
      <c r="P7" s="33" t="s">
        <v>37</v>
      </c>
      <c r="Q7" s="33" t="s">
        <v>37</v>
      </c>
      <c r="R7" s="33" t="s">
        <v>37</v>
      </c>
      <c r="S7" s="33" t="s">
        <v>37</v>
      </c>
      <c r="T7" s="33" t="s">
        <v>37</v>
      </c>
      <c r="U7" s="33" t="s">
        <v>37</v>
      </c>
      <c r="V7" s="33" t="s">
        <v>37</v>
      </c>
      <c r="W7" s="33" t="s">
        <v>37</v>
      </c>
      <c r="X7" s="33" t="s">
        <v>37</v>
      </c>
      <c r="Y7" s="33" t="s">
        <v>37</v>
      </c>
      <c r="Z7" s="33" t="s">
        <v>37</v>
      </c>
      <c r="AA7" s="33" t="s">
        <v>37</v>
      </c>
      <c r="AB7" s="33" t="s">
        <v>37</v>
      </c>
      <c r="AC7" s="33" t="s">
        <v>37</v>
      </c>
      <c r="AD7" s="33" t="s">
        <v>37</v>
      </c>
      <c r="AE7" s="33" t="s">
        <v>37</v>
      </c>
      <c r="AF7" s="6">
        <v>773</v>
      </c>
      <c r="AG7" s="6"/>
      <c r="AH7" s="35">
        <f t="shared" si="0"/>
        <v>385</v>
      </c>
      <c r="AI7" s="35">
        <v>1127</v>
      </c>
      <c r="AJ7" s="35"/>
      <c r="AK7" s="35">
        <f t="shared" si="1"/>
        <v>354</v>
      </c>
      <c r="AL7" s="35">
        <v>1479</v>
      </c>
      <c r="AM7" s="6"/>
      <c r="AN7" s="35">
        <f t="shared" si="2"/>
        <v>352</v>
      </c>
      <c r="AO7" s="6">
        <v>276</v>
      </c>
      <c r="AP7" s="6">
        <v>1560</v>
      </c>
      <c r="AQ7" s="34">
        <f t="shared" si="3"/>
        <v>357</v>
      </c>
      <c r="AR7" s="35">
        <v>640</v>
      </c>
      <c r="AS7" s="35"/>
      <c r="AT7" s="35">
        <f t="shared" si="4"/>
        <v>364</v>
      </c>
      <c r="AU7" s="6">
        <v>983</v>
      </c>
      <c r="AV7" s="6"/>
      <c r="AW7" s="35">
        <f t="shared" si="5"/>
        <v>343</v>
      </c>
      <c r="AX7" s="6"/>
      <c r="AY7" s="6"/>
      <c r="AZ7" s="35"/>
      <c r="BA7" s="35">
        <v>0</v>
      </c>
      <c r="BB7" s="35">
        <v>1302</v>
      </c>
      <c r="BC7" s="35">
        <f t="shared" si="6"/>
        <v>319</v>
      </c>
      <c r="BD7" s="6">
        <v>344</v>
      </c>
      <c r="BE7" s="6"/>
      <c r="BF7" s="35">
        <f t="shared" si="7"/>
        <v>344</v>
      </c>
      <c r="BG7" s="6">
        <v>704</v>
      </c>
      <c r="BH7" s="6"/>
      <c r="BI7" s="6">
        <f t="shared" si="8"/>
        <v>360</v>
      </c>
      <c r="BJ7" s="6">
        <v>1068</v>
      </c>
      <c r="BK7" s="6"/>
      <c r="BL7" s="6">
        <f t="shared" si="9"/>
        <v>364</v>
      </c>
      <c r="BM7" s="6">
        <v>1430</v>
      </c>
      <c r="BN7" s="6"/>
      <c r="BO7" s="6">
        <f t="shared" si="10"/>
        <v>362</v>
      </c>
      <c r="BP7" s="6">
        <v>206</v>
      </c>
      <c r="BQ7" s="6">
        <v>1560</v>
      </c>
      <c r="BR7" s="35">
        <f t="shared" si="11"/>
        <v>336</v>
      </c>
      <c r="BS7" s="6"/>
      <c r="BT7" s="6"/>
      <c r="BU7" s="6"/>
      <c r="BV7" s="6">
        <v>572</v>
      </c>
      <c r="BW7" s="6"/>
      <c r="BX7" s="35">
        <f t="shared" si="12"/>
        <v>366</v>
      </c>
      <c r="BY7" s="6">
        <v>949</v>
      </c>
      <c r="BZ7" s="6"/>
      <c r="CA7" s="6">
        <f t="shared" si="13"/>
        <v>377</v>
      </c>
      <c r="CB7" s="6">
        <v>1301</v>
      </c>
      <c r="CC7" s="6"/>
      <c r="CD7" s="6">
        <f t="shared" si="14"/>
        <v>352</v>
      </c>
      <c r="CE7" s="6">
        <v>125</v>
      </c>
      <c r="CF7" s="6">
        <v>1560</v>
      </c>
      <c r="CG7" s="6">
        <f t="shared" si="15"/>
        <v>384</v>
      </c>
      <c r="CH7" s="6">
        <v>510</v>
      </c>
      <c r="CI7" s="6"/>
      <c r="CJ7" s="6">
        <f t="shared" si="16"/>
        <v>385</v>
      </c>
      <c r="CK7" s="6">
        <v>883</v>
      </c>
      <c r="CL7" s="6"/>
      <c r="CM7" s="6">
        <f t="shared" si="17"/>
        <v>373</v>
      </c>
      <c r="CN7" s="6"/>
      <c r="CO7" s="6"/>
      <c r="CP7" s="6"/>
      <c r="CQ7" s="6">
        <v>1259</v>
      </c>
      <c r="CR7" s="6"/>
      <c r="CS7" s="6">
        <f t="shared" si="18"/>
        <v>376</v>
      </c>
      <c r="CT7" s="6">
        <v>72</v>
      </c>
      <c r="CU7" s="6">
        <v>1560</v>
      </c>
      <c r="CV7" s="6">
        <f t="shared" si="19"/>
        <v>373</v>
      </c>
      <c r="CW7" s="6">
        <v>450</v>
      </c>
      <c r="CX7" s="6"/>
      <c r="CY7" s="6">
        <f t="shared" si="20"/>
        <v>378</v>
      </c>
      <c r="CZ7" s="6">
        <v>838</v>
      </c>
      <c r="DA7" s="6"/>
      <c r="DB7" s="6">
        <f t="shared" si="21"/>
        <v>388</v>
      </c>
      <c r="DC7" s="6">
        <v>1231</v>
      </c>
      <c r="DD7" s="6"/>
      <c r="DE7" s="6">
        <f t="shared" si="22"/>
        <v>393</v>
      </c>
      <c r="DF7" s="6">
        <v>343</v>
      </c>
      <c r="DG7" s="6">
        <v>1261</v>
      </c>
      <c r="DH7" s="6">
        <f t="shared" si="23"/>
        <v>373</v>
      </c>
      <c r="DI7" s="6"/>
      <c r="DJ7" s="6"/>
      <c r="DK7" s="6"/>
      <c r="DL7" s="6">
        <v>728</v>
      </c>
      <c r="DM7" s="6"/>
      <c r="DN7" s="6">
        <f t="shared" si="24"/>
        <v>385</v>
      </c>
      <c r="DO7" s="6">
        <v>1083</v>
      </c>
      <c r="DP7" s="6"/>
      <c r="DQ7" s="6">
        <f t="shared" si="25"/>
        <v>355</v>
      </c>
    </row>
    <row r="8" spans="1:121">
      <c r="A8" s="6">
        <v>4</v>
      </c>
      <c r="B8" s="6">
        <v>317</v>
      </c>
      <c r="C8" s="6"/>
      <c r="D8" s="6">
        <v>317</v>
      </c>
      <c r="E8" s="148" t="s">
        <v>37</v>
      </c>
      <c r="F8" s="33" t="s">
        <v>37</v>
      </c>
      <c r="G8" s="33" t="s">
        <v>37</v>
      </c>
      <c r="H8" s="33" t="s">
        <v>37</v>
      </c>
      <c r="I8" s="33" t="s">
        <v>37</v>
      </c>
      <c r="J8" s="33" t="s">
        <v>37</v>
      </c>
      <c r="K8" s="33" t="s">
        <v>37</v>
      </c>
      <c r="L8" s="33" t="s">
        <v>37</v>
      </c>
      <c r="M8" s="33" t="s">
        <v>37</v>
      </c>
      <c r="N8" s="33" t="s">
        <v>37</v>
      </c>
      <c r="O8" s="33" t="s">
        <v>37</v>
      </c>
      <c r="P8" s="33" t="s">
        <v>37</v>
      </c>
      <c r="Q8" s="33" t="s">
        <v>37</v>
      </c>
      <c r="R8" s="33" t="s">
        <v>37</v>
      </c>
      <c r="S8" s="33" t="s">
        <v>37</v>
      </c>
      <c r="T8" s="33" t="s">
        <v>37</v>
      </c>
      <c r="U8" s="33" t="s">
        <v>37</v>
      </c>
      <c r="V8" s="33" t="s">
        <v>37</v>
      </c>
      <c r="W8" s="33" t="s">
        <v>37</v>
      </c>
      <c r="X8" s="33" t="s">
        <v>37</v>
      </c>
      <c r="Y8" s="33" t="s">
        <v>37</v>
      </c>
      <c r="Z8" s="33" t="s">
        <v>37</v>
      </c>
      <c r="AA8" s="148" t="s">
        <v>37</v>
      </c>
      <c r="AB8" s="33" t="s">
        <v>37</v>
      </c>
      <c r="AC8" s="33" t="s">
        <v>37</v>
      </c>
      <c r="AD8" s="33" t="s">
        <v>37</v>
      </c>
      <c r="AE8" s="33" t="s">
        <v>37</v>
      </c>
      <c r="AF8" s="6">
        <v>691</v>
      </c>
      <c r="AG8" s="6"/>
      <c r="AH8" s="35">
        <f t="shared" si="0"/>
        <v>374</v>
      </c>
      <c r="AI8" s="35">
        <v>1046</v>
      </c>
      <c r="AJ8" s="35"/>
      <c r="AK8" s="35">
        <f t="shared" si="1"/>
        <v>355</v>
      </c>
      <c r="AL8" s="6">
        <v>1406</v>
      </c>
      <c r="AM8" s="6"/>
      <c r="AN8" s="35">
        <f t="shared" si="2"/>
        <v>360</v>
      </c>
      <c r="AO8" s="6">
        <v>201</v>
      </c>
      <c r="AP8" s="6">
        <v>1560</v>
      </c>
      <c r="AQ8" s="34">
        <f t="shared" si="3"/>
        <v>355</v>
      </c>
      <c r="AR8" s="35">
        <v>559</v>
      </c>
      <c r="AS8" s="35"/>
      <c r="AT8" s="35">
        <f t="shared" si="4"/>
        <v>358</v>
      </c>
      <c r="AU8" s="6">
        <v>898</v>
      </c>
      <c r="AV8" s="6"/>
      <c r="AW8" s="35">
        <f t="shared" si="5"/>
        <v>339</v>
      </c>
      <c r="AX8" s="6"/>
      <c r="AY8" s="6"/>
      <c r="AZ8" s="35"/>
      <c r="BA8" s="35">
        <v>1268</v>
      </c>
      <c r="BB8" s="35"/>
      <c r="BC8" s="35">
        <f t="shared" si="6"/>
        <v>370</v>
      </c>
      <c r="BD8" s="6">
        <v>67</v>
      </c>
      <c r="BE8" s="6">
        <v>1560</v>
      </c>
      <c r="BF8" s="35">
        <f t="shared" si="7"/>
        <v>359</v>
      </c>
      <c r="BG8" s="6">
        <v>422</v>
      </c>
      <c r="BH8" s="6"/>
      <c r="BI8" s="6">
        <f t="shared" si="8"/>
        <v>355</v>
      </c>
      <c r="BJ8" s="6">
        <v>785</v>
      </c>
      <c r="BK8" s="6"/>
      <c r="BL8" s="6">
        <f t="shared" si="9"/>
        <v>363</v>
      </c>
      <c r="BM8" s="6">
        <v>1151</v>
      </c>
      <c r="BN8" s="6"/>
      <c r="BO8" s="6">
        <f t="shared" si="10"/>
        <v>366</v>
      </c>
      <c r="BP8" s="6">
        <v>1486</v>
      </c>
      <c r="BQ8" s="6"/>
      <c r="BR8" s="35">
        <f t="shared" si="11"/>
        <v>335</v>
      </c>
      <c r="BS8" s="6"/>
      <c r="BT8" s="6"/>
      <c r="BU8" s="6"/>
      <c r="BV8" s="6">
        <v>302</v>
      </c>
      <c r="BW8" s="6">
        <v>1563</v>
      </c>
      <c r="BX8" s="35">
        <f t="shared" si="12"/>
        <v>379</v>
      </c>
      <c r="BY8" s="6">
        <v>679</v>
      </c>
      <c r="BZ8" s="6"/>
      <c r="CA8" s="6">
        <f t="shared" si="13"/>
        <v>377</v>
      </c>
      <c r="CB8" s="6">
        <v>1061</v>
      </c>
      <c r="CC8" s="6"/>
      <c r="CD8" s="6">
        <f t="shared" si="14"/>
        <v>382</v>
      </c>
      <c r="CE8" s="6">
        <v>1430</v>
      </c>
      <c r="CF8" s="6"/>
      <c r="CG8" s="6">
        <f t="shared" si="15"/>
        <v>369</v>
      </c>
      <c r="CH8" s="6">
        <v>241</v>
      </c>
      <c r="CI8" s="6">
        <v>1560</v>
      </c>
      <c r="CJ8" s="6">
        <f t="shared" si="16"/>
        <v>371</v>
      </c>
      <c r="CK8" s="6">
        <v>612</v>
      </c>
      <c r="CL8" s="6"/>
      <c r="CM8" s="6">
        <f t="shared" si="17"/>
        <v>371</v>
      </c>
      <c r="CN8" s="6"/>
      <c r="CO8" s="6"/>
      <c r="CP8" s="6"/>
      <c r="CQ8" s="6">
        <v>1000</v>
      </c>
      <c r="CR8" s="6"/>
      <c r="CS8" s="6">
        <f t="shared" si="18"/>
        <v>388</v>
      </c>
      <c r="CT8" s="6">
        <v>1384</v>
      </c>
      <c r="CU8" s="6"/>
      <c r="CV8" s="6">
        <f t="shared" si="19"/>
        <v>384</v>
      </c>
      <c r="CW8" s="6">
        <v>0</v>
      </c>
      <c r="CX8" s="6">
        <v>1630</v>
      </c>
      <c r="CY8" s="6">
        <f t="shared" si="20"/>
        <v>246</v>
      </c>
      <c r="CZ8" s="6">
        <v>324</v>
      </c>
      <c r="DA8" s="6"/>
      <c r="DB8" s="6">
        <f t="shared" si="21"/>
        <v>324</v>
      </c>
      <c r="DC8" s="6">
        <v>710</v>
      </c>
      <c r="DD8" s="6"/>
      <c r="DE8" s="6">
        <f t="shared" si="22"/>
        <v>386</v>
      </c>
      <c r="DF8" s="6">
        <v>1079</v>
      </c>
      <c r="DG8" s="6"/>
      <c r="DH8" s="6">
        <f t="shared" si="23"/>
        <v>369</v>
      </c>
      <c r="DI8" s="6"/>
      <c r="DJ8" s="6"/>
      <c r="DK8" s="6"/>
      <c r="DL8" s="6">
        <v>1468</v>
      </c>
      <c r="DM8" s="6"/>
      <c r="DN8" s="6">
        <f t="shared" si="24"/>
        <v>389</v>
      </c>
      <c r="DO8" s="6">
        <v>271</v>
      </c>
      <c r="DP8" s="6">
        <v>1560</v>
      </c>
      <c r="DQ8" s="6">
        <f t="shared" si="25"/>
        <v>363</v>
      </c>
    </row>
    <row r="9" spans="1:121">
      <c r="A9" s="6">
        <v>5</v>
      </c>
      <c r="B9" s="6">
        <v>85</v>
      </c>
      <c r="C9" s="6">
        <v>522</v>
      </c>
      <c r="D9" s="6">
        <v>333</v>
      </c>
      <c r="E9" s="33" t="s">
        <v>37</v>
      </c>
      <c r="F9" s="33" t="s">
        <v>37</v>
      </c>
      <c r="G9" s="33" t="s">
        <v>37</v>
      </c>
      <c r="H9" s="33" t="s">
        <v>37</v>
      </c>
      <c r="I9" s="33" t="s">
        <v>37</v>
      </c>
      <c r="J9" s="33" t="s">
        <v>37</v>
      </c>
      <c r="K9" s="33" t="s">
        <v>37</v>
      </c>
      <c r="L9" s="33" t="s">
        <v>37</v>
      </c>
      <c r="M9" s="148" t="s">
        <v>37</v>
      </c>
      <c r="N9" s="33" t="s">
        <v>37</v>
      </c>
      <c r="O9" s="33" t="s">
        <v>37</v>
      </c>
      <c r="P9" s="33" t="s">
        <v>37</v>
      </c>
      <c r="Q9" s="33" t="s">
        <v>37</v>
      </c>
      <c r="R9" s="33" t="s">
        <v>37</v>
      </c>
      <c r="S9" s="33" t="s">
        <v>37</v>
      </c>
      <c r="T9" s="33" t="s">
        <v>37</v>
      </c>
      <c r="U9" s="33" t="s">
        <v>37</v>
      </c>
      <c r="V9" s="33" t="s">
        <v>37</v>
      </c>
      <c r="W9" s="33" t="s">
        <v>37</v>
      </c>
      <c r="X9" s="33" t="s">
        <v>37</v>
      </c>
      <c r="Y9" s="33" t="s">
        <v>37</v>
      </c>
      <c r="Z9" s="33" t="s">
        <v>37</v>
      </c>
      <c r="AA9" s="33" t="s">
        <v>37</v>
      </c>
      <c r="AB9" s="33" t="s">
        <v>37</v>
      </c>
      <c r="AC9" s="33" t="s">
        <v>37</v>
      </c>
      <c r="AD9" s="33" t="s">
        <v>37</v>
      </c>
      <c r="AE9" s="33" t="s">
        <v>37</v>
      </c>
      <c r="AF9" s="6">
        <v>474</v>
      </c>
      <c r="AG9" s="6"/>
      <c r="AH9" s="35">
        <f t="shared" si="0"/>
        <v>389</v>
      </c>
      <c r="AI9" s="35">
        <v>834</v>
      </c>
      <c r="AJ9" s="35"/>
      <c r="AK9" s="35">
        <f t="shared" si="1"/>
        <v>360</v>
      </c>
      <c r="AL9" s="35">
        <v>1200</v>
      </c>
      <c r="AM9" s="6"/>
      <c r="AN9" s="35">
        <f t="shared" si="2"/>
        <v>366</v>
      </c>
      <c r="AO9" s="6">
        <v>1</v>
      </c>
      <c r="AP9" s="6">
        <v>1560</v>
      </c>
      <c r="AQ9" s="34">
        <f t="shared" si="3"/>
        <v>361</v>
      </c>
      <c r="AR9" s="35">
        <v>371</v>
      </c>
      <c r="AS9" s="35"/>
      <c r="AT9" s="35">
        <f t="shared" si="4"/>
        <v>370</v>
      </c>
      <c r="AU9" s="6">
        <v>712</v>
      </c>
      <c r="AV9" s="6"/>
      <c r="AW9" s="35">
        <f t="shared" si="5"/>
        <v>341</v>
      </c>
      <c r="AX9" s="6"/>
      <c r="AY9" s="6"/>
      <c r="AZ9" s="35"/>
      <c r="BA9" s="35">
        <v>1086</v>
      </c>
      <c r="BB9" s="35"/>
      <c r="BC9" s="35">
        <f t="shared" si="6"/>
        <v>374</v>
      </c>
      <c r="BD9" s="6">
        <v>320</v>
      </c>
      <c r="BE9" s="6">
        <v>1107</v>
      </c>
      <c r="BF9" s="35">
        <f t="shared" si="7"/>
        <v>341</v>
      </c>
      <c r="BG9" s="6">
        <v>684</v>
      </c>
      <c r="BH9" s="6"/>
      <c r="BI9" s="6">
        <f t="shared" si="8"/>
        <v>364</v>
      </c>
      <c r="BJ9" s="6">
        <v>1042</v>
      </c>
      <c r="BK9" s="6"/>
      <c r="BL9" s="6">
        <f t="shared" si="9"/>
        <v>358</v>
      </c>
      <c r="BM9" s="6">
        <v>1401</v>
      </c>
      <c r="BN9" s="6"/>
      <c r="BO9" s="6">
        <f t="shared" si="10"/>
        <v>359</v>
      </c>
      <c r="BP9" s="6">
        <v>173</v>
      </c>
      <c r="BQ9" s="6">
        <v>1561</v>
      </c>
      <c r="BR9" s="35">
        <f t="shared" si="11"/>
        <v>333</v>
      </c>
      <c r="BS9" s="6"/>
      <c r="BT9" s="6"/>
      <c r="BU9" s="6"/>
      <c r="BV9" s="6">
        <v>562</v>
      </c>
      <c r="BW9" s="6"/>
      <c r="BX9" s="35">
        <f t="shared" si="12"/>
        <v>389</v>
      </c>
      <c r="BY9" s="6">
        <v>946</v>
      </c>
      <c r="BZ9" s="6"/>
      <c r="CA9" s="6">
        <f t="shared" si="13"/>
        <v>384</v>
      </c>
      <c r="CB9" s="6">
        <v>1327</v>
      </c>
      <c r="CC9" s="6"/>
      <c r="CD9" s="6">
        <f t="shared" si="14"/>
        <v>381</v>
      </c>
      <c r="CE9" s="6">
        <v>143</v>
      </c>
      <c r="CF9" s="6">
        <v>1560</v>
      </c>
      <c r="CG9" s="6">
        <f t="shared" si="15"/>
        <v>376</v>
      </c>
      <c r="CH9" s="6">
        <v>520</v>
      </c>
      <c r="CI9" s="6"/>
      <c r="CJ9" s="6">
        <f t="shared" si="16"/>
        <v>377</v>
      </c>
      <c r="CK9" s="6">
        <v>890</v>
      </c>
      <c r="CL9" s="6"/>
      <c r="CM9" s="6">
        <f t="shared" si="17"/>
        <v>370</v>
      </c>
      <c r="CN9" s="6"/>
      <c r="CO9" s="6"/>
      <c r="CP9" s="6"/>
      <c r="CQ9" s="6">
        <v>160</v>
      </c>
      <c r="CR9" s="6">
        <v>1109</v>
      </c>
      <c r="CS9" s="6">
        <f t="shared" si="18"/>
        <v>379</v>
      </c>
      <c r="CT9" s="6">
        <v>525</v>
      </c>
      <c r="CU9" s="6"/>
      <c r="CV9" s="6">
        <f t="shared" si="19"/>
        <v>365</v>
      </c>
      <c r="CW9" s="6">
        <v>892</v>
      </c>
      <c r="CX9" s="6"/>
      <c r="CY9" s="6">
        <f t="shared" si="20"/>
        <v>367</v>
      </c>
      <c r="CZ9" s="6">
        <v>1256</v>
      </c>
      <c r="DA9" s="6"/>
      <c r="DB9" s="6">
        <f t="shared" si="21"/>
        <v>364</v>
      </c>
      <c r="DC9" s="6">
        <v>67</v>
      </c>
      <c r="DD9" s="6">
        <v>1560</v>
      </c>
      <c r="DE9" s="6">
        <f t="shared" si="22"/>
        <v>371</v>
      </c>
      <c r="DF9" s="6">
        <v>421</v>
      </c>
      <c r="DG9" s="6"/>
      <c r="DH9" s="6">
        <f t="shared" si="23"/>
        <v>354</v>
      </c>
      <c r="DI9" s="6"/>
      <c r="DJ9" s="6"/>
      <c r="DK9" s="6"/>
      <c r="DL9" s="6">
        <v>794</v>
      </c>
      <c r="DM9" s="6"/>
      <c r="DN9" s="6">
        <f t="shared" si="24"/>
        <v>373</v>
      </c>
      <c r="DO9" s="6">
        <v>1137</v>
      </c>
      <c r="DP9" s="6"/>
      <c r="DQ9" s="6">
        <f t="shared" si="25"/>
        <v>343</v>
      </c>
    </row>
    <row r="10" spans="1:121">
      <c r="A10" s="6">
        <v>6</v>
      </c>
      <c r="B10" s="6">
        <v>1423</v>
      </c>
      <c r="C10" s="6"/>
      <c r="D10" s="6">
        <v>335</v>
      </c>
      <c r="E10" s="33" t="s">
        <v>128</v>
      </c>
      <c r="F10" s="33" t="s">
        <v>128</v>
      </c>
      <c r="G10" s="33" t="s">
        <v>128</v>
      </c>
      <c r="H10" s="33" t="s">
        <v>128</v>
      </c>
      <c r="I10" s="33" t="s">
        <v>128</v>
      </c>
      <c r="J10" s="33" t="s">
        <v>128</v>
      </c>
      <c r="K10" s="33" t="s">
        <v>128</v>
      </c>
      <c r="L10" s="33" t="s">
        <v>128</v>
      </c>
      <c r="M10" s="33" t="s">
        <v>128</v>
      </c>
      <c r="N10" s="33" t="s">
        <v>128</v>
      </c>
      <c r="O10" s="33" t="s">
        <v>128</v>
      </c>
      <c r="P10" s="33" t="s">
        <v>128</v>
      </c>
      <c r="Q10" s="33" t="s">
        <v>128</v>
      </c>
      <c r="R10" s="33" t="s">
        <v>128</v>
      </c>
      <c r="S10" s="33" t="s">
        <v>128</v>
      </c>
      <c r="T10" s="33" t="s">
        <v>128</v>
      </c>
      <c r="U10" s="33" t="s">
        <v>128</v>
      </c>
      <c r="V10" s="33" t="s">
        <v>128</v>
      </c>
      <c r="W10" s="33" t="s">
        <v>128</v>
      </c>
      <c r="X10" s="148" t="s">
        <v>128</v>
      </c>
      <c r="Y10" s="33" t="s">
        <v>128</v>
      </c>
      <c r="Z10" s="33" t="s">
        <v>128</v>
      </c>
      <c r="AA10" s="33" t="s">
        <v>128</v>
      </c>
      <c r="AB10" s="33" t="s">
        <v>128</v>
      </c>
      <c r="AC10" s="148" t="s">
        <v>128</v>
      </c>
      <c r="AD10" s="33" t="s">
        <v>128</v>
      </c>
      <c r="AE10" s="33" t="s">
        <v>128</v>
      </c>
      <c r="AF10" s="6">
        <v>240</v>
      </c>
      <c r="AG10" s="6">
        <v>1560</v>
      </c>
      <c r="AH10" s="35">
        <f t="shared" si="0"/>
        <v>377</v>
      </c>
      <c r="AI10" s="35">
        <v>599</v>
      </c>
      <c r="AJ10" s="35"/>
      <c r="AK10" s="35">
        <f t="shared" si="1"/>
        <v>359</v>
      </c>
      <c r="AL10" s="6">
        <v>958</v>
      </c>
      <c r="AM10" s="6"/>
      <c r="AN10" s="35">
        <f t="shared" si="2"/>
        <v>359</v>
      </c>
      <c r="AO10" s="6">
        <v>1318</v>
      </c>
      <c r="AP10" s="6"/>
      <c r="AQ10" s="34">
        <f t="shared" si="3"/>
        <v>360</v>
      </c>
      <c r="AR10" s="35">
        <v>120</v>
      </c>
      <c r="AS10" s="35">
        <v>1560</v>
      </c>
      <c r="AT10" s="35">
        <f t="shared" si="4"/>
        <v>362</v>
      </c>
      <c r="AU10" s="6">
        <v>462</v>
      </c>
      <c r="AV10" s="6"/>
      <c r="AW10" s="35">
        <f t="shared" si="5"/>
        <v>342</v>
      </c>
      <c r="AX10" s="6"/>
      <c r="AY10" s="6"/>
      <c r="AZ10" s="35"/>
      <c r="BA10" s="35">
        <v>827</v>
      </c>
      <c r="BB10" s="35"/>
      <c r="BC10" s="35">
        <f t="shared" si="6"/>
        <v>365</v>
      </c>
      <c r="BD10" s="6">
        <v>1185</v>
      </c>
      <c r="BE10" s="6"/>
      <c r="BF10" s="35">
        <f t="shared" si="7"/>
        <v>358</v>
      </c>
      <c r="BG10" s="6">
        <v>1546</v>
      </c>
      <c r="BH10" s="6"/>
      <c r="BI10" s="6">
        <f t="shared" si="8"/>
        <v>361</v>
      </c>
      <c r="BJ10" s="6">
        <v>339</v>
      </c>
      <c r="BK10" s="6">
        <v>1560</v>
      </c>
      <c r="BL10" s="6">
        <f t="shared" si="9"/>
        <v>353</v>
      </c>
      <c r="BM10" s="6">
        <v>703</v>
      </c>
      <c r="BN10" s="6"/>
      <c r="BO10" s="6">
        <f t="shared" si="10"/>
        <v>364</v>
      </c>
      <c r="BP10" s="6">
        <v>1036</v>
      </c>
      <c r="BQ10" s="6"/>
      <c r="BR10" s="35">
        <f t="shared" si="11"/>
        <v>333</v>
      </c>
      <c r="BS10" s="6"/>
      <c r="BT10" s="6"/>
      <c r="BU10" s="6"/>
      <c r="BV10" s="6">
        <v>1403</v>
      </c>
      <c r="BW10" s="6"/>
      <c r="BX10" s="35">
        <f t="shared" si="12"/>
        <v>367</v>
      </c>
      <c r="BY10" s="6">
        <v>211</v>
      </c>
      <c r="BZ10" s="6">
        <v>1560</v>
      </c>
      <c r="CA10" s="6">
        <f t="shared" si="13"/>
        <v>368</v>
      </c>
      <c r="CB10" s="6">
        <v>582</v>
      </c>
      <c r="CC10" s="6"/>
      <c r="CD10" s="6">
        <f t="shared" si="14"/>
        <v>371</v>
      </c>
      <c r="CE10" s="6">
        <v>965</v>
      </c>
      <c r="CF10" s="6"/>
      <c r="CG10" s="6">
        <f t="shared" si="15"/>
        <v>383</v>
      </c>
      <c r="CH10" s="6">
        <v>1352</v>
      </c>
      <c r="CI10" s="6"/>
      <c r="CJ10" s="6">
        <f t="shared" si="16"/>
        <v>387</v>
      </c>
      <c r="CK10" s="6">
        <v>0</v>
      </c>
      <c r="CL10" s="6">
        <v>1625</v>
      </c>
      <c r="CM10" s="6">
        <f t="shared" si="17"/>
        <v>273</v>
      </c>
      <c r="CN10" s="6"/>
      <c r="CO10" s="6"/>
      <c r="CP10" s="6"/>
      <c r="CQ10" s="6">
        <v>370</v>
      </c>
      <c r="CR10" s="6"/>
      <c r="CS10" s="6">
        <f t="shared" si="18"/>
        <v>370</v>
      </c>
      <c r="CT10" s="6">
        <v>741</v>
      </c>
      <c r="CU10" s="6"/>
      <c r="CV10" s="6">
        <f t="shared" si="19"/>
        <v>371</v>
      </c>
      <c r="CW10" s="6">
        <v>1131</v>
      </c>
      <c r="CX10" s="6"/>
      <c r="CY10" s="6">
        <f t="shared" si="20"/>
        <v>390</v>
      </c>
      <c r="CZ10" s="6">
        <v>1516</v>
      </c>
      <c r="DA10" s="6"/>
      <c r="DB10" s="6">
        <f t="shared" si="21"/>
        <v>385</v>
      </c>
      <c r="DC10" s="6">
        <v>338</v>
      </c>
      <c r="DD10" s="6">
        <v>1560</v>
      </c>
      <c r="DE10" s="6">
        <f t="shared" si="22"/>
        <v>382</v>
      </c>
      <c r="DF10" s="6">
        <v>223</v>
      </c>
      <c r="DG10" s="6">
        <v>463</v>
      </c>
      <c r="DH10" s="6">
        <f t="shared" si="23"/>
        <v>348</v>
      </c>
      <c r="DI10" s="6"/>
      <c r="DJ10" s="6"/>
      <c r="DK10" s="6"/>
      <c r="DL10" s="6">
        <v>608</v>
      </c>
      <c r="DM10" s="6"/>
      <c r="DN10" s="6">
        <f t="shared" si="24"/>
        <v>385</v>
      </c>
      <c r="DO10" s="6">
        <v>953</v>
      </c>
      <c r="DP10" s="6"/>
      <c r="DQ10" s="6">
        <f t="shared" si="25"/>
        <v>345</v>
      </c>
    </row>
    <row r="11" spans="1:121">
      <c r="A11" s="6">
        <v>7</v>
      </c>
      <c r="B11" s="6">
        <v>1050</v>
      </c>
      <c r="C11" s="6"/>
      <c r="D11" s="6">
        <v>339</v>
      </c>
      <c r="E11" s="33" t="s">
        <v>37</v>
      </c>
      <c r="F11" s="33" t="s">
        <v>37</v>
      </c>
      <c r="G11" s="33" t="s">
        <v>37</v>
      </c>
      <c r="H11" s="33" t="s">
        <v>37</v>
      </c>
      <c r="I11" s="33" t="s">
        <v>37</v>
      </c>
      <c r="J11" s="33" t="s">
        <v>37</v>
      </c>
      <c r="K11" s="33" t="s">
        <v>37</v>
      </c>
      <c r="L11" s="33" t="s">
        <v>37</v>
      </c>
      <c r="M11" s="33" t="s">
        <v>37</v>
      </c>
      <c r="N11" s="33" t="s">
        <v>37</v>
      </c>
      <c r="O11" s="148" t="s">
        <v>37</v>
      </c>
      <c r="P11" s="33" t="s">
        <v>37</v>
      </c>
      <c r="Q11" s="33" t="s">
        <v>37</v>
      </c>
      <c r="R11" s="33" t="s">
        <v>37</v>
      </c>
      <c r="S11" s="33" t="s">
        <v>37</v>
      </c>
      <c r="T11" s="33" t="s">
        <v>37</v>
      </c>
      <c r="U11" s="33" t="s">
        <v>37</v>
      </c>
      <c r="V11" s="33" t="s">
        <v>37</v>
      </c>
      <c r="W11" s="33" t="s">
        <v>37</v>
      </c>
      <c r="X11" s="33" t="s">
        <v>37</v>
      </c>
      <c r="Y11" s="33" t="s">
        <v>37</v>
      </c>
      <c r="Z11" s="33" t="s">
        <v>37</v>
      </c>
      <c r="AA11" s="33" t="s">
        <v>37</v>
      </c>
      <c r="AB11" s="33" t="s">
        <v>37</v>
      </c>
      <c r="AC11" s="33" t="s">
        <v>37</v>
      </c>
      <c r="AD11" s="33" t="s">
        <v>37</v>
      </c>
      <c r="AE11" s="33" t="s">
        <v>37</v>
      </c>
      <c r="AF11" s="6">
        <v>1435</v>
      </c>
      <c r="AG11" s="35"/>
      <c r="AH11" s="35">
        <f t="shared" si="0"/>
        <v>385</v>
      </c>
      <c r="AI11" s="35">
        <v>236</v>
      </c>
      <c r="AJ11" s="35">
        <v>1560</v>
      </c>
      <c r="AK11" s="35">
        <f t="shared" si="1"/>
        <v>361</v>
      </c>
      <c r="AL11" s="35">
        <v>599</v>
      </c>
      <c r="AM11" s="6"/>
      <c r="AN11" s="35">
        <f t="shared" si="2"/>
        <v>363</v>
      </c>
      <c r="AO11" s="6">
        <v>964</v>
      </c>
      <c r="AP11" s="6"/>
      <c r="AQ11" s="34">
        <f t="shared" si="3"/>
        <v>365</v>
      </c>
      <c r="AR11" s="35">
        <v>1333</v>
      </c>
      <c r="AS11" s="35"/>
      <c r="AT11" s="35">
        <f t="shared" si="4"/>
        <v>369</v>
      </c>
      <c r="AU11" s="6">
        <v>117</v>
      </c>
      <c r="AV11" s="6">
        <v>1560</v>
      </c>
      <c r="AW11" s="35">
        <f t="shared" si="5"/>
        <v>344</v>
      </c>
      <c r="AX11" s="6"/>
      <c r="AY11" s="6"/>
      <c r="AZ11" s="35"/>
      <c r="BA11" s="35">
        <v>490</v>
      </c>
      <c r="BB11" s="35"/>
      <c r="BC11" s="35">
        <f t="shared" si="6"/>
        <v>373</v>
      </c>
      <c r="BD11" s="6">
        <v>846</v>
      </c>
      <c r="BE11" s="6"/>
      <c r="BF11" s="35">
        <f t="shared" si="7"/>
        <v>356</v>
      </c>
      <c r="BG11" s="6">
        <v>1203</v>
      </c>
      <c r="BH11" s="6"/>
      <c r="BI11" s="6">
        <f t="shared" si="8"/>
        <v>357</v>
      </c>
      <c r="BJ11" s="6">
        <v>322</v>
      </c>
      <c r="BK11" s="6">
        <v>1216</v>
      </c>
      <c r="BL11" s="6">
        <f t="shared" si="9"/>
        <v>335</v>
      </c>
      <c r="BM11" s="6">
        <v>720</v>
      </c>
      <c r="BN11" s="6"/>
      <c r="BO11" s="6">
        <f t="shared" si="10"/>
        <v>398</v>
      </c>
      <c r="BP11" s="6">
        <v>1110</v>
      </c>
      <c r="BQ11" s="6"/>
      <c r="BR11" s="35">
        <f t="shared" si="11"/>
        <v>390</v>
      </c>
      <c r="BS11" s="6"/>
      <c r="BT11" s="6"/>
      <c r="BU11" s="6"/>
      <c r="BV11" s="6">
        <v>1525</v>
      </c>
      <c r="BW11" s="6"/>
      <c r="BX11" s="35">
        <f t="shared" si="12"/>
        <v>415</v>
      </c>
      <c r="BY11" s="6">
        <v>378</v>
      </c>
      <c r="BZ11" s="6">
        <v>1560</v>
      </c>
      <c r="CA11" s="6">
        <f t="shared" si="13"/>
        <v>413</v>
      </c>
      <c r="CB11" s="6">
        <v>792</v>
      </c>
      <c r="CC11" s="6"/>
      <c r="CD11" s="6">
        <f t="shared" si="14"/>
        <v>414</v>
      </c>
      <c r="CE11" s="6">
        <v>1181</v>
      </c>
      <c r="CF11" s="6"/>
      <c r="CG11" s="6">
        <f t="shared" si="15"/>
        <v>389</v>
      </c>
      <c r="CH11" s="6">
        <v>13</v>
      </c>
      <c r="CI11" s="6">
        <v>1555</v>
      </c>
      <c r="CJ11" s="6">
        <f t="shared" si="16"/>
        <v>387</v>
      </c>
      <c r="CK11" s="6">
        <v>388</v>
      </c>
      <c r="CL11" s="6"/>
      <c r="CM11" s="6">
        <f t="shared" si="17"/>
        <v>375</v>
      </c>
      <c r="CN11" s="6"/>
      <c r="CO11" s="6"/>
      <c r="CP11" s="6"/>
      <c r="CQ11" s="6">
        <v>779</v>
      </c>
      <c r="CR11" s="6"/>
      <c r="CS11" s="6">
        <f t="shared" si="18"/>
        <v>391</v>
      </c>
      <c r="CT11" s="6">
        <v>1168</v>
      </c>
      <c r="CU11" s="6"/>
      <c r="CV11" s="6">
        <f t="shared" si="19"/>
        <v>389</v>
      </c>
      <c r="CW11" s="6">
        <v>1549</v>
      </c>
      <c r="CX11" s="6"/>
      <c r="CY11" s="6">
        <f t="shared" si="20"/>
        <v>381</v>
      </c>
      <c r="CZ11" s="6">
        <v>370</v>
      </c>
      <c r="DA11" s="6">
        <v>1560</v>
      </c>
      <c r="DB11" s="6">
        <f t="shared" si="21"/>
        <v>381</v>
      </c>
      <c r="DC11" s="6">
        <v>761</v>
      </c>
      <c r="DD11" s="6"/>
      <c r="DE11" s="6">
        <f t="shared" si="22"/>
        <v>391</v>
      </c>
      <c r="DF11" s="6">
        <v>1132</v>
      </c>
      <c r="DG11" s="6"/>
      <c r="DH11" s="6">
        <f t="shared" si="23"/>
        <v>371</v>
      </c>
      <c r="DI11" s="6"/>
      <c r="DJ11" s="6"/>
      <c r="DK11" s="6"/>
      <c r="DL11" s="6">
        <v>1521</v>
      </c>
      <c r="DM11" s="6"/>
      <c r="DN11" s="6">
        <f t="shared" si="24"/>
        <v>389</v>
      </c>
      <c r="DO11" s="6">
        <v>302</v>
      </c>
      <c r="DP11" s="6">
        <v>1560</v>
      </c>
      <c r="DQ11" s="6">
        <f t="shared" si="25"/>
        <v>341</v>
      </c>
    </row>
    <row r="12" spans="1:121">
      <c r="A12" s="6">
        <v>8</v>
      </c>
      <c r="B12" s="6">
        <v>1076</v>
      </c>
      <c r="C12" s="6"/>
      <c r="D12" s="6">
        <v>334</v>
      </c>
      <c r="E12" s="33" t="s">
        <v>128</v>
      </c>
      <c r="F12" s="33" t="s">
        <v>128</v>
      </c>
      <c r="G12" s="33" t="s">
        <v>128</v>
      </c>
      <c r="H12" s="33" t="s">
        <v>128</v>
      </c>
      <c r="I12" s="33" t="s">
        <v>128</v>
      </c>
      <c r="J12" s="33" t="s">
        <v>128</v>
      </c>
      <c r="K12" s="33" t="s">
        <v>128</v>
      </c>
      <c r="L12" s="33" t="s">
        <v>128</v>
      </c>
      <c r="M12" s="33" t="s">
        <v>128</v>
      </c>
      <c r="N12" s="33" t="s">
        <v>128</v>
      </c>
      <c r="O12" s="33" t="s">
        <v>128</v>
      </c>
      <c r="P12" s="33" t="s">
        <v>128</v>
      </c>
      <c r="Q12" s="33" t="s">
        <v>128</v>
      </c>
      <c r="R12" s="33" t="s">
        <v>128</v>
      </c>
      <c r="S12" s="33" t="s">
        <v>128</v>
      </c>
      <c r="T12" s="33" t="s">
        <v>128</v>
      </c>
      <c r="U12" s="148" t="s">
        <v>128</v>
      </c>
      <c r="V12" s="33" t="s">
        <v>128</v>
      </c>
      <c r="W12" s="33" t="s">
        <v>128</v>
      </c>
      <c r="X12" s="33" t="s">
        <v>128</v>
      </c>
      <c r="Y12" s="33" t="s">
        <v>128</v>
      </c>
      <c r="Z12" s="33" t="s">
        <v>128</v>
      </c>
      <c r="AA12" s="33" t="s">
        <v>128</v>
      </c>
      <c r="AB12" s="33" t="s">
        <v>128</v>
      </c>
      <c r="AC12" s="33" t="s">
        <v>128</v>
      </c>
      <c r="AD12" s="33" t="s">
        <v>128</v>
      </c>
      <c r="AE12" s="33" t="s">
        <v>128</v>
      </c>
      <c r="AF12" s="35">
        <v>1458</v>
      </c>
      <c r="AG12" s="35"/>
      <c r="AH12" s="35">
        <f t="shared" si="0"/>
        <v>382</v>
      </c>
      <c r="AI12" s="35">
        <v>259</v>
      </c>
      <c r="AJ12" s="35">
        <v>1560</v>
      </c>
      <c r="AK12" s="35">
        <f t="shared" si="1"/>
        <v>361</v>
      </c>
      <c r="AL12" s="35">
        <v>619</v>
      </c>
      <c r="AM12" s="35"/>
      <c r="AN12" s="35">
        <f t="shared" si="2"/>
        <v>360</v>
      </c>
      <c r="AO12" s="35">
        <v>973</v>
      </c>
      <c r="AP12" s="35"/>
      <c r="AQ12" s="34">
        <f t="shared" si="3"/>
        <v>354</v>
      </c>
      <c r="AR12" s="35">
        <v>1335</v>
      </c>
      <c r="AS12" s="35"/>
      <c r="AT12" s="35">
        <f t="shared" si="4"/>
        <v>362</v>
      </c>
      <c r="AU12" s="6">
        <v>117</v>
      </c>
      <c r="AV12" s="6">
        <v>1552</v>
      </c>
      <c r="AW12" s="35">
        <f t="shared" si="5"/>
        <v>334</v>
      </c>
      <c r="AX12" s="35"/>
      <c r="AY12" s="35"/>
      <c r="AZ12" s="35"/>
      <c r="BA12" s="35">
        <v>478</v>
      </c>
      <c r="BB12" s="35"/>
      <c r="BC12" s="35">
        <f t="shared" si="6"/>
        <v>361</v>
      </c>
      <c r="BD12" s="6">
        <v>833</v>
      </c>
      <c r="BE12" s="6"/>
      <c r="BF12" s="35">
        <f t="shared" si="7"/>
        <v>355</v>
      </c>
      <c r="BG12" s="6">
        <v>1189</v>
      </c>
      <c r="BH12" s="6"/>
      <c r="BI12" s="6">
        <f t="shared" si="8"/>
        <v>356</v>
      </c>
      <c r="BJ12" s="6">
        <v>1552</v>
      </c>
      <c r="BK12" s="35"/>
      <c r="BL12" s="6">
        <f t="shared" si="9"/>
        <v>363</v>
      </c>
      <c r="BM12" s="6">
        <v>354</v>
      </c>
      <c r="BN12" s="6">
        <v>1560</v>
      </c>
      <c r="BO12" s="6">
        <f t="shared" si="10"/>
        <v>362</v>
      </c>
      <c r="BP12" s="6">
        <v>696</v>
      </c>
      <c r="BQ12" s="6"/>
      <c r="BR12" s="35">
        <f t="shared" si="11"/>
        <v>342</v>
      </c>
      <c r="BS12" s="6"/>
      <c r="BT12" s="6"/>
      <c r="BU12" s="6"/>
      <c r="BV12" s="6">
        <v>1060</v>
      </c>
      <c r="BW12" s="6"/>
      <c r="BX12" s="35">
        <f t="shared" si="12"/>
        <v>364</v>
      </c>
      <c r="BY12" s="6">
        <v>1435</v>
      </c>
      <c r="BZ12" s="35"/>
      <c r="CA12" s="6">
        <f t="shared" si="13"/>
        <v>375</v>
      </c>
      <c r="CB12" s="6">
        <v>1810</v>
      </c>
      <c r="CC12" s="6"/>
      <c r="CD12" s="6">
        <f t="shared" si="14"/>
        <v>375</v>
      </c>
      <c r="CE12" s="6">
        <v>327</v>
      </c>
      <c r="CF12" s="35">
        <v>1851</v>
      </c>
      <c r="CG12" s="6">
        <f t="shared" si="15"/>
        <v>368</v>
      </c>
      <c r="CH12" s="6">
        <v>714</v>
      </c>
      <c r="CI12" s="6"/>
      <c r="CJ12" s="6">
        <f t="shared" si="16"/>
        <v>387</v>
      </c>
      <c r="CK12" s="6">
        <v>1084</v>
      </c>
      <c r="CL12" s="6"/>
      <c r="CM12" s="6">
        <f t="shared" si="17"/>
        <v>370</v>
      </c>
      <c r="CN12" s="6"/>
      <c r="CO12" s="6"/>
      <c r="CP12" s="6"/>
      <c r="CQ12" s="6">
        <v>1476</v>
      </c>
      <c r="CR12" s="6"/>
      <c r="CS12" s="6">
        <f t="shared" si="18"/>
        <v>392</v>
      </c>
      <c r="CT12" s="6">
        <v>301</v>
      </c>
      <c r="CU12" s="6">
        <v>1560</v>
      </c>
      <c r="CV12" s="6">
        <f t="shared" si="19"/>
        <v>385</v>
      </c>
      <c r="CW12" s="6">
        <v>692</v>
      </c>
      <c r="CX12" s="6"/>
      <c r="CY12" s="6">
        <f t="shared" si="20"/>
        <v>391</v>
      </c>
      <c r="CZ12" s="6">
        <v>1082</v>
      </c>
      <c r="DA12" s="6"/>
      <c r="DB12" s="6">
        <f t="shared" si="21"/>
        <v>390</v>
      </c>
      <c r="DC12" s="6">
        <v>1469</v>
      </c>
      <c r="DD12" s="6"/>
      <c r="DE12" s="6">
        <f t="shared" si="22"/>
        <v>387</v>
      </c>
      <c r="DF12" s="6">
        <v>260</v>
      </c>
      <c r="DG12" s="6">
        <v>1560</v>
      </c>
      <c r="DH12" s="6">
        <f t="shared" si="23"/>
        <v>351</v>
      </c>
      <c r="DI12" s="6"/>
      <c r="DJ12" s="6"/>
      <c r="DK12" s="6"/>
      <c r="DL12" s="6">
        <v>633</v>
      </c>
      <c r="DM12" s="6"/>
      <c r="DN12" s="6">
        <f t="shared" si="24"/>
        <v>373</v>
      </c>
      <c r="DO12" s="6">
        <v>979</v>
      </c>
      <c r="DP12" s="6"/>
      <c r="DQ12" s="6">
        <f t="shared" si="25"/>
        <v>346</v>
      </c>
    </row>
    <row r="13" spans="1:121">
      <c r="A13" s="6">
        <v>9</v>
      </c>
      <c r="B13" s="6">
        <v>138</v>
      </c>
      <c r="C13" s="6">
        <v>501</v>
      </c>
      <c r="D13" s="6">
        <v>335</v>
      </c>
      <c r="E13" s="33" t="s">
        <v>37</v>
      </c>
      <c r="F13" s="33" t="s">
        <v>37</v>
      </c>
      <c r="G13" s="33" t="s">
        <v>37</v>
      </c>
      <c r="H13" s="33" t="s">
        <v>37</v>
      </c>
      <c r="I13" s="148" t="s">
        <v>37</v>
      </c>
      <c r="J13" s="33" t="s">
        <v>37</v>
      </c>
      <c r="K13" s="33" t="s">
        <v>37</v>
      </c>
      <c r="L13" s="33" t="s">
        <v>37</v>
      </c>
      <c r="M13" s="33" t="s">
        <v>37</v>
      </c>
      <c r="N13" s="33" t="s">
        <v>37</v>
      </c>
      <c r="O13" s="33" t="s">
        <v>37</v>
      </c>
      <c r="P13" s="33" t="s">
        <v>37</v>
      </c>
      <c r="Q13" s="33" t="s">
        <v>37</v>
      </c>
      <c r="R13" s="33" t="s">
        <v>37</v>
      </c>
      <c r="S13" s="33" t="s">
        <v>37</v>
      </c>
      <c r="T13" s="33" t="s">
        <v>37</v>
      </c>
      <c r="U13" s="33" t="s">
        <v>37</v>
      </c>
      <c r="V13" s="33" t="s">
        <v>37</v>
      </c>
      <c r="W13" s="33" t="s">
        <v>37</v>
      </c>
      <c r="X13" s="33" t="s">
        <v>37</v>
      </c>
      <c r="Y13" s="33" t="s">
        <v>37</v>
      </c>
      <c r="Z13" s="33" t="s">
        <v>37</v>
      </c>
      <c r="AA13" s="33" t="s">
        <v>37</v>
      </c>
      <c r="AB13" s="33" t="s">
        <v>37</v>
      </c>
      <c r="AC13" s="33" t="s">
        <v>37</v>
      </c>
      <c r="AD13" s="33" t="s">
        <v>37</v>
      </c>
      <c r="AE13" s="148" t="s">
        <v>37</v>
      </c>
      <c r="AF13" s="35">
        <v>524</v>
      </c>
      <c r="AG13" s="35"/>
      <c r="AH13" s="35">
        <f t="shared" si="0"/>
        <v>386</v>
      </c>
      <c r="AI13" s="35">
        <v>177</v>
      </c>
      <c r="AJ13" s="35">
        <v>692</v>
      </c>
      <c r="AK13" s="35">
        <f t="shared" si="1"/>
        <v>345</v>
      </c>
      <c r="AL13" s="35">
        <v>0</v>
      </c>
      <c r="AM13" s="35">
        <v>520</v>
      </c>
      <c r="AN13" s="35">
        <f t="shared" si="2"/>
        <v>343</v>
      </c>
      <c r="AO13" s="6">
        <v>294</v>
      </c>
      <c r="AP13" s="6"/>
      <c r="AQ13" s="34">
        <f t="shared" si="3"/>
        <v>294</v>
      </c>
      <c r="AR13" s="35">
        <v>660</v>
      </c>
      <c r="AS13" s="35"/>
      <c r="AT13" s="35">
        <f t="shared" si="4"/>
        <v>366</v>
      </c>
      <c r="AU13" s="6">
        <v>1008</v>
      </c>
      <c r="AV13" s="6"/>
      <c r="AW13" s="35">
        <f t="shared" si="5"/>
        <v>348</v>
      </c>
      <c r="AX13" s="6"/>
      <c r="AY13" s="6"/>
      <c r="AZ13" s="35"/>
      <c r="BA13" s="6">
        <v>1382</v>
      </c>
      <c r="BB13" s="6"/>
      <c r="BC13" s="35">
        <f t="shared" si="6"/>
        <v>374</v>
      </c>
      <c r="BD13" s="6">
        <v>179</v>
      </c>
      <c r="BE13" s="6">
        <v>1560</v>
      </c>
      <c r="BF13" s="35">
        <f t="shared" si="7"/>
        <v>357</v>
      </c>
      <c r="BG13" s="6">
        <v>544</v>
      </c>
      <c r="BH13" s="6"/>
      <c r="BI13" s="6">
        <f t="shared" si="8"/>
        <v>365</v>
      </c>
      <c r="BJ13" s="6">
        <v>914</v>
      </c>
      <c r="BK13" s="35"/>
      <c r="BL13" s="6">
        <f t="shared" si="9"/>
        <v>370</v>
      </c>
      <c r="BM13" s="6">
        <v>1282</v>
      </c>
      <c r="BN13" s="6"/>
      <c r="BO13" s="6">
        <f t="shared" si="10"/>
        <v>368</v>
      </c>
      <c r="BP13" s="6">
        <v>38</v>
      </c>
      <c r="BQ13" s="6">
        <v>1560</v>
      </c>
      <c r="BR13" s="35">
        <f t="shared" si="11"/>
        <v>316</v>
      </c>
      <c r="BS13" s="6"/>
      <c r="BT13" s="6"/>
      <c r="BU13" s="6"/>
      <c r="BV13" s="6">
        <v>410</v>
      </c>
      <c r="BW13" s="6"/>
      <c r="BX13" s="35">
        <f t="shared" si="12"/>
        <v>372</v>
      </c>
      <c r="BY13" s="6">
        <v>785</v>
      </c>
      <c r="BZ13" s="35"/>
      <c r="CA13" s="6">
        <f t="shared" si="13"/>
        <v>375</v>
      </c>
      <c r="CB13" s="6">
        <v>1138</v>
      </c>
      <c r="CC13" s="6"/>
      <c r="CD13" s="6">
        <f t="shared" si="14"/>
        <v>353</v>
      </c>
      <c r="CE13" s="6">
        <v>1523</v>
      </c>
      <c r="CF13" s="35"/>
      <c r="CG13" s="6">
        <f t="shared" si="15"/>
        <v>385</v>
      </c>
      <c r="CH13" s="6">
        <v>348</v>
      </c>
      <c r="CI13" s="6">
        <v>1560</v>
      </c>
      <c r="CJ13" s="6">
        <f t="shared" si="16"/>
        <v>385</v>
      </c>
      <c r="CK13" s="6">
        <v>722</v>
      </c>
      <c r="CL13" s="6"/>
      <c r="CM13" s="6">
        <f t="shared" si="17"/>
        <v>374</v>
      </c>
      <c r="CN13" s="6"/>
      <c r="CO13" s="6"/>
      <c r="CP13" s="6"/>
      <c r="CQ13" s="6">
        <v>1102</v>
      </c>
      <c r="CR13" s="6"/>
      <c r="CS13" s="6">
        <f t="shared" si="18"/>
        <v>380</v>
      </c>
      <c r="CT13" s="6">
        <v>1479</v>
      </c>
      <c r="CU13" s="6"/>
      <c r="CV13" s="6">
        <f t="shared" si="19"/>
        <v>377</v>
      </c>
      <c r="CW13" s="6">
        <v>305</v>
      </c>
      <c r="CX13" s="6">
        <v>1560</v>
      </c>
      <c r="CY13" s="6">
        <f t="shared" si="20"/>
        <v>386</v>
      </c>
      <c r="CZ13" s="6">
        <v>692</v>
      </c>
      <c r="DA13" s="6"/>
      <c r="DB13" s="6">
        <f t="shared" si="21"/>
        <v>387</v>
      </c>
      <c r="DC13" s="6">
        <v>1078</v>
      </c>
      <c r="DD13" s="6"/>
      <c r="DE13" s="6">
        <f t="shared" si="22"/>
        <v>386</v>
      </c>
      <c r="DF13" s="6">
        <v>1443</v>
      </c>
      <c r="DG13" s="6"/>
      <c r="DH13" s="6">
        <f t="shared" si="23"/>
        <v>365</v>
      </c>
      <c r="DI13" s="6"/>
      <c r="DJ13" s="6"/>
      <c r="DK13" s="6"/>
      <c r="DL13" s="6">
        <v>0</v>
      </c>
      <c r="DM13" s="6">
        <v>1621</v>
      </c>
      <c r="DN13" s="6">
        <f t="shared" si="24"/>
        <v>178</v>
      </c>
      <c r="DO13" s="6">
        <v>297</v>
      </c>
      <c r="DP13" s="6"/>
      <c r="DQ13" s="6">
        <f t="shared" si="25"/>
        <v>297</v>
      </c>
    </row>
    <row r="14" spans="1:121">
      <c r="A14" s="6">
        <v>10</v>
      </c>
      <c r="B14" s="6">
        <v>858</v>
      </c>
      <c r="C14" s="6"/>
      <c r="D14" s="6">
        <v>342</v>
      </c>
      <c r="E14" s="33" t="s">
        <v>128</v>
      </c>
      <c r="F14" s="33" t="s">
        <v>128</v>
      </c>
      <c r="G14" s="33" t="s">
        <v>128</v>
      </c>
      <c r="H14" s="33" t="s">
        <v>128</v>
      </c>
      <c r="I14" s="33" t="s">
        <v>128</v>
      </c>
      <c r="J14" s="33" t="s">
        <v>128</v>
      </c>
      <c r="K14" s="33" t="s">
        <v>128</v>
      </c>
      <c r="L14" s="33" t="s">
        <v>128</v>
      </c>
      <c r="M14" s="33" t="s">
        <v>128</v>
      </c>
      <c r="N14" s="148" t="s">
        <v>128</v>
      </c>
      <c r="O14" s="33" t="s">
        <v>128</v>
      </c>
      <c r="P14" s="33" t="s">
        <v>128</v>
      </c>
      <c r="Q14" s="33" t="s">
        <v>128</v>
      </c>
      <c r="R14" s="33" t="s">
        <v>128</v>
      </c>
      <c r="S14" s="33" t="s">
        <v>128</v>
      </c>
      <c r="T14" s="33" t="s">
        <v>128</v>
      </c>
      <c r="U14" s="33" t="s">
        <v>128</v>
      </c>
      <c r="V14" s="33" t="s">
        <v>128</v>
      </c>
      <c r="W14" s="33" t="s">
        <v>128</v>
      </c>
      <c r="X14" s="33" t="s">
        <v>128</v>
      </c>
      <c r="Y14" s="33" t="s">
        <v>128</v>
      </c>
      <c r="Z14" s="33" t="s">
        <v>128</v>
      </c>
      <c r="AA14" s="33" t="s">
        <v>128</v>
      </c>
      <c r="AB14" s="33" t="s">
        <v>128</v>
      </c>
      <c r="AC14" s="33" t="s">
        <v>128</v>
      </c>
      <c r="AD14" s="33" t="s">
        <v>128</v>
      </c>
      <c r="AE14" s="33" t="s">
        <v>128</v>
      </c>
      <c r="AF14" s="6">
        <v>1248</v>
      </c>
      <c r="AG14" s="6"/>
      <c r="AH14" s="35">
        <f t="shared" si="0"/>
        <v>390</v>
      </c>
      <c r="AI14" s="35">
        <v>56</v>
      </c>
      <c r="AJ14" s="35">
        <v>1560</v>
      </c>
      <c r="AK14" s="35">
        <f t="shared" si="1"/>
        <v>368</v>
      </c>
      <c r="AL14" s="6">
        <v>426</v>
      </c>
      <c r="AM14" s="6"/>
      <c r="AN14" s="35">
        <f t="shared" si="2"/>
        <v>370</v>
      </c>
      <c r="AO14" s="6">
        <v>796</v>
      </c>
      <c r="AP14" s="6"/>
      <c r="AQ14" s="34">
        <f t="shared" si="3"/>
        <v>370</v>
      </c>
      <c r="AR14" s="35">
        <v>1163</v>
      </c>
      <c r="AS14" s="35"/>
      <c r="AT14" s="35">
        <f t="shared" si="4"/>
        <v>367</v>
      </c>
      <c r="AU14" s="6">
        <v>1501</v>
      </c>
      <c r="AV14" s="6"/>
      <c r="AW14" s="35">
        <f t="shared" si="5"/>
        <v>338</v>
      </c>
      <c r="AX14" s="6"/>
      <c r="AY14" s="6"/>
      <c r="AZ14" s="35"/>
      <c r="BA14" s="35">
        <v>311</v>
      </c>
      <c r="BB14" s="35">
        <v>1560</v>
      </c>
      <c r="BC14" s="35">
        <f t="shared" si="6"/>
        <v>370</v>
      </c>
      <c r="BD14" s="6">
        <v>0</v>
      </c>
      <c r="BE14" s="6">
        <v>558</v>
      </c>
      <c r="BF14" s="35">
        <f t="shared" si="7"/>
        <v>247</v>
      </c>
      <c r="BG14" s="6">
        <v>343</v>
      </c>
      <c r="BH14" s="6"/>
      <c r="BI14" s="6">
        <f t="shared" si="8"/>
        <v>343</v>
      </c>
      <c r="BJ14" s="6">
        <v>159</v>
      </c>
      <c r="BK14" s="6">
        <v>540</v>
      </c>
      <c r="BL14" s="6">
        <f t="shared" si="9"/>
        <v>356</v>
      </c>
      <c r="BM14" s="6">
        <v>531</v>
      </c>
      <c r="BN14" s="6"/>
      <c r="BO14" s="6">
        <f t="shared" si="10"/>
        <v>372</v>
      </c>
      <c r="BP14" s="6">
        <v>875</v>
      </c>
      <c r="BQ14" s="6"/>
      <c r="BR14" s="35">
        <f t="shared" si="11"/>
        <v>344</v>
      </c>
      <c r="BS14" s="6"/>
      <c r="BT14" s="6"/>
      <c r="BU14" s="6"/>
      <c r="BV14" s="6">
        <v>1260</v>
      </c>
      <c r="BW14" s="6"/>
      <c r="BX14" s="35">
        <f t="shared" si="12"/>
        <v>385</v>
      </c>
      <c r="BY14" s="6">
        <v>82</v>
      </c>
      <c r="BZ14" s="6">
        <v>1560</v>
      </c>
      <c r="CA14" s="6">
        <f t="shared" si="13"/>
        <v>382</v>
      </c>
      <c r="CB14" s="6">
        <v>459</v>
      </c>
      <c r="CC14" s="6"/>
      <c r="CD14" s="6">
        <f t="shared" si="14"/>
        <v>377</v>
      </c>
      <c r="CE14" s="6">
        <v>841</v>
      </c>
      <c r="CF14" s="6"/>
      <c r="CG14" s="6">
        <f t="shared" si="15"/>
        <v>382</v>
      </c>
      <c r="CH14" s="6">
        <v>1229</v>
      </c>
      <c r="CI14" s="6"/>
      <c r="CJ14" s="6">
        <f t="shared" si="16"/>
        <v>388</v>
      </c>
      <c r="CK14" s="6">
        <v>37</v>
      </c>
      <c r="CL14" s="6">
        <v>1560</v>
      </c>
      <c r="CM14" s="6">
        <f t="shared" si="17"/>
        <v>368</v>
      </c>
      <c r="CN14" s="6"/>
      <c r="CO14" s="6"/>
      <c r="CP14" s="6"/>
      <c r="CQ14" s="6">
        <v>424</v>
      </c>
      <c r="CR14" s="6"/>
      <c r="CS14" s="6">
        <f t="shared" si="18"/>
        <v>387</v>
      </c>
      <c r="CT14" s="6">
        <v>806</v>
      </c>
      <c r="CU14" s="6"/>
      <c r="CV14" s="6">
        <f t="shared" si="19"/>
        <v>382</v>
      </c>
      <c r="CW14" s="6">
        <v>1195</v>
      </c>
      <c r="CX14" s="6"/>
      <c r="CY14" s="6">
        <f t="shared" si="20"/>
        <v>389</v>
      </c>
      <c r="CZ14" s="6">
        <v>19</v>
      </c>
      <c r="DA14" s="6">
        <v>1560</v>
      </c>
      <c r="DB14" s="6">
        <f t="shared" si="21"/>
        <v>384</v>
      </c>
      <c r="DC14" s="6">
        <v>404</v>
      </c>
      <c r="DD14" s="6"/>
      <c r="DE14" s="6">
        <f t="shared" si="22"/>
        <v>385</v>
      </c>
      <c r="DF14" s="6">
        <v>762</v>
      </c>
      <c r="DG14" s="6"/>
      <c r="DH14" s="6">
        <f t="shared" si="23"/>
        <v>358</v>
      </c>
      <c r="DI14" s="6"/>
      <c r="DJ14" s="6"/>
      <c r="DK14" s="6"/>
      <c r="DL14" s="6">
        <v>1150</v>
      </c>
      <c r="DM14" s="6"/>
      <c r="DN14" s="6">
        <f t="shared" si="24"/>
        <v>388</v>
      </c>
      <c r="DO14" s="6">
        <v>1510</v>
      </c>
      <c r="DP14" s="6"/>
      <c r="DQ14" s="6">
        <f t="shared" si="25"/>
        <v>360</v>
      </c>
    </row>
    <row r="15" spans="1:121">
      <c r="A15" s="6">
        <v>11</v>
      </c>
      <c r="B15" s="6">
        <v>654</v>
      </c>
      <c r="C15" s="6"/>
      <c r="D15" s="6">
        <v>331</v>
      </c>
      <c r="E15" s="232" t="s">
        <v>128</v>
      </c>
      <c r="F15" s="232" t="s">
        <v>128</v>
      </c>
      <c r="G15" s="232" t="s">
        <v>128</v>
      </c>
      <c r="H15" s="232" t="s">
        <v>128</v>
      </c>
      <c r="I15" s="232" t="s">
        <v>128</v>
      </c>
      <c r="J15" s="232" t="s">
        <v>128</v>
      </c>
      <c r="K15" s="232" t="s">
        <v>128</v>
      </c>
      <c r="L15" s="232" t="s">
        <v>128</v>
      </c>
      <c r="M15" s="232" t="s">
        <v>128</v>
      </c>
      <c r="N15" s="232" t="s">
        <v>128</v>
      </c>
      <c r="O15" s="232" t="s">
        <v>128</v>
      </c>
      <c r="P15" s="232" t="s">
        <v>128</v>
      </c>
      <c r="Q15" s="232" t="s">
        <v>128</v>
      </c>
      <c r="R15" s="232" t="s">
        <v>128</v>
      </c>
      <c r="S15" s="232" t="s">
        <v>128</v>
      </c>
      <c r="T15" s="232" t="s">
        <v>128</v>
      </c>
      <c r="U15" s="232" t="s">
        <v>128</v>
      </c>
      <c r="V15" s="231" t="s">
        <v>128</v>
      </c>
      <c r="W15" s="232" t="s">
        <v>128</v>
      </c>
      <c r="X15" s="232" t="s">
        <v>128</v>
      </c>
      <c r="Y15" s="232" t="s">
        <v>128</v>
      </c>
      <c r="Z15" s="232" t="s">
        <v>128</v>
      </c>
      <c r="AA15" s="232" t="s">
        <v>128</v>
      </c>
      <c r="AB15" s="232" t="s">
        <v>128</v>
      </c>
      <c r="AC15" s="232" t="s">
        <v>128</v>
      </c>
      <c r="AD15" s="232" t="s">
        <v>128</v>
      </c>
      <c r="AE15" s="232" t="s">
        <v>128</v>
      </c>
      <c r="AF15" s="6">
        <v>1031</v>
      </c>
      <c r="AG15" s="6"/>
      <c r="AH15" s="35">
        <f t="shared" si="0"/>
        <v>377</v>
      </c>
      <c r="AI15" s="35">
        <v>1386</v>
      </c>
      <c r="AJ15" s="35"/>
      <c r="AK15" s="35">
        <f t="shared" si="1"/>
        <v>355</v>
      </c>
      <c r="AL15" s="6">
        <v>187</v>
      </c>
      <c r="AM15" s="6">
        <v>1560</v>
      </c>
      <c r="AN15" s="35">
        <f t="shared" si="2"/>
        <v>361</v>
      </c>
      <c r="AO15" s="6">
        <v>534</v>
      </c>
      <c r="AP15" s="6"/>
      <c r="AQ15" s="34">
        <f t="shared" si="3"/>
        <v>347</v>
      </c>
      <c r="AR15" s="35">
        <v>897</v>
      </c>
      <c r="AS15" s="35"/>
      <c r="AT15" s="35">
        <f t="shared" si="4"/>
        <v>363</v>
      </c>
      <c r="AU15" s="6">
        <v>1222</v>
      </c>
      <c r="AV15" s="6"/>
      <c r="AW15" s="35">
        <f t="shared" si="5"/>
        <v>325</v>
      </c>
      <c r="AX15" s="6"/>
      <c r="AY15" s="6"/>
      <c r="AZ15" s="35"/>
      <c r="BA15" s="6">
        <v>12</v>
      </c>
      <c r="BB15" s="6">
        <v>1560</v>
      </c>
      <c r="BC15" s="35">
        <f t="shared" si="6"/>
        <v>350</v>
      </c>
      <c r="BD15" s="6">
        <v>367</v>
      </c>
      <c r="BE15" s="6"/>
      <c r="BF15" s="35">
        <f t="shared" si="7"/>
        <v>355</v>
      </c>
      <c r="BG15" s="6">
        <v>724</v>
      </c>
      <c r="BH15" s="6"/>
      <c r="BI15" s="6">
        <f t="shared" si="8"/>
        <v>357</v>
      </c>
      <c r="BJ15" s="6">
        <v>1083</v>
      </c>
      <c r="BK15" s="35"/>
      <c r="BL15" s="6">
        <f t="shared" si="9"/>
        <v>359</v>
      </c>
      <c r="BM15" s="6">
        <v>1445</v>
      </c>
      <c r="BN15" s="6"/>
      <c r="BO15" s="6">
        <f t="shared" si="10"/>
        <v>362</v>
      </c>
      <c r="BP15" s="6">
        <v>234</v>
      </c>
      <c r="BQ15" s="6">
        <v>1550</v>
      </c>
      <c r="BR15" s="35">
        <f t="shared" si="11"/>
        <v>339</v>
      </c>
      <c r="BS15" s="6"/>
      <c r="BT15" s="6"/>
      <c r="BU15" s="6"/>
      <c r="BV15" s="6">
        <v>597</v>
      </c>
      <c r="BW15" s="6"/>
      <c r="BX15" s="35">
        <f t="shared" si="12"/>
        <v>363</v>
      </c>
      <c r="BY15" s="6">
        <v>960</v>
      </c>
      <c r="BZ15" s="35"/>
      <c r="CA15" s="6">
        <f t="shared" si="13"/>
        <v>363</v>
      </c>
      <c r="CB15" s="6">
        <v>1327</v>
      </c>
      <c r="CC15" s="6"/>
      <c r="CD15" s="6">
        <f t="shared" si="14"/>
        <v>367</v>
      </c>
      <c r="CE15" s="6">
        <v>0</v>
      </c>
      <c r="CF15" s="35">
        <v>1640</v>
      </c>
      <c r="CG15" s="6">
        <f t="shared" si="15"/>
        <v>313</v>
      </c>
      <c r="CH15" s="6">
        <v>290</v>
      </c>
      <c r="CI15" s="6"/>
      <c r="CJ15" s="6">
        <f t="shared" si="16"/>
        <v>290</v>
      </c>
      <c r="CK15" s="6">
        <v>651</v>
      </c>
      <c r="CL15" s="6"/>
      <c r="CM15" s="6">
        <f t="shared" si="17"/>
        <v>361</v>
      </c>
      <c r="CN15" s="6"/>
      <c r="CO15" s="6"/>
      <c r="CP15" s="6"/>
      <c r="CQ15" s="6">
        <v>1031</v>
      </c>
      <c r="CR15" s="6"/>
      <c r="CS15" s="6">
        <f t="shared" si="18"/>
        <v>380</v>
      </c>
      <c r="CT15" s="6">
        <v>1403</v>
      </c>
      <c r="CU15" s="6"/>
      <c r="CV15" s="6">
        <f t="shared" si="19"/>
        <v>372</v>
      </c>
      <c r="CW15" s="6">
        <v>348</v>
      </c>
      <c r="CX15" s="6">
        <v>1432</v>
      </c>
      <c r="CY15" s="6">
        <f t="shared" si="20"/>
        <v>377</v>
      </c>
      <c r="CZ15" s="6">
        <v>732</v>
      </c>
      <c r="DA15" s="6"/>
      <c r="DB15" s="6">
        <f t="shared" si="21"/>
        <v>384</v>
      </c>
      <c r="DC15" s="6">
        <v>271</v>
      </c>
      <c r="DD15" s="6">
        <v>828</v>
      </c>
      <c r="DE15" s="6">
        <f t="shared" si="22"/>
        <v>367</v>
      </c>
      <c r="DF15" s="6">
        <v>636</v>
      </c>
      <c r="DG15" s="6"/>
      <c r="DH15" s="6">
        <f t="shared" si="23"/>
        <v>365</v>
      </c>
      <c r="DI15" s="6"/>
      <c r="DJ15" s="6"/>
      <c r="DK15" s="6"/>
      <c r="DL15" s="6">
        <v>1018</v>
      </c>
      <c r="DM15" s="6"/>
      <c r="DN15" s="6">
        <f t="shared" si="24"/>
        <v>382</v>
      </c>
      <c r="DO15" s="6">
        <v>1371</v>
      </c>
      <c r="DP15" s="6"/>
      <c r="DQ15" s="6">
        <f t="shared" si="25"/>
        <v>353</v>
      </c>
    </row>
    <row r="16" spans="1:121">
      <c r="A16" s="6">
        <v>12</v>
      </c>
      <c r="B16" s="6">
        <v>1096</v>
      </c>
      <c r="C16" s="6"/>
      <c r="D16" s="6">
        <v>319</v>
      </c>
      <c r="E16" s="230" t="s">
        <v>128</v>
      </c>
      <c r="F16" s="230" t="s">
        <v>128</v>
      </c>
      <c r="G16" s="230" t="s">
        <v>128</v>
      </c>
      <c r="H16" s="230" t="s">
        <v>128</v>
      </c>
      <c r="I16" s="230" t="s">
        <v>128</v>
      </c>
      <c r="J16" s="230" t="s">
        <v>128</v>
      </c>
      <c r="K16" s="230" t="s">
        <v>128</v>
      </c>
      <c r="L16" s="230" t="s">
        <v>128</v>
      </c>
      <c r="M16" s="230" t="s">
        <v>128</v>
      </c>
      <c r="N16" s="230" t="s">
        <v>128</v>
      </c>
      <c r="O16" s="230" t="s">
        <v>128</v>
      </c>
      <c r="P16" s="230" t="s">
        <v>128</v>
      </c>
      <c r="Q16" s="230" t="s">
        <v>128</v>
      </c>
      <c r="R16" s="230" t="s">
        <v>128</v>
      </c>
      <c r="S16" s="230" t="s">
        <v>128</v>
      </c>
      <c r="T16" s="227" t="s">
        <v>128</v>
      </c>
      <c r="U16" s="230" t="s">
        <v>128</v>
      </c>
      <c r="V16" s="230" t="s">
        <v>128</v>
      </c>
      <c r="W16" s="230" t="s">
        <v>128</v>
      </c>
      <c r="X16" s="230" t="s">
        <v>128</v>
      </c>
      <c r="Y16" s="230" t="s">
        <v>128</v>
      </c>
      <c r="Z16" s="230" t="s">
        <v>128</v>
      </c>
      <c r="AA16" s="230" t="s">
        <v>128</v>
      </c>
      <c r="AB16" s="230" t="s">
        <v>128</v>
      </c>
      <c r="AC16" s="230" t="s">
        <v>128</v>
      </c>
      <c r="AD16" s="230" t="s">
        <v>128</v>
      </c>
      <c r="AE16" s="230" t="s">
        <v>128</v>
      </c>
      <c r="AF16" s="35">
        <v>1480</v>
      </c>
      <c r="AG16" s="35"/>
      <c r="AH16" s="35">
        <f t="shared" si="0"/>
        <v>384</v>
      </c>
      <c r="AI16" s="35">
        <v>278</v>
      </c>
      <c r="AJ16" s="35">
        <v>1560</v>
      </c>
      <c r="AK16" s="35">
        <f t="shared" si="1"/>
        <v>358</v>
      </c>
      <c r="AL16" s="6">
        <v>307</v>
      </c>
      <c r="AM16" s="35">
        <v>306</v>
      </c>
      <c r="AN16" s="35">
        <f t="shared" si="2"/>
        <v>335</v>
      </c>
      <c r="AO16" s="6">
        <v>664</v>
      </c>
      <c r="AP16" s="6"/>
      <c r="AQ16" s="34">
        <f t="shared" si="3"/>
        <v>357</v>
      </c>
      <c r="AR16" s="35">
        <v>1021</v>
      </c>
      <c r="AS16" s="35"/>
      <c r="AT16" s="35">
        <f t="shared" si="4"/>
        <v>357</v>
      </c>
      <c r="AU16" s="6">
        <v>1353</v>
      </c>
      <c r="AV16" s="6"/>
      <c r="AW16" s="35">
        <f t="shared" si="5"/>
        <v>332</v>
      </c>
      <c r="AX16" s="6"/>
      <c r="AY16" s="6"/>
      <c r="AZ16" s="35"/>
      <c r="BA16" s="6">
        <v>171</v>
      </c>
      <c r="BB16" s="6">
        <v>1541</v>
      </c>
      <c r="BC16" s="35">
        <f t="shared" si="6"/>
        <v>359</v>
      </c>
      <c r="BD16" s="6">
        <v>524</v>
      </c>
      <c r="BE16" s="6"/>
      <c r="BF16" s="35">
        <f t="shared" si="7"/>
        <v>353</v>
      </c>
      <c r="BG16" s="6">
        <v>870</v>
      </c>
      <c r="BH16" s="6"/>
      <c r="BI16" s="6">
        <f t="shared" si="8"/>
        <v>346</v>
      </c>
      <c r="BJ16" s="6">
        <v>1226</v>
      </c>
      <c r="BK16" s="35"/>
      <c r="BL16" s="6">
        <f t="shared" si="9"/>
        <v>356</v>
      </c>
      <c r="BM16" s="6">
        <v>17</v>
      </c>
      <c r="BN16" s="6">
        <v>1560</v>
      </c>
      <c r="BO16" s="6">
        <f t="shared" si="10"/>
        <v>351</v>
      </c>
      <c r="BP16" s="6">
        <v>343</v>
      </c>
      <c r="BQ16" s="6"/>
      <c r="BR16" s="35">
        <f t="shared" si="11"/>
        <v>326</v>
      </c>
      <c r="BS16" s="6"/>
      <c r="BT16" s="6"/>
      <c r="BU16" s="6"/>
      <c r="BV16" s="6">
        <v>688</v>
      </c>
      <c r="BW16" s="6"/>
      <c r="BX16" s="35">
        <f t="shared" si="12"/>
        <v>345</v>
      </c>
      <c r="BY16" s="6">
        <v>0</v>
      </c>
      <c r="BZ16" s="35">
        <v>1054</v>
      </c>
      <c r="CA16" s="6">
        <f t="shared" si="13"/>
        <v>366</v>
      </c>
      <c r="CB16" s="6">
        <v>372</v>
      </c>
      <c r="CC16" s="6"/>
      <c r="CD16" s="6">
        <f t="shared" si="14"/>
        <v>372</v>
      </c>
      <c r="CE16" s="6">
        <v>740</v>
      </c>
      <c r="CF16" s="35"/>
      <c r="CG16" s="6">
        <f t="shared" si="15"/>
        <v>368</v>
      </c>
      <c r="CH16" s="6">
        <v>1118</v>
      </c>
      <c r="CI16" s="6"/>
      <c r="CJ16" s="6">
        <f t="shared" si="16"/>
        <v>378</v>
      </c>
      <c r="CK16" s="6">
        <v>336</v>
      </c>
      <c r="CL16" s="6">
        <v>1140</v>
      </c>
      <c r="CM16" s="6">
        <f t="shared" si="17"/>
        <v>358</v>
      </c>
      <c r="CN16" s="6"/>
      <c r="CO16" s="6"/>
      <c r="CP16" s="6"/>
      <c r="CQ16" s="6">
        <v>718</v>
      </c>
      <c r="CR16" s="6"/>
      <c r="CS16" s="6">
        <f t="shared" si="18"/>
        <v>382</v>
      </c>
      <c r="CT16" s="6">
        <v>1098</v>
      </c>
      <c r="CU16" s="6"/>
      <c r="CV16" s="6">
        <f t="shared" si="19"/>
        <v>380</v>
      </c>
      <c r="CW16" s="6">
        <v>36</v>
      </c>
      <c r="CX16" s="6">
        <v>1426</v>
      </c>
      <c r="CY16" s="6">
        <f t="shared" si="20"/>
        <v>364</v>
      </c>
      <c r="CZ16" s="6">
        <v>416</v>
      </c>
      <c r="DA16" s="6"/>
      <c r="DB16" s="6">
        <f t="shared" si="21"/>
        <v>380</v>
      </c>
      <c r="DC16" s="6">
        <v>263</v>
      </c>
      <c r="DD16" s="6">
        <v>534</v>
      </c>
      <c r="DE16" s="6">
        <f t="shared" si="22"/>
        <v>381</v>
      </c>
      <c r="DF16" s="6">
        <v>167</v>
      </c>
      <c r="DG16" s="6">
        <v>452</v>
      </c>
      <c r="DH16" s="6">
        <f t="shared" si="23"/>
        <v>356</v>
      </c>
      <c r="DI16" s="6"/>
      <c r="DJ16" s="6"/>
      <c r="DK16" s="6"/>
      <c r="DL16" s="6">
        <v>545</v>
      </c>
      <c r="DM16" s="6"/>
      <c r="DN16" s="6">
        <f t="shared" si="24"/>
        <v>378</v>
      </c>
      <c r="DO16" s="6">
        <v>902</v>
      </c>
      <c r="DP16" s="6"/>
      <c r="DQ16" s="6">
        <f t="shared" si="25"/>
        <v>357</v>
      </c>
    </row>
    <row r="17" spans="1:121">
      <c r="A17" s="6">
        <v>13</v>
      </c>
      <c r="B17" s="6">
        <v>604</v>
      </c>
      <c r="C17" s="6"/>
      <c r="D17" s="6">
        <v>336</v>
      </c>
      <c r="E17" s="222" t="s">
        <v>37</v>
      </c>
      <c r="F17" s="222" t="s">
        <v>37</v>
      </c>
      <c r="G17" s="222" t="s">
        <v>37</v>
      </c>
      <c r="H17" s="222" t="s">
        <v>37</v>
      </c>
      <c r="I17" s="222" t="s">
        <v>37</v>
      </c>
      <c r="J17" s="222" t="s">
        <v>37</v>
      </c>
      <c r="K17" s="222" t="s">
        <v>37</v>
      </c>
      <c r="L17" s="222" t="s">
        <v>37</v>
      </c>
      <c r="M17" s="222" t="s">
        <v>37</v>
      </c>
      <c r="N17" s="222" t="s">
        <v>37</v>
      </c>
      <c r="O17" s="222" t="s">
        <v>37</v>
      </c>
      <c r="P17" s="222" t="s">
        <v>37</v>
      </c>
      <c r="Q17" s="222" t="s">
        <v>37</v>
      </c>
      <c r="R17" s="217" t="s">
        <v>37</v>
      </c>
      <c r="S17" s="222" t="s">
        <v>37</v>
      </c>
      <c r="T17" s="222" t="s">
        <v>37</v>
      </c>
      <c r="U17" s="222" t="s">
        <v>37</v>
      </c>
      <c r="V17" s="222" t="s">
        <v>37</v>
      </c>
      <c r="W17" s="222" t="s">
        <v>37</v>
      </c>
      <c r="X17" s="222" t="s">
        <v>37</v>
      </c>
      <c r="Y17" s="222" t="s">
        <v>37</v>
      </c>
      <c r="Z17" s="222" t="s">
        <v>37</v>
      </c>
      <c r="AA17" s="222" t="s">
        <v>37</v>
      </c>
      <c r="AB17" s="222" t="s">
        <v>37</v>
      </c>
      <c r="AC17" s="222" t="s">
        <v>37</v>
      </c>
      <c r="AD17" s="222" t="s">
        <v>37</v>
      </c>
      <c r="AE17" s="222" t="s">
        <v>37</v>
      </c>
      <c r="AF17" s="6">
        <v>986</v>
      </c>
      <c r="AG17" s="6"/>
      <c r="AH17" s="35">
        <f t="shared" si="0"/>
        <v>382</v>
      </c>
      <c r="AI17" s="35">
        <v>1343</v>
      </c>
      <c r="AJ17" s="35"/>
      <c r="AK17" s="35">
        <f t="shared" si="1"/>
        <v>357</v>
      </c>
      <c r="AL17" s="6">
        <v>120</v>
      </c>
      <c r="AM17" s="6">
        <v>1585</v>
      </c>
      <c r="AN17" s="35">
        <f t="shared" si="2"/>
        <v>362</v>
      </c>
      <c r="AO17" s="6">
        <v>473</v>
      </c>
      <c r="AP17" s="6"/>
      <c r="AQ17" s="34">
        <f t="shared" si="3"/>
        <v>353</v>
      </c>
      <c r="AR17" s="35">
        <v>835</v>
      </c>
      <c r="AS17" s="35"/>
      <c r="AT17" s="35">
        <f t="shared" si="4"/>
        <v>362</v>
      </c>
      <c r="AU17" s="6">
        <v>1172</v>
      </c>
      <c r="AV17" s="6"/>
      <c r="AW17" s="35">
        <f t="shared" si="5"/>
        <v>337</v>
      </c>
      <c r="AX17" s="6"/>
      <c r="AY17" s="6"/>
      <c r="AZ17" s="35"/>
      <c r="BA17" s="35">
        <v>1539</v>
      </c>
      <c r="BB17" s="35"/>
      <c r="BC17" s="35">
        <f t="shared" si="6"/>
        <v>367</v>
      </c>
      <c r="BD17" s="6">
        <v>339</v>
      </c>
      <c r="BE17" s="6">
        <v>1560</v>
      </c>
      <c r="BF17" s="35">
        <f t="shared" si="7"/>
        <v>360</v>
      </c>
      <c r="BG17" s="35">
        <v>700</v>
      </c>
      <c r="BH17" s="6"/>
      <c r="BI17" s="6">
        <f t="shared" si="8"/>
        <v>361</v>
      </c>
      <c r="BJ17" s="6">
        <v>1057</v>
      </c>
      <c r="BK17" s="6"/>
      <c r="BL17" s="6">
        <f t="shared" si="9"/>
        <v>357</v>
      </c>
      <c r="BM17" s="6">
        <v>1421</v>
      </c>
      <c r="BN17" s="6"/>
      <c r="BO17" s="6">
        <f t="shared" si="10"/>
        <v>364</v>
      </c>
      <c r="BP17" s="6">
        <v>0</v>
      </c>
      <c r="BQ17" s="6">
        <v>1589</v>
      </c>
      <c r="BR17" s="35">
        <f t="shared" si="11"/>
        <v>168</v>
      </c>
      <c r="BS17" s="6"/>
      <c r="BT17" s="6"/>
      <c r="BU17" s="6"/>
      <c r="BV17" s="6">
        <v>372</v>
      </c>
      <c r="BW17" s="6"/>
      <c r="BX17" s="35">
        <f t="shared" si="12"/>
        <v>372</v>
      </c>
      <c r="BY17" s="6">
        <v>757</v>
      </c>
      <c r="BZ17" s="6"/>
      <c r="CA17" s="6">
        <f t="shared" si="13"/>
        <v>385</v>
      </c>
      <c r="CB17" s="6">
        <v>1140</v>
      </c>
      <c r="CC17" s="6"/>
      <c r="CD17" s="6">
        <f t="shared" si="14"/>
        <v>383</v>
      </c>
      <c r="CE17" s="6">
        <v>1526</v>
      </c>
      <c r="CF17" s="6"/>
      <c r="CG17" s="6">
        <f t="shared" si="15"/>
        <v>386</v>
      </c>
      <c r="CH17" s="6">
        <v>347</v>
      </c>
      <c r="CI17" s="6">
        <v>1560</v>
      </c>
      <c r="CJ17" s="6">
        <f t="shared" si="16"/>
        <v>381</v>
      </c>
      <c r="CK17" s="6">
        <v>703</v>
      </c>
      <c r="CL17" s="6"/>
      <c r="CM17" s="6">
        <f t="shared" si="17"/>
        <v>356</v>
      </c>
      <c r="CN17" s="6"/>
      <c r="CO17" s="6"/>
      <c r="CP17" s="6"/>
      <c r="CQ17" s="6">
        <v>381</v>
      </c>
      <c r="CR17" s="6">
        <v>705</v>
      </c>
      <c r="CS17" s="6">
        <f t="shared" si="18"/>
        <v>383</v>
      </c>
      <c r="CT17" s="6">
        <v>766</v>
      </c>
      <c r="CU17" s="6"/>
      <c r="CV17" s="6">
        <f t="shared" si="19"/>
        <v>385</v>
      </c>
      <c r="CW17" s="6">
        <v>1150</v>
      </c>
      <c r="CX17" s="6"/>
      <c r="CY17" s="6">
        <f t="shared" si="20"/>
        <v>384</v>
      </c>
      <c r="CZ17" s="6">
        <v>1533</v>
      </c>
      <c r="DA17" s="6"/>
      <c r="DB17" s="6">
        <f t="shared" si="21"/>
        <v>383</v>
      </c>
      <c r="DC17" s="6">
        <v>361</v>
      </c>
      <c r="DD17" s="6">
        <v>1560</v>
      </c>
      <c r="DE17" s="6">
        <f t="shared" si="22"/>
        <v>388</v>
      </c>
      <c r="DF17" s="6">
        <v>731</v>
      </c>
      <c r="DG17" s="6"/>
      <c r="DH17" s="6">
        <f t="shared" si="23"/>
        <v>370</v>
      </c>
      <c r="DI17" s="6"/>
      <c r="DJ17" s="6"/>
      <c r="DK17" s="6"/>
      <c r="DL17" s="6">
        <v>1109</v>
      </c>
      <c r="DM17" s="6"/>
      <c r="DN17" s="6">
        <f t="shared" si="24"/>
        <v>378</v>
      </c>
      <c r="DO17" s="6">
        <v>1464</v>
      </c>
      <c r="DP17" s="6"/>
      <c r="DQ17" s="6">
        <f t="shared" si="25"/>
        <v>355</v>
      </c>
    </row>
    <row r="18" spans="1:121">
      <c r="A18" s="6">
        <v>14</v>
      </c>
      <c r="B18" s="6">
        <v>1259</v>
      </c>
      <c r="C18" s="6"/>
      <c r="D18" s="6">
        <v>342</v>
      </c>
      <c r="E18" s="33" t="s">
        <v>128</v>
      </c>
      <c r="F18" s="33" t="s">
        <v>128</v>
      </c>
      <c r="G18" s="33" t="s">
        <v>128</v>
      </c>
      <c r="H18" s="33" t="s">
        <v>128</v>
      </c>
      <c r="I18" s="33" t="s">
        <v>128</v>
      </c>
      <c r="J18" s="33" t="s">
        <v>128</v>
      </c>
      <c r="K18" s="33" t="s">
        <v>128</v>
      </c>
      <c r="L18" s="33" t="s">
        <v>128</v>
      </c>
      <c r="M18" s="33" t="s">
        <v>128</v>
      </c>
      <c r="N18" s="33" t="s">
        <v>128</v>
      </c>
      <c r="O18" s="33" t="s">
        <v>128</v>
      </c>
      <c r="P18" s="148" t="s">
        <v>128</v>
      </c>
      <c r="Q18" s="33" t="s">
        <v>128</v>
      </c>
      <c r="R18" s="33" t="s">
        <v>128</v>
      </c>
      <c r="S18" s="33" t="s">
        <v>128</v>
      </c>
      <c r="T18" s="33" t="s">
        <v>128</v>
      </c>
      <c r="U18" s="33" t="s">
        <v>128</v>
      </c>
      <c r="V18" s="33" t="s">
        <v>128</v>
      </c>
      <c r="W18" s="33" t="s">
        <v>128</v>
      </c>
      <c r="X18" s="33" t="s">
        <v>128</v>
      </c>
      <c r="Y18" s="33" t="s">
        <v>128</v>
      </c>
      <c r="Z18" s="33" t="s">
        <v>128</v>
      </c>
      <c r="AA18" s="33" t="s">
        <v>128</v>
      </c>
      <c r="AB18" s="33" t="s">
        <v>128</v>
      </c>
      <c r="AC18" s="33" t="s">
        <v>128</v>
      </c>
      <c r="AD18" s="33" t="s">
        <v>128</v>
      </c>
      <c r="AE18" s="33" t="s">
        <v>128</v>
      </c>
      <c r="AF18" s="35">
        <v>92</v>
      </c>
      <c r="AG18" s="35">
        <v>1560</v>
      </c>
      <c r="AH18" s="35">
        <f t="shared" si="0"/>
        <v>393</v>
      </c>
      <c r="AI18" s="35">
        <v>463</v>
      </c>
      <c r="AJ18" s="35"/>
      <c r="AK18" s="35">
        <f t="shared" si="1"/>
        <v>371</v>
      </c>
      <c r="AL18" s="35">
        <v>834</v>
      </c>
      <c r="AM18" s="35"/>
      <c r="AN18" s="35">
        <f t="shared" si="2"/>
        <v>371</v>
      </c>
      <c r="AO18" s="35">
        <v>1190</v>
      </c>
      <c r="AP18" s="35"/>
      <c r="AQ18" s="34">
        <f t="shared" si="3"/>
        <v>356</v>
      </c>
      <c r="AR18" s="35">
        <v>1</v>
      </c>
      <c r="AS18" s="35">
        <v>1560</v>
      </c>
      <c r="AT18" s="35">
        <f t="shared" si="4"/>
        <v>371</v>
      </c>
      <c r="AU18" s="6">
        <v>341</v>
      </c>
      <c r="AV18" s="6"/>
      <c r="AW18" s="35">
        <f t="shared" si="5"/>
        <v>340</v>
      </c>
      <c r="AX18" s="6"/>
      <c r="AY18" s="6"/>
      <c r="AZ18" s="35"/>
      <c r="BA18" s="35">
        <v>717</v>
      </c>
      <c r="BB18" s="35"/>
      <c r="BC18" s="35">
        <f t="shared" si="6"/>
        <v>376</v>
      </c>
      <c r="BD18" s="6">
        <v>1085</v>
      </c>
      <c r="BE18" s="6"/>
      <c r="BF18" s="35">
        <f t="shared" si="7"/>
        <v>368</v>
      </c>
      <c r="BG18" s="6">
        <v>1431</v>
      </c>
      <c r="BH18" s="6"/>
      <c r="BI18" s="6">
        <f t="shared" si="8"/>
        <v>346</v>
      </c>
      <c r="BJ18" s="6">
        <v>0</v>
      </c>
      <c r="BK18" s="6">
        <v>1640</v>
      </c>
      <c r="BL18" s="6">
        <f t="shared" si="9"/>
        <v>209</v>
      </c>
      <c r="BM18" s="6">
        <v>340</v>
      </c>
      <c r="BN18" s="6"/>
      <c r="BO18" s="6">
        <f t="shared" si="10"/>
        <v>340</v>
      </c>
      <c r="BP18" s="6">
        <v>295</v>
      </c>
      <c r="BQ18" s="6">
        <v>387</v>
      </c>
      <c r="BR18" s="35">
        <f t="shared" si="11"/>
        <v>342</v>
      </c>
      <c r="BS18" s="6"/>
      <c r="BT18" s="6"/>
      <c r="BU18" s="6"/>
      <c r="BV18" s="6">
        <v>670</v>
      </c>
      <c r="BW18" s="6"/>
      <c r="BX18" s="35">
        <f t="shared" si="12"/>
        <v>375</v>
      </c>
      <c r="BY18" s="6">
        <v>1052</v>
      </c>
      <c r="BZ18" s="6"/>
      <c r="CA18" s="6">
        <f t="shared" si="13"/>
        <v>382</v>
      </c>
      <c r="CB18" s="6">
        <v>1437</v>
      </c>
      <c r="CC18" s="6"/>
      <c r="CD18" s="6">
        <f t="shared" si="14"/>
        <v>385</v>
      </c>
      <c r="CE18" s="6">
        <v>260</v>
      </c>
      <c r="CF18" s="6">
        <v>1560</v>
      </c>
      <c r="CG18" s="6">
        <f t="shared" si="15"/>
        <v>383</v>
      </c>
      <c r="CH18" s="6">
        <v>644</v>
      </c>
      <c r="CI18" s="6"/>
      <c r="CJ18" s="6">
        <f t="shared" si="16"/>
        <v>384</v>
      </c>
      <c r="CK18" s="6">
        <v>1017</v>
      </c>
      <c r="CL18" s="6"/>
      <c r="CM18" s="6">
        <f t="shared" si="17"/>
        <v>373</v>
      </c>
      <c r="CN18" s="6"/>
      <c r="CO18" s="6"/>
      <c r="CP18" s="6"/>
      <c r="CQ18" s="6">
        <v>189</v>
      </c>
      <c r="CR18" s="6">
        <v>1212</v>
      </c>
      <c r="CS18" s="6">
        <f t="shared" si="18"/>
        <v>384</v>
      </c>
      <c r="CT18" s="6">
        <v>572</v>
      </c>
      <c r="CU18" s="6"/>
      <c r="CV18" s="6">
        <f t="shared" si="19"/>
        <v>383</v>
      </c>
      <c r="CW18" s="6">
        <v>958</v>
      </c>
      <c r="CX18" s="6"/>
      <c r="CY18" s="6">
        <f t="shared" si="20"/>
        <v>386</v>
      </c>
      <c r="CZ18" s="6">
        <v>1343</v>
      </c>
      <c r="DA18" s="6"/>
      <c r="DB18" s="6">
        <f t="shared" si="21"/>
        <v>385</v>
      </c>
      <c r="DC18" s="6">
        <v>170</v>
      </c>
      <c r="DD18" s="6">
        <v>1560</v>
      </c>
      <c r="DE18" s="6">
        <f t="shared" si="22"/>
        <v>387</v>
      </c>
      <c r="DF18" s="6">
        <v>524</v>
      </c>
      <c r="DG18" s="6"/>
      <c r="DH18" s="6">
        <f t="shared" si="23"/>
        <v>354</v>
      </c>
      <c r="DI18" s="6"/>
      <c r="DJ18" s="6"/>
      <c r="DK18" s="6"/>
      <c r="DL18" s="6">
        <v>908</v>
      </c>
      <c r="DM18" s="6"/>
      <c r="DN18" s="6">
        <f t="shared" si="24"/>
        <v>384</v>
      </c>
      <c r="DO18" s="6">
        <v>1266</v>
      </c>
      <c r="DP18" s="6"/>
      <c r="DQ18" s="6">
        <f t="shared" si="25"/>
        <v>358</v>
      </c>
    </row>
    <row r="19" spans="1:121">
      <c r="A19" s="6">
        <v>15</v>
      </c>
      <c r="B19" s="6">
        <v>569</v>
      </c>
      <c r="C19" s="6"/>
      <c r="D19" s="6">
        <v>339</v>
      </c>
      <c r="E19" s="33" t="s">
        <v>37</v>
      </c>
      <c r="F19" s="33" t="s">
        <v>37</v>
      </c>
      <c r="G19" s="33" t="s">
        <v>37</v>
      </c>
      <c r="H19" s="33" t="s">
        <v>37</v>
      </c>
      <c r="I19" s="148" t="s">
        <v>37</v>
      </c>
      <c r="J19" s="33" t="s">
        <v>37</v>
      </c>
      <c r="K19" s="33" t="s">
        <v>37</v>
      </c>
      <c r="L19" s="33" t="s">
        <v>37</v>
      </c>
      <c r="M19" s="33" t="s">
        <v>37</v>
      </c>
      <c r="N19" s="33" t="s">
        <v>37</v>
      </c>
      <c r="O19" s="33" t="s">
        <v>37</v>
      </c>
      <c r="P19" s="33" t="s">
        <v>37</v>
      </c>
      <c r="Q19" s="33" t="s">
        <v>37</v>
      </c>
      <c r="R19" s="33" t="s">
        <v>37</v>
      </c>
      <c r="S19" s="33" t="s">
        <v>37</v>
      </c>
      <c r="T19" s="33" t="s">
        <v>37</v>
      </c>
      <c r="U19" s="33" t="s">
        <v>37</v>
      </c>
      <c r="V19" s="33" t="s">
        <v>37</v>
      </c>
      <c r="W19" s="33" t="s">
        <v>37</v>
      </c>
      <c r="X19" s="33" t="s">
        <v>37</v>
      </c>
      <c r="Y19" s="33" t="s">
        <v>37</v>
      </c>
      <c r="Z19" s="33" t="s">
        <v>37</v>
      </c>
      <c r="AA19" s="33" t="s">
        <v>37</v>
      </c>
      <c r="AB19" s="33" t="s">
        <v>37</v>
      </c>
      <c r="AC19" s="33" t="s">
        <v>37</v>
      </c>
      <c r="AD19" s="148" t="s">
        <v>37</v>
      </c>
      <c r="AE19" s="33" t="s">
        <v>37</v>
      </c>
      <c r="AF19" s="35">
        <v>957</v>
      </c>
      <c r="AG19" s="35"/>
      <c r="AH19" s="35">
        <f t="shared" si="0"/>
        <v>388</v>
      </c>
      <c r="AI19" s="35">
        <v>1314</v>
      </c>
      <c r="AJ19" s="35"/>
      <c r="AK19" s="35">
        <f t="shared" si="1"/>
        <v>357</v>
      </c>
      <c r="AL19" s="35">
        <v>0</v>
      </c>
      <c r="AM19" s="35">
        <v>1622</v>
      </c>
      <c r="AN19" s="35">
        <f t="shared" si="2"/>
        <v>308</v>
      </c>
      <c r="AO19" s="35">
        <v>328</v>
      </c>
      <c r="AP19" s="35"/>
      <c r="AQ19" s="34">
        <f t="shared" si="3"/>
        <v>328</v>
      </c>
      <c r="AR19" s="35">
        <v>694</v>
      </c>
      <c r="AS19" s="35"/>
      <c r="AT19" s="35">
        <f t="shared" si="4"/>
        <v>366</v>
      </c>
      <c r="AU19" s="6">
        <v>1037</v>
      </c>
      <c r="AV19" s="6"/>
      <c r="AW19" s="35">
        <f t="shared" si="5"/>
        <v>343</v>
      </c>
      <c r="AX19" s="35"/>
      <c r="AY19" s="35"/>
      <c r="AZ19" s="35"/>
      <c r="BA19" s="35">
        <v>1407</v>
      </c>
      <c r="BB19" s="35"/>
      <c r="BC19" s="35">
        <f t="shared" si="6"/>
        <v>370</v>
      </c>
      <c r="BD19" s="35">
        <v>343</v>
      </c>
      <c r="BE19" s="35">
        <v>1420</v>
      </c>
      <c r="BF19" s="35">
        <f t="shared" si="7"/>
        <v>356</v>
      </c>
      <c r="BG19" s="35">
        <v>708</v>
      </c>
      <c r="BH19" s="35"/>
      <c r="BI19" s="6">
        <f t="shared" si="8"/>
        <v>365</v>
      </c>
      <c r="BJ19" s="35">
        <v>1075</v>
      </c>
      <c r="BK19" s="35"/>
      <c r="BL19" s="6">
        <f t="shared" si="9"/>
        <v>367</v>
      </c>
      <c r="BM19" s="35">
        <v>1442</v>
      </c>
      <c r="BN19" s="6"/>
      <c r="BO19" s="6">
        <f t="shared" si="10"/>
        <v>367</v>
      </c>
      <c r="BP19" s="6">
        <v>227</v>
      </c>
      <c r="BQ19" s="6">
        <v>1560</v>
      </c>
      <c r="BR19" s="35">
        <f t="shared" si="11"/>
        <v>345</v>
      </c>
      <c r="BS19" s="6"/>
      <c r="BT19" s="6"/>
      <c r="BU19" s="6"/>
      <c r="BV19" s="6">
        <v>616</v>
      </c>
      <c r="BW19" s="6"/>
      <c r="BX19" s="35">
        <f t="shared" si="12"/>
        <v>389</v>
      </c>
      <c r="BY19" s="6">
        <v>989</v>
      </c>
      <c r="BZ19" s="6"/>
      <c r="CA19" s="6">
        <f t="shared" si="13"/>
        <v>373</v>
      </c>
      <c r="CB19" s="6">
        <v>1364</v>
      </c>
      <c r="CC19" s="6"/>
      <c r="CD19" s="6">
        <f t="shared" si="14"/>
        <v>375</v>
      </c>
      <c r="CE19" s="6">
        <v>187</v>
      </c>
      <c r="CF19" s="6">
        <v>1560</v>
      </c>
      <c r="CG19" s="6">
        <f t="shared" si="15"/>
        <v>383</v>
      </c>
      <c r="CH19" s="6">
        <v>574</v>
      </c>
      <c r="CI19" s="6"/>
      <c r="CJ19" s="6">
        <f t="shared" si="16"/>
        <v>387</v>
      </c>
      <c r="CK19" s="6">
        <v>911</v>
      </c>
      <c r="CL19" s="6"/>
      <c r="CM19" s="6">
        <f t="shared" si="17"/>
        <v>337</v>
      </c>
      <c r="CN19" s="6"/>
      <c r="CO19" s="6"/>
      <c r="CP19" s="6"/>
      <c r="CQ19" s="6">
        <v>1298</v>
      </c>
      <c r="CR19" s="6"/>
      <c r="CS19" s="6">
        <f t="shared" si="18"/>
        <v>387</v>
      </c>
      <c r="CT19" s="6">
        <v>119</v>
      </c>
      <c r="CU19" s="6">
        <v>1560</v>
      </c>
      <c r="CV19" s="6">
        <f t="shared" si="19"/>
        <v>381</v>
      </c>
      <c r="CW19" s="6">
        <v>504</v>
      </c>
      <c r="CX19" s="6"/>
      <c r="CY19" s="6">
        <f t="shared" si="20"/>
        <v>385</v>
      </c>
      <c r="CZ19" s="6">
        <v>887</v>
      </c>
      <c r="DA19" s="6"/>
      <c r="DB19" s="6">
        <f t="shared" si="21"/>
        <v>383</v>
      </c>
      <c r="DC19" s="6">
        <v>1275</v>
      </c>
      <c r="DD19" s="6"/>
      <c r="DE19" s="6">
        <f t="shared" si="22"/>
        <v>388</v>
      </c>
      <c r="DF19" s="6">
        <v>1642</v>
      </c>
      <c r="DG19" s="6"/>
      <c r="DH19" s="6">
        <f t="shared" si="23"/>
        <v>367</v>
      </c>
      <c r="DI19" s="6"/>
      <c r="DJ19" s="6"/>
      <c r="DK19" s="6"/>
      <c r="DL19" s="6">
        <v>269</v>
      </c>
      <c r="DM19" s="6">
        <v>1751</v>
      </c>
      <c r="DN19" s="6">
        <f t="shared" si="24"/>
        <v>378</v>
      </c>
      <c r="DO19" s="6">
        <v>622</v>
      </c>
      <c r="DP19" s="6"/>
      <c r="DQ19" s="6">
        <f t="shared" si="25"/>
        <v>353</v>
      </c>
    </row>
    <row r="20" spans="1:121" s="65" customFormat="1">
      <c r="A20" s="63">
        <v>16</v>
      </c>
      <c r="B20" s="63">
        <v>899</v>
      </c>
      <c r="C20" s="63"/>
      <c r="D20" s="6">
        <v>329</v>
      </c>
      <c r="E20" s="33" t="s">
        <v>128</v>
      </c>
      <c r="F20" s="33" t="s">
        <v>128</v>
      </c>
      <c r="G20" s="33" t="s">
        <v>128</v>
      </c>
      <c r="H20" s="33" t="s">
        <v>128</v>
      </c>
      <c r="I20" s="33" t="s">
        <v>128</v>
      </c>
      <c r="J20" s="33" t="s">
        <v>128</v>
      </c>
      <c r="K20" s="33" t="s">
        <v>128</v>
      </c>
      <c r="L20" s="33" t="s">
        <v>128</v>
      </c>
      <c r="M20" s="33" t="s">
        <v>128</v>
      </c>
      <c r="N20" s="33" t="s">
        <v>128</v>
      </c>
      <c r="O20" s="33" t="s">
        <v>128</v>
      </c>
      <c r="P20" s="33" t="s">
        <v>128</v>
      </c>
      <c r="Q20" s="33" t="s">
        <v>128</v>
      </c>
      <c r="R20" s="33" t="s">
        <v>128</v>
      </c>
      <c r="S20" s="33" t="s">
        <v>128</v>
      </c>
      <c r="T20" s="33" t="s">
        <v>128</v>
      </c>
      <c r="U20" s="33" t="s">
        <v>128</v>
      </c>
      <c r="V20" s="33" t="s">
        <v>128</v>
      </c>
      <c r="W20" s="33" t="s">
        <v>128</v>
      </c>
      <c r="X20" s="33" t="s">
        <v>128</v>
      </c>
      <c r="Y20" s="148" t="s">
        <v>128</v>
      </c>
      <c r="Z20" s="33" t="s">
        <v>128</v>
      </c>
      <c r="AA20" s="33" t="s">
        <v>128</v>
      </c>
      <c r="AB20" s="33" t="s">
        <v>128</v>
      </c>
      <c r="AC20" s="33" t="s">
        <v>128</v>
      </c>
      <c r="AD20" s="33" t="s">
        <v>128</v>
      </c>
      <c r="AE20" s="33" t="s">
        <v>128</v>
      </c>
      <c r="AF20" s="63">
        <v>1276</v>
      </c>
      <c r="AG20" s="63"/>
      <c r="AH20" s="35">
        <f t="shared" si="0"/>
        <v>377</v>
      </c>
      <c r="AI20" s="66">
        <v>94</v>
      </c>
      <c r="AJ20" s="66">
        <v>1540</v>
      </c>
      <c r="AK20" s="35">
        <f t="shared" si="1"/>
        <v>358</v>
      </c>
      <c r="AL20" s="63">
        <v>454</v>
      </c>
      <c r="AM20" s="63"/>
      <c r="AN20" s="35">
        <f t="shared" si="2"/>
        <v>360</v>
      </c>
      <c r="AO20" s="6">
        <v>812</v>
      </c>
      <c r="AP20" s="6"/>
      <c r="AQ20" s="34">
        <f t="shared" si="3"/>
        <v>358</v>
      </c>
      <c r="AR20" s="66">
        <v>1171</v>
      </c>
      <c r="AS20" s="66"/>
      <c r="AT20" s="35">
        <f t="shared" si="4"/>
        <v>359</v>
      </c>
      <c r="AU20" s="63">
        <v>1506</v>
      </c>
      <c r="AV20" s="63"/>
      <c r="AW20" s="35">
        <f t="shared" si="5"/>
        <v>335</v>
      </c>
      <c r="AX20" s="63"/>
      <c r="AY20" s="63"/>
      <c r="AZ20" s="35"/>
      <c r="BA20" s="66">
        <v>308</v>
      </c>
      <c r="BB20" s="66">
        <v>1560</v>
      </c>
      <c r="BC20" s="35">
        <f t="shared" si="6"/>
        <v>362</v>
      </c>
      <c r="BD20" s="63">
        <v>661</v>
      </c>
      <c r="BE20" s="63"/>
      <c r="BF20" s="35">
        <f t="shared" si="7"/>
        <v>353</v>
      </c>
      <c r="BG20" s="63">
        <v>1016</v>
      </c>
      <c r="BH20" s="63"/>
      <c r="BI20" s="6">
        <f t="shared" si="8"/>
        <v>355</v>
      </c>
      <c r="BJ20" s="63">
        <v>1375</v>
      </c>
      <c r="BK20" s="63"/>
      <c r="BL20" s="6">
        <f t="shared" si="9"/>
        <v>359</v>
      </c>
      <c r="BM20" s="63">
        <v>162</v>
      </c>
      <c r="BN20" s="63">
        <v>1550</v>
      </c>
      <c r="BO20" s="6">
        <f t="shared" si="10"/>
        <v>337</v>
      </c>
      <c r="BP20" s="63">
        <v>489</v>
      </c>
      <c r="BQ20" s="63"/>
      <c r="BR20" s="35">
        <f t="shared" si="11"/>
        <v>327</v>
      </c>
      <c r="BS20" s="63"/>
      <c r="BT20" s="63"/>
      <c r="BU20" s="6"/>
      <c r="BV20" s="63">
        <v>858</v>
      </c>
      <c r="BW20" s="63"/>
      <c r="BX20" s="35">
        <f t="shared" si="12"/>
        <v>369</v>
      </c>
      <c r="BY20" s="63">
        <v>1239</v>
      </c>
      <c r="BZ20" s="63"/>
      <c r="CA20" s="6">
        <f t="shared" si="13"/>
        <v>381</v>
      </c>
      <c r="CB20" s="63">
        <v>72</v>
      </c>
      <c r="CC20" s="63">
        <v>1550</v>
      </c>
      <c r="CD20" s="6">
        <f t="shared" si="14"/>
        <v>383</v>
      </c>
      <c r="CE20" s="63">
        <v>444</v>
      </c>
      <c r="CF20" s="63"/>
      <c r="CG20" s="6">
        <f t="shared" si="15"/>
        <v>372</v>
      </c>
      <c r="CH20" s="63">
        <v>830</v>
      </c>
      <c r="CI20" s="63"/>
      <c r="CJ20" s="6">
        <f t="shared" si="16"/>
        <v>386</v>
      </c>
      <c r="CK20" s="63">
        <v>1199</v>
      </c>
      <c r="CL20" s="63"/>
      <c r="CM20" s="6">
        <f t="shared" si="17"/>
        <v>369</v>
      </c>
      <c r="CN20" s="63"/>
      <c r="CO20" s="63"/>
      <c r="CP20" s="6"/>
      <c r="CQ20" s="63">
        <v>1588</v>
      </c>
      <c r="CR20" s="63"/>
      <c r="CS20" s="6">
        <f t="shared" si="18"/>
        <v>389</v>
      </c>
      <c r="CT20" s="63">
        <v>279</v>
      </c>
      <c r="CU20" s="63">
        <v>1667</v>
      </c>
      <c r="CV20" s="6">
        <f t="shared" si="19"/>
        <v>358</v>
      </c>
      <c r="CW20" s="63">
        <v>666</v>
      </c>
      <c r="CX20" s="63"/>
      <c r="CY20" s="6">
        <f t="shared" si="20"/>
        <v>387</v>
      </c>
      <c r="CZ20" s="63">
        <v>1046</v>
      </c>
      <c r="DA20" s="63"/>
      <c r="DB20" s="6">
        <f t="shared" si="21"/>
        <v>380</v>
      </c>
      <c r="DC20" s="63">
        <v>1434</v>
      </c>
      <c r="DD20" s="63"/>
      <c r="DE20" s="6">
        <f t="shared" si="22"/>
        <v>388</v>
      </c>
      <c r="DF20" s="63">
        <v>239</v>
      </c>
      <c r="DG20" s="63">
        <v>1560</v>
      </c>
      <c r="DH20" s="6">
        <f t="shared" si="23"/>
        <v>365</v>
      </c>
      <c r="DI20" s="63"/>
      <c r="DJ20" s="63"/>
      <c r="DK20" s="6"/>
      <c r="DL20" s="63">
        <v>623</v>
      </c>
      <c r="DM20" s="63"/>
      <c r="DN20" s="6">
        <f t="shared" si="24"/>
        <v>384</v>
      </c>
      <c r="DO20" s="63">
        <v>985</v>
      </c>
      <c r="DP20" s="63"/>
      <c r="DQ20" s="6">
        <f t="shared" si="25"/>
        <v>362</v>
      </c>
    </row>
    <row r="21" spans="1:121">
      <c r="A21" s="6">
        <v>17</v>
      </c>
      <c r="B21" s="6">
        <v>857</v>
      </c>
      <c r="C21" s="6"/>
      <c r="D21" s="6">
        <v>341</v>
      </c>
      <c r="E21" s="33" t="s">
        <v>37</v>
      </c>
      <c r="F21" s="33" t="s">
        <v>37</v>
      </c>
      <c r="G21" s="33" t="s">
        <v>37</v>
      </c>
      <c r="H21" s="33" t="s">
        <v>37</v>
      </c>
      <c r="I21" s="33" t="s">
        <v>37</v>
      </c>
      <c r="J21" s="33" t="s">
        <v>37</v>
      </c>
      <c r="K21" s="33" t="s">
        <v>37</v>
      </c>
      <c r="L21" s="33" t="s">
        <v>37</v>
      </c>
      <c r="M21" s="33" t="s">
        <v>37</v>
      </c>
      <c r="N21" s="33" t="s">
        <v>37</v>
      </c>
      <c r="O21" s="33" t="s">
        <v>37</v>
      </c>
      <c r="P21" s="33" t="s">
        <v>37</v>
      </c>
      <c r="Q21" s="148" t="s">
        <v>37</v>
      </c>
      <c r="R21" s="33" t="s">
        <v>37</v>
      </c>
      <c r="S21" s="33" t="s">
        <v>37</v>
      </c>
      <c r="T21" s="33" t="s">
        <v>37</v>
      </c>
      <c r="U21" s="33" t="s">
        <v>37</v>
      </c>
      <c r="V21" s="33" t="s">
        <v>37</v>
      </c>
      <c r="W21" s="33" t="s">
        <v>37</v>
      </c>
      <c r="X21" s="33" t="s">
        <v>37</v>
      </c>
      <c r="Y21" s="33" t="s">
        <v>37</v>
      </c>
      <c r="Z21" s="33" t="s">
        <v>37</v>
      </c>
      <c r="AA21" s="33" t="s">
        <v>37</v>
      </c>
      <c r="AB21" s="33" t="s">
        <v>37</v>
      </c>
      <c r="AC21" s="33" t="s">
        <v>37</v>
      </c>
      <c r="AD21" s="33" t="s">
        <v>37</v>
      </c>
      <c r="AE21" s="33" t="s">
        <v>37</v>
      </c>
      <c r="AF21" s="6">
        <v>354</v>
      </c>
      <c r="AG21" s="6">
        <v>890</v>
      </c>
      <c r="AH21" s="35">
        <f t="shared" si="0"/>
        <v>387</v>
      </c>
      <c r="AI21" s="35">
        <v>271</v>
      </c>
      <c r="AJ21" s="35">
        <v>447</v>
      </c>
      <c r="AK21" s="35">
        <f t="shared" si="1"/>
        <v>364</v>
      </c>
      <c r="AL21" s="6">
        <v>638</v>
      </c>
      <c r="AM21" s="6"/>
      <c r="AN21" s="35">
        <f t="shared" si="2"/>
        <v>367</v>
      </c>
      <c r="AO21" s="6">
        <v>993</v>
      </c>
      <c r="AP21" s="6"/>
      <c r="AQ21" s="34">
        <f t="shared" si="3"/>
        <v>355</v>
      </c>
      <c r="AR21" s="35">
        <v>270</v>
      </c>
      <c r="AS21" s="35">
        <v>1083</v>
      </c>
      <c r="AT21" s="35">
        <f t="shared" si="4"/>
        <v>360</v>
      </c>
      <c r="AU21" s="6">
        <v>606</v>
      </c>
      <c r="AV21" s="6"/>
      <c r="AW21" s="35">
        <f t="shared" si="5"/>
        <v>336</v>
      </c>
      <c r="AX21" s="6"/>
      <c r="AY21" s="6"/>
      <c r="AZ21" s="35"/>
      <c r="BA21" s="35">
        <v>971</v>
      </c>
      <c r="BB21" s="35"/>
      <c r="BC21" s="35">
        <f t="shared" si="6"/>
        <v>365</v>
      </c>
      <c r="BD21" s="6">
        <v>229</v>
      </c>
      <c r="BE21" s="6">
        <v>1088</v>
      </c>
      <c r="BF21" s="35">
        <f t="shared" si="7"/>
        <v>346</v>
      </c>
      <c r="BG21" s="6">
        <v>590</v>
      </c>
      <c r="BH21" s="6"/>
      <c r="BI21" s="6">
        <f t="shared" si="8"/>
        <v>361</v>
      </c>
      <c r="BJ21" s="6">
        <v>951</v>
      </c>
      <c r="BK21" s="6"/>
      <c r="BL21" s="6">
        <f t="shared" si="9"/>
        <v>361</v>
      </c>
      <c r="BM21" s="6">
        <v>0</v>
      </c>
      <c r="BN21" s="6">
        <v>1244</v>
      </c>
      <c r="BO21" s="6">
        <f t="shared" si="10"/>
        <v>293</v>
      </c>
      <c r="BP21" s="6">
        <v>293</v>
      </c>
      <c r="BQ21" s="6"/>
      <c r="BR21" s="35">
        <f t="shared" si="11"/>
        <v>293</v>
      </c>
      <c r="BS21" s="6"/>
      <c r="BT21" s="6"/>
      <c r="BU21" s="6"/>
      <c r="BV21" s="6">
        <v>660</v>
      </c>
      <c r="BW21" s="6"/>
      <c r="BX21" s="35">
        <f t="shared" si="12"/>
        <v>367</v>
      </c>
      <c r="BY21" s="6">
        <v>1043</v>
      </c>
      <c r="BZ21" s="6"/>
      <c r="CA21" s="6">
        <f t="shared" si="13"/>
        <v>383</v>
      </c>
      <c r="CB21" s="6">
        <v>115</v>
      </c>
      <c r="CC21" s="6">
        <v>1291</v>
      </c>
      <c r="CD21" s="6">
        <f t="shared" si="14"/>
        <v>363</v>
      </c>
      <c r="CE21" s="6">
        <v>484</v>
      </c>
      <c r="CF21" s="6"/>
      <c r="CG21" s="6">
        <f t="shared" si="15"/>
        <v>369</v>
      </c>
      <c r="CH21" s="6">
        <v>287</v>
      </c>
      <c r="CI21" s="6">
        <v>575</v>
      </c>
      <c r="CJ21" s="6">
        <f t="shared" si="16"/>
        <v>378</v>
      </c>
      <c r="CK21" s="6">
        <v>654</v>
      </c>
      <c r="CL21" s="6"/>
      <c r="CM21" s="6">
        <f t="shared" si="17"/>
        <v>367</v>
      </c>
      <c r="CN21" s="6"/>
      <c r="CO21" s="6"/>
      <c r="CP21" s="6"/>
      <c r="CQ21" s="6">
        <v>1043</v>
      </c>
      <c r="CR21" s="6"/>
      <c r="CS21" s="6">
        <f t="shared" si="18"/>
        <v>389</v>
      </c>
      <c r="CT21" s="6">
        <v>1427</v>
      </c>
      <c r="CU21" s="6"/>
      <c r="CV21" s="6">
        <f t="shared" si="19"/>
        <v>384</v>
      </c>
      <c r="CW21" s="6">
        <v>249</v>
      </c>
      <c r="CX21" s="6">
        <v>1560</v>
      </c>
      <c r="CY21" s="6">
        <f t="shared" si="20"/>
        <v>382</v>
      </c>
      <c r="CZ21" s="6">
        <v>633</v>
      </c>
      <c r="DA21" s="6"/>
      <c r="DB21" s="6">
        <f t="shared" si="21"/>
        <v>384</v>
      </c>
      <c r="DC21" s="6">
        <v>1015</v>
      </c>
      <c r="DD21" s="6"/>
      <c r="DE21" s="6">
        <f t="shared" si="22"/>
        <v>382</v>
      </c>
      <c r="DF21" s="6">
        <v>1384</v>
      </c>
      <c r="DG21" s="6"/>
      <c r="DH21" s="6">
        <f t="shared" si="23"/>
        <v>369</v>
      </c>
      <c r="DI21" s="6"/>
      <c r="DJ21" s="6"/>
      <c r="DK21" s="6"/>
      <c r="DL21" s="6">
        <v>56</v>
      </c>
      <c r="DM21" s="6">
        <v>1690</v>
      </c>
      <c r="DN21" s="6">
        <f t="shared" si="24"/>
        <v>362</v>
      </c>
      <c r="DO21" s="6">
        <v>415</v>
      </c>
      <c r="DP21" s="6"/>
      <c r="DQ21" s="6">
        <f t="shared" si="25"/>
        <v>359</v>
      </c>
    </row>
    <row r="22" spans="1:121">
      <c r="A22" s="6">
        <v>18</v>
      </c>
      <c r="B22" s="6">
        <v>1535</v>
      </c>
      <c r="C22" s="6"/>
      <c r="D22" s="6">
        <v>336</v>
      </c>
      <c r="E22" s="33" t="s">
        <v>128</v>
      </c>
      <c r="F22" s="33" t="s">
        <v>128</v>
      </c>
      <c r="G22" s="33" t="s">
        <v>128</v>
      </c>
      <c r="H22" s="33" t="s">
        <v>128</v>
      </c>
      <c r="I22" s="33" t="s">
        <v>128</v>
      </c>
      <c r="J22" s="33" t="s">
        <v>128</v>
      </c>
      <c r="K22" s="148" t="s">
        <v>128</v>
      </c>
      <c r="L22" s="33" t="s">
        <v>128</v>
      </c>
      <c r="M22" s="33" t="s">
        <v>128</v>
      </c>
      <c r="N22" s="33" t="s">
        <v>128</v>
      </c>
      <c r="O22" s="33" t="s">
        <v>128</v>
      </c>
      <c r="P22" s="33" t="s">
        <v>128</v>
      </c>
      <c r="Q22" s="33" t="s">
        <v>128</v>
      </c>
      <c r="R22" s="33" t="s">
        <v>128</v>
      </c>
      <c r="S22" s="33" t="s">
        <v>128</v>
      </c>
      <c r="T22" s="33" t="s">
        <v>128</v>
      </c>
      <c r="U22" s="33" t="s">
        <v>128</v>
      </c>
      <c r="V22" s="33" t="s">
        <v>128</v>
      </c>
      <c r="W22" s="33" t="s">
        <v>128</v>
      </c>
      <c r="X22" s="33" t="s">
        <v>128</v>
      </c>
      <c r="Y22" s="33" t="s">
        <v>128</v>
      </c>
      <c r="Z22" s="33" t="s">
        <v>128</v>
      </c>
      <c r="AA22" s="33" t="s">
        <v>128</v>
      </c>
      <c r="AB22" s="33" t="s">
        <v>128</v>
      </c>
      <c r="AC22" s="33" t="s">
        <v>128</v>
      </c>
      <c r="AD22" s="33" t="s">
        <v>128</v>
      </c>
      <c r="AE22" s="33" t="s">
        <v>128</v>
      </c>
      <c r="AF22" s="6">
        <v>363</v>
      </c>
      <c r="AG22" s="6">
        <v>1560</v>
      </c>
      <c r="AH22" s="35">
        <f t="shared" si="0"/>
        <v>388</v>
      </c>
      <c r="AI22" s="35">
        <v>731</v>
      </c>
      <c r="AJ22" s="35"/>
      <c r="AK22" s="35">
        <f t="shared" si="1"/>
        <v>368</v>
      </c>
      <c r="AL22" s="6">
        <v>1095</v>
      </c>
      <c r="AM22" s="6"/>
      <c r="AN22" s="35">
        <f t="shared" si="2"/>
        <v>364</v>
      </c>
      <c r="AO22" s="6">
        <v>1465</v>
      </c>
      <c r="AP22" s="6"/>
      <c r="AQ22" s="34">
        <f t="shared" si="3"/>
        <v>370</v>
      </c>
      <c r="AR22" s="35">
        <v>0</v>
      </c>
      <c r="AS22" s="35">
        <v>1668</v>
      </c>
      <c r="AT22" s="35">
        <f t="shared" si="4"/>
        <v>203</v>
      </c>
      <c r="AU22" s="6">
        <v>279</v>
      </c>
      <c r="AV22" s="6"/>
      <c r="AW22" s="35">
        <f t="shared" si="5"/>
        <v>279</v>
      </c>
      <c r="AX22" s="6"/>
      <c r="AY22" s="6"/>
      <c r="AZ22" s="35"/>
      <c r="BA22" s="35">
        <v>642</v>
      </c>
      <c r="BB22" s="35"/>
      <c r="BC22" s="35">
        <f t="shared" si="6"/>
        <v>363</v>
      </c>
      <c r="BD22" s="6">
        <v>995</v>
      </c>
      <c r="BE22" s="6"/>
      <c r="BF22" s="35">
        <f t="shared" si="7"/>
        <v>353</v>
      </c>
      <c r="BG22" s="6">
        <v>1350</v>
      </c>
      <c r="BH22" s="6"/>
      <c r="BI22" s="6">
        <f t="shared" si="8"/>
        <v>355</v>
      </c>
      <c r="BJ22" s="6">
        <v>147</v>
      </c>
      <c r="BK22" s="6">
        <v>1555</v>
      </c>
      <c r="BL22" s="6">
        <f t="shared" si="9"/>
        <v>352</v>
      </c>
      <c r="BM22" s="6">
        <v>506</v>
      </c>
      <c r="BN22" s="6"/>
      <c r="BO22" s="6">
        <f t="shared" si="10"/>
        <v>359</v>
      </c>
      <c r="BP22" s="6">
        <v>841</v>
      </c>
      <c r="BQ22" s="6"/>
      <c r="BR22" s="35">
        <f t="shared" si="11"/>
        <v>335</v>
      </c>
      <c r="BS22" s="6"/>
      <c r="BT22" s="6"/>
      <c r="BU22" s="6"/>
      <c r="BV22" s="6">
        <v>1202</v>
      </c>
      <c r="BW22" s="6"/>
      <c r="BX22" s="35">
        <f t="shared" si="12"/>
        <v>361</v>
      </c>
      <c r="BY22" s="6">
        <v>18</v>
      </c>
      <c r="BZ22" s="6">
        <v>1560</v>
      </c>
      <c r="CA22" s="6">
        <f t="shared" si="13"/>
        <v>376</v>
      </c>
      <c r="CB22" s="6">
        <v>398</v>
      </c>
      <c r="CC22" s="6"/>
      <c r="CD22" s="6">
        <f t="shared" si="14"/>
        <v>380</v>
      </c>
      <c r="CE22" s="6">
        <v>783</v>
      </c>
      <c r="CF22" s="6"/>
      <c r="CG22" s="6">
        <f t="shared" si="15"/>
        <v>385</v>
      </c>
      <c r="CH22" s="6">
        <v>1158</v>
      </c>
      <c r="CI22" s="6"/>
      <c r="CJ22" s="6">
        <f t="shared" si="16"/>
        <v>375</v>
      </c>
      <c r="CK22" s="6">
        <v>1532</v>
      </c>
      <c r="CL22" s="6"/>
      <c r="CM22" s="6">
        <f t="shared" si="17"/>
        <v>374</v>
      </c>
      <c r="CN22" s="6"/>
      <c r="CO22" s="6"/>
      <c r="CP22" s="6"/>
      <c r="CQ22" s="6">
        <v>30</v>
      </c>
      <c r="CR22" s="6">
        <f>1560+327</f>
        <v>1887</v>
      </c>
      <c r="CS22" s="6">
        <f t="shared" si="18"/>
        <v>385</v>
      </c>
      <c r="CT22" s="6">
        <v>413</v>
      </c>
      <c r="CU22" s="6"/>
      <c r="CV22" s="6">
        <f t="shared" si="19"/>
        <v>383</v>
      </c>
      <c r="CW22" s="6">
        <v>797</v>
      </c>
      <c r="CX22" s="6"/>
      <c r="CY22" s="6">
        <f t="shared" si="20"/>
        <v>384</v>
      </c>
      <c r="CZ22" s="6">
        <v>1182</v>
      </c>
      <c r="DA22" s="6"/>
      <c r="DB22" s="6">
        <f t="shared" si="21"/>
        <v>385</v>
      </c>
      <c r="DC22" s="6">
        <v>4</v>
      </c>
      <c r="DD22" s="6">
        <v>1560</v>
      </c>
      <c r="DE22" s="6">
        <f t="shared" si="22"/>
        <v>382</v>
      </c>
      <c r="DF22" s="6">
        <v>371</v>
      </c>
      <c r="DG22" s="6"/>
      <c r="DH22" s="6">
        <f t="shared" si="23"/>
        <v>367</v>
      </c>
      <c r="DI22" s="6"/>
      <c r="DJ22" s="6"/>
      <c r="DK22" s="6"/>
      <c r="DL22" s="6">
        <v>748</v>
      </c>
      <c r="DM22" s="6"/>
      <c r="DN22" s="6">
        <f t="shared" si="24"/>
        <v>377</v>
      </c>
      <c r="DO22" s="6">
        <v>0</v>
      </c>
      <c r="DP22" s="6">
        <v>1049</v>
      </c>
      <c r="DQ22" s="6">
        <f t="shared" si="25"/>
        <v>301</v>
      </c>
    </row>
    <row r="23" spans="1:121">
      <c r="A23" s="6">
        <v>19</v>
      </c>
      <c r="B23" s="6">
        <v>1344</v>
      </c>
      <c r="C23" s="6"/>
      <c r="D23" s="6">
        <v>337</v>
      </c>
      <c r="E23" s="33" t="s">
        <v>37</v>
      </c>
      <c r="F23" s="33" t="s">
        <v>37</v>
      </c>
      <c r="G23" s="33" t="s">
        <v>37</v>
      </c>
      <c r="H23" s="33" t="s">
        <v>37</v>
      </c>
      <c r="I23" s="33" t="s">
        <v>37</v>
      </c>
      <c r="J23" s="33" t="s">
        <v>37</v>
      </c>
      <c r="K23" s="33" t="s">
        <v>37</v>
      </c>
      <c r="L23" s="33" t="s">
        <v>37</v>
      </c>
      <c r="M23" s="33" t="s">
        <v>37</v>
      </c>
      <c r="N23" s="33" t="s">
        <v>37</v>
      </c>
      <c r="O23" s="33" t="s">
        <v>37</v>
      </c>
      <c r="P23" s="33" t="s">
        <v>37</v>
      </c>
      <c r="Q23" s="33" t="s">
        <v>37</v>
      </c>
      <c r="R23" s="33" t="s">
        <v>37</v>
      </c>
      <c r="S23" s="33" t="s">
        <v>37</v>
      </c>
      <c r="T23" s="33" t="s">
        <v>37</v>
      </c>
      <c r="U23" s="33" t="s">
        <v>37</v>
      </c>
      <c r="V23" s="33" t="s">
        <v>37</v>
      </c>
      <c r="W23" s="33" t="s">
        <v>37</v>
      </c>
      <c r="X23" s="148" t="s">
        <v>37</v>
      </c>
      <c r="Y23" s="33" t="s">
        <v>37</v>
      </c>
      <c r="Z23" s="33" t="s">
        <v>37</v>
      </c>
      <c r="AA23" s="33" t="s">
        <v>37</v>
      </c>
      <c r="AB23" s="33" t="s">
        <v>37</v>
      </c>
      <c r="AC23" s="33" t="s">
        <v>37</v>
      </c>
      <c r="AD23" s="33" t="s">
        <v>37</v>
      </c>
      <c r="AE23" s="33" t="s">
        <v>37</v>
      </c>
      <c r="AF23" s="6">
        <v>174</v>
      </c>
      <c r="AG23" s="35">
        <v>1560</v>
      </c>
      <c r="AH23" s="35">
        <f t="shared" si="0"/>
        <v>390</v>
      </c>
      <c r="AI23" s="35">
        <v>541</v>
      </c>
      <c r="AJ23" s="35"/>
      <c r="AK23" s="35">
        <f t="shared" si="1"/>
        <v>367</v>
      </c>
      <c r="AL23" s="6">
        <v>1</v>
      </c>
      <c r="AM23" s="6">
        <v>878</v>
      </c>
      <c r="AN23" s="35">
        <f t="shared" si="2"/>
        <v>338</v>
      </c>
      <c r="AO23" s="6">
        <v>376</v>
      </c>
      <c r="AP23" s="6"/>
      <c r="AQ23" s="34">
        <f t="shared" si="3"/>
        <v>375</v>
      </c>
      <c r="AR23" s="35">
        <v>747</v>
      </c>
      <c r="AS23" s="35"/>
      <c r="AT23" s="35">
        <f t="shared" si="4"/>
        <v>371</v>
      </c>
      <c r="AU23" s="6">
        <v>1074</v>
      </c>
      <c r="AV23" s="6"/>
      <c r="AW23" s="35">
        <f t="shared" si="5"/>
        <v>327</v>
      </c>
      <c r="AX23" s="6"/>
      <c r="AY23" s="6"/>
      <c r="AZ23" s="35"/>
      <c r="BA23" s="35">
        <v>290</v>
      </c>
      <c r="BB23" s="35">
        <v>1130</v>
      </c>
      <c r="BC23" s="35">
        <f t="shared" si="6"/>
        <v>346</v>
      </c>
      <c r="BD23" s="6">
        <v>639</v>
      </c>
      <c r="BE23" s="6"/>
      <c r="BF23" s="35">
        <f t="shared" si="7"/>
        <v>349</v>
      </c>
      <c r="BG23" s="6">
        <v>995</v>
      </c>
      <c r="BH23" s="6"/>
      <c r="BI23" s="6">
        <f t="shared" si="8"/>
        <v>356</v>
      </c>
      <c r="BJ23" s="6">
        <v>1358</v>
      </c>
      <c r="BK23" s="6"/>
      <c r="BL23" s="6">
        <f t="shared" si="9"/>
        <v>363</v>
      </c>
      <c r="BM23" s="6">
        <v>161</v>
      </c>
      <c r="BN23" s="6">
        <v>1560</v>
      </c>
      <c r="BO23" s="6">
        <f t="shared" si="10"/>
        <v>363</v>
      </c>
      <c r="BP23" s="6">
        <v>506</v>
      </c>
      <c r="BQ23" s="6"/>
      <c r="BR23" s="35">
        <f t="shared" si="11"/>
        <v>345</v>
      </c>
      <c r="BS23" s="6"/>
      <c r="BT23" s="6"/>
      <c r="BU23" s="6"/>
      <c r="BV23" s="6">
        <v>877</v>
      </c>
      <c r="BW23" s="6"/>
      <c r="BX23" s="35">
        <f t="shared" si="12"/>
        <v>371</v>
      </c>
      <c r="BY23" s="6">
        <v>1261</v>
      </c>
      <c r="BZ23" s="6"/>
      <c r="CA23" s="6">
        <f t="shared" si="13"/>
        <v>384</v>
      </c>
      <c r="CB23" s="6">
        <v>81</v>
      </c>
      <c r="CC23" s="6">
        <v>1560</v>
      </c>
      <c r="CD23" s="6">
        <f t="shared" si="14"/>
        <v>380</v>
      </c>
      <c r="CE23" s="6">
        <v>464</v>
      </c>
      <c r="CF23" s="6"/>
      <c r="CG23" s="6">
        <f t="shared" si="15"/>
        <v>383</v>
      </c>
      <c r="CH23" s="6">
        <v>849</v>
      </c>
      <c r="CI23" s="6"/>
      <c r="CJ23" s="6">
        <f t="shared" si="16"/>
        <v>385</v>
      </c>
      <c r="CK23" s="6">
        <v>1173</v>
      </c>
      <c r="CL23" s="6"/>
      <c r="CM23" s="6">
        <f t="shared" si="17"/>
        <v>324</v>
      </c>
      <c r="CN23" s="6"/>
      <c r="CO23" s="6"/>
      <c r="CP23" s="6"/>
      <c r="CQ23" s="6">
        <v>359</v>
      </c>
      <c r="CR23" s="6">
        <v>1173</v>
      </c>
      <c r="CS23" s="6">
        <f t="shared" si="18"/>
        <v>359</v>
      </c>
      <c r="CT23" s="6">
        <v>745</v>
      </c>
      <c r="CU23" s="6"/>
      <c r="CV23" s="6">
        <f t="shared" si="19"/>
        <v>386</v>
      </c>
      <c r="CW23" s="6">
        <v>1124</v>
      </c>
      <c r="CX23" s="6"/>
      <c r="CY23" s="6">
        <f t="shared" si="20"/>
        <v>379</v>
      </c>
      <c r="CZ23" s="6">
        <v>1511</v>
      </c>
      <c r="DA23" s="6"/>
      <c r="DB23" s="6">
        <f t="shared" si="21"/>
        <v>387</v>
      </c>
      <c r="DC23" s="6">
        <v>324</v>
      </c>
      <c r="DD23" s="6">
        <v>1575</v>
      </c>
      <c r="DE23" s="6">
        <f t="shared" si="22"/>
        <v>388</v>
      </c>
      <c r="DF23" s="6">
        <v>673</v>
      </c>
      <c r="DG23" s="6"/>
      <c r="DH23" s="6">
        <f t="shared" si="23"/>
        <v>349</v>
      </c>
      <c r="DI23" s="6"/>
      <c r="DJ23" s="6"/>
      <c r="DK23" s="6"/>
      <c r="DL23" s="6">
        <v>1059</v>
      </c>
      <c r="DM23" s="6"/>
      <c r="DN23" s="6">
        <f t="shared" si="24"/>
        <v>386</v>
      </c>
      <c r="DO23" s="6">
        <v>1418</v>
      </c>
      <c r="DP23" s="6"/>
      <c r="DQ23" s="6">
        <f t="shared" si="25"/>
        <v>359</v>
      </c>
    </row>
    <row r="24" spans="1:121">
      <c r="A24" s="6">
        <v>20</v>
      </c>
      <c r="B24" s="6">
        <v>253</v>
      </c>
      <c r="C24" s="6">
        <v>1565</v>
      </c>
      <c r="D24" s="6">
        <v>331</v>
      </c>
      <c r="E24" s="213" t="s">
        <v>128</v>
      </c>
      <c r="F24" s="213" t="s">
        <v>128</v>
      </c>
      <c r="G24" s="213" t="s">
        <v>128</v>
      </c>
      <c r="H24" s="213" t="s">
        <v>128</v>
      </c>
      <c r="I24" s="213" t="s">
        <v>128</v>
      </c>
      <c r="J24" s="213" t="s">
        <v>128</v>
      </c>
      <c r="K24" s="213" t="s">
        <v>128</v>
      </c>
      <c r="L24" s="213" t="s">
        <v>128</v>
      </c>
      <c r="M24" s="213" t="s">
        <v>128</v>
      </c>
      <c r="N24" s="256" t="s">
        <v>37</v>
      </c>
      <c r="O24" s="257" t="s">
        <v>37</v>
      </c>
      <c r="P24" s="257" t="s">
        <v>37</v>
      </c>
      <c r="Q24" s="257" t="s">
        <v>37</v>
      </c>
      <c r="R24" s="257" t="s">
        <v>37</v>
      </c>
      <c r="S24" s="257" t="s">
        <v>37</v>
      </c>
      <c r="T24" s="257" t="s">
        <v>37</v>
      </c>
      <c r="U24" s="257" t="s">
        <v>37</v>
      </c>
      <c r="V24" s="257" t="s">
        <v>37</v>
      </c>
      <c r="W24" s="257" t="s">
        <v>37</v>
      </c>
      <c r="X24" s="257" t="s">
        <v>37</v>
      </c>
      <c r="Y24" s="257" t="s">
        <v>37</v>
      </c>
      <c r="Z24" s="257" t="s">
        <v>37</v>
      </c>
      <c r="AA24" s="257" t="s">
        <v>37</v>
      </c>
      <c r="AB24" s="257" t="s">
        <v>37</v>
      </c>
      <c r="AC24" s="257" t="s">
        <v>37</v>
      </c>
      <c r="AD24" s="257" t="s">
        <v>37</v>
      </c>
      <c r="AE24" s="257" t="s">
        <v>37</v>
      </c>
      <c r="AF24" s="6">
        <v>608</v>
      </c>
      <c r="AG24" s="6"/>
      <c r="AH24" s="35">
        <f t="shared" si="0"/>
        <v>355</v>
      </c>
      <c r="AI24" s="35">
        <v>969</v>
      </c>
      <c r="AJ24" s="35"/>
      <c r="AK24" s="35">
        <f t="shared" si="1"/>
        <v>361</v>
      </c>
      <c r="AL24" s="35">
        <v>1326</v>
      </c>
      <c r="AM24" s="6"/>
      <c r="AN24" s="35">
        <f t="shared" si="2"/>
        <v>357</v>
      </c>
      <c r="AO24" s="6">
        <v>122</v>
      </c>
      <c r="AP24" s="6">
        <v>1560</v>
      </c>
      <c r="AQ24" s="34">
        <f t="shared" si="3"/>
        <v>356</v>
      </c>
      <c r="AR24" s="35">
        <v>483</v>
      </c>
      <c r="AS24" s="35"/>
      <c r="AT24" s="35">
        <f t="shared" si="4"/>
        <v>361</v>
      </c>
      <c r="AU24" s="6">
        <v>823</v>
      </c>
      <c r="AV24" s="6"/>
      <c r="AW24" s="35">
        <f t="shared" si="5"/>
        <v>340</v>
      </c>
      <c r="AX24" s="6"/>
      <c r="AY24" s="6"/>
      <c r="AZ24" s="35"/>
      <c r="BA24" s="35">
        <v>1186</v>
      </c>
      <c r="BB24" s="35"/>
      <c r="BC24" s="35">
        <f t="shared" si="6"/>
        <v>363</v>
      </c>
      <c r="BD24" s="6">
        <v>1543</v>
      </c>
      <c r="BE24" s="6"/>
      <c r="BF24" s="35">
        <f t="shared" si="7"/>
        <v>357</v>
      </c>
      <c r="BG24" s="6">
        <v>282</v>
      </c>
      <c r="BH24" s="6">
        <v>1554</v>
      </c>
      <c r="BI24" s="6">
        <f t="shared" si="8"/>
        <v>293</v>
      </c>
      <c r="BJ24" s="6">
        <v>646</v>
      </c>
      <c r="BK24" s="6"/>
      <c r="BL24" s="6">
        <f t="shared" si="9"/>
        <v>364</v>
      </c>
      <c r="BM24" s="6">
        <v>1027</v>
      </c>
      <c r="BN24" s="6"/>
      <c r="BO24" s="6">
        <f t="shared" si="10"/>
        <v>381</v>
      </c>
      <c r="BP24" s="6">
        <v>269</v>
      </c>
      <c r="BQ24" s="6">
        <v>1119</v>
      </c>
      <c r="BR24" s="35">
        <f t="shared" si="11"/>
        <v>361</v>
      </c>
      <c r="BS24" s="6"/>
      <c r="BT24" s="6"/>
      <c r="BU24" s="6"/>
      <c r="BV24" s="6">
        <v>676</v>
      </c>
      <c r="BW24" s="6"/>
      <c r="BX24" s="35">
        <f t="shared" si="12"/>
        <v>407</v>
      </c>
      <c r="BY24" s="6">
        <v>1091</v>
      </c>
      <c r="BZ24" s="6"/>
      <c r="CA24" s="6">
        <f t="shared" si="13"/>
        <v>415</v>
      </c>
      <c r="CB24" s="6">
        <v>1501</v>
      </c>
      <c r="CC24" s="6"/>
      <c r="CD24" s="6">
        <f t="shared" si="14"/>
        <v>410</v>
      </c>
      <c r="CE24" s="6">
        <v>320</v>
      </c>
      <c r="CF24" s="6">
        <v>1560</v>
      </c>
      <c r="CG24" s="6">
        <f t="shared" si="15"/>
        <v>379</v>
      </c>
      <c r="CH24" s="6">
        <v>711</v>
      </c>
      <c r="CI24" s="6"/>
      <c r="CJ24" s="6">
        <f t="shared" si="16"/>
        <v>391</v>
      </c>
      <c r="CK24" s="6">
        <v>1076</v>
      </c>
      <c r="CL24" s="6"/>
      <c r="CM24" s="6">
        <f t="shared" si="17"/>
        <v>365</v>
      </c>
      <c r="CN24" s="6"/>
      <c r="CO24" s="6"/>
      <c r="CP24" s="6"/>
      <c r="CQ24" s="6">
        <v>1461</v>
      </c>
      <c r="CR24" s="6"/>
      <c r="CS24" s="6">
        <f t="shared" si="18"/>
        <v>385</v>
      </c>
      <c r="CT24" s="6">
        <v>282</v>
      </c>
      <c r="CU24" s="6">
        <v>1560</v>
      </c>
      <c r="CV24" s="6">
        <f t="shared" si="19"/>
        <v>381</v>
      </c>
      <c r="CW24" s="6">
        <v>664</v>
      </c>
      <c r="CX24" s="6"/>
      <c r="CY24" s="6">
        <f t="shared" si="20"/>
        <v>382</v>
      </c>
      <c r="CZ24" s="6">
        <v>1050</v>
      </c>
      <c r="DA24" s="6"/>
      <c r="DB24" s="6">
        <f t="shared" si="21"/>
        <v>386</v>
      </c>
      <c r="DC24" s="6">
        <v>1442</v>
      </c>
      <c r="DD24" s="6"/>
      <c r="DE24" s="6">
        <f t="shared" si="22"/>
        <v>392</v>
      </c>
      <c r="DF24" s="6">
        <v>238</v>
      </c>
      <c r="DG24" s="6">
        <v>1560</v>
      </c>
      <c r="DH24" s="6">
        <f t="shared" si="23"/>
        <v>356</v>
      </c>
      <c r="DI24" s="6"/>
      <c r="DJ24" s="6"/>
      <c r="DK24" s="6"/>
      <c r="DL24" s="6">
        <v>625</v>
      </c>
      <c r="DM24" s="6"/>
      <c r="DN24" s="6">
        <f t="shared" si="24"/>
        <v>387</v>
      </c>
      <c r="DO24" s="6">
        <v>977</v>
      </c>
      <c r="DP24" s="6"/>
      <c r="DQ24" s="6">
        <f t="shared" si="25"/>
        <v>352</v>
      </c>
    </row>
    <row r="25" spans="1:121">
      <c r="A25" s="6">
        <v>21</v>
      </c>
      <c r="B25" s="6">
        <v>1021</v>
      </c>
      <c r="C25" s="6"/>
      <c r="D25" s="6">
        <v>328</v>
      </c>
      <c r="E25" s="33" t="s">
        <v>37</v>
      </c>
      <c r="F25" s="33" t="s">
        <v>37</v>
      </c>
      <c r="G25" s="33" t="s">
        <v>37</v>
      </c>
      <c r="H25" s="33" t="s">
        <v>37</v>
      </c>
      <c r="I25" s="33" t="s">
        <v>37</v>
      </c>
      <c r="J25" s="33" t="s">
        <v>37</v>
      </c>
      <c r="K25" s="33" t="s">
        <v>37</v>
      </c>
      <c r="L25" s="33" t="s">
        <v>37</v>
      </c>
      <c r="M25" s="33" t="s">
        <v>37</v>
      </c>
      <c r="N25" s="33" t="s">
        <v>37</v>
      </c>
      <c r="O25" s="33" t="s">
        <v>37</v>
      </c>
      <c r="P25" s="33" t="s">
        <v>37</v>
      </c>
      <c r="Q25" s="33" t="s">
        <v>37</v>
      </c>
      <c r="R25" s="33" t="s">
        <v>37</v>
      </c>
      <c r="S25" s="33" t="s">
        <v>37</v>
      </c>
      <c r="T25" s="33" t="s">
        <v>37</v>
      </c>
      <c r="U25" s="33" t="s">
        <v>37</v>
      </c>
      <c r="V25" s="33" t="s">
        <v>37</v>
      </c>
      <c r="W25" s="33" t="s">
        <v>37</v>
      </c>
      <c r="X25" s="33" t="s">
        <v>37</v>
      </c>
      <c r="Y25" s="148" t="s">
        <v>37</v>
      </c>
      <c r="Z25" s="33" t="s">
        <v>37</v>
      </c>
      <c r="AA25" s="33" t="s">
        <v>37</v>
      </c>
      <c r="AB25" s="33" t="s">
        <v>37</v>
      </c>
      <c r="AC25" s="33" t="s">
        <v>37</v>
      </c>
      <c r="AD25" s="33" t="s">
        <v>37</v>
      </c>
      <c r="AE25" s="33" t="s">
        <v>37</v>
      </c>
      <c r="AF25" s="6">
        <v>1404</v>
      </c>
      <c r="AG25" s="6"/>
      <c r="AH25" s="35">
        <f t="shared" si="0"/>
        <v>383</v>
      </c>
      <c r="AI25" s="35">
        <v>197</v>
      </c>
      <c r="AJ25" s="35">
        <v>1560</v>
      </c>
      <c r="AK25" s="35">
        <f t="shared" si="1"/>
        <v>353</v>
      </c>
      <c r="AL25" s="6">
        <v>557</v>
      </c>
      <c r="AM25" s="6"/>
      <c r="AN25" s="35">
        <f t="shared" si="2"/>
        <v>360</v>
      </c>
      <c r="AO25" s="6">
        <v>919</v>
      </c>
      <c r="AP25" s="6"/>
      <c r="AQ25" s="34">
        <f t="shared" si="3"/>
        <v>362</v>
      </c>
      <c r="AR25" s="35">
        <v>1283</v>
      </c>
      <c r="AS25" s="35"/>
      <c r="AT25" s="35">
        <f t="shared" si="4"/>
        <v>364</v>
      </c>
      <c r="AU25" s="6">
        <v>64</v>
      </c>
      <c r="AV25" s="6">
        <v>1560</v>
      </c>
      <c r="AW25" s="35">
        <f t="shared" si="5"/>
        <v>341</v>
      </c>
      <c r="AX25" s="6"/>
      <c r="AY25" s="6"/>
      <c r="AZ25" s="35"/>
      <c r="BA25" s="35">
        <v>426</v>
      </c>
      <c r="BB25" s="35"/>
      <c r="BC25" s="35">
        <f t="shared" si="6"/>
        <v>362</v>
      </c>
      <c r="BD25" s="6">
        <v>787</v>
      </c>
      <c r="BE25" s="6"/>
      <c r="BF25" s="35">
        <f t="shared" si="7"/>
        <v>361</v>
      </c>
      <c r="BG25" s="6">
        <v>1140</v>
      </c>
      <c r="BH25" s="6"/>
      <c r="BI25" s="6">
        <f t="shared" si="8"/>
        <v>353</v>
      </c>
      <c r="BJ25" s="6">
        <v>1498</v>
      </c>
      <c r="BK25" s="6"/>
      <c r="BL25" s="6">
        <f t="shared" si="9"/>
        <v>358</v>
      </c>
      <c r="BM25" s="6">
        <v>303</v>
      </c>
      <c r="BN25" s="6">
        <v>1560</v>
      </c>
      <c r="BO25" s="6">
        <f t="shared" si="10"/>
        <v>365</v>
      </c>
      <c r="BP25" s="6">
        <v>646</v>
      </c>
      <c r="BQ25" s="6"/>
      <c r="BR25" s="35">
        <f t="shared" si="11"/>
        <v>343</v>
      </c>
      <c r="BS25" s="6"/>
      <c r="BT25" s="6"/>
      <c r="BU25" s="6"/>
      <c r="BV25" s="6">
        <v>1014</v>
      </c>
      <c r="BW25" s="6"/>
      <c r="BX25" s="35">
        <f t="shared" si="12"/>
        <v>368</v>
      </c>
      <c r="BY25" s="6">
        <v>1384</v>
      </c>
      <c r="BZ25" s="6"/>
      <c r="CA25" s="6">
        <f t="shared" si="13"/>
        <v>370</v>
      </c>
      <c r="CB25" s="6">
        <v>180</v>
      </c>
      <c r="CC25" s="6">
        <v>1560</v>
      </c>
      <c r="CD25" s="6">
        <f t="shared" si="14"/>
        <v>356</v>
      </c>
      <c r="CE25" s="6">
        <v>544</v>
      </c>
      <c r="CF25" s="6"/>
      <c r="CG25" s="6">
        <f t="shared" si="15"/>
        <v>364</v>
      </c>
      <c r="CH25" s="6">
        <v>877</v>
      </c>
      <c r="CI25" s="6"/>
      <c r="CJ25" s="6">
        <f t="shared" si="16"/>
        <v>333</v>
      </c>
      <c r="CK25" s="6">
        <v>1167</v>
      </c>
      <c r="CL25" s="6"/>
      <c r="CM25" s="6">
        <f t="shared" si="17"/>
        <v>290</v>
      </c>
      <c r="CN25" s="6"/>
      <c r="CO25" s="6"/>
      <c r="CP25" s="6"/>
      <c r="CQ25" s="6">
        <v>1517</v>
      </c>
      <c r="CR25" s="6"/>
      <c r="CS25" s="6">
        <f t="shared" si="18"/>
        <v>350</v>
      </c>
      <c r="CT25" s="6">
        <v>253</v>
      </c>
      <c r="CU25" s="6">
        <v>1620</v>
      </c>
      <c r="CV25" s="6">
        <f t="shared" si="19"/>
        <v>356</v>
      </c>
      <c r="CW25" s="6">
        <v>627</v>
      </c>
      <c r="CX25" s="6"/>
      <c r="CY25" s="6">
        <f t="shared" si="20"/>
        <v>374</v>
      </c>
      <c r="CZ25" s="6">
        <v>1005</v>
      </c>
      <c r="DA25" s="6"/>
      <c r="DB25" s="6">
        <f t="shared" si="21"/>
        <v>378</v>
      </c>
      <c r="DC25" s="6">
        <v>1352</v>
      </c>
      <c r="DD25" s="6"/>
      <c r="DE25" s="6">
        <f t="shared" si="22"/>
        <v>347</v>
      </c>
      <c r="DF25" s="6">
        <v>111</v>
      </c>
      <c r="DG25" s="6">
        <v>1560</v>
      </c>
      <c r="DH25" s="6">
        <f t="shared" si="23"/>
        <v>319</v>
      </c>
      <c r="DI25" s="6"/>
      <c r="DJ25" s="6"/>
      <c r="DK25" s="6"/>
      <c r="DL25" s="6">
        <v>476</v>
      </c>
      <c r="DM25" s="6"/>
      <c r="DN25" s="6">
        <f t="shared" si="24"/>
        <v>365</v>
      </c>
      <c r="DO25" s="6">
        <v>803</v>
      </c>
      <c r="DP25" s="6"/>
      <c r="DQ25" s="6">
        <f t="shared" si="25"/>
        <v>327</v>
      </c>
    </row>
    <row r="26" spans="1:121">
      <c r="A26" s="6">
        <v>22</v>
      </c>
      <c r="B26" s="6">
        <v>1412</v>
      </c>
      <c r="C26" s="6"/>
      <c r="D26" s="6">
        <v>338</v>
      </c>
      <c r="E26" s="33" t="s">
        <v>37</v>
      </c>
      <c r="F26" s="33" t="s">
        <v>37</v>
      </c>
      <c r="G26" s="33" t="s">
        <v>37</v>
      </c>
      <c r="H26" s="33" t="s">
        <v>37</v>
      </c>
      <c r="I26" s="33" t="s">
        <v>37</v>
      </c>
      <c r="J26" s="33" t="s">
        <v>37</v>
      </c>
      <c r="K26" s="33" t="s">
        <v>37</v>
      </c>
      <c r="L26" s="33" t="s">
        <v>37</v>
      </c>
      <c r="M26" s="33" t="s">
        <v>37</v>
      </c>
      <c r="N26" s="33" t="s">
        <v>37</v>
      </c>
      <c r="O26" s="33" t="s">
        <v>37</v>
      </c>
      <c r="P26" s="33" t="s">
        <v>37</v>
      </c>
      <c r="Q26" s="33" t="s">
        <v>37</v>
      </c>
      <c r="R26" s="33" t="s">
        <v>37</v>
      </c>
      <c r="S26" s="33" t="s">
        <v>37</v>
      </c>
      <c r="T26" s="33" t="s">
        <v>37</v>
      </c>
      <c r="U26" s="33" t="s">
        <v>37</v>
      </c>
      <c r="V26" s="33" t="s">
        <v>37</v>
      </c>
      <c r="W26" s="33" t="s">
        <v>37</v>
      </c>
      <c r="X26" s="148" t="s">
        <v>37</v>
      </c>
      <c r="Y26" s="33" t="s">
        <v>37</v>
      </c>
      <c r="Z26" s="33" t="s">
        <v>37</v>
      </c>
      <c r="AA26" s="33" t="s">
        <v>37</v>
      </c>
      <c r="AB26" s="33" t="s">
        <v>37</v>
      </c>
      <c r="AC26" s="33" t="s">
        <v>37</v>
      </c>
      <c r="AD26" s="33" t="s">
        <v>37</v>
      </c>
      <c r="AE26" s="33" t="s">
        <v>37</v>
      </c>
      <c r="AF26" s="6">
        <v>235</v>
      </c>
      <c r="AG26" s="6">
        <v>1560</v>
      </c>
      <c r="AH26" s="35">
        <f t="shared" si="0"/>
        <v>383</v>
      </c>
      <c r="AI26" s="35">
        <v>608</v>
      </c>
      <c r="AJ26" s="35"/>
      <c r="AK26" s="35">
        <f t="shared" si="1"/>
        <v>373</v>
      </c>
      <c r="AL26" s="6">
        <v>981</v>
      </c>
      <c r="AM26" s="6"/>
      <c r="AN26" s="35">
        <f t="shared" si="2"/>
        <v>373</v>
      </c>
      <c r="AO26" s="6">
        <v>1353</v>
      </c>
      <c r="AP26" s="6"/>
      <c r="AQ26" s="34">
        <f t="shared" si="3"/>
        <v>372</v>
      </c>
      <c r="AR26" s="35">
        <v>165</v>
      </c>
      <c r="AS26" s="35">
        <v>1560</v>
      </c>
      <c r="AT26" s="35">
        <f t="shared" si="4"/>
        <v>372</v>
      </c>
      <c r="AU26" s="6">
        <v>511</v>
      </c>
      <c r="AV26" s="6"/>
      <c r="AW26" s="35">
        <f t="shared" si="5"/>
        <v>346</v>
      </c>
      <c r="AX26" s="6"/>
      <c r="AY26" s="6"/>
      <c r="AZ26" s="35"/>
      <c r="BA26" s="35">
        <v>890</v>
      </c>
      <c r="BB26" s="35"/>
      <c r="BC26" s="35">
        <f t="shared" si="6"/>
        <v>379</v>
      </c>
      <c r="BD26" s="6">
        <v>1262</v>
      </c>
      <c r="BE26" s="6"/>
      <c r="BF26" s="35">
        <f t="shared" si="7"/>
        <v>372</v>
      </c>
      <c r="BG26" s="6">
        <v>71</v>
      </c>
      <c r="BH26" s="6">
        <v>1560</v>
      </c>
      <c r="BI26" s="6">
        <f t="shared" si="8"/>
        <v>369</v>
      </c>
      <c r="BJ26" s="6">
        <v>441</v>
      </c>
      <c r="BK26" s="6"/>
      <c r="BL26" s="6">
        <f t="shared" si="9"/>
        <v>370</v>
      </c>
      <c r="BM26" s="6">
        <v>813</v>
      </c>
      <c r="BN26" s="6"/>
      <c r="BO26" s="6">
        <f t="shared" si="10"/>
        <v>372</v>
      </c>
      <c r="BP26" s="6">
        <v>268</v>
      </c>
      <c r="BQ26" s="6">
        <v>893</v>
      </c>
      <c r="BR26" s="35">
        <f t="shared" si="11"/>
        <v>348</v>
      </c>
      <c r="BS26" s="6"/>
      <c r="BT26" s="6"/>
      <c r="BU26" s="6"/>
      <c r="BV26" s="6">
        <v>651</v>
      </c>
      <c r="BW26" s="6"/>
      <c r="BX26" s="35">
        <f t="shared" si="12"/>
        <v>383</v>
      </c>
      <c r="BY26" s="6">
        <v>1003</v>
      </c>
      <c r="BZ26" s="6"/>
      <c r="CA26" s="6">
        <f t="shared" si="13"/>
        <v>352</v>
      </c>
      <c r="CB26" s="6">
        <v>1374</v>
      </c>
      <c r="CC26" s="6"/>
      <c r="CD26" s="6">
        <f t="shared" si="14"/>
        <v>371</v>
      </c>
      <c r="CE26" s="6">
        <v>195</v>
      </c>
      <c r="CF26" s="6">
        <v>1560</v>
      </c>
      <c r="CG26" s="6">
        <f t="shared" si="15"/>
        <v>381</v>
      </c>
      <c r="CH26" s="6">
        <v>573</v>
      </c>
      <c r="CI26" s="6"/>
      <c r="CJ26" s="6">
        <f t="shared" si="16"/>
        <v>378</v>
      </c>
      <c r="CK26" s="6">
        <v>0</v>
      </c>
      <c r="CL26" s="6">
        <v>759</v>
      </c>
      <c r="CM26" s="6">
        <f t="shared" si="17"/>
        <v>186</v>
      </c>
      <c r="CN26" s="6"/>
      <c r="CO26" s="6"/>
      <c r="CP26" s="6"/>
      <c r="CQ26" s="6">
        <v>357</v>
      </c>
      <c r="CR26" s="6"/>
      <c r="CS26" s="6">
        <f t="shared" si="18"/>
        <v>357</v>
      </c>
      <c r="CT26" s="6">
        <v>736</v>
      </c>
      <c r="CU26" s="6"/>
      <c r="CV26" s="6">
        <f t="shared" si="19"/>
        <v>379</v>
      </c>
      <c r="CW26" s="6">
        <v>1113</v>
      </c>
      <c r="CX26" s="6"/>
      <c r="CY26" s="6">
        <f t="shared" si="20"/>
        <v>377</v>
      </c>
      <c r="CZ26" s="6">
        <v>159</v>
      </c>
      <c r="DA26" s="6">
        <v>1322</v>
      </c>
      <c r="DB26" s="6">
        <f t="shared" si="21"/>
        <v>368</v>
      </c>
      <c r="DC26" s="6">
        <v>544</v>
      </c>
      <c r="DD26" s="6"/>
      <c r="DE26" s="6">
        <f t="shared" si="22"/>
        <v>385</v>
      </c>
      <c r="DF26" s="6">
        <v>902</v>
      </c>
      <c r="DG26" s="6"/>
      <c r="DH26" s="6">
        <f t="shared" si="23"/>
        <v>358</v>
      </c>
      <c r="DI26" s="6"/>
      <c r="DJ26" s="6"/>
      <c r="DK26" s="6"/>
      <c r="DL26" s="6">
        <v>1279</v>
      </c>
      <c r="DM26" s="6"/>
      <c r="DN26" s="6">
        <f t="shared" si="24"/>
        <v>377</v>
      </c>
      <c r="DO26" s="6">
        <v>73</v>
      </c>
      <c r="DP26" s="6">
        <v>1560</v>
      </c>
      <c r="DQ26" s="6">
        <f t="shared" si="25"/>
        <v>354</v>
      </c>
    </row>
    <row r="27" spans="1:121">
      <c r="A27" s="6">
        <v>23</v>
      </c>
      <c r="B27" s="6">
        <v>861</v>
      </c>
      <c r="C27" s="6"/>
      <c r="D27" s="6">
        <v>338</v>
      </c>
      <c r="E27" s="33" t="s">
        <v>37</v>
      </c>
      <c r="F27" s="33" t="s">
        <v>37</v>
      </c>
      <c r="G27" s="33" t="s">
        <v>37</v>
      </c>
      <c r="H27" s="33" t="s">
        <v>37</v>
      </c>
      <c r="I27" s="148" t="s">
        <v>37</v>
      </c>
      <c r="J27" s="33" t="s">
        <v>37</v>
      </c>
      <c r="K27" s="33" t="s">
        <v>37</v>
      </c>
      <c r="L27" s="33" t="s">
        <v>37</v>
      </c>
      <c r="M27" s="33" t="s">
        <v>37</v>
      </c>
      <c r="N27" s="33" t="s">
        <v>37</v>
      </c>
      <c r="O27" s="33" t="s">
        <v>37</v>
      </c>
      <c r="P27" s="33" t="s">
        <v>37</v>
      </c>
      <c r="Q27" s="33" t="s">
        <v>37</v>
      </c>
      <c r="R27" s="33" t="s">
        <v>37</v>
      </c>
      <c r="S27" s="33" t="s">
        <v>37</v>
      </c>
      <c r="T27" s="33" t="s">
        <v>37</v>
      </c>
      <c r="U27" s="33" t="s">
        <v>37</v>
      </c>
      <c r="V27" s="33" t="s">
        <v>37</v>
      </c>
      <c r="W27" s="33" t="s">
        <v>37</v>
      </c>
      <c r="X27" s="33" t="s">
        <v>37</v>
      </c>
      <c r="Y27" s="33" t="s">
        <v>37</v>
      </c>
      <c r="Z27" s="33" t="s">
        <v>37</v>
      </c>
      <c r="AA27" s="33" t="s">
        <v>37</v>
      </c>
      <c r="AB27" s="33" t="s">
        <v>37</v>
      </c>
      <c r="AC27" s="33" t="s">
        <v>37</v>
      </c>
      <c r="AD27" s="33" t="s">
        <v>37</v>
      </c>
      <c r="AE27" s="148" t="s">
        <v>37</v>
      </c>
      <c r="AF27" s="35">
        <v>1250</v>
      </c>
      <c r="AG27" s="35"/>
      <c r="AH27" s="35">
        <f t="shared" si="0"/>
        <v>389</v>
      </c>
      <c r="AI27" s="35">
        <v>1590</v>
      </c>
      <c r="AJ27" s="35"/>
      <c r="AK27" s="35">
        <f t="shared" si="1"/>
        <v>340</v>
      </c>
      <c r="AL27" s="35">
        <v>0</v>
      </c>
      <c r="AM27" s="35">
        <v>1814</v>
      </c>
      <c r="AN27" s="35">
        <f t="shared" si="2"/>
        <v>224</v>
      </c>
      <c r="AO27" s="35">
        <v>326</v>
      </c>
      <c r="AP27" s="35"/>
      <c r="AQ27" s="34">
        <f t="shared" si="3"/>
        <v>326</v>
      </c>
      <c r="AR27" s="35">
        <v>683</v>
      </c>
      <c r="AS27" s="35"/>
      <c r="AT27" s="35">
        <f t="shared" si="4"/>
        <v>357</v>
      </c>
      <c r="AU27" s="6">
        <v>1016</v>
      </c>
      <c r="AV27" s="6"/>
      <c r="AW27" s="35">
        <f t="shared" si="5"/>
        <v>333</v>
      </c>
      <c r="AX27" s="35"/>
      <c r="AY27" s="35"/>
      <c r="AZ27" s="35"/>
      <c r="BA27" s="35">
        <v>1377</v>
      </c>
      <c r="BB27" s="35"/>
      <c r="BC27" s="35">
        <f t="shared" si="6"/>
        <v>361</v>
      </c>
      <c r="BD27" s="35">
        <v>170</v>
      </c>
      <c r="BE27" s="35">
        <v>1560</v>
      </c>
      <c r="BF27" s="35">
        <f t="shared" si="7"/>
        <v>353</v>
      </c>
      <c r="BG27" s="35">
        <v>527</v>
      </c>
      <c r="BH27" s="35"/>
      <c r="BI27" s="6">
        <f t="shared" si="8"/>
        <v>357</v>
      </c>
      <c r="BJ27" s="35">
        <v>882</v>
      </c>
      <c r="BK27" s="35"/>
      <c r="BL27" s="6">
        <f t="shared" si="9"/>
        <v>355</v>
      </c>
      <c r="BM27" s="35">
        <v>1237</v>
      </c>
      <c r="BN27" s="35"/>
      <c r="BO27" s="6">
        <f t="shared" si="10"/>
        <v>355</v>
      </c>
      <c r="BP27" s="6">
        <v>13</v>
      </c>
      <c r="BQ27" s="6">
        <v>1560</v>
      </c>
      <c r="BR27" s="35">
        <f t="shared" si="11"/>
        <v>336</v>
      </c>
      <c r="BS27" s="35"/>
      <c r="BT27" s="35"/>
      <c r="BU27" s="6"/>
      <c r="BV27" s="35">
        <v>379</v>
      </c>
      <c r="BW27" s="6"/>
      <c r="BX27" s="35">
        <f t="shared" si="12"/>
        <v>366</v>
      </c>
      <c r="BY27" s="35">
        <v>760</v>
      </c>
      <c r="BZ27" s="35"/>
      <c r="CA27" s="6">
        <f t="shared" si="13"/>
        <v>381</v>
      </c>
      <c r="CB27" s="35">
        <v>1146</v>
      </c>
      <c r="CC27" s="35"/>
      <c r="CD27" s="6">
        <f t="shared" si="14"/>
        <v>386</v>
      </c>
      <c r="CE27" s="6">
        <v>1532</v>
      </c>
      <c r="CF27" s="35"/>
      <c r="CG27" s="6">
        <f t="shared" si="15"/>
        <v>386</v>
      </c>
      <c r="CH27" s="6">
        <v>353</v>
      </c>
      <c r="CI27" s="6">
        <v>1560</v>
      </c>
      <c r="CJ27" s="6">
        <f t="shared" si="16"/>
        <v>381</v>
      </c>
      <c r="CK27" s="6">
        <v>727</v>
      </c>
      <c r="CL27" s="6"/>
      <c r="CM27" s="6">
        <f t="shared" si="17"/>
        <v>374</v>
      </c>
      <c r="CN27" s="6"/>
      <c r="CO27" s="6"/>
      <c r="CP27" s="6"/>
      <c r="CQ27" s="6">
        <v>1117</v>
      </c>
      <c r="CR27" s="6"/>
      <c r="CS27" s="6">
        <f t="shared" si="18"/>
        <v>390</v>
      </c>
      <c r="CT27" s="6">
        <v>1496</v>
      </c>
      <c r="CU27" s="6"/>
      <c r="CV27" s="6">
        <f t="shared" si="19"/>
        <v>379</v>
      </c>
      <c r="CW27" s="6">
        <v>319</v>
      </c>
      <c r="CX27" s="6">
        <v>1560</v>
      </c>
      <c r="CY27" s="6">
        <f t="shared" si="20"/>
        <v>383</v>
      </c>
      <c r="CZ27" s="6">
        <v>699</v>
      </c>
      <c r="DA27" s="6"/>
      <c r="DB27" s="6">
        <f t="shared" si="21"/>
        <v>380</v>
      </c>
      <c r="DC27" s="6">
        <v>1081</v>
      </c>
      <c r="DD27" s="6"/>
      <c r="DE27" s="6">
        <f t="shared" si="22"/>
        <v>382</v>
      </c>
      <c r="DF27" s="6">
        <v>1441</v>
      </c>
      <c r="DG27" s="6"/>
      <c r="DH27" s="6">
        <f t="shared" si="23"/>
        <v>360</v>
      </c>
      <c r="DI27" s="6"/>
      <c r="DJ27" s="6"/>
      <c r="DK27" s="6"/>
      <c r="DL27" s="6">
        <v>0</v>
      </c>
      <c r="DM27" s="6">
        <v>1632</v>
      </c>
      <c r="DN27" s="6">
        <f t="shared" si="24"/>
        <v>191</v>
      </c>
      <c r="DO27" s="6">
        <v>329</v>
      </c>
      <c r="DP27" s="6"/>
      <c r="DQ27" s="6">
        <f t="shared" si="25"/>
        <v>329</v>
      </c>
    </row>
    <row r="28" spans="1:121">
      <c r="A28" s="6">
        <v>24</v>
      </c>
      <c r="B28" s="6">
        <v>97</v>
      </c>
      <c r="C28" s="6">
        <v>1560</v>
      </c>
      <c r="D28" s="6">
        <v>320</v>
      </c>
      <c r="E28" s="33" t="s">
        <v>37</v>
      </c>
      <c r="F28" s="33" t="s">
        <v>37</v>
      </c>
      <c r="G28" s="33" t="s">
        <v>37</v>
      </c>
      <c r="H28" s="33" t="s">
        <v>37</v>
      </c>
      <c r="I28" s="33" t="s">
        <v>37</v>
      </c>
      <c r="J28" s="148" t="s">
        <v>37</v>
      </c>
      <c r="K28" s="33" t="s">
        <v>37</v>
      </c>
      <c r="L28" s="33" t="s">
        <v>37</v>
      </c>
      <c r="M28" s="33" t="s">
        <v>37</v>
      </c>
      <c r="N28" s="33" t="s">
        <v>37</v>
      </c>
      <c r="O28" s="33" t="s">
        <v>37</v>
      </c>
      <c r="P28" s="33" t="s">
        <v>37</v>
      </c>
      <c r="Q28" s="33" t="s">
        <v>37</v>
      </c>
      <c r="R28" s="33" t="s">
        <v>37</v>
      </c>
      <c r="S28" s="33" t="s">
        <v>37</v>
      </c>
      <c r="T28" s="33" t="s">
        <v>37</v>
      </c>
      <c r="U28" s="33" t="s">
        <v>37</v>
      </c>
      <c r="V28" s="33" t="s">
        <v>37</v>
      </c>
      <c r="W28" s="33" t="s">
        <v>37</v>
      </c>
      <c r="X28" s="33" t="s">
        <v>37</v>
      </c>
      <c r="Y28" s="33" t="s">
        <v>37</v>
      </c>
      <c r="Z28" s="33" t="s">
        <v>37</v>
      </c>
      <c r="AA28" s="33" t="s">
        <v>37</v>
      </c>
      <c r="AB28" s="33" t="s">
        <v>37</v>
      </c>
      <c r="AC28" s="33" t="s">
        <v>37</v>
      </c>
      <c r="AD28" s="33" t="s">
        <v>37</v>
      </c>
      <c r="AE28" s="33" t="s">
        <v>37</v>
      </c>
      <c r="AF28" s="6">
        <v>471</v>
      </c>
      <c r="AG28" s="6"/>
      <c r="AH28" s="35">
        <f t="shared" si="0"/>
        <v>374</v>
      </c>
      <c r="AI28" s="35">
        <v>824</v>
      </c>
      <c r="AJ28" s="35"/>
      <c r="AK28" s="35">
        <f t="shared" si="1"/>
        <v>353</v>
      </c>
      <c r="AL28" s="6">
        <v>1182</v>
      </c>
      <c r="AM28" s="6"/>
      <c r="AN28" s="35">
        <f t="shared" si="2"/>
        <v>358</v>
      </c>
      <c r="AO28" s="6">
        <v>0</v>
      </c>
      <c r="AP28" s="6">
        <v>1334</v>
      </c>
      <c r="AQ28" s="34">
        <f t="shared" si="3"/>
        <v>152</v>
      </c>
      <c r="AR28" s="35">
        <v>313</v>
      </c>
      <c r="AS28" s="35"/>
      <c r="AT28" s="35">
        <f t="shared" si="4"/>
        <v>313</v>
      </c>
      <c r="AU28" s="6">
        <v>6</v>
      </c>
      <c r="AV28" s="6">
        <v>640</v>
      </c>
      <c r="AW28" s="35">
        <f t="shared" si="5"/>
        <v>333</v>
      </c>
      <c r="AX28" s="6"/>
      <c r="AY28" s="6"/>
      <c r="AZ28" s="35"/>
      <c r="BA28" s="6">
        <v>369</v>
      </c>
      <c r="BB28" s="6"/>
      <c r="BC28" s="35">
        <f t="shared" si="6"/>
        <v>363</v>
      </c>
      <c r="BD28" s="6">
        <v>718</v>
      </c>
      <c r="BE28" s="6"/>
      <c r="BF28" s="35">
        <f t="shared" si="7"/>
        <v>349</v>
      </c>
      <c r="BG28" s="6">
        <v>1070</v>
      </c>
      <c r="BH28" s="6"/>
      <c r="BI28" s="6">
        <f t="shared" si="8"/>
        <v>352</v>
      </c>
      <c r="BJ28" s="6">
        <v>1424</v>
      </c>
      <c r="BK28" s="35"/>
      <c r="BL28" s="6">
        <f t="shared" si="9"/>
        <v>354</v>
      </c>
      <c r="BM28" s="6">
        <v>304</v>
      </c>
      <c r="BN28" s="6">
        <v>1470</v>
      </c>
      <c r="BO28" s="6">
        <f t="shared" si="10"/>
        <v>350</v>
      </c>
      <c r="BP28" s="6">
        <v>631</v>
      </c>
      <c r="BQ28" s="6"/>
      <c r="BR28" s="35">
        <f t="shared" si="11"/>
        <v>327</v>
      </c>
      <c r="BS28" s="6"/>
      <c r="BT28" s="6"/>
      <c r="BU28" s="6"/>
      <c r="BV28" s="6">
        <v>993</v>
      </c>
      <c r="BW28" s="6"/>
      <c r="BX28" s="35">
        <f t="shared" si="12"/>
        <v>362</v>
      </c>
      <c r="BY28" s="6">
        <v>274</v>
      </c>
      <c r="BZ28" s="35">
        <v>1101</v>
      </c>
      <c r="CA28" s="6">
        <f t="shared" si="13"/>
        <v>382</v>
      </c>
      <c r="CB28" s="6">
        <v>658</v>
      </c>
      <c r="CC28" s="6"/>
      <c r="CD28" s="6">
        <f t="shared" si="14"/>
        <v>384</v>
      </c>
      <c r="CE28" s="6">
        <v>1044</v>
      </c>
      <c r="CF28" s="35"/>
      <c r="CG28" s="6">
        <f t="shared" si="15"/>
        <v>386</v>
      </c>
      <c r="CH28" s="6">
        <v>1430</v>
      </c>
      <c r="CI28" s="6"/>
      <c r="CJ28" s="6">
        <f t="shared" si="16"/>
        <v>386</v>
      </c>
      <c r="CK28" s="6">
        <v>243</v>
      </c>
      <c r="CL28" s="6">
        <v>1560</v>
      </c>
      <c r="CM28" s="6">
        <f t="shared" si="17"/>
        <v>373</v>
      </c>
      <c r="CN28" s="6"/>
      <c r="CO28" s="6"/>
      <c r="CP28" s="6"/>
      <c r="CQ28" s="6">
        <v>632</v>
      </c>
      <c r="CR28" s="6"/>
      <c r="CS28" s="6">
        <f t="shared" si="18"/>
        <v>389</v>
      </c>
      <c r="CT28" s="6">
        <v>1018</v>
      </c>
      <c r="CU28" s="6"/>
      <c r="CV28" s="6">
        <f t="shared" si="19"/>
        <v>386</v>
      </c>
      <c r="CW28" s="6">
        <v>1409</v>
      </c>
      <c r="CX28" s="6"/>
      <c r="CY28" s="6">
        <f t="shared" si="20"/>
        <v>391</v>
      </c>
      <c r="CZ28" s="6">
        <v>239</v>
      </c>
      <c r="DA28" s="6">
        <v>1560</v>
      </c>
      <c r="DB28" s="6">
        <f t="shared" si="21"/>
        <v>390</v>
      </c>
      <c r="DC28" s="6">
        <v>630</v>
      </c>
      <c r="DD28" s="6"/>
      <c r="DE28" s="6">
        <f t="shared" si="22"/>
        <v>391</v>
      </c>
      <c r="DF28" s="6">
        <v>1000</v>
      </c>
      <c r="DG28" s="6"/>
      <c r="DH28" s="6">
        <f t="shared" si="23"/>
        <v>370</v>
      </c>
      <c r="DI28" s="6"/>
      <c r="DJ28" s="6"/>
      <c r="DK28" s="6"/>
      <c r="DL28" s="6">
        <v>1388</v>
      </c>
      <c r="DM28" s="6"/>
      <c r="DN28" s="6">
        <f t="shared" si="24"/>
        <v>388</v>
      </c>
      <c r="DO28" s="6">
        <v>0</v>
      </c>
      <c r="DP28" s="6">
        <v>1556</v>
      </c>
      <c r="DQ28" s="6">
        <f t="shared" si="25"/>
        <v>168</v>
      </c>
    </row>
    <row r="29" spans="1:121">
      <c r="A29" s="6">
        <v>25</v>
      </c>
      <c r="B29" s="6">
        <v>283</v>
      </c>
      <c r="C29" s="6"/>
      <c r="D29" s="6">
        <v>283</v>
      </c>
      <c r="E29" s="148" t="s">
        <v>37</v>
      </c>
      <c r="F29" s="33" t="s">
        <v>37</v>
      </c>
      <c r="G29" s="33" t="s">
        <v>37</v>
      </c>
      <c r="H29" s="33" t="s">
        <v>37</v>
      </c>
      <c r="I29" s="33" t="s">
        <v>37</v>
      </c>
      <c r="J29" s="33" t="s">
        <v>37</v>
      </c>
      <c r="K29" s="33" t="s">
        <v>37</v>
      </c>
      <c r="L29" s="33" t="s">
        <v>37</v>
      </c>
      <c r="M29" s="33" t="s">
        <v>37</v>
      </c>
      <c r="N29" s="33" t="s">
        <v>37</v>
      </c>
      <c r="O29" s="33" t="s">
        <v>37</v>
      </c>
      <c r="P29" s="33" t="s">
        <v>37</v>
      </c>
      <c r="Q29" s="33" t="s">
        <v>37</v>
      </c>
      <c r="R29" s="33" t="s">
        <v>37</v>
      </c>
      <c r="S29" s="33" t="s">
        <v>37</v>
      </c>
      <c r="T29" s="33" t="s">
        <v>37</v>
      </c>
      <c r="U29" s="33" t="s">
        <v>37</v>
      </c>
      <c r="V29" s="33" t="s">
        <v>37</v>
      </c>
      <c r="W29" s="33" t="s">
        <v>37</v>
      </c>
      <c r="X29" s="33" t="s">
        <v>37</v>
      </c>
      <c r="Y29" s="33" t="s">
        <v>37</v>
      </c>
      <c r="Z29" s="33" t="s">
        <v>37</v>
      </c>
      <c r="AA29" s="148" t="s">
        <v>37</v>
      </c>
      <c r="AB29" s="33" t="s">
        <v>37</v>
      </c>
      <c r="AC29" s="33" t="s">
        <v>37</v>
      </c>
      <c r="AD29" s="33" t="s">
        <v>37</v>
      </c>
      <c r="AE29" s="33" t="s">
        <v>37</v>
      </c>
      <c r="AF29" s="6">
        <v>660</v>
      </c>
      <c r="AG29" s="6"/>
      <c r="AH29" s="35">
        <f t="shared" si="0"/>
        <v>377</v>
      </c>
      <c r="AI29" s="35">
        <v>1009</v>
      </c>
      <c r="AJ29" s="35"/>
      <c r="AK29" s="35">
        <f t="shared" si="1"/>
        <v>349</v>
      </c>
      <c r="AL29" s="6">
        <v>1364</v>
      </c>
      <c r="AM29" s="6"/>
      <c r="AN29" s="35">
        <f t="shared" si="2"/>
        <v>355</v>
      </c>
      <c r="AO29" s="6">
        <v>160</v>
      </c>
      <c r="AP29" s="6">
        <v>1560</v>
      </c>
      <c r="AQ29" s="34">
        <f t="shared" si="3"/>
        <v>356</v>
      </c>
      <c r="AR29" s="35">
        <v>513</v>
      </c>
      <c r="AS29" s="35"/>
      <c r="AT29" s="35">
        <f t="shared" si="4"/>
        <v>353</v>
      </c>
      <c r="AU29" s="6">
        <v>832</v>
      </c>
      <c r="AV29" s="6"/>
      <c r="AW29" s="35">
        <f t="shared" si="5"/>
        <v>319</v>
      </c>
      <c r="AX29" s="6"/>
      <c r="AY29" s="6"/>
      <c r="AZ29" s="35"/>
      <c r="BA29" s="35">
        <v>1197</v>
      </c>
      <c r="BB29" s="35"/>
      <c r="BC29" s="35">
        <f t="shared" si="6"/>
        <v>365</v>
      </c>
      <c r="BD29" s="6">
        <v>1556</v>
      </c>
      <c r="BE29" s="6"/>
      <c r="BF29" s="35">
        <f t="shared" si="7"/>
        <v>359</v>
      </c>
      <c r="BG29" s="6">
        <v>358</v>
      </c>
      <c r="BH29" s="6">
        <v>1560</v>
      </c>
      <c r="BI29" s="6">
        <f t="shared" si="8"/>
        <v>362</v>
      </c>
      <c r="BJ29" s="6">
        <v>709</v>
      </c>
      <c r="BK29" s="6"/>
      <c r="BL29" s="6">
        <f t="shared" si="9"/>
        <v>351</v>
      </c>
      <c r="BM29" s="6">
        <v>1066</v>
      </c>
      <c r="BN29" s="6"/>
      <c r="BO29" s="6">
        <f t="shared" si="10"/>
        <v>357</v>
      </c>
      <c r="BP29" s="6">
        <v>1400</v>
      </c>
      <c r="BQ29" s="6"/>
      <c r="BR29" s="35">
        <f t="shared" si="11"/>
        <v>334</v>
      </c>
      <c r="BS29" s="6"/>
      <c r="BT29" s="6"/>
      <c r="BU29" s="6"/>
      <c r="BV29" s="6">
        <v>192</v>
      </c>
      <c r="BW29" s="6">
        <v>1560</v>
      </c>
      <c r="BX29" s="35">
        <f t="shared" si="12"/>
        <v>352</v>
      </c>
      <c r="BY29" s="6">
        <v>560</v>
      </c>
      <c r="BZ29" s="6"/>
      <c r="CA29" s="6">
        <f t="shared" si="13"/>
        <v>368</v>
      </c>
      <c r="CB29" s="6">
        <v>939</v>
      </c>
      <c r="CC29" s="6"/>
      <c r="CD29" s="6">
        <f t="shared" si="14"/>
        <v>379</v>
      </c>
      <c r="CE29" s="6">
        <v>1327</v>
      </c>
      <c r="CF29" s="6"/>
      <c r="CG29" s="6">
        <f t="shared" si="15"/>
        <v>388</v>
      </c>
      <c r="CH29" s="6">
        <v>118</v>
      </c>
      <c r="CI29" s="6">
        <v>1560</v>
      </c>
      <c r="CJ29" s="6">
        <f t="shared" si="16"/>
        <v>351</v>
      </c>
      <c r="CK29" s="6">
        <v>496</v>
      </c>
      <c r="CL29" s="6"/>
      <c r="CM29" s="6">
        <f t="shared" si="17"/>
        <v>378</v>
      </c>
      <c r="CN29" s="6"/>
      <c r="CO29" s="6"/>
      <c r="CP29" s="6"/>
      <c r="CQ29" s="6">
        <v>889</v>
      </c>
      <c r="CR29" s="6"/>
      <c r="CS29" s="6">
        <f t="shared" si="18"/>
        <v>393</v>
      </c>
      <c r="CT29" s="6">
        <v>1272</v>
      </c>
      <c r="CU29" s="6"/>
      <c r="CV29" s="6">
        <f t="shared" si="19"/>
        <v>383</v>
      </c>
      <c r="CW29" s="6">
        <v>0</v>
      </c>
      <c r="CX29" s="6">
        <v>1640</v>
      </c>
      <c r="CY29" s="6">
        <f t="shared" si="20"/>
        <v>368</v>
      </c>
      <c r="CZ29" s="6">
        <v>364</v>
      </c>
      <c r="DA29" s="6"/>
      <c r="DB29" s="6">
        <f t="shared" si="21"/>
        <v>364</v>
      </c>
      <c r="DC29" s="6">
        <v>756</v>
      </c>
      <c r="DD29" s="6"/>
      <c r="DE29" s="6">
        <f t="shared" si="22"/>
        <v>392</v>
      </c>
      <c r="DF29" s="6">
        <v>1122</v>
      </c>
      <c r="DG29" s="6"/>
      <c r="DH29" s="6">
        <f t="shared" si="23"/>
        <v>366</v>
      </c>
      <c r="DI29" s="6"/>
      <c r="DJ29" s="6"/>
      <c r="DK29" s="6"/>
      <c r="DL29" s="6">
        <v>1514</v>
      </c>
      <c r="DM29" s="6"/>
      <c r="DN29" s="6">
        <f t="shared" si="24"/>
        <v>392</v>
      </c>
      <c r="DO29" s="6">
        <v>313</v>
      </c>
      <c r="DP29" s="6">
        <v>1560</v>
      </c>
      <c r="DQ29" s="6">
        <f t="shared" si="25"/>
        <v>359</v>
      </c>
    </row>
    <row r="30" spans="1:121">
      <c r="A30" s="6">
        <v>26</v>
      </c>
      <c r="B30" s="6">
        <v>968</v>
      </c>
      <c r="C30" s="6"/>
      <c r="D30" s="6">
        <v>328</v>
      </c>
      <c r="E30" s="33" t="s">
        <v>128</v>
      </c>
      <c r="F30" s="33" t="s">
        <v>128</v>
      </c>
      <c r="G30" s="33" t="s">
        <v>128</v>
      </c>
      <c r="H30" s="33" t="s">
        <v>128</v>
      </c>
      <c r="I30" s="33" t="s">
        <v>128</v>
      </c>
      <c r="J30" s="33" t="s">
        <v>128</v>
      </c>
      <c r="K30" s="33" t="s">
        <v>128</v>
      </c>
      <c r="L30" s="33" t="s">
        <v>128</v>
      </c>
      <c r="M30" s="33" t="s">
        <v>128</v>
      </c>
      <c r="N30" s="33" t="s">
        <v>128</v>
      </c>
      <c r="O30" s="33" t="s">
        <v>128</v>
      </c>
      <c r="P30" s="33" t="s">
        <v>128</v>
      </c>
      <c r="Q30" s="33" t="s">
        <v>128</v>
      </c>
      <c r="R30" s="33" t="s">
        <v>128</v>
      </c>
      <c r="S30" s="33" t="s">
        <v>128</v>
      </c>
      <c r="T30" s="33" t="s">
        <v>128</v>
      </c>
      <c r="U30" s="33" t="s">
        <v>128</v>
      </c>
      <c r="V30" s="33" t="s">
        <v>128</v>
      </c>
      <c r="W30" s="33" t="s">
        <v>128</v>
      </c>
      <c r="X30" s="33" t="s">
        <v>128</v>
      </c>
      <c r="Y30" s="148" t="s">
        <v>128</v>
      </c>
      <c r="Z30" s="33" t="s">
        <v>128</v>
      </c>
      <c r="AA30" s="33" t="s">
        <v>128</v>
      </c>
      <c r="AB30" s="33" t="s">
        <v>128</v>
      </c>
      <c r="AC30" s="33" t="s">
        <v>128</v>
      </c>
      <c r="AD30" s="33" t="s">
        <v>128</v>
      </c>
      <c r="AE30" s="33" t="s">
        <v>128</v>
      </c>
      <c r="AF30" s="6">
        <v>1347</v>
      </c>
      <c r="AG30" s="6"/>
      <c r="AH30" s="35">
        <f t="shared" si="0"/>
        <v>379</v>
      </c>
      <c r="AI30" s="35">
        <v>156</v>
      </c>
      <c r="AJ30" s="35">
        <v>1550</v>
      </c>
      <c r="AK30" s="35">
        <f t="shared" si="1"/>
        <v>359</v>
      </c>
      <c r="AL30" s="6">
        <v>513</v>
      </c>
      <c r="AM30" s="6"/>
      <c r="AN30" s="35">
        <f t="shared" si="2"/>
        <v>357</v>
      </c>
      <c r="AO30" s="6">
        <v>868</v>
      </c>
      <c r="AP30" s="6"/>
      <c r="AQ30" s="34">
        <f t="shared" si="3"/>
        <v>355</v>
      </c>
      <c r="AR30" s="35">
        <v>1230</v>
      </c>
      <c r="AS30" s="35"/>
      <c r="AT30" s="35">
        <f t="shared" si="4"/>
        <v>362</v>
      </c>
      <c r="AU30" s="6">
        <v>4</v>
      </c>
      <c r="AV30" s="6">
        <v>1560</v>
      </c>
      <c r="AW30" s="35">
        <f t="shared" si="5"/>
        <v>334</v>
      </c>
      <c r="AX30" s="6"/>
      <c r="AY30" s="6"/>
      <c r="AZ30" s="35"/>
      <c r="BA30" s="35">
        <v>367</v>
      </c>
      <c r="BB30" s="35"/>
      <c r="BC30" s="35">
        <f t="shared" si="6"/>
        <v>363</v>
      </c>
      <c r="BD30" s="6">
        <v>727</v>
      </c>
      <c r="BE30" s="6"/>
      <c r="BF30" s="35">
        <f t="shared" si="7"/>
        <v>360</v>
      </c>
      <c r="BG30" s="6">
        <v>1081</v>
      </c>
      <c r="BH30" s="6"/>
      <c r="BI30" s="6">
        <f t="shared" si="8"/>
        <v>354</v>
      </c>
      <c r="BJ30" s="6">
        <v>1439</v>
      </c>
      <c r="BK30" s="6"/>
      <c r="BL30" s="6">
        <f t="shared" si="9"/>
        <v>358</v>
      </c>
      <c r="BM30" s="6">
        <v>240</v>
      </c>
      <c r="BN30" s="6">
        <v>1560</v>
      </c>
      <c r="BO30" s="6">
        <f t="shared" si="10"/>
        <v>361</v>
      </c>
      <c r="BP30" s="6">
        <v>572</v>
      </c>
      <c r="BQ30" s="6"/>
      <c r="BR30" s="35">
        <f t="shared" si="11"/>
        <v>332</v>
      </c>
      <c r="BS30" s="6"/>
      <c r="BT30" s="6"/>
      <c r="BU30" s="6"/>
      <c r="BV30" s="6">
        <v>926</v>
      </c>
      <c r="BW30" s="6"/>
      <c r="BX30" s="35">
        <f t="shared" si="12"/>
        <v>354</v>
      </c>
      <c r="BY30" s="6">
        <v>1299</v>
      </c>
      <c r="BZ30" s="6"/>
      <c r="CA30" s="6">
        <f t="shared" si="13"/>
        <v>373</v>
      </c>
      <c r="CB30" s="6">
        <v>97</v>
      </c>
      <c r="CC30" s="6">
        <v>1560</v>
      </c>
      <c r="CD30" s="6">
        <f t="shared" si="14"/>
        <v>358</v>
      </c>
      <c r="CE30" s="6">
        <v>445</v>
      </c>
      <c r="CF30" s="6"/>
      <c r="CG30" s="6">
        <f t="shared" si="15"/>
        <v>348</v>
      </c>
      <c r="CH30" s="6">
        <v>770</v>
      </c>
      <c r="CI30" s="6"/>
      <c r="CJ30" s="6">
        <f t="shared" si="16"/>
        <v>325</v>
      </c>
      <c r="CK30" s="6">
        <v>1120</v>
      </c>
      <c r="CL30" s="6"/>
      <c r="CM30" s="6">
        <f t="shared" si="17"/>
        <v>350</v>
      </c>
      <c r="CN30" s="6"/>
      <c r="CO30" s="6"/>
      <c r="CP30" s="6"/>
      <c r="CQ30" s="6">
        <v>1479</v>
      </c>
      <c r="CR30" s="6"/>
      <c r="CS30" s="6">
        <f t="shared" si="18"/>
        <v>359</v>
      </c>
      <c r="CT30" s="6">
        <v>246</v>
      </c>
      <c r="CU30" s="6">
        <v>1589</v>
      </c>
      <c r="CV30" s="6">
        <f t="shared" si="19"/>
        <v>356</v>
      </c>
      <c r="CW30" s="6">
        <v>633</v>
      </c>
      <c r="CX30" s="6"/>
      <c r="CY30" s="6">
        <f t="shared" si="20"/>
        <v>387</v>
      </c>
      <c r="CZ30" s="6">
        <v>1015</v>
      </c>
      <c r="DA30" s="6"/>
      <c r="DB30" s="6">
        <f t="shared" si="21"/>
        <v>382</v>
      </c>
      <c r="DC30" s="6">
        <v>1405</v>
      </c>
      <c r="DD30" s="6"/>
      <c r="DE30" s="6">
        <f t="shared" si="22"/>
        <v>390</v>
      </c>
      <c r="DF30" s="6">
        <v>206</v>
      </c>
      <c r="DG30" s="6">
        <v>1560</v>
      </c>
      <c r="DH30" s="6">
        <f t="shared" si="23"/>
        <v>361</v>
      </c>
      <c r="DI30" s="6"/>
      <c r="DJ30" s="6"/>
      <c r="DK30" s="6"/>
      <c r="DL30" s="6">
        <v>572</v>
      </c>
      <c r="DM30" s="6"/>
      <c r="DN30" s="6">
        <f t="shared" si="24"/>
        <v>366</v>
      </c>
      <c r="DO30" s="6">
        <v>917</v>
      </c>
      <c r="DP30" s="6"/>
      <c r="DQ30" s="6">
        <f t="shared" si="25"/>
        <v>345</v>
      </c>
    </row>
    <row r="31" spans="1:121">
      <c r="A31" s="6">
        <v>27</v>
      </c>
      <c r="B31" s="6">
        <v>654</v>
      </c>
      <c r="C31" s="6"/>
      <c r="D31" s="6">
        <v>338</v>
      </c>
      <c r="E31" s="33" t="s">
        <v>37</v>
      </c>
      <c r="F31" s="33" t="s">
        <v>37</v>
      </c>
      <c r="G31" s="33" t="s">
        <v>37</v>
      </c>
      <c r="H31" s="33" t="s">
        <v>37</v>
      </c>
      <c r="I31" s="33" t="s">
        <v>37</v>
      </c>
      <c r="J31" s="33" t="s">
        <v>37</v>
      </c>
      <c r="K31" s="33" t="s">
        <v>37</v>
      </c>
      <c r="L31" s="33" t="s">
        <v>37</v>
      </c>
      <c r="M31" s="33" t="s">
        <v>37</v>
      </c>
      <c r="N31" s="33" t="s">
        <v>37</v>
      </c>
      <c r="O31" s="33" t="s">
        <v>37</v>
      </c>
      <c r="P31" s="33" t="s">
        <v>37</v>
      </c>
      <c r="Q31" s="33" t="s">
        <v>37</v>
      </c>
      <c r="R31" s="33" t="s">
        <v>37</v>
      </c>
      <c r="S31" s="33" t="s">
        <v>37</v>
      </c>
      <c r="T31" s="33" t="s">
        <v>37</v>
      </c>
      <c r="U31" s="33" t="s">
        <v>37</v>
      </c>
      <c r="V31" s="33" t="s">
        <v>37</v>
      </c>
      <c r="W31" s="33" t="s">
        <v>37</v>
      </c>
      <c r="X31" s="33" t="s">
        <v>37</v>
      </c>
      <c r="Y31" s="33" t="s">
        <v>37</v>
      </c>
      <c r="Z31" s="148" t="s">
        <v>37</v>
      </c>
      <c r="AA31" s="33" t="s">
        <v>37</v>
      </c>
      <c r="AB31" s="33" t="s">
        <v>37</v>
      </c>
      <c r="AC31" s="33" t="s">
        <v>37</v>
      </c>
      <c r="AD31" s="33" t="s">
        <v>37</v>
      </c>
      <c r="AE31" s="33" t="s">
        <v>37</v>
      </c>
      <c r="AF31" s="6">
        <v>1043</v>
      </c>
      <c r="AG31" s="6"/>
      <c r="AH31" s="35">
        <f t="shared" si="0"/>
        <v>389</v>
      </c>
      <c r="AI31" s="35">
        <v>1410</v>
      </c>
      <c r="AJ31" s="35"/>
      <c r="AK31" s="35">
        <f t="shared" si="1"/>
        <v>367</v>
      </c>
      <c r="AL31" s="6">
        <v>198</v>
      </c>
      <c r="AM31" s="6">
        <v>1570</v>
      </c>
      <c r="AN31" s="35">
        <f t="shared" si="2"/>
        <v>358</v>
      </c>
      <c r="AO31" s="6">
        <v>545</v>
      </c>
      <c r="AP31" s="6"/>
      <c r="AQ31" s="34">
        <f t="shared" si="3"/>
        <v>347</v>
      </c>
      <c r="AR31" s="35">
        <v>911</v>
      </c>
      <c r="AS31" s="35"/>
      <c r="AT31" s="35">
        <f t="shared" si="4"/>
        <v>366</v>
      </c>
      <c r="AU31" s="6">
        <v>1251</v>
      </c>
      <c r="AV31" s="6"/>
      <c r="AW31" s="35">
        <f t="shared" si="5"/>
        <v>340</v>
      </c>
      <c r="AX31" s="6"/>
      <c r="AY31" s="6"/>
      <c r="AZ31" s="35"/>
      <c r="BA31" s="35">
        <v>64</v>
      </c>
      <c r="BB31" s="35">
        <v>1560</v>
      </c>
      <c r="BC31" s="35">
        <f t="shared" si="6"/>
        <v>373</v>
      </c>
      <c r="BD31" s="6">
        <v>424</v>
      </c>
      <c r="BE31" s="6"/>
      <c r="BF31" s="35">
        <f t="shared" si="7"/>
        <v>360</v>
      </c>
      <c r="BG31" s="6">
        <v>790</v>
      </c>
      <c r="BH31" s="6"/>
      <c r="BI31" s="6">
        <f t="shared" si="8"/>
        <v>366</v>
      </c>
      <c r="BJ31" s="6">
        <v>1158</v>
      </c>
      <c r="BK31" s="6"/>
      <c r="BL31" s="6">
        <f t="shared" si="9"/>
        <v>368</v>
      </c>
      <c r="BM31" s="6">
        <v>1508</v>
      </c>
      <c r="BN31" s="6"/>
      <c r="BO31" s="6">
        <f t="shared" si="10"/>
        <v>350</v>
      </c>
      <c r="BP31" s="6">
        <v>288</v>
      </c>
      <c r="BQ31" s="6">
        <v>1560</v>
      </c>
      <c r="BR31" s="35">
        <f t="shared" si="11"/>
        <v>340</v>
      </c>
      <c r="BS31" s="6"/>
      <c r="BT31" s="6"/>
      <c r="BU31" s="6"/>
      <c r="BV31" s="6">
        <v>666</v>
      </c>
      <c r="BW31" s="6"/>
      <c r="BX31" s="35">
        <f t="shared" si="12"/>
        <v>378</v>
      </c>
      <c r="BY31" s="6">
        <v>1048</v>
      </c>
      <c r="BZ31" s="6"/>
      <c r="CA31" s="6">
        <f t="shared" si="13"/>
        <v>382</v>
      </c>
      <c r="CB31" s="6">
        <v>348</v>
      </c>
      <c r="CC31" s="6">
        <v>1074</v>
      </c>
      <c r="CD31" s="6">
        <f t="shared" si="14"/>
        <v>374</v>
      </c>
      <c r="CE31" s="6">
        <v>716</v>
      </c>
      <c r="CF31" s="6"/>
      <c r="CG31" s="6">
        <f t="shared" si="15"/>
        <v>368</v>
      </c>
      <c r="CH31" s="6">
        <v>971</v>
      </c>
      <c r="CI31" s="6"/>
      <c r="CJ31" s="6">
        <f t="shared" si="16"/>
        <v>255</v>
      </c>
      <c r="CK31" s="6">
        <v>1288</v>
      </c>
      <c r="CL31" s="6"/>
      <c r="CM31" s="6">
        <f t="shared" si="17"/>
        <v>317</v>
      </c>
      <c r="CN31" s="6"/>
      <c r="CO31" s="6"/>
      <c r="CP31" s="6"/>
      <c r="CQ31" s="6">
        <v>1678</v>
      </c>
      <c r="CR31" s="6"/>
      <c r="CS31" s="6">
        <f t="shared" si="18"/>
        <v>390</v>
      </c>
      <c r="CT31" s="6">
        <v>247</v>
      </c>
      <c r="CU31" s="6">
        <v>1820</v>
      </c>
      <c r="CV31" s="6">
        <f t="shared" si="19"/>
        <v>389</v>
      </c>
      <c r="CW31" s="6">
        <v>367</v>
      </c>
      <c r="CX31" s="6">
        <v>250</v>
      </c>
      <c r="CY31" s="6">
        <f t="shared" si="20"/>
        <v>370</v>
      </c>
      <c r="CZ31" s="6">
        <v>752</v>
      </c>
      <c r="DA31" s="6"/>
      <c r="DB31" s="6">
        <f t="shared" si="21"/>
        <v>385</v>
      </c>
      <c r="DC31" s="6">
        <v>1143</v>
      </c>
      <c r="DD31" s="6"/>
      <c r="DE31" s="6">
        <f t="shared" si="22"/>
        <v>391</v>
      </c>
      <c r="DF31" s="6">
        <v>1498</v>
      </c>
      <c r="DG31" s="6"/>
      <c r="DH31" s="6">
        <f t="shared" si="23"/>
        <v>355</v>
      </c>
      <c r="DI31" s="6"/>
      <c r="DJ31" s="6"/>
      <c r="DK31" s="6"/>
      <c r="DL31" s="6">
        <v>323</v>
      </c>
      <c r="DM31" s="6">
        <v>1560</v>
      </c>
      <c r="DN31" s="6">
        <f t="shared" si="24"/>
        <v>385</v>
      </c>
      <c r="DO31" s="6">
        <v>682</v>
      </c>
      <c r="DP31" s="6"/>
      <c r="DQ31" s="6">
        <f t="shared" si="25"/>
        <v>359</v>
      </c>
    </row>
    <row r="32" spans="1:121">
      <c r="A32" s="6">
        <v>28</v>
      </c>
      <c r="B32" s="6">
        <v>642</v>
      </c>
      <c r="C32" s="6"/>
      <c r="D32" s="6">
        <v>344</v>
      </c>
      <c r="E32" s="33" t="s">
        <v>128</v>
      </c>
      <c r="F32" s="33" t="s">
        <v>128</v>
      </c>
      <c r="G32" s="33" t="s">
        <v>128</v>
      </c>
      <c r="H32" s="33" t="s">
        <v>128</v>
      </c>
      <c r="I32" s="33" t="s">
        <v>128</v>
      </c>
      <c r="J32" s="33" t="s">
        <v>128</v>
      </c>
      <c r="K32" s="33" t="s">
        <v>128</v>
      </c>
      <c r="L32" s="33" t="s">
        <v>128</v>
      </c>
      <c r="M32" s="33" t="s">
        <v>128</v>
      </c>
      <c r="N32" s="33" t="s">
        <v>128</v>
      </c>
      <c r="O32" s="33" t="s">
        <v>128</v>
      </c>
      <c r="P32" s="33" t="s">
        <v>128</v>
      </c>
      <c r="Q32" s="33" t="s">
        <v>128</v>
      </c>
      <c r="R32" s="33" t="s">
        <v>128</v>
      </c>
      <c r="S32" s="148" t="s">
        <v>128</v>
      </c>
      <c r="T32" s="33" t="s">
        <v>128</v>
      </c>
      <c r="U32" s="33" t="s">
        <v>128</v>
      </c>
      <c r="V32" s="33" t="s">
        <v>128</v>
      </c>
      <c r="W32" s="33" t="s">
        <v>128</v>
      </c>
      <c r="X32" s="33" t="s">
        <v>128</v>
      </c>
      <c r="Y32" s="33" t="s">
        <v>128</v>
      </c>
      <c r="Z32" s="33" t="s">
        <v>128</v>
      </c>
      <c r="AA32" s="33" t="s">
        <v>128</v>
      </c>
      <c r="AB32" s="33" t="s">
        <v>128</v>
      </c>
      <c r="AC32" s="33" t="s">
        <v>128</v>
      </c>
      <c r="AD32" s="33" t="s">
        <v>128</v>
      </c>
      <c r="AE32" s="33" t="s">
        <v>128</v>
      </c>
      <c r="AF32" s="35">
        <v>1037</v>
      </c>
      <c r="AG32" s="35"/>
      <c r="AH32" s="35">
        <f t="shared" si="0"/>
        <v>395</v>
      </c>
      <c r="AI32" s="35">
        <v>1372</v>
      </c>
      <c r="AJ32" s="35"/>
      <c r="AK32" s="35">
        <f t="shared" si="1"/>
        <v>335</v>
      </c>
      <c r="AL32" s="35">
        <v>133</v>
      </c>
      <c r="AM32" s="35">
        <v>1560</v>
      </c>
      <c r="AN32" s="35">
        <f t="shared" si="2"/>
        <v>321</v>
      </c>
      <c r="AO32" s="6">
        <v>453</v>
      </c>
      <c r="AP32" s="6"/>
      <c r="AQ32" s="34">
        <f t="shared" si="3"/>
        <v>320</v>
      </c>
      <c r="AR32" s="35">
        <v>778</v>
      </c>
      <c r="AS32" s="35"/>
      <c r="AT32" s="35">
        <f t="shared" si="4"/>
        <v>325</v>
      </c>
      <c r="AU32" s="6">
        <v>1079</v>
      </c>
      <c r="AV32" s="6"/>
      <c r="AW32" s="35">
        <f t="shared" si="5"/>
        <v>301</v>
      </c>
      <c r="AX32" s="6"/>
      <c r="AY32" s="6"/>
      <c r="AZ32" s="35"/>
      <c r="BA32" s="6">
        <v>1412</v>
      </c>
      <c r="BB32" s="6"/>
      <c r="BC32" s="35">
        <f t="shared" si="6"/>
        <v>333</v>
      </c>
      <c r="BD32" s="6">
        <v>204</v>
      </c>
      <c r="BE32" s="6">
        <v>1530</v>
      </c>
      <c r="BF32" s="35">
        <f t="shared" si="7"/>
        <v>322</v>
      </c>
      <c r="BG32" s="6">
        <v>532</v>
      </c>
      <c r="BH32" s="6"/>
      <c r="BI32" s="6">
        <f t="shared" si="8"/>
        <v>328</v>
      </c>
      <c r="BJ32" s="6">
        <v>863</v>
      </c>
      <c r="BK32" s="35"/>
      <c r="BL32" s="6">
        <f t="shared" si="9"/>
        <v>331</v>
      </c>
      <c r="BM32" s="6">
        <v>1194</v>
      </c>
      <c r="BN32" s="6"/>
      <c r="BO32" s="6">
        <f t="shared" si="10"/>
        <v>331</v>
      </c>
      <c r="BP32" s="6">
        <v>1506</v>
      </c>
      <c r="BQ32" s="6"/>
      <c r="BR32" s="35">
        <f t="shared" si="11"/>
        <v>312</v>
      </c>
      <c r="BS32" s="6"/>
      <c r="BT32" s="6"/>
      <c r="BU32" s="6"/>
      <c r="BV32" s="6">
        <v>0</v>
      </c>
      <c r="BW32" s="6">
        <v>1631</v>
      </c>
      <c r="BX32" s="35">
        <f t="shared" si="12"/>
        <v>125</v>
      </c>
      <c r="BY32" s="6">
        <v>374</v>
      </c>
      <c r="BZ32" s="35"/>
      <c r="CA32" s="6">
        <f t="shared" si="13"/>
        <v>374</v>
      </c>
      <c r="CB32" s="6">
        <v>770</v>
      </c>
      <c r="CC32" s="6"/>
      <c r="CD32" s="6">
        <f t="shared" si="14"/>
        <v>396</v>
      </c>
      <c r="CE32" s="6">
        <v>1159</v>
      </c>
      <c r="CF32" s="35"/>
      <c r="CG32" s="6">
        <f t="shared" si="15"/>
        <v>389</v>
      </c>
      <c r="CH32" s="6">
        <v>1546</v>
      </c>
      <c r="CI32" s="6"/>
      <c r="CJ32" s="6">
        <f t="shared" si="16"/>
        <v>387</v>
      </c>
      <c r="CK32" s="6">
        <v>361</v>
      </c>
      <c r="CL32" s="6">
        <v>1559</v>
      </c>
      <c r="CM32" s="6">
        <f t="shared" si="17"/>
        <v>374</v>
      </c>
      <c r="CN32" s="6"/>
      <c r="CO32" s="6"/>
      <c r="CP32" s="6"/>
      <c r="CQ32" s="6">
        <v>747</v>
      </c>
      <c r="CR32" s="6"/>
      <c r="CS32" s="6">
        <f t="shared" si="18"/>
        <v>386</v>
      </c>
      <c r="CT32" s="6">
        <v>1135</v>
      </c>
      <c r="CU32" s="6"/>
      <c r="CV32" s="6">
        <f t="shared" si="19"/>
        <v>388</v>
      </c>
      <c r="CW32" s="6">
        <v>1525</v>
      </c>
      <c r="CX32" s="6"/>
      <c r="CY32" s="6">
        <f t="shared" si="20"/>
        <v>390</v>
      </c>
      <c r="CZ32" s="6">
        <v>354</v>
      </c>
      <c r="DA32" s="6">
        <v>1560</v>
      </c>
      <c r="DB32" s="6">
        <f t="shared" si="21"/>
        <v>389</v>
      </c>
      <c r="DC32" s="6">
        <v>729</v>
      </c>
      <c r="DD32" s="6"/>
      <c r="DE32" s="6">
        <f t="shared" si="22"/>
        <v>375</v>
      </c>
      <c r="DF32" s="6">
        <v>255</v>
      </c>
      <c r="DG32" s="6">
        <v>838</v>
      </c>
      <c r="DH32" s="6">
        <f t="shared" si="23"/>
        <v>364</v>
      </c>
      <c r="DI32" s="6"/>
      <c r="DJ32" s="6"/>
      <c r="DK32" s="6"/>
      <c r="DL32" s="6">
        <v>645</v>
      </c>
      <c r="DM32" s="6"/>
      <c r="DN32" s="6">
        <f t="shared" si="24"/>
        <v>390</v>
      </c>
      <c r="DO32" s="6">
        <v>1001</v>
      </c>
      <c r="DP32" s="6"/>
      <c r="DQ32" s="6">
        <f t="shared" si="25"/>
        <v>356</v>
      </c>
    </row>
    <row r="33" spans="1:121">
      <c r="A33" s="6">
        <v>29</v>
      </c>
      <c r="B33" s="6">
        <v>747</v>
      </c>
      <c r="C33" s="6"/>
      <c r="D33" s="6">
        <v>323</v>
      </c>
      <c r="E33" s="33" t="s">
        <v>37</v>
      </c>
      <c r="F33" s="33" t="s">
        <v>37</v>
      </c>
      <c r="G33" s="33" t="s">
        <v>37</v>
      </c>
      <c r="H33" s="33" t="s">
        <v>37</v>
      </c>
      <c r="I33" s="148" t="s">
        <v>37</v>
      </c>
      <c r="J33" s="33" t="s">
        <v>37</v>
      </c>
      <c r="K33" s="33" t="s">
        <v>37</v>
      </c>
      <c r="L33" s="33" t="s">
        <v>37</v>
      </c>
      <c r="M33" s="33" t="s">
        <v>37</v>
      </c>
      <c r="N33" s="33" t="s">
        <v>37</v>
      </c>
      <c r="O33" s="33" t="s">
        <v>37</v>
      </c>
      <c r="P33" s="33" t="s">
        <v>37</v>
      </c>
      <c r="Q33" s="33" t="s">
        <v>37</v>
      </c>
      <c r="R33" s="33" t="s">
        <v>37</v>
      </c>
      <c r="S33" s="33" t="s">
        <v>37</v>
      </c>
      <c r="T33" s="33" t="s">
        <v>37</v>
      </c>
      <c r="U33" s="33" t="s">
        <v>37</v>
      </c>
      <c r="V33" s="33" t="s">
        <v>37</v>
      </c>
      <c r="W33" s="33" t="s">
        <v>37</v>
      </c>
      <c r="X33" s="33" t="s">
        <v>37</v>
      </c>
      <c r="Y33" s="33" t="s">
        <v>37</v>
      </c>
      <c r="Z33" s="33" t="s">
        <v>37</v>
      </c>
      <c r="AA33" s="33" t="s">
        <v>37</v>
      </c>
      <c r="AB33" s="33" t="s">
        <v>37</v>
      </c>
      <c r="AC33" s="33" t="s">
        <v>37</v>
      </c>
      <c r="AD33" s="33" t="s">
        <v>37</v>
      </c>
      <c r="AE33" s="148" t="s">
        <v>37</v>
      </c>
      <c r="AF33" s="35">
        <v>1134</v>
      </c>
      <c r="AG33" s="35"/>
      <c r="AH33" s="35">
        <f t="shared" si="0"/>
        <v>387</v>
      </c>
      <c r="AI33" s="35">
        <v>1502</v>
      </c>
      <c r="AJ33" s="35"/>
      <c r="AK33" s="35">
        <f t="shared" si="1"/>
        <v>368</v>
      </c>
      <c r="AL33" s="35">
        <v>311</v>
      </c>
      <c r="AM33" s="35">
        <v>1561</v>
      </c>
      <c r="AN33" s="35">
        <f t="shared" si="2"/>
        <v>370</v>
      </c>
      <c r="AO33" s="35">
        <v>250</v>
      </c>
      <c r="AP33" s="35">
        <v>404</v>
      </c>
      <c r="AQ33" s="34">
        <f t="shared" si="3"/>
        <v>343</v>
      </c>
      <c r="AR33" s="35">
        <v>618</v>
      </c>
      <c r="AS33" s="35"/>
      <c r="AT33" s="35">
        <f t="shared" si="4"/>
        <v>368</v>
      </c>
      <c r="AU33" s="6">
        <v>964</v>
      </c>
      <c r="AV33" s="6"/>
      <c r="AW33" s="35">
        <f t="shared" si="5"/>
        <v>346</v>
      </c>
      <c r="AX33" s="6"/>
      <c r="AY33" s="6"/>
      <c r="AZ33" s="35"/>
      <c r="BA33" s="6">
        <v>1339</v>
      </c>
      <c r="BB33" s="6"/>
      <c r="BC33" s="35">
        <f t="shared" si="6"/>
        <v>375</v>
      </c>
      <c r="BD33" s="6">
        <v>137</v>
      </c>
      <c r="BE33" s="6">
        <v>1560</v>
      </c>
      <c r="BF33" s="35">
        <f t="shared" si="7"/>
        <v>358</v>
      </c>
      <c r="BG33" s="6">
        <v>479</v>
      </c>
      <c r="BH33" s="6"/>
      <c r="BI33" s="6">
        <f t="shared" si="8"/>
        <v>342</v>
      </c>
      <c r="BJ33" s="6">
        <v>849</v>
      </c>
      <c r="BK33" s="35"/>
      <c r="BL33" s="6">
        <f t="shared" si="9"/>
        <v>370</v>
      </c>
      <c r="BM33" s="6">
        <v>1220</v>
      </c>
      <c r="BN33" s="6"/>
      <c r="BO33" s="6">
        <f t="shared" si="10"/>
        <v>371</v>
      </c>
      <c r="BP33" s="6">
        <v>22</v>
      </c>
      <c r="BQ33" s="6">
        <v>1560</v>
      </c>
      <c r="BR33" s="35">
        <f t="shared" si="11"/>
        <v>362</v>
      </c>
      <c r="BS33" s="6"/>
      <c r="BT33" s="6"/>
      <c r="BU33" s="6"/>
      <c r="BV33" s="6">
        <v>416</v>
      </c>
      <c r="BW33" s="6"/>
      <c r="BX33" s="35">
        <f t="shared" si="12"/>
        <v>394</v>
      </c>
      <c r="BY33" s="6">
        <v>803</v>
      </c>
      <c r="BZ33" s="35"/>
      <c r="CA33" s="6">
        <f t="shared" si="13"/>
        <v>387</v>
      </c>
      <c r="CB33" s="6">
        <v>356</v>
      </c>
      <c r="CC33" s="6">
        <v>825</v>
      </c>
      <c r="CD33" s="6">
        <f t="shared" si="14"/>
        <v>378</v>
      </c>
      <c r="CE33" s="6">
        <v>736</v>
      </c>
      <c r="CF33" s="35"/>
      <c r="CG33" s="6">
        <f t="shared" si="15"/>
        <v>380</v>
      </c>
      <c r="CH33" s="6">
        <v>1125</v>
      </c>
      <c r="CI33" s="6"/>
      <c r="CJ33" s="6">
        <f t="shared" si="16"/>
        <v>389</v>
      </c>
      <c r="CK33" s="6">
        <v>1495</v>
      </c>
      <c r="CL33" s="6"/>
      <c r="CM33" s="6">
        <f t="shared" si="17"/>
        <v>370</v>
      </c>
      <c r="CN33" s="6"/>
      <c r="CO33" s="6"/>
      <c r="CP33" s="6"/>
      <c r="CQ33" s="6">
        <v>317</v>
      </c>
      <c r="CR33" s="6">
        <v>1560</v>
      </c>
      <c r="CS33" s="6">
        <f t="shared" si="18"/>
        <v>382</v>
      </c>
      <c r="CT33" s="6">
        <v>676</v>
      </c>
      <c r="CU33" s="6"/>
      <c r="CV33" s="6">
        <f t="shared" si="19"/>
        <v>359</v>
      </c>
      <c r="CW33" s="6">
        <v>1049</v>
      </c>
      <c r="CX33" s="6"/>
      <c r="CY33" s="6">
        <f t="shared" si="20"/>
        <v>373</v>
      </c>
      <c r="CZ33" s="6">
        <v>1429</v>
      </c>
      <c r="DA33" s="6"/>
      <c r="DB33" s="6">
        <f t="shared" si="21"/>
        <v>380</v>
      </c>
      <c r="DC33" s="6">
        <v>257</v>
      </c>
      <c r="DD33" s="6">
        <v>1560</v>
      </c>
      <c r="DE33" s="6">
        <f t="shared" si="22"/>
        <v>388</v>
      </c>
      <c r="DF33" s="6">
        <v>615</v>
      </c>
      <c r="DG33" s="6"/>
      <c r="DH33" s="6">
        <f t="shared" si="23"/>
        <v>358</v>
      </c>
      <c r="DI33" s="6"/>
      <c r="DJ33" s="6"/>
      <c r="DK33" s="6"/>
      <c r="DL33" s="6">
        <v>0</v>
      </c>
      <c r="DM33" s="6">
        <v>786</v>
      </c>
      <c r="DN33" s="6">
        <f t="shared" si="24"/>
        <v>171</v>
      </c>
      <c r="DO33" s="6">
        <v>328</v>
      </c>
      <c r="DP33" s="6"/>
      <c r="DQ33" s="6">
        <f t="shared" si="25"/>
        <v>328</v>
      </c>
    </row>
    <row r="34" spans="1:121">
      <c r="A34" s="6">
        <v>30</v>
      </c>
      <c r="B34" s="6">
        <v>672</v>
      </c>
      <c r="C34" s="6"/>
      <c r="D34" s="6">
        <v>334</v>
      </c>
      <c r="E34" s="33" t="s">
        <v>128</v>
      </c>
      <c r="F34" s="33" t="s">
        <v>128</v>
      </c>
      <c r="G34" s="33" t="s">
        <v>128</v>
      </c>
      <c r="H34" s="33" t="s">
        <v>128</v>
      </c>
      <c r="I34" s="33" t="s">
        <v>128</v>
      </c>
      <c r="J34" s="33" t="s">
        <v>128</v>
      </c>
      <c r="K34" s="33" t="s">
        <v>128</v>
      </c>
      <c r="L34" s="33" t="s">
        <v>128</v>
      </c>
      <c r="M34" s="33" t="s">
        <v>128</v>
      </c>
      <c r="N34" s="33" t="s">
        <v>128</v>
      </c>
      <c r="O34" s="33" t="s">
        <v>128</v>
      </c>
      <c r="P34" s="33" t="s">
        <v>128</v>
      </c>
      <c r="Q34" s="33" t="s">
        <v>128</v>
      </c>
      <c r="R34" s="33" t="s">
        <v>128</v>
      </c>
      <c r="S34" s="33" t="s">
        <v>128</v>
      </c>
      <c r="T34" s="33" t="s">
        <v>128</v>
      </c>
      <c r="U34" s="33" t="s">
        <v>128</v>
      </c>
      <c r="V34" s="33" t="s">
        <v>128</v>
      </c>
      <c r="W34" s="33" t="s">
        <v>128</v>
      </c>
      <c r="X34" s="33" t="s">
        <v>128</v>
      </c>
      <c r="Y34" s="33" t="s">
        <v>128</v>
      </c>
      <c r="Z34" s="148" t="s">
        <v>128</v>
      </c>
      <c r="AA34" s="33" t="s">
        <v>128</v>
      </c>
      <c r="AB34" s="33" t="s">
        <v>128</v>
      </c>
      <c r="AC34" s="33" t="s">
        <v>128</v>
      </c>
      <c r="AD34" s="33" t="s">
        <v>128</v>
      </c>
      <c r="AE34" s="33" t="s">
        <v>128</v>
      </c>
      <c r="AF34" s="6">
        <v>1062</v>
      </c>
      <c r="AG34" s="6"/>
      <c r="AH34" s="35">
        <f t="shared" si="0"/>
        <v>390</v>
      </c>
      <c r="AI34" s="35">
        <v>1429</v>
      </c>
      <c r="AJ34" s="35"/>
      <c r="AK34" s="35">
        <f t="shared" si="1"/>
        <v>367</v>
      </c>
      <c r="AL34" s="6">
        <v>235</v>
      </c>
      <c r="AM34" s="6">
        <v>1560</v>
      </c>
      <c r="AN34" s="35">
        <f t="shared" si="2"/>
        <v>366</v>
      </c>
      <c r="AO34" s="6">
        <v>601</v>
      </c>
      <c r="AP34" s="6"/>
      <c r="AQ34" s="34">
        <f t="shared" si="3"/>
        <v>366</v>
      </c>
      <c r="AR34" s="35">
        <v>970</v>
      </c>
      <c r="AS34" s="35"/>
      <c r="AT34" s="35">
        <f t="shared" si="4"/>
        <v>369</v>
      </c>
      <c r="AU34" s="6">
        <v>1316</v>
      </c>
      <c r="AV34" s="6"/>
      <c r="AW34" s="35">
        <f t="shared" si="5"/>
        <v>346</v>
      </c>
      <c r="AX34" s="6"/>
      <c r="AY34" s="6"/>
      <c r="AZ34" s="35"/>
      <c r="BA34" s="35">
        <v>129</v>
      </c>
      <c r="BB34" s="35">
        <v>1560</v>
      </c>
      <c r="BC34" s="35">
        <f t="shared" si="6"/>
        <v>373</v>
      </c>
      <c r="BD34" s="6">
        <v>493</v>
      </c>
      <c r="BE34" s="6"/>
      <c r="BF34" s="35">
        <f t="shared" si="7"/>
        <v>364</v>
      </c>
      <c r="BG34" s="6">
        <v>851</v>
      </c>
      <c r="BH34" s="6"/>
      <c r="BI34" s="6">
        <f t="shared" si="8"/>
        <v>358</v>
      </c>
      <c r="BJ34" s="6">
        <v>1212</v>
      </c>
      <c r="BK34" s="6"/>
      <c r="BL34" s="6">
        <f t="shared" si="9"/>
        <v>361</v>
      </c>
      <c r="BM34" s="6">
        <v>17</v>
      </c>
      <c r="BN34" s="6">
        <v>1560</v>
      </c>
      <c r="BO34" s="6">
        <f t="shared" si="10"/>
        <v>365</v>
      </c>
      <c r="BP34" s="6">
        <v>358</v>
      </c>
      <c r="BQ34" s="6"/>
      <c r="BR34" s="35">
        <f t="shared" si="11"/>
        <v>341</v>
      </c>
      <c r="BS34" s="6"/>
      <c r="BT34" s="6"/>
      <c r="BU34" s="6"/>
      <c r="BV34" s="6">
        <v>725</v>
      </c>
      <c r="BW34" s="6"/>
      <c r="BX34" s="35">
        <f t="shared" si="12"/>
        <v>367</v>
      </c>
      <c r="BY34" s="6">
        <v>1095</v>
      </c>
      <c r="BZ34" s="6"/>
      <c r="CA34" s="6">
        <f t="shared" si="13"/>
        <v>370</v>
      </c>
      <c r="CB34" s="6">
        <v>1442</v>
      </c>
      <c r="CC34" s="6"/>
      <c r="CD34" s="6">
        <f t="shared" si="14"/>
        <v>347</v>
      </c>
      <c r="CE34" s="6">
        <v>238</v>
      </c>
      <c r="CF34" s="6">
        <v>1560</v>
      </c>
      <c r="CG34" s="6">
        <f t="shared" si="15"/>
        <v>356</v>
      </c>
      <c r="CH34" s="6">
        <v>613</v>
      </c>
      <c r="CI34" s="6"/>
      <c r="CJ34" s="6">
        <f t="shared" si="16"/>
        <v>375</v>
      </c>
      <c r="CK34" s="6">
        <v>969</v>
      </c>
      <c r="CL34" s="6"/>
      <c r="CM34" s="6">
        <f t="shared" si="17"/>
        <v>356</v>
      </c>
      <c r="CN34" s="6"/>
      <c r="CO34" s="6"/>
      <c r="CP34" s="6"/>
      <c r="CQ34" s="6">
        <v>1338</v>
      </c>
      <c r="CR34" s="6"/>
      <c r="CS34" s="6">
        <f t="shared" si="18"/>
        <v>369</v>
      </c>
      <c r="CT34" s="6">
        <v>0</v>
      </c>
      <c r="CU34" s="6">
        <v>1624</v>
      </c>
      <c r="CV34" s="6">
        <f t="shared" si="19"/>
        <v>286</v>
      </c>
      <c r="CW34" s="6">
        <v>366</v>
      </c>
      <c r="CX34" s="6"/>
      <c r="CY34" s="6">
        <f t="shared" si="20"/>
        <v>366</v>
      </c>
      <c r="CZ34" s="6">
        <v>746</v>
      </c>
      <c r="DA34" s="6"/>
      <c r="DB34" s="6">
        <f t="shared" si="21"/>
        <v>380</v>
      </c>
      <c r="DC34" s="6">
        <v>1116</v>
      </c>
      <c r="DD34" s="6"/>
      <c r="DE34" s="6">
        <f t="shared" si="22"/>
        <v>370</v>
      </c>
      <c r="DF34" s="6">
        <v>1452</v>
      </c>
      <c r="DG34" s="6"/>
      <c r="DH34" s="6">
        <f t="shared" si="23"/>
        <v>336</v>
      </c>
      <c r="DI34" s="6"/>
      <c r="DJ34" s="6"/>
      <c r="DK34" s="6"/>
      <c r="DL34" s="6">
        <v>242</v>
      </c>
      <c r="DM34" s="6">
        <v>1560</v>
      </c>
      <c r="DN34" s="6">
        <f t="shared" si="24"/>
        <v>350</v>
      </c>
      <c r="DO34" s="6">
        <v>67</v>
      </c>
      <c r="DP34" s="6">
        <v>525</v>
      </c>
      <c r="DQ34" s="6">
        <f t="shared" si="25"/>
        <v>350</v>
      </c>
    </row>
    <row r="35" spans="1:121">
      <c r="A35" s="6">
        <v>31</v>
      </c>
      <c r="B35" s="6">
        <v>746</v>
      </c>
      <c r="C35" s="6"/>
      <c r="D35" s="6">
        <v>328</v>
      </c>
      <c r="E35" s="33" t="s">
        <v>37</v>
      </c>
      <c r="F35" s="33" t="s">
        <v>37</v>
      </c>
      <c r="G35" s="33" t="s">
        <v>37</v>
      </c>
      <c r="H35" s="33" t="s">
        <v>37</v>
      </c>
      <c r="I35" s="33" t="s">
        <v>37</v>
      </c>
      <c r="J35" s="33" t="s">
        <v>37</v>
      </c>
      <c r="K35" s="148" t="s">
        <v>37</v>
      </c>
      <c r="L35" s="33" t="s">
        <v>37</v>
      </c>
      <c r="M35" s="33" t="s">
        <v>37</v>
      </c>
      <c r="N35" s="33" t="s">
        <v>37</v>
      </c>
      <c r="O35" s="33" t="s">
        <v>37</v>
      </c>
      <c r="P35" s="33" t="s">
        <v>37</v>
      </c>
      <c r="Q35" s="33" t="s">
        <v>37</v>
      </c>
      <c r="R35" s="33" t="s">
        <v>37</v>
      </c>
      <c r="S35" s="33" t="s">
        <v>37</v>
      </c>
      <c r="T35" s="33" t="s">
        <v>37</v>
      </c>
      <c r="U35" s="33" t="s">
        <v>37</v>
      </c>
      <c r="V35" s="33" t="s">
        <v>37</v>
      </c>
      <c r="W35" s="33" t="s">
        <v>37</v>
      </c>
      <c r="X35" s="33" t="s">
        <v>37</v>
      </c>
      <c r="Y35" s="33" t="s">
        <v>37</v>
      </c>
      <c r="Z35" s="33" t="s">
        <v>37</v>
      </c>
      <c r="AA35" s="33" t="s">
        <v>37</v>
      </c>
      <c r="AB35" s="33" t="s">
        <v>37</v>
      </c>
      <c r="AC35" s="33" t="s">
        <v>37</v>
      </c>
      <c r="AD35" s="33" t="s">
        <v>37</v>
      </c>
      <c r="AE35" s="33" t="s">
        <v>37</v>
      </c>
      <c r="AF35" s="6">
        <v>1126</v>
      </c>
      <c r="AG35" s="6"/>
      <c r="AH35" s="35">
        <f t="shared" si="0"/>
        <v>380</v>
      </c>
      <c r="AI35" s="35">
        <v>1482</v>
      </c>
      <c r="AJ35" s="35"/>
      <c r="AK35" s="35">
        <f t="shared" si="1"/>
        <v>356</v>
      </c>
      <c r="AL35" s="6">
        <v>282</v>
      </c>
      <c r="AM35" s="6">
        <v>1560</v>
      </c>
      <c r="AN35" s="35">
        <f t="shared" si="2"/>
        <v>360</v>
      </c>
      <c r="AO35" s="6">
        <v>645</v>
      </c>
      <c r="AP35" s="6"/>
      <c r="AQ35" s="34">
        <f t="shared" si="3"/>
        <v>363</v>
      </c>
      <c r="AR35" s="35">
        <v>1008</v>
      </c>
      <c r="AS35" s="35"/>
      <c r="AT35" s="35">
        <f t="shared" si="4"/>
        <v>363</v>
      </c>
      <c r="AU35" s="6">
        <v>286</v>
      </c>
      <c r="AV35" s="6">
        <v>1020</v>
      </c>
      <c r="AW35" s="35">
        <f t="shared" si="5"/>
        <v>298</v>
      </c>
      <c r="AX35" s="6"/>
      <c r="AY35" s="6"/>
      <c r="AZ35" s="35"/>
      <c r="BA35" s="35">
        <v>650</v>
      </c>
      <c r="BB35" s="35"/>
      <c r="BC35" s="35">
        <f t="shared" si="6"/>
        <v>364</v>
      </c>
      <c r="BD35" s="6">
        <v>1001</v>
      </c>
      <c r="BE35" s="6"/>
      <c r="BF35" s="35">
        <f t="shared" si="7"/>
        <v>351</v>
      </c>
      <c r="BG35" s="6">
        <v>1355</v>
      </c>
      <c r="BH35" s="6"/>
      <c r="BI35" s="6">
        <f t="shared" si="8"/>
        <v>354</v>
      </c>
      <c r="BJ35" s="6">
        <v>166</v>
      </c>
      <c r="BK35" s="6">
        <v>1550</v>
      </c>
      <c r="BL35" s="6">
        <f t="shared" si="9"/>
        <v>361</v>
      </c>
      <c r="BM35" s="6">
        <v>528</v>
      </c>
      <c r="BN35" s="6"/>
      <c r="BO35" s="6">
        <f t="shared" si="10"/>
        <v>362</v>
      </c>
      <c r="BP35" s="6">
        <v>878</v>
      </c>
      <c r="BQ35" s="6"/>
      <c r="BR35" s="35">
        <f t="shared" si="11"/>
        <v>350</v>
      </c>
      <c r="BS35" s="6"/>
      <c r="BT35" s="6"/>
      <c r="BU35" s="6"/>
      <c r="BV35" s="6">
        <v>1266</v>
      </c>
      <c r="BW35" s="6"/>
      <c r="BX35" s="35">
        <f t="shared" si="12"/>
        <v>388</v>
      </c>
      <c r="BY35" s="6">
        <v>98</v>
      </c>
      <c r="BZ35" s="6">
        <v>1560</v>
      </c>
      <c r="CA35" s="6">
        <f t="shared" si="13"/>
        <v>392</v>
      </c>
      <c r="CB35" s="6">
        <v>492</v>
      </c>
      <c r="CC35" s="6"/>
      <c r="CD35" s="6">
        <f t="shared" si="14"/>
        <v>394</v>
      </c>
      <c r="CE35" s="6">
        <v>881</v>
      </c>
      <c r="CF35" s="6"/>
      <c r="CG35" s="6">
        <f t="shared" si="15"/>
        <v>389</v>
      </c>
      <c r="CH35" s="6">
        <v>1268</v>
      </c>
      <c r="CI35" s="6"/>
      <c r="CJ35" s="6">
        <f t="shared" si="16"/>
        <v>387</v>
      </c>
      <c r="CK35" s="6">
        <v>80</v>
      </c>
      <c r="CL35" s="6">
        <v>1560</v>
      </c>
      <c r="CM35" s="6">
        <f t="shared" si="17"/>
        <v>372</v>
      </c>
      <c r="CN35" s="6"/>
      <c r="CO35" s="6"/>
      <c r="CP35" s="6"/>
      <c r="CQ35" s="6">
        <v>468</v>
      </c>
      <c r="CR35" s="6"/>
      <c r="CS35" s="6">
        <f t="shared" si="18"/>
        <v>388</v>
      </c>
      <c r="CT35" s="6">
        <v>853</v>
      </c>
      <c r="CU35" s="6"/>
      <c r="CV35" s="6">
        <f t="shared" si="19"/>
        <v>385</v>
      </c>
      <c r="CW35" s="6">
        <v>1250</v>
      </c>
      <c r="CX35" s="6"/>
      <c r="CY35" s="6">
        <f t="shared" si="20"/>
        <v>397</v>
      </c>
      <c r="CZ35" s="6">
        <v>83</v>
      </c>
      <c r="DA35" s="6">
        <v>1560</v>
      </c>
      <c r="DB35" s="6">
        <f t="shared" si="21"/>
        <v>393</v>
      </c>
      <c r="DC35" s="6">
        <v>472</v>
      </c>
      <c r="DD35" s="6"/>
      <c r="DE35" s="6">
        <f t="shared" si="22"/>
        <v>389</v>
      </c>
      <c r="DF35" s="6">
        <v>833</v>
      </c>
      <c r="DG35" s="6"/>
      <c r="DH35" s="6">
        <f t="shared" si="23"/>
        <v>361</v>
      </c>
      <c r="DI35" s="6"/>
      <c r="DJ35" s="6"/>
      <c r="DK35" s="6"/>
      <c r="DL35" s="6">
        <v>1220</v>
      </c>
      <c r="DM35" s="6"/>
      <c r="DN35" s="6">
        <f t="shared" si="24"/>
        <v>387</v>
      </c>
      <c r="DO35" s="6">
        <v>0</v>
      </c>
      <c r="DP35" s="6">
        <v>1571</v>
      </c>
      <c r="DQ35" s="6">
        <f t="shared" si="25"/>
        <v>351</v>
      </c>
    </row>
    <row r="36" spans="1:121">
      <c r="A36" s="6">
        <v>32</v>
      </c>
      <c r="B36" s="6">
        <v>397</v>
      </c>
      <c r="C36" s="6"/>
      <c r="D36" s="6">
        <v>339</v>
      </c>
      <c r="E36" s="33" t="s">
        <v>37</v>
      </c>
      <c r="F36" s="33" t="s">
        <v>37</v>
      </c>
      <c r="G36" s="33" t="s">
        <v>37</v>
      </c>
      <c r="H36" s="33" t="s">
        <v>37</v>
      </c>
      <c r="I36" s="148" t="s">
        <v>37</v>
      </c>
      <c r="J36" s="33" t="s">
        <v>37</v>
      </c>
      <c r="K36" s="33" t="s">
        <v>37</v>
      </c>
      <c r="L36" s="33" t="s">
        <v>37</v>
      </c>
      <c r="M36" s="33" t="s">
        <v>37</v>
      </c>
      <c r="N36" s="33" t="s">
        <v>37</v>
      </c>
      <c r="O36" s="33" t="s">
        <v>37</v>
      </c>
      <c r="P36" s="33" t="s">
        <v>37</v>
      </c>
      <c r="Q36" s="33" t="s">
        <v>37</v>
      </c>
      <c r="R36" s="33" t="s">
        <v>37</v>
      </c>
      <c r="S36" s="33" t="s">
        <v>37</v>
      </c>
      <c r="T36" s="33" t="s">
        <v>37</v>
      </c>
      <c r="U36" s="33" t="s">
        <v>37</v>
      </c>
      <c r="V36" s="33" t="s">
        <v>37</v>
      </c>
      <c r="W36" s="33" t="s">
        <v>37</v>
      </c>
      <c r="X36" s="33" t="s">
        <v>37</v>
      </c>
      <c r="Y36" s="33" t="s">
        <v>37</v>
      </c>
      <c r="Z36" s="33" t="s">
        <v>37</v>
      </c>
      <c r="AA36" s="33" t="s">
        <v>37</v>
      </c>
      <c r="AB36" s="33" t="s">
        <v>37</v>
      </c>
      <c r="AC36" s="33" t="s">
        <v>37</v>
      </c>
      <c r="AD36" s="33" t="s">
        <v>37</v>
      </c>
      <c r="AE36" s="148" t="s">
        <v>37</v>
      </c>
      <c r="AF36" s="6">
        <v>773</v>
      </c>
      <c r="AG36" s="6"/>
      <c r="AH36" s="35">
        <f t="shared" si="0"/>
        <v>376</v>
      </c>
      <c r="AI36" s="35">
        <v>1129</v>
      </c>
      <c r="AJ36" s="35"/>
      <c r="AK36" s="35">
        <f t="shared" si="1"/>
        <v>356</v>
      </c>
      <c r="AL36" s="6">
        <v>1478</v>
      </c>
      <c r="AM36" s="6"/>
      <c r="AN36" s="35">
        <f t="shared" si="2"/>
        <v>349</v>
      </c>
      <c r="AO36" s="6">
        <v>276</v>
      </c>
      <c r="AP36" s="6">
        <v>1520</v>
      </c>
      <c r="AQ36" s="34">
        <f t="shared" si="3"/>
        <v>318</v>
      </c>
      <c r="AR36" s="35">
        <v>636</v>
      </c>
      <c r="AS36" s="35"/>
      <c r="AT36" s="35">
        <f t="shared" si="4"/>
        <v>360</v>
      </c>
      <c r="AU36" s="6">
        <v>975</v>
      </c>
      <c r="AV36" s="6"/>
      <c r="AW36" s="35">
        <f t="shared" si="5"/>
        <v>339</v>
      </c>
      <c r="AX36" s="6"/>
      <c r="AY36" s="6"/>
      <c r="AZ36" s="35"/>
      <c r="BA36" s="35">
        <v>1338</v>
      </c>
      <c r="BB36" s="35"/>
      <c r="BC36" s="35">
        <f t="shared" si="6"/>
        <v>363</v>
      </c>
      <c r="BD36" s="6">
        <v>131</v>
      </c>
      <c r="BE36" s="6">
        <v>1560</v>
      </c>
      <c r="BF36" s="35">
        <f t="shared" si="7"/>
        <v>353</v>
      </c>
      <c r="BG36" s="6">
        <v>486</v>
      </c>
      <c r="BH36" s="6"/>
      <c r="BI36" s="6">
        <f t="shared" si="8"/>
        <v>355</v>
      </c>
      <c r="BJ36" s="6">
        <v>840</v>
      </c>
      <c r="BK36" s="6"/>
      <c r="BL36" s="6">
        <f t="shared" si="9"/>
        <v>354</v>
      </c>
      <c r="BM36" s="6">
        <v>1186</v>
      </c>
      <c r="BN36" s="6"/>
      <c r="BO36" s="6">
        <f t="shared" si="10"/>
        <v>346</v>
      </c>
      <c r="BP36" s="6">
        <v>1541</v>
      </c>
      <c r="BQ36" s="6"/>
      <c r="BR36" s="35">
        <f t="shared" si="11"/>
        <v>355</v>
      </c>
      <c r="BS36" s="6"/>
      <c r="BT36" s="6"/>
      <c r="BU36" s="6"/>
      <c r="BV36" s="6">
        <v>371</v>
      </c>
      <c r="BW36" s="6">
        <v>1559</v>
      </c>
      <c r="BX36" s="35">
        <f t="shared" si="12"/>
        <v>389</v>
      </c>
      <c r="BY36" s="6">
        <v>745</v>
      </c>
      <c r="BZ36" s="6"/>
      <c r="CA36" s="6">
        <f t="shared" si="13"/>
        <v>374</v>
      </c>
      <c r="CB36" s="6">
        <v>1121</v>
      </c>
      <c r="CC36" s="6"/>
      <c r="CD36" s="6">
        <f t="shared" si="14"/>
        <v>376</v>
      </c>
      <c r="CE36" s="6">
        <v>1503</v>
      </c>
      <c r="CF36" s="6"/>
      <c r="CG36" s="6">
        <f t="shared" si="15"/>
        <v>382</v>
      </c>
      <c r="CH36" s="6">
        <v>291</v>
      </c>
      <c r="CI36" s="6">
        <v>1590</v>
      </c>
      <c r="CJ36" s="6">
        <f t="shared" si="16"/>
        <v>378</v>
      </c>
      <c r="CK36" s="6">
        <v>652</v>
      </c>
      <c r="CL36" s="6"/>
      <c r="CM36" s="6">
        <f t="shared" si="17"/>
        <v>361</v>
      </c>
      <c r="CN36" s="6"/>
      <c r="CO36" s="6"/>
      <c r="CP36" s="6"/>
      <c r="CQ36" s="6">
        <v>1034</v>
      </c>
      <c r="CR36" s="6"/>
      <c r="CS36" s="6">
        <f t="shared" si="18"/>
        <v>382</v>
      </c>
      <c r="CT36" s="6">
        <v>1414</v>
      </c>
      <c r="CU36" s="6"/>
      <c r="CV36" s="6">
        <f t="shared" si="19"/>
        <v>380</v>
      </c>
      <c r="CW36" s="6">
        <v>232</v>
      </c>
      <c r="CX36" s="6">
        <v>1560</v>
      </c>
      <c r="CY36" s="6">
        <f t="shared" si="20"/>
        <v>378</v>
      </c>
      <c r="CZ36" s="6">
        <v>623</v>
      </c>
      <c r="DA36" s="6"/>
      <c r="DB36" s="6">
        <f t="shared" si="21"/>
        <v>391</v>
      </c>
      <c r="DC36" s="6">
        <v>1012</v>
      </c>
      <c r="DD36" s="6"/>
      <c r="DE36" s="6">
        <f t="shared" si="22"/>
        <v>389</v>
      </c>
      <c r="DF36" s="6">
        <v>1376</v>
      </c>
      <c r="DG36" s="6"/>
      <c r="DH36" s="6">
        <f t="shared" si="23"/>
        <v>364</v>
      </c>
      <c r="DI36" s="6"/>
      <c r="DJ36" s="6"/>
      <c r="DK36" s="6"/>
      <c r="DL36" s="6">
        <v>0</v>
      </c>
      <c r="DM36" s="6">
        <v>1597</v>
      </c>
      <c r="DN36" s="6">
        <f t="shared" si="24"/>
        <v>221</v>
      </c>
      <c r="DO36" s="6">
        <v>333</v>
      </c>
      <c r="DP36" s="6"/>
      <c r="DQ36" s="6">
        <f t="shared" si="25"/>
        <v>333</v>
      </c>
    </row>
    <row r="37" spans="1:121">
      <c r="A37" s="6">
        <v>33</v>
      </c>
      <c r="B37" s="6">
        <v>925</v>
      </c>
      <c r="C37" s="6"/>
      <c r="D37" s="6">
        <v>334</v>
      </c>
      <c r="E37" s="33" t="s">
        <v>37</v>
      </c>
      <c r="F37" s="33" t="s">
        <v>37</v>
      </c>
      <c r="G37" s="33" t="s">
        <v>37</v>
      </c>
      <c r="H37" s="148" t="s">
        <v>37</v>
      </c>
      <c r="I37" s="33" t="s">
        <v>37</v>
      </c>
      <c r="J37" s="33" t="s">
        <v>37</v>
      </c>
      <c r="K37" s="33" t="s">
        <v>37</v>
      </c>
      <c r="L37" s="33" t="s">
        <v>37</v>
      </c>
      <c r="M37" s="33" t="s">
        <v>37</v>
      </c>
      <c r="N37" s="33" t="s">
        <v>37</v>
      </c>
      <c r="O37" s="33" t="s">
        <v>37</v>
      </c>
      <c r="P37" s="33" t="s">
        <v>37</v>
      </c>
      <c r="Q37" s="33" t="s">
        <v>37</v>
      </c>
      <c r="R37" s="33" t="s">
        <v>37</v>
      </c>
      <c r="S37" s="33" t="s">
        <v>37</v>
      </c>
      <c r="T37" s="33" t="s">
        <v>37</v>
      </c>
      <c r="U37" s="33" t="s">
        <v>37</v>
      </c>
      <c r="V37" s="33" t="s">
        <v>37</v>
      </c>
      <c r="W37" s="33" t="s">
        <v>37</v>
      </c>
      <c r="X37" s="33" t="s">
        <v>37</v>
      </c>
      <c r="Y37" s="33" t="s">
        <v>37</v>
      </c>
      <c r="Z37" s="33" t="s">
        <v>37</v>
      </c>
      <c r="AA37" s="33" t="s">
        <v>37</v>
      </c>
      <c r="AB37" s="33" t="s">
        <v>37</v>
      </c>
      <c r="AC37" s="33" t="s">
        <v>37</v>
      </c>
      <c r="AD37" s="148" t="s">
        <v>37</v>
      </c>
      <c r="AE37" s="33" t="s">
        <v>37</v>
      </c>
      <c r="AF37" s="35">
        <v>1310</v>
      </c>
      <c r="AG37" s="35"/>
      <c r="AH37" s="35">
        <f t="shared" si="0"/>
        <v>385</v>
      </c>
      <c r="AI37" s="35">
        <v>0</v>
      </c>
      <c r="AJ37" s="35">
        <v>1619</v>
      </c>
      <c r="AK37" s="35">
        <f t="shared" si="1"/>
        <v>309</v>
      </c>
      <c r="AL37" s="35">
        <v>314</v>
      </c>
      <c r="AM37" s="35"/>
      <c r="AN37" s="35">
        <f t="shared" si="2"/>
        <v>314</v>
      </c>
      <c r="AO37" s="35">
        <v>674</v>
      </c>
      <c r="AP37" s="35"/>
      <c r="AQ37" s="34">
        <f t="shared" si="3"/>
        <v>360</v>
      </c>
      <c r="AR37" s="35">
        <v>1036</v>
      </c>
      <c r="AS37" s="35"/>
      <c r="AT37" s="35">
        <f t="shared" si="4"/>
        <v>362</v>
      </c>
      <c r="AU37" s="6">
        <v>1378</v>
      </c>
      <c r="AV37" s="6"/>
      <c r="AW37" s="35">
        <f t="shared" si="5"/>
        <v>342</v>
      </c>
      <c r="AX37" s="35"/>
      <c r="AY37" s="35"/>
      <c r="AZ37" s="35"/>
      <c r="BA37" s="6">
        <v>222</v>
      </c>
      <c r="BB37" s="6">
        <v>1519</v>
      </c>
      <c r="BC37" s="35">
        <f t="shared" si="6"/>
        <v>363</v>
      </c>
      <c r="BD37" s="6">
        <v>577</v>
      </c>
      <c r="BE37" s="6"/>
      <c r="BF37" s="35">
        <f t="shared" si="7"/>
        <v>355</v>
      </c>
      <c r="BG37" s="6">
        <v>939</v>
      </c>
      <c r="BH37" s="6"/>
      <c r="BI37" s="6">
        <f t="shared" si="8"/>
        <v>362</v>
      </c>
      <c r="BJ37" s="6">
        <v>1301</v>
      </c>
      <c r="BK37" s="6"/>
      <c r="BL37" s="6">
        <f t="shared" si="9"/>
        <v>362</v>
      </c>
      <c r="BM37" s="6">
        <v>100</v>
      </c>
      <c r="BN37" s="6">
        <v>1560</v>
      </c>
      <c r="BO37" s="6">
        <f t="shared" si="10"/>
        <v>359</v>
      </c>
      <c r="BP37" s="6">
        <v>463</v>
      </c>
      <c r="BQ37" s="6"/>
      <c r="BR37" s="35">
        <f t="shared" si="11"/>
        <v>363</v>
      </c>
      <c r="BS37" s="6"/>
      <c r="BT37" s="6"/>
      <c r="BU37" s="6"/>
      <c r="BV37" s="6">
        <v>852</v>
      </c>
      <c r="BW37" s="6"/>
      <c r="BX37" s="35">
        <f t="shared" si="12"/>
        <v>389</v>
      </c>
      <c r="BY37" s="6">
        <v>1228</v>
      </c>
      <c r="BZ37" s="6"/>
      <c r="CA37" s="6">
        <f t="shared" si="13"/>
        <v>376</v>
      </c>
      <c r="CB37" s="6">
        <v>44</v>
      </c>
      <c r="CC37" s="6">
        <v>1560</v>
      </c>
      <c r="CD37" s="6">
        <f t="shared" si="14"/>
        <v>376</v>
      </c>
      <c r="CE37" s="6">
        <v>417</v>
      </c>
      <c r="CF37" s="6"/>
      <c r="CG37" s="6">
        <f t="shared" si="15"/>
        <v>373</v>
      </c>
      <c r="CH37" s="6">
        <v>796</v>
      </c>
      <c r="CI37" s="6"/>
      <c r="CJ37" s="6">
        <f t="shared" si="16"/>
        <v>379</v>
      </c>
      <c r="CK37" s="6">
        <v>12</v>
      </c>
      <c r="CL37" s="6">
        <v>1149</v>
      </c>
      <c r="CM37" s="6">
        <f t="shared" si="17"/>
        <v>365</v>
      </c>
      <c r="CN37" s="6"/>
      <c r="CO37" s="6"/>
      <c r="CP37" s="6"/>
      <c r="CQ37" s="6">
        <v>400</v>
      </c>
      <c r="CR37" s="6"/>
      <c r="CS37" s="6">
        <f t="shared" si="18"/>
        <v>388</v>
      </c>
      <c r="CT37" s="6">
        <v>781</v>
      </c>
      <c r="CU37" s="6"/>
      <c r="CV37" s="6">
        <f t="shared" si="19"/>
        <v>381</v>
      </c>
      <c r="CW37" s="6">
        <v>1171</v>
      </c>
      <c r="CX37" s="6"/>
      <c r="CY37" s="6">
        <f t="shared" si="20"/>
        <v>390</v>
      </c>
      <c r="CZ37" s="6">
        <v>3</v>
      </c>
      <c r="DA37" s="6">
        <v>1560</v>
      </c>
      <c r="DB37" s="6">
        <f t="shared" si="21"/>
        <v>392</v>
      </c>
      <c r="DC37" s="6">
        <v>387</v>
      </c>
      <c r="DD37" s="6"/>
      <c r="DE37" s="6">
        <f t="shared" si="22"/>
        <v>384</v>
      </c>
      <c r="DF37" s="6">
        <v>0</v>
      </c>
      <c r="DG37" s="6">
        <v>511</v>
      </c>
      <c r="DH37" s="6">
        <f t="shared" si="23"/>
        <v>124</v>
      </c>
      <c r="DI37" s="6"/>
      <c r="DJ37" s="6"/>
      <c r="DK37" s="6"/>
      <c r="DL37" s="6">
        <v>340</v>
      </c>
      <c r="DM37" s="6"/>
      <c r="DN37" s="6">
        <f t="shared" si="24"/>
        <v>340</v>
      </c>
      <c r="DO37" s="6">
        <v>687</v>
      </c>
      <c r="DP37" s="6"/>
      <c r="DQ37" s="6">
        <f t="shared" si="25"/>
        <v>347</v>
      </c>
    </row>
    <row r="38" spans="1:121">
      <c r="A38" s="6">
        <v>34</v>
      </c>
      <c r="B38" s="6">
        <v>582</v>
      </c>
      <c r="C38" s="6"/>
      <c r="D38" s="6">
        <v>334</v>
      </c>
      <c r="E38" s="33" t="s">
        <v>128</v>
      </c>
      <c r="F38" s="33" t="s">
        <v>128</v>
      </c>
      <c r="G38" s="33" t="s">
        <v>128</v>
      </c>
      <c r="H38" s="33" t="s">
        <v>128</v>
      </c>
      <c r="I38" s="33" t="s">
        <v>128</v>
      </c>
      <c r="J38" s="33" t="s">
        <v>128</v>
      </c>
      <c r="K38" s="33" t="s">
        <v>128</v>
      </c>
      <c r="L38" s="33" t="s">
        <v>128</v>
      </c>
      <c r="M38" s="33" t="s">
        <v>128</v>
      </c>
      <c r="N38" s="33" t="s">
        <v>128</v>
      </c>
      <c r="O38" s="33" t="s">
        <v>128</v>
      </c>
      <c r="P38" s="33" t="s">
        <v>128</v>
      </c>
      <c r="Q38" s="33" t="s">
        <v>128</v>
      </c>
      <c r="R38" s="148" t="s">
        <v>128</v>
      </c>
      <c r="S38" s="33" t="s">
        <v>128</v>
      </c>
      <c r="T38" s="33" t="s">
        <v>128</v>
      </c>
      <c r="U38" s="33" t="s">
        <v>128</v>
      </c>
      <c r="V38" s="33" t="s">
        <v>128</v>
      </c>
      <c r="W38" s="33" t="s">
        <v>128</v>
      </c>
      <c r="X38" s="33" t="s">
        <v>128</v>
      </c>
      <c r="Y38" s="33" t="s">
        <v>128</v>
      </c>
      <c r="Z38" s="33" t="s">
        <v>128</v>
      </c>
      <c r="AA38" s="33" t="s">
        <v>128</v>
      </c>
      <c r="AB38" s="33" t="s">
        <v>128</v>
      </c>
      <c r="AC38" s="33" t="s">
        <v>128</v>
      </c>
      <c r="AD38" s="33" t="s">
        <v>128</v>
      </c>
      <c r="AE38" s="33" t="s">
        <v>128</v>
      </c>
      <c r="AF38" s="35">
        <v>967</v>
      </c>
      <c r="AG38" s="35"/>
      <c r="AH38" s="35">
        <f t="shared" si="0"/>
        <v>385</v>
      </c>
      <c r="AI38" s="35">
        <v>1330</v>
      </c>
      <c r="AJ38" s="35"/>
      <c r="AK38" s="35">
        <f t="shared" si="1"/>
        <v>363</v>
      </c>
      <c r="AL38" s="35">
        <v>131</v>
      </c>
      <c r="AM38" s="35">
        <v>1560</v>
      </c>
      <c r="AN38" s="35">
        <f t="shared" si="2"/>
        <v>361</v>
      </c>
      <c r="AO38" s="35">
        <v>492</v>
      </c>
      <c r="AP38" s="35"/>
      <c r="AQ38" s="34">
        <f t="shared" si="3"/>
        <v>361</v>
      </c>
      <c r="AR38" s="35">
        <v>855</v>
      </c>
      <c r="AS38" s="35"/>
      <c r="AT38" s="35">
        <f t="shared" si="4"/>
        <v>363</v>
      </c>
      <c r="AU38" s="6">
        <v>1193</v>
      </c>
      <c r="AV38" s="6"/>
      <c r="AW38" s="35">
        <f t="shared" si="5"/>
        <v>338</v>
      </c>
      <c r="AX38" s="35"/>
      <c r="AY38" s="6"/>
      <c r="AZ38" s="35"/>
      <c r="BA38" s="6">
        <v>1</v>
      </c>
      <c r="BB38" s="6">
        <v>1560</v>
      </c>
      <c r="BC38" s="35">
        <f t="shared" si="6"/>
        <v>368</v>
      </c>
      <c r="BD38" s="6">
        <v>358</v>
      </c>
      <c r="BE38" s="6"/>
      <c r="BF38" s="35">
        <f t="shared" si="7"/>
        <v>357</v>
      </c>
      <c r="BG38" s="6">
        <v>718</v>
      </c>
      <c r="BH38" s="6"/>
      <c r="BI38" s="6">
        <f t="shared" si="8"/>
        <v>360</v>
      </c>
      <c r="BJ38" s="6">
        <v>1082</v>
      </c>
      <c r="BK38" s="6"/>
      <c r="BL38" s="6">
        <f t="shared" si="9"/>
        <v>364</v>
      </c>
      <c r="BM38" s="6">
        <v>1447</v>
      </c>
      <c r="BN38" s="6"/>
      <c r="BO38" s="6">
        <f t="shared" si="10"/>
        <v>365</v>
      </c>
      <c r="BP38" s="6">
        <v>0</v>
      </c>
      <c r="BQ38" s="6">
        <v>1625</v>
      </c>
      <c r="BR38" s="35">
        <f t="shared" si="11"/>
        <v>178</v>
      </c>
      <c r="BS38" s="6"/>
      <c r="BT38" s="6"/>
      <c r="BU38" s="6"/>
      <c r="BV38" s="6">
        <v>360</v>
      </c>
      <c r="BW38" s="6"/>
      <c r="BX38" s="35">
        <f t="shared" si="12"/>
        <v>360</v>
      </c>
      <c r="BY38" s="6">
        <v>736</v>
      </c>
      <c r="BZ38" s="6"/>
      <c r="CA38" s="6">
        <f t="shared" si="13"/>
        <v>376</v>
      </c>
      <c r="CB38" s="6">
        <v>1100</v>
      </c>
      <c r="CC38" s="6"/>
      <c r="CD38" s="6">
        <f t="shared" si="14"/>
        <v>364</v>
      </c>
      <c r="CE38" s="6">
        <v>158</v>
      </c>
      <c r="CF38" s="6">
        <v>1311</v>
      </c>
      <c r="CG38" s="6">
        <f t="shared" si="15"/>
        <v>369</v>
      </c>
      <c r="CH38" s="6">
        <v>545</v>
      </c>
      <c r="CI38" s="6"/>
      <c r="CJ38" s="6">
        <f t="shared" si="16"/>
        <v>387</v>
      </c>
      <c r="CK38" s="6">
        <v>1</v>
      </c>
      <c r="CL38" s="6">
        <v>895</v>
      </c>
      <c r="CM38" s="6">
        <f t="shared" si="17"/>
        <v>351</v>
      </c>
      <c r="CN38" s="6"/>
      <c r="CO38" s="6"/>
      <c r="CP38" s="6"/>
      <c r="CQ38" s="6">
        <v>385</v>
      </c>
      <c r="CR38" s="6"/>
      <c r="CS38" s="6">
        <f t="shared" si="18"/>
        <v>384</v>
      </c>
      <c r="CT38" s="6">
        <v>773</v>
      </c>
      <c r="CU38" s="6"/>
      <c r="CV38" s="6">
        <f t="shared" si="19"/>
        <v>388</v>
      </c>
      <c r="CW38" s="6">
        <v>1171</v>
      </c>
      <c r="CX38" s="6"/>
      <c r="CY38" s="6">
        <f t="shared" si="20"/>
        <v>398</v>
      </c>
      <c r="CZ38" s="6">
        <v>1549</v>
      </c>
      <c r="DA38" s="6"/>
      <c r="DB38" s="6">
        <f t="shared" si="21"/>
        <v>378</v>
      </c>
      <c r="DC38" s="6">
        <v>369</v>
      </c>
      <c r="DD38" s="6">
        <v>1560</v>
      </c>
      <c r="DE38" s="6">
        <f t="shared" si="22"/>
        <v>380</v>
      </c>
      <c r="DF38" s="6">
        <v>722</v>
      </c>
      <c r="DG38" s="6"/>
      <c r="DH38" s="6">
        <f t="shared" si="23"/>
        <v>353</v>
      </c>
      <c r="DI38" s="6"/>
      <c r="DJ38" s="6"/>
      <c r="DK38" s="6"/>
      <c r="DL38" s="6">
        <v>1104</v>
      </c>
      <c r="DM38" s="6"/>
      <c r="DN38" s="6">
        <f t="shared" si="24"/>
        <v>382</v>
      </c>
      <c r="DO38" s="6">
        <v>130</v>
      </c>
      <c r="DP38" s="6">
        <v>1326</v>
      </c>
      <c r="DQ38" s="6">
        <f t="shared" si="25"/>
        <v>352</v>
      </c>
    </row>
    <row r="39" spans="1:121">
      <c r="A39" s="6">
        <v>35</v>
      </c>
      <c r="B39" s="6">
        <v>1385</v>
      </c>
      <c r="C39" s="6"/>
      <c r="D39" s="6">
        <v>329</v>
      </c>
      <c r="E39" s="33" t="s">
        <v>37</v>
      </c>
      <c r="F39" s="33" t="s">
        <v>37</v>
      </c>
      <c r="G39" s="33" t="s">
        <v>37</v>
      </c>
      <c r="H39" s="33" t="s">
        <v>37</v>
      </c>
      <c r="I39" s="148" t="s">
        <v>37</v>
      </c>
      <c r="J39" s="33" t="s">
        <v>37</v>
      </c>
      <c r="K39" s="33" t="s">
        <v>37</v>
      </c>
      <c r="L39" s="33" t="s">
        <v>37</v>
      </c>
      <c r="M39" s="33" t="s">
        <v>37</v>
      </c>
      <c r="N39" s="33" t="s">
        <v>37</v>
      </c>
      <c r="O39" s="33" t="s">
        <v>37</v>
      </c>
      <c r="P39" s="33" t="s">
        <v>37</v>
      </c>
      <c r="Q39" s="33" t="s">
        <v>37</v>
      </c>
      <c r="R39" s="33" t="s">
        <v>37</v>
      </c>
      <c r="S39" s="33" t="s">
        <v>37</v>
      </c>
      <c r="T39" s="33" t="s">
        <v>37</v>
      </c>
      <c r="U39" s="33" t="s">
        <v>37</v>
      </c>
      <c r="V39" s="33" t="s">
        <v>37</v>
      </c>
      <c r="W39" s="33" t="s">
        <v>37</v>
      </c>
      <c r="X39" s="33" t="s">
        <v>37</v>
      </c>
      <c r="Y39" s="33" t="s">
        <v>37</v>
      </c>
      <c r="Z39" s="33" t="s">
        <v>37</v>
      </c>
      <c r="AA39" s="33" t="s">
        <v>37</v>
      </c>
      <c r="AB39" s="33" t="s">
        <v>37</v>
      </c>
      <c r="AC39" s="33" t="s">
        <v>37</v>
      </c>
      <c r="AD39" s="148" t="s">
        <v>37</v>
      </c>
      <c r="AE39" s="33" t="s">
        <v>37</v>
      </c>
      <c r="AF39" s="6">
        <v>200</v>
      </c>
      <c r="AG39" s="6">
        <v>1560</v>
      </c>
      <c r="AH39" s="35">
        <f t="shared" si="0"/>
        <v>375</v>
      </c>
      <c r="AI39" s="35">
        <v>244</v>
      </c>
      <c r="AJ39" s="35">
        <v>290</v>
      </c>
      <c r="AK39" s="35">
        <f t="shared" si="1"/>
        <v>334</v>
      </c>
      <c r="AL39" s="6">
        <v>0</v>
      </c>
      <c r="AM39" s="6">
        <v>532</v>
      </c>
      <c r="AN39" s="35">
        <f t="shared" si="2"/>
        <v>288</v>
      </c>
      <c r="AO39" s="6">
        <v>331</v>
      </c>
      <c r="AP39" s="6"/>
      <c r="AQ39" s="34">
        <f t="shared" si="3"/>
        <v>331</v>
      </c>
      <c r="AR39" s="35">
        <v>688</v>
      </c>
      <c r="AS39" s="35"/>
      <c r="AT39" s="35">
        <f t="shared" si="4"/>
        <v>357</v>
      </c>
      <c r="AU39" s="6">
        <v>1024</v>
      </c>
      <c r="AV39" s="6"/>
      <c r="AW39" s="35">
        <f t="shared" si="5"/>
        <v>336</v>
      </c>
      <c r="AX39" s="6"/>
      <c r="AY39" s="6"/>
      <c r="AZ39" s="35"/>
      <c r="BA39" s="35">
        <v>1393</v>
      </c>
      <c r="BB39" s="35"/>
      <c r="BC39" s="35">
        <f t="shared" si="6"/>
        <v>369</v>
      </c>
      <c r="BD39" s="6">
        <v>202</v>
      </c>
      <c r="BE39" s="6">
        <v>1560</v>
      </c>
      <c r="BF39" s="35">
        <f t="shared" si="7"/>
        <v>369</v>
      </c>
      <c r="BG39" s="6">
        <v>573</v>
      </c>
      <c r="BH39" s="6"/>
      <c r="BI39" s="6">
        <f t="shared" si="8"/>
        <v>371</v>
      </c>
      <c r="BJ39" s="6">
        <v>948</v>
      </c>
      <c r="BK39" s="6"/>
      <c r="BL39" s="6">
        <f t="shared" si="9"/>
        <v>375</v>
      </c>
      <c r="BM39" s="6">
        <v>1324</v>
      </c>
      <c r="BN39" s="6"/>
      <c r="BO39" s="6">
        <f t="shared" si="10"/>
        <v>376</v>
      </c>
      <c r="BP39" s="6">
        <v>55</v>
      </c>
      <c r="BQ39" s="6">
        <v>1560</v>
      </c>
      <c r="BR39" s="35">
        <f t="shared" si="11"/>
        <v>291</v>
      </c>
      <c r="BS39" s="6"/>
      <c r="BT39" s="6"/>
      <c r="BU39" s="6"/>
      <c r="BV39" s="6">
        <v>448</v>
      </c>
      <c r="BW39" s="6"/>
      <c r="BX39" s="35">
        <f t="shared" si="12"/>
        <v>393</v>
      </c>
      <c r="BY39" s="35">
        <v>821</v>
      </c>
      <c r="BZ39" s="6"/>
      <c r="CA39" s="6">
        <f t="shared" si="13"/>
        <v>373</v>
      </c>
      <c r="CB39" s="6">
        <v>1198</v>
      </c>
      <c r="CC39" s="6"/>
      <c r="CD39" s="6">
        <f t="shared" si="14"/>
        <v>377</v>
      </c>
      <c r="CE39" s="6">
        <v>18</v>
      </c>
      <c r="CF39" s="6">
        <v>1560</v>
      </c>
      <c r="CG39" s="6">
        <f t="shared" si="15"/>
        <v>380</v>
      </c>
      <c r="CH39" s="6">
        <v>361</v>
      </c>
      <c r="CI39" s="6"/>
      <c r="CJ39" s="6">
        <f t="shared" si="16"/>
        <v>343</v>
      </c>
      <c r="CK39" s="6">
        <v>715</v>
      </c>
      <c r="CL39" s="6"/>
      <c r="CM39" s="6">
        <f t="shared" si="17"/>
        <v>354</v>
      </c>
      <c r="CN39" s="6"/>
      <c r="CO39" s="6"/>
      <c r="CP39" s="6"/>
      <c r="CQ39" s="6">
        <v>1088</v>
      </c>
      <c r="CR39" s="6"/>
      <c r="CS39" s="6">
        <f t="shared" si="18"/>
        <v>373</v>
      </c>
      <c r="CT39" s="6">
        <v>342</v>
      </c>
      <c r="CU39" s="6">
        <v>1141</v>
      </c>
      <c r="CV39" s="6">
        <f t="shared" si="19"/>
        <v>395</v>
      </c>
      <c r="CW39" s="6">
        <v>165</v>
      </c>
      <c r="CX39" s="6">
        <v>562</v>
      </c>
      <c r="CY39" s="6">
        <f t="shared" si="20"/>
        <v>385</v>
      </c>
      <c r="CZ39" s="6">
        <v>567</v>
      </c>
      <c r="DA39" s="6"/>
      <c r="DB39" s="6">
        <f t="shared" si="21"/>
        <v>402</v>
      </c>
      <c r="DC39" s="6">
        <v>956</v>
      </c>
      <c r="DD39" s="6"/>
      <c r="DE39" s="6">
        <f t="shared" si="22"/>
        <v>389</v>
      </c>
      <c r="DF39" s="6">
        <v>1323</v>
      </c>
      <c r="DG39" s="6"/>
      <c r="DH39" s="6">
        <f t="shared" si="23"/>
        <v>367</v>
      </c>
      <c r="DI39" s="6"/>
      <c r="DJ39" s="6"/>
      <c r="DK39" s="6"/>
      <c r="DL39" s="6">
        <v>251</v>
      </c>
      <c r="DM39" s="6">
        <v>1454</v>
      </c>
      <c r="DN39" s="6">
        <f t="shared" si="24"/>
        <v>382</v>
      </c>
      <c r="DO39" s="6">
        <v>607</v>
      </c>
      <c r="DP39" s="6"/>
      <c r="DQ39" s="6">
        <f t="shared" si="25"/>
        <v>356</v>
      </c>
    </row>
    <row r="40" spans="1:121" ht="14.25" customHeight="1">
      <c r="A40" s="6">
        <v>36</v>
      </c>
      <c r="B40" s="6">
        <v>987</v>
      </c>
      <c r="C40" s="6"/>
      <c r="D40" s="6">
        <v>318</v>
      </c>
      <c r="E40" s="33" t="s">
        <v>37</v>
      </c>
      <c r="F40" s="33" t="s">
        <v>37</v>
      </c>
      <c r="G40" s="33" t="s">
        <v>37</v>
      </c>
      <c r="H40" s="33" t="s">
        <v>37</v>
      </c>
      <c r="I40" s="33" t="s">
        <v>37</v>
      </c>
      <c r="J40" s="33" t="s">
        <v>37</v>
      </c>
      <c r="K40" s="33" t="s">
        <v>37</v>
      </c>
      <c r="L40" s="33" t="s">
        <v>37</v>
      </c>
      <c r="M40" s="33" t="s">
        <v>37</v>
      </c>
      <c r="N40" s="33" t="s">
        <v>37</v>
      </c>
      <c r="O40" s="33" t="s">
        <v>37</v>
      </c>
      <c r="P40" s="33" t="s">
        <v>37</v>
      </c>
      <c r="Q40" s="33" t="s">
        <v>37</v>
      </c>
      <c r="R40" s="33" t="s">
        <v>37</v>
      </c>
      <c r="S40" s="33" t="s">
        <v>37</v>
      </c>
      <c r="T40" s="33" t="s">
        <v>37</v>
      </c>
      <c r="U40" s="33" t="s">
        <v>37</v>
      </c>
      <c r="V40" s="33" t="s">
        <v>37</v>
      </c>
      <c r="W40" s="33" t="s">
        <v>37</v>
      </c>
      <c r="X40" s="33" t="s">
        <v>37</v>
      </c>
      <c r="Y40" s="148" t="s">
        <v>37</v>
      </c>
      <c r="Z40" s="33" t="s">
        <v>37</v>
      </c>
      <c r="AA40" s="33" t="s">
        <v>37</v>
      </c>
      <c r="AB40" s="33" t="s">
        <v>37</v>
      </c>
      <c r="AC40" s="33" t="s">
        <v>37</v>
      </c>
      <c r="AD40" s="33" t="s">
        <v>37</v>
      </c>
      <c r="AE40" s="33" t="s">
        <v>37</v>
      </c>
      <c r="AF40" s="6">
        <v>1358</v>
      </c>
      <c r="AG40" s="6"/>
      <c r="AH40" s="35">
        <f t="shared" si="0"/>
        <v>371</v>
      </c>
      <c r="AI40" s="35">
        <v>142</v>
      </c>
      <c r="AJ40" s="35">
        <v>1550</v>
      </c>
      <c r="AK40" s="35">
        <f t="shared" si="1"/>
        <v>334</v>
      </c>
      <c r="AL40" s="6">
        <v>501</v>
      </c>
      <c r="AM40" s="6"/>
      <c r="AN40" s="35">
        <f t="shared" si="2"/>
        <v>359</v>
      </c>
      <c r="AO40" s="6">
        <v>848</v>
      </c>
      <c r="AP40" s="6"/>
      <c r="AQ40" s="34">
        <f t="shared" si="3"/>
        <v>347</v>
      </c>
      <c r="AR40" s="35">
        <v>1203</v>
      </c>
      <c r="AS40" s="35"/>
      <c r="AT40" s="35">
        <f t="shared" si="4"/>
        <v>355</v>
      </c>
      <c r="AU40" s="6">
        <v>1547</v>
      </c>
      <c r="AV40" s="6"/>
      <c r="AW40" s="35">
        <f t="shared" si="5"/>
        <v>344</v>
      </c>
      <c r="AX40" s="6"/>
      <c r="AY40" s="6"/>
      <c r="AZ40" s="35"/>
      <c r="BA40" s="35">
        <v>329</v>
      </c>
      <c r="BB40" s="35">
        <v>1560</v>
      </c>
      <c r="BC40" s="35">
        <f t="shared" si="6"/>
        <v>342</v>
      </c>
      <c r="BD40" s="6">
        <v>690</v>
      </c>
      <c r="BE40" s="6"/>
      <c r="BF40" s="35">
        <f t="shared" si="7"/>
        <v>361</v>
      </c>
      <c r="BG40" s="6">
        <v>1048</v>
      </c>
      <c r="BH40" s="6"/>
      <c r="BI40" s="6">
        <f t="shared" si="8"/>
        <v>358</v>
      </c>
      <c r="BJ40" s="6">
        <v>359</v>
      </c>
      <c r="BK40" s="6">
        <v>1050</v>
      </c>
      <c r="BL40" s="6">
        <f t="shared" si="9"/>
        <v>361</v>
      </c>
      <c r="BM40" s="6">
        <v>257</v>
      </c>
      <c r="BN40" s="6">
        <v>449</v>
      </c>
      <c r="BO40" s="6">
        <f t="shared" si="10"/>
        <v>347</v>
      </c>
      <c r="BP40" s="6">
        <v>605</v>
      </c>
      <c r="BQ40" s="6"/>
      <c r="BR40" s="35">
        <f t="shared" si="11"/>
        <v>348</v>
      </c>
      <c r="BS40" s="6"/>
      <c r="BT40" s="6"/>
      <c r="BU40" s="6"/>
      <c r="BV40" s="6">
        <v>999</v>
      </c>
      <c r="BW40" s="6"/>
      <c r="BX40" s="35">
        <f t="shared" si="12"/>
        <v>394</v>
      </c>
      <c r="BY40" s="6">
        <v>1375</v>
      </c>
      <c r="BZ40" s="6"/>
      <c r="CA40" s="6">
        <f t="shared" si="13"/>
        <v>376</v>
      </c>
      <c r="CB40" s="6">
        <v>193</v>
      </c>
      <c r="CC40" s="6">
        <v>1560</v>
      </c>
      <c r="CD40" s="6">
        <f t="shared" si="14"/>
        <v>378</v>
      </c>
      <c r="CE40" s="6">
        <v>573</v>
      </c>
      <c r="CF40" s="6"/>
      <c r="CG40" s="6">
        <f t="shared" si="15"/>
        <v>380</v>
      </c>
      <c r="CH40" s="6">
        <v>942</v>
      </c>
      <c r="CI40" s="6"/>
      <c r="CJ40" s="6">
        <f t="shared" si="16"/>
        <v>369</v>
      </c>
      <c r="CK40" s="6">
        <v>1319</v>
      </c>
      <c r="CL40" s="6"/>
      <c r="CM40" s="6">
        <f t="shared" si="17"/>
        <v>377</v>
      </c>
      <c r="CN40" s="6"/>
      <c r="CO40" s="6"/>
      <c r="CP40" s="6"/>
      <c r="CQ40" s="6">
        <v>0</v>
      </c>
      <c r="CR40" s="6">
        <v>1658</v>
      </c>
      <c r="CS40" s="6">
        <f t="shared" si="18"/>
        <v>339</v>
      </c>
      <c r="CT40" s="6">
        <v>342</v>
      </c>
      <c r="CU40" s="6"/>
      <c r="CV40" s="6">
        <f t="shared" si="19"/>
        <v>342</v>
      </c>
      <c r="CW40" s="6">
        <v>727</v>
      </c>
      <c r="CX40" s="6"/>
      <c r="CY40" s="6">
        <f t="shared" si="20"/>
        <v>385</v>
      </c>
      <c r="CZ40" s="6">
        <v>1121</v>
      </c>
      <c r="DA40" s="6"/>
      <c r="DB40" s="6">
        <f t="shared" si="21"/>
        <v>394</v>
      </c>
      <c r="DC40" s="6">
        <v>1508</v>
      </c>
      <c r="DD40" s="6"/>
      <c r="DE40" s="6">
        <f t="shared" si="22"/>
        <v>387</v>
      </c>
      <c r="DF40" s="6">
        <v>307</v>
      </c>
      <c r="DG40" s="6">
        <v>1560</v>
      </c>
      <c r="DH40" s="6">
        <f t="shared" si="23"/>
        <v>359</v>
      </c>
      <c r="DI40" s="6"/>
      <c r="DJ40" s="6"/>
      <c r="DK40" s="6"/>
      <c r="DL40" s="6">
        <v>697</v>
      </c>
      <c r="DM40" s="6"/>
      <c r="DN40" s="6">
        <f t="shared" si="24"/>
        <v>390</v>
      </c>
      <c r="DO40" s="6">
        <v>1054</v>
      </c>
      <c r="DP40" s="6"/>
      <c r="DQ40" s="6">
        <f t="shared" si="25"/>
        <v>357</v>
      </c>
    </row>
    <row r="41" spans="1:121">
      <c r="A41" s="6">
        <v>37</v>
      </c>
      <c r="B41" s="6">
        <v>930</v>
      </c>
      <c r="C41" s="6"/>
      <c r="D41" s="6">
        <v>331</v>
      </c>
      <c r="E41" s="33" t="s">
        <v>128</v>
      </c>
      <c r="F41" s="33" t="s">
        <v>128</v>
      </c>
      <c r="G41" s="33" t="s">
        <v>128</v>
      </c>
      <c r="H41" s="33" t="s">
        <v>128</v>
      </c>
      <c r="I41" s="33" t="s">
        <v>128</v>
      </c>
      <c r="J41" s="33" t="s">
        <v>128</v>
      </c>
      <c r="K41" s="33" t="s">
        <v>128</v>
      </c>
      <c r="L41" s="33" t="s">
        <v>128</v>
      </c>
      <c r="M41" s="33" t="s">
        <v>128</v>
      </c>
      <c r="N41" s="33" t="s">
        <v>128</v>
      </c>
      <c r="O41" s="33" t="s">
        <v>128</v>
      </c>
      <c r="P41" s="33" t="s">
        <v>128</v>
      </c>
      <c r="Q41" s="33" t="s">
        <v>128</v>
      </c>
      <c r="R41" s="33" t="s">
        <v>128</v>
      </c>
      <c r="S41" s="33" t="s">
        <v>128</v>
      </c>
      <c r="T41" s="33" t="s">
        <v>128</v>
      </c>
      <c r="U41" s="33" t="s">
        <v>128</v>
      </c>
      <c r="V41" s="33" t="s">
        <v>128</v>
      </c>
      <c r="W41" s="33" t="s">
        <v>128</v>
      </c>
      <c r="X41" s="33" t="s">
        <v>128</v>
      </c>
      <c r="Y41" s="148" t="s">
        <v>128</v>
      </c>
      <c r="Z41" s="33" t="s">
        <v>128</v>
      </c>
      <c r="AA41" s="33" t="s">
        <v>128</v>
      </c>
      <c r="AB41" s="33" t="s">
        <v>128</v>
      </c>
      <c r="AC41" s="33" t="s">
        <v>128</v>
      </c>
      <c r="AD41" s="33" t="s">
        <v>128</v>
      </c>
      <c r="AE41" s="33" t="s">
        <v>128</v>
      </c>
      <c r="AF41" s="6">
        <v>1312</v>
      </c>
      <c r="AG41" s="6"/>
      <c r="AH41" s="35">
        <f t="shared" si="0"/>
        <v>382</v>
      </c>
      <c r="AI41" s="35">
        <v>92</v>
      </c>
      <c r="AJ41" s="35">
        <v>1560</v>
      </c>
      <c r="AK41" s="35">
        <f t="shared" si="1"/>
        <v>340</v>
      </c>
      <c r="AL41" s="6">
        <v>435</v>
      </c>
      <c r="AM41" s="6"/>
      <c r="AN41" s="35">
        <f t="shared" si="2"/>
        <v>343</v>
      </c>
      <c r="AO41" s="6">
        <v>792</v>
      </c>
      <c r="AP41" s="6"/>
      <c r="AQ41" s="34">
        <f t="shared" si="3"/>
        <v>357</v>
      </c>
      <c r="AR41" s="35">
        <v>1149</v>
      </c>
      <c r="AS41" s="35"/>
      <c r="AT41" s="35">
        <f t="shared" si="4"/>
        <v>357</v>
      </c>
      <c r="AU41" s="6">
        <v>1487</v>
      </c>
      <c r="AV41" s="6"/>
      <c r="AW41" s="35">
        <f t="shared" si="5"/>
        <v>338</v>
      </c>
      <c r="AX41" s="6"/>
      <c r="AY41" s="6"/>
      <c r="AZ41" s="35"/>
      <c r="BA41" s="35">
        <v>284</v>
      </c>
      <c r="BB41" s="35">
        <v>1560</v>
      </c>
      <c r="BC41" s="35">
        <f t="shared" si="6"/>
        <v>357</v>
      </c>
      <c r="BD41" s="6">
        <v>633</v>
      </c>
      <c r="BE41" s="6"/>
      <c r="BF41" s="35">
        <f t="shared" si="7"/>
        <v>349</v>
      </c>
      <c r="BG41" s="6">
        <v>987</v>
      </c>
      <c r="BH41" s="6"/>
      <c r="BI41" s="6">
        <f t="shared" si="8"/>
        <v>354</v>
      </c>
      <c r="BJ41" s="6">
        <v>1341</v>
      </c>
      <c r="BK41" s="6"/>
      <c r="BL41" s="6">
        <f t="shared" si="9"/>
        <v>354</v>
      </c>
      <c r="BM41" s="6">
        <v>130</v>
      </c>
      <c r="BN41" s="6">
        <v>1560</v>
      </c>
      <c r="BO41" s="6">
        <f t="shared" si="10"/>
        <v>349</v>
      </c>
      <c r="BP41" s="6">
        <v>468</v>
      </c>
      <c r="BQ41" s="6"/>
      <c r="BR41" s="35">
        <f t="shared" si="11"/>
        <v>338</v>
      </c>
      <c r="BS41" s="6"/>
      <c r="BT41" s="6"/>
      <c r="BU41" s="6"/>
      <c r="BV41" s="6">
        <v>841</v>
      </c>
      <c r="BW41" s="6"/>
      <c r="BX41" s="35">
        <f t="shared" si="12"/>
        <v>373</v>
      </c>
      <c r="BY41" s="6">
        <v>1212</v>
      </c>
      <c r="BZ41" s="6"/>
      <c r="CA41" s="6">
        <f t="shared" si="13"/>
        <v>371</v>
      </c>
      <c r="CB41" s="6">
        <v>29</v>
      </c>
      <c r="CC41" s="6">
        <v>1560</v>
      </c>
      <c r="CD41" s="6">
        <f t="shared" si="14"/>
        <v>377</v>
      </c>
      <c r="CE41" s="6">
        <v>401</v>
      </c>
      <c r="CF41" s="6"/>
      <c r="CG41" s="6">
        <f t="shared" si="15"/>
        <v>372</v>
      </c>
      <c r="CH41" s="6">
        <v>776</v>
      </c>
      <c r="CI41" s="6"/>
      <c r="CJ41" s="6">
        <f t="shared" si="16"/>
        <v>375</v>
      </c>
      <c r="CK41" s="6">
        <v>1142</v>
      </c>
      <c r="CL41" s="6"/>
      <c r="CM41" s="6">
        <f t="shared" si="17"/>
        <v>366</v>
      </c>
      <c r="CN41" s="6"/>
      <c r="CO41" s="6"/>
      <c r="CP41" s="6"/>
      <c r="CQ41" s="6">
        <v>1522</v>
      </c>
      <c r="CR41" s="6"/>
      <c r="CS41" s="6">
        <f t="shared" si="18"/>
        <v>380</v>
      </c>
      <c r="CT41" s="6">
        <v>256</v>
      </c>
      <c r="CU41" s="6">
        <v>1629</v>
      </c>
      <c r="CV41" s="6">
        <f t="shared" si="19"/>
        <v>363</v>
      </c>
      <c r="CW41" s="6">
        <v>626</v>
      </c>
      <c r="CX41" s="6"/>
      <c r="CY41" s="6">
        <f t="shared" si="20"/>
        <v>370</v>
      </c>
      <c r="CZ41" s="6">
        <v>1007</v>
      </c>
      <c r="DA41" s="6"/>
      <c r="DB41" s="6">
        <f t="shared" si="21"/>
        <v>381</v>
      </c>
      <c r="DC41" s="6">
        <v>1390</v>
      </c>
      <c r="DD41" s="6"/>
      <c r="DE41" s="6">
        <f t="shared" si="22"/>
        <v>383</v>
      </c>
      <c r="DF41" s="6">
        <v>185</v>
      </c>
      <c r="DG41" s="6">
        <v>1560</v>
      </c>
      <c r="DH41" s="6">
        <f t="shared" si="23"/>
        <v>355</v>
      </c>
      <c r="DI41" s="6"/>
      <c r="DJ41" s="6"/>
      <c r="DK41" s="6"/>
      <c r="DL41" s="6">
        <v>551</v>
      </c>
      <c r="DM41" s="6"/>
      <c r="DN41" s="6">
        <f t="shared" si="24"/>
        <v>366</v>
      </c>
      <c r="DO41" s="6">
        <v>881</v>
      </c>
      <c r="DP41" s="6"/>
      <c r="DQ41" s="6">
        <f t="shared" si="25"/>
        <v>330</v>
      </c>
    </row>
    <row r="42" spans="1:121">
      <c r="A42" s="6">
        <v>38</v>
      </c>
      <c r="B42" s="6">
        <v>1342</v>
      </c>
      <c r="C42" s="6"/>
      <c r="D42" s="6">
        <v>325</v>
      </c>
      <c r="E42" s="33" t="s">
        <v>37</v>
      </c>
      <c r="F42" s="33" t="s">
        <v>37</v>
      </c>
      <c r="G42" s="33" t="s">
        <v>37</v>
      </c>
      <c r="H42" s="33" t="s">
        <v>37</v>
      </c>
      <c r="I42" s="33" t="s">
        <v>37</v>
      </c>
      <c r="J42" s="33" t="s">
        <v>37</v>
      </c>
      <c r="K42" s="33" t="s">
        <v>37</v>
      </c>
      <c r="L42" s="33" t="s">
        <v>37</v>
      </c>
      <c r="M42" s="33" t="s">
        <v>37</v>
      </c>
      <c r="N42" s="33" t="s">
        <v>37</v>
      </c>
      <c r="O42" s="33" t="s">
        <v>37</v>
      </c>
      <c r="P42" s="33" t="s">
        <v>37</v>
      </c>
      <c r="Q42" s="33" t="s">
        <v>37</v>
      </c>
      <c r="R42" s="33" t="s">
        <v>37</v>
      </c>
      <c r="S42" s="33" t="s">
        <v>37</v>
      </c>
      <c r="T42" s="33" t="s">
        <v>37</v>
      </c>
      <c r="U42" s="33" t="s">
        <v>37</v>
      </c>
      <c r="V42" s="33" t="s">
        <v>37</v>
      </c>
      <c r="W42" s="33" t="s">
        <v>37</v>
      </c>
      <c r="X42" s="148" t="s">
        <v>37</v>
      </c>
      <c r="Y42" s="33" t="s">
        <v>37</v>
      </c>
      <c r="Z42" s="33" t="s">
        <v>37</v>
      </c>
      <c r="AA42" s="33" t="s">
        <v>37</v>
      </c>
      <c r="AB42" s="33" t="s">
        <v>37</v>
      </c>
      <c r="AC42" s="33" t="s">
        <v>37</v>
      </c>
      <c r="AD42" s="33" t="s">
        <v>37</v>
      </c>
      <c r="AE42" s="33" t="s">
        <v>37</v>
      </c>
      <c r="AF42" s="6">
        <v>166</v>
      </c>
      <c r="AG42" s="6">
        <v>1560</v>
      </c>
      <c r="AH42" s="35">
        <f t="shared" si="0"/>
        <v>384</v>
      </c>
      <c r="AI42" s="35">
        <v>518</v>
      </c>
      <c r="AJ42" s="35"/>
      <c r="AK42" s="35">
        <f t="shared" si="1"/>
        <v>352</v>
      </c>
      <c r="AL42" s="6">
        <v>874</v>
      </c>
      <c r="AM42" s="6"/>
      <c r="AN42" s="35">
        <f t="shared" si="2"/>
        <v>356</v>
      </c>
      <c r="AO42" s="6">
        <v>1231</v>
      </c>
      <c r="AP42" s="6"/>
      <c r="AQ42" s="34">
        <f t="shared" si="3"/>
        <v>357</v>
      </c>
      <c r="AR42" s="35">
        <v>20</v>
      </c>
      <c r="AS42" s="35">
        <v>1560</v>
      </c>
      <c r="AT42" s="35">
        <f t="shared" si="4"/>
        <v>349</v>
      </c>
      <c r="AU42" s="6">
        <v>334</v>
      </c>
      <c r="AV42" s="6"/>
      <c r="AW42" s="35">
        <f t="shared" si="5"/>
        <v>314</v>
      </c>
      <c r="AX42" s="6"/>
      <c r="AY42" s="6"/>
      <c r="AZ42" s="35"/>
      <c r="BA42" s="35">
        <v>672</v>
      </c>
      <c r="BB42" s="35"/>
      <c r="BC42" s="35">
        <f t="shared" si="6"/>
        <v>338</v>
      </c>
      <c r="BD42" s="6">
        <v>1001</v>
      </c>
      <c r="BE42" s="6"/>
      <c r="BF42" s="35">
        <f t="shared" si="7"/>
        <v>329</v>
      </c>
      <c r="BG42" s="6">
        <v>1353</v>
      </c>
      <c r="BH42" s="6"/>
      <c r="BI42" s="6">
        <f t="shared" si="8"/>
        <v>352</v>
      </c>
      <c r="BJ42" s="6">
        <v>156</v>
      </c>
      <c r="BK42" s="6">
        <v>1553</v>
      </c>
      <c r="BL42" s="6">
        <f t="shared" si="9"/>
        <v>356</v>
      </c>
      <c r="BM42" s="6">
        <v>514</v>
      </c>
      <c r="BN42" s="6"/>
      <c r="BO42" s="6">
        <f t="shared" si="10"/>
        <v>358</v>
      </c>
      <c r="BP42" s="6">
        <v>849</v>
      </c>
      <c r="BQ42" s="6"/>
      <c r="BR42" s="35">
        <f t="shared" si="11"/>
        <v>335</v>
      </c>
      <c r="BS42" s="6"/>
      <c r="BT42" s="6"/>
      <c r="BU42" s="6"/>
      <c r="BV42" s="6">
        <v>1212</v>
      </c>
      <c r="BW42" s="6"/>
      <c r="BX42" s="35">
        <f t="shared" si="12"/>
        <v>363</v>
      </c>
      <c r="BY42" s="6">
        <v>24</v>
      </c>
      <c r="BZ42" s="6">
        <v>1561</v>
      </c>
      <c r="CA42" s="6">
        <f t="shared" si="13"/>
        <v>373</v>
      </c>
      <c r="CB42" s="6">
        <v>406</v>
      </c>
      <c r="CC42" s="6"/>
      <c r="CD42" s="6">
        <f t="shared" si="14"/>
        <v>382</v>
      </c>
      <c r="CE42" s="6">
        <v>760</v>
      </c>
      <c r="CF42" s="6"/>
      <c r="CG42" s="6">
        <f t="shared" si="15"/>
        <v>354</v>
      </c>
      <c r="CH42" s="6">
        <v>1143</v>
      </c>
      <c r="CI42" s="6"/>
      <c r="CJ42" s="6">
        <f t="shared" si="16"/>
        <v>383</v>
      </c>
      <c r="CK42" s="6">
        <v>1496</v>
      </c>
      <c r="CL42" s="6"/>
      <c r="CM42" s="6">
        <f t="shared" si="17"/>
        <v>353</v>
      </c>
      <c r="CN42" s="6"/>
      <c r="CO42" s="6"/>
      <c r="CP42" s="6"/>
      <c r="CQ42" s="6">
        <v>247</v>
      </c>
      <c r="CR42" s="6">
        <v>1610</v>
      </c>
      <c r="CS42" s="6">
        <f t="shared" si="18"/>
        <v>361</v>
      </c>
      <c r="CT42" s="6">
        <v>627</v>
      </c>
      <c r="CU42" s="6"/>
      <c r="CV42" s="6">
        <f t="shared" si="19"/>
        <v>380</v>
      </c>
      <c r="CW42" s="6">
        <v>1007</v>
      </c>
      <c r="CX42" s="6"/>
      <c r="CY42" s="6">
        <f t="shared" si="20"/>
        <v>380</v>
      </c>
      <c r="CZ42" s="6">
        <v>1387</v>
      </c>
      <c r="DA42" s="6"/>
      <c r="DB42" s="6">
        <f t="shared" si="21"/>
        <v>380</v>
      </c>
      <c r="DC42" s="6">
        <v>212</v>
      </c>
      <c r="DD42" s="6">
        <v>1560</v>
      </c>
      <c r="DE42" s="6">
        <f t="shared" si="22"/>
        <v>385</v>
      </c>
      <c r="DF42" s="6">
        <v>581</v>
      </c>
      <c r="DG42" s="6"/>
      <c r="DH42" s="6">
        <f t="shared" si="23"/>
        <v>369</v>
      </c>
      <c r="DI42" s="6"/>
      <c r="DJ42" s="6"/>
      <c r="DK42" s="6"/>
      <c r="DL42" s="6">
        <v>969</v>
      </c>
      <c r="DM42" s="6"/>
      <c r="DN42" s="6">
        <f t="shared" si="24"/>
        <v>388</v>
      </c>
      <c r="DO42" s="6">
        <v>1327</v>
      </c>
      <c r="DP42" s="6"/>
      <c r="DQ42" s="6">
        <f t="shared" si="25"/>
        <v>358</v>
      </c>
    </row>
    <row r="43" spans="1:121">
      <c r="A43" s="6">
        <v>39</v>
      </c>
      <c r="B43" s="6">
        <v>982</v>
      </c>
      <c r="C43" s="6"/>
      <c r="D43" s="6">
        <v>328</v>
      </c>
      <c r="E43" s="33" t="s">
        <v>37</v>
      </c>
      <c r="F43" s="33" t="s">
        <v>37</v>
      </c>
      <c r="G43" s="33" t="s">
        <v>37</v>
      </c>
      <c r="H43" s="33" t="s">
        <v>37</v>
      </c>
      <c r="I43" s="33" t="s">
        <v>37</v>
      </c>
      <c r="J43" s="33" t="s">
        <v>37</v>
      </c>
      <c r="K43" s="33" t="s">
        <v>37</v>
      </c>
      <c r="L43" s="33" t="s">
        <v>37</v>
      </c>
      <c r="M43" s="33" t="s">
        <v>37</v>
      </c>
      <c r="N43" s="33" t="s">
        <v>37</v>
      </c>
      <c r="O43" s="33" t="s">
        <v>37</v>
      </c>
      <c r="P43" s="33" t="s">
        <v>37</v>
      </c>
      <c r="Q43" s="33" t="s">
        <v>37</v>
      </c>
      <c r="R43" s="33" t="s">
        <v>37</v>
      </c>
      <c r="S43" s="33" t="s">
        <v>37</v>
      </c>
      <c r="T43" s="33" t="s">
        <v>37</v>
      </c>
      <c r="U43" s="33" t="s">
        <v>37</v>
      </c>
      <c r="V43" s="33" t="s">
        <v>37</v>
      </c>
      <c r="W43" s="33" t="s">
        <v>37</v>
      </c>
      <c r="X43" s="33" t="s">
        <v>37</v>
      </c>
      <c r="Y43" s="33" t="s">
        <v>37</v>
      </c>
      <c r="Z43" s="148" t="s">
        <v>37</v>
      </c>
      <c r="AA43" s="33" t="s">
        <v>37</v>
      </c>
      <c r="AB43" s="33" t="s">
        <v>37</v>
      </c>
      <c r="AC43" s="33" t="s">
        <v>37</v>
      </c>
      <c r="AD43" s="33" t="s">
        <v>37</v>
      </c>
      <c r="AE43" s="33" t="s">
        <v>37</v>
      </c>
      <c r="AF43" s="6">
        <v>1358</v>
      </c>
      <c r="AG43" s="6"/>
      <c r="AH43" s="35">
        <f t="shared" si="0"/>
        <v>376</v>
      </c>
      <c r="AI43" s="35">
        <v>158</v>
      </c>
      <c r="AJ43" s="35">
        <v>1550</v>
      </c>
      <c r="AK43" s="35">
        <f t="shared" si="1"/>
        <v>350</v>
      </c>
      <c r="AL43" s="6">
        <v>525</v>
      </c>
      <c r="AM43" s="6"/>
      <c r="AN43" s="35">
        <f t="shared" si="2"/>
        <v>367</v>
      </c>
      <c r="AO43" s="6">
        <v>889</v>
      </c>
      <c r="AP43" s="6"/>
      <c r="AQ43" s="34">
        <f t="shared" si="3"/>
        <v>364</v>
      </c>
      <c r="AR43" s="35">
        <v>48</v>
      </c>
      <c r="AS43" s="35">
        <v>1198</v>
      </c>
      <c r="AT43" s="35">
        <f t="shared" si="4"/>
        <v>357</v>
      </c>
      <c r="AU43" s="6">
        <v>378</v>
      </c>
      <c r="AV43" s="6"/>
      <c r="AW43" s="35">
        <f t="shared" si="5"/>
        <v>330</v>
      </c>
      <c r="AX43" s="6"/>
      <c r="AY43" s="6"/>
      <c r="AZ43" s="35"/>
      <c r="BA43" s="35">
        <v>730</v>
      </c>
      <c r="BB43" s="35"/>
      <c r="BC43" s="35">
        <f t="shared" si="6"/>
        <v>352</v>
      </c>
      <c r="BD43" s="6">
        <v>1081</v>
      </c>
      <c r="BE43" s="6"/>
      <c r="BF43" s="35">
        <f t="shared" si="7"/>
        <v>351</v>
      </c>
      <c r="BG43" s="6">
        <v>1442</v>
      </c>
      <c r="BH43" s="6"/>
      <c r="BI43" s="6">
        <f t="shared" si="8"/>
        <v>361</v>
      </c>
      <c r="BJ43" s="6">
        <v>239</v>
      </c>
      <c r="BK43" s="6">
        <v>1560</v>
      </c>
      <c r="BL43" s="6">
        <f t="shared" si="9"/>
        <v>357</v>
      </c>
      <c r="BM43" s="6">
        <v>594</v>
      </c>
      <c r="BN43" s="6"/>
      <c r="BO43" s="6">
        <f t="shared" si="10"/>
        <v>355</v>
      </c>
      <c r="BP43" s="6">
        <v>932</v>
      </c>
      <c r="BQ43" s="6"/>
      <c r="BR43" s="35">
        <f t="shared" si="11"/>
        <v>338</v>
      </c>
      <c r="BS43" s="6"/>
      <c r="BT43" s="6"/>
      <c r="BU43" s="6"/>
      <c r="BV43" s="6">
        <v>1300</v>
      </c>
      <c r="BW43" s="6"/>
      <c r="BX43" s="35">
        <f t="shared" si="12"/>
        <v>368</v>
      </c>
      <c r="BY43" s="6">
        <v>96</v>
      </c>
      <c r="BZ43" s="6">
        <v>1560</v>
      </c>
      <c r="CA43" s="6">
        <f t="shared" si="13"/>
        <v>356</v>
      </c>
      <c r="CB43" s="6">
        <v>482</v>
      </c>
      <c r="CC43" s="6"/>
      <c r="CD43" s="6">
        <f t="shared" si="14"/>
        <v>386</v>
      </c>
      <c r="CE43" s="6">
        <v>875</v>
      </c>
      <c r="CF43" s="6"/>
      <c r="CG43" s="6">
        <f t="shared" si="15"/>
        <v>393</v>
      </c>
      <c r="CH43" s="6">
        <v>0</v>
      </c>
      <c r="CI43" s="6">
        <v>888</v>
      </c>
      <c r="CJ43" s="6">
        <f t="shared" si="16"/>
        <v>13</v>
      </c>
      <c r="CK43" s="6">
        <v>259</v>
      </c>
      <c r="CL43" s="6"/>
      <c r="CM43" s="6">
        <f t="shared" si="17"/>
        <v>259</v>
      </c>
      <c r="CN43" s="6"/>
      <c r="CO43" s="6"/>
      <c r="CP43" s="6"/>
      <c r="CQ43" s="6">
        <v>622</v>
      </c>
      <c r="CR43" s="6"/>
      <c r="CS43" s="6">
        <f t="shared" si="18"/>
        <v>363</v>
      </c>
      <c r="CT43" s="6">
        <v>985</v>
      </c>
      <c r="CU43" s="6"/>
      <c r="CV43" s="6">
        <f t="shared" si="19"/>
        <v>363</v>
      </c>
      <c r="CW43" s="6">
        <v>254</v>
      </c>
      <c r="CX43" s="6">
        <v>1074</v>
      </c>
      <c r="CY43" s="6">
        <f t="shared" si="20"/>
        <v>343</v>
      </c>
      <c r="CZ43" s="6">
        <v>633</v>
      </c>
      <c r="DA43" s="6"/>
      <c r="DB43" s="6">
        <f t="shared" si="21"/>
        <v>379</v>
      </c>
      <c r="DC43" s="6">
        <v>1014</v>
      </c>
      <c r="DD43" s="6"/>
      <c r="DE43" s="6">
        <f t="shared" si="22"/>
        <v>381</v>
      </c>
      <c r="DF43" s="6">
        <v>1377</v>
      </c>
      <c r="DG43" s="6"/>
      <c r="DH43" s="6">
        <f t="shared" si="23"/>
        <v>363</v>
      </c>
      <c r="DI43" s="6"/>
      <c r="DJ43" s="6"/>
      <c r="DK43" s="6"/>
      <c r="DL43" s="6">
        <v>194</v>
      </c>
      <c r="DM43" s="6">
        <v>1560</v>
      </c>
      <c r="DN43" s="6">
        <f t="shared" si="24"/>
        <v>377</v>
      </c>
      <c r="DO43" s="6">
        <v>547</v>
      </c>
      <c r="DP43" s="6"/>
      <c r="DQ43" s="6">
        <f t="shared" si="25"/>
        <v>353</v>
      </c>
    </row>
    <row r="44" spans="1:121">
      <c r="A44" s="6">
        <v>40</v>
      </c>
      <c r="B44" s="6">
        <v>198</v>
      </c>
      <c r="C44" s="6">
        <v>748</v>
      </c>
      <c r="D44" s="6">
        <v>292</v>
      </c>
      <c r="E44" s="169" t="s">
        <v>37</v>
      </c>
      <c r="F44" s="169" t="s">
        <v>37</v>
      </c>
      <c r="G44" s="169" t="s">
        <v>37</v>
      </c>
      <c r="H44" s="169" t="s">
        <v>37</v>
      </c>
      <c r="I44" s="169" t="s">
        <v>37</v>
      </c>
      <c r="J44" s="169" t="s">
        <v>37</v>
      </c>
      <c r="K44" s="254" t="s">
        <v>128</v>
      </c>
      <c r="L44" s="255" t="s">
        <v>128</v>
      </c>
      <c r="M44" s="255" t="s">
        <v>128</v>
      </c>
      <c r="N44" s="255" t="s">
        <v>128</v>
      </c>
      <c r="O44" s="255" t="s">
        <v>128</v>
      </c>
      <c r="P44" s="255" t="s">
        <v>128</v>
      </c>
      <c r="Q44" s="255" t="s">
        <v>128</v>
      </c>
      <c r="R44" s="255" t="s">
        <v>128</v>
      </c>
      <c r="S44" s="255" t="s">
        <v>128</v>
      </c>
      <c r="T44" s="255" t="s">
        <v>128</v>
      </c>
      <c r="U44" s="255" t="s">
        <v>128</v>
      </c>
      <c r="V44" s="255" t="s">
        <v>128</v>
      </c>
      <c r="W44" s="255" t="s">
        <v>128</v>
      </c>
      <c r="X44" s="255" t="s">
        <v>128</v>
      </c>
      <c r="Y44" s="255" t="s">
        <v>128</v>
      </c>
      <c r="Z44" s="255" t="s">
        <v>128</v>
      </c>
      <c r="AA44" s="255" t="s">
        <v>128</v>
      </c>
      <c r="AB44" s="255" t="s">
        <v>128</v>
      </c>
      <c r="AC44" s="255" t="s">
        <v>128</v>
      </c>
      <c r="AD44" s="255" t="s">
        <v>128</v>
      </c>
      <c r="AE44" s="255" t="s">
        <v>128</v>
      </c>
      <c r="AF44" s="6">
        <v>537</v>
      </c>
      <c r="AG44" s="6"/>
      <c r="AH44" s="35">
        <f t="shared" si="0"/>
        <v>339</v>
      </c>
      <c r="AI44" s="35">
        <v>879</v>
      </c>
      <c r="AJ44" s="35"/>
      <c r="AK44" s="35">
        <f t="shared" si="1"/>
        <v>342</v>
      </c>
      <c r="AL44" s="6">
        <v>994</v>
      </c>
      <c r="AM44" s="6"/>
      <c r="AN44" s="35">
        <f t="shared" si="2"/>
        <v>115</v>
      </c>
      <c r="AO44" s="6">
        <v>994</v>
      </c>
      <c r="AP44" s="6"/>
      <c r="AQ44" s="34">
        <f t="shared" si="3"/>
        <v>0</v>
      </c>
      <c r="AR44" s="35">
        <v>0</v>
      </c>
      <c r="AS44" s="35">
        <v>1167</v>
      </c>
      <c r="AT44" s="35">
        <f t="shared" si="4"/>
        <v>173</v>
      </c>
      <c r="AU44" s="6">
        <v>249</v>
      </c>
      <c r="AV44" s="6"/>
      <c r="AW44" s="35">
        <f t="shared" si="5"/>
        <v>249</v>
      </c>
      <c r="AX44" s="6"/>
      <c r="AY44" s="6"/>
      <c r="AZ44" s="35"/>
      <c r="BA44" s="35">
        <v>622</v>
      </c>
      <c r="BB44" s="35"/>
      <c r="BC44" s="35">
        <f t="shared" si="6"/>
        <v>373</v>
      </c>
      <c r="BD44" s="6">
        <v>987</v>
      </c>
      <c r="BE44" s="6"/>
      <c r="BF44" s="35">
        <f t="shared" si="7"/>
        <v>365</v>
      </c>
      <c r="BG44" s="6">
        <v>1351</v>
      </c>
      <c r="BH44" s="6"/>
      <c r="BI44" s="6">
        <f t="shared" si="8"/>
        <v>364</v>
      </c>
      <c r="BJ44" s="6">
        <v>323</v>
      </c>
      <c r="BK44" s="6">
        <v>1396</v>
      </c>
      <c r="BL44" s="6">
        <f t="shared" si="9"/>
        <v>368</v>
      </c>
      <c r="BM44" s="6">
        <v>693</v>
      </c>
      <c r="BN44" s="6"/>
      <c r="BO44" s="6">
        <f t="shared" si="10"/>
        <v>370</v>
      </c>
      <c r="BP44" s="6">
        <v>1041</v>
      </c>
      <c r="BQ44" s="6"/>
      <c r="BR44" s="35">
        <f t="shared" si="11"/>
        <v>348</v>
      </c>
      <c r="BS44" s="6"/>
      <c r="BT44" s="6"/>
      <c r="BU44" s="6"/>
      <c r="BV44" s="6">
        <v>1411</v>
      </c>
      <c r="BW44" s="6"/>
      <c r="BX44" s="35">
        <f t="shared" si="12"/>
        <v>370</v>
      </c>
      <c r="BY44" s="6">
        <v>214</v>
      </c>
      <c r="BZ44" s="6">
        <v>1560</v>
      </c>
      <c r="CA44" s="6">
        <f t="shared" si="13"/>
        <v>363</v>
      </c>
      <c r="CB44" s="6">
        <v>595</v>
      </c>
      <c r="CC44" s="6"/>
      <c r="CD44" s="6">
        <f t="shared" si="14"/>
        <v>381</v>
      </c>
      <c r="CE44" s="6">
        <v>980</v>
      </c>
      <c r="CF44" s="6"/>
      <c r="CG44" s="6">
        <f t="shared" si="15"/>
        <v>385</v>
      </c>
      <c r="CH44" s="6">
        <v>1363</v>
      </c>
      <c r="CI44" s="6"/>
      <c r="CJ44" s="6">
        <f t="shared" si="16"/>
        <v>383</v>
      </c>
      <c r="CK44" s="6">
        <v>166</v>
      </c>
      <c r="CL44" s="6">
        <v>1560</v>
      </c>
      <c r="CM44" s="6">
        <f t="shared" si="17"/>
        <v>363</v>
      </c>
      <c r="CN44" s="6"/>
      <c r="CO44" s="6"/>
      <c r="CP44" s="6"/>
      <c r="CQ44" s="6">
        <v>551</v>
      </c>
      <c r="CR44" s="6"/>
      <c r="CS44" s="6">
        <f t="shared" si="18"/>
        <v>385</v>
      </c>
      <c r="CT44" s="6">
        <v>928</v>
      </c>
      <c r="CU44" s="6"/>
      <c r="CV44" s="6">
        <f t="shared" si="19"/>
        <v>377</v>
      </c>
      <c r="CW44" s="6">
        <v>1310</v>
      </c>
      <c r="CX44" s="6"/>
      <c r="CY44" s="6">
        <f t="shared" si="20"/>
        <v>382</v>
      </c>
      <c r="CZ44" s="6">
        <v>134</v>
      </c>
      <c r="DA44" s="6">
        <v>1560</v>
      </c>
      <c r="DB44" s="6">
        <f t="shared" si="21"/>
        <v>384</v>
      </c>
      <c r="DC44" s="6">
        <v>515</v>
      </c>
      <c r="DD44" s="6"/>
      <c r="DE44" s="6">
        <f t="shared" si="22"/>
        <v>381</v>
      </c>
      <c r="DF44" s="6">
        <v>874</v>
      </c>
      <c r="DG44" s="6"/>
      <c r="DH44" s="6">
        <f t="shared" si="23"/>
        <v>359</v>
      </c>
      <c r="DI44" s="6"/>
      <c r="DJ44" s="6"/>
      <c r="DK44" s="6"/>
      <c r="DL44" s="6">
        <v>1261</v>
      </c>
      <c r="DM44" s="6"/>
      <c r="DN44" s="6">
        <f t="shared" si="24"/>
        <v>387</v>
      </c>
      <c r="DO44" s="6">
        <v>1609</v>
      </c>
      <c r="DP44" s="6"/>
      <c r="DQ44" s="6">
        <f t="shared" si="25"/>
        <v>348</v>
      </c>
    </row>
    <row r="45" spans="1:121">
      <c r="A45" s="6">
        <v>41</v>
      </c>
      <c r="B45" s="6">
        <v>69</v>
      </c>
      <c r="C45" s="6">
        <v>1560</v>
      </c>
      <c r="D45" s="6">
        <v>331</v>
      </c>
      <c r="E45" s="33" t="s">
        <v>128</v>
      </c>
      <c r="F45" s="33" t="s">
        <v>128</v>
      </c>
      <c r="G45" s="33" t="s">
        <v>128</v>
      </c>
      <c r="H45" s="33" t="s">
        <v>128</v>
      </c>
      <c r="I45" s="33" t="s">
        <v>128</v>
      </c>
      <c r="J45" s="33" t="s">
        <v>128</v>
      </c>
      <c r="K45" s="33" t="s">
        <v>128</v>
      </c>
      <c r="L45" s="33" t="s">
        <v>128</v>
      </c>
      <c r="M45" s="33" t="s">
        <v>128</v>
      </c>
      <c r="N45" s="33" t="s">
        <v>128</v>
      </c>
      <c r="O45" s="33" t="s">
        <v>128</v>
      </c>
      <c r="P45" s="33" t="s">
        <v>128</v>
      </c>
      <c r="Q45" s="33" t="s">
        <v>128</v>
      </c>
      <c r="R45" s="33" t="s">
        <v>128</v>
      </c>
      <c r="S45" s="148" t="s">
        <v>128</v>
      </c>
      <c r="T45" s="33" t="s">
        <v>128</v>
      </c>
      <c r="U45" s="33" t="s">
        <v>128</v>
      </c>
      <c r="V45" s="33" t="s">
        <v>128</v>
      </c>
      <c r="W45" s="33" t="s">
        <v>128</v>
      </c>
      <c r="X45" s="33" t="s">
        <v>128</v>
      </c>
      <c r="Y45" s="33" t="s">
        <v>128</v>
      </c>
      <c r="Z45" s="33" t="s">
        <v>128</v>
      </c>
      <c r="AA45" s="33" t="s">
        <v>128</v>
      </c>
      <c r="AB45" s="33" t="s">
        <v>128</v>
      </c>
      <c r="AC45" s="33" t="s">
        <v>128</v>
      </c>
      <c r="AD45" s="33" t="s">
        <v>128</v>
      </c>
      <c r="AE45" s="33" t="s">
        <v>128</v>
      </c>
      <c r="AF45" s="6">
        <v>448</v>
      </c>
      <c r="AG45" s="6"/>
      <c r="AH45" s="35">
        <f t="shared" si="0"/>
        <v>379</v>
      </c>
      <c r="AI45" s="35">
        <v>807</v>
      </c>
      <c r="AJ45" s="35"/>
      <c r="AK45" s="35">
        <f t="shared" si="1"/>
        <v>359</v>
      </c>
      <c r="AL45" s="6">
        <v>283</v>
      </c>
      <c r="AM45" s="6">
        <v>870</v>
      </c>
      <c r="AN45" s="35">
        <f t="shared" si="2"/>
        <v>346</v>
      </c>
      <c r="AO45" s="6">
        <v>646</v>
      </c>
      <c r="AP45" s="6"/>
      <c r="AQ45" s="34">
        <f t="shared" si="3"/>
        <v>363</v>
      </c>
      <c r="AR45" s="35">
        <v>1009</v>
      </c>
      <c r="AS45" s="35"/>
      <c r="AT45" s="35">
        <f t="shared" si="4"/>
        <v>363</v>
      </c>
      <c r="AU45" s="6">
        <v>1347</v>
      </c>
      <c r="AV45" s="6"/>
      <c r="AW45" s="35">
        <f t="shared" si="5"/>
        <v>338</v>
      </c>
      <c r="AX45" s="6"/>
      <c r="AY45" s="6"/>
      <c r="AZ45" s="35"/>
      <c r="BA45" s="35">
        <v>206</v>
      </c>
      <c r="BB45" s="35">
        <v>1508</v>
      </c>
      <c r="BC45" s="35">
        <f t="shared" si="6"/>
        <v>367</v>
      </c>
      <c r="BD45" s="6">
        <v>561</v>
      </c>
      <c r="BE45" s="6"/>
      <c r="BF45" s="35">
        <f t="shared" si="7"/>
        <v>355</v>
      </c>
      <c r="BG45" s="6">
        <v>915</v>
      </c>
      <c r="BH45" s="6"/>
      <c r="BI45" s="6">
        <f t="shared" si="8"/>
        <v>354</v>
      </c>
      <c r="BJ45" s="6">
        <v>304</v>
      </c>
      <c r="BK45" s="6">
        <v>955</v>
      </c>
      <c r="BL45" s="6">
        <f t="shared" si="9"/>
        <v>344</v>
      </c>
      <c r="BM45" s="6">
        <v>657</v>
      </c>
      <c r="BN45" s="6"/>
      <c r="BO45" s="6">
        <f t="shared" si="10"/>
        <v>353</v>
      </c>
      <c r="BP45" s="6">
        <v>989</v>
      </c>
      <c r="BQ45" s="6"/>
      <c r="BR45" s="35">
        <f t="shared" si="11"/>
        <v>332</v>
      </c>
      <c r="BS45" s="6"/>
      <c r="BT45" s="6"/>
      <c r="BU45" s="6"/>
      <c r="BV45" s="6">
        <v>1328</v>
      </c>
      <c r="BW45" s="6"/>
      <c r="BX45" s="35">
        <f t="shared" si="12"/>
        <v>339</v>
      </c>
      <c r="BY45" s="6">
        <v>257</v>
      </c>
      <c r="BZ45" s="6">
        <v>1399</v>
      </c>
      <c r="CA45" s="6">
        <f t="shared" si="13"/>
        <v>328</v>
      </c>
      <c r="CB45" s="6">
        <v>614</v>
      </c>
      <c r="CC45" s="6"/>
      <c r="CD45" s="6">
        <f t="shared" si="14"/>
        <v>357</v>
      </c>
      <c r="CE45" s="6">
        <v>990</v>
      </c>
      <c r="CF45" s="6"/>
      <c r="CG45" s="6">
        <f t="shared" si="15"/>
        <v>376</v>
      </c>
      <c r="CH45" s="6">
        <v>282</v>
      </c>
      <c r="CI45" s="6">
        <v>1030</v>
      </c>
      <c r="CJ45" s="6">
        <f t="shared" si="16"/>
        <v>322</v>
      </c>
      <c r="CK45" s="6">
        <v>653</v>
      </c>
      <c r="CL45" s="6"/>
      <c r="CM45" s="6">
        <f t="shared" si="17"/>
        <v>371</v>
      </c>
      <c r="CN45" s="6"/>
      <c r="CO45" s="6"/>
      <c r="CP45" s="6"/>
      <c r="CQ45" s="6">
        <v>1041</v>
      </c>
      <c r="CR45" s="6"/>
      <c r="CS45" s="6">
        <f t="shared" si="18"/>
        <v>388</v>
      </c>
      <c r="CT45" s="6">
        <v>1428</v>
      </c>
      <c r="CU45" s="6"/>
      <c r="CV45" s="6">
        <f t="shared" si="19"/>
        <v>387</v>
      </c>
      <c r="CW45" s="6">
        <v>254</v>
      </c>
      <c r="CX45" s="6">
        <v>1560</v>
      </c>
      <c r="CY45" s="6">
        <f t="shared" si="20"/>
        <v>386</v>
      </c>
      <c r="CZ45" s="6">
        <v>642</v>
      </c>
      <c r="DA45" s="6"/>
      <c r="DB45" s="6">
        <f t="shared" si="21"/>
        <v>388</v>
      </c>
      <c r="DC45" s="6">
        <v>1029</v>
      </c>
      <c r="DD45" s="6"/>
      <c r="DE45" s="6">
        <f t="shared" si="22"/>
        <v>387</v>
      </c>
      <c r="DF45" s="6">
        <v>1399</v>
      </c>
      <c r="DG45" s="6"/>
      <c r="DH45" s="6">
        <f t="shared" si="23"/>
        <v>370</v>
      </c>
      <c r="DI45" s="6"/>
      <c r="DJ45" s="6"/>
      <c r="DK45" s="6"/>
      <c r="DL45" s="6">
        <v>227</v>
      </c>
      <c r="DM45" s="6">
        <v>1560</v>
      </c>
      <c r="DN45" s="6">
        <f t="shared" si="24"/>
        <v>388</v>
      </c>
      <c r="DO45" s="6">
        <v>582</v>
      </c>
      <c r="DP45" s="6"/>
      <c r="DQ45" s="6">
        <f t="shared" si="25"/>
        <v>355</v>
      </c>
    </row>
    <row r="46" spans="1:121">
      <c r="A46" s="6">
        <v>42</v>
      </c>
      <c r="B46" s="6">
        <v>0</v>
      </c>
      <c r="C46" s="6">
        <v>728</v>
      </c>
      <c r="D46" s="6">
        <v>279</v>
      </c>
      <c r="E46" s="33" t="s">
        <v>37</v>
      </c>
      <c r="F46" s="148" t="s">
        <v>128</v>
      </c>
      <c r="G46" s="33" t="s">
        <v>128</v>
      </c>
      <c r="H46" s="33" t="s">
        <v>128</v>
      </c>
      <c r="I46" s="33" t="s">
        <v>128</v>
      </c>
      <c r="J46" s="33" t="s">
        <v>128</v>
      </c>
      <c r="K46" s="33" t="s">
        <v>128</v>
      </c>
      <c r="L46" s="33" t="s">
        <v>128</v>
      </c>
      <c r="M46" s="33" t="s">
        <v>128</v>
      </c>
      <c r="N46" s="33" t="s">
        <v>128</v>
      </c>
      <c r="O46" s="33" t="s">
        <v>128</v>
      </c>
      <c r="P46" s="33" t="s">
        <v>128</v>
      </c>
      <c r="Q46" s="33" t="s">
        <v>128</v>
      </c>
      <c r="R46" s="33" t="s">
        <v>128</v>
      </c>
      <c r="S46" s="33" t="s">
        <v>128</v>
      </c>
      <c r="T46" s="33" t="s">
        <v>128</v>
      </c>
      <c r="U46" s="33" t="s">
        <v>128</v>
      </c>
      <c r="V46" s="33" t="s">
        <v>128</v>
      </c>
      <c r="W46" s="33" t="s">
        <v>128</v>
      </c>
      <c r="X46" s="33" t="s">
        <v>128</v>
      </c>
      <c r="Y46" s="33" t="s">
        <v>128</v>
      </c>
      <c r="Z46" s="33" t="s">
        <v>128</v>
      </c>
      <c r="AA46" s="33" t="s">
        <v>128</v>
      </c>
      <c r="AB46" s="33" t="s">
        <v>128</v>
      </c>
      <c r="AC46" s="148" t="s">
        <v>128</v>
      </c>
      <c r="AD46" s="33" t="s">
        <v>128</v>
      </c>
      <c r="AE46" s="33" t="s">
        <v>128</v>
      </c>
      <c r="AF46" s="6">
        <v>331</v>
      </c>
      <c r="AG46" s="6"/>
      <c r="AH46" s="35">
        <f t="shared" si="0"/>
        <v>331</v>
      </c>
      <c r="AI46" s="35">
        <v>687</v>
      </c>
      <c r="AJ46" s="35"/>
      <c r="AK46" s="35">
        <f t="shared" si="1"/>
        <v>356</v>
      </c>
      <c r="AL46" s="6">
        <v>1048</v>
      </c>
      <c r="AM46" s="6"/>
      <c r="AN46" s="35">
        <f t="shared" si="2"/>
        <v>361</v>
      </c>
      <c r="AO46" s="6">
        <v>1407</v>
      </c>
      <c r="AP46" s="6"/>
      <c r="AQ46" s="34">
        <f t="shared" si="3"/>
        <v>359</v>
      </c>
      <c r="AR46" s="35">
        <v>205</v>
      </c>
      <c r="AS46" s="35">
        <v>1560</v>
      </c>
      <c r="AT46" s="35">
        <f t="shared" si="4"/>
        <v>358</v>
      </c>
      <c r="AU46" s="35">
        <v>541</v>
      </c>
      <c r="AV46" s="6"/>
      <c r="AW46" s="35">
        <f t="shared" si="5"/>
        <v>336</v>
      </c>
      <c r="AX46" s="6"/>
      <c r="AY46" s="6"/>
      <c r="AZ46" s="35"/>
      <c r="BA46" s="35">
        <v>907</v>
      </c>
      <c r="BB46" s="35"/>
      <c r="BC46" s="35">
        <f t="shared" si="6"/>
        <v>366</v>
      </c>
      <c r="BD46" s="6">
        <v>1262</v>
      </c>
      <c r="BE46" s="6"/>
      <c r="BF46" s="35">
        <f t="shared" si="7"/>
        <v>355</v>
      </c>
      <c r="BG46" s="6">
        <v>57</v>
      </c>
      <c r="BH46" s="6">
        <v>1560</v>
      </c>
      <c r="BI46" s="6">
        <f t="shared" si="8"/>
        <v>355</v>
      </c>
      <c r="BJ46" s="6">
        <v>417</v>
      </c>
      <c r="BK46" s="6"/>
      <c r="BL46" s="6">
        <f t="shared" si="9"/>
        <v>360</v>
      </c>
      <c r="BM46" s="6">
        <v>777</v>
      </c>
      <c r="BN46" s="6"/>
      <c r="BO46" s="6">
        <f t="shared" si="10"/>
        <v>360</v>
      </c>
      <c r="BP46" s="6">
        <v>1114</v>
      </c>
      <c r="BQ46" s="6"/>
      <c r="BR46" s="35">
        <f t="shared" si="11"/>
        <v>337</v>
      </c>
      <c r="BS46" s="6"/>
      <c r="BT46" s="6"/>
      <c r="BU46" s="6"/>
      <c r="BV46" s="6">
        <v>1480</v>
      </c>
      <c r="BW46" s="6"/>
      <c r="BX46" s="35">
        <f t="shared" si="12"/>
        <v>366</v>
      </c>
      <c r="BY46" s="6">
        <v>277</v>
      </c>
      <c r="BZ46" s="6">
        <v>1560</v>
      </c>
      <c r="CA46" s="6">
        <f t="shared" si="13"/>
        <v>357</v>
      </c>
      <c r="CB46" s="6">
        <v>635</v>
      </c>
      <c r="CC46" s="6"/>
      <c r="CD46" s="6">
        <f t="shared" si="14"/>
        <v>358</v>
      </c>
      <c r="CE46" s="6">
        <v>1013</v>
      </c>
      <c r="CF46" s="6"/>
      <c r="CG46" s="6">
        <f t="shared" si="15"/>
        <v>378</v>
      </c>
      <c r="CH46" s="6">
        <v>1399</v>
      </c>
      <c r="CI46" s="6"/>
      <c r="CJ46" s="6">
        <f t="shared" si="16"/>
        <v>386</v>
      </c>
      <c r="CK46" s="6">
        <v>208</v>
      </c>
      <c r="CL46" s="6">
        <v>1560</v>
      </c>
      <c r="CM46" s="6">
        <f t="shared" si="17"/>
        <v>369</v>
      </c>
      <c r="CN46" s="6"/>
      <c r="CO46" s="6"/>
      <c r="CP46" s="6"/>
      <c r="CQ46" s="6">
        <v>598</v>
      </c>
      <c r="CR46" s="6"/>
      <c r="CS46" s="6">
        <f t="shared" si="18"/>
        <v>390</v>
      </c>
      <c r="CT46" s="6">
        <v>982</v>
      </c>
      <c r="CU46" s="6"/>
      <c r="CV46" s="6">
        <f t="shared" si="19"/>
        <v>384</v>
      </c>
      <c r="CW46" s="6">
        <v>1361</v>
      </c>
      <c r="CX46" s="6"/>
      <c r="CY46" s="6">
        <f t="shared" si="20"/>
        <v>379</v>
      </c>
      <c r="CZ46" s="6">
        <v>1490</v>
      </c>
      <c r="DA46" s="6"/>
      <c r="DB46" s="6">
        <f t="shared" si="21"/>
        <v>129</v>
      </c>
      <c r="DC46" s="6">
        <v>0</v>
      </c>
      <c r="DD46" s="6">
        <v>1661</v>
      </c>
      <c r="DE46" s="6">
        <f t="shared" si="22"/>
        <v>171</v>
      </c>
      <c r="DF46" s="6">
        <v>323</v>
      </c>
      <c r="DG46" s="6"/>
      <c r="DH46" s="6">
        <f t="shared" si="23"/>
        <v>323</v>
      </c>
      <c r="DI46" s="6"/>
      <c r="DJ46" s="6"/>
      <c r="DK46" s="6"/>
      <c r="DL46" s="6">
        <v>701</v>
      </c>
      <c r="DM46" s="6"/>
      <c r="DN46" s="6">
        <f t="shared" si="24"/>
        <v>378</v>
      </c>
      <c r="DO46" s="6">
        <v>1038</v>
      </c>
      <c r="DP46" s="6"/>
      <c r="DQ46" s="6">
        <f t="shared" si="25"/>
        <v>337</v>
      </c>
    </row>
    <row r="47" spans="1:121">
      <c r="A47" s="6">
        <v>43</v>
      </c>
      <c r="B47" s="6">
        <v>727</v>
      </c>
      <c r="C47" s="6"/>
      <c r="D47" s="6">
        <v>339</v>
      </c>
      <c r="E47" s="33" t="s">
        <v>128</v>
      </c>
      <c r="F47" s="33" t="s">
        <v>128</v>
      </c>
      <c r="G47" s="33" t="s">
        <v>128</v>
      </c>
      <c r="H47" s="33" t="s">
        <v>128</v>
      </c>
      <c r="I47" s="33" t="s">
        <v>128</v>
      </c>
      <c r="J47" s="33" t="s">
        <v>128</v>
      </c>
      <c r="K47" s="33" t="s">
        <v>128</v>
      </c>
      <c r="L47" s="33" t="s">
        <v>128</v>
      </c>
      <c r="M47" s="33" t="s">
        <v>128</v>
      </c>
      <c r="N47" s="33" t="s">
        <v>128</v>
      </c>
      <c r="O47" s="33" t="s">
        <v>128</v>
      </c>
      <c r="P47" s="33" t="s">
        <v>128</v>
      </c>
      <c r="Q47" s="33" t="s">
        <v>128</v>
      </c>
      <c r="R47" s="33" t="s">
        <v>128</v>
      </c>
      <c r="S47" s="33" t="s">
        <v>128</v>
      </c>
      <c r="T47" s="33" t="s">
        <v>128</v>
      </c>
      <c r="U47" s="148" t="s">
        <v>37</v>
      </c>
      <c r="V47" s="33" t="s">
        <v>37</v>
      </c>
      <c r="W47" s="33" t="s">
        <v>37</v>
      </c>
      <c r="X47" s="33" t="s">
        <v>37</v>
      </c>
      <c r="Y47" s="33" t="s">
        <v>37</v>
      </c>
      <c r="Z47" s="33" t="s">
        <v>37</v>
      </c>
      <c r="AA47" s="33" t="s">
        <v>37</v>
      </c>
      <c r="AB47" s="33" t="s">
        <v>37</v>
      </c>
      <c r="AC47" s="33" t="s">
        <v>37</v>
      </c>
      <c r="AD47" s="33" t="s">
        <v>37</v>
      </c>
      <c r="AE47" s="33" t="s">
        <v>37</v>
      </c>
      <c r="AF47" s="6">
        <v>1117</v>
      </c>
      <c r="AG47" s="6"/>
      <c r="AH47" s="35">
        <f t="shared" si="0"/>
        <v>390</v>
      </c>
      <c r="AI47" s="35">
        <v>142</v>
      </c>
      <c r="AJ47" s="35">
        <v>1342</v>
      </c>
      <c r="AK47" s="35">
        <f t="shared" si="1"/>
        <v>367</v>
      </c>
      <c r="AL47" s="6">
        <v>508</v>
      </c>
      <c r="AM47" s="6"/>
      <c r="AN47" s="35">
        <f t="shared" si="2"/>
        <v>366</v>
      </c>
      <c r="AO47" s="6">
        <v>877</v>
      </c>
      <c r="AP47" s="6"/>
      <c r="AQ47" s="34">
        <f t="shared" si="3"/>
        <v>369</v>
      </c>
      <c r="AR47" s="35">
        <v>1247</v>
      </c>
      <c r="AS47" s="35"/>
      <c r="AT47" s="35">
        <f t="shared" si="4"/>
        <v>370</v>
      </c>
      <c r="AU47" s="6">
        <v>30</v>
      </c>
      <c r="AV47" s="6">
        <v>1564</v>
      </c>
      <c r="AW47" s="35">
        <f t="shared" si="5"/>
        <v>347</v>
      </c>
      <c r="AX47" s="6"/>
      <c r="AY47" s="6"/>
      <c r="AZ47" s="35"/>
      <c r="BA47" s="35">
        <v>403</v>
      </c>
      <c r="BB47" s="35"/>
      <c r="BC47" s="35">
        <f t="shared" si="6"/>
        <v>373</v>
      </c>
      <c r="BD47" s="6">
        <v>768</v>
      </c>
      <c r="BE47" s="6"/>
      <c r="BF47" s="35">
        <f t="shared" si="7"/>
        <v>365</v>
      </c>
      <c r="BG47" s="6">
        <v>1135</v>
      </c>
      <c r="BH47" s="6"/>
      <c r="BI47" s="6">
        <f t="shared" si="8"/>
        <v>367</v>
      </c>
      <c r="BJ47" s="6">
        <v>1506</v>
      </c>
      <c r="BK47" s="6"/>
      <c r="BL47" s="6">
        <f t="shared" si="9"/>
        <v>371</v>
      </c>
      <c r="BM47" s="6">
        <v>307</v>
      </c>
      <c r="BN47" s="6">
        <v>1560</v>
      </c>
      <c r="BO47" s="6">
        <f t="shared" si="10"/>
        <v>361</v>
      </c>
      <c r="BP47" s="6">
        <v>642</v>
      </c>
      <c r="BQ47" s="6"/>
      <c r="BR47" s="35">
        <f t="shared" si="11"/>
        <v>335</v>
      </c>
      <c r="BS47" s="6"/>
      <c r="BT47" s="6"/>
      <c r="BU47" s="6"/>
      <c r="BV47" s="6">
        <v>1013</v>
      </c>
      <c r="BW47" s="6"/>
      <c r="BX47" s="35">
        <f t="shared" si="12"/>
        <v>371</v>
      </c>
      <c r="BY47" s="6">
        <v>108</v>
      </c>
      <c r="BZ47" s="6">
        <v>1266</v>
      </c>
      <c r="CA47" s="6">
        <f t="shared" si="13"/>
        <v>361</v>
      </c>
      <c r="CB47" s="6">
        <v>0</v>
      </c>
      <c r="CC47" s="6">
        <v>297</v>
      </c>
      <c r="CD47" s="6">
        <f t="shared" si="14"/>
        <v>189</v>
      </c>
      <c r="CE47" s="6">
        <v>330</v>
      </c>
      <c r="CF47" s="6"/>
      <c r="CG47" s="6">
        <f t="shared" si="15"/>
        <v>330</v>
      </c>
      <c r="CH47" s="6">
        <v>705</v>
      </c>
      <c r="CI47" s="6"/>
      <c r="CJ47" s="6">
        <f t="shared" si="16"/>
        <v>375</v>
      </c>
      <c r="CK47" s="6">
        <v>1077</v>
      </c>
      <c r="CL47" s="6"/>
      <c r="CM47" s="6">
        <f t="shared" si="17"/>
        <v>372</v>
      </c>
      <c r="CN47" s="6"/>
      <c r="CO47" s="6"/>
      <c r="CP47" s="6"/>
      <c r="CQ47" s="6">
        <v>1463</v>
      </c>
      <c r="CR47" s="6"/>
      <c r="CS47" s="6">
        <f t="shared" si="18"/>
        <v>386</v>
      </c>
      <c r="CT47" s="6">
        <v>283</v>
      </c>
      <c r="CU47" s="6">
        <v>1560</v>
      </c>
      <c r="CV47" s="6">
        <f t="shared" si="19"/>
        <v>380</v>
      </c>
      <c r="CW47" s="6">
        <v>663</v>
      </c>
      <c r="CX47" s="6"/>
      <c r="CY47" s="6">
        <f t="shared" si="20"/>
        <v>380</v>
      </c>
      <c r="CZ47" s="6">
        <v>1049</v>
      </c>
      <c r="DA47" s="6"/>
      <c r="DB47" s="6">
        <f t="shared" si="21"/>
        <v>386</v>
      </c>
      <c r="DC47" s="6">
        <v>1437</v>
      </c>
      <c r="DD47" s="6"/>
      <c r="DE47" s="6">
        <f t="shared" si="22"/>
        <v>388</v>
      </c>
      <c r="DF47" s="6">
        <v>238</v>
      </c>
      <c r="DG47" s="6">
        <v>1560</v>
      </c>
      <c r="DH47" s="6">
        <f t="shared" si="23"/>
        <v>361</v>
      </c>
      <c r="DI47" s="6"/>
      <c r="DJ47" s="6"/>
      <c r="DK47" s="6"/>
      <c r="DL47" s="6">
        <v>623</v>
      </c>
      <c r="DM47" s="6"/>
      <c r="DN47" s="6">
        <f t="shared" si="24"/>
        <v>385</v>
      </c>
      <c r="DO47" s="6">
        <v>977</v>
      </c>
      <c r="DP47" s="6"/>
      <c r="DQ47" s="6">
        <f t="shared" si="25"/>
        <v>354</v>
      </c>
    </row>
    <row r="48" spans="1:121">
      <c r="A48" s="6">
        <v>44</v>
      </c>
      <c r="B48" s="6">
        <v>804</v>
      </c>
      <c r="C48" s="6"/>
      <c r="D48" s="6">
        <v>353</v>
      </c>
      <c r="E48" s="33" t="s">
        <v>128</v>
      </c>
      <c r="F48" s="33" t="s">
        <v>128</v>
      </c>
      <c r="G48" s="33" t="s">
        <v>128</v>
      </c>
      <c r="H48" s="33" t="s">
        <v>128</v>
      </c>
      <c r="I48" s="33" t="s">
        <v>128</v>
      </c>
      <c r="J48" s="33" t="s">
        <v>128</v>
      </c>
      <c r="K48" s="33" t="s">
        <v>128</v>
      </c>
      <c r="L48" s="33" t="s">
        <v>128</v>
      </c>
      <c r="M48" s="33" t="s">
        <v>128</v>
      </c>
      <c r="N48" s="33" t="s">
        <v>128</v>
      </c>
      <c r="O48" s="33" t="s">
        <v>128</v>
      </c>
      <c r="P48" s="33" t="s">
        <v>128</v>
      </c>
      <c r="Q48" s="33" t="s">
        <v>128</v>
      </c>
      <c r="R48" s="33" t="s">
        <v>128</v>
      </c>
      <c r="S48" s="33" t="s">
        <v>128</v>
      </c>
      <c r="T48" s="148" t="s">
        <v>128</v>
      </c>
      <c r="U48" s="33" t="s">
        <v>128</v>
      </c>
      <c r="V48" s="33" t="s">
        <v>128</v>
      </c>
      <c r="W48" s="33" t="s">
        <v>128</v>
      </c>
      <c r="X48" s="33" t="s">
        <v>128</v>
      </c>
      <c r="Y48" s="33" t="s">
        <v>128</v>
      </c>
      <c r="Z48" s="33" t="s">
        <v>128</v>
      </c>
      <c r="AA48" s="33" t="s">
        <v>128</v>
      </c>
      <c r="AB48" s="33" t="s">
        <v>128</v>
      </c>
      <c r="AC48" s="33" t="s">
        <v>128</v>
      </c>
      <c r="AD48" s="33" t="s">
        <v>128</v>
      </c>
      <c r="AE48" s="33" t="s">
        <v>128</v>
      </c>
      <c r="AF48" s="6">
        <v>1208</v>
      </c>
      <c r="AG48" s="6"/>
      <c r="AH48" s="35">
        <f t="shared" si="0"/>
        <v>404</v>
      </c>
      <c r="AI48" s="35">
        <v>32</v>
      </c>
      <c r="AJ48" s="35">
        <v>1555</v>
      </c>
      <c r="AK48" s="35">
        <f t="shared" si="1"/>
        <v>379</v>
      </c>
      <c r="AL48" s="6">
        <v>412</v>
      </c>
      <c r="AM48" s="6"/>
      <c r="AN48" s="35">
        <f t="shared" si="2"/>
        <v>380</v>
      </c>
      <c r="AO48" s="6">
        <v>797</v>
      </c>
      <c r="AP48" s="6"/>
      <c r="AQ48" s="34">
        <f t="shared" si="3"/>
        <v>385</v>
      </c>
      <c r="AR48" s="35">
        <v>1182</v>
      </c>
      <c r="AS48" s="35"/>
      <c r="AT48" s="35">
        <f t="shared" si="4"/>
        <v>385</v>
      </c>
      <c r="AU48" s="6">
        <v>1542</v>
      </c>
      <c r="AV48" s="6"/>
      <c r="AW48" s="35">
        <f t="shared" si="5"/>
        <v>360</v>
      </c>
      <c r="AX48" s="6"/>
      <c r="AY48" s="6"/>
      <c r="AZ48" s="35"/>
      <c r="BA48" s="35">
        <v>370</v>
      </c>
      <c r="BB48" s="35">
        <v>1560</v>
      </c>
      <c r="BC48" s="35">
        <f t="shared" si="6"/>
        <v>388</v>
      </c>
      <c r="BD48" s="6">
        <v>749</v>
      </c>
      <c r="BE48" s="6"/>
      <c r="BF48" s="35">
        <f t="shared" si="7"/>
        <v>379</v>
      </c>
      <c r="BG48" s="6">
        <v>1128</v>
      </c>
      <c r="BH48" s="6"/>
      <c r="BI48" s="6">
        <f t="shared" si="8"/>
        <v>379</v>
      </c>
      <c r="BJ48" s="6">
        <v>1497</v>
      </c>
      <c r="BK48" s="6"/>
      <c r="BL48" s="6">
        <f t="shared" si="9"/>
        <v>369</v>
      </c>
      <c r="BM48" s="6">
        <v>320</v>
      </c>
      <c r="BN48" s="6">
        <v>1560</v>
      </c>
      <c r="BO48" s="6">
        <f t="shared" si="10"/>
        <v>383</v>
      </c>
      <c r="BP48" s="6">
        <v>683</v>
      </c>
      <c r="BQ48" s="6"/>
      <c r="BR48" s="35">
        <f t="shared" si="11"/>
        <v>363</v>
      </c>
      <c r="BS48" s="6"/>
      <c r="BT48" s="6"/>
      <c r="BU48" s="6"/>
      <c r="BV48" s="6">
        <v>1066</v>
      </c>
      <c r="BW48" s="6"/>
      <c r="BX48" s="35">
        <f t="shared" si="12"/>
        <v>383</v>
      </c>
      <c r="BY48" s="6">
        <v>0</v>
      </c>
      <c r="BZ48" s="6">
        <v>1356</v>
      </c>
      <c r="CA48" s="6">
        <f t="shared" si="13"/>
        <v>290</v>
      </c>
      <c r="CB48" s="6">
        <v>373</v>
      </c>
      <c r="CC48" s="6"/>
      <c r="CD48" s="6">
        <f t="shared" si="14"/>
        <v>373</v>
      </c>
      <c r="CE48" s="6">
        <v>759</v>
      </c>
      <c r="CF48" s="6"/>
      <c r="CG48" s="6">
        <f t="shared" si="15"/>
        <v>386</v>
      </c>
      <c r="CH48" s="6">
        <v>1147</v>
      </c>
      <c r="CI48" s="6"/>
      <c r="CJ48" s="6">
        <f t="shared" si="16"/>
        <v>388</v>
      </c>
      <c r="CK48" s="6">
        <v>1513</v>
      </c>
      <c r="CL48" s="6"/>
      <c r="CM48" s="6">
        <f t="shared" si="17"/>
        <v>366</v>
      </c>
      <c r="CN48" s="6"/>
      <c r="CO48" s="6"/>
      <c r="CP48" s="6"/>
      <c r="CQ48" s="6">
        <v>342</v>
      </c>
      <c r="CR48" s="6">
        <v>1560</v>
      </c>
      <c r="CS48" s="6">
        <f t="shared" si="18"/>
        <v>389</v>
      </c>
      <c r="CT48" s="6">
        <v>724</v>
      </c>
      <c r="CU48" s="6"/>
      <c r="CV48" s="6">
        <f t="shared" si="19"/>
        <v>382</v>
      </c>
      <c r="CW48" s="6">
        <v>1107</v>
      </c>
      <c r="CX48" s="6"/>
      <c r="CY48" s="6">
        <f t="shared" si="20"/>
        <v>383</v>
      </c>
      <c r="CZ48" s="6">
        <v>1492</v>
      </c>
      <c r="DA48" s="6"/>
      <c r="DB48" s="6">
        <f t="shared" si="21"/>
        <v>385</v>
      </c>
      <c r="DC48" s="6">
        <v>313</v>
      </c>
      <c r="DD48" s="6">
        <v>1560</v>
      </c>
      <c r="DE48" s="6">
        <f t="shared" si="22"/>
        <v>381</v>
      </c>
      <c r="DF48" s="6">
        <v>674</v>
      </c>
      <c r="DG48" s="6"/>
      <c r="DH48" s="6">
        <f t="shared" si="23"/>
        <v>361</v>
      </c>
      <c r="DI48" s="6"/>
      <c r="DJ48" s="6"/>
      <c r="DK48" s="6"/>
      <c r="DL48" s="6">
        <v>241</v>
      </c>
      <c r="DM48" s="6">
        <v>749</v>
      </c>
      <c r="DN48" s="6">
        <f t="shared" si="24"/>
        <v>316</v>
      </c>
      <c r="DO48" s="6">
        <v>597</v>
      </c>
      <c r="DP48" s="6"/>
      <c r="DQ48" s="6">
        <f t="shared" si="25"/>
        <v>356</v>
      </c>
    </row>
    <row r="49" spans="1:121">
      <c r="A49" s="6">
        <v>45</v>
      </c>
      <c r="B49" s="6">
        <v>799</v>
      </c>
      <c r="C49" s="6"/>
      <c r="D49" s="6">
        <v>355</v>
      </c>
      <c r="E49" s="33" t="s">
        <v>128</v>
      </c>
      <c r="F49" s="33" t="s">
        <v>128</v>
      </c>
      <c r="G49" s="33" t="s">
        <v>128</v>
      </c>
      <c r="H49" s="33" t="s">
        <v>128</v>
      </c>
      <c r="I49" s="33" t="s">
        <v>128</v>
      </c>
      <c r="J49" s="33" t="s">
        <v>128</v>
      </c>
      <c r="K49" s="33" t="s">
        <v>128</v>
      </c>
      <c r="L49" s="33" t="s">
        <v>128</v>
      </c>
      <c r="M49" s="33" t="s">
        <v>128</v>
      </c>
      <c r="N49" s="33" t="s">
        <v>128</v>
      </c>
      <c r="O49" s="33" t="s">
        <v>128</v>
      </c>
      <c r="P49" s="33" t="s">
        <v>128</v>
      </c>
      <c r="Q49" s="33" t="s">
        <v>128</v>
      </c>
      <c r="R49" s="33" t="s">
        <v>128</v>
      </c>
      <c r="S49" s="33" t="s">
        <v>128</v>
      </c>
      <c r="T49" s="33" t="s">
        <v>128</v>
      </c>
      <c r="U49" s="148" t="s">
        <v>128</v>
      </c>
      <c r="V49" s="33" t="s">
        <v>128</v>
      </c>
      <c r="W49" s="33" t="s">
        <v>128</v>
      </c>
      <c r="X49" s="33" t="s">
        <v>128</v>
      </c>
      <c r="Y49" s="33" t="s">
        <v>128</v>
      </c>
      <c r="Z49" s="33" t="s">
        <v>128</v>
      </c>
      <c r="AA49" s="33" t="s">
        <v>128</v>
      </c>
      <c r="AB49" s="33" t="s">
        <v>128</v>
      </c>
      <c r="AC49" s="33" t="s">
        <v>128</v>
      </c>
      <c r="AD49" s="33" t="s">
        <v>128</v>
      </c>
      <c r="AE49" s="33" t="s">
        <v>128</v>
      </c>
      <c r="AF49" s="6">
        <v>1206</v>
      </c>
      <c r="AG49" s="6"/>
      <c r="AH49" s="35">
        <f t="shared" si="0"/>
        <v>407</v>
      </c>
      <c r="AI49" s="35">
        <v>46</v>
      </c>
      <c r="AJ49" s="35">
        <v>1544</v>
      </c>
      <c r="AK49" s="35">
        <f t="shared" si="1"/>
        <v>384</v>
      </c>
      <c r="AL49" s="6">
        <v>433</v>
      </c>
      <c r="AM49" s="6"/>
      <c r="AN49" s="35">
        <f t="shared" si="2"/>
        <v>387</v>
      </c>
      <c r="AO49" s="6">
        <v>812</v>
      </c>
      <c r="AP49" s="6"/>
      <c r="AQ49" s="34">
        <f t="shared" si="3"/>
        <v>379</v>
      </c>
      <c r="AR49" s="35">
        <v>1193</v>
      </c>
      <c r="AS49" s="35"/>
      <c r="AT49" s="35">
        <f t="shared" si="4"/>
        <v>381</v>
      </c>
      <c r="AU49" s="6">
        <v>1553</v>
      </c>
      <c r="AV49" s="6"/>
      <c r="AW49" s="35">
        <f t="shared" si="5"/>
        <v>360</v>
      </c>
      <c r="AX49" s="6"/>
      <c r="AY49" s="6"/>
      <c r="AZ49" s="35"/>
      <c r="BA49" s="35">
        <v>357</v>
      </c>
      <c r="BB49" s="35">
        <v>1560</v>
      </c>
      <c r="BC49" s="35">
        <f t="shared" si="6"/>
        <v>364</v>
      </c>
      <c r="BD49" s="6">
        <v>706</v>
      </c>
      <c r="BE49" s="6"/>
      <c r="BF49" s="35">
        <f t="shared" si="7"/>
        <v>349</v>
      </c>
      <c r="BG49" s="6">
        <v>1062</v>
      </c>
      <c r="BH49" s="6"/>
      <c r="BI49" s="6">
        <f t="shared" si="8"/>
        <v>356</v>
      </c>
      <c r="BJ49" s="6">
        <v>1422</v>
      </c>
      <c r="BK49" s="6"/>
      <c r="BL49" s="6">
        <f t="shared" si="9"/>
        <v>360</v>
      </c>
      <c r="BM49" s="6">
        <v>224</v>
      </c>
      <c r="BN49" s="6">
        <v>1553</v>
      </c>
      <c r="BO49" s="6">
        <f t="shared" si="10"/>
        <v>355</v>
      </c>
      <c r="BP49" s="6">
        <v>540</v>
      </c>
      <c r="BQ49" s="6"/>
      <c r="BR49" s="35">
        <f t="shared" si="11"/>
        <v>316</v>
      </c>
      <c r="BS49" s="6"/>
      <c r="BT49" s="6"/>
      <c r="BU49" s="6"/>
      <c r="BV49" s="6">
        <v>907</v>
      </c>
      <c r="BW49" s="6"/>
      <c r="BX49" s="35">
        <f t="shared" si="12"/>
        <v>367</v>
      </c>
      <c r="BY49" s="6">
        <v>1260</v>
      </c>
      <c r="BZ49" s="6"/>
      <c r="CA49" s="6">
        <f t="shared" si="13"/>
        <v>353</v>
      </c>
      <c r="CB49" s="6">
        <v>1620</v>
      </c>
      <c r="CC49" s="6"/>
      <c r="CD49" s="6">
        <f t="shared" si="14"/>
        <v>360</v>
      </c>
      <c r="CE49" s="6">
        <v>263</v>
      </c>
      <c r="CF49" s="6">
        <v>1657</v>
      </c>
      <c r="CG49" s="6">
        <f t="shared" si="15"/>
        <v>300</v>
      </c>
      <c r="CH49" s="6">
        <v>638</v>
      </c>
      <c r="CI49" s="6"/>
      <c r="CJ49" s="6">
        <f t="shared" si="16"/>
        <v>375</v>
      </c>
      <c r="CK49" s="6">
        <v>1006</v>
      </c>
      <c r="CL49" s="6"/>
      <c r="CM49" s="6">
        <f t="shared" si="17"/>
        <v>368</v>
      </c>
      <c r="CN49" s="6"/>
      <c r="CO49" s="6"/>
      <c r="CP49" s="6"/>
      <c r="CQ49" s="6">
        <v>1393</v>
      </c>
      <c r="CR49" s="6"/>
      <c r="CS49" s="6">
        <f t="shared" si="18"/>
        <v>387</v>
      </c>
      <c r="CT49" s="6">
        <v>204</v>
      </c>
      <c r="CU49" s="6">
        <v>1560</v>
      </c>
      <c r="CV49" s="6">
        <f t="shared" si="19"/>
        <v>371</v>
      </c>
      <c r="CW49" s="6">
        <v>579</v>
      </c>
      <c r="CX49" s="6"/>
      <c r="CY49" s="6">
        <f t="shared" si="20"/>
        <v>375</v>
      </c>
      <c r="CZ49" s="6">
        <v>960</v>
      </c>
      <c r="DA49" s="6"/>
      <c r="DB49" s="6">
        <f t="shared" si="21"/>
        <v>381</v>
      </c>
      <c r="DC49" s="6">
        <v>1344</v>
      </c>
      <c r="DD49" s="6"/>
      <c r="DE49" s="6">
        <f t="shared" si="22"/>
        <v>384</v>
      </c>
      <c r="DF49" s="6">
        <v>149</v>
      </c>
      <c r="DG49" s="6">
        <v>1560</v>
      </c>
      <c r="DH49" s="6">
        <f t="shared" si="23"/>
        <v>365</v>
      </c>
      <c r="DI49" s="6"/>
      <c r="DJ49" s="6"/>
      <c r="DK49" s="6"/>
      <c r="DL49" s="6">
        <v>532</v>
      </c>
      <c r="DM49" s="6"/>
      <c r="DN49" s="6">
        <f t="shared" si="24"/>
        <v>383</v>
      </c>
      <c r="DO49" s="6">
        <v>888</v>
      </c>
      <c r="DP49" s="6"/>
      <c r="DQ49" s="6">
        <f t="shared" si="25"/>
        <v>356</v>
      </c>
    </row>
    <row r="50" spans="1:121">
      <c r="A50" s="6">
        <v>46</v>
      </c>
      <c r="B50" s="6">
        <v>974</v>
      </c>
      <c r="C50" s="6"/>
      <c r="D50" s="6">
        <v>314</v>
      </c>
      <c r="E50" s="33" t="s">
        <v>130</v>
      </c>
      <c r="F50" s="33" t="s">
        <v>130</v>
      </c>
      <c r="G50" s="33" t="s">
        <v>130</v>
      </c>
      <c r="H50" s="33" t="s">
        <v>130</v>
      </c>
      <c r="I50" s="33" t="s">
        <v>130</v>
      </c>
      <c r="J50" s="33" t="s">
        <v>130</v>
      </c>
      <c r="K50" s="33" t="s">
        <v>130</v>
      </c>
      <c r="L50" s="148" t="s">
        <v>128</v>
      </c>
      <c r="M50" s="33" t="s">
        <v>128</v>
      </c>
      <c r="N50" s="33" t="s">
        <v>128</v>
      </c>
      <c r="O50" s="33" t="s">
        <v>128</v>
      </c>
      <c r="P50" s="33" t="s">
        <v>128</v>
      </c>
      <c r="Q50" s="33" t="s">
        <v>128</v>
      </c>
      <c r="R50" s="33" t="s">
        <v>128</v>
      </c>
      <c r="S50" s="33" t="s">
        <v>128</v>
      </c>
      <c r="T50" s="33" t="s">
        <v>128</v>
      </c>
      <c r="U50" s="33" t="s">
        <v>128</v>
      </c>
      <c r="V50" s="33" t="s">
        <v>128</v>
      </c>
      <c r="W50" s="33" t="s">
        <v>128</v>
      </c>
      <c r="X50" s="33" t="s">
        <v>128</v>
      </c>
      <c r="Y50" s="33" t="s">
        <v>128</v>
      </c>
      <c r="Z50" s="33" t="s">
        <v>128</v>
      </c>
      <c r="AA50" s="33" t="s">
        <v>128</v>
      </c>
      <c r="AB50" s="33" t="s">
        <v>128</v>
      </c>
      <c r="AC50" s="33" t="s">
        <v>128</v>
      </c>
      <c r="AD50" s="33" t="s">
        <v>128</v>
      </c>
      <c r="AE50" s="33" t="s">
        <v>128</v>
      </c>
      <c r="AF50" s="6">
        <v>137</v>
      </c>
      <c r="AG50" s="6">
        <v>1200</v>
      </c>
      <c r="AH50" s="35">
        <f t="shared" si="0"/>
        <v>363</v>
      </c>
      <c r="AI50" s="35">
        <v>481</v>
      </c>
      <c r="AJ50" s="35"/>
      <c r="AK50" s="35">
        <f t="shared" si="1"/>
        <v>344</v>
      </c>
      <c r="AL50" s="6">
        <v>825</v>
      </c>
      <c r="AM50" s="6"/>
      <c r="AN50" s="35">
        <f t="shared" si="2"/>
        <v>344</v>
      </c>
      <c r="AO50" s="6">
        <v>1163</v>
      </c>
      <c r="AP50" s="6"/>
      <c r="AQ50" s="34">
        <f t="shared" si="3"/>
        <v>338</v>
      </c>
      <c r="AR50" s="35">
        <v>306</v>
      </c>
      <c r="AS50" s="35">
        <v>1200</v>
      </c>
      <c r="AT50" s="35">
        <f t="shared" si="4"/>
        <v>343</v>
      </c>
      <c r="AU50" s="6">
        <v>631</v>
      </c>
      <c r="AV50" s="6"/>
      <c r="AW50" s="35">
        <f t="shared" si="5"/>
        <v>325</v>
      </c>
      <c r="AX50" s="6"/>
      <c r="AY50" s="6"/>
      <c r="AZ50" s="35"/>
      <c r="BA50" s="35">
        <v>269</v>
      </c>
      <c r="BB50" s="35">
        <v>702</v>
      </c>
      <c r="BC50" s="35">
        <f t="shared" si="6"/>
        <v>340</v>
      </c>
      <c r="BD50" s="35">
        <v>630</v>
      </c>
      <c r="BE50" s="6"/>
      <c r="BF50" s="35">
        <f t="shared" si="7"/>
        <v>361</v>
      </c>
      <c r="BG50" s="6">
        <v>983</v>
      </c>
      <c r="BH50" s="6"/>
      <c r="BI50" s="6">
        <f t="shared" si="8"/>
        <v>353</v>
      </c>
      <c r="BJ50" s="6">
        <v>1352</v>
      </c>
      <c r="BK50" s="6"/>
      <c r="BL50" s="6">
        <f t="shared" si="9"/>
        <v>369</v>
      </c>
      <c r="BM50" s="6">
        <v>159</v>
      </c>
      <c r="BN50" s="6">
        <v>1560</v>
      </c>
      <c r="BO50" s="6">
        <f t="shared" si="10"/>
        <v>367</v>
      </c>
      <c r="BP50" s="6">
        <v>506</v>
      </c>
      <c r="BQ50" s="6"/>
      <c r="BR50" s="35">
        <f t="shared" si="11"/>
        <v>347</v>
      </c>
      <c r="BS50" s="6"/>
      <c r="BT50" s="6"/>
      <c r="BU50" s="6"/>
      <c r="BV50" s="6">
        <v>875</v>
      </c>
      <c r="BW50" s="6"/>
      <c r="BX50" s="35">
        <f t="shared" si="12"/>
        <v>369</v>
      </c>
      <c r="BY50" s="6">
        <v>1244</v>
      </c>
      <c r="BZ50" s="6"/>
      <c r="CA50" s="6">
        <f t="shared" si="13"/>
        <v>369</v>
      </c>
      <c r="CB50" s="6">
        <v>72</v>
      </c>
      <c r="CC50" s="6">
        <v>1540</v>
      </c>
      <c r="CD50" s="6">
        <f t="shared" si="14"/>
        <v>368</v>
      </c>
      <c r="CE50" s="6">
        <v>448</v>
      </c>
      <c r="CF50" s="6"/>
      <c r="CG50" s="6">
        <f t="shared" si="15"/>
        <v>376</v>
      </c>
      <c r="CH50" s="6">
        <v>828</v>
      </c>
      <c r="CI50" s="6"/>
      <c r="CJ50" s="6">
        <f t="shared" si="16"/>
        <v>380</v>
      </c>
      <c r="CK50" s="6">
        <v>1204</v>
      </c>
      <c r="CL50" s="6"/>
      <c r="CM50" s="6">
        <f t="shared" si="17"/>
        <v>376</v>
      </c>
      <c r="CN50" s="6"/>
      <c r="CO50" s="6"/>
      <c r="CP50" s="6"/>
      <c r="CQ50" s="6">
        <v>35</v>
      </c>
      <c r="CR50" s="6">
        <v>1560</v>
      </c>
      <c r="CS50" s="6">
        <f t="shared" si="18"/>
        <v>391</v>
      </c>
      <c r="CT50" s="6">
        <v>421</v>
      </c>
      <c r="CU50" s="6"/>
      <c r="CV50" s="6">
        <f t="shared" si="19"/>
        <v>386</v>
      </c>
      <c r="CW50" s="6">
        <v>803</v>
      </c>
      <c r="CX50" s="6"/>
      <c r="CY50" s="6">
        <f t="shared" si="20"/>
        <v>382</v>
      </c>
      <c r="CZ50" s="6">
        <v>104</v>
      </c>
      <c r="DA50" s="6">
        <v>1073</v>
      </c>
      <c r="DB50" s="6">
        <f t="shared" si="21"/>
        <v>374</v>
      </c>
      <c r="DC50" s="6">
        <v>493</v>
      </c>
      <c r="DD50" s="6"/>
      <c r="DE50" s="6">
        <f t="shared" si="22"/>
        <v>389</v>
      </c>
      <c r="DF50" s="6">
        <v>860</v>
      </c>
      <c r="DG50" s="6"/>
      <c r="DH50" s="6">
        <f t="shared" si="23"/>
        <v>367</v>
      </c>
      <c r="DI50" s="6"/>
      <c r="DJ50" s="6"/>
      <c r="DK50" s="6"/>
      <c r="DL50" s="6">
        <v>1249</v>
      </c>
      <c r="DM50" s="6"/>
      <c r="DN50" s="6">
        <f t="shared" si="24"/>
        <v>389</v>
      </c>
      <c r="DO50" s="6">
        <v>47</v>
      </c>
      <c r="DP50" s="6">
        <v>1560</v>
      </c>
      <c r="DQ50" s="6">
        <f t="shared" si="25"/>
        <v>358</v>
      </c>
    </row>
    <row r="51" spans="1:121">
      <c r="A51" s="6">
        <v>47</v>
      </c>
      <c r="B51" s="6">
        <v>270</v>
      </c>
      <c r="C51" s="6"/>
      <c r="D51" s="6">
        <v>270</v>
      </c>
      <c r="E51" s="148" t="s">
        <v>130</v>
      </c>
      <c r="F51" s="33" t="s">
        <v>130</v>
      </c>
      <c r="G51" s="33" t="s">
        <v>130</v>
      </c>
      <c r="H51" s="33" t="s">
        <v>130</v>
      </c>
      <c r="I51" s="33" t="s">
        <v>130</v>
      </c>
      <c r="J51" s="33" t="s">
        <v>130</v>
      </c>
      <c r="K51" s="33" t="s">
        <v>130</v>
      </c>
      <c r="L51" s="33" t="s">
        <v>130</v>
      </c>
      <c r="M51" s="33" t="s">
        <v>130</v>
      </c>
      <c r="N51" s="33" t="s">
        <v>130</v>
      </c>
      <c r="O51" s="33" t="s">
        <v>130</v>
      </c>
      <c r="P51" s="33" t="s">
        <v>130</v>
      </c>
      <c r="Q51" s="33" t="s">
        <v>130</v>
      </c>
      <c r="R51" s="33" t="s">
        <v>130</v>
      </c>
      <c r="S51" s="33" t="s">
        <v>130</v>
      </c>
      <c r="T51" s="33" t="s">
        <v>130</v>
      </c>
      <c r="U51" s="33" t="s">
        <v>130</v>
      </c>
      <c r="V51" s="33" t="s">
        <v>130</v>
      </c>
      <c r="W51" s="148" t="s">
        <v>37</v>
      </c>
      <c r="X51" s="33" t="s">
        <v>37</v>
      </c>
      <c r="Y51" s="33" t="s">
        <v>37</v>
      </c>
      <c r="Z51" s="33" t="s">
        <v>37</v>
      </c>
      <c r="AA51" s="33" t="s">
        <v>37</v>
      </c>
      <c r="AB51" s="33" t="s">
        <v>37</v>
      </c>
      <c r="AC51" s="33" t="s">
        <v>37</v>
      </c>
      <c r="AD51" s="33" t="s">
        <v>37</v>
      </c>
      <c r="AE51" s="33" t="s">
        <v>37</v>
      </c>
      <c r="AF51" s="35">
        <v>604</v>
      </c>
      <c r="AG51" s="35"/>
      <c r="AH51" s="35">
        <f t="shared" si="0"/>
        <v>334</v>
      </c>
      <c r="AI51" s="35">
        <v>938</v>
      </c>
      <c r="AJ51" s="35"/>
      <c r="AK51" s="35">
        <f t="shared" si="1"/>
        <v>334</v>
      </c>
      <c r="AL51" s="6">
        <v>1152</v>
      </c>
      <c r="AM51" s="6"/>
      <c r="AN51" s="35">
        <f t="shared" si="2"/>
        <v>214</v>
      </c>
      <c r="AO51" s="6">
        <v>289</v>
      </c>
      <c r="AP51" s="6">
        <v>1200</v>
      </c>
      <c r="AQ51" s="34">
        <f t="shared" si="3"/>
        <v>337</v>
      </c>
      <c r="AR51" s="35">
        <v>626</v>
      </c>
      <c r="AS51" s="35"/>
      <c r="AT51" s="35">
        <f t="shared" si="4"/>
        <v>337</v>
      </c>
      <c r="AU51" s="6">
        <v>949</v>
      </c>
      <c r="AV51" s="6"/>
      <c r="AW51" s="35">
        <f t="shared" si="5"/>
        <v>323</v>
      </c>
      <c r="AX51" s="6"/>
      <c r="AY51" s="6"/>
      <c r="AZ51" s="35"/>
      <c r="BA51" s="6">
        <v>98</v>
      </c>
      <c r="BB51" s="6">
        <v>1200</v>
      </c>
      <c r="BC51" s="35">
        <f t="shared" si="6"/>
        <v>349</v>
      </c>
      <c r="BD51" s="6">
        <v>438</v>
      </c>
      <c r="BE51" s="6"/>
      <c r="BF51" s="35">
        <f t="shared" si="7"/>
        <v>340</v>
      </c>
      <c r="BG51" s="6">
        <v>783</v>
      </c>
      <c r="BH51" s="6"/>
      <c r="BI51" s="6">
        <f t="shared" si="8"/>
        <v>345</v>
      </c>
      <c r="BJ51" s="6">
        <v>1126</v>
      </c>
      <c r="BK51" s="35"/>
      <c r="BL51" s="6">
        <f t="shared" si="9"/>
        <v>343</v>
      </c>
      <c r="BM51" s="6">
        <v>254</v>
      </c>
      <c r="BN51" s="6">
        <v>1200</v>
      </c>
      <c r="BO51" s="6">
        <f t="shared" si="10"/>
        <v>328</v>
      </c>
      <c r="BP51" s="6">
        <v>567</v>
      </c>
      <c r="BQ51" s="6"/>
      <c r="BR51" s="35">
        <f t="shared" si="11"/>
        <v>313</v>
      </c>
      <c r="BS51" s="6"/>
      <c r="BT51" s="6"/>
      <c r="BU51" s="6"/>
      <c r="BV51" s="6">
        <v>908</v>
      </c>
      <c r="BW51" s="6"/>
      <c r="BX51" s="35">
        <f t="shared" si="12"/>
        <v>341</v>
      </c>
      <c r="BY51" s="6">
        <v>56</v>
      </c>
      <c r="BZ51" s="35">
        <v>1190</v>
      </c>
      <c r="CA51" s="6">
        <f t="shared" si="13"/>
        <v>338</v>
      </c>
      <c r="CB51" s="6">
        <v>398</v>
      </c>
      <c r="CC51" s="6"/>
      <c r="CD51" s="6">
        <f t="shared" si="14"/>
        <v>342</v>
      </c>
      <c r="CE51" s="6">
        <v>740</v>
      </c>
      <c r="CF51" s="35"/>
      <c r="CG51" s="6">
        <f t="shared" si="15"/>
        <v>342</v>
      </c>
      <c r="CH51" s="6">
        <v>1080</v>
      </c>
      <c r="CI51" s="6"/>
      <c r="CJ51" s="6">
        <f t="shared" si="16"/>
        <v>340</v>
      </c>
      <c r="CK51" s="6">
        <v>221</v>
      </c>
      <c r="CL51" s="6">
        <v>1129</v>
      </c>
      <c r="CM51" s="6">
        <f t="shared" si="17"/>
        <v>270</v>
      </c>
      <c r="CN51" s="6"/>
      <c r="CO51" s="6"/>
      <c r="CP51" s="6"/>
      <c r="CQ51" s="6">
        <v>586</v>
      </c>
      <c r="CR51" s="6"/>
      <c r="CS51" s="6">
        <f t="shared" si="18"/>
        <v>365</v>
      </c>
      <c r="CT51" s="6">
        <v>968</v>
      </c>
      <c r="CU51" s="6"/>
      <c r="CV51" s="6">
        <f t="shared" si="19"/>
        <v>382</v>
      </c>
      <c r="CW51" s="6">
        <v>1355</v>
      </c>
      <c r="CX51" s="6"/>
      <c r="CY51" s="6">
        <f t="shared" si="20"/>
        <v>387</v>
      </c>
      <c r="CZ51" s="6">
        <v>181</v>
      </c>
      <c r="DA51" s="6">
        <v>1560</v>
      </c>
      <c r="DB51" s="6">
        <f t="shared" si="21"/>
        <v>386</v>
      </c>
      <c r="DC51" s="6">
        <v>566</v>
      </c>
      <c r="DD51" s="6"/>
      <c r="DE51" s="6">
        <f t="shared" si="22"/>
        <v>385</v>
      </c>
      <c r="DF51" s="6">
        <v>936</v>
      </c>
      <c r="DG51" s="6"/>
      <c r="DH51" s="6">
        <f t="shared" si="23"/>
        <v>370</v>
      </c>
      <c r="DI51" s="6"/>
      <c r="DJ51" s="6"/>
      <c r="DK51" s="6"/>
      <c r="DL51" s="6">
        <v>1326</v>
      </c>
      <c r="DM51" s="6"/>
      <c r="DN51" s="6">
        <f t="shared" si="24"/>
        <v>390</v>
      </c>
      <c r="DO51" s="6">
        <v>123</v>
      </c>
      <c r="DP51" s="6">
        <v>1560</v>
      </c>
      <c r="DQ51" s="6">
        <f t="shared" si="25"/>
        <v>357</v>
      </c>
    </row>
    <row r="52" spans="1:121">
      <c r="A52" s="6">
        <v>48</v>
      </c>
      <c r="B52" s="6">
        <v>914</v>
      </c>
      <c r="C52" s="6"/>
      <c r="D52" s="6">
        <v>317</v>
      </c>
      <c r="E52" s="33" t="s">
        <v>130</v>
      </c>
      <c r="F52" s="33" t="s">
        <v>130</v>
      </c>
      <c r="G52" s="33" t="s">
        <v>130</v>
      </c>
      <c r="H52" s="33" t="s">
        <v>130</v>
      </c>
      <c r="I52" s="33" t="s">
        <v>130</v>
      </c>
      <c r="J52" s="33" t="s">
        <v>130</v>
      </c>
      <c r="K52" s="33" t="s">
        <v>130</v>
      </c>
      <c r="L52" s="33" t="s">
        <v>130</v>
      </c>
      <c r="M52" s="33" t="s">
        <v>130</v>
      </c>
      <c r="N52" s="33" t="s">
        <v>130</v>
      </c>
      <c r="O52" s="33" t="s">
        <v>130</v>
      </c>
      <c r="P52" s="33" t="s">
        <v>130</v>
      </c>
      <c r="Q52" s="33" t="s">
        <v>130</v>
      </c>
      <c r="R52" s="33" t="s">
        <v>130</v>
      </c>
      <c r="S52" s="33" t="s">
        <v>130</v>
      </c>
      <c r="T52" s="33" t="s">
        <v>130</v>
      </c>
      <c r="U52" s="148" t="s">
        <v>37</v>
      </c>
      <c r="V52" s="33" t="s">
        <v>37</v>
      </c>
      <c r="W52" s="33" t="s">
        <v>37</v>
      </c>
      <c r="X52" s="33" t="s">
        <v>37</v>
      </c>
      <c r="Y52" s="33" t="s">
        <v>37</v>
      </c>
      <c r="Z52" s="33" t="s">
        <v>37</v>
      </c>
      <c r="AA52" s="33" t="s">
        <v>37</v>
      </c>
      <c r="AB52" s="33" t="s">
        <v>37</v>
      </c>
      <c r="AC52" s="33" t="s">
        <v>37</v>
      </c>
      <c r="AD52" s="33" t="s">
        <v>37</v>
      </c>
      <c r="AE52" s="33" t="s">
        <v>37</v>
      </c>
      <c r="AF52" s="35">
        <v>95</v>
      </c>
      <c r="AG52" s="35">
        <v>1185</v>
      </c>
      <c r="AH52" s="35">
        <f t="shared" si="0"/>
        <v>366</v>
      </c>
      <c r="AI52" s="35">
        <v>435</v>
      </c>
      <c r="AJ52" s="35"/>
      <c r="AK52" s="35">
        <f t="shared" si="1"/>
        <v>340</v>
      </c>
      <c r="AL52" s="35">
        <v>759</v>
      </c>
      <c r="AM52" s="35"/>
      <c r="AN52" s="35">
        <f t="shared" si="2"/>
        <v>324</v>
      </c>
      <c r="AO52" s="6">
        <v>1096</v>
      </c>
      <c r="AP52" s="6"/>
      <c r="AQ52" s="34">
        <f t="shared" si="3"/>
        <v>337</v>
      </c>
      <c r="AR52" s="35">
        <v>235</v>
      </c>
      <c r="AS52" s="35">
        <v>1200</v>
      </c>
      <c r="AT52" s="35">
        <f t="shared" si="4"/>
        <v>339</v>
      </c>
      <c r="AU52" s="6">
        <v>562</v>
      </c>
      <c r="AV52" s="6"/>
      <c r="AW52" s="35">
        <f t="shared" si="5"/>
        <v>327</v>
      </c>
      <c r="AX52" s="6"/>
      <c r="AY52" s="6"/>
      <c r="AZ52" s="35"/>
      <c r="BA52" s="35">
        <v>909</v>
      </c>
      <c r="BB52" s="35"/>
      <c r="BC52" s="35">
        <f t="shared" si="6"/>
        <v>347</v>
      </c>
      <c r="BD52" s="6">
        <v>42</v>
      </c>
      <c r="BE52" s="6">
        <v>1200</v>
      </c>
      <c r="BF52" s="35">
        <f t="shared" si="7"/>
        <v>333</v>
      </c>
      <c r="BG52" s="6">
        <v>386</v>
      </c>
      <c r="BH52" s="6"/>
      <c r="BI52" s="6">
        <f t="shared" si="8"/>
        <v>344</v>
      </c>
      <c r="BJ52" s="6">
        <v>728</v>
      </c>
      <c r="BK52" s="6"/>
      <c r="BL52" s="6">
        <f t="shared" si="9"/>
        <v>342</v>
      </c>
      <c r="BM52" s="6">
        <v>277</v>
      </c>
      <c r="BN52" s="6">
        <v>776</v>
      </c>
      <c r="BO52" s="6">
        <f t="shared" si="10"/>
        <v>325</v>
      </c>
      <c r="BP52" s="6">
        <v>601</v>
      </c>
      <c r="BQ52" s="6"/>
      <c r="BR52" s="35">
        <f t="shared" si="11"/>
        <v>324</v>
      </c>
      <c r="BS52" s="6"/>
      <c r="BT52" s="6"/>
      <c r="BU52" s="6"/>
      <c r="BV52" s="6">
        <v>947</v>
      </c>
      <c r="BW52" s="6"/>
      <c r="BX52" s="35">
        <f t="shared" si="12"/>
        <v>346</v>
      </c>
      <c r="BY52" s="6">
        <v>87</v>
      </c>
      <c r="BZ52" s="6">
        <v>1200</v>
      </c>
      <c r="CA52" s="6">
        <f t="shared" si="13"/>
        <v>340</v>
      </c>
      <c r="CB52" s="6">
        <v>0</v>
      </c>
      <c r="CC52" s="6">
        <v>267</v>
      </c>
      <c r="CD52" s="6">
        <f t="shared" si="14"/>
        <v>180</v>
      </c>
      <c r="CE52" s="6">
        <v>314</v>
      </c>
      <c r="CF52" s="6"/>
      <c r="CG52" s="6">
        <f t="shared" si="15"/>
        <v>314</v>
      </c>
      <c r="CH52" s="6">
        <v>682</v>
      </c>
      <c r="CI52" s="6"/>
      <c r="CJ52" s="6">
        <f t="shared" si="16"/>
        <v>368</v>
      </c>
      <c r="CK52" s="6">
        <v>1047</v>
      </c>
      <c r="CL52" s="6"/>
      <c r="CM52" s="6">
        <f t="shared" si="17"/>
        <v>365</v>
      </c>
      <c r="CN52" s="6"/>
      <c r="CO52" s="6"/>
      <c r="CP52" s="6"/>
      <c r="CQ52" s="6">
        <v>1439</v>
      </c>
      <c r="CR52" s="6"/>
      <c r="CS52" s="6">
        <f t="shared" si="18"/>
        <v>392</v>
      </c>
      <c r="CT52" s="6">
        <v>250</v>
      </c>
      <c r="CU52" s="6">
        <v>1560</v>
      </c>
      <c r="CV52" s="6">
        <f t="shared" si="19"/>
        <v>371</v>
      </c>
      <c r="CW52" s="6">
        <v>636</v>
      </c>
      <c r="CX52" s="6"/>
      <c r="CY52" s="6">
        <f t="shared" si="20"/>
        <v>386</v>
      </c>
      <c r="CZ52" s="6">
        <v>1023</v>
      </c>
      <c r="DA52" s="6"/>
      <c r="DB52" s="6">
        <f t="shared" si="21"/>
        <v>387</v>
      </c>
      <c r="DC52" s="6">
        <v>1411</v>
      </c>
      <c r="DD52" s="6"/>
      <c r="DE52" s="6">
        <f t="shared" si="22"/>
        <v>388</v>
      </c>
      <c r="DF52" s="6">
        <v>217</v>
      </c>
      <c r="DG52" s="6">
        <v>1560</v>
      </c>
      <c r="DH52" s="6">
        <f t="shared" si="23"/>
        <v>366</v>
      </c>
      <c r="DI52" s="6"/>
      <c r="DJ52" s="6"/>
      <c r="DK52" s="6"/>
      <c r="DL52" s="6">
        <v>605</v>
      </c>
      <c r="DM52" s="6"/>
      <c r="DN52" s="6">
        <f t="shared" si="24"/>
        <v>388</v>
      </c>
      <c r="DO52" s="6">
        <v>965</v>
      </c>
      <c r="DP52" s="6"/>
      <c r="DQ52" s="6">
        <f t="shared" si="25"/>
        <v>360</v>
      </c>
    </row>
    <row r="53" spans="1:121">
      <c r="A53" s="6">
        <v>49</v>
      </c>
      <c r="B53" s="6">
        <v>460</v>
      </c>
      <c r="C53" s="6"/>
      <c r="D53" s="6">
        <v>317</v>
      </c>
      <c r="E53" s="33" t="s">
        <v>130</v>
      </c>
      <c r="F53" s="33" t="s">
        <v>130</v>
      </c>
      <c r="G53" s="33" t="s">
        <v>130</v>
      </c>
      <c r="H53" s="33" t="s">
        <v>130</v>
      </c>
      <c r="I53" s="33" t="s">
        <v>130</v>
      </c>
      <c r="J53" s="33" t="s">
        <v>130</v>
      </c>
      <c r="K53" s="33" t="s">
        <v>130</v>
      </c>
      <c r="L53" s="33" t="s">
        <v>130</v>
      </c>
      <c r="M53" s="33" t="s">
        <v>130</v>
      </c>
      <c r="N53" s="33" t="s">
        <v>130</v>
      </c>
      <c r="O53" s="33" t="s">
        <v>130</v>
      </c>
      <c r="P53" s="33" t="s">
        <v>130</v>
      </c>
      <c r="Q53" s="33" t="s">
        <v>130</v>
      </c>
      <c r="R53" s="148" t="s">
        <v>130</v>
      </c>
      <c r="S53" s="33" t="s">
        <v>130</v>
      </c>
      <c r="T53" s="33" t="s">
        <v>130</v>
      </c>
      <c r="U53" s="33" t="s">
        <v>130</v>
      </c>
      <c r="V53" s="33" t="s">
        <v>130</v>
      </c>
      <c r="W53" s="33" t="s">
        <v>130</v>
      </c>
      <c r="X53" s="33" t="s">
        <v>130</v>
      </c>
      <c r="Y53" s="33" t="s">
        <v>130</v>
      </c>
      <c r="Z53" s="33" t="s">
        <v>130</v>
      </c>
      <c r="AA53" s="33" t="s">
        <v>130</v>
      </c>
      <c r="AB53" s="33" t="s">
        <v>130</v>
      </c>
      <c r="AC53" s="33" t="s">
        <v>130</v>
      </c>
      <c r="AD53" s="33" t="s">
        <v>130</v>
      </c>
      <c r="AE53" s="33" t="s">
        <v>130</v>
      </c>
      <c r="AF53" s="35">
        <v>826</v>
      </c>
      <c r="AG53" s="35"/>
      <c r="AH53" s="35">
        <f t="shared" si="0"/>
        <v>366</v>
      </c>
      <c r="AI53" s="35">
        <v>1172</v>
      </c>
      <c r="AJ53" s="35"/>
      <c r="AK53" s="35">
        <f t="shared" si="1"/>
        <v>346</v>
      </c>
      <c r="AL53" s="35">
        <v>316</v>
      </c>
      <c r="AM53" s="35">
        <v>1200</v>
      </c>
      <c r="AN53" s="35">
        <f t="shared" si="2"/>
        <v>344</v>
      </c>
      <c r="AO53" s="6">
        <v>662</v>
      </c>
      <c r="AP53" s="35"/>
      <c r="AQ53" s="34">
        <f t="shared" si="3"/>
        <v>346</v>
      </c>
      <c r="AR53" s="35">
        <v>1009</v>
      </c>
      <c r="AS53" s="35"/>
      <c r="AT53" s="35">
        <f t="shared" si="4"/>
        <v>347</v>
      </c>
      <c r="AU53" s="6">
        <v>134</v>
      </c>
      <c r="AV53" s="6">
        <v>1200</v>
      </c>
      <c r="AW53" s="35">
        <f t="shared" si="5"/>
        <v>325</v>
      </c>
      <c r="AX53" s="6"/>
      <c r="AY53" s="6"/>
      <c r="AZ53" s="35"/>
      <c r="BA53" s="6">
        <v>486</v>
      </c>
      <c r="BB53" s="6"/>
      <c r="BC53" s="35">
        <f t="shared" si="6"/>
        <v>352</v>
      </c>
      <c r="BD53" s="6">
        <v>831</v>
      </c>
      <c r="BE53" s="6"/>
      <c r="BF53" s="35">
        <f t="shared" si="7"/>
        <v>345</v>
      </c>
      <c r="BG53" s="6">
        <v>1177</v>
      </c>
      <c r="BH53" s="6"/>
      <c r="BI53" s="6">
        <f t="shared" si="8"/>
        <v>346</v>
      </c>
      <c r="BJ53" s="6">
        <v>324</v>
      </c>
      <c r="BK53" s="35">
        <v>1200</v>
      </c>
      <c r="BL53" s="6">
        <f t="shared" si="9"/>
        <v>347</v>
      </c>
      <c r="BM53" s="6">
        <v>674</v>
      </c>
      <c r="BN53" s="6"/>
      <c r="BO53" s="6">
        <f t="shared" si="10"/>
        <v>350</v>
      </c>
      <c r="BP53" s="6">
        <v>999</v>
      </c>
      <c r="BQ53" s="6"/>
      <c r="BR53" s="35">
        <f t="shared" si="11"/>
        <v>325</v>
      </c>
      <c r="BS53" s="6"/>
      <c r="BT53" s="6"/>
      <c r="BU53" s="6"/>
      <c r="BV53" s="6">
        <v>305</v>
      </c>
      <c r="BW53" s="6">
        <v>1030</v>
      </c>
      <c r="BX53" s="35">
        <f t="shared" si="12"/>
        <v>336</v>
      </c>
      <c r="BY53" s="6">
        <v>648</v>
      </c>
      <c r="BZ53" s="35"/>
      <c r="CA53" s="6">
        <f t="shared" si="13"/>
        <v>343</v>
      </c>
      <c r="CB53" s="6">
        <v>997</v>
      </c>
      <c r="CC53" s="6"/>
      <c r="CD53" s="6">
        <f t="shared" si="14"/>
        <v>349</v>
      </c>
      <c r="CE53" s="6">
        <v>142</v>
      </c>
      <c r="CF53" s="35">
        <v>1200</v>
      </c>
      <c r="CG53" s="6">
        <f t="shared" si="15"/>
        <v>345</v>
      </c>
      <c r="CH53" s="6">
        <v>484</v>
      </c>
      <c r="CI53" s="6"/>
      <c r="CJ53" s="6">
        <f t="shared" si="16"/>
        <v>342</v>
      </c>
      <c r="CK53" s="6">
        <v>817</v>
      </c>
      <c r="CL53" s="6"/>
      <c r="CM53" s="6">
        <f t="shared" si="17"/>
        <v>333</v>
      </c>
      <c r="CN53" s="6"/>
      <c r="CO53" s="6"/>
      <c r="CP53" s="6"/>
      <c r="CQ53" s="6">
        <v>1165</v>
      </c>
      <c r="CR53" s="6"/>
      <c r="CS53" s="6">
        <f t="shared" si="18"/>
        <v>348</v>
      </c>
      <c r="CT53" s="6">
        <v>310</v>
      </c>
      <c r="CU53" s="6">
        <v>1200</v>
      </c>
      <c r="CV53" s="6">
        <f t="shared" si="19"/>
        <v>345</v>
      </c>
      <c r="CW53" s="6">
        <v>656</v>
      </c>
      <c r="CX53" s="6"/>
      <c r="CY53" s="6">
        <f t="shared" si="20"/>
        <v>346</v>
      </c>
      <c r="CZ53" s="6">
        <v>1005</v>
      </c>
      <c r="DA53" s="6"/>
      <c r="DB53" s="6">
        <f t="shared" si="21"/>
        <v>349</v>
      </c>
      <c r="DC53" s="6">
        <v>152</v>
      </c>
      <c r="DD53" s="6">
        <v>1200</v>
      </c>
      <c r="DE53" s="6">
        <f t="shared" si="22"/>
        <v>347</v>
      </c>
      <c r="DF53" s="6">
        <v>483</v>
      </c>
      <c r="DG53" s="6"/>
      <c r="DH53" s="6">
        <f t="shared" si="23"/>
        <v>331</v>
      </c>
      <c r="DI53" s="6"/>
      <c r="DJ53" s="6"/>
      <c r="DK53" s="6"/>
      <c r="DL53" s="6">
        <v>834</v>
      </c>
      <c r="DM53" s="6"/>
      <c r="DN53" s="6">
        <f t="shared" si="24"/>
        <v>351</v>
      </c>
      <c r="DO53" s="6">
        <v>1155</v>
      </c>
      <c r="DP53" s="6"/>
      <c r="DQ53" s="6">
        <f t="shared" si="25"/>
        <v>321</v>
      </c>
    </row>
    <row r="54" spans="1:121">
      <c r="A54" s="6">
        <v>50</v>
      </c>
      <c r="B54" s="6">
        <v>899</v>
      </c>
      <c r="C54" s="6"/>
      <c r="D54" s="6">
        <v>315</v>
      </c>
      <c r="E54" s="169" t="s">
        <v>130</v>
      </c>
      <c r="F54" s="169" t="s">
        <v>130</v>
      </c>
      <c r="G54" s="169" t="s">
        <v>130</v>
      </c>
      <c r="H54" s="169" t="s">
        <v>130</v>
      </c>
      <c r="I54" s="169" t="s">
        <v>130</v>
      </c>
      <c r="J54" s="169" t="s">
        <v>130</v>
      </c>
      <c r="K54" s="169" t="s">
        <v>130</v>
      </c>
      <c r="L54" s="169" t="s">
        <v>130</v>
      </c>
      <c r="M54" s="169" t="s">
        <v>130</v>
      </c>
      <c r="N54" s="169" t="s">
        <v>130</v>
      </c>
      <c r="O54" s="169" t="s">
        <v>130</v>
      </c>
      <c r="P54" s="169" t="s">
        <v>130</v>
      </c>
      <c r="Q54" s="167" t="s">
        <v>130</v>
      </c>
      <c r="R54" s="169" t="s">
        <v>130</v>
      </c>
      <c r="S54" s="169" t="s">
        <v>130</v>
      </c>
      <c r="T54" s="169" t="s">
        <v>130</v>
      </c>
      <c r="U54" s="169" t="s">
        <v>130</v>
      </c>
      <c r="V54" s="169" t="s">
        <v>130</v>
      </c>
      <c r="W54" s="169" t="s">
        <v>130</v>
      </c>
      <c r="X54" s="169" t="s">
        <v>130</v>
      </c>
      <c r="Y54" s="169" t="s">
        <v>130</v>
      </c>
      <c r="Z54" s="169" t="s">
        <v>130</v>
      </c>
      <c r="AA54" s="169" t="s">
        <v>130</v>
      </c>
      <c r="AB54" s="169" t="s">
        <v>130</v>
      </c>
      <c r="AC54" s="169" t="s">
        <v>130</v>
      </c>
      <c r="AD54" s="169" t="s">
        <v>130</v>
      </c>
      <c r="AE54" s="169" t="s">
        <v>130</v>
      </c>
      <c r="AF54" s="6">
        <v>42</v>
      </c>
      <c r="AG54" s="6">
        <v>1210</v>
      </c>
      <c r="AH54" s="35">
        <f t="shared" si="0"/>
        <v>353</v>
      </c>
      <c r="AI54" s="35">
        <v>370</v>
      </c>
      <c r="AJ54" s="35"/>
      <c r="AK54" s="35">
        <f t="shared" si="1"/>
        <v>328</v>
      </c>
      <c r="AL54" s="6">
        <v>711</v>
      </c>
      <c r="AM54" s="6"/>
      <c r="AN54" s="35">
        <f t="shared" si="2"/>
        <v>341</v>
      </c>
      <c r="AO54" s="6">
        <v>1037</v>
      </c>
      <c r="AP54" s="6"/>
      <c r="AQ54" s="34">
        <f t="shared" si="3"/>
        <v>326</v>
      </c>
      <c r="AR54" s="35">
        <v>172</v>
      </c>
      <c r="AS54" s="35">
        <v>1210</v>
      </c>
      <c r="AT54" s="35">
        <f t="shared" si="4"/>
        <v>345</v>
      </c>
      <c r="AU54" s="6">
        <v>495</v>
      </c>
      <c r="AV54" s="6"/>
      <c r="AW54" s="35">
        <f t="shared" si="5"/>
        <v>323</v>
      </c>
      <c r="AX54" s="6"/>
      <c r="AY54" s="6"/>
      <c r="AZ54" s="35"/>
      <c r="BA54" s="35">
        <v>843</v>
      </c>
      <c r="BB54" s="35"/>
      <c r="BC54" s="35">
        <f t="shared" si="6"/>
        <v>348</v>
      </c>
      <c r="BD54" s="6">
        <v>1179</v>
      </c>
      <c r="BE54" s="6"/>
      <c r="BF54" s="35">
        <f t="shared" si="7"/>
        <v>336</v>
      </c>
      <c r="BG54" s="6">
        <v>316</v>
      </c>
      <c r="BH54" s="6">
        <v>1200</v>
      </c>
      <c r="BI54" s="6">
        <f t="shared" si="8"/>
        <v>337</v>
      </c>
      <c r="BJ54" s="6">
        <v>655</v>
      </c>
      <c r="BK54" s="6"/>
      <c r="BL54" s="6">
        <f t="shared" si="9"/>
        <v>339</v>
      </c>
      <c r="BM54" s="6">
        <v>983</v>
      </c>
      <c r="BN54" s="6"/>
      <c r="BO54" s="6">
        <f t="shared" si="10"/>
        <v>328</v>
      </c>
      <c r="BP54" s="6">
        <v>278</v>
      </c>
      <c r="BQ54" s="6">
        <v>1005</v>
      </c>
      <c r="BR54" s="35">
        <f t="shared" si="11"/>
        <v>300</v>
      </c>
      <c r="BS54" s="6"/>
      <c r="BT54" s="6"/>
      <c r="BU54" s="6"/>
      <c r="BV54" s="6">
        <v>629</v>
      </c>
      <c r="BW54" s="6"/>
      <c r="BX54" s="35">
        <f t="shared" si="12"/>
        <v>351</v>
      </c>
      <c r="BY54" s="6">
        <v>975</v>
      </c>
      <c r="BZ54" s="6"/>
      <c r="CA54" s="6">
        <f t="shared" si="13"/>
        <v>346</v>
      </c>
      <c r="CB54" s="6">
        <v>114</v>
      </c>
      <c r="CC54" s="6">
        <v>1200</v>
      </c>
      <c r="CD54" s="6">
        <f t="shared" si="14"/>
        <v>339</v>
      </c>
      <c r="CE54" s="6">
        <v>459</v>
      </c>
      <c r="CF54" s="6"/>
      <c r="CG54" s="6">
        <f t="shared" si="15"/>
        <v>345</v>
      </c>
      <c r="CH54" s="6">
        <v>799</v>
      </c>
      <c r="CI54" s="6"/>
      <c r="CJ54" s="6">
        <f t="shared" si="16"/>
        <v>340</v>
      </c>
      <c r="CK54" s="6">
        <v>1136</v>
      </c>
      <c r="CL54" s="6"/>
      <c r="CM54" s="6">
        <f t="shared" si="17"/>
        <v>337</v>
      </c>
      <c r="CN54" s="6"/>
      <c r="CO54" s="6"/>
      <c r="CP54" s="6"/>
      <c r="CQ54" s="6">
        <v>284</v>
      </c>
      <c r="CR54" s="6">
        <v>1200</v>
      </c>
      <c r="CS54" s="6">
        <f t="shared" si="18"/>
        <v>348</v>
      </c>
      <c r="CT54" s="6">
        <v>625</v>
      </c>
      <c r="CU54" s="6"/>
      <c r="CV54" s="6">
        <f t="shared" si="19"/>
        <v>341</v>
      </c>
      <c r="CW54" s="6">
        <v>969</v>
      </c>
      <c r="CX54" s="6"/>
      <c r="CY54" s="6">
        <f t="shared" si="20"/>
        <v>344</v>
      </c>
      <c r="CZ54" s="6">
        <v>116</v>
      </c>
      <c r="DA54" s="6">
        <v>1200</v>
      </c>
      <c r="DB54" s="6">
        <f t="shared" si="21"/>
        <v>347</v>
      </c>
      <c r="DC54" s="6">
        <v>462</v>
      </c>
      <c r="DD54" s="6"/>
      <c r="DE54" s="6">
        <f t="shared" si="22"/>
        <v>346</v>
      </c>
      <c r="DF54" s="6">
        <v>790</v>
      </c>
      <c r="DG54" s="6"/>
      <c r="DH54" s="6">
        <f t="shared" si="23"/>
        <v>328</v>
      </c>
      <c r="DI54" s="6"/>
      <c r="DJ54" s="6"/>
      <c r="DK54" s="6"/>
      <c r="DL54" s="6">
        <v>1138</v>
      </c>
      <c r="DM54" s="6"/>
      <c r="DN54" s="6">
        <f t="shared" si="24"/>
        <v>348</v>
      </c>
      <c r="DO54" s="6">
        <v>259</v>
      </c>
      <c r="DP54" s="6">
        <v>1200</v>
      </c>
      <c r="DQ54" s="6">
        <f t="shared" si="25"/>
        <v>321</v>
      </c>
    </row>
    <row r="55" spans="1:121">
      <c r="A55" s="6">
        <v>51</v>
      </c>
      <c r="B55" s="6">
        <v>53</v>
      </c>
      <c r="C55" s="6">
        <v>1200</v>
      </c>
      <c r="D55" s="6">
        <v>315</v>
      </c>
      <c r="E55" s="33" t="s">
        <v>130</v>
      </c>
      <c r="F55" s="33" t="s">
        <v>130</v>
      </c>
      <c r="G55" s="33" t="s">
        <v>130</v>
      </c>
      <c r="H55" s="33" t="s">
        <v>130</v>
      </c>
      <c r="I55" s="33" t="s">
        <v>130</v>
      </c>
      <c r="J55" s="33" t="s">
        <v>130</v>
      </c>
      <c r="K55" s="148" t="s">
        <v>130</v>
      </c>
      <c r="L55" s="33" t="s">
        <v>130</v>
      </c>
      <c r="M55" s="33" t="s">
        <v>130</v>
      </c>
      <c r="N55" s="33" t="s">
        <v>130</v>
      </c>
      <c r="O55" s="33" t="s">
        <v>130</v>
      </c>
      <c r="P55" s="33" t="s">
        <v>130</v>
      </c>
      <c r="Q55" s="33" t="s">
        <v>130</v>
      </c>
      <c r="R55" s="33" t="s">
        <v>130</v>
      </c>
      <c r="S55" s="33" t="s">
        <v>130</v>
      </c>
      <c r="T55" s="33" t="s">
        <v>130</v>
      </c>
      <c r="U55" s="33" t="s">
        <v>130</v>
      </c>
      <c r="V55" s="33" t="s">
        <v>130</v>
      </c>
      <c r="W55" s="33" t="s">
        <v>130</v>
      </c>
      <c r="X55" s="33" t="s">
        <v>130</v>
      </c>
      <c r="Y55" s="33" t="s">
        <v>130</v>
      </c>
      <c r="Z55" s="33" t="s">
        <v>130</v>
      </c>
      <c r="AA55" s="33" t="s">
        <v>130</v>
      </c>
      <c r="AB55" s="33" t="s">
        <v>130</v>
      </c>
      <c r="AC55" s="148" t="s">
        <v>130</v>
      </c>
      <c r="AD55" s="33" t="s">
        <v>130</v>
      </c>
      <c r="AE55" s="33" t="s">
        <v>130</v>
      </c>
      <c r="AF55" s="6">
        <v>419</v>
      </c>
      <c r="AG55" s="6"/>
      <c r="AH55" s="35">
        <f t="shared" si="0"/>
        <v>366</v>
      </c>
      <c r="AI55" s="35">
        <v>766</v>
      </c>
      <c r="AJ55" s="35"/>
      <c r="AK55" s="35">
        <f t="shared" si="1"/>
        <v>347</v>
      </c>
      <c r="AL55" s="6">
        <v>1104</v>
      </c>
      <c r="AM55" s="6"/>
      <c r="AN55" s="35">
        <f t="shared" si="2"/>
        <v>338</v>
      </c>
      <c r="AO55" s="6">
        <v>236</v>
      </c>
      <c r="AP55" s="6">
        <v>1200</v>
      </c>
      <c r="AQ55" s="34">
        <f t="shared" si="3"/>
        <v>332</v>
      </c>
      <c r="AR55" s="35">
        <v>574</v>
      </c>
      <c r="AS55" s="35"/>
      <c r="AT55" s="35">
        <f t="shared" si="4"/>
        <v>338</v>
      </c>
      <c r="AU55" s="6">
        <v>211</v>
      </c>
      <c r="AV55" s="6">
        <v>661</v>
      </c>
      <c r="AW55" s="35">
        <f t="shared" si="5"/>
        <v>298</v>
      </c>
      <c r="AX55" s="6"/>
      <c r="AY55" s="6"/>
      <c r="AZ55" s="35"/>
      <c r="BA55" s="35">
        <v>554</v>
      </c>
      <c r="BB55" s="35"/>
      <c r="BC55" s="35">
        <f t="shared" si="6"/>
        <v>343</v>
      </c>
      <c r="BD55" s="6">
        <v>889</v>
      </c>
      <c r="BE55" s="6"/>
      <c r="BF55" s="35">
        <f t="shared" si="7"/>
        <v>335</v>
      </c>
      <c r="BG55" s="6">
        <v>13</v>
      </c>
      <c r="BH55" s="6">
        <v>1200</v>
      </c>
      <c r="BI55" s="6">
        <f t="shared" si="8"/>
        <v>324</v>
      </c>
      <c r="BJ55" s="6">
        <v>358</v>
      </c>
      <c r="BK55" s="6"/>
      <c r="BL55" s="6">
        <f t="shared" si="9"/>
        <v>345</v>
      </c>
      <c r="BM55" s="6">
        <v>702</v>
      </c>
      <c r="BN55" s="6"/>
      <c r="BO55" s="6">
        <f t="shared" si="10"/>
        <v>344</v>
      </c>
      <c r="BP55" s="6">
        <v>1028</v>
      </c>
      <c r="BQ55" s="6"/>
      <c r="BR55" s="35">
        <f t="shared" si="11"/>
        <v>326</v>
      </c>
      <c r="BS55" s="6"/>
      <c r="BT55" s="6"/>
      <c r="BU55" s="6"/>
      <c r="BV55" s="6">
        <v>158</v>
      </c>
      <c r="BW55" s="6">
        <v>1200</v>
      </c>
      <c r="BX55" s="35">
        <f t="shared" si="12"/>
        <v>330</v>
      </c>
      <c r="BY55" s="6">
        <v>12</v>
      </c>
      <c r="BZ55" s="6">
        <v>463</v>
      </c>
      <c r="CA55" s="6">
        <f t="shared" si="13"/>
        <v>317</v>
      </c>
      <c r="CB55" s="6">
        <v>354</v>
      </c>
      <c r="CC55" s="6"/>
      <c r="CD55" s="6">
        <f t="shared" si="14"/>
        <v>342</v>
      </c>
      <c r="CE55" s="6">
        <v>690</v>
      </c>
      <c r="CF55" s="6"/>
      <c r="CG55" s="6">
        <f t="shared" si="15"/>
        <v>336</v>
      </c>
      <c r="CH55" s="6">
        <v>1032</v>
      </c>
      <c r="CI55" s="6"/>
      <c r="CJ55" s="6">
        <f t="shared" si="16"/>
        <v>342</v>
      </c>
      <c r="CK55" s="6">
        <v>138</v>
      </c>
      <c r="CL55" s="6">
        <v>1200</v>
      </c>
      <c r="CM55" s="6">
        <f t="shared" si="17"/>
        <v>306</v>
      </c>
      <c r="CN55" s="6"/>
      <c r="CO55" s="6"/>
      <c r="CP55" s="6"/>
      <c r="CQ55" s="6">
        <v>483</v>
      </c>
      <c r="CR55" s="6"/>
      <c r="CS55" s="6">
        <f t="shared" si="18"/>
        <v>345</v>
      </c>
      <c r="CT55" s="6">
        <v>818</v>
      </c>
      <c r="CU55" s="6"/>
      <c r="CV55" s="6">
        <f t="shared" si="19"/>
        <v>335</v>
      </c>
      <c r="CW55" s="6">
        <v>1153</v>
      </c>
      <c r="CX55" s="6"/>
      <c r="CY55" s="6">
        <f t="shared" si="20"/>
        <v>335</v>
      </c>
      <c r="CZ55" s="6">
        <v>279</v>
      </c>
      <c r="DA55" s="6">
        <v>1200</v>
      </c>
      <c r="DB55" s="6">
        <f t="shared" si="21"/>
        <v>326</v>
      </c>
      <c r="DC55" s="6">
        <v>612</v>
      </c>
      <c r="DD55" s="6"/>
      <c r="DE55" s="6">
        <f t="shared" si="22"/>
        <v>333</v>
      </c>
      <c r="DF55" s="6">
        <v>228</v>
      </c>
      <c r="DG55" s="6">
        <v>675</v>
      </c>
      <c r="DH55" s="6">
        <f t="shared" si="23"/>
        <v>291</v>
      </c>
      <c r="DI55" s="6"/>
      <c r="DJ55" s="6"/>
      <c r="DK55" s="6"/>
      <c r="DL55" s="6">
        <v>577</v>
      </c>
      <c r="DM55" s="6"/>
      <c r="DN55" s="6">
        <f t="shared" si="24"/>
        <v>349</v>
      </c>
      <c r="DO55" s="6">
        <v>888</v>
      </c>
      <c r="DP55" s="6"/>
      <c r="DQ55" s="6">
        <f t="shared" si="25"/>
        <v>311</v>
      </c>
    </row>
    <row r="56" spans="1:121">
      <c r="A56" s="6">
        <v>52</v>
      </c>
      <c r="B56" s="6">
        <v>401</v>
      </c>
      <c r="C56" s="6"/>
      <c r="D56" s="6">
        <v>320</v>
      </c>
      <c r="E56" s="33" t="s">
        <v>130</v>
      </c>
      <c r="F56" s="33" t="s">
        <v>130</v>
      </c>
      <c r="G56" s="33" t="s">
        <v>130</v>
      </c>
      <c r="H56" s="33" t="s">
        <v>130</v>
      </c>
      <c r="I56" s="33" t="s">
        <v>130</v>
      </c>
      <c r="J56" s="33" t="s">
        <v>130</v>
      </c>
      <c r="K56" s="33" t="s">
        <v>130</v>
      </c>
      <c r="L56" s="33" t="s">
        <v>130</v>
      </c>
      <c r="M56" s="33" t="s">
        <v>130</v>
      </c>
      <c r="N56" s="33" t="s">
        <v>130</v>
      </c>
      <c r="O56" s="148" t="s">
        <v>130</v>
      </c>
      <c r="P56" s="33" t="s">
        <v>130</v>
      </c>
      <c r="Q56" s="33" t="s">
        <v>130</v>
      </c>
      <c r="R56" s="33" t="s">
        <v>130</v>
      </c>
      <c r="S56" s="33" t="s">
        <v>130</v>
      </c>
      <c r="T56" s="33" t="s">
        <v>130</v>
      </c>
      <c r="U56" s="33" t="s">
        <v>130</v>
      </c>
      <c r="V56" s="33" t="s">
        <v>130</v>
      </c>
      <c r="W56" s="33" t="s">
        <v>130</v>
      </c>
      <c r="X56" s="33" t="s">
        <v>130</v>
      </c>
      <c r="Y56" s="33" t="s">
        <v>130</v>
      </c>
      <c r="Z56" s="33" t="s">
        <v>130</v>
      </c>
      <c r="AA56" s="33" t="s">
        <v>130</v>
      </c>
      <c r="AB56" s="33" t="s">
        <v>130</v>
      </c>
      <c r="AC56" s="33" t="s">
        <v>130</v>
      </c>
      <c r="AD56" s="33" t="s">
        <v>130</v>
      </c>
      <c r="AE56" s="33" t="s">
        <v>130</v>
      </c>
      <c r="AF56" s="6">
        <v>766</v>
      </c>
      <c r="AG56" s="6"/>
      <c r="AH56" s="35">
        <f t="shared" si="0"/>
        <v>365</v>
      </c>
      <c r="AI56" s="35">
        <v>1109</v>
      </c>
      <c r="AJ56" s="35"/>
      <c r="AK56" s="35">
        <f t="shared" si="1"/>
        <v>343</v>
      </c>
      <c r="AL56" s="6">
        <v>251</v>
      </c>
      <c r="AM56" s="6">
        <v>1200</v>
      </c>
      <c r="AN56" s="35">
        <f t="shared" si="2"/>
        <v>342</v>
      </c>
      <c r="AO56" s="6">
        <v>595</v>
      </c>
      <c r="AP56" s="6"/>
      <c r="AQ56" s="34">
        <f t="shared" si="3"/>
        <v>344</v>
      </c>
      <c r="AR56" s="35">
        <v>942</v>
      </c>
      <c r="AS56" s="35"/>
      <c r="AT56" s="35">
        <f t="shared" si="4"/>
        <v>347</v>
      </c>
      <c r="AU56" s="6">
        <v>68</v>
      </c>
      <c r="AV56" s="6">
        <v>1200</v>
      </c>
      <c r="AW56" s="35">
        <f t="shared" si="5"/>
        <v>326</v>
      </c>
      <c r="AX56" s="6"/>
      <c r="AY56" s="6"/>
      <c r="AZ56" s="35"/>
      <c r="BA56" s="35">
        <v>422</v>
      </c>
      <c r="BB56" s="35"/>
      <c r="BC56" s="35">
        <f t="shared" si="6"/>
        <v>354</v>
      </c>
      <c r="BD56" s="35">
        <v>768</v>
      </c>
      <c r="BE56" s="6"/>
      <c r="BF56" s="35">
        <f t="shared" si="7"/>
        <v>346</v>
      </c>
      <c r="BG56" s="35">
        <v>0</v>
      </c>
      <c r="BH56" s="6">
        <v>1010</v>
      </c>
      <c r="BI56" s="6">
        <f t="shared" si="8"/>
        <v>242</v>
      </c>
      <c r="BJ56" s="6">
        <v>306</v>
      </c>
      <c r="BK56" s="6"/>
      <c r="BL56" s="6">
        <f t="shared" si="9"/>
        <v>306</v>
      </c>
      <c r="BM56" s="6">
        <v>651</v>
      </c>
      <c r="BN56" s="6"/>
      <c r="BO56" s="6">
        <f t="shared" si="10"/>
        <v>345</v>
      </c>
      <c r="BP56" s="6">
        <v>975</v>
      </c>
      <c r="BQ56" s="6"/>
      <c r="BR56" s="35">
        <f t="shared" si="11"/>
        <v>324</v>
      </c>
      <c r="BS56" s="6"/>
      <c r="BT56" s="6"/>
      <c r="BU56" s="6"/>
      <c r="BV56" s="6">
        <v>123</v>
      </c>
      <c r="BW56" s="6">
        <v>1200</v>
      </c>
      <c r="BX56" s="35">
        <f t="shared" si="12"/>
        <v>348</v>
      </c>
      <c r="BY56" s="6">
        <v>470</v>
      </c>
      <c r="BZ56" s="6"/>
      <c r="CA56" s="6">
        <f t="shared" si="13"/>
        <v>347</v>
      </c>
      <c r="CB56" s="6">
        <v>811</v>
      </c>
      <c r="CC56" s="6"/>
      <c r="CD56" s="6">
        <f t="shared" si="14"/>
        <v>341</v>
      </c>
      <c r="CE56" s="6">
        <v>1157</v>
      </c>
      <c r="CF56" s="6"/>
      <c r="CG56" s="6">
        <f t="shared" si="15"/>
        <v>346</v>
      </c>
      <c r="CH56" s="6">
        <v>304</v>
      </c>
      <c r="CI56" s="6">
        <v>1200</v>
      </c>
      <c r="CJ56" s="6">
        <f t="shared" si="16"/>
        <v>347</v>
      </c>
      <c r="CK56" s="6">
        <v>638</v>
      </c>
      <c r="CL56" s="6"/>
      <c r="CM56" s="6">
        <f t="shared" si="17"/>
        <v>334</v>
      </c>
      <c r="CN56" s="6"/>
      <c r="CO56" s="6"/>
      <c r="CP56" s="6"/>
      <c r="CQ56" s="6">
        <v>990</v>
      </c>
      <c r="CR56" s="6"/>
      <c r="CS56" s="6">
        <f t="shared" si="18"/>
        <v>352</v>
      </c>
      <c r="CT56" s="6">
        <v>132</v>
      </c>
      <c r="CU56" s="6">
        <v>1200</v>
      </c>
      <c r="CV56" s="6">
        <f t="shared" si="19"/>
        <v>342</v>
      </c>
      <c r="CW56" s="6">
        <v>476</v>
      </c>
      <c r="CX56" s="6"/>
      <c r="CY56" s="6">
        <f t="shared" si="20"/>
        <v>344</v>
      </c>
      <c r="CZ56" s="6">
        <v>824</v>
      </c>
      <c r="DA56" s="6"/>
      <c r="DB56" s="6">
        <f t="shared" si="21"/>
        <v>348</v>
      </c>
      <c r="DC56" s="6">
        <v>1174</v>
      </c>
      <c r="DD56" s="6"/>
      <c r="DE56" s="6">
        <f t="shared" si="22"/>
        <v>350</v>
      </c>
      <c r="DF56" s="6">
        <v>300</v>
      </c>
      <c r="DG56" s="6">
        <v>1200</v>
      </c>
      <c r="DH56" s="6">
        <f t="shared" si="23"/>
        <v>326</v>
      </c>
      <c r="DI56" s="6"/>
      <c r="DJ56" s="6"/>
      <c r="DK56" s="6"/>
      <c r="DL56" s="6">
        <v>650</v>
      </c>
      <c r="DM56" s="6"/>
      <c r="DN56" s="6">
        <f t="shared" si="24"/>
        <v>350</v>
      </c>
      <c r="DO56" s="6">
        <v>976</v>
      </c>
      <c r="DP56" s="6"/>
      <c r="DQ56" s="6">
        <f t="shared" si="25"/>
        <v>326</v>
      </c>
    </row>
    <row r="57" spans="1:121">
      <c r="A57" s="6">
        <v>53</v>
      </c>
      <c r="B57" s="6">
        <v>481</v>
      </c>
      <c r="C57" s="6"/>
      <c r="D57" s="6">
        <v>319</v>
      </c>
      <c r="E57" s="169" t="s">
        <v>130</v>
      </c>
      <c r="F57" s="169" t="s">
        <v>130</v>
      </c>
      <c r="G57" s="169" t="s">
        <v>130</v>
      </c>
      <c r="H57" s="169" t="s">
        <v>130</v>
      </c>
      <c r="I57" s="169" t="s">
        <v>130</v>
      </c>
      <c r="J57" s="169" t="s">
        <v>130</v>
      </c>
      <c r="K57" s="169" t="s">
        <v>130</v>
      </c>
      <c r="L57" s="169" t="s">
        <v>130</v>
      </c>
      <c r="M57" s="169" t="s">
        <v>130</v>
      </c>
      <c r="N57" s="169" t="s">
        <v>130</v>
      </c>
      <c r="O57" s="169" t="s">
        <v>130</v>
      </c>
      <c r="P57" s="167" t="s">
        <v>130</v>
      </c>
      <c r="Q57" s="169" t="s">
        <v>130</v>
      </c>
      <c r="R57" s="169" t="s">
        <v>130</v>
      </c>
      <c r="S57" s="169" t="s">
        <v>130</v>
      </c>
      <c r="T57" s="169" t="s">
        <v>130</v>
      </c>
      <c r="U57" s="169" t="s">
        <v>130</v>
      </c>
      <c r="V57" s="169" t="s">
        <v>130</v>
      </c>
      <c r="W57" s="169" t="s">
        <v>130</v>
      </c>
      <c r="X57" s="169" t="s">
        <v>130</v>
      </c>
      <c r="Y57" s="169" t="s">
        <v>130</v>
      </c>
      <c r="Z57" s="169" t="s">
        <v>130</v>
      </c>
      <c r="AA57" s="169" t="s">
        <v>130</v>
      </c>
      <c r="AB57" s="169" t="s">
        <v>130</v>
      </c>
      <c r="AC57" s="169" t="s">
        <v>130</v>
      </c>
      <c r="AD57" s="169" t="s">
        <v>130</v>
      </c>
      <c r="AE57" s="169" t="s">
        <v>130</v>
      </c>
      <c r="AF57" s="6">
        <v>848</v>
      </c>
      <c r="AG57" s="6"/>
      <c r="AH57" s="35">
        <f t="shared" si="0"/>
        <v>367</v>
      </c>
      <c r="AI57" s="35">
        <v>1192</v>
      </c>
      <c r="AJ57" s="35"/>
      <c r="AK57" s="35">
        <f t="shared" si="1"/>
        <v>344</v>
      </c>
      <c r="AL57" s="6">
        <v>340</v>
      </c>
      <c r="AM57" s="6">
        <v>1200</v>
      </c>
      <c r="AN57" s="35">
        <f t="shared" si="2"/>
        <v>348</v>
      </c>
      <c r="AO57" s="6">
        <v>687</v>
      </c>
      <c r="AP57" s="6"/>
      <c r="AQ57" s="34">
        <f t="shared" si="3"/>
        <v>347</v>
      </c>
      <c r="AR57" s="35">
        <v>1034</v>
      </c>
      <c r="AS57" s="35"/>
      <c r="AT57" s="35">
        <f t="shared" si="4"/>
        <v>347</v>
      </c>
      <c r="AU57" s="6">
        <v>156</v>
      </c>
      <c r="AV57" s="6">
        <v>1200</v>
      </c>
      <c r="AW57" s="35">
        <f t="shared" si="5"/>
        <v>322</v>
      </c>
      <c r="AX57" s="6"/>
      <c r="AY57" s="6"/>
      <c r="AZ57" s="35"/>
      <c r="BA57" s="35">
        <v>507</v>
      </c>
      <c r="BB57" s="35"/>
      <c r="BC57" s="35">
        <f t="shared" si="6"/>
        <v>351</v>
      </c>
      <c r="BD57" s="6">
        <v>853</v>
      </c>
      <c r="BE57" s="6"/>
      <c r="BF57" s="35">
        <f t="shared" si="7"/>
        <v>346</v>
      </c>
      <c r="BG57" s="6">
        <v>1</v>
      </c>
      <c r="BH57" s="6">
        <v>1200</v>
      </c>
      <c r="BI57" s="6">
        <f t="shared" si="8"/>
        <v>348</v>
      </c>
      <c r="BJ57" s="6">
        <v>0</v>
      </c>
      <c r="BK57" s="6">
        <v>296</v>
      </c>
      <c r="BL57" s="6">
        <f t="shared" si="9"/>
        <v>295</v>
      </c>
      <c r="BM57" s="6">
        <v>337</v>
      </c>
      <c r="BN57" s="6"/>
      <c r="BO57" s="6">
        <f t="shared" si="10"/>
        <v>337</v>
      </c>
      <c r="BP57" s="6">
        <v>662</v>
      </c>
      <c r="BQ57" s="6"/>
      <c r="BR57" s="35">
        <f t="shared" si="11"/>
        <v>325</v>
      </c>
      <c r="BS57" s="6"/>
      <c r="BT57" s="6"/>
      <c r="BU57" s="6"/>
      <c r="BV57" s="6">
        <v>1016</v>
      </c>
      <c r="BW57" s="6"/>
      <c r="BX57" s="35">
        <f t="shared" si="12"/>
        <v>354</v>
      </c>
      <c r="BY57" s="6">
        <v>163</v>
      </c>
      <c r="BZ57" s="6">
        <v>1200</v>
      </c>
      <c r="CA57" s="6">
        <f t="shared" si="13"/>
        <v>347</v>
      </c>
      <c r="CB57" s="6">
        <v>512</v>
      </c>
      <c r="CC57" s="6"/>
      <c r="CD57" s="6">
        <f t="shared" si="14"/>
        <v>349</v>
      </c>
      <c r="CE57" s="6">
        <v>860</v>
      </c>
      <c r="CF57" s="6"/>
      <c r="CG57" s="6">
        <f t="shared" si="15"/>
        <v>348</v>
      </c>
      <c r="CH57" s="6">
        <v>8</v>
      </c>
      <c r="CI57" s="6">
        <v>1200</v>
      </c>
      <c r="CJ57" s="6">
        <f t="shared" si="16"/>
        <v>348</v>
      </c>
      <c r="CK57" s="6">
        <v>348</v>
      </c>
      <c r="CL57" s="6"/>
      <c r="CM57" s="6">
        <f t="shared" si="17"/>
        <v>340</v>
      </c>
      <c r="CN57" s="6"/>
      <c r="CO57" s="6"/>
      <c r="CP57" s="6"/>
      <c r="CQ57" s="6">
        <v>699</v>
      </c>
      <c r="CR57" s="6"/>
      <c r="CS57" s="6">
        <f t="shared" si="18"/>
        <v>351</v>
      </c>
      <c r="CT57" s="6">
        <v>1044</v>
      </c>
      <c r="CU57" s="6"/>
      <c r="CV57" s="6">
        <f t="shared" si="19"/>
        <v>345</v>
      </c>
      <c r="CW57" s="6">
        <v>191</v>
      </c>
      <c r="CX57" s="6">
        <v>1200</v>
      </c>
      <c r="CY57" s="6">
        <f t="shared" si="20"/>
        <v>347</v>
      </c>
      <c r="CZ57" s="6">
        <v>535</v>
      </c>
      <c r="DA57" s="6"/>
      <c r="DB57" s="6">
        <f t="shared" si="21"/>
        <v>344</v>
      </c>
      <c r="DC57" s="6">
        <v>884</v>
      </c>
      <c r="DD57" s="6"/>
      <c r="DE57" s="6">
        <f t="shared" si="22"/>
        <v>349</v>
      </c>
      <c r="DF57" s="6">
        <v>180</v>
      </c>
      <c r="DG57" s="6">
        <v>1017</v>
      </c>
      <c r="DH57" s="6">
        <f t="shared" si="23"/>
        <v>313</v>
      </c>
      <c r="DI57" s="6"/>
      <c r="DJ57" s="6"/>
      <c r="DK57" s="6"/>
      <c r="DL57" s="6">
        <v>530</v>
      </c>
      <c r="DM57" s="6"/>
      <c r="DN57" s="6">
        <f t="shared" si="24"/>
        <v>350</v>
      </c>
      <c r="DO57" s="6">
        <v>854</v>
      </c>
      <c r="DP57" s="6"/>
      <c r="DQ57" s="6">
        <f t="shared" si="25"/>
        <v>324</v>
      </c>
    </row>
    <row r="58" spans="1:121">
      <c r="A58" s="6">
        <v>54</v>
      </c>
      <c r="B58" s="6">
        <v>354</v>
      </c>
      <c r="C58" s="6"/>
      <c r="D58" s="6">
        <v>311</v>
      </c>
      <c r="E58" s="33" t="s">
        <v>130</v>
      </c>
      <c r="F58" s="33" t="s">
        <v>130</v>
      </c>
      <c r="G58" s="33" t="s">
        <v>130</v>
      </c>
      <c r="H58" s="33" t="s">
        <v>130</v>
      </c>
      <c r="I58" s="33" t="s">
        <v>130</v>
      </c>
      <c r="J58" s="33" t="s">
        <v>130</v>
      </c>
      <c r="K58" s="33" t="s">
        <v>130</v>
      </c>
      <c r="L58" s="33" t="s">
        <v>130</v>
      </c>
      <c r="M58" s="33" t="s">
        <v>130</v>
      </c>
      <c r="N58" s="33" t="s">
        <v>130</v>
      </c>
      <c r="O58" s="33" t="s">
        <v>130</v>
      </c>
      <c r="P58" s="33" t="s">
        <v>130</v>
      </c>
      <c r="Q58" s="33" t="s">
        <v>130</v>
      </c>
      <c r="R58" s="33" t="s">
        <v>130</v>
      </c>
      <c r="S58" s="33" t="s">
        <v>130</v>
      </c>
      <c r="T58" s="33" t="s">
        <v>130</v>
      </c>
      <c r="U58" s="148" t="s">
        <v>130</v>
      </c>
      <c r="V58" s="33" t="s">
        <v>130</v>
      </c>
      <c r="W58" s="33" t="s">
        <v>130</v>
      </c>
      <c r="X58" s="33" t="s">
        <v>130</v>
      </c>
      <c r="Y58" s="33" t="s">
        <v>130</v>
      </c>
      <c r="Z58" s="33" t="s">
        <v>130</v>
      </c>
      <c r="AA58" s="33" t="s">
        <v>130</v>
      </c>
      <c r="AB58" s="33" t="s">
        <v>130</v>
      </c>
      <c r="AC58" s="33" t="s">
        <v>130</v>
      </c>
      <c r="AD58" s="33" t="s">
        <v>130</v>
      </c>
      <c r="AE58" s="33" t="s">
        <v>130</v>
      </c>
      <c r="AF58" s="35">
        <v>721</v>
      </c>
      <c r="AG58" s="35"/>
      <c r="AH58" s="35">
        <f t="shared" si="0"/>
        <v>367</v>
      </c>
      <c r="AI58" s="35">
        <v>1066</v>
      </c>
      <c r="AJ58" s="35"/>
      <c r="AK58" s="35">
        <f t="shared" si="1"/>
        <v>345</v>
      </c>
      <c r="AL58" s="6">
        <v>213</v>
      </c>
      <c r="AM58" s="35">
        <v>1200</v>
      </c>
      <c r="AN58" s="35">
        <f t="shared" si="2"/>
        <v>347</v>
      </c>
      <c r="AO58" s="6">
        <v>557</v>
      </c>
      <c r="AP58" s="6"/>
      <c r="AQ58" s="34">
        <f t="shared" si="3"/>
        <v>344</v>
      </c>
      <c r="AR58" s="35">
        <v>905</v>
      </c>
      <c r="AS58" s="35"/>
      <c r="AT58" s="35">
        <f t="shared" si="4"/>
        <v>348</v>
      </c>
      <c r="AU58" s="6">
        <v>24</v>
      </c>
      <c r="AV58" s="6">
        <v>1203</v>
      </c>
      <c r="AW58" s="35">
        <f t="shared" si="5"/>
        <v>322</v>
      </c>
      <c r="AX58" s="6"/>
      <c r="AY58" s="6"/>
      <c r="AZ58" s="35"/>
      <c r="BA58" s="6">
        <v>372</v>
      </c>
      <c r="BB58" s="6"/>
      <c r="BC58" s="35">
        <f t="shared" si="6"/>
        <v>348</v>
      </c>
      <c r="BD58" s="6">
        <v>713</v>
      </c>
      <c r="BE58" s="6"/>
      <c r="BF58" s="35">
        <f t="shared" si="7"/>
        <v>341</v>
      </c>
      <c r="BG58" s="6">
        <v>57</v>
      </c>
      <c r="BH58" s="6">
        <v>945</v>
      </c>
      <c r="BI58" s="6">
        <f t="shared" si="8"/>
        <v>289</v>
      </c>
      <c r="BJ58" s="6">
        <v>383</v>
      </c>
      <c r="BK58" s="35"/>
      <c r="BL58" s="6">
        <f t="shared" si="9"/>
        <v>326</v>
      </c>
      <c r="BM58" s="6">
        <v>279</v>
      </c>
      <c r="BN58" s="6">
        <v>438</v>
      </c>
      <c r="BO58" s="6">
        <f t="shared" si="10"/>
        <v>334</v>
      </c>
      <c r="BP58" s="6">
        <v>604</v>
      </c>
      <c r="BQ58" s="6"/>
      <c r="BR58" s="35">
        <f t="shared" si="11"/>
        <v>325</v>
      </c>
      <c r="BS58" s="6"/>
      <c r="BT58" s="6"/>
      <c r="BU58" s="6"/>
      <c r="BV58" s="6">
        <v>952</v>
      </c>
      <c r="BW58" s="6"/>
      <c r="BX58" s="35">
        <f t="shared" si="12"/>
        <v>348</v>
      </c>
      <c r="BY58" s="6">
        <v>1293</v>
      </c>
      <c r="BZ58" s="35"/>
      <c r="CA58" s="6">
        <f t="shared" si="13"/>
        <v>341</v>
      </c>
      <c r="CB58" s="6">
        <v>0</v>
      </c>
      <c r="CC58" s="6">
        <v>1489</v>
      </c>
      <c r="CD58" s="6">
        <f t="shared" si="14"/>
        <v>196</v>
      </c>
      <c r="CE58" s="6">
        <v>306</v>
      </c>
      <c r="CF58" s="35"/>
      <c r="CG58" s="6">
        <f t="shared" si="15"/>
        <v>306</v>
      </c>
      <c r="CH58" s="6">
        <v>637</v>
      </c>
      <c r="CI58" s="6"/>
      <c r="CJ58" s="6">
        <f t="shared" si="16"/>
        <v>331</v>
      </c>
      <c r="CK58" s="6">
        <v>968</v>
      </c>
      <c r="CL58" s="6"/>
      <c r="CM58" s="6">
        <f t="shared" si="17"/>
        <v>331</v>
      </c>
      <c r="CN58" s="6"/>
      <c r="CO58" s="6"/>
      <c r="CP58" s="6"/>
      <c r="CQ58" s="6">
        <v>113</v>
      </c>
      <c r="CR58" s="6">
        <v>1200</v>
      </c>
      <c r="CS58" s="6">
        <f t="shared" si="18"/>
        <v>345</v>
      </c>
      <c r="CT58" s="6">
        <v>450</v>
      </c>
      <c r="CU58" s="6"/>
      <c r="CV58" s="6">
        <f t="shared" si="19"/>
        <v>337</v>
      </c>
      <c r="CW58" s="6">
        <v>794</v>
      </c>
      <c r="CX58" s="6"/>
      <c r="CY58" s="6">
        <f t="shared" si="20"/>
        <v>344</v>
      </c>
      <c r="CZ58" s="6">
        <v>1137</v>
      </c>
      <c r="DA58" s="6"/>
      <c r="DB58" s="6">
        <f t="shared" si="21"/>
        <v>343</v>
      </c>
      <c r="DC58" s="6">
        <v>283</v>
      </c>
      <c r="DD58" s="6">
        <v>1200</v>
      </c>
      <c r="DE58" s="6">
        <f t="shared" si="22"/>
        <v>346</v>
      </c>
      <c r="DF58" s="6">
        <v>588</v>
      </c>
      <c r="DG58" s="6"/>
      <c r="DH58" s="6">
        <f t="shared" si="23"/>
        <v>305</v>
      </c>
      <c r="DI58" s="6"/>
      <c r="DJ58" s="6"/>
      <c r="DK58" s="6"/>
      <c r="DL58" s="6">
        <v>934</v>
      </c>
      <c r="DM58" s="6"/>
      <c r="DN58" s="6">
        <f t="shared" si="24"/>
        <v>346</v>
      </c>
      <c r="DO58" s="6">
        <v>47</v>
      </c>
      <c r="DP58" s="6">
        <v>1200</v>
      </c>
      <c r="DQ58" s="6">
        <f t="shared" si="25"/>
        <v>313</v>
      </c>
    </row>
    <row r="59" spans="1:121">
      <c r="A59" s="6">
        <v>55</v>
      </c>
      <c r="B59" s="6">
        <v>404</v>
      </c>
      <c r="C59" s="6"/>
      <c r="D59" s="6">
        <v>309</v>
      </c>
      <c r="E59" s="33" t="s">
        <v>130</v>
      </c>
      <c r="F59" s="33" t="s">
        <v>130</v>
      </c>
      <c r="G59" s="33" t="s">
        <v>130</v>
      </c>
      <c r="H59" s="33" t="s">
        <v>130</v>
      </c>
      <c r="I59" s="33" t="s">
        <v>130</v>
      </c>
      <c r="J59" s="33" t="s">
        <v>130</v>
      </c>
      <c r="K59" s="33" t="s">
        <v>130</v>
      </c>
      <c r="L59" s="33" t="s">
        <v>130</v>
      </c>
      <c r="M59" s="33" t="s">
        <v>130</v>
      </c>
      <c r="N59" s="33" t="s">
        <v>130</v>
      </c>
      <c r="O59" s="148" t="s">
        <v>130</v>
      </c>
      <c r="P59" s="33" t="s">
        <v>130</v>
      </c>
      <c r="Q59" s="33" t="s">
        <v>130</v>
      </c>
      <c r="R59" s="33" t="s">
        <v>130</v>
      </c>
      <c r="S59" s="33" t="s">
        <v>130</v>
      </c>
      <c r="T59" s="33" t="s">
        <v>130</v>
      </c>
      <c r="U59" s="33" t="s">
        <v>130</v>
      </c>
      <c r="V59" s="33" t="s">
        <v>130</v>
      </c>
      <c r="W59" s="33" t="s">
        <v>130</v>
      </c>
      <c r="X59" s="33" t="s">
        <v>130</v>
      </c>
      <c r="Y59" s="33" t="s">
        <v>130</v>
      </c>
      <c r="Z59" s="33" t="s">
        <v>130</v>
      </c>
      <c r="AA59" s="33" t="s">
        <v>130</v>
      </c>
      <c r="AB59" s="33" t="s">
        <v>130</v>
      </c>
      <c r="AC59" s="148" t="s">
        <v>130</v>
      </c>
      <c r="AD59" s="33" t="s">
        <v>130</v>
      </c>
      <c r="AE59" s="33" t="s">
        <v>130</v>
      </c>
      <c r="AF59" s="6">
        <v>767</v>
      </c>
      <c r="AG59" s="6"/>
      <c r="AH59" s="35">
        <f t="shared" si="0"/>
        <v>363</v>
      </c>
      <c r="AI59" s="35">
        <v>1109</v>
      </c>
      <c r="AJ59" s="35"/>
      <c r="AK59" s="35">
        <f t="shared" si="1"/>
        <v>342</v>
      </c>
      <c r="AL59" s="6">
        <v>252</v>
      </c>
      <c r="AM59" s="6">
        <v>1200</v>
      </c>
      <c r="AN59" s="35">
        <f t="shared" si="2"/>
        <v>343</v>
      </c>
      <c r="AO59" s="6">
        <v>592</v>
      </c>
      <c r="AP59" s="6"/>
      <c r="AQ59" s="34">
        <f t="shared" si="3"/>
        <v>340</v>
      </c>
      <c r="AR59" s="35">
        <v>942</v>
      </c>
      <c r="AS59" s="35"/>
      <c r="AT59" s="35">
        <f t="shared" si="4"/>
        <v>350</v>
      </c>
      <c r="AU59" s="6">
        <v>42</v>
      </c>
      <c r="AV59" s="6">
        <v>1216</v>
      </c>
      <c r="AW59" s="35">
        <f t="shared" si="5"/>
        <v>316</v>
      </c>
      <c r="AX59" s="6"/>
      <c r="AY59" s="6"/>
      <c r="AZ59" s="35"/>
      <c r="BA59" s="35">
        <v>396</v>
      </c>
      <c r="BB59" s="35"/>
      <c r="BC59" s="35">
        <f t="shared" si="6"/>
        <v>354</v>
      </c>
      <c r="BD59" s="6">
        <v>740</v>
      </c>
      <c r="BE59" s="6"/>
      <c r="BF59" s="35">
        <f t="shared" si="7"/>
        <v>344</v>
      </c>
      <c r="BG59" s="6">
        <v>0</v>
      </c>
      <c r="BH59" s="6">
        <v>1011</v>
      </c>
      <c r="BI59" s="6">
        <f t="shared" si="8"/>
        <v>271</v>
      </c>
      <c r="BJ59" s="6">
        <v>316</v>
      </c>
      <c r="BK59" s="6"/>
      <c r="BL59" s="6">
        <f t="shared" si="9"/>
        <v>316</v>
      </c>
      <c r="BM59" s="6">
        <v>659</v>
      </c>
      <c r="BN59" s="6"/>
      <c r="BO59" s="6">
        <f t="shared" si="10"/>
        <v>343</v>
      </c>
      <c r="BP59" s="6">
        <v>987</v>
      </c>
      <c r="BQ59" s="6"/>
      <c r="BR59" s="35">
        <f t="shared" si="11"/>
        <v>328</v>
      </c>
      <c r="BS59" s="6"/>
      <c r="BT59" s="6"/>
      <c r="BU59" s="6"/>
      <c r="BV59" s="6">
        <v>135</v>
      </c>
      <c r="BW59" s="6">
        <v>1200</v>
      </c>
      <c r="BX59" s="35">
        <f t="shared" si="12"/>
        <v>348</v>
      </c>
      <c r="BY59" s="6">
        <v>475</v>
      </c>
      <c r="BZ59" s="6"/>
      <c r="CA59" s="6">
        <f t="shared" si="13"/>
        <v>340</v>
      </c>
      <c r="CB59" s="6">
        <v>823</v>
      </c>
      <c r="CC59" s="6"/>
      <c r="CD59" s="6">
        <f t="shared" si="14"/>
        <v>348</v>
      </c>
      <c r="CE59" s="6">
        <v>1167</v>
      </c>
      <c r="CF59" s="6"/>
      <c r="CG59" s="6">
        <f t="shared" si="15"/>
        <v>344</v>
      </c>
      <c r="CH59" s="6">
        <v>311</v>
      </c>
      <c r="CI59" s="6">
        <v>1200</v>
      </c>
      <c r="CJ59" s="6">
        <f t="shared" si="16"/>
        <v>344</v>
      </c>
      <c r="CK59" s="6">
        <v>632</v>
      </c>
      <c r="CL59" s="6"/>
      <c r="CM59" s="6">
        <f t="shared" si="17"/>
        <v>321</v>
      </c>
      <c r="CN59" s="6"/>
      <c r="CO59" s="6"/>
      <c r="CP59" s="6"/>
      <c r="CQ59" s="6">
        <v>984</v>
      </c>
      <c r="CR59" s="6"/>
      <c r="CS59" s="6">
        <f t="shared" si="18"/>
        <v>352</v>
      </c>
      <c r="CT59" s="6">
        <v>130</v>
      </c>
      <c r="CU59" s="6">
        <v>1200</v>
      </c>
      <c r="CV59" s="6">
        <f t="shared" si="19"/>
        <v>346</v>
      </c>
      <c r="CW59" s="6">
        <v>475</v>
      </c>
      <c r="CX59" s="6"/>
      <c r="CY59" s="6">
        <f t="shared" si="20"/>
        <v>345</v>
      </c>
      <c r="CZ59" s="6">
        <v>822</v>
      </c>
      <c r="DA59" s="6"/>
      <c r="DB59" s="6">
        <f t="shared" si="21"/>
        <v>347</v>
      </c>
      <c r="DC59" s="6">
        <v>0</v>
      </c>
      <c r="DD59" s="6">
        <v>1124</v>
      </c>
      <c r="DE59" s="6">
        <f t="shared" si="22"/>
        <v>302</v>
      </c>
      <c r="DF59" s="6">
        <v>309</v>
      </c>
      <c r="DG59" s="6"/>
      <c r="DH59" s="6">
        <f t="shared" si="23"/>
        <v>309</v>
      </c>
      <c r="DI59" s="6"/>
      <c r="DJ59" s="6"/>
      <c r="DK59" s="6"/>
      <c r="DL59" s="6">
        <v>655</v>
      </c>
      <c r="DM59" s="6"/>
      <c r="DN59" s="6">
        <f t="shared" si="24"/>
        <v>346</v>
      </c>
      <c r="DO59" s="6">
        <v>296</v>
      </c>
      <c r="DP59" s="6">
        <v>662</v>
      </c>
      <c r="DQ59" s="6">
        <f t="shared" si="25"/>
        <v>303</v>
      </c>
    </row>
    <row r="60" spans="1:121">
      <c r="A60" s="6">
        <v>56</v>
      </c>
      <c r="B60" s="6">
        <v>782</v>
      </c>
      <c r="C60" s="6"/>
      <c r="D60" s="6">
        <v>313</v>
      </c>
      <c r="E60" s="33" t="s">
        <v>130</v>
      </c>
      <c r="F60" s="33" t="s">
        <v>130</v>
      </c>
      <c r="G60" s="33" t="s">
        <v>130</v>
      </c>
      <c r="H60" s="33" t="s">
        <v>130</v>
      </c>
      <c r="I60" s="33" t="s">
        <v>130</v>
      </c>
      <c r="J60" s="33" t="s">
        <v>130</v>
      </c>
      <c r="K60" s="33" t="s">
        <v>130</v>
      </c>
      <c r="L60" s="33" t="s">
        <v>130</v>
      </c>
      <c r="M60" s="33" t="s">
        <v>130</v>
      </c>
      <c r="N60" s="33" t="s">
        <v>130</v>
      </c>
      <c r="O60" s="33" t="s">
        <v>130</v>
      </c>
      <c r="P60" s="33" t="s">
        <v>130</v>
      </c>
      <c r="Q60" s="148" t="s">
        <v>130</v>
      </c>
      <c r="R60" s="33" t="s">
        <v>130</v>
      </c>
      <c r="S60" s="33" t="s">
        <v>130</v>
      </c>
      <c r="T60" s="33" t="s">
        <v>130</v>
      </c>
      <c r="U60" s="33" t="s">
        <v>130</v>
      </c>
      <c r="V60" s="33" t="s">
        <v>130</v>
      </c>
      <c r="W60" s="33" t="s">
        <v>130</v>
      </c>
      <c r="X60" s="33" t="s">
        <v>130</v>
      </c>
      <c r="Y60" s="33" t="s">
        <v>130</v>
      </c>
      <c r="Z60" s="33" t="s">
        <v>130</v>
      </c>
      <c r="AA60" s="33" t="s">
        <v>130</v>
      </c>
      <c r="AB60" s="33" t="s">
        <v>130</v>
      </c>
      <c r="AC60" s="33" t="s">
        <v>130</v>
      </c>
      <c r="AD60" s="33" t="s">
        <v>130</v>
      </c>
      <c r="AE60" s="33" t="s">
        <v>130</v>
      </c>
      <c r="AF60" s="35">
        <v>1142</v>
      </c>
      <c r="AG60" s="35"/>
      <c r="AH60" s="35">
        <f t="shared" si="0"/>
        <v>360</v>
      </c>
      <c r="AI60" s="35">
        <v>281</v>
      </c>
      <c r="AJ60" s="35">
        <v>1200</v>
      </c>
      <c r="AK60" s="35">
        <f t="shared" si="1"/>
        <v>339</v>
      </c>
      <c r="AL60" s="6">
        <v>623</v>
      </c>
      <c r="AM60" s="35"/>
      <c r="AN60" s="35">
        <f t="shared" si="2"/>
        <v>342</v>
      </c>
      <c r="AO60" s="6">
        <v>963</v>
      </c>
      <c r="AP60" s="6"/>
      <c r="AQ60" s="34">
        <f t="shared" si="3"/>
        <v>340</v>
      </c>
      <c r="AR60" s="35">
        <v>97</v>
      </c>
      <c r="AS60" s="35">
        <v>1204</v>
      </c>
      <c r="AT60" s="35">
        <f t="shared" si="4"/>
        <v>338</v>
      </c>
      <c r="AU60" s="6">
        <v>418</v>
      </c>
      <c r="AV60" s="6"/>
      <c r="AW60" s="35">
        <f t="shared" si="5"/>
        <v>321</v>
      </c>
      <c r="AX60" s="6"/>
      <c r="AY60" s="6"/>
      <c r="AZ60" s="35"/>
      <c r="BA60" s="6">
        <v>766</v>
      </c>
      <c r="BB60" s="6"/>
      <c r="BC60" s="35">
        <f t="shared" si="6"/>
        <v>348</v>
      </c>
      <c r="BD60" s="6">
        <v>1105</v>
      </c>
      <c r="BE60" s="6"/>
      <c r="BF60" s="35">
        <f t="shared" si="7"/>
        <v>339</v>
      </c>
      <c r="BG60" s="6">
        <v>245</v>
      </c>
      <c r="BH60" s="6">
        <v>1200</v>
      </c>
      <c r="BI60" s="6">
        <f t="shared" si="8"/>
        <v>340</v>
      </c>
      <c r="BJ60" s="6">
        <v>587</v>
      </c>
      <c r="BK60" s="35"/>
      <c r="BL60" s="6">
        <f t="shared" si="9"/>
        <v>342</v>
      </c>
      <c r="BM60" s="6">
        <v>0</v>
      </c>
      <c r="BN60" s="6">
        <v>784</v>
      </c>
      <c r="BO60" s="6">
        <f t="shared" si="10"/>
        <v>197</v>
      </c>
      <c r="BP60" s="6">
        <v>301</v>
      </c>
      <c r="BQ60" s="6"/>
      <c r="BR60" s="35">
        <f t="shared" si="11"/>
        <v>301</v>
      </c>
      <c r="BS60" s="6"/>
      <c r="BT60" s="6"/>
      <c r="BU60" s="6"/>
      <c r="BV60" s="6">
        <v>646</v>
      </c>
      <c r="BW60" s="6"/>
      <c r="BX60" s="35">
        <f t="shared" si="12"/>
        <v>345</v>
      </c>
      <c r="BY60" s="6">
        <v>985</v>
      </c>
      <c r="BZ60" s="35"/>
      <c r="CA60" s="6">
        <f t="shared" si="13"/>
        <v>339</v>
      </c>
      <c r="CB60" s="6">
        <v>126</v>
      </c>
      <c r="CC60" s="6">
        <v>1200</v>
      </c>
      <c r="CD60" s="6">
        <f t="shared" si="14"/>
        <v>341</v>
      </c>
      <c r="CE60" s="6">
        <v>464</v>
      </c>
      <c r="CF60" s="35"/>
      <c r="CG60" s="6">
        <f t="shared" si="15"/>
        <v>338</v>
      </c>
      <c r="CH60" s="6">
        <v>798</v>
      </c>
      <c r="CI60" s="6"/>
      <c r="CJ60" s="6">
        <f t="shared" si="16"/>
        <v>334</v>
      </c>
      <c r="CK60" s="6">
        <v>1118</v>
      </c>
      <c r="CL60" s="6"/>
      <c r="CM60" s="6">
        <f t="shared" si="17"/>
        <v>320</v>
      </c>
      <c r="CN60" s="6"/>
      <c r="CO60" s="6"/>
      <c r="CP60" s="6"/>
      <c r="CQ60" s="6">
        <v>262</v>
      </c>
      <c r="CR60" s="6">
        <v>1200</v>
      </c>
      <c r="CS60" s="6">
        <f t="shared" si="18"/>
        <v>344</v>
      </c>
      <c r="CT60" s="6">
        <v>602</v>
      </c>
      <c r="CU60" s="6"/>
      <c r="CV60" s="6">
        <f t="shared" si="19"/>
        <v>340</v>
      </c>
      <c r="CW60" s="6">
        <v>943</v>
      </c>
      <c r="CX60" s="6"/>
      <c r="CY60" s="6">
        <f t="shared" si="20"/>
        <v>341</v>
      </c>
      <c r="CZ60" s="6">
        <v>90</v>
      </c>
      <c r="DA60" s="6">
        <v>1195</v>
      </c>
      <c r="DB60" s="6">
        <f t="shared" si="21"/>
        <v>342</v>
      </c>
      <c r="DC60" s="6">
        <v>432</v>
      </c>
      <c r="DD60" s="6"/>
      <c r="DE60" s="6">
        <f t="shared" si="22"/>
        <v>342</v>
      </c>
      <c r="DF60" s="6">
        <v>755</v>
      </c>
      <c r="DG60" s="6"/>
      <c r="DH60" s="6">
        <f t="shared" si="23"/>
        <v>323</v>
      </c>
      <c r="DI60" s="6"/>
      <c r="DJ60" s="6"/>
      <c r="DK60" s="6"/>
      <c r="DL60" s="6">
        <v>1096</v>
      </c>
      <c r="DM60" s="6"/>
      <c r="DN60" s="6">
        <f t="shared" si="24"/>
        <v>341</v>
      </c>
      <c r="DO60" s="6">
        <v>213</v>
      </c>
      <c r="DP60" s="6">
        <v>1200</v>
      </c>
      <c r="DQ60" s="6">
        <f t="shared" si="25"/>
        <v>317</v>
      </c>
    </row>
    <row r="61" spans="1:121" s="51" customFormat="1">
      <c r="A61" s="50">
        <v>57</v>
      </c>
      <c r="B61" s="50">
        <v>702</v>
      </c>
      <c r="C61" s="50"/>
      <c r="D61" s="6">
        <v>320</v>
      </c>
      <c r="E61" s="33" t="s">
        <v>130</v>
      </c>
      <c r="F61" s="33" t="s">
        <v>130</v>
      </c>
      <c r="G61" s="33" t="s">
        <v>130</v>
      </c>
      <c r="H61" s="33" t="s">
        <v>130</v>
      </c>
      <c r="I61" s="33" t="s">
        <v>130</v>
      </c>
      <c r="J61" s="33" t="s">
        <v>130</v>
      </c>
      <c r="K61" s="33" t="s">
        <v>130</v>
      </c>
      <c r="L61" s="33" t="s">
        <v>130</v>
      </c>
      <c r="M61" s="33" t="s">
        <v>130</v>
      </c>
      <c r="N61" s="148" t="s">
        <v>130</v>
      </c>
      <c r="O61" s="33" t="s">
        <v>130</v>
      </c>
      <c r="P61" s="33" t="s">
        <v>130</v>
      </c>
      <c r="Q61" s="33" t="s">
        <v>130</v>
      </c>
      <c r="R61" s="33" t="s">
        <v>130</v>
      </c>
      <c r="S61" s="33" t="s">
        <v>130</v>
      </c>
      <c r="T61" s="33" t="s">
        <v>130</v>
      </c>
      <c r="U61" s="33" t="s">
        <v>130</v>
      </c>
      <c r="V61" s="33" t="s">
        <v>130</v>
      </c>
      <c r="W61" s="33" t="s">
        <v>130</v>
      </c>
      <c r="X61" s="33" t="s">
        <v>130</v>
      </c>
      <c r="Y61" s="33" t="s">
        <v>130</v>
      </c>
      <c r="Z61" s="33" t="s">
        <v>130</v>
      </c>
      <c r="AA61" s="33" t="s">
        <v>130</v>
      </c>
      <c r="AB61" s="33" t="s">
        <v>130</v>
      </c>
      <c r="AC61" s="33" t="s">
        <v>130</v>
      </c>
      <c r="AD61" s="33" t="s">
        <v>130</v>
      </c>
      <c r="AE61" s="148" t="s">
        <v>130</v>
      </c>
      <c r="AF61" s="50">
        <v>164</v>
      </c>
      <c r="AG61" s="50">
        <v>903</v>
      </c>
      <c r="AH61" s="35">
        <f t="shared" si="0"/>
        <v>365</v>
      </c>
      <c r="AI61" s="96">
        <v>509</v>
      </c>
      <c r="AJ61" s="96"/>
      <c r="AK61" s="35">
        <f t="shared" si="1"/>
        <v>345</v>
      </c>
      <c r="AL61" s="50">
        <v>858</v>
      </c>
      <c r="AM61" s="50"/>
      <c r="AN61" s="35">
        <f t="shared" si="2"/>
        <v>349</v>
      </c>
      <c r="AO61" s="6">
        <v>5</v>
      </c>
      <c r="AP61" s="6">
        <v>1200</v>
      </c>
      <c r="AQ61" s="34">
        <f t="shared" si="3"/>
        <v>347</v>
      </c>
      <c r="AR61" s="96">
        <v>353</v>
      </c>
      <c r="AS61" s="96"/>
      <c r="AT61" s="35">
        <f t="shared" si="4"/>
        <v>348</v>
      </c>
      <c r="AU61" s="50">
        <v>679</v>
      </c>
      <c r="AV61" s="50"/>
      <c r="AW61" s="35">
        <f t="shared" si="5"/>
        <v>326</v>
      </c>
      <c r="AX61" s="50"/>
      <c r="AY61" s="50"/>
      <c r="AZ61" s="35"/>
      <c r="BA61" s="96">
        <v>1030</v>
      </c>
      <c r="BB61" s="96"/>
      <c r="BC61" s="35">
        <f t="shared" si="6"/>
        <v>351</v>
      </c>
      <c r="BD61" s="50">
        <v>0</v>
      </c>
      <c r="BE61" s="50">
        <v>1340</v>
      </c>
      <c r="BF61" s="35">
        <f t="shared" si="7"/>
        <v>310</v>
      </c>
      <c r="BG61" s="50">
        <v>300</v>
      </c>
      <c r="BH61" s="50"/>
      <c r="BI61" s="6">
        <f t="shared" si="8"/>
        <v>300</v>
      </c>
      <c r="BJ61" s="50">
        <v>649</v>
      </c>
      <c r="BK61" s="50"/>
      <c r="BL61" s="6">
        <f t="shared" si="9"/>
        <v>349</v>
      </c>
      <c r="BM61" s="50">
        <v>1001</v>
      </c>
      <c r="BN61" s="50"/>
      <c r="BO61" s="6">
        <f t="shared" si="10"/>
        <v>352</v>
      </c>
      <c r="BP61" s="50">
        <v>122</v>
      </c>
      <c r="BQ61" s="50">
        <v>1200</v>
      </c>
      <c r="BR61" s="35">
        <f t="shared" si="11"/>
        <v>321</v>
      </c>
      <c r="BS61" s="50"/>
      <c r="BT61" s="50"/>
      <c r="BU61" s="6"/>
      <c r="BV61" s="50">
        <v>473</v>
      </c>
      <c r="BW61" s="50"/>
      <c r="BX61" s="35">
        <f t="shared" si="12"/>
        <v>351</v>
      </c>
      <c r="BY61" s="50">
        <v>817</v>
      </c>
      <c r="BZ61" s="50"/>
      <c r="CA61" s="6">
        <f t="shared" si="13"/>
        <v>344</v>
      </c>
      <c r="CB61" s="50">
        <v>1157</v>
      </c>
      <c r="CC61" s="50"/>
      <c r="CD61" s="6">
        <f t="shared" si="14"/>
        <v>340</v>
      </c>
      <c r="CE61" s="50">
        <v>306</v>
      </c>
      <c r="CF61" s="50">
        <v>1200</v>
      </c>
      <c r="CG61" s="6">
        <f t="shared" si="15"/>
        <v>349</v>
      </c>
      <c r="CH61" s="50">
        <v>653</v>
      </c>
      <c r="CI61" s="50"/>
      <c r="CJ61" s="6">
        <f t="shared" si="16"/>
        <v>347</v>
      </c>
      <c r="CK61" s="50">
        <v>987</v>
      </c>
      <c r="CL61" s="50"/>
      <c r="CM61" s="6">
        <f t="shared" si="17"/>
        <v>334</v>
      </c>
      <c r="CN61" s="50"/>
      <c r="CO61" s="50"/>
      <c r="CP61" s="6"/>
      <c r="CQ61" s="50">
        <v>138</v>
      </c>
      <c r="CR61" s="50">
        <v>1200</v>
      </c>
      <c r="CS61" s="6">
        <f t="shared" si="18"/>
        <v>351</v>
      </c>
      <c r="CT61" s="50">
        <v>483</v>
      </c>
      <c r="CU61" s="50"/>
      <c r="CV61" s="6">
        <f t="shared" si="19"/>
        <v>345</v>
      </c>
      <c r="CW61" s="50">
        <v>833</v>
      </c>
      <c r="CX61" s="50"/>
      <c r="CY61" s="6">
        <f t="shared" si="20"/>
        <v>350</v>
      </c>
      <c r="CZ61" s="50">
        <v>1177</v>
      </c>
      <c r="DA61" s="50"/>
      <c r="DB61" s="6">
        <f t="shared" si="21"/>
        <v>344</v>
      </c>
      <c r="DC61" s="50">
        <v>327</v>
      </c>
      <c r="DD61" s="50">
        <v>1200</v>
      </c>
      <c r="DE61" s="6">
        <f t="shared" si="22"/>
        <v>350</v>
      </c>
      <c r="DF61" s="50">
        <v>655</v>
      </c>
      <c r="DG61" s="50"/>
      <c r="DH61" s="6">
        <f t="shared" si="23"/>
        <v>328</v>
      </c>
      <c r="DI61" s="50"/>
      <c r="DJ61" s="50"/>
      <c r="DK61" s="6"/>
      <c r="DL61" s="50">
        <v>0</v>
      </c>
      <c r="DM61" s="50">
        <v>927</v>
      </c>
      <c r="DN61" s="6">
        <f t="shared" si="24"/>
        <v>272</v>
      </c>
      <c r="DO61" s="50">
        <v>298</v>
      </c>
      <c r="DP61" s="50"/>
      <c r="DQ61" s="6">
        <f t="shared" si="25"/>
        <v>298</v>
      </c>
    </row>
    <row r="62" spans="1:121">
      <c r="A62" s="6">
        <v>58</v>
      </c>
      <c r="B62" s="6">
        <v>116</v>
      </c>
      <c r="C62" s="6">
        <v>1200</v>
      </c>
      <c r="D62" s="6">
        <v>319</v>
      </c>
      <c r="E62" s="33" t="s">
        <v>130</v>
      </c>
      <c r="F62" s="33" t="s">
        <v>130</v>
      </c>
      <c r="G62" s="33" t="s">
        <v>130</v>
      </c>
      <c r="H62" s="33" t="s">
        <v>130</v>
      </c>
      <c r="I62" s="33" t="s">
        <v>130</v>
      </c>
      <c r="J62" s="33" t="s">
        <v>130</v>
      </c>
      <c r="K62" s="33" t="s">
        <v>130</v>
      </c>
      <c r="L62" s="33" t="s">
        <v>130</v>
      </c>
      <c r="M62" s="33" t="s">
        <v>130</v>
      </c>
      <c r="N62" s="33" t="s">
        <v>130</v>
      </c>
      <c r="O62" s="33" t="s">
        <v>130</v>
      </c>
      <c r="P62" s="33" t="s">
        <v>130</v>
      </c>
      <c r="Q62" s="33" t="s">
        <v>130</v>
      </c>
      <c r="R62" s="33" t="s">
        <v>130</v>
      </c>
      <c r="S62" s="148" t="s">
        <v>130</v>
      </c>
      <c r="T62" s="33" t="s">
        <v>130</v>
      </c>
      <c r="U62" s="33" t="s">
        <v>130</v>
      </c>
      <c r="V62" s="33" t="s">
        <v>130</v>
      </c>
      <c r="W62" s="33" t="s">
        <v>130</v>
      </c>
      <c r="X62" s="33" t="s">
        <v>130</v>
      </c>
      <c r="Y62" s="33" t="s">
        <v>130</v>
      </c>
      <c r="Z62" s="33" t="s">
        <v>130</v>
      </c>
      <c r="AA62" s="33" t="s">
        <v>130</v>
      </c>
      <c r="AB62" s="33" t="s">
        <v>130</v>
      </c>
      <c r="AC62" s="33" t="s">
        <v>130</v>
      </c>
      <c r="AD62" s="33" t="s">
        <v>130</v>
      </c>
      <c r="AE62" s="33" t="s">
        <v>130</v>
      </c>
      <c r="AF62" s="35">
        <v>486</v>
      </c>
      <c r="AG62" s="35"/>
      <c r="AH62" s="35">
        <f t="shared" si="0"/>
        <v>370</v>
      </c>
      <c r="AI62" s="35">
        <v>834</v>
      </c>
      <c r="AJ62" s="35"/>
      <c r="AK62" s="35">
        <f t="shared" si="1"/>
        <v>348</v>
      </c>
      <c r="AL62" s="6">
        <v>1181</v>
      </c>
      <c r="AM62" s="35"/>
      <c r="AN62" s="35">
        <f t="shared" si="2"/>
        <v>347</v>
      </c>
      <c r="AO62" s="6">
        <v>327</v>
      </c>
      <c r="AP62" s="6">
        <v>1200</v>
      </c>
      <c r="AQ62" s="34">
        <f t="shared" si="3"/>
        <v>346</v>
      </c>
      <c r="AR62" s="35">
        <v>671</v>
      </c>
      <c r="AS62" s="35"/>
      <c r="AT62" s="35">
        <f t="shared" si="4"/>
        <v>344</v>
      </c>
      <c r="AU62" s="6">
        <v>997</v>
      </c>
      <c r="AV62" s="6"/>
      <c r="AW62" s="35">
        <f t="shared" si="5"/>
        <v>326</v>
      </c>
      <c r="AX62" s="6"/>
      <c r="AY62" s="6"/>
      <c r="AZ62" s="35"/>
      <c r="BA62" s="6">
        <v>148</v>
      </c>
      <c r="BB62" s="6">
        <v>1200</v>
      </c>
      <c r="BC62" s="35">
        <f t="shared" si="6"/>
        <v>351</v>
      </c>
      <c r="BD62" s="6">
        <v>492</v>
      </c>
      <c r="BE62" s="6"/>
      <c r="BF62" s="35">
        <f t="shared" si="7"/>
        <v>344</v>
      </c>
      <c r="BG62" s="6">
        <v>840</v>
      </c>
      <c r="BH62" s="6"/>
      <c r="BI62" s="6">
        <f t="shared" si="8"/>
        <v>348</v>
      </c>
      <c r="BJ62" s="6">
        <v>1185</v>
      </c>
      <c r="BK62" s="35"/>
      <c r="BL62" s="6">
        <f t="shared" si="9"/>
        <v>345</v>
      </c>
      <c r="BM62" s="6">
        <v>326</v>
      </c>
      <c r="BN62" s="6">
        <v>1200</v>
      </c>
      <c r="BO62" s="6">
        <f t="shared" si="10"/>
        <v>341</v>
      </c>
      <c r="BP62" s="6">
        <v>646</v>
      </c>
      <c r="BQ62" s="6"/>
      <c r="BR62" s="35">
        <f t="shared" si="11"/>
        <v>320</v>
      </c>
      <c r="BS62" s="6"/>
      <c r="BT62" s="6"/>
      <c r="BU62" s="6"/>
      <c r="BV62" s="6">
        <v>998</v>
      </c>
      <c r="BW62" s="6"/>
      <c r="BX62" s="35">
        <f t="shared" si="12"/>
        <v>352</v>
      </c>
      <c r="BY62" s="6">
        <v>271</v>
      </c>
      <c r="BZ62" s="35">
        <v>1021</v>
      </c>
      <c r="CA62" s="6">
        <f t="shared" si="13"/>
        <v>294</v>
      </c>
      <c r="CB62" s="6">
        <v>593</v>
      </c>
      <c r="CC62" s="6"/>
      <c r="CD62" s="6">
        <f t="shared" si="14"/>
        <v>322</v>
      </c>
      <c r="CE62" s="6">
        <v>930</v>
      </c>
      <c r="CF62" s="35"/>
      <c r="CG62" s="6">
        <f t="shared" si="15"/>
        <v>337</v>
      </c>
      <c r="CH62" s="6">
        <v>57</v>
      </c>
      <c r="CI62" s="6">
        <v>1195</v>
      </c>
      <c r="CJ62" s="6">
        <f t="shared" si="16"/>
        <v>322</v>
      </c>
      <c r="CK62" s="6">
        <v>373</v>
      </c>
      <c r="CL62" s="6"/>
      <c r="CM62" s="6">
        <f t="shared" si="17"/>
        <v>316</v>
      </c>
      <c r="CN62" s="6"/>
      <c r="CO62" s="6"/>
      <c r="CP62" s="6"/>
      <c r="CQ62" s="6">
        <v>723</v>
      </c>
      <c r="CR62" s="6"/>
      <c r="CS62" s="6">
        <f t="shared" si="18"/>
        <v>350</v>
      </c>
      <c r="CT62" s="6">
        <v>91</v>
      </c>
      <c r="CU62" s="6">
        <v>965</v>
      </c>
      <c r="CV62" s="6">
        <f t="shared" si="19"/>
        <v>333</v>
      </c>
      <c r="CW62" s="6">
        <v>429</v>
      </c>
      <c r="CX62" s="6"/>
      <c r="CY62" s="6">
        <f t="shared" si="20"/>
        <v>338</v>
      </c>
      <c r="CZ62" s="6">
        <v>760</v>
      </c>
      <c r="DA62" s="6"/>
      <c r="DB62" s="6">
        <f t="shared" si="21"/>
        <v>331</v>
      </c>
      <c r="DC62" s="6">
        <v>1101</v>
      </c>
      <c r="DD62" s="6"/>
      <c r="DE62" s="6">
        <f t="shared" si="22"/>
        <v>341</v>
      </c>
      <c r="DF62" s="6">
        <v>219</v>
      </c>
      <c r="DG62" s="6">
        <v>1200</v>
      </c>
      <c r="DH62" s="6">
        <f t="shared" si="23"/>
        <v>318</v>
      </c>
      <c r="DI62" s="6"/>
      <c r="DJ62" s="6"/>
      <c r="DK62" s="6"/>
      <c r="DL62" s="6">
        <v>554</v>
      </c>
      <c r="DM62" s="6"/>
      <c r="DN62" s="6">
        <f t="shared" si="24"/>
        <v>335</v>
      </c>
      <c r="DO62" s="6">
        <v>878</v>
      </c>
      <c r="DP62" s="6"/>
      <c r="DQ62" s="6">
        <f t="shared" si="25"/>
        <v>324</v>
      </c>
    </row>
    <row r="63" spans="1:121">
      <c r="A63" s="6">
        <v>59</v>
      </c>
      <c r="B63" s="6">
        <v>455</v>
      </c>
      <c r="C63" s="6"/>
      <c r="D63" s="6">
        <v>318</v>
      </c>
      <c r="E63" s="33" t="s">
        <v>130</v>
      </c>
      <c r="F63" s="33" t="s">
        <v>130</v>
      </c>
      <c r="G63" s="33" t="s">
        <v>130</v>
      </c>
      <c r="H63" s="33" t="s">
        <v>130</v>
      </c>
      <c r="I63" s="33" t="s">
        <v>130</v>
      </c>
      <c r="J63" s="33" t="s">
        <v>130</v>
      </c>
      <c r="K63" s="33" t="s">
        <v>130</v>
      </c>
      <c r="L63" s="33" t="s">
        <v>130</v>
      </c>
      <c r="M63" s="33" t="s">
        <v>130</v>
      </c>
      <c r="N63" s="33" t="s">
        <v>130</v>
      </c>
      <c r="O63" s="33" t="s">
        <v>130</v>
      </c>
      <c r="P63" s="33" t="s">
        <v>130</v>
      </c>
      <c r="Q63" s="33" t="s">
        <v>130</v>
      </c>
      <c r="R63" s="148" t="s">
        <v>130</v>
      </c>
      <c r="S63" s="33" t="s">
        <v>130</v>
      </c>
      <c r="T63" s="33" t="s">
        <v>130</v>
      </c>
      <c r="U63" s="33" t="s">
        <v>130</v>
      </c>
      <c r="V63" s="33" t="s">
        <v>130</v>
      </c>
      <c r="W63" s="33" t="s">
        <v>130</v>
      </c>
      <c r="X63" s="33" t="s">
        <v>130</v>
      </c>
      <c r="Y63" s="33" t="s">
        <v>130</v>
      </c>
      <c r="Z63" s="33" t="s">
        <v>130</v>
      </c>
      <c r="AA63" s="33" t="s">
        <v>130</v>
      </c>
      <c r="AB63" s="33" t="s">
        <v>130</v>
      </c>
      <c r="AC63" s="33" t="s">
        <v>130</v>
      </c>
      <c r="AD63" s="33" t="s">
        <v>130</v>
      </c>
      <c r="AE63" s="33" t="s">
        <v>130</v>
      </c>
      <c r="AF63" s="35">
        <v>825</v>
      </c>
      <c r="AG63" s="35"/>
      <c r="AH63" s="35">
        <f t="shared" si="0"/>
        <v>370</v>
      </c>
      <c r="AI63" s="35">
        <v>1162</v>
      </c>
      <c r="AJ63" s="35"/>
      <c r="AK63" s="35">
        <f t="shared" si="1"/>
        <v>337</v>
      </c>
      <c r="AL63" s="35">
        <v>311</v>
      </c>
      <c r="AM63" s="35">
        <v>1200</v>
      </c>
      <c r="AN63" s="35">
        <f t="shared" si="2"/>
        <v>349</v>
      </c>
      <c r="AO63" s="6">
        <v>653</v>
      </c>
      <c r="AP63" s="6"/>
      <c r="AQ63" s="34">
        <f t="shared" si="3"/>
        <v>342</v>
      </c>
      <c r="AR63" s="35">
        <v>994</v>
      </c>
      <c r="AS63" s="35"/>
      <c r="AT63" s="35">
        <f t="shared" si="4"/>
        <v>341</v>
      </c>
      <c r="AU63" s="6">
        <v>167</v>
      </c>
      <c r="AV63" s="6">
        <v>1150</v>
      </c>
      <c r="AW63" s="35">
        <f t="shared" si="5"/>
        <v>323</v>
      </c>
      <c r="AX63" s="6"/>
      <c r="AY63" s="6"/>
      <c r="AZ63" s="35"/>
      <c r="BA63" s="6">
        <v>519</v>
      </c>
      <c r="BB63" s="6"/>
      <c r="BC63" s="35">
        <f t="shared" si="6"/>
        <v>352</v>
      </c>
      <c r="BD63" s="6">
        <v>845</v>
      </c>
      <c r="BE63" s="6"/>
      <c r="BF63" s="35">
        <f t="shared" si="7"/>
        <v>326</v>
      </c>
      <c r="BG63" s="6">
        <v>1192</v>
      </c>
      <c r="BH63" s="6"/>
      <c r="BI63" s="6">
        <f t="shared" si="8"/>
        <v>347</v>
      </c>
      <c r="BJ63" s="6">
        <v>340</v>
      </c>
      <c r="BK63" s="35">
        <v>1200</v>
      </c>
      <c r="BL63" s="6">
        <f t="shared" si="9"/>
        <v>348</v>
      </c>
      <c r="BM63" s="6">
        <v>690</v>
      </c>
      <c r="BN63" s="6"/>
      <c r="BO63" s="6">
        <f t="shared" si="10"/>
        <v>350</v>
      </c>
      <c r="BP63" s="6">
        <v>1020</v>
      </c>
      <c r="BQ63" s="6"/>
      <c r="BR63" s="35">
        <f t="shared" si="11"/>
        <v>330</v>
      </c>
      <c r="BS63" s="6"/>
      <c r="BT63" s="6"/>
      <c r="BU63" s="6"/>
      <c r="BV63" s="6">
        <v>266</v>
      </c>
      <c r="BW63" s="6">
        <v>1078</v>
      </c>
      <c r="BX63" s="35">
        <f t="shared" si="12"/>
        <v>324</v>
      </c>
      <c r="BY63" s="6">
        <v>612</v>
      </c>
      <c r="BZ63" s="35"/>
      <c r="CA63" s="6">
        <f t="shared" si="13"/>
        <v>346</v>
      </c>
      <c r="CB63" s="6">
        <v>959</v>
      </c>
      <c r="CC63" s="6"/>
      <c r="CD63" s="6">
        <f t="shared" si="14"/>
        <v>347</v>
      </c>
      <c r="CE63" s="6">
        <v>106</v>
      </c>
      <c r="CF63" s="35">
        <v>1200</v>
      </c>
      <c r="CG63" s="6">
        <f t="shared" si="15"/>
        <v>347</v>
      </c>
      <c r="CH63" s="6">
        <v>452</v>
      </c>
      <c r="CI63" s="6"/>
      <c r="CJ63" s="6">
        <f t="shared" si="16"/>
        <v>346</v>
      </c>
      <c r="CK63" s="6">
        <v>791</v>
      </c>
      <c r="CL63" s="6"/>
      <c r="CM63" s="6">
        <f t="shared" si="17"/>
        <v>339</v>
      </c>
      <c r="CN63" s="6"/>
      <c r="CO63" s="6"/>
      <c r="CP63" s="6"/>
      <c r="CQ63" s="6">
        <v>1140</v>
      </c>
      <c r="CR63" s="6"/>
      <c r="CS63" s="6">
        <f t="shared" si="18"/>
        <v>349</v>
      </c>
      <c r="CT63" s="6">
        <v>287</v>
      </c>
      <c r="CU63" s="6">
        <v>1200</v>
      </c>
      <c r="CV63" s="6">
        <f t="shared" si="19"/>
        <v>347</v>
      </c>
      <c r="CW63" s="6">
        <v>634</v>
      </c>
      <c r="CX63" s="6"/>
      <c r="CY63" s="6">
        <f t="shared" si="20"/>
        <v>347</v>
      </c>
      <c r="CZ63" s="6">
        <v>981</v>
      </c>
      <c r="DA63" s="6"/>
      <c r="DB63" s="6">
        <f t="shared" si="21"/>
        <v>347</v>
      </c>
      <c r="DC63" s="6">
        <v>131</v>
      </c>
      <c r="DD63" s="6">
        <v>1200</v>
      </c>
      <c r="DE63" s="6">
        <f t="shared" si="22"/>
        <v>350</v>
      </c>
      <c r="DF63" s="6">
        <v>462</v>
      </c>
      <c r="DG63" s="6"/>
      <c r="DH63" s="6">
        <f t="shared" si="23"/>
        <v>331</v>
      </c>
      <c r="DI63" s="6"/>
      <c r="DJ63" s="6"/>
      <c r="DK63" s="6"/>
      <c r="DL63" s="6">
        <v>811</v>
      </c>
      <c r="DM63" s="6"/>
      <c r="DN63" s="6">
        <f t="shared" si="24"/>
        <v>349</v>
      </c>
      <c r="DO63" s="6">
        <v>1135</v>
      </c>
      <c r="DP63" s="6"/>
      <c r="DQ63" s="6">
        <f t="shared" si="25"/>
        <v>324</v>
      </c>
    </row>
    <row r="64" spans="1:121">
      <c r="A64" s="6">
        <v>60</v>
      </c>
      <c r="B64" s="6">
        <v>632</v>
      </c>
      <c r="C64" s="6"/>
      <c r="D64" s="6">
        <v>318</v>
      </c>
      <c r="E64" s="33" t="s">
        <v>130</v>
      </c>
      <c r="F64" s="33" t="s">
        <v>130</v>
      </c>
      <c r="G64" s="33" t="s">
        <v>130</v>
      </c>
      <c r="H64" s="33" t="s">
        <v>130</v>
      </c>
      <c r="I64" s="33" t="s">
        <v>130</v>
      </c>
      <c r="J64" s="33" t="s">
        <v>130</v>
      </c>
      <c r="K64" s="33" t="s">
        <v>130</v>
      </c>
      <c r="L64" s="33" t="s">
        <v>130</v>
      </c>
      <c r="M64" s="33" t="s">
        <v>130</v>
      </c>
      <c r="N64" s="33" t="s">
        <v>130</v>
      </c>
      <c r="O64" s="33" t="s">
        <v>130</v>
      </c>
      <c r="P64" s="33" t="s">
        <v>130</v>
      </c>
      <c r="Q64" s="33" t="s">
        <v>130</v>
      </c>
      <c r="R64" s="33" t="s">
        <v>130</v>
      </c>
      <c r="S64" s="33" t="s">
        <v>130</v>
      </c>
      <c r="T64" s="33" t="s">
        <v>130</v>
      </c>
      <c r="U64" s="148" t="s">
        <v>130</v>
      </c>
      <c r="V64" s="33" t="s">
        <v>130</v>
      </c>
      <c r="W64" s="33" t="s">
        <v>130</v>
      </c>
      <c r="X64" s="33" t="s">
        <v>130</v>
      </c>
      <c r="Y64" s="33" t="s">
        <v>130</v>
      </c>
      <c r="Z64" s="33" t="s">
        <v>130</v>
      </c>
      <c r="AA64" s="33" t="s">
        <v>130</v>
      </c>
      <c r="AB64" s="33" t="s">
        <v>130</v>
      </c>
      <c r="AC64" s="33" t="s">
        <v>130</v>
      </c>
      <c r="AD64" s="33" t="s">
        <v>130</v>
      </c>
      <c r="AE64" s="33" t="s">
        <v>130</v>
      </c>
      <c r="AF64" s="6">
        <v>344</v>
      </c>
      <c r="AG64" s="6">
        <v>648</v>
      </c>
      <c r="AH64" s="35">
        <f t="shared" si="0"/>
        <v>360</v>
      </c>
      <c r="AI64" s="35">
        <v>690</v>
      </c>
      <c r="AJ64" s="35"/>
      <c r="AK64" s="35">
        <f t="shared" si="1"/>
        <v>346</v>
      </c>
      <c r="AL64" s="6">
        <v>1036</v>
      </c>
      <c r="AM64" s="6"/>
      <c r="AN64" s="35">
        <f t="shared" si="2"/>
        <v>346</v>
      </c>
      <c r="AO64" s="6">
        <v>183</v>
      </c>
      <c r="AP64" s="6">
        <v>1200</v>
      </c>
      <c r="AQ64" s="34">
        <f t="shared" si="3"/>
        <v>347</v>
      </c>
      <c r="AR64" s="35">
        <v>530</v>
      </c>
      <c r="AS64" s="35"/>
      <c r="AT64" s="35">
        <f t="shared" si="4"/>
        <v>347</v>
      </c>
      <c r="AU64" s="6">
        <v>857</v>
      </c>
      <c r="AV64" s="6"/>
      <c r="AW64" s="35">
        <f t="shared" si="5"/>
        <v>327</v>
      </c>
      <c r="AX64" s="6"/>
      <c r="AY64" s="6"/>
      <c r="AZ64" s="35"/>
      <c r="BA64" s="35">
        <v>11</v>
      </c>
      <c r="BB64" s="35">
        <v>1200</v>
      </c>
      <c r="BC64" s="35">
        <f t="shared" si="6"/>
        <v>354</v>
      </c>
      <c r="BD64" s="6">
        <v>356</v>
      </c>
      <c r="BE64" s="6"/>
      <c r="BF64" s="35">
        <f t="shared" si="7"/>
        <v>345</v>
      </c>
      <c r="BG64" s="6">
        <v>702</v>
      </c>
      <c r="BH64" s="6"/>
      <c r="BI64" s="6">
        <f t="shared" si="8"/>
        <v>346</v>
      </c>
      <c r="BJ64" s="6">
        <v>1050</v>
      </c>
      <c r="BK64" s="6"/>
      <c r="BL64" s="6">
        <f t="shared" si="9"/>
        <v>348</v>
      </c>
      <c r="BM64" s="6">
        <v>198</v>
      </c>
      <c r="BN64" s="6">
        <v>1200</v>
      </c>
      <c r="BO64" s="6">
        <f t="shared" si="10"/>
        <v>348</v>
      </c>
      <c r="BP64" s="6">
        <v>527</v>
      </c>
      <c r="BQ64" s="6"/>
      <c r="BR64" s="35">
        <f t="shared" si="11"/>
        <v>329</v>
      </c>
      <c r="BS64" s="6"/>
      <c r="BT64" s="6"/>
      <c r="BU64" s="6"/>
      <c r="BV64" s="6">
        <v>875</v>
      </c>
      <c r="BW64" s="6"/>
      <c r="BX64" s="35">
        <f t="shared" si="12"/>
        <v>348</v>
      </c>
      <c r="BY64" s="6">
        <v>15</v>
      </c>
      <c r="BZ64" s="6">
        <v>1200</v>
      </c>
      <c r="CA64" s="6">
        <f t="shared" si="13"/>
        <v>340</v>
      </c>
      <c r="CB64" s="6">
        <v>0</v>
      </c>
      <c r="CC64" s="6">
        <v>352</v>
      </c>
      <c r="CD64" s="6">
        <f t="shared" si="14"/>
        <v>337</v>
      </c>
      <c r="CE64" s="6">
        <v>319</v>
      </c>
      <c r="CF64" s="6"/>
      <c r="CG64" s="6">
        <f t="shared" si="15"/>
        <v>319</v>
      </c>
      <c r="CH64" s="6">
        <v>666</v>
      </c>
      <c r="CI64" s="6"/>
      <c r="CJ64" s="6">
        <f t="shared" si="16"/>
        <v>347</v>
      </c>
      <c r="CK64" s="6">
        <v>992</v>
      </c>
      <c r="CL64" s="6"/>
      <c r="CM64" s="6">
        <f t="shared" si="17"/>
        <v>326</v>
      </c>
      <c r="CN64" s="6"/>
      <c r="CO64" s="6"/>
      <c r="CP64" s="6"/>
      <c r="CQ64" s="6">
        <v>149</v>
      </c>
      <c r="CR64" s="6">
        <v>1195</v>
      </c>
      <c r="CS64" s="6">
        <f t="shared" si="18"/>
        <v>352</v>
      </c>
      <c r="CT64" s="6">
        <v>496</v>
      </c>
      <c r="CU64" s="6"/>
      <c r="CV64" s="6">
        <f t="shared" si="19"/>
        <v>347</v>
      </c>
      <c r="CW64" s="6">
        <v>844</v>
      </c>
      <c r="CX64" s="6"/>
      <c r="CY64" s="6">
        <f t="shared" si="20"/>
        <v>348</v>
      </c>
      <c r="CZ64" s="6">
        <v>1191</v>
      </c>
      <c r="DA64" s="6"/>
      <c r="DB64" s="6">
        <f t="shared" si="21"/>
        <v>347</v>
      </c>
      <c r="DC64" s="6">
        <v>341</v>
      </c>
      <c r="DD64" s="6">
        <v>1200</v>
      </c>
      <c r="DE64" s="6">
        <f t="shared" si="22"/>
        <v>350</v>
      </c>
      <c r="DF64" s="6">
        <v>669</v>
      </c>
      <c r="DG64" s="6"/>
      <c r="DH64" s="6">
        <f t="shared" si="23"/>
        <v>328</v>
      </c>
      <c r="DI64" s="6"/>
      <c r="DJ64" s="6"/>
      <c r="DK64" s="6"/>
      <c r="DL64" s="6">
        <v>1020</v>
      </c>
      <c r="DM64" s="6"/>
      <c r="DN64" s="6">
        <f t="shared" si="24"/>
        <v>351</v>
      </c>
      <c r="DO64" s="6">
        <v>144</v>
      </c>
      <c r="DP64" s="6">
        <v>1200</v>
      </c>
      <c r="DQ64" s="6">
        <f t="shared" si="25"/>
        <v>324</v>
      </c>
    </row>
    <row r="65" spans="1:121">
      <c r="A65" s="6">
        <v>61</v>
      </c>
      <c r="B65" s="6">
        <v>691</v>
      </c>
      <c r="C65" s="6"/>
      <c r="D65" s="6">
        <v>313</v>
      </c>
      <c r="E65" s="33" t="s">
        <v>130</v>
      </c>
      <c r="F65" s="33" t="s">
        <v>130</v>
      </c>
      <c r="G65" s="33" t="s">
        <v>130</v>
      </c>
      <c r="H65" s="33" t="s">
        <v>130</v>
      </c>
      <c r="I65" s="33" t="s">
        <v>130</v>
      </c>
      <c r="J65" s="33" t="s">
        <v>130</v>
      </c>
      <c r="K65" s="33" t="s">
        <v>130</v>
      </c>
      <c r="L65" s="33" t="s">
        <v>130</v>
      </c>
      <c r="M65" s="33" t="s">
        <v>130</v>
      </c>
      <c r="N65" s="148" t="s">
        <v>130</v>
      </c>
      <c r="O65" s="33" t="s">
        <v>130</v>
      </c>
      <c r="P65" s="33" t="s">
        <v>130</v>
      </c>
      <c r="Q65" s="33" t="s">
        <v>130</v>
      </c>
      <c r="R65" s="33" t="s">
        <v>130</v>
      </c>
      <c r="S65" s="33" t="s">
        <v>130</v>
      </c>
      <c r="T65" s="33" t="s">
        <v>130</v>
      </c>
      <c r="U65" s="33" t="s">
        <v>130</v>
      </c>
      <c r="V65" s="33" t="s">
        <v>130</v>
      </c>
      <c r="W65" s="33" t="s">
        <v>130</v>
      </c>
      <c r="X65" s="33" t="s">
        <v>130</v>
      </c>
      <c r="Y65" s="33" t="s">
        <v>130</v>
      </c>
      <c r="Z65" s="33" t="s">
        <v>130</v>
      </c>
      <c r="AA65" s="33" t="s">
        <v>130</v>
      </c>
      <c r="AB65" s="33" t="s">
        <v>130</v>
      </c>
      <c r="AC65" s="33" t="s">
        <v>130</v>
      </c>
      <c r="AD65" s="33" t="s">
        <v>130</v>
      </c>
      <c r="AE65" s="33" t="s">
        <v>130</v>
      </c>
      <c r="AF65" s="6">
        <v>1060</v>
      </c>
      <c r="AG65" s="6"/>
      <c r="AH65" s="35">
        <f t="shared" si="0"/>
        <v>369</v>
      </c>
      <c r="AI65" s="35">
        <v>203</v>
      </c>
      <c r="AJ65" s="35">
        <v>1200</v>
      </c>
      <c r="AK65" s="35">
        <f t="shared" si="1"/>
        <v>343</v>
      </c>
      <c r="AL65" s="6">
        <v>550</v>
      </c>
      <c r="AM65" s="6"/>
      <c r="AN65" s="35">
        <f t="shared" si="2"/>
        <v>347</v>
      </c>
      <c r="AO65" s="6">
        <v>896</v>
      </c>
      <c r="AP65" s="6"/>
      <c r="AQ65" s="34">
        <f t="shared" si="3"/>
        <v>346</v>
      </c>
      <c r="AR65" s="35">
        <v>35</v>
      </c>
      <c r="AS65" s="35">
        <v>1210</v>
      </c>
      <c r="AT65" s="35">
        <f t="shared" si="4"/>
        <v>349</v>
      </c>
      <c r="AU65" s="6">
        <v>362</v>
      </c>
      <c r="AV65" s="6"/>
      <c r="AW65" s="35">
        <f t="shared" si="5"/>
        <v>327</v>
      </c>
      <c r="AX65" s="6"/>
      <c r="AY65" s="6"/>
      <c r="AZ65" s="35"/>
      <c r="BA65" s="35">
        <v>709</v>
      </c>
      <c r="BB65" s="35"/>
      <c r="BC65" s="35">
        <f t="shared" si="6"/>
        <v>347</v>
      </c>
      <c r="BD65" s="6">
        <v>0</v>
      </c>
      <c r="BE65" s="6">
        <v>1018</v>
      </c>
      <c r="BF65" s="35">
        <f t="shared" si="7"/>
        <v>309</v>
      </c>
      <c r="BG65" s="6">
        <v>322</v>
      </c>
      <c r="BH65" s="6"/>
      <c r="BI65" s="6">
        <f t="shared" si="8"/>
        <v>322</v>
      </c>
      <c r="BJ65" s="6">
        <v>657</v>
      </c>
      <c r="BK65" s="6"/>
      <c r="BL65" s="6">
        <f t="shared" si="9"/>
        <v>335</v>
      </c>
      <c r="BM65" s="6">
        <v>998</v>
      </c>
      <c r="BN65" s="6"/>
      <c r="BO65" s="6">
        <f t="shared" si="10"/>
        <v>341</v>
      </c>
      <c r="BP65" s="6">
        <v>111</v>
      </c>
      <c r="BQ65" s="6">
        <v>1200</v>
      </c>
      <c r="BR65" s="35">
        <f t="shared" si="11"/>
        <v>313</v>
      </c>
      <c r="BS65" s="6"/>
      <c r="BT65" s="6"/>
      <c r="BU65" s="6"/>
      <c r="BV65" s="6">
        <v>453</v>
      </c>
      <c r="BW65" s="6"/>
      <c r="BX65" s="35">
        <f t="shared" si="12"/>
        <v>342</v>
      </c>
      <c r="BY65" s="6">
        <v>791</v>
      </c>
      <c r="BZ65" s="6"/>
      <c r="CA65" s="6">
        <f t="shared" si="13"/>
        <v>338</v>
      </c>
      <c r="CB65" s="6">
        <v>1134</v>
      </c>
      <c r="CC65" s="6"/>
      <c r="CD65" s="6">
        <f t="shared" si="14"/>
        <v>343</v>
      </c>
      <c r="CE65" s="6">
        <v>262</v>
      </c>
      <c r="CF65" s="6">
        <v>1210</v>
      </c>
      <c r="CG65" s="6">
        <f t="shared" si="15"/>
        <v>338</v>
      </c>
      <c r="CH65" s="6">
        <v>604</v>
      </c>
      <c r="CI65" s="6"/>
      <c r="CJ65" s="6">
        <f t="shared" si="16"/>
        <v>342</v>
      </c>
      <c r="CK65" s="6">
        <v>923</v>
      </c>
      <c r="CL65" s="6"/>
      <c r="CM65" s="6">
        <f t="shared" si="17"/>
        <v>319</v>
      </c>
      <c r="CN65" s="6"/>
      <c r="CO65" s="6"/>
      <c r="CP65" s="6"/>
      <c r="CQ65" s="6">
        <v>64</v>
      </c>
      <c r="CR65" s="6">
        <v>1200</v>
      </c>
      <c r="CS65" s="6">
        <f t="shared" si="18"/>
        <v>341</v>
      </c>
      <c r="CT65" s="6">
        <v>408</v>
      </c>
      <c r="CU65" s="6"/>
      <c r="CV65" s="6">
        <f t="shared" si="19"/>
        <v>344</v>
      </c>
      <c r="CW65" s="6">
        <v>747</v>
      </c>
      <c r="CX65" s="6"/>
      <c r="CY65" s="6">
        <f t="shared" si="20"/>
        <v>339</v>
      </c>
      <c r="CZ65" s="6">
        <v>1078</v>
      </c>
      <c r="DA65" s="6"/>
      <c r="DB65" s="6">
        <f t="shared" si="21"/>
        <v>331</v>
      </c>
      <c r="DC65" s="6">
        <v>222</v>
      </c>
      <c r="DD65" s="6">
        <v>1200</v>
      </c>
      <c r="DE65" s="6">
        <f t="shared" si="22"/>
        <v>344</v>
      </c>
      <c r="DF65" s="6">
        <v>542</v>
      </c>
      <c r="DG65" s="6"/>
      <c r="DH65" s="6">
        <f t="shared" si="23"/>
        <v>320</v>
      </c>
      <c r="DI65" s="6"/>
      <c r="DJ65" s="6"/>
      <c r="DK65" s="6"/>
      <c r="DL65" s="6">
        <v>877</v>
      </c>
      <c r="DM65" s="6"/>
      <c r="DN65" s="6">
        <f t="shared" si="24"/>
        <v>335</v>
      </c>
      <c r="DO65" s="6">
        <v>0</v>
      </c>
      <c r="DP65" s="6">
        <v>1021</v>
      </c>
      <c r="DQ65" s="6">
        <f t="shared" si="25"/>
        <v>144</v>
      </c>
    </row>
    <row r="66" spans="1:121">
      <c r="A66" s="6">
        <v>62</v>
      </c>
      <c r="B66" s="6">
        <v>188</v>
      </c>
      <c r="C66" s="6">
        <v>717</v>
      </c>
      <c r="D66" s="6">
        <v>304</v>
      </c>
      <c r="E66" s="33" t="s">
        <v>130</v>
      </c>
      <c r="F66" s="33" t="s">
        <v>130</v>
      </c>
      <c r="G66" s="33" t="s">
        <v>130</v>
      </c>
      <c r="H66" s="33" t="s">
        <v>130</v>
      </c>
      <c r="I66" s="33" t="s">
        <v>130</v>
      </c>
      <c r="J66" s="33" t="s">
        <v>130</v>
      </c>
      <c r="K66" s="33" t="s">
        <v>130</v>
      </c>
      <c r="L66" s="33" t="s">
        <v>130</v>
      </c>
      <c r="M66" s="33" t="s">
        <v>130</v>
      </c>
      <c r="N66" s="33" t="s">
        <v>130</v>
      </c>
      <c r="O66" s="33" t="s">
        <v>130</v>
      </c>
      <c r="P66" s="33" t="s">
        <v>130</v>
      </c>
      <c r="Q66" s="33" t="s">
        <v>130</v>
      </c>
      <c r="R66" s="33" t="s">
        <v>130</v>
      </c>
      <c r="S66" s="33" t="s">
        <v>130</v>
      </c>
      <c r="T66" s="33" t="s">
        <v>130</v>
      </c>
      <c r="U66" s="148" t="s">
        <v>130</v>
      </c>
      <c r="V66" s="33" t="s">
        <v>130</v>
      </c>
      <c r="W66" s="33" t="s">
        <v>130</v>
      </c>
      <c r="X66" s="33" t="s">
        <v>130</v>
      </c>
      <c r="Y66" s="33" t="s">
        <v>130</v>
      </c>
      <c r="Z66" s="33" t="s">
        <v>130</v>
      </c>
      <c r="AA66" s="33" t="s">
        <v>130</v>
      </c>
      <c r="AB66" s="33" t="s">
        <v>130</v>
      </c>
      <c r="AC66" s="33" t="s">
        <v>130</v>
      </c>
      <c r="AD66" s="33" t="s">
        <v>130</v>
      </c>
      <c r="AE66" s="33" t="s">
        <v>130</v>
      </c>
      <c r="AF66" s="35">
        <v>558</v>
      </c>
      <c r="AG66" s="35"/>
      <c r="AH66" s="35">
        <f t="shared" si="0"/>
        <v>370</v>
      </c>
      <c r="AI66" s="35">
        <v>843</v>
      </c>
      <c r="AJ66" s="35"/>
      <c r="AK66" s="35">
        <f t="shared" si="1"/>
        <v>285</v>
      </c>
      <c r="AL66" s="35">
        <v>1162</v>
      </c>
      <c r="AM66" s="35"/>
      <c r="AN66" s="35">
        <f t="shared" si="2"/>
        <v>319</v>
      </c>
      <c r="AO66" s="6">
        <v>310</v>
      </c>
      <c r="AP66" s="35">
        <v>1200</v>
      </c>
      <c r="AQ66" s="34">
        <f t="shared" si="3"/>
        <v>348</v>
      </c>
      <c r="AR66" s="35">
        <v>660</v>
      </c>
      <c r="AS66" s="35"/>
      <c r="AT66" s="35">
        <f t="shared" si="4"/>
        <v>350</v>
      </c>
      <c r="AU66" s="6">
        <v>986</v>
      </c>
      <c r="AV66" s="6"/>
      <c r="AW66" s="35">
        <f t="shared" si="5"/>
        <v>326</v>
      </c>
      <c r="AX66" s="6"/>
      <c r="AY66" s="6"/>
      <c r="AZ66" s="35"/>
      <c r="BA66" s="6">
        <v>139</v>
      </c>
      <c r="BB66" s="6">
        <v>1200</v>
      </c>
      <c r="BC66" s="35">
        <f t="shared" si="6"/>
        <v>353</v>
      </c>
      <c r="BD66" s="6">
        <v>481</v>
      </c>
      <c r="BE66" s="6"/>
      <c r="BF66" s="35">
        <f t="shared" si="7"/>
        <v>342</v>
      </c>
      <c r="BG66" s="6">
        <v>830</v>
      </c>
      <c r="BH66" s="6"/>
      <c r="BI66" s="6">
        <f t="shared" si="8"/>
        <v>349</v>
      </c>
      <c r="BJ66" s="6">
        <v>1175</v>
      </c>
      <c r="BK66" s="35"/>
      <c r="BL66" s="6">
        <f t="shared" si="9"/>
        <v>345</v>
      </c>
      <c r="BM66" s="6">
        <v>323</v>
      </c>
      <c r="BN66" s="6">
        <v>1200</v>
      </c>
      <c r="BO66" s="6">
        <f t="shared" si="10"/>
        <v>348</v>
      </c>
      <c r="BP66" s="6">
        <v>649</v>
      </c>
      <c r="BQ66" s="6"/>
      <c r="BR66" s="35">
        <f t="shared" si="11"/>
        <v>326</v>
      </c>
      <c r="BS66" s="6"/>
      <c r="BT66" s="6"/>
      <c r="BU66" s="6"/>
      <c r="BV66" s="6">
        <v>997</v>
      </c>
      <c r="BW66" s="6"/>
      <c r="BX66" s="35">
        <f t="shared" si="12"/>
        <v>348</v>
      </c>
      <c r="BY66" s="6">
        <v>138</v>
      </c>
      <c r="BZ66" s="35">
        <v>1203</v>
      </c>
      <c r="CA66" s="6">
        <f t="shared" si="13"/>
        <v>344</v>
      </c>
      <c r="CB66" s="6">
        <v>0</v>
      </c>
      <c r="CC66" s="6">
        <v>311</v>
      </c>
      <c r="CD66" s="6">
        <f t="shared" si="14"/>
        <v>173</v>
      </c>
      <c r="CE66" s="6">
        <v>311</v>
      </c>
      <c r="CF66" s="35"/>
      <c r="CG66" s="6">
        <f t="shared" si="15"/>
        <v>311</v>
      </c>
      <c r="CH66" s="6">
        <v>647</v>
      </c>
      <c r="CI66" s="6"/>
      <c r="CJ66" s="6">
        <f t="shared" si="16"/>
        <v>336</v>
      </c>
      <c r="CK66" s="6">
        <v>986</v>
      </c>
      <c r="CL66" s="6"/>
      <c r="CM66" s="6">
        <f t="shared" si="17"/>
        <v>339</v>
      </c>
      <c r="CN66" s="6"/>
      <c r="CO66" s="6"/>
      <c r="CP66" s="6"/>
      <c r="CQ66" s="6">
        <v>133</v>
      </c>
      <c r="CR66" s="6">
        <v>1200</v>
      </c>
      <c r="CS66" s="6">
        <f t="shared" si="18"/>
        <v>347</v>
      </c>
      <c r="CT66" s="6">
        <v>470</v>
      </c>
      <c r="CU66" s="6"/>
      <c r="CV66" s="6">
        <f t="shared" si="19"/>
        <v>337</v>
      </c>
      <c r="CW66" s="6">
        <v>806</v>
      </c>
      <c r="CX66" s="6"/>
      <c r="CY66" s="6">
        <f t="shared" si="20"/>
        <v>336</v>
      </c>
      <c r="CZ66" s="6">
        <v>1155</v>
      </c>
      <c r="DA66" s="6"/>
      <c r="DB66" s="6">
        <f t="shared" si="21"/>
        <v>349</v>
      </c>
      <c r="DC66" s="6">
        <v>295</v>
      </c>
      <c r="DD66" s="6">
        <v>1200</v>
      </c>
      <c r="DE66" s="6">
        <f t="shared" si="22"/>
        <v>340</v>
      </c>
      <c r="DF66" s="6">
        <v>624</v>
      </c>
      <c r="DG66" s="6"/>
      <c r="DH66" s="6">
        <f t="shared" si="23"/>
        <v>329</v>
      </c>
      <c r="DI66" s="6"/>
      <c r="DJ66" s="6"/>
      <c r="DK66" s="6"/>
      <c r="DL66" s="6">
        <v>971</v>
      </c>
      <c r="DM66" s="6"/>
      <c r="DN66" s="6">
        <f t="shared" si="24"/>
        <v>347</v>
      </c>
      <c r="DO66" s="6">
        <v>93</v>
      </c>
      <c r="DP66" s="6">
        <v>1200</v>
      </c>
      <c r="DQ66" s="6">
        <f t="shared" si="25"/>
        <v>322</v>
      </c>
    </row>
    <row r="67" spans="1:121">
      <c r="A67" s="6">
        <v>63</v>
      </c>
      <c r="B67" s="6">
        <v>131</v>
      </c>
      <c r="C67" s="6">
        <v>1200</v>
      </c>
      <c r="D67" s="6">
        <v>318</v>
      </c>
      <c r="E67" s="33" t="s">
        <v>130</v>
      </c>
      <c r="F67" s="33" t="s">
        <v>130</v>
      </c>
      <c r="G67" s="33" t="s">
        <v>130</v>
      </c>
      <c r="H67" s="33" t="s">
        <v>130</v>
      </c>
      <c r="I67" s="33" t="s">
        <v>130</v>
      </c>
      <c r="J67" s="33" t="s">
        <v>130</v>
      </c>
      <c r="K67" s="33" t="s">
        <v>130</v>
      </c>
      <c r="L67" s="33" t="s">
        <v>130</v>
      </c>
      <c r="M67" s="33" t="s">
        <v>130</v>
      </c>
      <c r="N67" s="33" t="s">
        <v>130</v>
      </c>
      <c r="O67" s="33" t="s">
        <v>130</v>
      </c>
      <c r="P67" s="33" t="s">
        <v>130</v>
      </c>
      <c r="Q67" s="33" t="s">
        <v>130</v>
      </c>
      <c r="R67" s="33" t="s">
        <v>130</v>
      </c>
      <c r="S67" s="148" t="s">
        <v>130</v>
      </c>
      <c r="T67" s="33" t="s">
        <v>130</v>
      </c>
      <c r="U67" s="33" t="s">
        <v>130</v>
      </c>
      <c r="V67" s="33" t="s">
        <v>130</v>
      </c>
      <c r="W67" s="33" t="s">
        <v>130</v>
      </c>
      <c r="X67" s="33" t="s">
        <v>130</v>
      </c>
      <c r="Y67" s="33" t="s">
        <v>130</v>
      </c>
      <c r="Z67" s="33" t="s">
        <v>130</v>
      </c>
      <c r="AA67" s="33" t="s">
        <v>130</v>
      </c>
      <c r="AB67" s="33" t="s">
        <v>130</v>
      </c>
      <c r="AC67" s="33" t="s">
        <v>130</v>
      </c>
      <c r="AD67" s="33" t="s">
        <v>130</v>
      </c>
      <c r="AE67" s="33" t="s">
        <v>130</v>
      </c>
      <c r="AF67" s="35">
        <v>496</v>
      </c>
      <c r="AG67" s="35"/>
      <c r="AH67" s="35">
        <f t="shared" si="0"/>
        <v>365</v>
      </c>
      <c r="AI67" s="35">
        <v>840</v>
      </c>
      <c r="AJ67" s="35"/>
      <c r="AK67" s="35">
        <f t="shared" si="1"/>
        <v>344</v>
      </c>
      <c r="AL67" s="35">
        <v>1189</v>
      </c>
      <c r="AM67" s="35"/>
      <c r="AN67" s="35">
        <f t="shared" si="2"/>
        <v>349</v>
      </c>
      <c r="AO67" s="6">
        <v>334</v>
      </c>
      <c r="AP67" s="35">
        <v>1200</v>
      </c>
      <c r="AQ67" s="34">
        <f t="shared" si="3"/>
        <v>345</v>
      </c>
      <c r="AR67" s="35">
        <v>679</v>
      </c>
      <c r="AS67" s="35"/>
      <c r="AT67" s="35">
        <f t="shared" si="4"/>
        <v>345</v>
      </c>
      <c r="AU67" s="6">
        <v>1001</v>
      </c>
      <c r="AV67" s="6"/>
      <c r="AW67" s="35">
        <f t="shared" si="5"/>
        <v>322</v>
      </c>
      <c r="AX67" s="6"/>
      <c r="AY67" s="6"/>
      <c r="AZ67" s="35"/>
      <c r="BA67" s="6">
        <v>151</v>
      </c>
      <c r="BB67" s="6">
        <v>1200</v>
      </c>
      <c r="BC67" s="35">
        <f t="shared" si="6"/>
        <v>350</v>
      </c>
      <c r="BD67" s="6">
        <v>495</v>
      </c>
      <c r="BE67" s="6"/>
      <c r="BF67" s="35">
        <f t="shared" si="7"/>
        <v>344</v>
      </c>
      <c r="BG67" s="6">
        <v>839</v>
      </c>
      <c r="BH67" s="6"/>
      <c r="BI67" s="6">
        <f t="shared" si="8"/>
        <v>344</v>
      </c>
      <c r="BJ67" s="6">
        <v>1185</v>
      </c>
      <c r="BK67" s="35"/>
      <c r="BL67" s="6">
        <f t="shared" si="9"/>
        <v>346</v>
      </c>
      <c r="BM67" s="6">
        <v>331</v>
      </c>
      <c r="BN67" s="6">
        <v>1200</v>
      </c>
      <c r="BO67" s="6">
        <f t="shared" si="10"/>
        <v>346</v>
      </c>
      <c r="BP67" s="6">
        <v>653</v>
      </c>
      <c r="BQ67" s="6"/>
      <c r="BR67" s="35">
        <f t="shared" si="11"/>
        <v>322</v>
      </c>
      <c r="BS67" s="6"/>
      <c r="BT67" s="6"/>
      <c r="BU67" s="6"/>
      <c r="BV67" s="6">
        <v>0</v>
      </c>
      <c r="BW67" s="6">
        <v>920</v>
      </c>
      <c r="BX67" s="35">
        <f t="shared" si="12"/>
        <v>267</v>
      </c>
      <c r="BY67" s="6">
        <v>318</v>
      </c>
      <c r="BZ67" s="35"/>
      <c r="CA67" s="6">
        <f t="shared" si="13"/>
        <v>318</v>
      </c>
      <c r="CB67" s="6">
        <v>659</v>
      </c>
      <c r="CC67" s="6"/>
      <c r="CD67" s="6">
        <f t="shared" si="14"/>
        <v>341</v>
      </c>
      <c r="CE67" s="6">
        <v>1006</v>
      </c>
      <c r="CF67" s="35"/>
      <c r="CG67" s="6">
        <f t="shared" si="15"/>
        <v>347</v>
      </c>
      <c r="CH67" s="6">
        <v>148</v>
      </c>
      <c r="CI67" s="6">
        <v>1200</v>
      </c>
      <c r="CJ67" s="6">
        <f t="shared" si="16"/>
        <v>342</v>
      </c>
      <c r="CK67" s="6">
        <v>477</v>
      </c>
      <c r="CL67" s="6"/>
      <c r="CM67" s="6">
        <f t="shared" si="17"/>
        <v>329</v>
      </c>
      <c r="CN67" s="6"/>
      <c r="CO67" s="6"/>
      <c r="CP67" s="6"/>
      <c r="CQ67" s="6">
        <v>822</v>
      </c>
      <c r="CR67" s="6"/>
      <c r="CS67" s="6">
        <f t="shared" si="18"/>
        <v>345</v>
      </c>
      <c r="CT67" s="6">
        <v>1164</v>
      </c>
      <c r="CU67" s="6"/>
      <c r="CV67" s="6">
        <f t="shared" si="19"/>
        <v>342</v>
      </c>
      <c r="CW67" s="6">
        <v>301</v>
      </c>
      <c r="CX67" s="6">
        <v>1200</v>
      </c>
      <c r="CY67" s="6">
        <f t="shared" si="20"/>
        <v>337</v>
      </c>
      <c r="CZ67" s="6">
        <v>648</v>
      </c>
      <c r="DA67" s="6"/>
      <c r="DB67" s="6">
        <f t="shared" si="21"/>
        <v>347</v>
      </c>
      <c r="DC67" s="6">
        <v>993</v>
      </c>
      <c r="DD67" s="6"/>
      <c r="DE67" s="6">
        <f t="shared" si="22"/>
        <v>345</v>
      </c>
      <c r="DF67" s="6">
        <v>112</v>
      </c>
      <c r="DG67" s="6">
        <v>1200</v>
      </c>
      <c r="DH67" s="6">
        <f t="shared" si="23"/>
        <v>319</v>
      </c>
      <c r="DI67" s="6"/>
      <c r="DJ67" s="6"/>
      <c r="DK67" s="6"/>
      <c r="DL67" s="6">
        <v>462</v>
      </c>
      <c r="DM67" s="6"/>
      <c r="DN67" s="6">
        <f t="shared" si="24"/>
        <v>350</v>
      </c>
      <c r="DO67" s="6">
        <v>786</v>
      </c>
      <c r="DP67" s="6"/>
      <c r="DQ67" s="6">
        <f t="shared" si="25"/>
        <v>324</v>
      </c>
    </row>
    <row r="68" spans="1:121">
      <c r="A68" s="6">
        <v>64</v>
      </c>
      <c r="B68" s="6">
        <v>511</v>
      </c>
      <c r="C68" s="6"/>
      <c r="D68" s="6">
        <v>320</v>
      </c>
      <c r="E68" s="33" t="s">
        <v>130</v>
      </c>
      <c r="F68" s="33" t="s">
        <v>130</v>
      </c>
      <c r="G68" s="33" t="s">
        <v>130</v>
      </c>
      <c r="H68" s="33" t="s">
        <v>130</v>
      </c>
      <c r="I68" s="33" t="s">
        <v>130</v>
      </c>
      <c r="J68" s="148" t="s">
        <v>130</v>
      </c>
      <c r="K68" s="33" t="s">
        <v>130</v>
      </c>
      <c r="L68" s="33" t="s">
        <v>130</v>
      </c>
      <c r="M68" s="33" t="s">
        <v>130</v>
      </c>
      <c r="N68" s="33" t="s">
        <v>130</v>
      </c>
      <c r="O68" s="33" t="s">
        <v>130</v>
      </c>
      <c r="P68" s="33" t="s">
        <v>130</v>
      </c>
      <c r="Q68" s="33" t="s">
        <v>130</v>
      </c>
      <c r="R68" s="33" t="s">
        <v>130</v>
      </c>
      <c r="S68" s="33" t="s">
        <v>130</v>
      </c>
      <c r="T68" s="33" t="s">
        <v>130</v>
      </c>
      <c r="U68" s="33" t="s">
        <v>130</v>
      </c>
      <c r="V68" s="33" t="s">
        <v>130</v>
      </c>
      <c r="W68" s="33" t="s">
        <v>130</v>
      </c>
      <c r="X68" s="33" t="s">
        <v>130</v>
      </c>
      <c r="Y68" s="33" t="s">
        <v>130</v>
      </c>
      <c r="Z68" s="33" t="s">
        <v>130</v>
      </c>
      <c r="AA68" s="33" t="s">
        <v>130</v>
      </c>
      <c r="AB68" s="148" t="s">
        <v>130</v>
      </c>
      <c r="AC68" s="33" t="s">
        <v>130</v>
      </c>
      <c r="AD68" s="33" t="s">
        <v>130</v>
      </c>
      <c r="AE68" s="33" t="s">
        <v>130</v>
      </c>
      <c r="AF68" s="6">
        <v>879</v>
      </c>
      <c r="AG68" s="6"/>
      <c r="AH68" s="35">
        <f t="shared" si="0"/>
        <v>368</v>
      </c>
      <c r="AI68" s="35">
        <v>26</v>
      </c>
      <c r="AJ68" s="35">
        <v>1197</v>
      </c>
      <c r="AK68" s="35">
        <f t="shared" si="1"/>
        <v>344</v>
      </c>
      <c r="AL68" s="6">
        <v>373</v>
      </c>
      <c r="AM68" s="6"/>
      <c r="AN68" s="35">
        <f t="shared" si="2"/>
        <v>347</v>
      </c>
      <c r="AO68" s="6">
        <v>718</v>
      </c>
      <c r="AP68" s="6"/>
      <c r="AQ68" s="34">
        <f t="shared" si="3"/>
        <v>345</v>
      </c>
      <c r="AR68" s="35">
        <v>245</v>
      </c>
      <c r="AS68" s="35">
        <v>790</v>
      </c>
      <c r="AT68" s="35">
        <f t="shared" si="4"/>
        <v>317</v>
      </c>
      <c r="AU68" s="6">
        <v>558</v>
      </c>
      <c r="AV68" s="6"/>
      <c r="AW68" s="35">
        <f t="shared" si="5"/>
        <v>313</v>
      </c>
      <c r="AX68" s="6"/>
      <c r="AY68" s="6"/>
      <c r="AZ68" s="35"/>
      <c r="BA68" s="6">
        <v>893</v>
      </c>
      <c r="BB68" s="6"/>
      <c r="BC68" s="35">
        <f t="shared" si="6"/>
        <v>335</v>
      </c>
      <c r="BD68" s="6">
        <v>23</v>
      </c>
      <c r="BE68" s="6">
        <v>1200</v>
      </c>
      <c r="BF68" s="35">
        <f t="shared" si="7"/>
        <v>330</v>
      </c>
      <c r="BG68" s="6">
        <v>360</v>
      </c>
      <c r="BH68" s="6"/>
      <c r="BI68" s="6">
        <f t="shared" si="8"/>
        <v>337</v>
      </c>
      <c r="BJ68" s="6">
        <v>703</v>
      </c>
      <c r="BK68" s="35"/>
      <c r="BL68" s="6">
        <f t="shared" si="9"/>
        <v>343</v>
      </c>
      <c r="BM68" s="6">
        <v>1048</v>
      </c>
      <c r="BN68" s="6"/>
      <c r="BO68" s="6">
        <f t="shared" si="10"/>
        <v>345</v>
      </c>
      <c r="BP68" s="6">
        <v>179</v>
      </c>
      <c r="BQ68" s="6">
        <v>1190</v>
      </c>
      <c r="BR68" s="35">
        <f t="shared" si="11"/>
        <v>321</v>
      </c>
      <c r="BS68" s="6"/>
      <c r="BT68" s="6"/>
      <c r="BU68" s="6"/>
      <c r="BV68" s="6">
        <v>530</v>
      </c>
      <c r="BW68" s="6"/>
      <c r="BX68" s="35">
        <f t="shared" si="12"/>
        <v>351</v>
      </c>
      <c r="BY68" s="6">
        <v>873</v>
      </c>
      <c r="BZ68" s="35"/>
      <c r="CA68" s="6">
        <f t="shared" si="13"/>
        <v>343</v>
      </c>
      <c r="CB68" s="6">
        <v>1217</v>
      </c>
      <c r="CC68" s="6"/>
      <c r="CD68" s="6">
        <f t="shared" si="14"/>
        <v>344</v>
      </c>
      <c r="CE68" s="6">
        <v>335</v>
      </c>
      <c r="CF68" s="35">
        <v>1221</v>
      </c>
      <c r="CG68" s="6">
        <f t="shared" si="15"/>
        <v>339</v>
      </c>
      <c r="CH68" s="6">
        <v>680</v>
      </c>
      <c r="CI68" s="6"/>
      <c r="CJ68" s="6">
        <f t="shared" si="16"/>
        <v>345</v>
      </c>
      <c r="CK68" s="6">
        <v>1016</v>
      </c>
      <c r="CL68" s="6"/>
      <c r="CM68" s="6">
        <f t="shared" si="17"/>
        <v>336</v>
      </c>
      <c r="CN68" s="6"/>
      <c r="CO68" s="6"/>
      <c r="CP68" s="6"/>
      <c r="CQ68" s="6">
        <v>163</v>
      </c>
      <c r="CR68" s="6">
        <v>1200</v>
      </c>
      <c r="CS68" s="6">
        <f t="shared" si="18"/>
        <v>347</v>
      </c>
      <c r="CT68" s="6">
        <v>506</v>
      </c>
      <c r="CU68" s="6"/>
      <c r="CV68" s="6">
        <f t="shared" si="19"/>
        <v>343</v>
      </c>
      <c r="CW68" s="6">
        <v>836</v>
      </c>
      <c r="CX68" s="6"/>
      <c r="CY68" s="6">
        <f t="shared" si="20"/>
        <v>330</v>
      </c>
      <c r="CZ68" s="6">
        <v>958</v>
      </c>
      <c r="DA68" s="6"/>
      <c r="DB68" s="6">
        <f t="shared" si="21"/>
        <v>122</v>
      </c>
      <c r="DC68" s="6">
        <v>216</v>
      </c>
      <c r="DD68" s="6">
        <v>1075</v>
      </c>
      <c r="DE68" s="6">
        <f t="shared" si="22"/>
        <v>333</v>
      </c>
      <c r="DF68" s="6">
        <v>544</v>
      </c>
      <c r="DG68" s="35"/>
      <c r="DH68" s="6">
        <f t="shared" si="23"/>
        <v>328</v>
      </c>
      <c r="DI68" s="6"/>
      <c r="DJ68" s="35"/>
      <c r="DK68" s="6"/>
      <c r="DL68" s="6">
        <v>890</v>
      </c>
      <c r="DM68" s="35"/>
      <c r="DN68" s="6">
        <f t="shared" si="24"/>
        <v>346</v>
      </c>
      <c r="DO68" s="6">
        <v>6</v>
      </c>
      <c r="DP68" s="35">
        <v>1200</v>
      </c>
      <c r="DQ68" s="6">
        <f t="shared" si="25"/>
        <v>316</v>
      </c>
    </row>
    <row r="69" spans="1:121">
      <c r="A69" s="6">
        <v>65</v>
      </c>
      <c r="B69" s="6">
        <v>949</v>
      </c>
      <c r="C69" s="6"/>
      <c r="D69" s="6">
        <v>317</v>
      </c>
      <c r="E69" s="33" t="s">
        <v>130</v>
      </c>
      <c r="F69" s="33" t="s">
        <v>130</v>
      </c>
      <c r="G69" s="33" t="s">
        <v>130</v>
      </c>
      <c r="H69" s="33" t="s">
        <v>130</v>
      </c>
      <c r="I69" s="33" t="s">
        <v>130</v>
      </c>
      <c r="J69" s="33" t="s">
        <v>130</v>
      </c>
      <c r="K69" s="33" t="s">
        <v>130</v>
      </c>
      <c r="L69" s="33" t="s">
        <v>130</v>
      </c>
      <c r="M69" s="148" t="s">
        <v>130</v>
      </c>
      <c r="N69" s="33" t="s">
        <v>130</v>
      </c>
      <c r="O69" s="33" t="s">
        <v>130</v>
      </c>
      <c r="P69" s="33" t="s">
        <v>130</v>
      </c>
      <c r="Q69" s="33" t="s">
        <v>130</v>
      </c>
      <c r="R69" s="33" t="s">
        <v>130</v>
      </c>
      <c r="S69" s="33" t="s">
        <v>130</v>
      </c>
      <c r="T69" s="33" t="s">
        <v>130</v>
      </c>
      <c r="U69" s="33" t="s">
        <v>130</v>
      </c>
      <c r="V69" s="33" t="s">
        <v>130</v>
      </c>
      <c r="W69" s="33" t="s">
        <v>130</v>
      </c>
      <c r="X69" s="33" t="s">
        <v>130</v>
      </c>
      <c r="Y69" s="33" t="s">
        <v>130</v>
      </c>
      <c r="Z69" s="33" t="s">
        <v>130</v>
      </c>
      <c r="AA69" s="33" t="s">
        <v>130</v>
      </c>
      <c r="AB69" s="33" t="s">
        <v>130</v>
      </c>
      <c r="AC69" s="33" t="s">
        <v>130</v>
      </c>
      <c r="AD69" s="33" t="s">
        <v>130</v>
      </c>
      <c r="AE69" s="148" t="s">
        <v>130</v>
      </c>
      <c r="AF69" s="6">
        <v>122</v>
      </c>
      <c r="AG69" s="6">
        <v>1191</v>
      </c>
      <c r="AH69" s="35">
        <f t="shared" si="0"/>
        <v>364</v>
      </c>
      <c r="AI69" s="35">
        <v>466</v>
      </c>
      <c r="AJ69" s="35"/>
      <c r="AK69" s="35">
        <f t="shared" si="1"/>
        <v>344</v>
      </c>
      <c r="AL69" s="6">
        <v>806</v>
      </c>
      <c r="AM69" s="6"/>
      <c r="AN69" s="35">
        <f t="shared" si="2"/>
        <v>340</v>
      </c>
      <c r="AO69" s="6">
        <v>1151</v>
      </c>
      <c r="AP69" s="6"/>
      <c r="AQ69" s="34">
        <f t="shared" si="3"/>
        <v>345</v>
      </c>
      <c r="AR69" s="35">
        <v>295</v>
      </c>
      <c r="AS69" s="35">
        <v>1200</v>
      </c>
      <c r="AT69" s="35">
        <f t="shared" si="4"/>
        <v>344</v>
      </c>
      <c r="AU69" s="6">
        <v>620</v>
      </c>
      <c r="AV69" s="6"/>
      <c r="AW69" s="35">
        <f t="shared" si="5"/>
        <v>325</v>
      </c>
      <c r="AX69" s="6"/>
      <c r="AY69" s="6"/>
      <c r="AZ69" s="35"/>
      <c r="BA69" s="35">
        <v>970</v>
      </c>
      <c r="BB69" s="35"/>
      <c r="BC69" s="35">
        <f t="shared" si="6"/>
        <v>350</v>
      </c>
      <c r="BD69" s="6">
        <v>254</v>
      </c>
      <c r="BE69" s="6">
        <v>1031</v>
      </c>
      <c r="BF69" s="35">
        <f t="shared" si="7"/>
        <v>315</v>
      </c>
      <c r="BG69" s="6">
        <v>597</v>
      </c>
      <c r="BH69" s="6"/>
      <c r="BI69" s="6">
        <f t="shared" si="8"/>
        <v>343</v>
      </c>
      <c r="BJ69" s="6">
        <v>937</v>
      </c>
      <c r="BK69" s="6"/>
      <c r="BL69" s="6">
        <f t="shared" si="9"/>
        <v>340</v>
      </c>
      <c r="BM69" s="6">
        <v>75</v>
      </c>
      <c r="BN69" s="6">
        <v>1200</v>
      </c>
      <c r="BO69" s="6">
        <f t="shared" si="10"/>
        <v>338</v>
      </c>
      <c r="BP69" s="6">
        <v>384</v>
      </c>
      <c r="BQ69" s="6"/>
      <c r="BR69" s="35">
        <f t="shared" si="11"/>
        <v>309</v>
      </c>
      <c r="BS69" s="6"/>
      <c r="BT69" s="6"/>
      <c r="BU69" s="6"/>
      <c r="BV69" s="6">
        <v>733</v>
      </c>
      <c r="BW69" s="6"/>
      <c r="BX69" s="35">
        <f t="shared" si="12"/>
        <v>349</v>
      </c>
      <c r="BY69" s="6">
        <v>292</v>
      </c>
      <c r="BZ69" s="6">
        <v>778</v>
      </c>
      <c r="CA69" s="6">
        <f t="shared" si="13"/>
        <v>337</v>
      </c>
      <c r="CB69" s="6">
        <v>625</v>
      </c>
      <c r="CC69" s="6"/>
      <c r="CD69" s="6">
        <f t="shared" si="14"/>
        <v>333</v>
      </c>
      <c r="CE69" s="6">
        <v>969</v>
      </c>
      <c r="CF69" s="6"/>
      <c r="CG69" s="6">
        <f t="shared" si="15"/>
        <v>344</v>
      </c>
      <c r="CH69" s="6">
        <v>115</v>
      </c>
      <c r="CI69" s="6">
        <v>1200</v>
      </c>
      <c r="CJ69" s="6">
        <f t="shared" si="16"/>
        <v>346</v>
      </c>
      <c r="CK69" s="6">
        <v>446</v>
      </c>
      <c r="CL69" s="6"/>
      <c r="CM69" s="6">
        <f t="shared" si="17"/>
        <v>331</v>
      </c>
      <c r="CN69" s="6"/>
      <c r="CO69" s="6"/>
      <c r="CP69" s="6"/>
      <c r="CQ69" s="6">
        <v>795</v>
      </c>
      <c r="CR69" s="6"/>
      <c r="CS69" s="6">
        <f t="shared" si="18"/>
        <v>349</v>
      </c>
      <c r="CT69" s="6">
        <v>1140</v>
      </c>
      <c r="CU69" s="6"/>
      <c r="CV69" s="6">
        <f t="shared" si="19"/>
        <v>345</v>
      </c>
      <c r="CW69" s="6">
        <v>288</v>
      </c>
      <c r="CX69" s="6">
        <v>1200</v>
      </c>
      <c r="CY69" s="6">
        <f t="shared" si="20"/>
        <v>348</v>
      </c>
      <c r="CZ69" s="6">
        <v>637</v>
      </c>
      <c r="DA69" s="6"/>
      <c r="DB69" s="6">
        <f t="shared" si="21"/>
        <v>349</v>
      </c>
      <c r="DC69" s="6">
        <v>987</v>
      </c>
      <c r="DD69" s="6"/>
      <c r="DE69" s="6">
        <f t="shared" si="22"/>
        <v>350</v>
      </c>
      <c r="DF69" s="6">
        <v>1311</v>
      </c>
      <c r="DG69" s="6"/>
      <c r="DH69" s="6">
        <f t="shared" si="23"/>
        <v>324</v>
      </c>
      <c r="DI69" s="6"/>
      <c r="DJ69" s="6"/>
      <c r="DK69" s="6"/>
      <c r="DL69" s="6">
        <v>0</v>
      </c>
      <c r="DM69" s="6">
        <v>1462</v>
      </c>
      <c r="DN69" s="6">
        <f t="shared" si="24"/>
        <v>151</v>
      </c>
      <c r="DO69" s="6">
        <v>285</v>
      </c>
      <c r="DP69" s="6"/>
      <c r="DQ69" s="6">
        <f t="shared" si="25"/>
        <v>285</v>
      </c>
    </row>
    <row r="70" spans="1:121">
      <c r="A70" s="6">
        <v>66</v>
      </c>
      <c r="B70" s="6">
        <v>409</v>
      </c>
      <c r="C70" s="6"/>
      <c r="D70" s="6">
        <v>312</v>
      </c>
      <c r="E70" s="33" t="s">
        <v>130</v>
      </c>
      <c r="F70" s="33" t="s">
        <v>130</v>
      </c>
      <c r="G70" s="33" t="s">
        <v>130</v>
      </c>
      <c r="H70" s="33" t="s">
        <v>130</v>
      </c>
      <c r="I70" s="33" t="s">
        <v>130</v>
      </c>
      <c r="J70" s="33" t="s">
        <v>130</v>
      </c>
      <c r="K70" s="33" t="s">
        <v>130</v>
      </c>
      <c r="L70" s="33" t="s">
        <v>130</v>
      </c>
      <c r="M70" s="33" t="s">
        <v>130</v>
      </c>
      <c r="N70" s="33" t="s">
        <v>130</v>
      </c>
      <c r="O70" s="33" t="s">
        <v>130</v>
      </c>
      <c r="P70" s="33" t="s">
        <v>130</v>
      </c>
      <c r="Q70" s="33" t="s">
        <v>130</v>
      </c>
      <c r="R70" s="148" t="s">
        <v>130</v>
      </c>
      <c r="S70" s="33" t="s">
        <v>130</v>
      </c>
      <c r="T70" s="33" t="s">
        <v>130</v>
      </c>
      <c r="U70" s="33" t="s">
        <v>130</v>
      </c>
      <c r="V70" s="33" t="s">
        <v>130</v>
      </c>
      <c r="W70" s="33" t="s">
        <v>130</v>
      </c>
      <c r="X70" s="33" t="s">
        <v>130</v>
      </c>
      <c r="Y70" s="33" t="s">
        <v>130</v>
      </c>
      <c r="Z70" s="33" t="s">
        <v>130</v>
      </c>
      <c r="AA70" s="33" t="s">
        <v>130</v>
      </c>
      <c r="AB70" s="33" t="s">
        <v>130</v>
      </c>
      <c r="AC70" s="33" t="s">
        <v>130</v>
      </c>
      <c r="AD70" s="33" t="s">
        <v>130</v>
      </c>
      <c r="AE70" s="33" t="s">
        <v>130</v>
      </c>
      <c r="AF70" s="6">
        <v>779</v>
      </c>
      <c r="AG70" s="6"/>
      <c r="AH70" s="35">
        <f t="shared" ref="AH70:AH133" si="26">AG70+AF70-B70</f>
        <v>370</v>
      </c>
      <c r="AI70" s="35">
        <v>1123</v>
      </c>
      <c r="AJ70" s="35"/>
      <c r="AK70" s="35">
        <f t="shared" ref="AK70:AK133" si="27">AJ70+AI70-AF70</f>
        <v>344</v>
      </c>
      <c r="AL70" s="6">
        <v>272</v>
      </c>
      <c r="AM70" s="6">
        <v>1200</v>
      </c>
      <c r="AN70" s="35">
        <f t="shared" ref="AN70:AN133" si="28">AM70+AL70-AI70</f>
        <v>349</v>
      </c>
      <c r="AO70" s="6">
        <v>621</v>
      </c>
      <c r="AP70" s="6"/>
      <c r="AQ70" s="34">
        <f t="shared" ref="AQ70:AQ133" si="29">AP70+AO70-AL70</f>
        <v>349</v>
      </c>
      <c r="AR70" s="35">
        <v>970</v>
      </c>
      <c r="AS70" s="35"/>
      <c r="AT70" s="35">
        <f t="shared" ref="AT70:AT133" si="30">AS70+AR70-AO70</f>
        <v>349</v>
      </c>
      <c r="AU70" s="6">
        <v>99</v>
      </c>
      <c r="AV70" s="6">
        <v>1200</v>
      </c>
      <c r="AW70" s="35">
        <f t="shared" ref="AW70:AW133" si="31">AV70+AU70-AR70</f>
        <v>329</v>
      </c>
      <c r="AX70" s="6"/>
      <c r="AY70" s="6"/>
      <c r="AZ70" s="35"/>
      <c r="BA70" s="35">
        <v>440</v>
      </c>
      <c r="BB70" s="35"/>
      <c r="BC70" s="35">
        <f t="shared" ref="BC70:BC133" si="32">BB70+BA70-AU70</f>
        <v>341</v>
      </c>
      <c r="BD70" s="6">
        <v>786</v>
      </c>
      <c r="BE70" s="6"/>
      <c r="BF70" s="35">
        <f t="shared" ref="BF70:BF133" si="33">BE70+BD70-BA70</f>
        <v>346</v>
      </c>
      <c r="BG70" s="6">
        <v>1123</v>
      </c>
      <c r="BH70" s="6"/>
      <c r="BI70" s="6">
        <f t="shared" ref="BI70:BI133" si="34">BH70+BG70-BD70</f>
        <v>337</v>
      </c>
      <c r="BJ70" s="6">
        <v>268</v>
      </c>
      <c r="BK70" s="6">
        <v>1200</v>
      </c>
      <c r="BL70" s="6">
        <f t="shared" ref="BL70:BL133" si="35">BK70+BJ70-BG70</f>
        <v>345</v>
      </c>
      <c r="BM70" s="6">
        <v>613</v>
      </c>
      <c r="BN70" s="6"/>
      <c r="BO70" s="6">
        <f t="shared" ref="BO70:BO133" si="36">BN70+BM70-BJ70</f>
        <v>345</v>
      </c>
      <c r="BP70" s="6">
        <v>942</v>
      </c>
      <c r="BQ70" s="6"/>
      <c r="BR70" s="35">
        <f t="shared" ref="BR70:BR133" si="37">BQ70+BP70-BM70</f>
        <v>329</v>
      </c>
      <c r="BS70" s="6"/>
      <c r="BT70" s="6"/>
      <c r="BU70" s="6"/>
      <c r="BV70" s="6">
        <v>263</v>
      </c>
      <c r="BW70" s="6">
        <v>1019</v>
      </c>
      <c r="BX70" s="35">
        <f t="shared" ref="BX70:BX133" si="38">BW70+BV70-BP70</f>
        <v>340</v>
      </c>
      <c r="BY70" s="6">
        <v>608</v>
      </c>
      <c r="BZ70" s="6"/>
      <c r="CA70" s="6">
        <f t="shared" ref="CA70:CA133" si="39">BZ70+BY70-BV70</f>
        <v>345</v>
      </c>
      <c r="CB70" s="6">
        <v>953</v>
      </c>
      <c r="CC70" s="6"/>
      <c r="CD70" s="6">
        <f t="shared" ref="CD70:CD133" si="40">CC70+CB70-BY70</f>
        <v>345</v>
      </c>
      <c r="CE70" s="6">
        <v>93</v>
      </c>
      <c r="CF70" s="6">
        <v>1200</v>
      </c>
      <c r="CG70" s="6">
        <f t="shared" ref="CG70:CG133" si="41">CF70+CE70-CB70</f>
        <v>340</v>
      </c>
      <c r="CH70" s="6">
        <v>408</v>
      </c>
      <c r="CI70" s="6"/>
      <c r="CJ70" s="6">
        <f t="shared" ref="CJ70:CJ133" si="42">CI70+CH70-CE70</f>
        <v>315</v>
      </c>
      <c r="CK70" s="6">
        <v>746</v>
      </c>
      <c r="CL70" s="6"/>
      <c r="CM70" s="6">
        <f t="shared" ref="CM70:CM133" si="43">CL70+CK70-CH70</f>
        <v>338</v>
      </c>
      <c r="CN70" s="6"/>
      <c r="CO70" s="6"/>
      <c r="CP70" s="6"/>
      <c r="CQ70" s="6">
        <v>1097</v>
      </c>
      <c r="CR70" s="6"/>
      <c r="CS70" s="6">
        <f t="shared" ref="CS70:CS133" si="44">CR70+CQ70-CK70</f>
        <v>351</v>
      </c>
      <c r="CT70" s="6">
        <v>243</v>
      </c>
      <c r="CU70" s="6">
        <v>1200</v>
      </c>
      <c r="CV70" s="6">
        <f t="shared" ref="CV70:CV133" si="45">CU70+CT70-CQ70</f>
        <v>346</v>
      </c>
      <c r="CW70" s="6">
        <v>592</v>
      </c>
      <c r="CX70" s="6"/>
      <c r="CY70" s="6">
        <f t="shared" ref="CY70:CY133" si="46">CX70+CW70-CT70</f>
        <v>349</v>
      </c>
      <c r="CZ70" s="6">
        <v>942</v>
      </c>
      <c r="DA70" s="6"/>
      <c r="DB70" s="6">
        <f t="shared" ref="DB70:DB133" si="47">DA70+CZ70-CW70</f>
        <v>350</v>
      </c>
      <c r="DC70" s="6">
        <v>90</v>
      </c>
      <c r="DD70" s="6">
        <v>1200</v>
      </c>
      <c r="DE70" s="6">
        <f t="shared" ref="DE70:DE133" si="48">DD70+DC70-CZ70</f>
        <v>348</v>
      </c>
      <c r="DF70" s="6">
        <v>415</v>
      </c>
      <c r="DG70" s="6"/>
      <c r="DH70" s="6">
        <f t="shared" ref="DH70:DH133" si="49">DG70+DF70-DC70</f>
        <v>325</v>
      </c>
      <c r="DI70" s="6"/>
      <c r="DJ70" s="6"/>
      <c r="DK70" s="6"/>
      <c r="DL70" s="6">
        <v>763</v>
      </c>
      <c r="DM70" s="6"/>
      <c r="DN70" s="6">
        <f t="shared" ref="DN70:DN133" si="50">DM70+DL70-DF70</f>
        <v>348</v>
      </c>
      <c r="DO70" s="6">
        <v>1080</v>
      </c>
      <c r="DP70" s="6"/>
      <c r="DQ70" s="6">
        <f t="shared" ref="DQ70:DQ133" si="51">DP70+DO70-DL70</f>
        <v>317</v>
      </c>
    </row>
    <row r="71" spans="1:121">
      <c r="A71" s="6">
        <v>67</v>
      </c>
      <c r="B71" s="6">
        <v>894</v>
      </c>
      <c r="C71" s="6"/>
      <c r="D71" s="6">
        <v>309</v>
      </c>
      <c r="E71" s="33" t="s">
        <v>130</v>
      </c>
      <c r="F71" s="33" t="s">
        <v>130</v>
      </c>
      <c r="G71" s="33" t="s">
        <v>130</v>
      </c>
      <c r="H71" s="33" t="s">
        <v>130</v>
      </c>
      <c r="I71" s="33" t="s">
        <v>130</v>
      </c>
      <c r="J71" s="33" t="s">
        <v>130</v>
      </c>
      <c r="K71" s="33" t="s">
        <v>130</v>
      </c>
      <c r="L71" s="33" t="s">
        <v>130</v>
      </c>
      <c r="M71" s="33" t="s">
        <v>130</v>
      </c>
      <c r="N71" s="33" t="s">
        <v>130</v>
      </c>
      <c r="O71" s="33" t="s">
        <v>130</v>
      </c>
      <c r="P71" s="33" t="s">
        <v>130</v>
      </c>
      <c r="Q71" s="148" t="s">
        <v>130</v>
      </c>
      <c r="R71" s="33" t="s">
        <v>130</v>
      </c>
      <c r="S71" s="33" t="s">
        <v>130</v>
      </c>
      <c r="T71" s="33" t="s">
        <v>130</v>
      </c>
      <c r="U71" s="33" t="s">
        <v>130</v>
      </c>
      <c r="V71" s="33" t="s">
        <v>130</v>
      </c>
      <c r="W71" s="33" t="s">
        <v>130</v>
      </c>
      <c r="X71" s="33" t="s">
        <v>130</v>
      </c>
      <c r="Y71" s="33" t="s">
        <v>130</v>
      </c>
      <c r="Z71" s="33" t="s">
        <v>130</v>
      </c>
      <c r="AA71" s="33" t="s">
        <v>130</v>
      </c>
      <c r="AB71" s="33" t="s">
        <v>130</v>
      </c>
      <c r="AC71" s="33" t="s">
        <v>130</v>
      </c>
      <c r="AD71" s="33" t="s">
        <v>130</v>
      </c>
      <c r="AE71" s="33" t="s">
        <v>130</v>
      </c>
      <c r="AF71" s="6">
        <v>64</v>
      </c>
      <c r="AG71" s="6">
        <v>1200</v>
      </c>
      <c r="AH71" s="35">
        <f t="shared" si="26"/>
        <v>370</v>
      </c>
      <c r="AI71" s="35">
        <v>405</v>
      </c>
      <c r="AJ71" s="35"/>
      <c r="AK71" s="35">
        <f t="shared" si="27"/>
        <v>341</v>
      </c>
      <c r="AL71" s="6">
        <v>752</v>
      </c>
      <c r="AM71" s="6"/>
      <c r="AN71" s="35">
        <f t="shared" si="28"/>
        <v>347</v>
      </c>
      <c r="AO71" s="6">
        <v>1096</v>
      </c>
      <c r="AP71" s="6"/>
      <c r="AQ71" s="34">
        <f t="shared" si="29"/>
        <v>344</v>
      </c>
      <c r="AR71" s="35">
        <v>242</v>
      </c>
      <c r="AS71" s="35">
        <v>1200</v>
      </c>
      <c r="AT71" s="35">
        <f t="shared" si="30"/>
        <v>346</v>
      </c>
      <c r="AU71" s="6">
        <v>570</v>
      </c>
      <c r="AV71" s="6"/>
      <c r="AW71" s="35">
        <f t="shared" si="31"/>
        <v>328</v>
      </c>
      <c r="AX71" s="6"/>
      <c r="AY71" s="6"/>
      <c r="AZ71" s="35"/>
      <c r="BA71" s="35">
        <v>924</v>
      </c>
      <c r="BB71" s="35"/>
      <c r="BC71" s="35">
        <f t="shared" si="32"/>
        <v>354</v>
      </c>
      <c r="BD71" s="6">
        <v>72</v>
      </c>
      <c r="BE71" s="6">
        <v>1200</v>
      </c>
      <c r="BF71" s="35">
        <f t="shared" si="33"/>
        <v>348</v>
      </c>
      <c r="BG71" s="6">
        <v>420</v>
      </c>
      <c r="BH71" s="6"/>
      <c r="BI71" s="6">
        <f t="shared" si="34"/>
        <v>348</v>
      </c>
      <c r="BJ71" s="6">
        <v>764</v>
      </c>
      <c r="BK71" s="6"/>
      <c r="BL71" s="6">
        <f t="shared" si="35"/>
        <v>344</v>
      </c>
      <c r="BM71" s="6">
        <v>0</v>
      </c>
      <c r="BN71" s="6">
        <v>1022</v>
      </c>
      <c r="BO71" s="6">
        <f t="shared" si="36"/>
        <v>258</v>
      </c>
      <c r="BP71" s="6">
        <v>319</v>
      </c>
      <c r="BQ71" s="6"/>
      <c r="BR71" s="35">
        <f t="shared" si="37"/>
        <v>319</v>
      </c>
      <c r="BS71" s="6"/>
      <c r="BT71" s="6"/>
      <c r="BU71" s="6"/>
      <c r="BV71" s="6">
        <v>664</v>
      </c>
      <c r="BW71" s="6"/>
      <c r="BX71" s="35">
        <f t="shared" si="38"/>
        <v>345</v>
      </c>
      <c r="BY71" s="6">
        <v>1002</v>
      </c>
      <c r="BZ71" s="6"/>
      <c r="CA71" s="6">
        <f t="shared" si="39"/>
        <v>338</v>
      </c>
      <c r="CB71" s="6">
        <v>130</v>
      </c>
      <c r="CC71" s="6">
        <v>1200</v>
      </c>
      <c r="CD71" s="6">
        <f t="shared" si="40"/>
        <v>328</v>
      </c>
      <c r="CE71" s="6">
        <v>459</v>
      </c>
      <c r="CF71" s="6"/>
      <c r="CG71" s="6">
        <f t="shared" si="41"/>
        <v>329</v>
      </c>
      <c r="CH71" s="6">
        <v>798</v>
      </c>
      <c r="CI71" s="6"/>
      <c r="CJ71" s="6">
        <f t="shared" si="42"/>
        <v>339</v>
      </c>
      <c r="CK71" s="6">
        <v>1121</v>
      </c>
      <c r="CL71" s="6"/>
      <c r="CM71" s="6">
        <f t="shared" si="43"/>
        <v>323</v>
      </c>
      <c r="CN71" s="6"/>
      <c r="CO71" s="6"/>
      <c r="CP71" s="6"/>
      <c r="CQ71" s="35">
        <v>250</v>
      </c>
      <c r="CR71" s="6">
        <v>1200</v>
      </c>
      <c r="CS71" s="6">
        <f t="shared" si="44"/>
        <v>329</v>
      </c>
      <c r="CT71" s="6">
        <v>572</v>
      </c>
      <c r="CU71" s="6"/>
      <c r="CV71" s="6">
        <f t="shared" si="45"/>
        <v>322</v>
      </c>
      <c r="CW71" s="6">
        <v>907</v>
      </c>
      <c r="CX71" s="6"/>
      <c r="CY71" s="6">
        <f t="shared" si="46"/>
        <v>335</v>
      </c>
      <c r="CZ71" s="6">
        <v>35</v>
      </c>
      <c r="DA71" s="6">
        <v>1200</v>
      </c>
      <c r="DB71" s="6">
        <f t="shared" si="47"/>
        <v>328</v>
      </c>
      <c r="DC71" s="6">
        <v>368</v>
      </c>
      <c r="DD71" s="6"/>
      <c r="DE71" s="6">
        <f t="shared" si="48"/>
        <v>333</v>
      </c>
      <c r="DF71" s="6">
        <v>682</v>
      </c>
      <c r="DG71" s="6"/>
      <c r="DH71" s="6">
        <f t="shared" si="49"/>
        <v>314</v>
      </c>
      <c r="DI71" s="6"/>
      <c r="DJ71" s="6"/>
      <c r="DK71" s="6"/>
      <c r="DL71" s="6">
        <v>1013</v>
      </c>
      <c r="DM71" s="6"/>
      <c r="DN71" s="6">
        <f t="shared" si="50"/>
        <v>331</v>
      </c>
      <c r="DO71" s="6">
        <v>123</v>
      </c>
      <c r="DP71" s="6">
        <v>1200</v>
      </c>
      <c r="DQ71" s="6">
        <f t="shared" si="51"/>
        <v>310</v>
      </c>
    </row>
    <row r="72" spans="1:121">
      <c r="A72" s="6">
        <v>68</v>
      </c>
      <c r="B72" s="6">
        <v>268</v>
      </c>
      <c r="C72" s="6"/>
      <c r="D72" s="6">
        <v>268</v>
      </c>
      <c r="E72" s="148" t="s">
        <v>130</v>
      </c>
      <c r="F72" s="33" t="s">
        <v>130</v>
      </c>
      <c r="G72" s="33" t="s">
        <v>130</v>
      </c>
      <c r="H72" s="33" t="s">
        <v>130</v>
      </c>
      <c r="I72" s="33" t="s">
        <v>130</v>
      </c>
      <c r="J72" s="33" t="s">
        <v>130</v>
      </c>
      <c r="K72" s="33" t="s">
        <v>130</v>
      </c>
      <c r="L72" s="33" t="s">
        <v>130</v>
      </c>
      <c r="M72" s="33" t="s">
        <v>130</v>
      </c>
      <c r="N72" s="33" t="s">
        <v>130</v>
      </c>
      <c r="O72" s="33" t="s">
        <v>130</v>
      </c>
      <c r="P72" s="33" t="s">
        <v>130</v>
      </c>
      <c r="Q72" s="33" t="s">
        <v>130</v>
      </c>
      <c r="R72" s="33" t="s">
        <v>130</v>
      </c>
      <c r="S72" s="33" t="s">
        <v>130</v>
      </c>
      <c r="T72" s="33" t="s">
        <v>130</v>
      </c>
      <c r="U72" s="33" t="s">
        <v>130</v>
      </c>
      <c r="V72" s="33" t="s">
        <v>130</v>
      </c>
      <c r="W72" s="148" t="s">
        <v>130</v>
      </c>
      <c r="X72" s="33" t="s">
        <v>130</v>
      </c>
      <c r="Y72" s="33" t="s">
        <v>130</v>
      </c>
      <c r="Z72" s="33" t="s">
        <v>130</v>
      </c>
      <c r="AA72" s="33" t="s">
        <v>130</v>
      </c>
      <c r="AB72" s="33" t="s">
        <v>130</v>
      </c>
      <c r="AC72" s="33" t="s">
        <v>130</v>
      </c>
      <c r="AD72" s="33" t="s">
        <v>130</v>
      </c>
      <c r="AE72" s="33" t="s">
        <v>130</v>
      </c>
      <c r="AF72" s="6">
        <v>635</v>
      </c>
      <c r="AG72" s="6"/>
      <c r="AH72" s="35">
        <f t="shared" si="26"/>
        <v>367</v>
      </c>
      <c r="AI72" s="35">
        <v>982</v>
      </c>
      <c r="AJ72" s="35"/>
      <c r="AK72" s="35">
        <f t="shared" si="27"/>
        <v>347</v>
      </c>
      <c r="AL72" s="6">
        <v>128</v>
      </c>
      <c r="AM72" s="6">
        <v>1200</v>
      </c>
      <c r="AN72" s="35">
        <f t="shared" si="28"/>
        <v>346</v>
      </c>
      <c r="AO72" s="6">
        <v>468</v>
      </c>
      <c r="AP72" s="6"/>
      <c r="AQ72" s="34">
        <f t="shared" si="29"/>
        <v>340</v>
      </c>
      <c r="AR72" s="35">
        <v>816</v>
      </c>
      <c r="AS72" s="35"/>
      <c r="AT72" s="35">
        <f t="shared" si="30"/>
        <v>348</v>
      </c>
      <c r="AU72" s="6">
        <v>1141</v>
      </c>
      <c r="AV72" s="6"/>
      <c r="AW72" s="35">
        <f t="shared" si="31"/>
        <v>325</v>
      </c>
      <c r="AX72" s="6"/>
      <c r="AY72" s="6"/>
      <c r="AZ72" s="35"/>
      <c r="BA72" s="35">
        <v>292</v>
      </c>
      <c r="BB72" s="35">
        <v>1200</v>
      </c>
      <c r="BC72" s="35">
        <f t="shared" si="32"/>
        <v>351</v>
      </c>
      <c r="BD72" s="6">
        <v>637</v>
      </c>
      <c r="BE72" s="6"/>
      <c r="BF72" s="35">
        <f t="shared" si="33"/>
        <v>345</v>
      </c>
      <c r="BG72" s="6">
        <v>985</v>
      </c>
      <c r="BH72" s="6"/>
      <c r="BI72" s="6">
        <f t="shared" si="34"/>
        <v>348</v>
      </c>
      <c r="BJ72" s="6">
        <v>129</v>
      </c>
      <c r="BK72" s="6">
        <v>1200</v>
      </c>
      <c r="BL72" s="6">
        <f t="shared" si="35"/>
        <v>344</v>
      </c>
      <c r="BM72" s="6">
        <v>480</v>
      </c>
      <c r="BN72" s="6"/>
      <c r="BO72" s="6">
        <f t="shared" si="36"/>
        <v>351</v>
      </c>
      <c r="BP72" s="6">
        <v>810</v>
      </c>
      <c r="BQ72" s="6"/>
      <c r="BR72" s="35">
        <f t="shared" si="37"/>
        <v>330</v>
      </c>
      <c r="BS72" s="6"/>
      <c r="BT72" s="6"/>
      <c r="BU72" s="6"/>
      <c r="BV72" s="6">
        <v>1163</v>
      </c>
      <c r="BW72" s="6"/>
      <c r="BX72" s="35">
        <f t="shared" si="38"/>
        <v>353</v>
      </c>
      <c r="BY72" s="6">
        <v>307</v>
      </c>
      <c r="BZ72" s="6">
        <v>1200</v>
      </c>
      <c r="CA72" s="6">
        <f t="shared" si="39"/>
        <v>344</v>
      </c>
      <c r="CB72" s="6">
        <v>652</v>
      </c>
      <c r="CC72" s="6"/>
      <c r="CD72" s="6">
        <f t="shared" si="40"/>
        <v>345</v>
      </c>
      <c r="CE72" s="6">
        <v>1001</v>
      </c>
      <c r="CF72" s="6"/>
      <c r="CG72" s="6">
        <f t="shared" si="41"/>
        <v>349</v>
      </c>
      <c r="CH72" s="6">
        <v>0</v>
      </c>
      <c r="CI72" s="6">
        <v>1130</v>
      </c>
      <c r="CJ72" s="6">
        <f t="shared" si="42"/>
        <v>129</v>
      </c>
      <c r="CK72" s="6">
        <v>311</v>
      </c>
      <c r="CL72" s="6"/>
      <c r="CM72" s="6">
        <f t="shared" si="43"/>
        <v>311</v>
      </c>
      <c r="CN72" s="6"/>
      <c r="CO72" s="6"/>
      <c r="CP72" s="6"/>
      <c r="CQ72" s="6">
        <v>661</v>
      </c>
      <c r="CR72" s="6"/>
      <c r="CS72" s="6">
        <f t="shared" si="44"/>
        <v>350</v>
      </c>
      <c r="CT72" s="6">
        <v>1000</v>
      </c>
      <c r="CU72" s="6"/>
      <c r="CV72" s="6">
        <f t="shared" si="45"/>
        <v>339</v>
      </c>
      <c r="CW72" s="6">
        <v>138</v>
      </c>
      <c r="CX72" s="6">
        <v>1200</v>
      </c>
      <c r="CY72" s="6">
        <f t="shared" si="46"/>
        <v>338</v>
      </c>
      <c r="CZ72" s="6">
        <v>37</v>
      </c>
      <c r="DA72" s="6">
        <v>435</v>
      </c>
      <c r="DB72" s="6">
        <f t="shared" si="47"/>
        <v>334</v>
      </c>
      <c r="DC72" s="6">
        <v>381</v>
      </c>
      <c r="DD72" s="6"/>
      <c r="DE72" s="6">
        <f t="shared" si="48"/>
        <v>344</v>
      </c>
      <c r="DF72" s="6">
        <v>701</v>
      </c>
      <c r="DG72" s="6"/>
      <c r="DH72" s="6">
        <f t="shared" si="49"/>
        <v>320</v>
      </c>
      <c r="DI72" s="6"/>
      <c r="DJ72" s="6"/>
      <c r="DK72" s="6"/>
      <c r="DL72" s="6">
        <v>1038</v>
      </c>
      <c r="DM72" s="6"/>
      <c r="DN72" s="6">
        <f t="shared" si="50"/>
        <v>337</v>
      </c>
      <c r="DO72" s="6">
        <v>163</v>
      </c>
      <c r="DP72" s="6">
        <v>1200</v>
      </c>
      <c r="DQ72" s="6">
        <f t="shared" si="51"/>
        <v>325</v>
      </c>
    </row>
    <row r="73" spans="1:121">
      <c r="A73" s="6">
        <v>69</v>
      </c>
      <c r="B73" s="6">
        <v>417</v>
      </c>
      <c r="C73" s="6"/>
      <c r="D73" s="6">
        <v>315</v>
      </c>
      <c r="E73" s="33" t="s">
        <v>130</v>
      </c>
      <c r="F73" s="33" t="s">
        <v>130</v>
      </c>
      <c r="G73" s="33" t="s">
        <v>130</v>
      </c>
      <c r="H73" s="33" t="s">
        <v>130</v>
      </c>
      <c r="I73" s="33" t="s">
        <v>130</v>
      </c>
      <c r="J73" s="33" t="s">
        <v>130</v>
      </c>
      <c r="K73" s="33" t="s">
        <v>130</v>
      </c>
      <c r="L73" s="33" t="s">
        <v>130</v>
      </c>
      <c r="M73" s="33" t="s">
        <v>130</v>
      </c>
      <c r="N73" s="33" t="s">
        <v>130</v>
      </c>
      <c r="O73" s="148" t="s">
        <v>130</v>
      </c>
      <c r="P73" s="33" t="s">
        <v>130</v>
      </c>
      <c r="Q73" s="33" t="s">
        <v>130</v>
      </c>
      <c r="R73" s="33" t="s">
        <v>130</v>
      </c>
      <c r="S73" s="148" t="s">
        <v>130</v>
      </c>
      <c r="T73" s="33" t="s">
        <v>130</v>
      </c>
      <c r="U73" s="33" t="s">
        <v>130</v>
      </c>
      <c r="V73" s="33" t="s">
        <v>130</v>
      </c>
      <c r="W73" s="33" t="s">
        <v>130</v>
      </c>
      <c r="X73" s="33" t="s">
        <v>130</v>
      </c>
      <c r="Y73" s="33" t="s">
        <v>130</v>
      </c>
      <c r="Z73" s="33" t="s">
        <v>130</v>
      </c>
      <c r="AA73" s="33" t="s">
        <v>130</v>
      </c>
      <c r="AB73" s="33" t="s">
        <v>130</v>
      </c>
      <c r="AC73" s="33" t="s">
        <v>130</v>
      </c>
      <c r="AD73" s="33" t="s">
        <v>130</v>
      </c>
      <c r="AE73" s="33" t="s">
        <v>130</v>
      </c>
      <c r="AF73" s="6">
        <v>786</v>
      </c>
      <c r="AG73" s="6"/>
      <c r="AH73" s="35">
        <f t="shared" si="26"/>
        <v>369</v>
      </c>
      <c r="AI73" s="35">
        <v>1133</v>
      </c>
      <c r="AJ73" s="35"/>
      <c r="AK73" s="35">
        <f t="shared" si="27"/>
        <v>347</v>
      </c>
      <c r="AL73" s="6">
        <v>281</v>
      </c>
      <c r="AM73" s="6">
        <v>1200</v>
      </c>
      <c r="AN73" s="35">
        <f t="shared" si="28"/>
        <v>348</v>
      </c>
      <c r="AO73" s="6">
        <v>631</v>
      </c>
      <c r="AP73" s="6"/>
      <c r="AQ73" s="34">
        <f t="shared" si="29"/>
        <v>350</v>
      </c>
      <c r="AR73" s="35">
        <v>978</v>
      </c>
      <c r="AS73" s="35"/>
      <c r="AT73" s="35">
        <f t="shared" si="30"/>
        <v>347</v>
      </c>
      <c r="AU73" s="6">
        <v>106</v>
      </c>
      <c r="AV73" s="6">
        <v>1200</v>
      </c>
      <c r="AW73" s="35">
        <f t="shared" si="31"/>
        <v>328</v>
      </c>
      <c r="AX73" s="6"/>
      <c r="AY73" s="6"/>
      <c r="AZ73" s="35"/>
      <c r="BA73" s="6">
        <v>460</v>
      </c>
      <c r="BB73" s="6"/>
      <c r="BC73" s="35">
        <f t="shared" si="32"/>
        <v>354</v>
      </c>
      <c r="BD73" s="6">
        <v>806</v>
      </c>
      <c r="BE73" s="6"/>
      <c r="BF73" s="35">
        <f t="shared" si="33"/>
        <v>346</v>
      </c>
      <c r="BG73" s="6">
        <v>0</v>
      </c>
      <c r="BH73" s="6">
        <v>1008</v>
      </c>
      <c r="BI73" s="6">
        <f t="shared" si="34"/>
        <v>202</v>
      </c>
      <c r="BJ73" s="6">
        <v>314</v>
      </c>
      <c r="BK73" s="6"/>
      <c r="BL73" s="6">
        <f t="shared" si="35"/>
        <v>314</v>
      </c>
      <c r="BM73" s="6">
        <v>657</v>
      </c>
      <c r="BN73" s="6"/>
      <c r="BO73" s="6">
        <f t="shared" si="36"/>
        <v>343</v>
      </c>
      <c r="BP73" s="6">
        <v>980</v>
      </c>
      <c r="BQ73" s="6"/>
      <c r="BR73" s="35">
        <f t="shared" si="37"/>
        <v>323</v>
      </c>
      <c r="BS73" s="6"/>
      <c r="BT73" s="6"/>
      <c r="BU73" s="6"/>
      <c r="BV73" s="6">
        <v>0</v>
      </c>
      <c r="BW73" s="6">
        <v>1165</v>
      </c>
      <c r="BX73" s="35">
        <f t="shared" si="38"/>
        <v>185</v>
      </c>
      <c r="BY73" s="6">
        <v>333</v>
      </c>
      <c r="BZ73" s="6"/>
      <c r="CA73" s="6">
        <f t="shared" si="39"/>
        <v>333</v>
      </c>
      <c r="CB73" s="6">
        <v>672</v>
      </c>
      <c r="CC73" s="6"/>
      <c r="CD73" s="6">
        <f t="shared" si="40"/>
        <v>339</v>
      </c>
      <c r="CE73" s="6">
        <v>1015</v>
      </c>
      <c r="CF73" s="6"/>
      <c r="CG73" s="6">
        <f t="shared" si="41"/>
        <v>343</v>
      </c>
      <c r="CH73" s="6">
        <v>156</v>
      </c>
      <c r="CI73" s="6">
        <v>1200</v>
      </c>
      <c r="CJ73" s="6">
        <f t="shared" si="42"/>
        <v>341</v>
      </c>
      <c r="CK73" s="6">
        <v>488</v>
      </c>
      <c r="CL73" s="6"/>
      <c r="CM73" s="6">
        <f t="shared" si="43"/>
        <v>332</v>
      </c>
      <c r="CN73" s="6"/>
      <c r="CO73" s="6"/>
      <c r="CP73" s="6"/>
      <c r="CQ73" s="35">
        <v>834</v>
      </c>
      <c r="CR73" s="6"/>
      <c r="CS73" s="6">
        <f t="shared" si="44"/>
        <v>346</v>
      </c>
      <c r="CT73" s="6">
        <v>105</v>
      </c>
      <c r="CU73" s="6">
        <v>1065</v>
      </c>
      <c r="CV73" s="6">
        <f t="shared" si="45"/>
        <v>336</v>
      </c>
      <c r="CW73" s="6">
        <v>448</v>
      </c>
      <c r="CX73" s="35"/>
      <c r="CY73" s="6">
        <f t="shared" si="46"/>
        <v>343</v>
      </c>
      <c r="CZ73" s="6">
        <v>788</v>
      </c>
      <c r="DA73" s="6"/>
      <c r="DB73" s="6">
        <f t="shared" si="47"/>
        <v>340</v>
      </c>
      <c r="DC73" s="6">
        <v>1136</v>
      </c>
      <c r="DD73" s="35"/>
      <c r="DE73" s="6">
        <f t="shared" si="48"/>
        <v>348</v>
      </c>
      <c r="DF73" s="6">
        <v>264</v>
      </c>
      <c r="DG73" s="6">
        <v>1200</v>
      </c>
      <c r="DH73" s="6">
        <f t="shared" si="49"/>
        <v>328</v>
      </c>
      <c r="DI73" s="6"/>
      <c r="DJ73" s="6"/>
      <c r="DK73" s="6"/>
      <c r="DL73" s="6">
        <v>611</v>
      </c>
      <c r="DM73" s="6"/>
      <c r="DN73" s="6">
        <f t="shared" si="50"/>
        <v>347</v>
      </c>
      <c r="DO73" s="6">
        <v>934</v>
      </c>
      <c r="DP73" s="6"/>
      <c r="DQ73" s="6">
        <f t="shared" si="51"/>
        <v>323</v>
      </c>
    </row>
    <row r="74" spans="1:121">
      <c r="A74" s="6">
        <v>70</v>
      </c>
      <c r="B74" s="6">
        <v>822</v>
      </c>
      <c r="C74" s="6"/>
      <c r="D74" s="6">
        <v>317</v>
      </c>
      <c r="E74" s="33" t="s">
        <v>130</v>
      </c>
      <c r="F74" s="33" t="s">
        <v>130</v>
      </c>
      <c r="G74" s="33" t="s">
        <v>130</v>
      </c>
      <c r="H74" s="33" t="s">
        <v>130</v>
      </c>
      <c r="I74" s="33" t="s">
        <v>130</v>
      </c>
      <c r="J74" s="33" t="s">
        <v>130</v>
      </c>
      <c r="K74" s="148" t="s">
        <v>130</v>
      </c>
      <c r="L74" s="33" t="s">
        <v>130</v>
      </c>
      <c r="M74" s="33" t="s">
        <v>130</v>
      </c>
      <c r="N74" s="33" t="s">
        <v>130</v>
      </c>
      <c r="O74" s="33" t="s">
        <v>130</v>
      </c>
      <c r="P74" s="33" t="s">
        <v>130</v>
      </c>
      <c r="Q74" s="33" t="s">
        <v>130</v>
      </c>
      <c r="R74" s="33" t="s">
        <v>130</v>
      </c>
      <c r="S74" s="33" t="s">
        <v>130</v>
      </c>
      <c r="T74" s="33" t="s">
        <v>130</v>
      </c>
      <c r="U74" s="33" t="s">
        <v>130</v>
      </c>
      <c r="V74" s="33" t="s">
        <v>130</v>
      </c>
      <c r="W74" s="33" t="s">
        <v>130</v>
      </c>
      <c r="X74" s="33" t="s">
        <v>130</v>
      </c>
      <c r="Y74" s="33" t="s">
        <v>130</v>
      </c>
      <c r="Z74" s="33" t="s">
        <v>130</v>
      </c>
      <c r="AA74" s="33" t="s">
        <v>130</v>
      </c>
      <c r="AB74" s="33" t="s">
        <v>130</v>
      </c>
      <c r="AC74" s="148" t="s">
        <v>130</v>
      </c>
      <c r="AD74" s="33" t="s">
        <v>130</v>
      </c>
      <c r="AE74" s="33" t="s">
        <v>130</v>
      </c>
      <c r="AF74" s="6">
        <v>1191</v>
      </c>
      <c r="AG74" s="6"/>
      <c r="AH74" s="35">
        <f t="shared" si="26"/>
        <v>369</v>
      </c>
      <c r="AI74" s="35">
        <v>336</v>
      </c>
      <c r="AJ74" s="35">
        <v>1200</v>
      </c>
      <c r="AK74" s="35">
        <f t="shared" si="27"/>
        <v>345</v>
      </c>
      <c r="AL74" s="6">
        <v>683</v>
      </c>
      <c r="AM74" s="6"/>
      <c r="AN74" s="35">
        <f t="shared" si="28"/>
        <v>347</v>
      </c>
      <c r="AO74" s="6">
        <v>1029</v>
      </c>
      <c r="AP74" s="6"/>
      <c r="AQ74" s="34">
        <f t="shared" si="29"/>
        <v>346</v>
      </c>
      <c r="AR74" s="35">
        <v>0</v>
      </c>
      <c r="AS74" s="35">
        <v>1359</v>
      </c>
      <c r="AT74" s="35">
        <f t="shared" si="30"/>
        <v>330</v>
      </c>
      <c r="AU74" s="6">
        <v>283</v>
      </c>
      <c r="AV74" s="6"/>
      <c r="AW74" s="35">
        <f t="shared" si="31"/>
        <v>283</v>
      </c>
      <c r="AX74" s="6"/>
      <c r="AY74" s="6"/>
      <c r="AZ74" s="35"/>
      <c r="BA74" s="35">
        <v>635</v>
      </c>
      <c r="BB74" s="35"/>
      <c r="BC74" s="35">
        <f t="shared" si="32"/>
        <v>352</v>
      </c>
      <c r="BD74" s="6">
        <v>969</v>
      </c>
      <c r="BE74" s="6"/>
      <c r="BF74" s="35">
        <f t="shared" si="33"/>
        <v>334</v>
      </c>
      <c r="BG74" s="6">
        <v>117</v>
      </c>
      <c r="BH74" s="6">
        <v>1200</v>
      </c>
      <c r="BI74" s="6">
        <f t="shared" si="34"/>
        <v>348</v>
      </c>
      <c r="BJ74" s="6">
        <v>466</v>
      </c>
      <c r="BK74" s="6"/>
      <c r="BL74" s="6">
        <f t="shared" si="35"/>
        <v>349</v>
      </c>
      <c r="BM74" s="6">
        <v>814</v>
      </c>
      <c r="BN74" s="6"/>
      <c r="BO74" s="6">
        <f t="shared" si="36"/>
        <v>348</v>
      </c>
      <c r="BP74" s="6">
        <v>1142</v>
      </c>
      <c r="BQ74" s="6"/>
      <c r="BR74" s="35">
        <f t="shared" si="37"/>
        <v>328</v>
      </c>
      <c r="BS74" s="6"/>
      <c r="BT74" s="6"/>
      <c r="BU74" s="6"/>
      <c r="BV74" s="6">
        <v>266</v>
      </c>
      <c r="BW74" s="6">
        <v>1200</v>
      </c>
      <c r="BX74" s="35">
        <f t="shared" si="38"/>
        <v>324</v>
      </c>
      <c r="BY74" s="6">
        <v>612</v>
      </c>
      <c r="BZ74" s="6"/>
      <c r="CA74" s="6">
        <f t="shared" si="39"/>
        <v>346</v>
      </c>
      <c r="CB74" s="6">
        <v>960</v>
      </c>
      <c r="CC74" s="6"/>
      <c r="CD74" s="6">
        <f t="shared" si="40"/>
        <v>348</v>
      </c>
      <c r="CE74" s="6">
        <v>107</v>
      </c>
      <c r="CF74" s="6">
        <v>1200</v>
      </c>
      <c r="CG74" s="6">
        <f t="shared" si="41"/>
        <v>347</v>
      </c>
      <c r="CH74" s="6">
        <v>453</v>
      </c>
      <c r="CI74" s="6"/>
      <c r="CJ74" s="6">
        <f t="shared" si="42"/>
        <v>346</v>
      </c>
      <c r="CK74" s="6">
        <v>794</v>
      </c>
      <c r="CL74" s="6"/>
      <c r="CM74" s="6">
        <f t="shared" si="43"/>
        <v>341</v>
      </c>
      <c r="CN74" s="6"/>
      <c r="CO74" s="6"/>
      <c r="CP74" s="6"/>
      <c r="CQ74" s="6">
        <v>1144</v>
      </c>
      <c r="CR74" s="6"/>
      <c r="CS74" s="6">
        <f t="shared" si="44"/>
        <v>350</v>
      </c>
      <c r="CT74" s="6">
        <v>292</v>
      </c>
      <c r="CU74" s="6">
        <v>1200</v>
      </c>
      <c r="CV74" s="6">
        <f t="shared" si="45"/>
        <v>348</v>
      </c>
      <c r="CW74" s="35">
        <v>637</v>
      </c>
      <c r="CX74" s="6"/>
      <c r="CY74" s="6">
        <f t="shared" si="46"/>
        <v>345</v>
      </c>
      <c r="CZ74" s="6">
        <v>767</v>
      </c>
      <c r="DA74" s="6"/>
      <c r="DB74" s="6">
        <f t="shared" si="47"/>
        <v>130</v>
      </c>
      <c r="DC74" s="6">
        <v>0</v>
      </c>
      <c r="DD74" s="6">
        <v>1079</v>
      </c>
      <c r="DE74" s="6">
        <f t="shared" si="48"/>
        <v>312</v>
      </c>
      <c r="DF74" s="6">
        <v>315</v>
      </c>
      <c r="DG74" s="6"/>
      <c r="DH74" s="6">
        <f t="shared" si="49"/>
        <v>315</v>
      </c>
      <c r="DI74" s="6"/>
      <c r="DJ74" s="6"/>
      <c r="DK74" s="6"/>
      <c r="DL74" s="6">
        <v>658</v>
      </c>
      <c r="DM74" s="6"/>
      <c r="DN74" s="6">
        <f t="shared" si="50"/>
        <v>343</v>
      </c>
      <c r="DO74" s="6">
        <v>981</v>
      </c>
      <c r="DP74" s="6"/>
      <c r="DQ74" s="6">
        <f t="shared" si="51"/>
        <v>323</v>
      </c>
    </row>
    <row r="75" spans="1:121">
      <c r="A75" s="6">
        <v>71</v>
      </c>
      <c r="B75" s="6">
        <v>926</v>
      </c>
      <c r="C75" s="6"/>
      <c r="D75" s="6">
        <v>318</v>
      </c>
      <c r="E75" s="33" t="s">
        <v>130</v>
      </c>
      <c r="F75" s="33" t="s">
        <v>130</v>
      </c>
      <c r="G75" s="33" t="s">
        <v>130</v>
      </c>
      <c r="H75" s="33" t="s">
        <v>130</v>
      </c>
      <c r="I75" s="33" t="s">
        <v>130</v>
      </c>
      <c r="J75" s="33" t="s">
        <v>130</v>
      </c>
      <c r="K75" s="33" t="s">
        <v>130</v>
      </c>
      <c r="L75" s="33" t="s">
        <v>130</v>
      </c>
      <c r="M75" s="33" t="s">
        <v>130</v>
      </c>
      <c r="N75" s="148" t="s">
        <v>130</v>
      </c>
      <c r="O75" s="33" t="s">
        <v>130</v>
      </c>
      <c r="P75" s="33" t="s">
        <v>130</v>
      </c>
      <c r="Q75" s="33" t="s">
        <v>130</v>
      </c>
      <c r="R75" s="33" t="s">
        <v>130</v>
      </c>
      <c r="S75" s="33" t="s">
        <v>130</v>
      </c>
      <c r="T75" s="33" t="s">
        <v>130</v>
      </c>
      <c r="U75" s="33" t="s">
        <v>130</v>
      </c>
      <c r="V75" s="33" t="s">
        <v>130</v>
      </c>
      <c r="W75" s="33" t="s">
        <v>130</v>
      </c>
      <c r="X75" s="33" t="s">
        <v>130</v>
      </c>
      <c r="Y75" s="33" t="s">
        <v>130</v>
      </c>
      <c r="Z75" s="33" t="s">
        <v>130</v>
      </c>
      <c r="AA75" s="33" t="s">
        <v>130</v>
      </c>
      <c r="AB75" s="33" t="s">
        <v>130</v>
      </c>
      <c r="AC75" s="33" t="s">
        <v>130</v>
      </c>
      <c r="AD75" s="33" t="s">
        <v>130</v>
      </c>
      <c r="AE75" s="148" t="s">
        <v>130</v>
      </c>
      <c r="AF75" s="6">
        <v>90</v>
      </c>
      <c r="AG75" s="6">
        <v>1200</v>
      </c>
      <c r="AH75" s="35">
        <f t="shared" si="26"/>
        <v>364</v>
      </c>
      <c r="AI75" s="35">
        <v>422</v>
      </c>
      <c r="AJ75" s="35"/>
      <c r="AK75" s="35">
        <f t="shared" si="27"/>
        <v>332</v>
      </c>
      <c r="AL75" s="6">
        <v>761</v>
      </c>
      <c r="AM75" s="6"/>
      <c r="AN75" s="35">
        <f t="shared" si="28"/>
        <v>339</v>
      </c>
      <c r="AO75" s="6">
        <v>1097</v>
      </c>
      <c r="AP75" s="6"/>
      <c r="AQ75" s="34">
        <f t="shared" si="29"/>
        <v>336</v>
      </c>
      <c r="AR75" s="35">
        <v>238</v>
      </c>
      <c r="AS75" s="35">
        <v>1200</v>
      </c>
      <c r="AT75" s="35">
        <f t="shared" si="30"/>
        <v>341</v>
      </c>
      <c r="AU75" s="6">
        <v>560</v>
      </c>
      <c r="AV75" s="6"/>
      <c r="AW75" s="35">
        <f t="shared" si="31"/>
        <v>322</v>
      </c>
      <c r="AX75" s="6"/>
      <c r="AY75" s="6"/>
      <c r="AZ75" s="35"/>
      <c r="BA75" s="6">
        <v>907</v>
      </c>
      <c r="BB75" s="6"/>
      <c r="BC75" s="35">
        <f t="shared" si="32"/>
        <v>347</v>
      </c>
      <c r="BD75" s="35">
        <v>0</v>
      </c>
      <c r="BE75" s="6">
        <v>1172</v>
      </c>
      <c r="BF75" s="35">
        <f t="shared" si="33"/>
        <v>265</v>
      </c>
      <c r="BG75" s="6">
        <v>328</v>
      </c>
      <c r="BH75" s="6"/>
      <c r="BI75" s="6">
        <f t="shared" si="34"/>
        <v>328</v>
      </c>
      <c r="BJ75" s="6">
        <v>672</v>
      </c>
      <c r="BK75" s="6"/>
      <c r="BL75" s="6">
        <f t="shared" si="35"/>
        <v>344</v>
      </c>
      <c r="BM75" s="6">
        <f>66+44</f>
        <v>110</v>
      </c>
      <c r="BN75" s="6">
        <v>894</v>
      </c>
      <c r="BO75" s="6">
        <f t="shared" si="36"/>
        <v>332</v>
      </c>
      <c r="BP75" s="6">
        <f>381+44</f>
        <v>425</v>
      </c>
      <c r="BQ75" s="6"/>
      <c r="BR75" s="35">
        <f t="shared" si="37"/>
        <v>315</v>
      </c>
      <c r="BS75" s="6"/>
      <c r="BT75" s="6"/>
      <c r="BU75" s="6"/>
      <c r="BV75" s="6">
        <f>724+44</f>
        <v>768</v>
      </c>
      <c r="BW75" s="6"/>
      <c r="BX75" s="35">
        <f t="shared" si="38"/>
        <v>343</v>
      </c>
      <c r="BY75" s="6">
        <f>1068+44</f>
        <v>1112</v>
      </c>
      <c r="BZ75" s="6"/>
      <c r="CA75" s="6">
        <f t="shared" si="39"/>
        <v>344</v>
      </c>
      <c r="CB75" s="6">
        <v>211</v>
      </c>
      <c r="CC75" s="6">
        <v>1200</v>
      </c>
      <c r="CD75" s="6">
        <f t="shared" si="40"/>
        <v>299</v>
      </c>
      <c r="CE75" s="6">
        <v>554</v>
      </c>
      <c r="CF75" s="6"/>
      <c r="CG75" s="6">
        <f t="shared" si="41"/>
        <v>343</v>
      </c>
      <c r="CH75" s="6">
        <v>897</v>
      </c>
      <c r="CI75" s="6"/>
      <c r="CJ75" s="6">
        <f t="shared" si="42"/>
        <v>343</v>
      </c>
      <c r="CK75" s="6">
        <v>31</v>
      </c>
      <c r="CL75" s="6">
        <v>1200</v>
      </c>
      <c r="CM75" s="6">
        <f t="shared" si="43"/>
        <v>334</v>
      </c>
      <c r="CN75" s="6"/>
      <c r="CO75" s="6"/>
      <c r="CP75" s="6"/>
      <c r="CQ75" s="6">
        <v>377</v>
      </c>
      <c r="CR75" s="6"/>
      <c r="CS75" s="6">
        <f t="shared" si="44"/>
        <v>346</v>
      </c>
      <c r="CT75" s="6">
        <v>717</v>
      </c>
      <c r="CU75" s="6"/>
      <c r="CV75" s="6">
        <f t="shared" si="45"/>
        <v>340</v>
      </c>
      <c r="CW75" s="6">
        <v>1063</v>
      </c>
      <c r="CX75" s="6"/>
      <c r="CY75" s="6">
        <f t="shared" si="46"/>
        <v>346</v>
      </c>
      <c r="CZ75" s="6">
        <v>204</v>
      </c>
      <c r="DA75" s="6">
        <v>1200</v>
      </c>
      <c r="DB75" s="6">
        <f t="shared" si="47"/>
        <v>341</v>
      </c>
      <c r="DC75" s="6">
        <v>550</v>
      </c>
      <c r="DD75" s="6"/>
      <c r="DE75" s="6">
        <f t="shared" si="48"/>
        <v>346</v>
      </c>
      <c r="DF75" s="6">
        <v>870</v>
      </c>
      <c r="DG75" s="6"/>
      <c r="DH75" s="6">
        <f t="shared" si="49"/>
        <v>320</v>
      </c>
      <c r="DI75" s="6"/>
      <c r="DJ75" s="6"/>
      <c r="DK75" s="6"/>
      <c r="DL75" s="6">
        <v>1210</v>
      </c>
      <c r="DM75" s="6"/>
      <c r="DN75" s="6">
        <f t="shared" si="50"/>
        <v>340</v>
      </c>
      <c r="DO75" s="6">
        <v>213</v>
      </c>
      <c r="DP75" s="6">
        <v>1283</v>
      </c>
      <c r="DQ75" s="6">
        <f t="shared" si="51"/>
        <v>286</v>
      </c>
    </row>
    <row r="76" spans="1:121">
      <c r="A76" s="6">
        <v>72</v>
      </c>
      <c r="B76" s="6">
        <v>1105</v>
      </c>
      <c r="C76" s="6"/>
      <c r="D76" s="6">
        <v>316</v>
      </c>
      <c r="E76" s="33" t="s">
        <v>130</v>
      </c>
      <c r="F76" s="33" t="s">
        <v>130</v>
      </c>
      <c r="G76" s="33" t="s">
        <v>130</v>
      </c>
      <c r="H76" s="33" t="s">
        <v>130</v>
      </c>
      <c r="I76" s="148" t="s">
        <v>130</v>
      </c>
      <c r="J76" s="33" t="s">
        <v>130</v>
      </c>
      <c r="K76" s="33" t="s">
        <v>130</v>
      </c>
      <c r="L76" s="33" t="s">
        <v>130</v>
      </c>
      <c r="M76" s="33" t="s">
        <v>130</v>
      </c>
      <c r="N76" s="33" t="s">
        <v>130</v>
      </c>
      <c r="O76" s="33" t="s">
        <v>130</v>
      </c>
      <c r="P76" s="33" t="s">
        <v>130</v>
      </c>
      <c r="Q76" s="33" t="s">
        <v>130</v>
      </c>
      <c r="R76" s="33" t="s">
        <v>130</v>
      </c>
      <c r="S76" s="33" t="s">
        <v>130</v>
      </c>
      <c r="T76" s="33" t="s">
        <v>130</v>
      </c>
      <c r="U76" s="33" t="s">
        <v>130</v>
      </c>
      <c r="V76" s="33" t="s">
        <v>130</v>
      </c>
      <c r="W76" s="33" t="s">
        <v>130</v>
      </c>
      <c r="X76" s="33" t="s">
        <v>130</v>
      </c>
      <c r="Y76" s="33" t="s">
        <v>130</v>
      </c>
      <c r="Z76" s="33" t="s">
        <v>130</v>
      </c>
      <c r="AA76" s="148" t="s">
        <v>130</v>
      </c>
      <c r="AB76" s="33" t="s">
        <v>130</v>
      </c>
      <c r="AC76" s="33" t="s">
        <v>130</v>
      </c>
      <c r="AD76" s="33" t="s">
        <v>130</v>
      </c>
      <c r="AE76" s="33" t="s">
        <v>130</v>
      </c>
      <c r="AF76" s="6">
        <v>272</v>
      </c>
      <c r="AG76" s="6">
        <v>1200</v>
      </c>
      <c r="AH76" s="35">
        <f t="shared" si="26"/>
        <v>367</v>
      </c>
      <c r="AI76" s="35">
        <v>617</v>
      </c>
      <c r="AJ76" s="35"/>
      <c r="AK76" s="35">
        <f t="shared" si="27"/>
        <v>345</v>
      </c>
      <c r="AL76" s="6">
        <v>959</v>
      </c>
      <c r="AM76" s="6"/>
      <c r="AN76" s="35">
        <f t="shared" si="28"/>
        <v>342</v>
      </c>
      <c r="AO76" s="6">
        <v>251</v>
      </c>
      <c r="AP76" s="6">
        <v>1028</v>
      </c>
      <c r="AQ76" s="34">
        <f t="shared" si="29"/>
        <v>320</v>
      </c>
      <c r="AR76" s="35">
        <v>589</v>
      </c>
      <c r="AS76" s="35"/>
      <c r="AT76" s="35">
        <f t="shared" si="30"/>
        <v>338</v>
      </c>
      <c r="AU76" s="6">
        <v>918</v>
      </c>
      <c r="AV76" s="6"/>
      <c r="AW76" s="35">
        <f t="shared" si="31"/>
        <v>329</v>
      </c>
      <c r="AX76" s="6"/>
      <c r="AY76" s="6"/>
      <c r="AZ76" s="35"/>
      <c r="BA76" s="6">
        <v>71</v>
      </c>
      <c r="BB76" s="6">
        <v>1200</v>
      </c>
      <c r="BC76" s="35">
        <f t="shared" si="32"/>
        <v>353</v>
      </c>
      <c r="BD76" s="6">
        <v>416</v>
      </c>
      <c r="BE76" s="6"/>
      <c r="BF76" s="35">
        <f t="shared" si="33"/>
        <v>345</v>
      </c>
      <c r="BG76" s="6">
        <v>765</v>
      </c>
      <c r="BH76" s="6"/>
      <c r="BI76" s="6">
        <f t="shared" si="34"/>
        <v>349</v>
      </c>
      <c r="BJ76" s="6">
        <v>1112</v>
      </c>
      <c r="BK76" s="6"/>
      <c r="BL76" s="6">
        <f t="shared" si="35"/>
        <v>347</v>
      </c>
      <c r="BM76" s="6">
        <v>260</v>
      </c>
      <c r="BN76" s="6">
        <v>1200</v>
      </c>
      <c r="BO76" s="6">
        <f t="shared" si="36"/>
        <v>348</v>
      </c>
      <c r="BP76" s="6">
        <v>589</v>
      </c>
      <c r="BQ76" s="6"/>
      <c r="BR76" s="35">
        <f t="shared" si="37"/>
        <v>329</v>
      </c>
      <c r="BS76" s="35"/>
      <c r="BT76" s="6"/>
      <c r="BU76" s="6"/>
      <c r="BV76" s="6">
        <v>943</v>
      </c>
      <c r="BW76" s="6"/>
      <c r="BX76" s="35">
        <f t="shared" si="38"/>
        <v>354</v>
      </c>
      <c r="BY76" s="6">
        <v>83</v>
      </c>
      <c r="BZ76" s="6">
        <v>1200</v>
      </c>
      <c r="CA76" s="6">
        <f t="shared" si="39"/>
        <v>340</v>
      </c>
      <c r="CB76" s="6">
        <v>430</v>
      </c>
      <c r="CC76" s="6"/>
      <c r="CD76" s="6">
        <f t="shared" si="40"/>
        <v>347</v>
      </c>
      <c r="CE76" s="6">
        <v>775</v>
      </c>
      <c r="CF76" s="6"/>
      <c r="CG76" s="6">
        <f t="shared" si="41"/>
        <v>345</v>
      </c>
      <c r="CH76" s="6">
        <v>1113</v>
      </c>
      <c r="CI76" s="6"/>
      <c r="CJ76" s="6">
        <f t="shared" si="42"/>
        <v>338</v>
      </c>
      <c r="CK76" s="6">
        <v>239</v>
      </c>
      <c r="CL76" s="6">
        <v>1205</v>
      </c>
      <c r="CM76" s="6">
        <f t="shared" si="43"/>
        <v>331</v>
      </c>
      <c r="CN76" s="6"/>
      <c r="CO76" s="6"/>
      <c r="CP76" s="6"/>
      <c r="CQ76" s="6">
        <v>584</v>
      </c>
      <c r="CR76" s="6"/>
      <c r="CS76" s="6">
        <f t="shared" si="44"/>
        <v>345</v>
      </c>
      <c r="CT76" s="6">
        <v>929</v>
      </c>
      <c r="CU76" s="6"/>
      <c r="CV76" s="6">
        <f t="shared" si="45"/>
        <v>345</v>
      </c>
      <c r="CW76" s="6">
        <v>0</v>
      </c>
      <c r="CX76" s="6">
        <v>1130</v>
      </c>
      <c r="CY76" s="6">
        <f t="shared" si="46"/>
        <v>201</v>
      </c>
      <c r="CZ76" s="6">
        <v>324</v>
      </c>
      <c r="DA76" s="6"/>
      <c r="DB76" s="6">
        <f t="shared" si="47"/>
        <v>324</v>
      </c>
      <c r="DC76" s="6">
        <v>664</v>
      </c>
      <c r="DD76" s="6"/>
      <c r="DE76" s="6">
        <f t="shared" si="48"/>
        <v>340</v>
      </c>
      <c r="DF76" s="6">
        <v>991</v>
      </c>
      <c r="DG76" s="6"/>
      <c r="DH76" s="6">
        <f t="shared" si="49"/>
        <v>327</v>
      </c>
      <c r="DI76" s="6"/>
      <c r="DJ76" s="6"/>
      <c r="DK76" s="6"/>
      <c r="DL76" s="6">
        <v>141</v>
      </c>
      <c r="DM76" s="6">
        <v>1200</v>
      </c>
      <c r="DN76" s="6">
        <f t="shared" si="50"/>
        <v>350</v>
      </c>
      <c r="DO76" s="6">
        <v>463</v>
      </c>
      <c r="DP76" s="6"/>
      <c r="DQ76" s="6">
        <f t="shared" si="51"/>
        <v>322</v>
      </c>
    </row>
    <row r="77" spans="1:121">
      <c r="A77" s="6">
        <v>73</v>
      </c>
      <c r="B77" s="6">
        <v>323</v>
      </c>
      <c r="C77" s="6"/>
      <c r="D77" s="6">
        <v>323</v>
      </c>
      <c r="E77" s="148" t="s">
        <v>37</v>
      </c>
      <c r="F77" s="33" t="s">
        <v>37</v>
      </c>
      <c r="G77" s="33" t="s">
        <v>37</v>
      </c>
      <c r="H77" s="33" t="s">
        <v>37</v>
      </c>
      <c r="I77" s="33" t="s">
        <v>37</v>
      </c>
      <c r="J77" s="33" t="s">
        <v>37</v>
      </c>
      <c r="K77" s="33" t="s">
        <v>37</v>
      </c>
      <c r="L77" s="33" t="s">
        <v>37</v>
      </c>
      <c r="M77" s="33" t="s">
        <v>37</v>
      </c>
      <c r="N77" s="33" t="s">
        <v>37</v>
      </c>
      <c r="O77" s="33" t="s">
        <v>37</v>
      </c>
      <c r="P77" s="33" t="s">
        <v>37</v>
      </c>
      <c r="Q77" s="33" t="s">
        <v>37</v>
      </c>
      <c r="R77" s="33" t="s">
        <v>37</v>
      </c>
      <c r="S77" s="33" t="s">
        <v>37</v>
      </c>
      <c r="T77" s="33" t="s">
        <v>37</v>
      </c>
      <c r="U77" s="33" t="s">
        <v>37</v>
      </c>
      <c r="V77" s="33" t="s">
        <v>37</v>
      </c>
      <c r="W77" s="33" t="s">
        <v>37</v>
      </c>
      <c r="X77" s="33" t="s">
        <v>37</v>
      </c>
      <c r="Y77" s="33" t="s">
        <v>37</v>
      </c>
      <c r="Z77" s="33" t="s">
        <v>37</v>
      </c>
      <c r="AA77" s="148" t="s">
        <v>37</v>
      </c>
      <c r="AB77" s="33" t="s">
        <v>37</v>
      </c>
      <c r="AC77" s="33" t="s">
        <v>37</v>
      </c>
      <c r="AD77" s="33" t="s">
        <v>37</v>
      </c>
      <c r="AE77" s="33" t="s">
        <v>37</v>
      </c>
      <c r="AF77" s="6">
        <v>709</v>
      </c>
      <c r="AG77" s="6"/>
      <c r="AH77" s="35">
        <f t="shared" si="26"/>
        <v>386</v>
      </c>
      <c r="AI77" s="35">
        <v>174</v>
      </c>
      <c r="AJ77" s="35">
        <v>889</v>
      </c>
      <c r="AK77" s="35">
        <f t="shared" si="27"/>
        <v>354</v>
      </c>
      <c r="AL77" s="6">
        <v>537</v>
      </c>
      <c r="AM77" s="6"/>
      <c r="AN77" s="35">
        <f t="shared" si="28"/>
        <v>363</v>
      </c>
      <c r="AO77" s="6">
        <v>898</v>
      </c>
      <c r="AP77" s="6"/>
      <c r="AQ77" s="34">
        <f t="shared" si="29"/>
        <v>361</v>
      </c>
      <c r="AR77" s="35">
        <v>1261</v>
      </c>
      <c r="AS77" s="35"/>
      <c r="AT77" s="35">
        <f t="shared" si="30"/>
        <v>363</v>
      </c>
      <c r="AU77" s="6">
        <v>37</v>
      </c>
      <c r="AV77" s="6">
        <v>1565</v>
      </c>
      <c r="AW77" s="35">
        <f t="shared" si="31"/>
        <v>341</v>
      </c>
      <c r="AX77" s="6"/>
      <c r="AY77" s="6"/>
      <c r="AZ77" s="35"/>
      <c r="BA77" s="35">
        <v>405</v>
      </c>
      <c r="BB77" s="35"/>
      <c r="BC77" s="35">
        <f t="shared" si="32"/>
        <v>368</v>
      </c>
      <c r="BD77" s="6">
        <v>763</v>
      </c>
      <c r="BE77" s="6"/>
      <c r="BF77" s="35">
        <f t="shared" si="33"/>
        <v>358</v>
      </c>
      <c r="BG77" s="35">
        <v>1122</v>
      </c>
      <c r="BH77" s="6"/>
      <c r="BI77" s="6">
        <f t="shared" si="34"/>
        <v>359</v>
      </c>
      <c r="BJ77" s="6">
        <v>1479</v>
      </c>
      <c r="BK77" s="6"/>
      <c r="BL77" s="6">
        <f t="shared" si="35"/>
        <v>357</v>
      </c>
      <c r="BM77" s="6">
        <v>347</v>
      </c>
      <c r="BN77" s="6">
        <v>1491</v>
      </c>
      <c r="BO77" s="6">
        <f t="shared" si="36"/>
        <v>359</v>
      </c>
      <c r="BP77" s="6">
        <v>686</v>
      </c>
      <c r="BQ77" s="6"/>
      <c r="BR77" s="35">
        <f t="shared" si="37"/>
        <v>339</v>
      </c>
      <c r="BS77" s="6"/>
      <c r="BT77" s="6"/>
      <c r="BU77" s="6"/>
      <c r="BV77" s="6">
        <v>1043</v>
      </c>
      <c r="BW77" s="6"/>
      <c r="BX77" s="35">
        <f t="shared" si="38"/>
        <v>357</v>
      </c>
      <c r="BY77" s="6">
        <v>1402</v>
      </c>
      <c r="BZ77" s="6"/>
      <c r="CA77" s="6">
        <f t="shared" si="39"/>
        <v>359</v>
      </c>
      <c r="CB77" s="6">
        <v>222</v>
      </c>
      <c r="CC77" s="6">
        <v>1560</v>
      </c>
      <c r="CD77" s="6">
        <f t="shared" si="40"/>
        <v>380</v>
      </c>
      <c r="CE77" s="6">
        <v>608</v>
      </c>
      <c r="CF77" s="6"/>
      <c r="CG77" s="6">
        <f t="shared" si="41"/>
        <v>386</v>
      </c>
      <c r="CH77" s="6">
        <v>985</v>
      </c>
      <c r="CI77" s="6"/>
      <c r="CJ77" s="6">
        <f t="shared" si="42"/>
        <v>377</v>
      </c>
      <c r="CK77" s="6">
        <v>1354</v>
      </c>
      <c r="CL77" s="6"/>
      <c r="CM77" s="6">
        <f t="shared" si="43"/>
        <v>369</v>
      </c>
      <c r="CN77" s="6"/>
      <c r="CO77" s="6"/>
      <c r="CP77" s="6"/>
      <c r="CQ77" s="6">
        <v>181</v>
      </c>
      <c r="CR77" s="6">
        <v>1560</v>
      </c>
      <c r="CS77" s="6">
        <f t="shared" si="44"/>
        <v>387</v>
      </c>
      <c r="CT77" s="6">
        <v>559</v>
      </c>
      <c r="CU77" s="6"/>
      <c r="CV77" s="6">
        <f t="shared" si="45"/>
        <v>378</v>
      </c>
      <c r="CW77" s="6">
        <v>0</v>
      </c>
      <c r="CX77" s="6">
        <v>785</v>
      </c>
      <c r="CY77" s="6">
        <f t="shared" si="46"/>
        <v>226</v>
      </c>
      <c r="CZ77" s="6">
        <v>351</v>
      </c>
      <c r="DA77" s="6"/>
      <c r="DB77" s="6">
        <f t="shared" si="47"/>
        <v>351</v>
      </c>
      <c r="DC77" s="6">
        <v>737</v>
      </c>
      <c r="DD77" s="6"/>
      <c r="DE77" s="6">
        <f t="shared" si="48"/>
        <v>386</v>
      </c>
      <c r="DF77" s="6">
        <v>1089</v>
      </c>
      <c r="DG77" s="6"/>
      <c r="DH77" s="6">
        <f t="shared" si="49"/>
        <v>352</v>
      </c>
      <c r="DI77" s="6"/>
      <c r="DJ77" s="6"/>
      <c r="DK77" s="6"/>
      <c r="DL77" s="6">
        <v>1471</v>
      </c>
      <c r="DM77" s="6"/>
      <c r="DN77" s="6">
        <f t="shared" si="50"/>
        <v>382</v>
      </c>
      <c r="DO77" s="6">
        <v>267</v>
      </c>
      <c r="DP77" s="6">
        <v>1560</v>
      </c>
      <c r="DQ77" s="6">
        <f t="shared" si="51"/>
        <v>356</v>
      </c>
    </row>
    <row r="78" spans="1:121">
      <c r="A78" s="6">
        <v>74</v>
      </c>
      <c r="B78" s="6">
        <v>1486</v>
      </c>
      <c r="C78" s="6"/>
      <c r="D78" s="6">
        <v>337</v>
      </c>
      <c r="E78" s="33" t="s">
        <v>37</v>
      </c>
      <c r="F78" s="148" t="s">
        <v>37</v>
      </c>
      <c r="G78" s="33" t="s">
        <v>37</v>
      </c>
      <c r="H78" s="33" t="s">
        <v>37</v>
      </c>
      <c r="I78" s="33" t="s">
        <v>37</v>
      </c>
      <c r="J78" s="33" t="s">
        <v>37</v>
      </c>
      <c r="K78" s="33" t="s">
        <v>37</v>
      </c>
      <c r="L78" s="33" t="s">
        <v>37</v>
      </c>
      <c r="M78" s="33" t="s">
        <v>37</v>
      </c>
      <c r="N78" s="33" t="s">
        <v>37</v>
      </c>
      <c r="O78" s="33" t="s">
        <v>37</v>
      </c>
      <c r="P78" s="33" t="s">
        <v>37</v>
      </c>
      <c r="Q78" s="33" t="s">
        <v>37</v>
      </c>
      <c r="R78" s="33" t="s">
        <v>37</v>
      </c>
      <c r="S78" s="33" t="s">
        <v>37</v>
      </c>
      <c r="T78" s="33" t="s">
        <v>37</v>
      </c>
      <c r="U78" s="33" t="s">
        <v>37</v>
      </c>
      <c r="V78" s="33" t="s">
        <v>37</v>
      </c>
      <c r="W78" s="33" t="s">
        <v>37</v>
      </c>
      <c r="X78" s="33" t="s">
        <v>37</v>
      </c>
      <c r="Y78" s="33" t="s">
        <v>37</v>
      </c>
      <c r="Z78" s="33" t="s">
        <v>37</v>
      </c>
      <c r="AA78" s="33" t="s">
        <v>37</v>
      </c>
      <c r="AB78" s="148" t="s">
        <v>37</v>
      </c>
      <c r="AC78" s="33" t="s">
        <v>37</v>
      </c>
      <c r="AD78" s="33" t="s">
        <v>37</v>
      </c>
      <c r="AE78" s="33" t="s">
        <v>37</v>
      </c>
      <c r="AF78" s="35">
        <v>269</v>
      </c>
      <c r="AG78" s="35">
        <v>1591</v>
      </c>
      <c r="AH78" s="35">
        <f t="shared" si="26"/>
        <v>374</v>
      </c>
      <c r="AI78" s="35">
        <v>636</v>
      </c>
      <c r="AJ78" s="35"/>
      <c r="AK78" s="35">
        <f t="shared" si="27"/>
        <v>367</v>
      </c>
      <c r="AL78" s="35">
        <v>1001</v>
      </c>
      <c r="AM78" s="35"/>
      <c r="AN78" s="35">
        <f t="shared" si="28"/>
        <v>365</v>
      </c>
      <c r="AO78" s="6">
        <v>1367</v>
      </c>
      <c r="AP78" s="6"/>
      <c r="AQ78" s="34">
        <f t="shared" si="29"/>
        <v>366</v>
      </c>
      <c r="AR78" s="35">
        <v>173</v>
      </c>
      <c r="AS78" s="35">
        <v>1560</v>
      </c>
      <c r="AT78" s="35">
        <f t="shared" si="30"/>
        <v>366</v>
      </c>
      <c r="AU78" s="6">
        <v>519</v>
      </c>
      <c r="AV78" s="6"/>
      <c r="AW78" s="35">
        <f t="shared" si="31"/>
        <v>346</v>
      </c>
      <c r="AX78" s="6"/>
      <c r="AY78" s="6"/>
      <c r="AZ78" s="35"/>
      <c r="BA78" s="6">
        <v>892</v>
      </c>
      <c r="BB78" s="6"/>
      <c r="BC78" s="35">
        <f t="shared" si="32"/>
        <v>373</v>
      </c>
      <c r="BD78" s="6">
        <v>1251</v>
      </c>
      <c r="BE78" s="6"/>
      <c r="BF78" s="35">
        <f t="shared" si="33"/>
        <v>359</v>
      </c>
      <c r="BG78" s="6">
        <v>56</v>
      </c>
      <c r="BH78" s="6">
        <v>1560</v>
      </c>
      <c r="BI78" s="6">
        <f t="shared" si="34"/>
        <v>365</v>
      </c>
      <c r="BJ78" s="6">
        <v>420</v>
      </c>
      <c r="BK78" s="35"/>
      <c r="BL78" s="6">
        <f t="shared" si="35"/>
        <v>364</v>
      </c>
      <c r="BM78" s="6">
        <v>787</v>
      </c>
      <c r="BN78" s="6"/>
      <c r="BO78" s="6">
        <f t="shared" si="36"/>
        <v>367</v>
      </c>
      <c r="BP78" s="6">
        <v>1134</v>
      </c>
      <c r="BQ78" s="6"/>
      <c r="BR78" s="35">
        <f t="shared" si="37"/>
        <v>347</v>
      </c>
      <c r="BS78" s="6"/>
      <c r="BT78" s="6"/>
      <c r="BU78" s="6"/>
      <c r="BV78" s="6">
        <v>1504</v>
      </c>
      <c r="BW78" s="6"/>
      <c r="BX78" s="35">
        <f t="shared" si="38"/>
        <v>370</v>
      </c>
      <c r="BY78" s="6">
        <v>293</v>
      </c>
      <c r="BZ78" s="35">
        <v>1575</v>
      </c>
      <c r="CA78" s="6">
        <f t="shared" si="39"/>
        <v>364</v>
      </c>
      <c r="CB78" s="6">
        <v>670</v>
      </c>
      <c r="CC78" s="6"/>
      <c r="CD78" s="6">
        <f t="shared" si="40"/>
        <v>377</v>
      </c>
      <c r="CE78" s="6">
        <v>1051</v>
      </c>
      <c r="CF78" s="35"/>
      <c r="CG78" s="6">
        <f t="shared" si="41"/>
        <v>381</v>
      </c>
      <c r="CH78" s="6">
        <v>1413</v>
      </c>
      <c r="CI78" s="6"/>
      <c r="CJ78" s="6">
        <f t="shared" si="42"/>
        <v>362</v>
      </c>
      <c r="CK78" s="6">
        <v>237</v>
      </c>
      <c r="CL78" s="6">
        <v>1560</v>
      </c>
      <c r="CM78" s="6">
        <f t="shared" si="43"/>
        <v>384</v>
      </c>
      <c r="CN78" s="6"/>
      <c r="CO78" s="6"/>
      <c r="CP78" s="6"/>
      <c r="CQ78" s="6">
        <v>626</v>
      </c>
      <c r="CR78" s="6"/>
      <c r="CS78" s="6">
        <f t="shared" si="44"/>
        <v>389</v>
      </c>
      <c r="CT78" s="6">
        <v>1008</v>
      </c>
      <c r="CU78" s="6"/>
      <c r="CV78" s="6">
        <f t="shared" si="45"/>
        <v>382</v>
      </c>
      <c r="CW78" s="6">
        <v>1389</v>
      </c>
      <c r="CX78" s="6"/>
      <c r="CY78" s="6">
        <f t="shared" si="46"/>
        <v>381</v>
      </c>
      <c r="CZ78" s="6">
        <v>1520</v>
      </c>
      <c r="DA78" s="6"/>
      <c r="DB78" s="6">
        <f t="shared" si="47"/>
        <v>131</v>
      </c>
      <c r="DC78" s="6">
        <v>263</v>
      </c>
      <c r="DD78" s="6">
        <v>1598</v>
      </c>
      <c r="DE78" s="6">
        <f t="shared" si="48"/>
        <v>341</v>
      </c>
      <c r="DF78" s="6">
        <v>633</v>
      </c>
      <c r="DG78" s="6"/>
      <c r="DH78" s="6">
        <f t="shared" si="49"/>
        <v>370</v>
      </c>
      <c r="DI78" s="6"/>
      <c r="DJ78" s="6"/>
      <c r="DK78" s="6"/>
      <c r="DL78" s="6">
        <v>1023</v>
      </c>
      <c r="DM78" s="6"/>
      <c r="DN78" s="6">
        <f t="shared" si="50"/>
        <v>390</v>
      </c>
      <c r="DO78" s="6">
        <v>337</v>
      </c>
      <c r="DP78" s="6">
        <v>1028</v>
      </c>
      <c r="DQ78" s="6">
        <f t="shared" si="51"/>
        <v>342</v>
      </c>
    </row>
    <row r="79" spans="1:121">
      <c r="A79" s="6">
        <v>75</v>
      </c>
      <c r="B79" s="6">
        <v>193</v>
      </c>
      <c r="C79" s="6">
        <v>901</v>
      </c>
      <c r="D79" s="6">
        <v>306</v>
      </c>
      <c r="E79" s="148" t="s">
        <v>37</v>
      </c>
      <c r="F79" s="33" t="s">
        <v>37</v>
      </c>
      <c r="G79" s="33" t="s">
        <v>37</v>
      </c>
      <c r="H79" s="33" t="s">
        <v>37</v>
      </c>
      <c r="I79" s="33" t="s">
        <v>37</v>
      </c>
      <c r="J79" s="33" t="s">
        <v>37</v>
      </c>
      <c r="K79" s="33" t="s">
        <v>37</v>
      </c>
      <c r="L79" s="33" t="s">
        <v>37</v>
      </c>
      <c r="M79" s="33" t="s">
        <v>37</v>
      </c>
      <c r="N79" s="33" t="s">
        <v>37</v>
      </c>
      <c r="O79" s="33" t="s">
        <v>37</v>
      </c>
      <c r="P79" s="33" t="s">
        <v>37</v>
      </c>
      <c r="Q79" s="33" t="s">
        <v>37</v>
      </c>
      <c r="R79" s="33" t="s">
        <v>37</v>
      </c>
      <c r="S79" s="33" t="s">
        <v>37</v>
      </c>
      <c r="T79" s="33" t="s">
        <v>37</v>
      </c>
      <c r="U79" s="33" t="s">
        <v>37</v>
      </c>
      <c r="V79" s="33" t="s">
        <v>37</v>
      </c>
      <c r="W79" s="33" t="s">
        <v>37</v>
      </c>
      <c r="X79" s="33" t="s">
        <v>37</v>
      </c>
      <c r="Y79" s="33" t="s">
        <v>37</v>
      </c>
      <c r="Z79" s="33" t="s">
        <v>37</v>
      </c>
      <c r="AA79" s="148" t="s">
        <v>37</v>
      </c>
      <c r="AB79" s="33" t="s">
        <v>37</v>
      </c>
      <c r="AC79" s="33" t="s">
        <v>37</v>
      </c>
      <c r="AD79" s="33" t="s">
        <v>37</v>
      </c>
      <c r="AE79" s="33" t="s">
        <v>37</v>
      </c>
      <c r="AF79" s="6">
        <v>579</v>
      </c>
      <c r="AG79" s="6"/>
      <c r="AH79" s="35">
        <f t="shared" si="26"/>
        <v>386</v>
      </c>
      <c r="AI79" s="35">
        <v>939</v>
      </c>
      <c r="AJ79" s="35"/>
      <c r="AK79" s="35">
        <f t="shared" si="27"/>
        <v>360</v>
      </c>
      <c r="AL79" s="6">
        <v>1302</v>
      </c>
      <c r="AM79" s="6"/>
      <c r="AN79" s="35">
        <f t="shared" si="28"/>
        <v>363</v>
      </c>
      <c r="AO79" s="6">
        <v>99</v>
      </c>
      <c r="AP79" s="6">
        <v>1560</v>
      </c>
      <c r="AQ79" s="34">
        <f t="shared" si="29"/>
        <v>357</v>
      </c>
      <c r="AR79" s="35">
        <v>465</v>
      </c>
      <c r="AS79" s="35"/>
      <c r="AT79" s="35">
        <f t="shared" si="30"/>
        <v>366</v>
      </c>
      <c r="AU79" s="6">
        <v>805</v>
      </c>
      <c r="AV79" s="6"/>
      <c r="AW79" s="35">
        <f t="shared" si="31"/>
        <v>340</v>
      </c>
      <c r="AX79" s="6"/>
      <c r="AY79" s="6"/>
      <c r="AZ79" s="35"/>
      <c r="BA79" s="35">
        <v>1172</v>
      </c>
      <c r="BB79" s="35"/>
      <c r="BC79" s="35">
        <f t="shared" si="32"/>
        <v>367</v>
      </c>
      <c r="BD79" s="6">
        <v>1532</v>
      </c>
      <c r="BE79" s="6"/>
      <c r="BF79" s="35">
        <f t="shared" si="33"/>
        <v>360</v>
      </c>
      <c r="BG79" s="6">
        <v>325</v>
      </c>
      <c r="BH79" s="6">
        <v>1560</v>
      </c>
      <c r="BI79" s="6">
        <f t="shared" si="34"/>
        <v>353</v>
      </c>
      <c r="BJ79" s="6">
        <v>690</v>
      </c>
      <c r="BK79" s="6"/>
      <c r="BL79" s="6">
        <f t="shared" si="35"/>
        <v>365</v>
      </c>
      <c r="BM79" s="6">
        <v>1053</v>
      </c>
      <c r="BN79" s="6"/>
      <c r="BO79" s="6">
        <f t="shared" si="36"/>
        <v>363</v>
      </c>
      <c r="BP79" s="6">
        <v>1393</v>
      </c>
      <c r="BQ79" s="6"/>
      <c r="BR79" s="35">
        <f t="shared" si="37"/>
        <v>340</v>
      </c>
      <c r="BS79" s="6"/>
      <c r="BT79" s="6"/>
      <c r="BU79" s="6"/>
      <c r="BV79" s="6">
        <v>199</v>
      </c>
      <c r="BW79" s="6">
        <v>1560</v>
      </c>
      <c r="BX79" s="35">
        <f t="shared" si="38"/>
        <v>366</v>
      </c>
      <c r="BY79" s="6">
        <v>562</v>
      </c>
      <c r="BZ79" s="6"/>
      <c r="CA79" s="6">
        <f t="shared" si="39"/>
        <v>363</v>
      </c>
      <c r="CB79" s="6">
        <v>947</v>
      </c>
      <c r="CC79" s="6"/>
      <c r="CD79" s="6">
        <f t="shared" si="40"/>
        <v>385</v>
      </c>
      <c r="CE79" s="6">
        <v>1331</v>
      </c>
      <c r="CF79" s="6"/>
      <c r="CG79" s="6">
        <f t="shared" si="41"/>
        <v>384</v>
      </c>
      <c r="CH79" s="6">
        <v>153</v>
      </c>
      <c r="CI79" s="6">
        <v>1560</v>
      </c>
      <c r="CJ79" s="6">
        <f t="shared" si="42"/>
        <v>382</v>
      </c>
      <c r="CK79" s="6">
        <v>529</v>
      </c>
      <c r="CL79" s="6"/>
      <c r="CM79" s="6">
        <f t="shared" si="43"/>
        <v>376</v>
      </c>
      <c r="CN79" s="6"/>
      <c r="CO79" s="6"/>
      <c r="CP79" s="6"/>
      <c r="CQ79" s="6">
        <v>913</v>
      </c>
      <c r="CR79" s="6"/>
      <c r="CS79" s="6">
        <f t="shared" si="44"/>
        <v>384</v>
      </c>
      <c r="CT79" s="6">
        <v>1284</v>
      </c>
      <c r="CU79" s="6"/>
      <c r="CV79" s="6">
        <f t="shared" si="45"/>
        <v>371</v>
      </c>
      <c r="CW79" s="6">
        <v>0</v>
      </c>
      <c r="CX79" s="6">
        <v>1617</v>
      </c>
      <c r="CY79" s="6">
        <f t="shared" si="46"/>
        <v>333</v>
      </c>
      <c r="CZ79" s="6">
        <v>355</v>
      </c>
      <c r="DA79" s="6"/>
      <c r="DB79" s="6">
        <f t="shared" si="47"/>
        <v>355</v>
      </c>
      <c r="DC79" s="6">
        <v>744</v>
      </c>
      <c r="DD79" s="6"/>
      <c r="DE79" s="6">
        <f t="shared" si="48"/>
        <v>389</v>
      </c>
      <c r="DF79" s="6">
        <v>309</v>
      </c>
      <c r="DG79" s="6">
        <v>792</v>
      </c>
      <c r="DH79" s="6">
        <f t="shared" si="49"/>
        <v>357</v>
      </c>
      <c r="DI79" s="6"/>
      <c r="DJ79" s="6"/>
      <c r="DK79" s="6"/>
      <c r="DL79" s="6">
        <v>698</v>
      </c>
      <c r="DM79" s="6"/>
      <c r="DN79" s="6">
        <f t="shared" si="50"/>
        <v>389</v>
      </c>
      <c r="DO79" s="6">
        <v>1058</v>
      </c>
      <c r="DP79" s="6"/>
      <c r="DQ79" s="6">
        <f t="shared" si="51"/>
        <v>360</v>
      </c>
    </row>
    <row r="80" spans="1:121">
      <c r="A80" s="6">
        <v>76</v>
      </c>
      <c r="B80" s="6">
        <v>290</v>
      </c>
      <c r="C80" s="6"/>
      <c r="D80" s="6">
        <v>290</v>
      </c>
      <c r="E80" s="148" t="s">
        <v>128</v>
      </c>
      <c r="F80" s="33" t="s">
        <v>128</v>
      </c>
      <c r="G80" s="33" t="s">
        <v>128</v>
      </c>
      <c r="H80" s="33" t="s">
        <v>128</v>
      </c>
      <c r="I80" s="33" t="s">
        <v>128</v>
      </c>
      <c r="J80" s="33" t="s">
        <v>128</v>
      </c>
      <c r="K80" s="33" t="s">
        <v>128</v>
      </c>
      <c r="L80" s="33" t="s">
        <v>128</v>
      </c>
      <c r="M80" s="33" t="s">
        <v>128</v>
      </c>
      <c r="N80" s="33" t="s">
        <v>128</v>
      </c>
      <c r="O80" s="33" t="s">
        <v>128</v>
      </c>
      <c r="P80" s="33" t="s">
        <v>128</v>
      </c>
      <c r="Q80" s="33" t="s">
        <v>128</v>
      </c>
      <c r="R80" s="33" t="s">
        <v>128</v>
      </c>
      <c r="S80" s="33" t="s">
        <v>128</v>
      </c>
      <c r="T80" s="33" t="s">
        <v>128</v>
      </c>
      <c r="U80" s="33" t="s">
        <v>128</v>
      </c>
      <c r="V80" s="33" t="s">
        <v>128</v>
      </c>
      <c r="W80" s="33" t="s">
        <v>128</v>
      </c>
      <c r="X80" s="33" t="s">
        <v>128</v>
      </c>
      <c r="Y80" s="33" t="s">
        <v>128</v>
      </c>
      <c r="Z80" s="148" t="s">
        <v>128</v>
      </c>
      <c r="AA80" s="33" t="s">
        <v>128</v>
      </c>
      <c r="AB80" s="33" t="s">
        <v>128</v>
      </c>
      <c r="AC80" s="33" t="s">
        <v>128</v>
      </c>
      <c r="AD80" s="33" t="s">
        <v>128</v>
      </c>
      <c r="AE80" s="33" t="s">
        <v>128</v>
      </c>
      <c r="AF80" s="6">
        <v>686</v>
      </c>
      <c r="AG80" s="6"/>
      <c r="AH80" s="35">
        <f t="shared" si="26"/>
        <v>396</v>
      </c>
      <c r="AI80" s="35">
        <v>1055</v>
      </c>
      <c r="AJ80" s="35"/>
      <c r="AK80" s="35">
        <f t="shared" si="27"/>
        <v>369</v>
      </c>
      <c r="AL80" s="6">
        <v>1427</v>
      </c>
      <c r="AM80" s="6"/>
      <c r="AN80" s="35">
        <f t="shared" si="28"/>
        <v>372</v>
      </c>
      <c r="AO80" s="6">
        <v>230</v>
      </c>
      <c r="AP80" s="6">
        <v>1560</v>
      </c>
      <c r="AQ80" s="34">
        <f t="shared" si="29"/>
        <v>363</v>
      </c>
      <c r="AR80" s="35">
        <v>605</v>
      </c>
      <c r="AS80" s="35"/>
      <c r="AT80" s="35">
        <f t="shared" si="30"/>
        <v>375</v>
      </c>
      <c r="AU80" s="6">
        <v>960</v>
      </c>
      <c r="AV80" s="6"/>
      <c r="AW80" s="35">
        <f t="shared" si="31"/>
        <v>355</v>
      </c>
      <c r="AX80" s="6"/>
      <c r="AY80" s="6"/>
      <c r="AZ80" s="35"/>
      <c r="BA80" s="35">
        <v>1340</v>
      </c>
      <c r="BB80" s="35"/>
      <c r="BC80" s="35">
        <f t="shared" si="32"/>
        <v>380</v>
      </c>
      <c r="BD80" s="6">
        <v>146</v>
      </c>
      <c r="BE80" s="6">
        <v>1560</v>
      </c>
      <c r="BF80" s="35">
        <f t="shared" si="33"/>
        <v>366</v>
      </c>
      <c r="BG80" s="6">
        <v>520</v>
      </c>
      <c r="BH80" s="6"/>
      <c r="BI80" s="6">
        <f t="shared" si="34"/>
        <v>374</v>
      </c>
      <c r="BJ80" s="6">
        <v>896</v>
      </c>
      <c r="BK80" s="6"/>
      <c r="BL80" s="6">
        <f t="shared" si="35"/>
        <v>376</v>
      </c>
      <c r="BM80" s="6">
        <v>1271</v>
      </c>
      <c r="BN80" s="6"/>
      <c r="BO80" s="6">
        <f t="shared" si="36"/>
        <v>375</v>
      </c>
      <c r="BP80" s="6">
        <v>59</v>
      </c>
      <c r="BQ80" s="6">
        <v>1560</v>
      </c>
      <c r="BR80" s="35">
        <f t="shared" si="37"/>
        <v>348</v>
      </c>
      <c r="BS80" s="6"/>
      <c r="BT80" s="6"/>
      <c r="BU80" s="6"/>
      <c r="BV80" s="6">
        <v>438</v>
      </c>
      <c r="BW80" s="6"/>
      <c r="BX80" s="35">
        <f t="shared" si="38"/>
        <v>379</v>
      </c>
      <c r="BY80" s="6">
        <v>810</v>
      </c>
      <c r="BZ80" s="6"/>
      <c r="CA80" s="6">
        <f t="shared" si="39"/>
        <v>372</v>
      </c>
      <c r="CB80" s="6">
        <v>1208</v>
      </c>
      <c r="CC80" s="6"/>
      <c r="CD80" s="6">
        <f t="shared" si="40"/>
        <v>398</v>
      </c>
      <c r="CE80" s="6">
        <v>45</v>
      </c>
      <c r="CF80" s="6">
        <v>1560</v>
      </c>
      <c r="CG80" s="6">
        <f t="shared" si="41"/>
        <v>397</v>
      </c>
      <c r="CH80" s="6">
        <v>442</v>
      </c>
      <c r="CI80" s="6"/>
      <c r="CJ80" s="6">
        <f t="shared" si="42"/>
        <v>397</v>
      </c>
      <c r="CK80" s="6">
        <v>829</v>
      </c>
      <c r="CL80" s="6"/>
      <c r="CM80" s="6">
        <f t="shared" si="43"/>
        <v>387</v>
      </c>
      <c r="CN80" s="6"/>
      <c r="CO80" s="6"/>
      <c r="CP80" s="6"/>
      <c r="CQ80" s="6">
        <v>1226</v>
      </c>
      <c r="CR80" s="6"/>
      <c r="CS80" s="6">
        <f t="shared" si="44"/>
        <v>397</v>
      </c>
      <c r="CT80" s="6">
        <v>0</v>
      </c>
      <c r="CU80" s="6">
        <v>1606</v>
      </c>
      <c r="CV80" s="6">
        <f t="shared" si="45"/>
        <v>380</v>
      </c>
      <c r="CW80" s="6">
        <v>370</v>
      </c>
      <c r="CX80" s="6"/>
      <c r="CY80" s="6">
        <f t="shared" si="46"/>
        <v>370</v>
      </c>
      <c r="CZ80" s="6">
        <v>768</v>
      </c>
      <c r="DA80" s="6"/>
      <c r="DB80" s="6">
        <f t="shared" si="47"/>
        <v>398</v>
      </c>
      <c r="DC80" s="6">
        <v>0</v>
      </c>
      <c r="DD80" s="6">
        <v>1154</v>
      </c>
      <c r="DE80" s="6">
        <f t="shared" si="48"/>
        <v>386</v>
      </c>
      <c r="DF80" s="6">
        <v>370</v>
      </c>
      <c r="DG80" s="6"/>
      <c r="DH80" s="6">
        <f t="shared" si="49"/>
        <v>370</v>
      </c>
      <c r="DI80" s="6"/>
      <c r="DJ80" s="6"/>
      <c r="DK80" s="6"/>
      <c r="DL80" s="6">
        <v>4</v>
      </c>
      <c r="DM80" s="6">
        <v>750</v>
      </c>
      <c r="DN80" s="6">
        <f t="shared" si="50"/>
        <v>384</v>
      </c>
      <c r="DO80" s="6">
        <v>372</v>
      </c>
      <c r="DP80" s="6"/>
      <c r="DQ80" s="6">
        <f t="shared" si="51"/>
        <v>368</v>
      </c>
    </row>
    <row r="81" spans="1:121">
      <c r="A81" s="6">
        <v>77</v>
      </c>
      <c r="B81" s="6">
        <v>1646</v>
      </c>
      <c r="C81" s="6"/>
      <c r="D81" s="6">
        <v>332</v>
      </c>
      <c r="E81" s="33" t="s">
        <v>37</v>
      </c>
      <c r="F81" s="148" t="s">
        <v>37</v>
      </c>
      <c r="G81" s="33" t="s">
        <v>37</v>
      </c>
      <c r="H81" s="33" t="s">
        <v>37</v>
      </c>
      <c r="I81" s="33" t="s">
        <v>37</v>
      </c>
      <c r="J81" s="33" t="s">
        <v>37</v>
      </c>
      <c r="K81" s="33" t="s">
        <v>37</v>
      </c>
      <c r="L81" s="33" t="s">
        <v>37</v>
      </c>
      <c r="M81" s="33" t="s">
        <v>37</v>
      </c>
      <c r="N81" s="33" t="s">
        <v>37</v>
      </c>
      <c r="O81" s="33" t="s">
        <v>37</v>
      </c>
      <c r="P81" s="33" t="s">
        <v>37</v>
      </c>
      <c r="Q81" s="33" t="s">
        <v>37</v>
      </c>
      <c r="R81" s="33" t="s">
        <v>37</v>
      </c>
      <c r="S81" s="33" t="s">
        <v>37</v>
      </c>
      <c r="T81" s="33" t="s">
        <v>37</v>
      </c>
      <c r="U81" s="33" t="s">
        <v>37</v>
      </c>
      <c r="V81" s="33" t="s">
        <v>37</v>
      </c>
      <c r="W81" s="33" t="s">
        <v>37</v>
      </c>
      <c r="X81" s="33" t="s">
        <v>37</v>
      </c>
      <c r="Y81" s="33" t="s">
        <v>37</v>
      </c>
      <c r="Z81" s="33" t="s">
        <v>37</v>
      </c>
      <c r="AA81" s="33" t="s">
        <v>37</v>
      </c>
      <c r="AB81" s="33" t="s">
        <v>37</v>
      </c>
      <c r="AC81" s="148" t="s">
        <v>37</v>
      </c>
      <c r="AD81" s="33" t="s">
        <v>37</v>
      </c>
      <c r="AE81" s="33" t="s">
        <v>37</v>
      </c>
      <c r="AF81" s="6">
        <v>332</v>
      </c>
      <c r="AG81" s="6">
        <v>1656</v>
      </c>
      <c r="AH81" s="35">
        <f t="shared" si="26"/>
        <v>342</v>
      </c>
      <c r="AI81" s="35">
        <v>248</v>
      </c>
      <c r="AJ81" s="35">
        <v>431</v>
      </c>
      <c r="AK81" s="35">
        <f t="shared" si="27"/>
        <v>347</v>
      </c>
      <c r="AL81" s="35">
        <v>608</v>
      </c>
      <c r="AM81" s="6"/>
      <c r="AN81" s="35">
        <f t="shared" si="28"/>
        <v>360</v>
      </c>
      <c r="AO81" s="6">
        <v>969</v>
      </c>
      <c r="AP81" s="6"/>
      <c r="AQ81" s="34">
        <f t="shared" si="29"/>
        <v>361</v>
      </c>
      <c r="AR81" s="35">
        <v>1322</v>
      </c>
      <c r="AS81" s="35"/>
      <c r="AT81" s="35">
        <f t="shared" si="30"/>
        <v>353</v>
      </c>
      <c r="AU81" s="6">
        <v>87</v>
      </c>
      <c r="AV81" s="6">
        <v>1560</v>
      </c>
      <c r="AW81" s="35">
        <f t="shared" si="31"/>
        <v>325</v>
      </c>
      <c r="AX81" s="6"/>
      <c r="AY81" s="6"/>
      <c r="AZ81" s="35"/>
      <c r="BA81" s="6">
        <v>456</v>
      </c>
      <c r="BB81" s="6"/>
      <c r="BC81" s="35">
        <f t="shared" si="32"/>
        <v>369</v>
      </c>
      <c r="BD81" s="6">
        <v>817</v>
      </c>
      <c r="BE81" s="6"/>
      <c r="BF81" s="35">
        <f t="shared" si="33"/>
        <v>361</v>
      </c>
      <c r="BG81" s="6">
        <v>1180</v>
      </c>
      <c r="BH81" s="6"/>
      <c r="BI81" s="6">
        <f t="shared" si="34"/>
        <v>363</v>
      </c>
      <c r="BJ81" s="6">
        <v>0</v>
      </c>
      <c r="BK81" s="35">
        <v>1544</v>
      </c>
      <c r="BL81" s="6">
        <f t="shared" si="35"/>
        <v>364</v>
      </c>
      <c r="BM81" s="6">
        <v>337</v>
      </c>
      <c r="BN81" s="6"/>
      <c r="BO81" s="6">
        <f t="shared" si="36"/>
        <v>337</v>
      </c>
      <c r="BP81" s="6">
        <v>682</v>
      </c>
      <c r="BQ81" s="6"/>
      <c r="BR81" s="35">
        <f t="shared" si="37"/>
        <v>345</v>
      </c>
      <c r="BS81" s="6"/>
      <c r="BT81" s="6"/>
      <c r="BU81" s="6"/>
      <c r="BV81" s="6">
        <v>1044</v>
      </c>
      <c r="BW81" s="6"/>
      <c r="BX81" s="35">
        <f t="shared" si="38"/>
        <v>362</v>
      </c>
      <c r="BY81" s="6">
        <v>1402</v>
      </c>
      <c r="BZ81" s="35"/>
      <c r="CA81" s="6">
        <f t="shared" si="39"/>
        <v>358</v>
      </c>
      <c r="CB81" s="6">
        <v>203</v>
      </c>
      <c r="CC81" s="6">
        <v>1560</v>
      </c>
      <c r="CD81" s="6">
        <f t="shared" si="40"/>
        <v>361</v>
      </c>
      <c r="CE81" s="6">
        <v>574</v>
      </c>
      <c r="CF81" s="35"/>
      <c r="CG81" s="6">
        <f t="shared" si="41"/>
        <v>371</v>
      </c>
      <c r="CH81" s="6">
        <v>957</v>
      </c>
      <c r="CI81" s="6"/>
      <c r="CJ81" s="6">
        <f t="shared" si="42"/>
        <v>383</v>
      </c>
      <c r="CK81" s="6">
        <v>1327</v>
      </c>
      <c r="CL81" s="6"/>
      <c r="CM81" s="6">
        <f t="shared" si="43"/>
        <v>370</v>
      </c>
      <c r="CN81" s="6"/>
      <c r="CO81" s="6"/>
      <c r="CP81" s="6"/>
      <c r="CQ81" s="6">
        <v>1708</v>
      </c>
      <c r="CR81" s="6"/>
      <c r="CS81" s="6">
        <f t="shared" si="44"/>
        <v>381</v>
      </c>
      <c r="CT81" s="6">
        <v>261</v>
      </c>
      <c r="CU81" s="6">
        <v>1820</v>
      </c>
      <c r="CV81" s="6">
        <f t="shared" si="45"/>
        <v>373</v>
      </c>
      <c r="CW81" s="6">
        <v>641</v>
      </c>
      <c r="CX81" s="6"/>
      <c r="CY81" s="6">
        <f t="shared" si="46"/>
        <v>380</v>
      </c>
      <c r="CZ81" s="6">
        <v>771</v>
      </c>
      <c r="DA81" s="6"/>
      <c r="DB81" s="6">
        <f t="shared" si="47"/>
        <v>130</v>
      </c>
      <c r="DC81" s="6">
        <v>0</v>
      </c>
      <c r="DD81" s="6">
        <v>940</v>
      </c>
      <c r="DE81" s="6">
        <f t="shared" si="48"/>
        <v>169</v>
      </c>
      <c r="DF81" s="6">
        <v>322</v>
      </c>
      <c r="DG81" s="6"/>
      <c r="DH81" s="6">
        <f t="shared" si="49"/>
        <v>322</v>
      </c>
      <c r="DI81" s="6"/>
      <c r="DJ81" s="6"/>
      <c r="DK81" s="6"/>
      <c r="DL81" s="6">
        <v>692</v>
      </c>
      <c r="DM81" s="6"/>
      <c r="DN81" s="6">
        <f t="shared" si="50"/>
        <v>370</v>
      </c>
      <c r="DO81" s="6">
        <v>1036</v>
      </c>
      <c r="DP81" s="6"/>
      <c r="DQ81" s="6">
        <f t="shared" si="51"/>
        <v>344</v>
      </c>
    </row>
    <row r="82" spans="1:121">
      <c r="A82" s="6">
        <v>78</v>
      </c>
      <c r="B82" s="6">
        <v>999</v>
      </c>
      <c r="C82" s="6"/>
      <c r="D82" s="6">
        <v>310</v>
      </c>
      <c r="E82" s="33" t="s">
        <v>37</v>
      </c>
      <c r="F82" s="33" t="s">
        <v>37</v>
      </c>
      <c r="G82" s="33" t="s">
        <v>37</v>
      </c>
      <c r="H82" s="33" t="s">
        <v>37</v>
      </c>
      <c r="I82" s="33" t="s">
        <v>37</v>
      </c>
      <c r="J82" s="33" t="s">
        <v>37</v>
      </c>
      <c r="K82" s="33" t="s">
        <v>37</v>
      </c>
      <c r="L82" s="33" t="s">
        <v>37</v>
      </c>
      <c r="M82" s="33" t="s">
        <v>37</v>
      </c>
      <c r="N82" s="33" t="s">
        <v>37</v>
      </c>
      <c r="O82" s="33" t="s">
        <v>37</v>
      </c>
      <c r="P82" s="33" t="s">
        <v>37</v>
      </c>
      <c r="Q82" s="33" t="s">
        <v>37</v>
      </c>
      <c r="R82" s="33" t="s">
        <v>37</v>
      </c>
      <c r="S82" s="33" t="s">
        <v>37</v>
      </c>
      <c r="T82" s="33" t="s">
        <v>37</v>
      </c>
      <c r="U82" s="33" t="s">
        <v>37</v>
      </c>
      <c r="V82" s="33" t="s">
        <v>37</v>
      </c>
      <c r="W82" s="33" t="s">
        <v>37</v>
      </c>
      <c r="X82" s="33" t="s">
        <v>37</v>
      </c>
      <c r="Y82" s="148" t="s">
        <v>37</v>
      </c>
      <c r="Z82" s="33" t="s">
        <v>37</v>
      </c>
      <c r="AA82" s="33" t="s">
        <v>37</v>
      </c>
      <c r="AB82" s="33" t="s">
        <v>37</v>
      </c>
      <c r="AC82" s="33" t="s">
        <v>37</v>
      </c>
      <c r="AD82" s="33" t="s">
        <v>37</v>
      </c>
      <c r="AE82" s="33" t="s">
        <v>37</v>
      </c>
      <c r="AF82" s="6">
        <v>1366</v>
      </c>
      <c r="AG82" s="6"/>
      <c r="AH82" s="35">
        <f t="shared" si="26"/>
        <v>367</v>
      </c>
      <c r="AI82" s="35">
        <v>149</v>
      </c>
      <c r="AJ82" s="35">
        <v>1560</v>
      </c>
      <c r="AK82" s="35">
        <f t="shared" si="27"/>
        <v>343</v>
      </c>
      <c r="AL82" s="6">
        <v>500</v>
      </c>
      <c r="AM82" s="6"/>
      <c r="AN82" s="35">
        <f t="shared" si="28"/>
        <v>351</v>
      </c>
      <c r="AO82" s="6">
        <v>852</v>
      </c>
      <c r="AP82" s="6"/>
      <c r="AQ82" s="34">
        <f t="shared" si="29"/>
        <v>352</v>
      </c>
      <c r="AR82" s="35">
        <v>1210</v>
      </c>
      <c r="AS82" s="35"/>
      <c r="AT82" s="35">
        <f t="shared" si="30"/>
        <v>358</v>
      </c>
      <c r="AU82" s="6">
        <v>1547</v>
      </c>
      <c r="AV82" s="6"/>
      <c r="AW82" s="35">
        <f t="shared" si="31"/>
        <v>337</v>
      </c>
      <c r="AX82" s="6"/>
      <c r="AY82" s="6"/>
      <c r="AZ82" s="35"/>
      <c r="BA82" s="35">
        <v>348</v>
      </c>
      <c r="BB82" s="35">
        <v>1560</v>
      </c>
      <c r="BC82" s="35">
        <f t="shared" si="32"/>
        <v>361</v>
      </c>
      <c r="BD82" s="6">
        <v>683</v>
      </c>
      <c r="BE82" s="6"/>
      <c r="BF82" s="35">
        <f t="shared" si="33"/>
        <v>335</v>
      </c>
      <c r="BG82" s="6">
        <v>1041</v>
      </c>
      <c r="BH82" s="6"/>
      <c r="BI82" s="6">
        <f t="shared" si="34"/>
        <v>358</v>
      </c>
      <c r="BJ82" s="6">
        <v>1</v>
      </c>
      <c r="BK82" s="6">
        <v>1392</v>
      </c>
      <c r="BL82" s="6">
        <f t="shared" si="35"/>
        <v>352</v>
      </c>
      <c r="BM82" s="6">
        <v>339</v>
      </c>
      <c r="BN82" s="6"/>
      <c r="BO82" s="6">
        <f t="shared" si="36"/>
        <v>338</v>
      </c>
      <c r="BP82" s="6">
        <v>676</v>
      </c>
      <c r="BQ82" s="6"/>
      <c r="BR82" s="35">
        <f t="shared" si="37"/>
        <v>337</v>
      </c>
      <c r="BS82" s="6"/>
      <c r="BT82" s="6"/>
      <c r="BU82" s="6"/>
      <c r="BV82" s="6">
        <v>1038</v>
      </c>
      <c r="BW82" s="6"/>
      <c r="BX82" s="35">
        <f t="shared" si="38"/>
        <v>362</v>
      </c>
      <c r="BY82" s="6">
        <v>1390</v>
      </c>
      <c r="BZ82" s="6"/>
      <c r="CA82" s="6">
        <f t="shared" si="39"/>
        <v>352</v>
      </c>
      <c r="CB82" s="6">
        <v>211</v>
      </c>
      <c r="CC82" s="6">
        <v>1560</v>
      </c>
      <c r="CD82" s="6">
        <f t="shared" si="40"/>
        <v>381</v>
      </c>
      <c r="CE82" s="6">
        <v>595</v>
      </c>
      <c r="CF82" s="6"/>
      <c r="CG82" s="6">
        <f t="shared" si="41"/>
        <v>384</v>
      </c>
      <c r="CH82" s="6">
        <v>979</v>
      </c>
      <c r="CI82" s="6"/>
      <c r="CJ82" s="6">
        <f t="shared" si="42"/>
        <v>384</v>
      </c>
      <c r="CK82" s="6">
        <v>1345</v>
      </c>
      <c r="CL82" s="6"/>
      <c r="CM82" s="6">
        <f t="shared" si="43"/>
        <v>366</v>
      </c>
      <c r="CN82" s="6"/>
      <c r="CO82" s="6"/>
      <c r="CP82" s="6"/>
      <c r="CQ82" s="6">
        <v>177</v>
      </c>
      <c r="CR82" s="6">
        <v>1560</v>
      </c>
      <c r="CS82" s="6">
        <f t="shared" si="44"/>
        <v>392</v>
      </c>
      <c r="CT82" s="6">
        <v>297</v>
      </c>
      <c r="CU82" s="6">
        <v>232</v>
      </c>
      <c r="CV82" s="6">
        <f t="shared" si="45"/>
        <v>352</v>
      </c>
      <c r="CW82" s="6">
        <v>685</v>
      </c>
      <c r="CX82" s="6"/>
      <c r="CY82" s="6">
        <f t="shared" si="46"/>
        <v>388</v>
      </c>
      <c r="CZ82" s="6">
        <v>1062</v>
      </c>
      <c r="DA82" s="6"/>
      <c r="DB82" s="6">
        <f t="shared" si="47"/>
        <v>377</v>
      </c>
      <c r="DC82" s="6">
        <v>59</v>
      </c>
      <c r="DD82" s="6">
        <v>1362</v>
      </c>
      <c r="DE82" s="6">
        <f t="shared" si="48"/>
        <v>359</v>
      </c>
      <c r="DF82" s="6">
        <v>426</v>
      </c>
      <c r="DG82" s="6"/>
      <c r="DH82" s="6">
        <f t="shared" si="49"/>
        <v>367</v>
      </c>
      <c r="DI82" s="6"/>
      <c r="DJ82" s="6"/>
      <c r="DK82" s="6"/>
      <c r="DL82" s="6">
        <v>814</v>
      </c>
      <c r="DM82" s="6"/>
      <c r="DN82" s="6">
        <f t="shared" si="50"/>
        <v>388</v>
      </c>
      <c r="DO82" s="6">
        <v>1171</v>
      </c>
      <c r="DP82" s="6"/>
      <c r="DQ82" s="6">
        <f t="shared" si="51"/>
        <v>357</v>
      </c>
    </row>
    <row r="83" spans="1:121">
      <c r="A83" s="6">
        <v>79</v>
      </c>
      <c r="B83" s="6">
        <v>300</v>
      </c>
      <c r="C83" s="6"/>
      <c r="D83" s="6">
        <v>300</v>
      </c>
      <c r="E83" s="148" t="s">
        <v>37</v>
      </c>
      <c r="F83" s="33" t="s">
        <v>37</v>
      </c>
      <c r="G83" s="33" t="s">
        <v>37</v>
      </c>
      <c r="H83" s="33" t="s">
        <v>37</v>
      </c>
      <c r="I83" s="33" t="s">
        <v>37</v>
      </c>
      <c r="J83" s="33" t="s">
        <v>37</v>
      </c>
      <c r="K83" s="33" t="s">
        <v>37</v>
      </c>
      <c r="L83" s="33" t="s">
        <v>37</v>
      </c>
      <c r="M83" s="33" t="s">
        <v>37</v>
      </c>
      <c r="N83" s="33" t="s">
        <v>37</v>
      </c>
      <c r="O83" s="33" t="s">
        <v>37</v>
      </c>
      <c r="P83" s="33" t="s">
        <v>37</v>
      </c>
      <c r="Q83" s="33" t="s">
        <v>37</v>
      </c>
      <c r="R83" s="33" t="s">
        <v>37</v>
      </c>
      <c r="S83" s="33" t="s">
        <v>37</v>
      </c>
      <c r="T83" s="33" t="s">
        <v>37</v>
      </c>
      <c r="U83" s="33" t="s">
        <v>37</v>
      </c>
      <c r="V83" s="33" t="s">
        <v>37</v>
      </c>
      <c r="W83" s="33" t="s">
        <v>37</v>
      </c>
      <c r="X83" s="33" t="s">
        <v>37</v>
      </c>
      <c r="Y83" s="33" t="s">
        <v>37</v>
      </c>
      <c r="Z83" s="33" t="s">
        <v>37</v>
      </c>
      <c r="AA83" s="148" t="s">
        <v>37</v>
      </c>
      <c r="AB83" s="33" t="s">
        <v>37</v>
      </c>
      <c r="AC83" s="33" t="s">
        <v>37</v>
      </c>
      <c r="AD83" s="33" t="s">
        <v>37</v>
      </c>
      <c r="AE83" s="33" t="s">
        <v>37</v>
      </c>
      <c r="AF83" s="6">
        <v>676</v>
      </c>
      <c r="AG83" s="6"/>
      <c r="AH83" s="35">
        <f t="shared" si="26"/>
        <v>376</v>
      </c>
      <c r="AI83" s="35">
        <v>1027</v>
      </c>
      <c r="AJ83" s="35"/>
      <c r="AK83" s="35">
        <f t="shared" si="27"/>
        <v>351</v>
      </c>
      <c r="AL83" s="6">
        <v>1387</v>
      </c>
      <c r="AM83" s="6"/>
      <c r="AN83" s="35">
        <f t="shared" si="28"/>
        <v>360</v>
      </c>
      <c r="AO83" s="6">
        <v>187</v>
      </c>
      <c r="AP83" s="6">
        <v>1560</v>
      </c>
      <c r="AQ83" s="34">
        <f t="shared" si="29"/>
        <v>360</v>
      </c>
      <c r="AR83" s="35">
        <v>554</v>
      </c>
      <c r="AS83" s="35"/>
      <c r="AT83" s="35">
        <f t="shared" si="30"/>
        <v>367</v>
      </c>
      <c r="AU83" s="6">
        <v>893</v>
      </c>
      <c r="AV83" s="6"/>
      <c r="AW83" s="35">
        <f t="shared" si="31"/>
        <v>339</v>
      </c>
      <c r="AX83" s="6"/>
      <c r="AY83" s="6"/>
      <c r="AZ83" s="35"/>
      <c r="BA83" s="35">
        <v>1258</v>
      </c>
      <c r="BB83" s="35"/>
      <c r="BC83" s="35">
        <f t="shared" si="32"/>
        <v>365</v>
      </c>
      <c r="BD83" s="6">
        <v>59</v>
      </c>
      <c r="BE83" s="6">
        <v>1560</v>
      </c>
      <c r="BF83" s="35">
        <f t="shared" si="33"/>
        <v>361</v>
      </c>
      <c r="BG83" s="6">
        <v>427</v>
      </c>
      <c r="BH83" s="6"/>
      <c r="BI83" s="6">
        <f t="shared" si="34"/>
        <v>368</v>
      </c>
      <c r="BJ83" s="6">
        <v>791</v>
      </c>
      <c r="BK83" s="107"/>
      <c r="BL83" s="6">
        <f t="shared" si="35"/>
        <v>364</v>
      </c>
      <c r="BM83" s="6">
        <v>1153</v>
      </c>
      <c r="BN83" s="6"/>
      <c r="BO83" s="6">
        <f t="shared" si="36"/>
        <v>362</v>
      </c>
      <c r="BP83" s="6">
        <v>1499</v>
      </c>
      <c r="BQ83" s="6"/>
      <c r="BR83" s="35">
        <f t="shared" si="37"/>
        <v>346</v>
      </c>
      <c r="BS83" s="6"/>
      <c r="BT83" s="6"/>
      <c r="BU83" s="6"/>
      <c r="BV83" s="6">
        <v>314</v>
      </c>
      <c r="BW83" s="6">
        <v>1555</v>
      </c>
      <c r="BX83" s="35">
        <f t="shared" si="38"/>
        <v>370</v>
      </c>
      <c r="BY83" s="6">
        <v>678</v>
      </c>
      <c r="BZ83" s="6"/>
      <c r="CA83" s="6">
        <f t="shared" si="39"/>
        <v>364</v>
      </c>
      <c r="CB83" s="6">
        <v>1055</v>
      </c>
      <c r="CC83" s="6"/>
      <c r="CD83" s="6">
        <f t="shared" si="40"/>
        <v>377</v>
      </c>
      <c r="CE83" s="6">
        <v>1427</v>
      </c>
      <c r="CF83" s="6"/>
      <c r="CG83" s="6">
        <f t="shared" si="41"/>
        <v>372</v>
      </c>
      <c r="CH83" s="6">
        <v>245</v>
      </c>
      <c r="CI83" s="6">
        <v>1560</v>
      </c>
      <c r="CJ83" s="6">
        <f t="shared" si="42"/>
        <v>378</v>
      </c>
      <c r="CK83" s="6">
        <v>615</v>
      </c>
      <c r="CL83" s="6"/>
      <c r="CM83" s="6">
        <f t="shared" si="43"/>
        <v>370</v>
      </c>
      <c r="CN83" s="6"/>
      <c r="CO83" s="6"/>
      <c r="CP83" s="6"/>
      <c r="CQ83" s="6">
        <v>1000</v>
      </c>
      <c r="CR83" s="6"/>
      <c r="CS83" s="6">
        <f t="shared" si="44"/>
        <v>385</v>
      </c>
      <c r="CT83" s="6">
        <v>1359</v>
      </c>
      <c r="CU83" s="6"/>
      <c r="CV83" s="6">
        <f t="shared" si="45"/>
        <v>359</v>
      </c>
      <c r="CW83" s="6">
        <v>0</v>
      </c>
      <c r="CX83" s="6">
        <v>1619</v>
      </c>
      <c r="CY83" s="6">
        <f t="shared" si="46"/>
        <v>260</v>
      </c>
      <c r="CZ83" s="6">
        <v>352</v>
      </c>
      <c r="DA83" s="6"/>
      <c r="DB83" s="6">
        <f t="shared" si="47"/>
        <v>352</v>
      </c>
      <c r="DC83" s="6">
        <v>725</v>
      </c>
      <c r="DD83" s="6"/>
      <c r="DE83" s="6">
        <f t="shared" si="48"/>
        <v>373</v>
      </c>
      <c r="DF83" s="6">
        <v>1092</v>
      </c>
      <c r="DG83" s="6"/>
      <c r="DH83" s="6">
        <f t="shared" si="49"/>
        <v>367</v>
      </c>
      <c r="DI83" s="6"/>
      <c r="DJ83" s="6"/>
      <c r="DK83" s="6"/>
      <c r="DL83" s="6">
        <v>1472</v>
      </c>
      <c r="DM83" s="6"/>
      <c r="DN83" s="6">
        <f t="shared" si="50"/>
        <v>380</v>
      </c>
      <c r="DO83" s="6">
        <v>265</v>
      </c>
      <c r="DP83" s="6">
        <v>1560</v>
      </c>
      <c r="DQ83" s="6">
        <f t="shared" si="51"/>
        <v>353</v>
      </c>
    </row>
    <row r="84" spans="1:121">
      <c r="A84" s="6">
        <v>80</v>
      </c>
      <c r="B84" s="6">
        <v>991</v>
      </c>
      <c r="C84" s="6"/>
      <c r="D84" s="6">
        <v>315</v>
      </c>
      <c r="E84" s="169" t="s">
        <v>37</v>
      </c>
      <c r="F84" s="169" t="s">
        <v>37</v>
      </c>
      <c r="G84" s="169" t="s">
        <v>37</v>
      </c>
      <c r="H84" s="169" t="s">
        <v>37</v>
      </c>
      <c r="I84" s="167" t="s">
        <v>37</v>
      </c>
      <c r="J84" s="169" t="s">
        <v>37</v>
      </c>
      <c r="K84" s="169" t="s">
        <v>37</v>
      </c>
      <c r="L84" s="169" t="s">
        <v>37</v>
      </c>
      <c r="M84" s="169" t="s">
        <v>37</v>
      </c>
      <c r="N84" s="169" t="s">
        <v>37</v>
      </c>
      <c r="O84" s="169" t="s">
        <v>37</v>
      </c>
      <c r="P84" s="169" t="s">
        <v>37</v>
      </c>
      <c r="Q84" s="169" t="s">
        <v>37</v>
      </c>
      <c r="R84" s="169" t="s">
        <v>37</v>
      </c>
      <c r="S84" s="169" t="s">
        <v>37</v>
      </c>
      <c r="T84" s="169" t="s">
        <v>37</v>
      </c>
      <c r="U84" s="169" t="s">
        <v>37</v>
      </c>
      <c r="V84" s="169" t="s">
        <v>37</v>
      </c>
      <c r="W84" s="169" t="s">
        <v>37</v>
      </c>
      <c r="X84" s="169" t="s">
        <v>37</v>
      </c>
      <c r="Y84" s="169" t="s">
        <v>37</v>
      </c>
      <c r="Z84" s="169" t="s">
        <v>37</v>
      </c>
      <c r="AA84" s="169" t="s">
        <v>37</v>
      </c>
      <c r="AB84" s="169" t="s">
        <v>37</v>
      </c>
      <c r="AC84" s="169" t="s">
        <v>37</v>
      </c>
      <c r="AD84" s="169" t="s">
        <v>37</v>
      </c>
      <c r="AE84" s="167" t="s">
        <v>37</v>
      </c>
      <c r="AF84" s="6">
        <v>378</v>
      </c>
      <c r="AG84" s="6">
        <v>997</v>
      </c>
      <c r="AH84" s="35">
        <f t="shared" si="26"/>
        <v>384</v>
      </c>
      <c r="AI84" s="35">
        <v>175</v>
      </c>
      <c r="AJ84" s="35">
        <v>556</v>
      </c>
      <c r="AK84" s="35">
        <f t="shared" si="27"/>
        <v>353</v>
      </c>
      <c r="AL84" s="6">
        <v>534</v>
      </c>
      <c r="AM84" s="6"/>
      <c r="AN84" s="35">
        <f t="shared" si="28"/>
        <v>359</v>
      </c>
      <c r="AO84" s="6">
        <v>271</v>
      </c>
      <c r="AP84" s="6">
        <v>582</v>
      </c>
      <c r="AQ84" s="34">
        <f t="shared" si="29"/>
        <v>319</v>
      </c>
      <c r="AR84" s="35">
        <v>621</v>
      </c>
      <c r="AS84" s="35"/>
      <c r="AT84" s="35">
        <f t="shared" si="30"/>
        <v>350</v>
      </c>
      <c r="AU84" s="6">
        <v>954</v>
      </c>
      <c r="AV84" s="6"/>
      <c r="AW84" s="35">
        <f t="shared" si="31"/>
        <v>333</v>
      </c>
      <c r="AX84" s="6"/>
      <c r="AY84" s="6"/>
      <c r="AZ84" s="35"/>
      <c r="BA84" s="35">
        <v>1313</v>
      </c>
      <c r="BB84" s="35"/>
      <c r="BC84" s="35">
        <f t="shared" si="32"/>
        <v>359</v>
      </c>
      <c r="BD84" s="6">
        <v>227</v>
      </c>
      <c r="BE84" s="6">
        <v>1434</v>
      </c>
      <c r="BF84" s="35">
        <f t="shared" si="33"/>
        <v>348</v>
      </c>
      <c r="BG84" s="6">
        <v>590</v>
      </c>
      <c r="BH84" s="6"/>
      <c r="BI84" s="6">
        <f t="shared" si="34"/>
        <v>363</v>
      </c>
      <c r="BJ84" s="6">
        <v>955</v>
      </c>
      <c r="BK84" s="107"/>
      <c r="BL84" s="6">
        <f t="shared" si="35"/>
        <v>365</v>
      </c>
      <c r="BM84" s="6">
        <v>1319</v>
      </c>
      <c r="BN84" s="6"/>
      <c r="BO84" s="6">
        <f t="shared" si="36"/>
        <v>364</v>
      </c>
      <c r="BP84" s="6">
        <v>96</v>
      </c>
      <c r="BQ84" s="6">
        <v>1560</v>
      </c>
      <c r="BR84" s="35">
        <f t="shared" si="37"/>
        <v>337</v>
      </c>
      <c r="BS84" s="6"/>
      <c r="BT84" s="6"/>
      <c r="BU84" s="6"/>
      <c r="BV84" s="6">
        <v>461</v>
      </c>
      <c r="BW84" s="6"/>
      <c r="BX84" s="35">
        <f t="shared" si="38"/>
        <v>365</v>
      </c>
      <c r="BY84" s="6">
        <v>820</v>
      </c>
      <c r="BZ84" s="6"/>
      <c r="CA84" s="6">
        <f t="shared" si="39"/>
        <v>359</v>
      </c>
      <c r="CB84" s="6">
        <v>1196</v>
      </c>
      <c r="CC84" s="6"/>
      <c r="CD84" s="6">
        <f t="shared" si="40"/>
        <v>376</v>
      </c>
      <c r="CE84" s="6">
        <v>21</v>
      </c>
      <c r="CF84" s="6">
        <v>1560</v>
      </c>
      <c r="CG84" s="6">
        <f t="shared" si="41"/>
        <v>385</v>
      </c>
      <c r="CH84" s="6">
        <v>407</v>
      </c>
      <c r="CI84" s="6"/>
      <c r="CJ84" s="6">
        <f t="shared" si="42"/>
        <v>386</v>
      </c>
      <c r="CK84" s="6">
        <v>785</v>
      </c>
      <c r="CL84" s="6"/>
      <c r="CM84" s="6">
        <f t="shared" si="43"/>
        <v>378</v>
      </c>
      <c r="CN84" s="6"/>
      <c r="CO84" s="6"/>
      <c r="CP84" s="6"/>
      <c r="CQ84" s="6">
        <v>1175</v>
      </c>
      <c r="CR84" s="6"/>
      <c r="CS84" s="6">
        <f t="shared" si="44"/>
        <v>390</v>
      </c>
      <c r="CT84" s="6">
        <v>122</v>
      </c>
      <c r="CU84" s="6">
        <v>1426</v>
      </c>
      <c r="CV84" s="6">
        <f t="shared" si="45"/>
        <v>373</v>
      </c>
      <c r="CW84" s="6">
        <v>510</v>
      </c>
      <c r="CX84" s="6"/>
      <c r="CY84" s="6">
        <f t="shared" si="46"/>
        <v>388</v>
      </c>
      <c r="CZ84" s="6">
        <v>892</v>
      </c>
      <c r="DA84" s="6"/>
      <c r="DB84" s="6">
        <f t="shared" si="47"/>
        <v>382</v>
      </c>
      <c r="DC84" s="6">
        <v>10</v>
      </c>
      <c r="DD84" s="6">
        <v>1265</v>
      </c>
      <c r="DE84" s="6">
        <f t="shared" si="48"/>
        <v>383</v>
      </c>
      <c r="DF84" s="6">
        <v>379</v>
      </c>
      <c r="DG84" s="6"/>
      <c r="DH84" s="6">
        <f t="shared" si="49"/>
        <v>369</v>
      </c>
      <c r="DI84" s="6"/>
      <c r="DJ84" s="6"/>
      <c r="DK84" s="6"/>
      <c r="DL84" s="6">
        <v>0</v>
      </c>
      <c r="DM84" s="6">
        <v>636</v>
      </c>
      <c r="DN84" s="6">
        <f t="shared" si="50"/>
        <v>257</v>
      </c>
      <c r="DO84" s="6">
        <v>314</v>
      </c>
      <c r="DP84" s="6"/>
      <c r="DQ84" s="6">
        <f t="shared" si="51"/>
        <v>314</v>
      </c>
    </row>
    <row r="85" spans="1:121">
      <c r="A85" s="6">
        <v>81</v>
      </c>
      <c r="B85" s="6">
        <v>1404</v>
      </c>
      <c r="C85" s="6"/>
      <c r="D85" s="6">
        <v>327</v>
      </c>
      <c r="E85" s="33" t="s">
        <v>37</v>
      </c>
      <c r="F85" s="33" t="s">
        <v>37</v>
      </c>
      <c r="G85" s="33" t="s">
        <v>37</v>
      </c>
      <c r="H85" s="33" t="s">
        <v>37</v>
      </c>
      <c r="I85" s="33" t="s">
        <v>37</v>
      </c>
      <c r="J85" s="148" t="s">
        <v>37</v>
      </c>
      <c r="K85" s="33" t="s">
        <v>37</v>
      </c>
      <c r="L85" s="33" t="s">
        <v>37</v>
      </c>
      <c r="M85" s="33" t="s">
        <v>37</v>
      </c>
      <c r="N85" s="33" t="s">
        <v>37</v>
      </c>
      <c r="O85" s="33" t="s">
        <v>37</v>
      </c>
      <c r="P85" s="33" t="s">
        <v>37</v>
      </c>
      <c r="Q85" s="33" t="s">
        <v>37</v>
      </c>
      <c r="R85" s="33" t="s">
        <v>37</v>
      </c>
      <c r="S85" s="33" t="s">
        <v>37</v>
      </c>
      <c r="T85" s="33" t="s">
        <v>37</v>
      </c>
      <c r="U85" s="33" t="s">
        <v>37</v>
      </c>
      <c r="V85" s="33" t="s">
        <v>37</v>
      </c>
      <c r="W85" s="33" t="s">
        <v>37</v>
      </c>
      <c r="X85" s="33" t="s">
        <v>37</v>
      </c>
      <c r="Y85" s="33" t="s">
        <v>37</v>
      </c>
      <c r="Z85" s="33" t="s">
        <v>37</v>
      </c>
      <c r="AA85" s="33" t="s">
        <v>37</v>
      </c>
      <c r="AB85" s="33" t="s">
        <v>37</v>
      </c>
      <c r="AC85" s="33" t="s">
        <v>37</v>
      </c>
      <c r="AD85" s="33" t="s">
        <v>37</v>
      </c>
      <c r="AE85" s="33" t="s">
        <v>37</v>
      </c>
      <c r="AF85" s="35">
        <v>361</v>
      </c>
      <c r="AG85" s="35">
        <v>1423</v>
      </c>
      <c r="AH85" s="35">
        <f t="shared" si="26"/>
        <v>380</v>
      </c>
      <c r="AI85" s="35">
        <v>342</v>
      </c>
      <c r="AJ85" s="35">
        <v>374</v>
      </c>
      <c r="AK85" s="35">
        <f t="shared" si="27"/>
        <v>355</v>
      </c>
      <c r="AL85" s="35">
        <v>692</v>
      </c>
      <c r="AM85" s="35"/>
      <c r="AN85" s="35">
        <f t="shared" si="28"/>
        <v>350</v>
      </c>
      <c r="AO85" s="35">
        <v>0</v>
      </c>
      <c r="AP85" s="35">
        <v>830</v>
      </c>
      <c r="AQ85" s="34">
        <f t="shared" si="29"/>
        <v>138</v>
      </c>
      <c r="AR85" s="35">
        <v>314</v>
      </c>
      <c r="AS85" s="35"/>
      <c r="AT85" s="35">
        <f t="shared" si="30"/>
        <v>314</v>
      </c>
      <c r="AU85" s="6">
        <v>645</v>
      </c>
      <c r="AV85" s="6"/>
      <c r="AW85" s="35">
        <f t="shared" si="31"/>
        <v>331</v>
      </c>
      <c r="AX85" s="6"/>
      <c r="AY85" s="6"/>
      <c r="AZ85" s="35"/>
      <c r="BA85" s="6">
        <v>997</v>
      </c>
      <c r="BB85" s="6"/>
      <c r="BC85" s="35">
        <f t="shared" si="32"/>
        <v>352</v>
      </c>
      <c r="BD85" s="6">
        <v>1353</v>
      </c>
      <c r="BE85" s="6"/>
      <c r="BF85" s="35">
        <f t="shared" si="33"/>
        <v>356</v>
      </c>
      <c r="BG85" s="6">
        <v>153</v>
      </c>
      <c r="BH85" s="6">
        <v>1560</v>
      </c>
      <c r="BI85" s="6">
        <f t="shared" si="34"/>
        <v>360</v>
      </c>
      <c r="BJ85" s="6">
        <v>515</v>
      </c>
      <c r="BK85" s="35"/>
      <c r="BL85" s="6">
        <f t="shared" si="35"/>
        <v>362</v>
      </c>
      <c r="BM85" s="6">
        <v>880</v>
      </c>
      <c r="BN85" s="6"/>
      <c r="BO85" s="6">
        <f t="shared" si="36"/>
        <v>365</v>
      </c>
      <c r="BP85" s="6">
        <v>1208</v>
      </c>
      <c r="BQ85" s="6"/>
      <c r="BR85" s="35">
        <f t="shared" si="37"/>
        <v>328</v>
      </c>
      <c r="BS85" s="6"/>
      <c r="BT85" s="6"/>
      <c r="BU85" s="6"/>
      <c r="BV85" s="6">
        <v>17</v>
      </c>
      <c r="BW85" s="6">
        <v>1560</v>
      </c>
      <c r="BX85" s="35">
        <f t="shared" si="38"/>
        <v>369</v>
      </c>
      <c r="BY85" s="6">
        <v>380</v>
      </c>
      <c r="BZ85" s="35"/>
      <c r="CA85" s="6">
        <f t="shared" si="39"/>
        <v>363</v>
      </c>
      <c r="CB85" s="6">
        <v>746</v>
      </c>
      <c r="CC85" s="6"/>
      <c r="CD85" s="6">
        <f t="shared" si="40"/>
        <v>366</v>
      </c>
      <c r="CE85" s="6">
        <v>1116</v>
      </c>
      <c r="CF85" s="35"/>
      <c r="CG85" s="6">
        <f t="shared" si="41"/>
        <v>370</v>
      </c>
      <c r="CH85" s="6">
        <v>1471</v>
      </c>
      <c r="CI85" s="6"/>
      <c r="CJ85" s="6">
        <f t="shared" si="42"/>
        <v>355</v>
      </c>
      <c r="CK85" s="6">
        <v>266</v>
      </c>
      <c r="CL85" s="6">
        <v>1560</v>
      </c>
      <c r="CM85" s="6">
        <f t="shared" si="43"/>
        <v>355</v>
      </c>
      <c r="CN85" s="6"/>
      <c r="CO85" s="6"/>
      <c r="CP85" s="6"/>
      <c r="CQ85" s="6">
        <v>647</v>
      </c>
      <c r="CR85" s="6"/>
      <c r="CS85" s="6">
        <f t="shared" si="44"/>
        <v>381</v>
      </c>
      <c r="CT85" s="6">
        <v>1022</v>
      </c>
      <c r="CU85" s="6"/>
      <c r="CV85" s="6">
        <f t="shared" si="45"/>
        <v>375</v>
      </c>
      <c r="CW85" s="6">
        <v>1406</v>
      </c>
      <c r="CX85" s="6"/>
      <c r="CY85" s="6">
        <f t="shared" si="46"/>
        <v>384</v>
      </c>
      <c r="CZ85" s="6">
        <v>213</v>
      </c>
      <c r="DA85" s="6">
        <v>1560</v>
      </c>
      <c r="DB85" s="6">
        <f t="shared" si="47"/>
        <v>367</v>
      </c>
      <c r="DC85" s="6">
        <v>183</v>
      </c>
      <c r="DD85" s="6">
        <v>405</v>
      </c>
      <c r="DE85" s="6">
        <f t="shared" si="48"/>
        <v>375</v>
      </c>
      <c r="DF85" s="6">
        <v>125</v>
      </c>
      <c r="DG85" s="6">
        <v>412</v>
      </c>
      <c r="DH85" s="6">
        <f t="shared" si="49"/>
        <v>354</v>
      </c>
      <c r="DI85" s="6"/>
      <c r="DJ85" s="6"/>
      <c r="DK85" s="6"/>
      <c r="DL85" s="6">
        <v>507</v>
      </c>
      <c r="DM85" s="6"/>
      <c r="DN85" s="6">
        <f t="shared" si="50"/>
        <v>382</v>
      </c>
      <c r="DO85" s="6">
        <v>0</v>
      </c>
      <c r="DP85" s="6">
        <v>818</v>
      </c>
      <c r="DQ85" s="6">
        <f t="shared" si="51"/>
        <v>311</v>
      </c>
    </row>
    <row r="86" spans="1:121">
      <c r="A86" s="6">
        <v>82</v>
      </c>
      <c r="B86" s="6">
        <v>1363</v>
      </c>
      <c r="C86" s="6"/>
      <c r="D86" s="6">
        <v>318</v>
      </c>
      <c r="E86" s="33" t="s">
        <v>37</v>
      </c>
      <c r="F86" s="33" t="s">
        <v>37</v>
      </c>
      <c r="G86" s="33" t="s">
        <v>37</v>
      </c>
      <c r="H86" s="33" t="s">
        <v>37</v>
      </c>
      <c r="I86" s="33" t="s">
        <v>37</v>
      </c>
      <c r="J86" s="33" t="s">
        <v>37</v>
      </c>
      <c r="K86" s="33" t="s">
        <v>37</v>
      </c>
      <c r="L86" s="33" t="s">
        <v>37</v>
      </c>
      <c r="M86" s="33" t="s">
        <v>37</v>
      </c>
      <c r="N86" s="33" t="s">
        <v>37</v>
      </c>
      <c r="O86" s="33" t="s">
        <v>37</v>
      </c>
      <c r="P86" s="33" t="s">
        <v>37</v>
      </c>
      <c r="Q86" s="33" t="s">
        <v>37</v>
      </c>
      <c r="R86" s="33" t="s">
        <v>37</v>
      </c>
      <c r="S86" s="33" t="s">
        <v>37</v>
      </c>
      <c r="T86" s="33" t="s">
        <v>37</v>
      </c>
      <c r="U86" s="33" t="s">
        <v>37</v>
      </c>
      <c r="V86" s="33" t="s">
        <v>37</v>
      </c>
      <c r="W86" s="33" t="s">
        <v>37</v>
      </c>
      <c r="X86" s="148" t="s">
        <v>37</v>
      </c>
      <c r="Y86" s="33" t="s">
        <v>37</v>
      </c>
      <c r="Z86" s="33" t="s">
        <v>37</v>
      </c>
      <c r="AA86" s="33" t="s">
        <v>37</v>
      </c>
      <c r="AB86" s="33" t="s">
        <v>37</v>
      </c>
      <c r="AC86" s="33" t="s">
        <v>37</v>
      </c>
      <c r="AD86" s="33" t="s">
        <v>37</v>
      </c>
      <c r="AE86" s="33" t="s">
        <v>37</v>
      </c>
      <c r="AF86" s="6">
        <v>181</v>
      </c>
      <c r="AG86" s="6">
        <v>1560</v>
      </c>
      <c r="AH86" s="35">
        <f t="shared" si="26"/>
        <v>378</v>
      </c>
      <c r="AI86" s="35">
        <v>537</v>
      </c>
      <c r="AJ86" s="35"/>
      <c r="AK86" s="35">
        <f t="shared" si="27"/>
        <v>356</v>
      </c>
      <c r="AL86" s="6">
        <v>897</v>
      </c>
      <c r="AM86" s="6"/>
      <c r="AN86" s="35">
        <f t="shared" si="28"/>
        <v>360</v>
      </c>
      <c r="AO86" s="6">
        <v>1260</v>
      </c>
      <c r="AP86" s="6"/>
      <c r="AQ86" s="34">
        <f t="shared" si="29"/>
        <v>363</v>
      </c>
      <c r="AR86" s="35">
        <v>61</v>
      </c>
      <c r="AS86" s="35">
        <v>1560</v>
      </c>
      <c r="AT86" s="35">
        <f t="shared" si="30"/>
        <v>361</v>
      </c>
      <c r="AU86" s="6">
        <v>397</v>
      </c>
      <c r="AV86" s="6"/>
      <c r="AW86" s="35">
        <f t="shared" si="31"/>
        <v>336</v>
      </c>
      <c r="AX86" s="6"/>
      <c r="AY86" s="6"/>
      <c r="AZ86" s="35"/>
      <c r="BA86" s="35">
        <v>750</v>
      </c>
      <c r="BB86" s="35"/>
      <c r="BC86" s="35">
        <f t="shared" si="32"/>
        <v>353</v>
      </c>
      <c r="BD86" s="6">
        <v>1101</v>
      </c>
      <c r="BE86" s="6"/>
      <c r="BF86" s="35">
        <f t="shared" si="33"/>
        <v>351</v>
      </c>
      <c r="BG86" s="6">
        <v>1454</v>
      </c>
      <c r="BH86" s="6"/>
      <c r="BI86" s="6">
        <f t="shared" si="34"/>
        <v>353</v>
      </c>
      <c r="BJ86" s="6">
        <v>252</v>
      </c>
      <c r="BK86" s="6">
        <v>1560</v>
      </c>
      <c r="BL86" s="6">
        <f t="shared" si="35"/>
        <v>358</v>
      </c>
      <c r="BM86" s="6">
        <v>599</v>
      </c>
      <c r="BN86" s="6"/>
      <c r="BO86" s="6">
        <f t="shared" si="36"/>
        <v>347</v>
      </c>
      <c r="BP86" s="6">
        <v>201</v>
      </c>
      <c r="BQ86" s="6">
        <v>705</v>
      </c>
      <c r="BR86" s="35">
        <f t="shared" si="37"/>
        <v>307</v>
      </c>
      <c r="BS86" s="6"/>
      <c r="BT86" s="6"/>
      <c r="BU86" s="6"/>
      <c r="BV86" s="6">
        <v>563</v>
      </c>
      <c r="BW86" s="6"/>
      <c r="BX86" s="35">
        <f t="shared" si="38"/>
        <v>362</v>
      </c>
      <c r="BY86" s="6">
        <v>917</v>
      </c>
      <c r="BZ86" s="6"/>
      <c r="CA86" s="6">
        <f t="shared" si="39"/>
        <v>354</v>
      </c>
      <c r="CB86" s="6">
        <v>1273</v>
      </c>
      <c r="CC86" s="6"/>
      <c r="CD86" s="6">
        <f t="shared" si="40"/>
        <v>356</v>
      </c>
      <c r="CE86" s="6">
        <v>73</v>
      </c>
      <c r="CF86" s="6">
        <v>1560</v>
      </c>
      <c r="CG86" s="6">
        <f t="shared" si="41"/>
        <v>360</v>
      </c>
      <c r="CH86" s="6">
        <v>448</v>
      </c>
      <c r="CI86" s="6"/>
      <c r="CJ86" s="6">
        <f t="shared" si="42"/>
        <v>375</v>
      </c>
      <c r="CK86" s="6">
        <v>817</v>
      </c>
      <c r="CL86" s="6"/>
      <c r="CM86" s="6">
        <f t="shared" si="43"/>
        <v>369</v>
      </c>
      <c r="CN86" s="6"/>
      <c r="CO86" s="6"/>
      <c r="CP86" s="6"/>
      <c r="CQ86" s="6">
        <v>285</v>
      </c>
      <c r="CR86" s="6">
        <v>900</v>
      </c>
      <c r="CS86" s="6">
        <f t="shared" si="44"/>
        <v>368</v>
      </c>
      <c r="CT86" s="6">
        <v>669</v>
      </c>
      <c r="CU86" s="6"/>
      <c r="CV86" s="6">
        <f t="shared" si="45"/>
        <v>384</v>
      </c>
      <c r="CW86" s="6">
        <v>1055</v>
      </c>
      <c r="CX86" s="6"/>
      <c r="CY86" s="6">
        <f t="shared" si="46"/>
        <v>386</v>
      </c>
      <c r="CZ86" s="6">
        <v>1439</v>
      </c>
      <c r="DA86" s="6"/>
      <c r="DB86" s="6">
        <f t="shared" si="47"/>
        <v>384</v>
      </c>
      <c r="DC86" s="6">
        <v>265</v>
      </c>
      <c r="DD86" s="6">
        <v>1560</v>
      </c>
      <c r="DE86" s="6">
        <f t="shared" si="48"/>
        <v>386</v>
      </c>
      <c r="DF86" s="6">
        <v>620</v>
      </c>
      <c r="DG86" s="6"/>
      <c r="DH86" s="6">
        <f t="shared" si="49"/>
        <v>355</v>
      </c>
      <c r="DI86" s="6"/>
      <c r="DJ86" s="6"/>
      <c r="DK86" s="6"/>
      <c r="DL86" s="6">
        <v>1011</v>
      </c>
      <c r="DM86" s="6"/>
      <c r="DN86" s="6">
        <f t="shared" si="50"/>
        <v>391</v>
      </c>
      <c r="DO86" s="6">
        <v>1371</v>
      </c>
      <c r="DP86" s="6"/>
      <c r="DQ86" s="6">
        <f t="shared" si="51"/>
        <v>360</v>
      </c>
    </row>
    <row r="87" spans="1:121">
      <c r="A87" s="6">
        <v>83</v>
      </c>
      <c r="B87" s="6">
        <v>1285</v>
      </c>
      <c r="C87" s="6"/>
      <c r="D87" s="6">
        <v>338</v>
      </c>
      <c r="E87" s="33" t="s">
        <v>37</v>
      </c>
      <c r="F87" s="33" t="s">
        <v>37</v>
      </c>
      <c r="G87" s="33" t="s">
        <v>37</v>
      </c>
      <c r="H87" s="33" t="s">
        <v>37</v>
      </c>
      <c r="I87" s="33" t="s">
        <v>37</v>
      </c>
      <c r="J87" s="33" t="s">
        <v>37</v>
      </c>
      <c r="K87" s="33" t="s">
        <v>37</v>
      </c>
      <c r="L87" s="33" t="s">
        <v>37</v>
      </c>
      <c r="M87" s="33" t="s">
        <v>37</v>
      </c>
      <c r="N87" s="33" t="s">
        <v>37</v>
      </c>
      <c r="O87" s="33" t="s">
        <v>37</v>
      </c>
      <c r="P87" s="33" t="s">
        <v>37</v>
      </c>
      <c r="Q87" s="33" t="s">
        <v>37</v>
      </c>
      <c r="R87" s="33" t="s">
        <v>37</v>
      </c>
      <c r="S87" s="33" t="s">
        <v>37</v>
      </c>
      <c r="T87" s="33" t="s">
        <v>37</v>
      </c>
      <c r="U87" s="33" t="s">
        <v>37</v>
      </c>
      <c r="V87" s="33" t="s">
        <v>37</v>
      </c>
      <c r="W87" s="33" t="s">
        <v>37</v>
      </c>
      <c r="X87" s="148" t="s">
        <v>37</v>
      </c>
      <c r="Y87" s="33" t="s">
        <v>37</v>
      </c>
      <c r="Z87" s="33" t="s">
        <v>37</v>
      </c>
      <c r="AA87" s="33" t="s">
        <v>37</v>
      </c>
      <c r="AB87" s="33" t="s">
        <v>37</v>
      </c>
      <c r="AC87" s="33" t="s">
        <v>37</v>
      </c>
      <c r="AD87" s="33" t="s">
        <v>37</v>
      </c>
      <c r="AE87" s="33" t="s">
        <v>37</v>
      </c>
      <c r="AF87" s="6">
        <v>132</v>
      </c>
      <c r="AG87" s="6">
        <v>1537</v>
      </c>
      <c r="AH87" s="35">
        <f t="shared" si="26"/>
        <v>384</v>
      </c>
      <c r="AI87" s="35">
        <v>6</v>
      </c>
      <c r="AJ87" s="35">
        <v>489</v>
      </c>
      <c r="AK87" s="35">
        <f t="shared" si="27"/>
        <v>363</v>
      </c>
      <c r="AL87" s="35">
        <v>368</v>
      </c>
      <c r="AM87" s="6"/>
      <c r="AN87" s="35">
        <f t="shared" si="28"/>
        <v>362</v>
      </c>
      <c r="AO87" s="6">
        <v>722</v>
      </c>
      <c r="AP87" s="6"/>
      <c r="AQ87" s="34">
        <f t="shared" si="29"/>
        <v>354</v>
      </c>
      <c r="AR87" s="35">
        <v>1092</v>
      </c>
      <c r="AS87" s="35"/>
      <c r="AT87" s="35">
        <f t="shared" si="30"/>
        <v>370</v>
      </c>
      <c r="AU87" s="6">
        <v>1432</v>
      </c>
      <c r="AV87" s="6"/>
      <c r="AW87" s="35">
        <f t="shared" si="31"/>
        <v>340</v>
      </c>
      <c r="AX87" s="6"/>
      <c r="AY87" s="6"/>
      <c r="AZ87" s="35"/>
      <c r="BA87" s="35">
        <v>245</v>
      </c>
      <c r="BB87" s="35">
        <v>1560</v>
      </c>
      <c r="BC87" s="35">
        <f t="shared" si="32"/>
        <v>373</v>
      </c>
      <c r="BD87" s="6">
        <v>612</v>
      </c>
      <c r="BE87" s="6"/>
      <c r="BF87" s="35">
        <f t="shared" si="33"/>
        <v>367</v>
      </c>
      <c r="BG87" s="6">
        <v>980</v>
      </c>
      <c r="BH87" s="6"/>
      <c r="BI87" s="6">
        <f t="shared" si="34"/>
        <v>368</v>
      </c>
      <c r="BJ87" s="6">
        <v>19</v>
      </c>
      <c r="BK87" s="6">
        <v>1318</v>
      </c>
      <c r="BL87" s="6">
        <f t="shared" si="35"/>
        <v>357</v>
      </c>
      <c r="BM87" s="6">
        <v>389</v>
      </c>
      <c r="BN87" s="6"/>
      <c r="BO87" s="6">
        <f t="shared" si="36"/>
        <v>370</v>
      </c>
      <c r="BP87" s="6">
        <v>731</v>
      </c>
      <c r="BQ87" s="6"/>
      <c r="BR87" s="35">
        <f t="shared" si="37"/>
        <v>342</v>
      </c>
      <c r="BS87" s="6"/>
      <c r="BT87" s="6"/>
      <c r="BU87" s="6"/>
      <c r="BV87" s="6">
        <v>1104</v>
      </c>
      <c r="BW87" s="6"/>
      <c r="BX87" s="35">
        <f t="shared" si="38"/>
        <v>373</v>
      </c>
      <c r="BY87" s="6">
        <v>1467</v>
      </c>
      <c r="BZ87" s="6"/>
      <c r="CA87" s="6">
        <f t="shared" si="39"/>
        <v>363</v>
      </c>
      <c r="CB87" s="6">
        <v>259</v>
      </c>
      <c r="CC87" s="6">
        <v>1560</v>
      </c>
      <c r="CD87" s="6">
        <f t="shared" si="40"/>
        <v>352</v>
      </c>
      <c r="CE87" s="6">
        <v>643</v>
      </c>
      <c r="CF87" s="6"/>
      <c r="CG87" s="6">
        <f t="shared" si="41"/>
        <v>384</v>
      </c>
      <c r="CH87" s="6">
        <v>1025</v>
      </c>
      <c r="CI87" s="6"/>
      <c r="CJ87" s="6">
        <f t="shared" si="42"/>
        <v>382</v>
      </c>
      <c r="CK87" s="6">
        <v>1381</v>
      </c>
      <c r="CL87" s="6"/>
      <c r="CM87" s="6">
        <f t="shared" si="43"/>
        <v>356</v>
      </c>
      <c r="CN87" s="6"/>
      <c r="CO87" s="6"/>
      <c r="CP87" s="6"/>
      <c r="CQ87" s="6">
        <v>351</v>
      </c>
      <c r="CR87" s="6">
        <v>1396</v>
      </c>
      <c r="CS87" s="6">
        <f t="shared" si="44"/>
        <v>366</v>
      </c>
      <c r="CT87" s="6">
        <v>733</v>
      </c>
      <c r="CU87" s="6"/>
      <c r="CV87" s="6">
        <f t="shared" si="45"/>
        <v>382</v>
      </c>
      <c r="CW87" s="6">
        <v>1120</v>
      </c>
      <c r="CX87" s="6"/>
      <c r="CY87" s="6">
        <f t="shared" si="46"/>
        <v>387</v>
      </c>
      <c r="CZ87" s="6">
        <v>1505</v>
      </c>
      <c r="DA87" s="6"/>
      <c r="DB87" s="6">
        <f t="shared" si="47"/>
        <v>385</v>
      </c>
      <c r="DC87" s="6">
        <v>334</v>
      </c>
      <c r="DD87" s="6">
        <v>1561</v>
      </c>
      <c r="DE87" s="6">
        <f t="shared" si="48"/>
        <v>390</v>
      </c>
      <c r="DF87" s="6">
        <v>702</v>
      </c>
      <c r="DG87" s="6"/>
      <c r="DH87" s="6">
        <f t="shared" si="49"/>
        <v>368</v>
      </c>
      <c r="DI87" s="6"/>
      <c r="DJ87" s="6"/>
      <c r="DK87" s="6"/>
      <c r="DL87" s="6">
        <v>1093</v>
      </c>
      <c r="DM87" s="6"/>
      <c r="DN87" s="6">
        <f t="shared" si="50"/>
        <v>391</v>
      </c>
      <c r="DO87" s="6">
        <v>1455</v>
      </c>
      <c r="DP87" s="6"/>
      <c r="DQ87" s="6">
        <f t="shared" si="51"/>
        <v>362</v>
      </c>
    </row>
    <row r="88" spans="1:121">
      <c r="A88" s="6">
        <v>84</v>
      </c>
      <c r="B88" s="6">
        <v>1221</v>
      </c>
      <c r="C88" s="6"/>
      <c r="D88" s="6">
        <v>338</v>
      </c>
      <c r="E88" s="33" t="s">
        <v>37</v>
      </c>
      <c r="F88" s="33" t="s">
        <v>37</v>
      </c>
      <c r="G88" s="33" t="s">
        <v>37</v>
      </c>
      <c r="H88" s="33" t="s">
        <v>37</v>
      </c>
      <c r="I88" s="148" t="s">
        <v>37</v>
      </c>
      <c r="J88" s="33" t="s">
        <v>37</v>
      </c>
      <c r="K88" s="33" t="s">
        <v>37</v>
      </c>
      <c r="L88" s="33" t="s">
        <v>37</v>
      </c>
      <c r="M88" s="33" t="s">
        <v>37</v>
      </c>
      <c r="N88" s="33" t="s">
        <v>37</v>
      </c>
      <c r="O88" s="33" t="s">
        <v>37</v>
      </c>
      <c r="P88" s="33" t="s">
        <v>37</v>
      </c>
      <c r="Q88" s="33" t="s">
        <v>37</v>
      </c>
      <c r="R88" s="33" t="s">
        <v>37</v>
      </c>
      <c r="S88" s="33" t="s">
        <v>37</v>
      </c>
      <c r="T88" s="33" t="s">
        <v>37</v>
      </c>
      <c r="U88" s="33" t="s">
        <v>37</v>
      </c>
      <c r="V88" s="33" t="s">
        <v>37</v>
      </c>
      <c r="W88" s="33" t="s">
        <v>37</v>
      </c>
      <c r="X88" s="33" t="s">
        <v>37</v>
      </c>
      <c r="Y88" s="33" t="s">
        <v>37</v>
      </c>
      <c r="Z88" s="33" t="s">
        <v>37</v>
      </c>
      <c r="AA88" s="33" t="s">
        <v>37</v>
      </c>
      <c r="AB88" s="33" t="s">
        <v>37</v>
      </c>
      <c r="AC88" s="33" t="s">
        <v>37</v>
      </c>
      <c r="AD88" s="33" t="s">
        <v>37</v>
      </c>
      <c r="AE88" s="148" t="s">
        <v>37</v>
      </c>
      <c r="AF88" s="35">
        <v>1615</v>
      </c>
      <c r="AG88" s="35"/>
      <c r="AH88" s="35">
        <f t="shared" si="26"/>
        <v>394</v>
      </c>
      <c r="AI88" s="35">
        <v>262</v>
      </c>
      <c r="AJ88" s="35">
        <v>1720</v>
      </c>
      <c r="AK88" s="35">
        <f t="shared" si="27"/>
        <v>367</v>
      </c>
      <c r="AL88" s="35">
        <v>0</v>
      </c>
      <c r="AM88" s="35">
        <v>419</v>
      </c>
      <c r="AN88" s="35">
        <f t="shared" si="28"/>
        <v>157</v>
      </c>
      <c r="AO88" s="6">
        <v>321</v>
      </c>
      <c r="AP88" s="6"/>
      <c r="AQ88" s="34">
        <f t="shared" si="29"/>
        <v>321</v>
      </c>
      <c r="AR88" s="35">
        <v>692</v>
      </c>
      <c r="AS88" s="35"/>
      <c r="AT88" s="35">
        <f t="shared" si="30"/>
        <v>371</v>
      </c>
      <c r="AU88" s="6">
        <v>1041</v>
      </c>
      <c r="AV88" s="6"/>
      <c r="AW88" s="35">
        <f t="shared" si="31"/>
        <v>349</v>
      </c>
      <c r="AX88" s="6"/>
      <c r="AY88" s="6"/>
      <c r="AZ88" s="35"/>
      <c r="BA88" s="6">
        <v>1415</v>
      </c>
      <c r="BB88" s="6"/>
      <c r="BC88" s="35">
        <f t="shared" si="32"/>
        <v>374</v>
      </c>
      <c r="BD88" s="6">
        <v>221</v>
      </c>
      <c r="BE88" s="6">
        <v>1550</v>
      </c>
      <c r="BF88" s="35">
        <f t="shared" si="33"/>
        <v>356</v>
      </c>
      <c r="BG88" s="6">
        <v>589</v>
      </c>
      <c r="BH88" s="6"/>
      <c r="BI88" s="6">
        <f t="shared" si="34"/>
        <v>368</v>
      </c>
      <c r="BJ88" s="6">
        <v>949</v>
      </c>
      <c r="BK88" s="35"/>
      <c r="BL88" s="6">
        <f t="shared" si="35"/>
        <v>360</v>
      </c>
      <c r="BM88" s="6">
        <v>1306</v>
      </c>
      <c r="BN88" s="6"/>
      <c r="BO88" s="6">
        <f t="shared" si="36"/>
        <v>357</v>
      </c>
      <c r="BP88" s="6">
        <v>91</v>
      </c>
      <c r="BQ88" s="6">
        <v>1560</v>
      </c>
      <c r="BR88" s="35">
        <f t="shared" si="37"/>
        <v>345</v>
      </c>
      <c r="BS88" s="6"/>
      <c r="BT88" s="6"/>
      <c r="BU88" s="6"/>
      <c r="BV88" s="6">
        <v>460</v>
      </c>
      <c r="BW88" s="6"/>
      <c r="BX88" s="35">
        <f t="shared" si="38"/>
        <v>369</v>
      </c>
      <c r="BY88" s="6">
        <v>819</v>
      </c>
      <c r="BZ88" s="35"/>
      <c r="CA88" s="6">
        <f t="shared" si="39"/>
        <v>359</v>
      </c>
      <c r="CB88" s="6">
        <v>1188</v>
      </c>
      <c r="CC88" s="6"/>
      <c r="CD88" s="6">
        <f t="shared" si="40"/>
        <v>369</v>
      </c>
      <c r="CE88" s="6">
        <v>11</v>
      </c>
      <c r="CF88" s="35">
        <v>1526</v>
      </c>
      <c r="CG88" s="6">
        <f t="shared" si="41"/>
        <v>349</v>
      </c>
      <c r="CH88" s="6">
        <v>379</v>
      </c>
      <c r="CI88" s="6"/>
      <c r="CJ88" s="6">
        <f t="shared" si="42"/>
        <v>368</v>
      </c>
      <c r="CK88" s="6">
        <v>349</v>
      </c>
      <c r="CL88" s="6">
        <v>393</v>
      </c>
      <c r="CM88" s="6">
        <f t="shared" si="43"/>
        <v>363</v>
      </c>
      <c r="CN88" s="6"/>
      <c r="CO88" s="6"/>
      <c r="CP88" s="6"/>
      <c r="CQ88" s="6">
        <v>740</v>
      </c>
      <c r="CR88" s="6"/>
      <c r="CS88" s="6">
        <f t="shared" si="44"/>
        <v>391</v>
      </c>
      <c r="CT88" s="6">
        <v>1096</v>
      </c>
      <c r="CU88" s="6"/>
      <c r="CV88" s="6">
        <f t="shared" si="45"/>
        <v>356</v>
      </c>
      <c r="CW88" s="6">
        <v>1477</v>
      </c>
      <c r="CX88" s="6"/>
      <c r="CY88" s="6">
        <f t="shared" si="46"/>
        <v>381</v>
      </c>
      <c r="CZ88" s="6">
        <v>282</v>
      </c>
      <c r="DA88" s="6">
        <v>1561</v>
      </c>
      <c r="DB88" s="6">
        <f t="shared" si="47"/>
        <v>366</v>
      </c>
      <c r="DC88" s="6">
        <v>653</v>
      </c>
      <c r="DD88" s="6"/>
      <c r="DE88" s="6">
        <f t="shared" si="48"/>
        <v>371</v>
      </c>
      <c r="DF88" s="6">
        <v>1008</v>
      </c>
      <c r="DG88" s="6"/>
      <c r="DH88" s="6">
        <f t="shared" si="49"/>
        <v>355</v>
      </c>
      <c r="DI88" s="6"/>
      <c r="DJ88" s="6"/>
      <c r="DK88" s="6"/>
      <c r="DL88" s="6">
        <v>0</v>
      </c>
      <c r="DM88" s="6">
        <v>1231</v>
      </c>
      <c r="DN88" s="6">
        <f t="shared" si="50"/>
        <v>223</v>
      </c>
      <c r="DO88" s="6">
        <v>315</v>
      </c>
      <c r="DP88" s="6"/>
      <c r="DQ88" s="6">
        <f t="shared" si="51"/>
        <v>315</v>
      </c>
    </row>
    <row r="89" spans="1:121">
      <c r="A89" s="6">
        <v>85</v>
      </c>
      <c r="B89" s="6">
        <v>1313</v>
      </c>
      <c r="C89" s="6"/>
      <c r="D89" s="6">
        <v>319</v>
      </c>
      <c r="E89" s="33" t="s">
        <v>37</v>
      </c>
      <c r="F89" s="33" t="s">
        <v>37</v>
      </c>
      <c r="G89" s="33" t="s">
        <v>37</v>
      </c>
      <c r="H89" s="33" t="s">
        <v>37</v>
      </c>
      <c r="I89" s="33" t="s">
        <v>37</v>
      </c>
      <c r="J89" s="33" t="s">
        <v>37</v>
      </c>
      <c r="K89" s="33" t="s">
        <v>37</v>
      </c>
      <c r="L89" s="33" t="s">
        <v>37</v>
      </c>
      <c r="M89" s="33" t="s">
        <v>37</v>
      </c>
      <c r="N89" s="33" t="s">
        <v>37</v>
      </c>
      <c r="O89" s="33" t="s">
        <v>37</v>
      </c>
      <c r="P89" s="33" t="s">
        <v>37</v>
      </c>
      <c r="Q89" s="33" t="s">
        <v>37</v>
      </c>
      <c r="R89" s="33" t="s">
        <v>37</v>
      </c>
      <c r="S89" s="33" t="s">
        <v>37</v>
      </c>
      <c r="T89" s="33" t="s">
        <v>37</v>
      </c>
      <c r="U89" s="33" t="s">
        <v>37</v>
      </c>
      <c r="V89" s="33" t="s">
        <v>37</v>
      </c>
      <c r="W89" s="33" t="s">
        <v>37</v>
      </c>
      <c r="X89" s="148" t="s">
        <v>37</v>
      </c>
      <c r="Y89" s="33" t="s">
        <v>37</v>
      </c>
      <c r="Z89" s="33" t="s">
        <v>37</v>
      </c>
      <c r="AA89" s="33" t="s">
        <v>37</v>
      </c>
      <c r="AB89" s="33" t="s">
        <v>37</v>
      </c>
      <c r="AC89" s="33" t="s">
        <v>37</v>
      </c>
      <c r="AD89" s="33" t="s">
        <v>37</v>
      </c>
      <c r="AE89" s="33" t="s">
        <v>37</v>
      </c>
      <c r="AF89" s="6">
        <v>317</v>
      </c>
      <c r="AG89" s="6">
        <v>1374</v>
      </c>
      <c r="AH89" s="35">
        <f t="shared" si="26"/>
        <v>378</v>
      </c>
      <c r="AI89" s="35">
        <v>682</v>
      </c>
      <c r="AJ89" s="35"/>
      <c r="AK89" s="35">
        <f t="shared" si="27"/>
        <v>365</v>
      </c>
      <c r="AL89" s="6">
        <v>1049</v>
      </c>
      <c r="AM89" s="6"/>
      <c r="AN89" s="35">
        <f t="shared" si="28"/>
        <v>367</v>
      </c>
      <c r="AO89" s="6">
        <v>1413</v>
      </c>
      <c r="AP89" s="6"/>
      <c r="AQ89" s="34">
        <f t="shared" si="29"/>
        <v>364</v>
      </c>
      <c r="AR89" s="35">
        <v>221</v>
      </c>
      <c r="AS89" s="35">
        <v>1560</v>
      </c>
      <c r="AT89" s="35">
        <f t="shared" si="30"/>
        <v>368</v>
      </c>
      <c r="AU89" s="6">
        <v>569</v>
      </c>
      <c r="AV89" s="6"/>
      <c r="AW89" s="35">
        <f t="shared" si="31"/>
        <v>348</v>
      </c>
      <c r="AX89" s="6"/>
      <c r="AY89" s="6"/>
      <c r="AZ89" s="35"/>
      <c r="BA89" s="35">
        <v>939</v>
      </c>
      <c r="BB89" s="35"/>
      <c r="BC89" s="35">
        <f t="shared" si="32"/>
        <v>370</v>
      </c>
      <c r="BD89" s="6">
        <v>1301</v>
      </c>
      <c r="BE89" s="6"/>
      <c r="BF89" s="35">
        <f t="shared" si="33"/>
        <v>362</v>
      </c>
      <c r="BG89" s="6">
        <v>106</v>
      </c>
      <c r="BH89" s="6">
        <v>1560</v>
      </c>
      <c r="BI89" s="6">
        <f t="shared" si="34"/>
        <v>365</v>
      </c>
      <c r="BJ89" s="6">
        <v>473</v>
      </c>
      <c r="BK89" s="6"/>
      <c r="BL89" s="6">
        <f t="shared" si="35"/>
        <v>367</v>
      </c>
      <c r="BM89" s="6">
        <v>834</v>
      </c>
      <c r="BN89" s="6"/>
      <c r="BO89" s="6">
        <f t="shared" si="36"/>
        <v>361</v>
      </c>
      <c r="BP89" s="6">
        <v>1183</v>
      </c>
      <c r="BQ89" s="6"/>
      <c r="BR89" s="35">
        <f t="shared" si="37"/>
        <v>349</v>
      </c>
      <c r="BS89" s="6"/>
      <c r="BT89" s="6"/>
      <c r="BU89" s="6"/>
      <c r="BV89" s="6">
        <v>265</v>
      </c>
      <c r="BW89" s="6">
        <v>1290</v>
      </c>
      <c r="BX89" s="35">
        <f t="shared" si="38"/>
        <v>372</v>
      </c>
      <c r="BY89" s="6">
        <v>626</v>
      </c>
      <c r="BZ89" s="6"/>
      <c r="CA89" s="6">
        <f t="shared" si="39"/>
        <v>361</v>
      </c>
      <c r="CB89" s="6">
        <v>995</v>
      </c>
      <c r="CC89" s="6"/>
      <c r="CD89" s="6">
        <f t="shared" si="40"/>
        <v>369</v>
      </c>
      <c r="CE89" s="6">
        <v>1376</v>
      </c>
      <c r="CF89" s="6"/>
      <c r="CG89" s="6">
        <f t="shared" si="41"/>
        <v>381</v>
      </c>
      <c r="CH89" s="6">
        <v>195</v>
      </c>
      <c r="CI89" s="6">
        <v>1560</v>
      </c>
      <c r="CJ89" s="6">
        <f t="shared" si="42"/>
        <v>379</v>
      </c>
      <c r="CK89" s="6">
        <v>0</v>
      </c>
      <c r="CL89" s="6">
        <v>545</v>
      </c>
      <c r="CM89" s="6">
        <f t="shared" si="43"/>
        <v>350</v>
      </c>
      <c r="CN89" s="6"/>
      <c r="CO89" s="6"/>
      <c r="CP89" s="6"/>
      <c r="CQ89" s="6">
        <v>300</v>
      </c>
      <c r="CR89" s="6"/>
      <c r="CS89" s="6">
        <f t="shared" si="44"/>
        <v>300</v>
      </c>
      <c r="CT89" s="6">
        <v>685</v>
      </c>
      <c r="CU89" s="6"/>
      <c r="CV89" s="6">
        <f t="shared" si="45"/>
        <v>385</v>
      </c>
      <c r="CW89" s="6">
        <v>1073</v>
      </c>
      <c r="CX89" s="6"/>
      <c r="CY89" s="6">
        <f t="shared" si="46"/>
        <v>388</v>
      </c>
      <c r="CZ89" s="6">
        <v>1453</v>
      </c>
      <c r="DA89" s="6"/>
      <c r="DB89" s="6">
        <f t="shared" si="47"/>
        <v>380</v>
      </c>
      <c r="DC89" s="6">
        <v>279</v>
      </c>
      <c r="DD89" s="6">
        <v>1560</v>
      </c>
      <c r="DE89" s="6">
        <f t="shared" si="48"/>
        <v>386</v>
      </c>
      <c r="DF89" s="6">
        <v>638</v>
      </c>
      <c r="DG89" s="6"/>
      <c r="DH89" s="6">
        <f t="shared" si="49"/>
        <v>359</v>
      </c>
      <c r="DI89" s="6"/>
      <c r="DJ89" s="6"/>
      <c r="DK89" s="6"/>
      <c r="DL89" s="6">
        <v>261</v>
      </c>
      <c r="DM89" s="6">
        <v>752</v>
      </c>
      <c r="DN89" s="6">
        <f t="shared" si="50"/>
        <v>375</v>
      </c>
      <c r="DO89" s="6">
        <v>611</v>
      </c>
      <c r="DP89" s="6"/>
      <c r="DQ89" s="6">
        <f t="shared" si="51"/>
        <v>350</v>
      </c>
    </row>
    <row r="90" spans="1:121">
      <c r="A90" s="6">
        <v>86</v>
      </c>
      <c r="B90" s="6">
        <v>0</v>
      </c>
      <c r="C90" s="6">
        <v>1327</v>
      </c>
      <c r="D90" s="6">
        <v>205</v>
      </c>
      <c r="E90" s="33" t="s">
        <v>37</v>
      </c>
      <c r="F90" s="148" t="s">
        <v>128</v>
      </c>
      <c r="G90" s="33" t="s">
        <v>128</v>
      </c>
      <c r="H90" s="33" t="s">
        <v>128</v>
      </c>
      <c r="I90" s="33" t="s">
        <v>128</v>
      </c>
      <c r="J90" s="33" t="s">
        <v>128</v>
      </c>
      <c r="K90" s="33" t="s">
        <v>128</v>
      </c>
      <c r="L90" s="33" t="s">
        <v>128</v>
      </c>
      <c r="M90" s="33" t="s">
        <v>128</v>
      </c>
      <c r="N90" s="33" t="s">
        <v>128</v>
      </c>
      <c r="O90" s="33" t="s">
        <v>128</v>
      </c>
      <c r="P90" s="33" t="s">
        <v>128</v>
      </c>
      <c r="Q90" s="33" t="s">
        <v>128</v>
      </c>
      <c r="R90" s="33" t="s">
        <v>128</v>
      </c>
      <c r="S90" s="33" t="s">
        <v>128</v>
      </c>
      <c r="T90" s="33" t="s">
        <v>128</v>
      </c>
      <c r="U90" s="33" t="s">
        <v>128</v>
      </c>
      <c r="V90" s="33" t="s">
        <v>128</v>
      </c>
      <c r="W90" s="33" t="s">
        <v>128</v>
      </c>
      <c r="X90" s="33" t="s">
        <v>128</v>
      </c>
      <c r="Y90" s="33" t="s">
        <v>128</v>
      </c>
      <c r="Z90" s="33" t="s">
        <v>128</v>
      </c>
      <c r="AA90" s="33" t="s">
        <v>128</v>
      </c>
      <c r="AB90" s="33" t="s">
        <v>128</v>
      </c>
      <c r="AC90" s="148" t="s">
        <v>128</v>
      </c>
      <c r="AD90" s="33" t="s">
        <v>128</v>
      </c>
      <c r="AE90" s="33" t="s">
        <v>128</v>
      </c>
      <c r="AF90" s="6">
        <v>330</v>
      </c>
      <c r="AG90" s="6"/>
      <c r="AH90" s="35">
        <f t="shared" si="26"/>
        <v>330</v>
      </c>
      <c r="AI90" s="35">
        <v>679</v>
      </c>
      <c r="AJ90" s="35"/>
      <c r="AK90" s="35">
        <f t="shared" si="27"/>
        <v>349</v>
      </c>
      <c r="AL90" s="6">
        <v>1019</v>
      </c>
      <c r="AM90" s="6"/>
      <c r="AN90" s="35">
        <f t="shared" si="28"/>
        <v>340</v>
      </c>
      <c r="AO90" s="6">
        <v>1374</v>
      </c>
      <c r="AP90" s="6"/>
      <c r="AQ90" s="34">
        <f t="shared" si="29"/>
        <v>355</v>
      </c>
      <c r="AR90" s="35">
        <v>166</v>
      </c>
      <c r="AS90" s="35">
        <v>1560</v>
      </c>
      <c r="AT90" s="35">
        <f t="shared" si="30"/>
        <v>352</v>
      </c>
      <c r="AU90" s="6">
        <v>501</v>
      </c>
      <c r="AV90" s="6"/>
      <c r="AW90" s="35">
        <f t="shared" si="31"/>
        <v>335</v>
      </c>
      <c r="AX90" s="6"/>
      <c r="AY90" s="6"/>
      <c r="AZ90" s="35"/>
      <c r="BA90" s="35">
        <v>855</v>
      </c>
      <c r="BB90" s="35"/>
      <c r="BC90" s="35">
        <f t="shared" si="32"/>
        <v>354</v>
      </c>
      <c r="BD90" s="6">
        <v>1208</v>
      </c>
      <c r="BE90" s="6"/>
      <c r="BF90" s="35">
        <f t="shared" si="33"/>
        <v>353</v>
      </c>
      <c r="BG90" s="6">
        <v>1537</v>
      </c>
      <c r="BH90" s="6"/>
      <c r="BI90" s="6">
        <f t="shared" si="34"/>
        <v>329</v>
      </c>
      <c r="BJ90" s="6">
        <v>341</v>
      </c>
      <c r="BK90" s="6">
        <v>1560</v>
      </c>
      <c r="BL90" s="6">
        <f t="shared" si="35"/>
        <v>364</v>
      </c>
      <c r="BM90" s="6">
        <v>703</v>
      </c>
      <c r="BN90" s="6"/>
      <c r="BO90" s="6">
        <f t="shared" si="36"/>
        <v>362</v>
      </c>
      <c r="BP90" s="6">
        <v>1042</v>
      </c>
      <c r="BQ90" s="6"/>
      <c r="BR90" s="35">
        <f t="shared" si="37"/>
        <v>339</v>
      </c>
      <c r="BS90" s="6"/>
      <c r="BT90" s="6"/>
      <c r="BU90" s="6"/>
      <c r="BV90" s="6">
        <v>1410</v>
      </c>
      <c r="BW90" s="6"/>
      <c r="BX90" s="35">
        <f t="shared" si="38"/>
        <v>368</v>
      </c>
      <c r="BY90" s="6">
        <v>204</v>
      </c>
      <c r="BZ90" s="6">
        <v>1560</v>
      </c>
      <c r="CA90" s="6">
        <f t="shared" si="39"/>
        <v>354</v>
      </c>
      <c r="CB90" s="6">
        <v>550</v>
      </c>
      <c r="CC90" s="6"/>
      <c r="CD90" s="6">
        <f t="shared" si="40"/>
        <v>346</v>
      </c>
      <c r="CE90" s="6">
        <v>934</v>
      </c>
      <c r="CF90" s="6"/>
      <c r="CG90" s="6">
        <f t="shared" si="41"/>
        <v>384</v>
      </c>
      <c r="CH90" s="6">
        <v>1321</v>
      </c>
      <c r="CI90" s="6"/>
      <c r="CJ90" s="6">
        <f t="shared" si="42"/>
        <v>387</v>
      </c>
      <c r="CK90" s="6">
        <v>125</v>
      </c>
      <c r="CL90" s="6">
        <v>1560</v>
      </c>
      <c r="CM90" s="6">
        <f t="shared" si="43"/>
        <v>364</v>
      </c>
      <c r="CN90" s="6"/>
      <c r="CO90" s="6"/>
      <c r="CP90" s="6"/>
      <c r="CQ90" s="6">
        <v>505</v>
      </c>
      <c r="CR90" s="6"/>
      <c r="CS90" s="6">
        <f t="shared" si="44"/>
        <v>380</v>
      </c>
      <c r="CT90" s="6">
        <v>871</v>
      </c>
      <c r="CU90" s="6"/>
      <c r="CV90" s="6">
        <f t="shared" si="45"/>
        <v>366</v>
      </c>
      <c r="CW90" s="6">
        <v>1253</v>
      </c>
      <c r="CX90" s="6"/>
      <c r="CY90" s="6">
        <f t="shared" si="46"/>
        <v>382</v>
      </c>
      <c r="CZ90" s="6">
        <v>1400</v>
      </c>
      <c r="DA90" s="6"/>
      <c r="DB90" s="6">
        <f t="shared" si="47"/>
        <v>147</v>
      </c>
      <c r="DC90" s="6">
        <v>0</v>
      </c>
      <c r="DD90" s="6">
        <v>1608</v>
      </c>
      <c r="DE90" s="6">
        <f t="shared" si="48"/>
        <v>208</v>
      </c>
      <c r="DF90" s="6">
        <v>299</v>
      </c>
      <c r="DG90" s="6"/>
      <c r="DH90" s="6">
        <f t="shared" si="49"/>
        <v>299</v>
      </c>
      <c r="DI90" s="6"/>
      <c r="DJ90" s="6"/>
      <c r="DK90" s="6"/>
      <c r="DL90" s="6">
        <v>684</v>
      </c>
      <c r="DM90" s="6"/>
      <c r="DN90" s="6">
        <f t="shared" si="50"/>
        <v>385</v>
      </c>
      <c r="DO90" s="6">
        <v>1045</v>
      </c>
      <c r="DP90" s="6"/>
      <c r="DQ90" s="6">
        <f t="shared" si="51"/>
        <v>361</v>
      </c>
    </row>
    <row r="91" spans="1:121">
      <c r="A91" s="6">
        <v>87</v>
      </c>
      <c r="B91" s="6">
        <v>1036</v>
      </c>
      <c r="C91" s="6"/>
      <c r="D91" s="6">
        <v>327</v>
      </c>
      <c r="E91" s="33" t="s">
        <v>37</v>
      </c>
      <c r="F91" s="33" t="s">
        <v>37</v>
      </c>
      <c r="G91" s="33" t="s">
        <v>37</v>
      </c>
      <c r="H91" s="33" t="s">
        <v>37</v>
      </c>
      <c r="I91" s="33" t="s">
        <v>37</v>
      </c>
      <c r="J91" s="33" t="s">
        <v>37</v>
      </c>
      <c r="K91" s="33" t="s">
        <v>37</v>
      </c>
      <c r="L91" s="33" t="s">
        <v>37</v>
      </c>
      <c r="M91" s="33" t="s">
        <v>37</v>
      </c>
      <c r="N91" s="33" t="s">
        <v>37</v>
      </c>
      <c r="O91" s="33" t="s">
        <v>37</v>
      </c>
      <c r="P91" s="33" t="s">
        <v>37</v>
      </c>
      <c r="Q91" s="33" t="s">
        <v>37</v>
      </c>
      <c r="R91" s="33" t="s">
        <v>37</v>
      </c>
      <c r="S91" s="33" t="s">
        <v>37</v>
      </c>
      <c r="T91" s="33" t="s">
        <v>37</v>
      </c>
      <c r="U91" s="33" t="s">
        <v>37</v>
      </c>
      <c r="V91" s="33" t="s">
        <v>37</v>
      </c>
      <c r="W91" s="33" t="s">
        <v>37</v>
      </c>
      <c r="X91" s="33" t="s">
        <v>37</v>
      </c>
      <c r="Y91" s="148" t="s">
        <v>37</v>
      </c>
      <c r="Z91" s="33" t="s">
        <v>37</v>
      </c>
      <c r="AA91" s="33" t="s">
        <v>37</v>
      </c>
      <c r="AB91" s="33" t="s">
        <v>37</v>
      </c>
      <c r="AC91" s="33" t="s">
        <v>37</v>
      </c>
      <c r="AD91" s="33" t="s">
        <v>37</v>
      </c>
      <c r="AE91" s="33" t="s">
        <v>37</v>
      </c>
      <c r="AF91" s="6">
        <v>1423</v>
      </c>
      <c r="AG91" s="6"/>
      <c r="AH91" s="35">
        <f t="shared" si="26"/>
        <v>387</v>
      </c>
      <c r="AI91" s="35">
        <v>223</v>
      </c>
      <c r="AJ91" s="35">
        <v>1560</v>
      </c>
      <c r="AK91" s="35">
        <f t="shared" si="27"/>
        <v>360</v>
      </c>
      <c r="AL91" s="6">
        <v>584</v>
      </c>
      <c r="AM91" s="6"/>
      <c r="AN91" s="35">
        <f t="shared" si="28"/>
        <v>361</v>
      </c>
      <c r="AO91" s="6">
        <v>944</v>
      </c>
      <c r="AP91" s="6"/>
      <c r="AQ91" s="34">
        <f t="shared" si="29"/>
        <v>360</v>
      </c>
      <c r="AR91" s="35">
        <v>1308</v>
      </c>
      <c r="AS91" s="35"/>
      <c r="AT91" s="35">
        <f t="shared" si="30"/>
        <v>364</v>
      </c>
      <c r="AU91" s="6">
        <v>1643</v>
      </c>
      <c r="AV91" s="6"/>
      <c r="AW91" s="35">
        <f t="shared" si="31"/>
        <v>335</v>
      </c>
      <c r="AX91" s="6"/>
      <c r="AY91" s="6"/>
      <c r="AZ91" s="35"/>
      <c r="BA91" s="35">
        <v>219</v>
      </c>
      <c r="BB91" s="35">
        <v>1780</v>
      </c>
      <c r="BC91" s="35">
        <f t="shared" si="32"/>
        <v>356</v>
      </c>
      <c r="BD91" s="6">
        <v>569</v>
      </c>
      <c r="BE91" s="6"/>
      <c r="BF91" s="35">
        <f t="shared" si="33"/>
        <v>350</v>
      </c>
      <c r="BG91" s="6">
        <v>933</v>
      </c>
      <c r="BH91" s="6"/>
      <c r="BI91" s="6">
        <f t="shared" si="34"/>
        <v>364</v>
      </c>
      <c r="BJ91" s="6">
        <v>1294</v>
      </c>
      <c r="BK91" s="6"/>
      <c r="BL91" s="6">
        <f t="shared" si="35"/>
        <v>361</v>
      </c>
      <c r="BM91" s="6">
        <v>84</v>
      </c>
      <c r="BN91" s="6">
        <v>1560</v>
      </c>
      <c r="BO91" s="6">
        <f t="shared" si="36"/>
        <v>350</v>
      </c>
      <c r="BP91" s="6">
        <v>423</v>
      </c>
      <c r="BQ91" s="6"/>
      <c r="BR91" s="35">
        <f t="shared" si="37"/>
        <v>339</v>
      </c>
      <c r="BS91" s="6"/>
      <c r="BT91" s="6"/>
      <c r="BU91" s="6"/>
      <c r="BV91" s="6">
        <v>793</v>
      </c>
      <c r="BW91" s="6"/>
      <c r="BX91" s="35">
        <f t="shared" si="38"/>
        <v>370</v>
      </c>
      <c r="BY91" s="6">
        <v>1151</v>
      </c>
      <c r="BZ91" s="6"/>
      <c r="CA91" s="6">
        <f t="shared" si="39"/>
        <v>358</v>
      </c>
      <c r="CB91" s="6">
        <v>1514</v>
      </c>
      <c r="CC91" s="6"/>
      <c r="CD91" s="6">
        <f t="shared" si="40"/>
        <v>363</v>
      </c>
      <c r="CE91" s="6">
        <v>341</v>
      </c>
      <c r="CF91" s="6">
        <v>1560</v>
      </c>
      <c r="CG91" s="6">
        <f t="shared" si="41"/>
        <v>387</v>
      </c>
      <c r="CH91" s="6">
        <v>721</v>
      </c>
      <c r="CI91" s="6"/>
      <c r="CJ91" s="6">
        <f t="shared" si="42"/>
        <v>380</v>
      </c>
      <c r="CK91" s="6">
        <v>1091</v>
      </c>
      <c r="CL91" s="6"/>
      <c r="CM91" s="6">
        <f t="shared" si="43"/>
        <v>370</v>
      </c>
      <c r="CN91" s="6"/>
      <c r="CO91" s="6"/>
      <c r="CP91" s="6"/>
      <c r="CQ91" s="6">
        <v>0</v>
      </c>
      <c r="CR91" s="6">
        <v>1433</v>
      </c>
      <c r="CS91" s="6">
        <f t="shared" si="44"/>
        <v>342</v>
      </c>
      <c r="CT91" s="6">
        <v>355</v>
      </c>
      <c r="CU91" s="6"/>
      <c r="CV91" s="6">
        <f t="shared" si="45"/>
        <v>355</v>
      </c>
      <c r="CW91" s="6">
        <v>733</v>
      </c>
      <c r="CX91" s="6"/>
      <c r="CY91" s="6">
        <f t="shared" si="46"/>
        <v>378</v>
      </c>
      <c r="CZ91" s="6">
        <v>1113</v>
      </c>
      <c r="DA91" s="6"/>
      <c r="DB91" s="6">
        <f t="shared" si="47"/>
        <v>380</v>
      </c>
      <c r="DC91" s="6">
        <v>1498</v>
      </c>
      <c r="DD91" s="6"/>
      <c r="DE91" s="6">
        <f t="shared" si="48"/>
        <v>385</v>
      </c>
      <c r="DF91" s="6">
        <v>303</v>
      </c>
      <c r="DG91" s="6">
        <v>1560</v>
      </c>
      <c r="DH91" s="6">
        <f t="shared" si="49"/>
        <v>365</v>
      </c>
      <c r="DI91" s="6"/>
      <c r="DJ91" s="6"/>
      <c r="DK91" s="6"/>
      <c r="DL91" s="6">
        <v>685</v>
      </c>
      <c r="DM91" s="6"/>
      <c r="DN91" s="6">
        <f t="shared" si="50"/>
        <v>382</v>
      </c>
      <c r="DO91" s="6">
        <v>1038</v>
      </c>
      <c r="DP91" s="6"/>
      <c r="DQ91" s="6">
        <f t="shared" si="51"/>
        <v>353</v>
      </c>
    </row>
    <row r="92" spans="1:121">
      <c r="A92" s="6">
        <v>88</v>
      </c>
      <c r="B92" s="6">
        <v>325</v>
      </c>
      <c r="C92" s="6">
        <v>1470</v>
      </c>
      <c r="D92" s="6">
        <v>329</v>
      </c>
      <c r="E92" s="33" t="s">
        <v>37</v>
      </c>
      <c r="F92" s="33" t="s">
        <v>37</v>
      </c>
      <c r="G92" s="33" t="s">
        <v>37</v>
      </c>
      <c r="H92" s="33" t="s">
        <v>37</v>
      </c>
      <c r="I92" s="33" t="s">
        <v>37</v>
      </c>
      <c r="J92" s="33" t="s">
        <v>37</v>
      </c>
      <c r="K92" s="33" t="s">
        <v>37</v>
      </c>
      <c r="L92" s="33" t="s">
        <v>37</v>
      </c>
      <c r="M92" s="33" t="s">
        <v>37</v>
      </c>
      <c r="N92" s="33" t="s">
        <v>37</v>
      </c>
      <c r="O92" s="33" t="s">
        <v>37</v>
      </c>
      <c r="P92" s="33" t="s">
        <v>37</v>
      </c>
      <c r="Q92" s="33" t="s">
        <v>37</v>
      </c>
      <c r="R92" s="33" t="s">
        <v>37</v>
      </c>
      <c r="S92" s="33" t="s">
        <v>37</v>
      </c>
      <c r="T92" s="33" t="s">
        <v>37</v>
      </c>
      <c r="U92" s="33" t="s">
        <v>37</v>
      </c>
      <c r="V92" s="33" t="s">
        <v>37</v>
      </c>
      <c r="W92" s="148" t="s">
        <v>37</v>
      </c>
      <c r="X92" s="33" t="s">
        <v>37</v>
      </c>
      <c r="Y92" s="33" t="s">
        <v>37</v>
      </c>
      <c r="Z92" s="33" t="s">
        <v>37</v>
      </c>
      <c r="AA92" s="33" t="s">
        <v>37</v>
      </c>
      <c r="AB92" s="33" t="s">
        <v>37</v>
      </c>
      <c r="AC92" s="33" t="s">
        <v>37</v>
      </c>
      <c r="AD92" s="33" t="s">
        <v>37</v>
      </c>
      <c r="AE92" s="33" t="s">
        <v>37</v>
      </c>
      <c r="AF92" s="6">
        <v>318</v>
      </c>
      <c r="AG92" s="6">
        <v>384</v>
      </c>
      <c r="AH92" s="35">
        <f t="shared" si="26"/>
        <v>377</v>
      </c>
      <c r="AI92" s="35">
        <v>675</v>
      </c>
      <c r="AJ92" s="35"/>
      <c r="AK92" s="35">
        <f t="shared" si="27"/>
        <v>357</v>
      </c>
      <c r="AL92" s="6">
        <v>1036</v>
      </c>
      <c r="AM92" s="6"/>
      <c r="AN92" s="35">
        <f t="shared" si="28"/>
        <v>361</v>
      </c>
      <c r="AO92" s="6">
        <v>1398</v>
      </c>
      <c r="AP92" s="6"/>
      <c r="AQ92" s="34">
        <f t="shared" si="29"/>
        <v>362</v>
      </c>
      <c r="AR92" s="35">
        <v>193</v>
      </c>
      <c r="AS92" s="35">
        <v>1561</v>
      </c>
      <c r="AT92" s="35">
        <f t="shared" si="30"/>
        <v>356</v>
      </c>
      <c r="AU92" s="6">
        <v>526</v>
      </c>
      <c r="AV92" s="6"/>
      <c r="AW92" s="35">
        <f t="shared" si="31"/>
        <v>333</v>
      </c>
      <c r="AX92" s="6"/>
      <c r="AY92" s="6"/>
      <c r="AZ92" s="35"/>
      <c r="BA92" s="35">
        <v>886</v>
      </c>
      <c r="BB92" s="35"/>
      <c r="BC92" s="35">
        <f t="shared" si="32"/>
        <v>360</v>
      </c>
      <c r="BD92" s="6">
        <v>1244</v>
      </c>
      <c r="BE92" s="6"/>
      <c r="BF92" s="35">
        <f t="shared" si="33"/>
        <v>358</v>
      </c>
      <c r="BG92" s="6">
        <v>339</v>
      </c>
      <c r="BH92" s="6">
        <v>1252</v>
      </c>
      <c r="BI92" s="6">
        <f t="shared" si="34"/>
        <v>347</v>
      </c>
      <c r="BJ92" s="6">
        <v>688</v>
      </c>
      <c r="BK92" s="6"/>
      <c r="BL92" s="6">
        <f t="shared" si="35"/>
        <v>349</v>
      </c>
      <c r="BM92" s="6">
        <v>1042</v>
      </c>
      <c r="BN92" s="6"/>
      <c r="BO92" s="6">
        <f t="shared" si="36"/>
        <v>354</v>
      </c>
      <c r="BP92" s="6">
        <v>1385</v>
      </c>
      <c r="BQ92" s="6"/>
      <c r="BR92" s="35">
        <f t="shared" si="37"/>
        <v>343</v>
      </c>
      <c r="BS92" s="6"/>
      <c r="BT92" s="6"/>
      <c r="BU92" s="6"/>
      <c r="BV92" s="6">
        <v>192</v>
      </c>
      <c r="BW92" s="6">
        <v>1560</v>
      </c>
      <c r="BX92" s="35">
        <f t="shared" si="38"/>
        <v>367</v>
      </c>
      <c r="BY92" s="6">
        <v>548</v>
      </c>
      <c r="BZ92" s="6"/>
      <c r="CA92" s="6">
        <f t="shared" si="39"/>
        <v>356</v>
      </c>
      <c r="CB92" s="6">
        <v>908</v>
      </c>
      <c r="CC92" s="6"/>
      <c r="CD92" s="6">
        <f t="shared" si="40"/>
        <v>360</v>
      </c>
      <c r="CE92" s="6">
        <v>1265</v>
      </c>
      <c r="CF92" s="6"/>
      <c r="CG92" s="6">
        <f t="shared" si="41"/>
        <v>357</v>
      </c>
      <c r="CH92" s="6">
        <v>0</v>
      </c>
      <c r="CI92" s="6">
        <v>1642</v>
      </c>
      <c r="CJ92" s="6">
        <f t="shared" si="42"/>
        <v>377</v>
      </c>
      <c r="CK92" s="6">
        <v>344</v>
      </c>
      <c r="CL92" s="6"/>
      <c r="CM92" s="6">
        <f t="shared" si="43"/>
        <v>344</v>
      </c>
      <c r="CN92" s="6"/>
      <c r="CO92" s="6"/>
      <c r="CP92" s="6"/>
      <c r="CQ92" s="6">
        <v>719</v>
      </c>
      <c r="CR92" s="6"/>
      <c r="CS92" s="6">
        <f t="shared" si="44"/>
        <v>375</v>
      </c>
      <c r="CT92" s="6">
        <v>1100</v>
      </c>
      <c r="CU92" s="6"/>
      <c r="CV92" s="6">
        <f t="shared" si="45"/>
        <v>381</v>
      </c>
      <c r="CW92" s="6">
        <v>1488</v>
      </c>
      <c r="CX92" s="6"/>
      <c r="CY92" s="6">
        <f t="shared" si="46"/>
        <v>388</v>
      </c>
      <c r="CZ92" s="6">
        <v>313</v>
      </c>
      <c r="DA92" s="6">
        <v>1560</v>
      </c>
      <c r="DB92" s="6">
        <f t="shared" si="47"/>
        <v>385</v>
      </c>
      <c r="DC92" s="6">
        <v>701</v>
      </c>
      <c r="DD92" s="6"/>
      <c r="DE92" s="6">
        <f t="shared" si="48"/>
        <v>388</v>
      </c>
      <c r="DF92" s="6">
        <v>1070</v>
      </c>
      <c r="DG92" s="6"/>
      <c r="DH92" s="6">
        <f t="shared" si="49"/>
        <v>369</v>
      </c>
      <c r="DI92" s="6"/>
      <c r="DJ92" s="6"/>
      <c r="DK92" s="6"/>
      <c r="DL92" s="6">
        <v>1458</v>
      </c>
      <c r="DM92" s="6"/>
      <c r="DN92" s="6">
        <f t="shared" si="50"/>
        <v>388</v>
      </c>
      <c r="DO92" s="6">
        <v>257</v>
      </c>
      <c r="DP92" s="6">
        <v>1560</v>
      </c>
      <c r="DQ92" s="6">
        <f t="shared" si="51"/>
        <v>359</v>
      </c>
    </row>
    <row r="93" spans="1:121">
      <c r="A93" s="6">
        <v>89</v>
      </c>
      <c r="B93" s="6">
        <v>0</v>
      </c>
      <c r="C93" s="6">
        <v>1218</v>
      </c>
      <c r="D93" s="6">
        <v>325</v>
      </c>
      <c r="E93" s="33" t="s">
        <v>37</v>
      </c>
      <c r="F93" s="148" t="s">
        <v>128</v>
      </c>
      <c r="G93" s="33" t="s">
        <v>128</v>
      </c>
      <c r="H93" s="33" t="s">
        <v>128</v>
      </c>
      <c r="I93" s="33" t="s">
        <v>128</v>
      </c>
      <c r="J93" s="33" t="s">
        <v>128</v>
      </c>
      <c r="K93" s="33" t="s">
        <v>128</v>
      </c>
      <c r="L93" s="33" t="s">
        <v>128</v>
      </c>
      <c r="M93" s="33" t="s">
        <v>128</v>
      </c>
      <c r="N93" s="33" t="s">
        <v>128</v>
      </c>
      <c r="O93" s="33" t="s">
        <v>128</v>
      </c>
      <c r="P93" s="33" t="s">
        <v>128</v>
      </c>
      <c r="Q93" s="33" t="s">
        <v>128</v>
      </c>
      <c r="R93" s="33" t="s">
        <v>128</v>
      </c>
      <c r="S93" s="33" t="s">
        <v>128</v>
      </c>
      <c r="T93" s="33" t="s">
        <v>128</v>
      </c>
      <c r="U93" s="33" t="s">
        <v>128</v>
      </c>
      <c r="V93" s="33" t="s">
        <v>128</v>
      </c>
      <c r="W93" s="33" t="s">
        <v>128</v>
      </c>
      <c r="X93" s="33" t="s">
        <v>128</v>
      </c>
      <c r="Y93" s="33" t="s">
        <v>128</v>
      </c>
      <c r="Z93" s="33" t="s">
        <v>128</v>
      </c>
      <c r="AA93" s="33" t="s">
        <v>128</v>
      </c>
      <c r="AB93" s="148" t="s">
        <v>128</v>
      </c>
      <c r="AC93" s="33" t="s">
        <v>128</v>
      </c>
      <c r="AD93" s="33" t="s">
        <v>128</v>
      </c>
      <c r="AE93" s="33" t="s">
        <v>128</v>
      </c>
      <c r="AF93" s="6">
        <v>349</v>
      </c>
      <c r="AG93" s="6"/>
      <c r="AH93" s="35">
        <f t="shared" si="26"/>
        <v>349</v>
      </c>
      <c r="AI93" s="35">
        <v>711</v>
      </c>
      <c r="AJ93" s="35"/>
      <c r="AK93" s="35">
        <f t="shared" si="27"/>
        <v>362</v>
      </c>
      <c r="AL93" s="6">
        <v>1076</v>
      </c>
      <c r="AM93" s="6"/>
      <c r="AN93" s="35">
        <f t="shared" si="28"/>
        <v>365</v>
      </c>
      <c r="AO93" s="6">
        <v>1444</v>
      </c>
      <c r="AP93" s="6"/>
      <c r="AQ93" s="34">
        <f t="shared" si="29"/>
        <v>368</v>
      </c>
      <c r="AR93" s="35">
        <v>251</v>
      </c>
      <c r="AS93" s="35">
        <v>1560</v>
      </c>
      <c r="AT93" s="35">
        <f t="shared" si="30"/>
        <v>367</v>
      </c>
      <c r="AU93" s="6">
        <v>599</v>
      </c>
      <c r="AV93" s="6"/>
      <c r="AW93" s="35">
        <f t="shared" si="31"/>
        <v>348</v>
      </c>
      <c r="AX93" s="6"/>
      <c r="AY93" s="6"/>
      <c r="AZ93" s="35"/>
      <c r="BA93" s="35">
        <v>973</v>
      </c>
      <c r="BB93" s="35"/>
      <c r="BC93" s="35">
        <f t="shared" si="32"/>
        <v>374</v>
      </c>
      <c r="BD93" s="6">
        <v>1333</v>
      </c>
      <c r="BE93" s="6"/>
      <c r="BF93" s="35">
        <f t="shared" si="33"/>
        <v>360</v>
      </c>
      <c r="BG93" s="6">
        <v>138</v>
      </c>
      <c r="BH93" s="6">
        <v>1560</v>
      </c>
      <c r="BI93" s="6">
        <f t="shared" si="34"/>
        <v>365</v>
      </c>
      <c r="BJ93" s="6">
        <v>503</v>
      </c>
      <c r="BK93" s="6"/>
      <c r="BL93" s="6">
        <f t="shared" si="35"/>
        <v>365</v>
      </c>
      <c r="BM93" s="6">
        <v>858</v>
      </c>
      <c r="BN93" s="6"/>
      <c r="BO93" s="6">
        <f t="shared" si="36"/>
        <v>355</v>
      </c>
      <c r="BP93" s="6">
        <v>1186</v>
      </c>
      <c r="BQ93" s="6"/>
      <c r="BR93" s="35">
        <f t="shared" si="37"/>
        <v>328</v>
      </c>
      <c r="BS93" s="6"/>
      <c r="BT93" s="6"/>
      <c r="BU93" s="6"/>
      <c r="BV93" s="6">
        <v>1</v>
      </c>
      <c r="BW93" s="6">
        <v>1560</v>
      </c>
      <c r="BX93" s="35">
        <f t="shared" si="38"/>
        <v>375</v>
      </c>
      <c r="BY93" s="6">
        <v>361</v>
      </c>
      <c r="BZ93" s="6"/>
      <c r="CA93" s="6">
        <f t="shared" si="39"/>
        <v>360</v>
      </c>
      <c r="CB93" s="6">
        <v>749</v>
      </c>
      <c r="CC93" s="6"/>
      <c r="CD93" s="6">
        <f t="shared" si="40"/>
        <v>388</v>
      </c>
      <c r="CE93" s="6">
        <v>1141</v>
      </c>
      <c r="CF93" s="6"/>
      <c r="CG93" s="6">
        <f t="shared" si="41"/>
        <v>392</v>
      </c>
      <c r="CH93" s="6">
        <v>1506</v>
      </c>
      <c r="CI93" s="6"/>
      <c r="CJ93" s="6">
        <f t="shared" si="42"/>
        <v>365</v>
      </c>
      <c r="CK93" s="6">
        <v>307</v>
      </c>
      <c r="CL93" s="6">
        <v>1570</v>
      </c>
      <c r="CM93" s="6">
        <f t="shared" si="43"/>
        <v>371</v>
      </c>
      <c r="CN93" s="6"/>
      <c r="CO93" s="6"/>
      <c r="CP93" s="6"/>
      <c r="CQ93" s="6">
        <v>687</v>
      </c>
      <c r="CR93" s="6"/>
      <c r="CS93" s="6">
        <f t="shared" si="44"/>
        <v>380</v>
      </c>
      <c r="CT93" s="6">
        <v>258</v>
      </c>
      <c r="CU93" s="6">
        <v>799</v>
      </c>
      <c r="CV93" s="6">
        <f t="shared" si="45"/>
        <v>370</v>
      </c>
      <c r="CW93" s="6">
        <v>611</v>
      </c>
      <c r="CX93" s="6"/>
      <c r="CY93" s="6">
        <f t="shared" si="46"/>
        <v>353</v>
      </c>
      <c r="CZ93" s="6">
        <v>738</v>
      </c>
      <c r="DA93" s="6"/>
      <c r="DB93" s="6">
        <f t="shared" si="47"/>
        <v>127</v>
      </c>
      <c r="DC93" s="6">
        <v>256</v>
      </c>
      <c r="DD93" s="6">
        <v>817</v>
      </c>
      <c r="DE93" s="6">
        <f t="shared" si="48"/>
        <v>335</v>
      </c>
      <c r="DF93" s="6">
        <v>620</v>
      </c>
      <c r="DG93" s="6"/>
      <c r="DH93" s="6">
        <f t="shared" si="49"/>
        <v>364</v>
      </c>
      <c r="DI93" s="6"/>
      <c r="DJ93" s="6"/>
      <c r="DK93" s="6"/>
      <c r="DL93" s="6">
        <v>1003</v>
      </c>
      <c r="DM93" s="6"/>
      <c r="DN93" s="6">
        <f t="shared" si="50"/>
        <v>383</v>
      </c>
      <c r="DO93" s="6">
        <v>1156</v>
      </c>
      <c r="DP93" s="6"/>
      <c r="DQ93" s="6">
        <f t="shared" si="51"/>
        <v>153</v>
      </c>
    </row>
    <row r="94" spans="1:121">
      <c r="A94" s="6">
        <v>90</v>
      </c>
      <c r="B94" s="6">
        <v>1023</v>
      </c>
      <c r="C94" s="6"/>
      <c r="D94" s="6">
        <v>337</v>
      </c>
      <c r="E94" s="33" t="s">
        <v>37</v>
      </c>
      <c r="F94" s="33" t="s">
        <v>37</v>
      </c>
      <c r="G94" s="33" t="s">
        <v>37</v>
      </c>
      <c r="H94" s="33" t="s">
        <v>37</v>
      </c>
      <c r="I94" s="33" t="s">
        <v>37</v>
      </c>
      <c r="J94" s="33" t="s">
        <v>37</v>
      </c>
      <c r="K94" s="33" t="s">
        <v>37</v>
      </c>
      <c r="L94" s="33" t="s">
        <v>37</v>
      </c>
      <c r="M94" s="33" t="s">
        <v>37</v>
      </c>
      <c r="N94" s="33" t="s">
        <v>37</v>
      </c>
      <c r="O94" s="33" t="s">
        <v>37</v>
      </c>
      <c r="P94" s="33" t="s">
        <v>37</v>
      </c>
      <c r="Q94" s="33" t="s">
        <v>37</v>
      </c>
      <c r="R94" s="33" t="s">
        <v>37</v>
      </c>
      <c r="S94" s="33" t="s">
        <v>37</v>
      </c>
      <c r="T94" s="33" t="s">
        <v>37</v>
      </c>
      <c r="U94" s="33" t="s">
        <v>37</v>
      </c>
      <c r="V94" s="33" t="s">
        <v>37</v>
      </c>
      <c r="W94" s="33" t="s">
        <v>37</v>
      </c>
      <c r="X94" s="33" t="s">
        <v>37</v>
      </c>
      <c r="Y94" s="148" t="s">
        <v>37</v>
      </c>
      <c r="Z94" s="33" t="s">
        <v>37</v>
      </c>
      <c r="AA94" s="33" t="s">
        <v>37</v>
      </c>
      <c r="AB94" s="33" t="s">
        <v>37</v>
      </c>
      <c r="AC94" s="33" t="s">
        <v>37</v>
      </c>
      <c r="AD94" s="33" t="s">
        <v>37</v>
      </c>
      <c r="AE94" s="33" t="s">
        <v>37</v>
      </c>
      <c r="AF94" s="6">
        <v>1414</v>
      </c>
      <c r="AG94" s="6"/>
      <c r="AH94" s="35">
        <f t="shared" si="26"/>
        <v>391</v>
      </c>
      <c r="AI94" s="35">
        <v>210</v>
      </c>
      <c r="AJ94" s="35">
        <v>1560</v>
      </c>
      <c r="AK94" s="35">
        <f t="shared" si="27"/>
        <v>356</v>
      </c>
      <c r="AL94" s="6">
        <v>576</v>
      </c>
      <c r="AM94" s="6"/>
      <c r="AN94" s="35">
        <f t="shared" si="28"/>
        <v>366</v>
      </c>
      <c r="AO94" s="6">
        <v>941</v>
      </c>
      <c r="AP94" s="6"/>
      <c r="AQ94" s="34">
        <f t="shared" si="29"/>
        <v>365</v>
      </c>
      <c r="AR94" s="35">
        <v>1308</v>
      </c>
      <c r="AS94" s="35"/>
      <c r="AT94" s="35">
        <f t="shared" si="30"/>
        <v>367</v>
      </c>
      <c r="AU94" s="6">
        <v>81</v>
      </c>
      <c r="AV94" s="6">
        <v>1565</v>
      </c>
      <c r="AW94" s="35">
        <f t="shared" si="31"/>
        <v>338</v>
      </c>
      <c r="AX94" s="6"/>
      <c r="AY94" s="6"/>
      <c r="AZ94" s="35"/>
      <c r="BA94" s="35">
        <v>444</v>
      </c>
      <c r="BB94" s="35"/>
      <c r="BC94" s="35">
        <f t="shared" si="32"/>
        <v>363</v>
      </c>
      <c r="BD94" s="6">
        <v>794</v>
      </c>
      <c r="BE94" s="6"/>
      <c r="BF94" s="35">
        <f t="shared" si="33"/>
        <v>350</v>
      </c>
      <c r="BG94" s="6">
        <v>1155</v>
      </c>
      <c r="BH94" s="6"/>
      <c r="BI94" s="6">
        <f t="shared" si="34"/>
        <v>361</v>
      </c>
      <c r="BJ94" s="6">
        <v>1511</v>
      </c>
      <c r="BK94" s="6"/>
      <c r="BL94" s="6">
        <f t="shared" si="35"/>
        <v>356</v>
      </c>
      <c r="BM94" s="6">
        <v>314</v>
      </c>
      <c r="BN94" s="6">
        <v>1560</v>
      </c>
      <c r="BO94" s="6">
        <f t="shared" si="36"/>
        <v>363</v>
      </c>
      <c r="BP94" s="6">
        <v>661</v>
      </c>
      <c r="BQ94" s="6"/>
      <c r="BR94" s="35">
        <f t="shared" si="37"/>
        <v>347</v>
      </c>
      <c r="BS94" s="6"/>
      <c r="BT94" s="6"/>
      <c r="BU94" s="6"/>
      <c r="BV94" s="6">
        <v>1029</v>
      </c>
      <c r="BW94" s="6"/>
      <c r="BX94" s="35">
        <f t="shared" si="38"/>
        <v>368</v>
      </c>
      <c r="BY94" s="6">
        <v>1391</v>
      </c>
      <c r="BZ94" s="6"/>
      <c r="CA94" s="6">
        <f t="shared" si="39"/>
        <v>362</v>
      </c>
      <c r="CB94" s="6">
        <v>183</v>
      </c>
      <c r="CC94" s="6">
        <v>1560</v>
      </c>
      <c r="CD94" s="6">
        <f t="shared" si="40"/>
        <v>352</v>
      </c>
      <c r="CE94" s="6">
        <v>548</v>
      </c>
      <c r="CF94" s="6"/>
      <c r="CG94" s="6">
        <f t="shared" si="41"/>
        <v>365</v>
      </c>
      <c r="CH94" s="6">
        <v>935</v>
      </c>
      <c r="CI94" s="6"/>
      <c r="CJ94" s="6">
        <f t="shared" si="42"/>
        <v>387</v>
      </c>
      <c r="CK94" s="6">
        <v>1297</v>
      </c>
      <c r="CL94" s="6"/>
      <c r="CM94" s="6">
        <f t="shared" si="43"/>
        <v>362</v>
      </c>
      <c r="CN94" s="6"/>
      <c r="CO94" s="6"/>
      <c r="CP94" s="6"/>
      <c r="CQ94" s="6">
        <v>0</v>
      </c>
      <c r="CR94" s="6">
        <v>1606</v>
      </c>
      <c r="CS94" s="6">
        <f t="shared" si="44"/>
        <v>309</v>
      </c>
      <c r="CT94" s="6">
        <v>345</v>
      </c>
      <c r="CU94" s="6"/>
      <c r="CV94" s="6">
        <f t="shared" si="45"/>
        <v>345</v>
      </c>
      <c r="CW94" s="6">
        <v>731</v>
      </c>
      <c r="CX94" s="6"/>
      <c r="CY94" s="6">
        <f t="shared" si="46"/>
        <v>386</v>
      </c>
      <c r="CZ94" s="6">
        <v>1114</v>
      </c>
      <c r="DA94" s="6"/>
      <c r="DB94" s="6">
        <f t="shared" si="47"/>
        <v>383</v>
      </c>
      <c r="DC94" s="6">
        <v>1497</v>
      </c>
      <c r="DD94" s="6"/>
      <c r="DE94" s="6">
        <f t="shared" si="48"/>
        <v>383</v>
      </c>
      <c r="DF94" s="6">
        <v>297</v>
      </c>
      <c r="DG94" s="6">
        <v>1560</v>
      </c>
      <c r="DH94" s="6">
        <f t="shared" si="49"/>
        <v>360</v>
      </c>
      <c r="DI94" s="6"/>
      <c r="DJ94" s="6"/>
      <c r="DK94" s="6"/>
      <c r="DL94" s="6">
        <v>685</v>
      </c>
      <c r="DM94" s="6"/>
      <c r="DN94" s="6">
        <f t="shared" si="50"/>
        <v>388</v>
      </c>
      <c r="DO94" s="6">
        <v>1041</v>
      </c>
      <c r="DP94" s="6"/>
      <c r="DQ94" s="6">
        <f t="shared" si="51"/>
        <v>356</v>
      </c>
    </row>
    <row r="95" spans="1:121">
      <c r="A95" s="6">
        <v>91</v>
      </c>
      <c r="B95" s="6">
        <v>1450</v>
      </c>
      <c r="C95" s="6"/>
      <c r="D95" s="6">
        <v>327</v>
      </c>
      <c r="E95" s="33" t="s">
        <v>37</v>
      </c>
      <c r="F95" s="148" t="s">
        <v>37</v>
      </c>
      <c r="G95" s="33" t="s">
        <v>37</v>
      </c>
      <c r="H95" s="33" t="s">
        <v>37</v>
      </c>
      <c r="I95" s="33" t="s">
        <v>37</v>
      </c>
      <c r="J95" s="33" t="s">
        <v>37</v>
      </c>
      <c r="K95" s="33" t="s">
        <v>37</v>
      </c>
      <c r="L95" s="33" t="s">
        <v>37</v>
      </c>
      <c r="M95" s="33" t="s">
        <v>37</v>
      </c>
      <c r="N95" s="33" t="s">
        <v>37</v>
      </c>
      <c r="O95" s="33" t="s">
        <v>37</v>
      </c>
      <c r="P95" s="33" t="s">
        <v>37</v>
      </c>
      <c r="Q95" s="33" t="s">
        <v>37</v>
      </c>
      <c r="R95" s="33" t="s">
        <v>37</v>
      </c>
      <c r="S95" s="33" t="s">
        <v>37</v>
      </c>
      <c r="T95" s="33" t="s">
        <v>37</v>
      </c>
      <c r="U95" s="33" t="s">
        <v>37</v>
      </c>
      <c r="V95" s="33" t="s">
        <v>37</v>
      </c>
      <c r="W95" s="33" t="s">
        <v>37</v>
      </c>
      <c r="X95" s="33" t="s">
        <v>37</v>
      </c>
      <c r="Y95" s="33" t="s">
        <v>37</v>
      </c>
      <c r="Z95" s="33" t="s">
        <v>37</v>
      </c>
      <c r="AA95" s="33" t="s">
        <v>37</v>
      </c>
      <c r="AB95" s="33" t="s">
        <v>37</v>
      </c>
      <c r="AC95" s="148" t="s">
        <v>37</v>
      </c>
      <c r="AD95" s="33" t="s">
        <v>37</v>
      </c>
      <c r="AE95" s="33" t="s">
        <v>37</v>
      </c>
      <c r="AF95" s="6">
        <v>346</v>
      </c>
      <c r="AG95" s="6">
        <v>1467</v>
      </c>
      <c r="AH95" s="35">
        <f t="shared" si="26"/>
        <v>363</v>
      </c>
      <c r="AI95" s="35">
        <v>706</v>
      </c>
      <c r="AJ95" s="35"/>
      <c r="AK95" s="35">
        <f t="shared" si="27"/>
        <v>360</v>
      </c>
      <c r="AL95" s="6">
        <v>1065</v>
      </c>
      <c r="AM95" s="6"/>
      <c r="AN95" s="35">
        <f t="shared" si="28"/>
        <v>359</v>
      </c>
      <c r="AO95" s="6">
        <v>1414</v>
      </c>
      <c r="AP95" s="6"/>
      <c r="AQ95" s="34">
        <f t="shared" si="29"/>
        <v>349</v>
      </c>
      <c r="AR95" s="35">
        <v>191</v>
      </c>
      <c r="AS95" s="35">
        <v>1570</v>
      </c>
      <c r="AT95" s="35">
        <f t="shared" si="30"/>
        <v>347</v>
      </c>
      <c r="AU95" s="6">
        <v>528</v>
      </c>
      <c r="AV95" s="6"/>
      <c r="AW95" s="35">
        <f t="shared" si="31"/>
        <v>337</v>
      </c>
      <c r="AX95" s="6"/>
      <c r="AY95" s="6"/>
      <c r="AZ95" s="35"/>
      <c r="BA95" s="35">
        <v>889</v>
      </c>
      <c r="BB95" s="35"/>
      <c r="BC95" s="35">
        <f t="shared" si="32"/>
        <v>361</v>
      </c>
      <c r="BD95" s="6">
        <v>1239</v>
      </c>
      <c r="BE95" s="6"/>
      <c r="BF95" s="35">
        <f t="shared" si="33"/>
        <v>350</v>
      </c>
      <c r="BG95" s="6">
        <v>32</v>
      </c>
      <c r="BH95" s="6">
        <v>1560</v>
      </c>
      <c r="BI95" s="6">
        <f t="shared" si="34"/>
        <v>353</v>
      </c>
      <c r="BJ95" s="6">
        <v>387</v>
      </c>
      <c r="BK95" s="6"/>
      <c r="BL95" s="6">
        <f t="shared" si="35"/>
        <v>355</v>
      </c>
      <c r="BM95" s="6">
        <v>732</v>
      </c>
      <c r="BN95" s="6"/>
      <c r="BO95" s="6">
        <f t="shared" si="36"/>
        <v>345</v>
      </c>
      <c r="BP95" s="6">
        <v>1058</v>
      </c>
      <c r="BQ95" s="6"/>
      <c r="BR95" s="35">
        <f t="shared" si="37"/>
        <v>326</v>
      </c>
      <c r="BS95" s="6"/>
      <c r="BT95" s="6"/>
      <c r="BU95" s="6"/>
      <c r="BV95" s="6">
        <v>1402</v>
      </c>
      <c r="BW95" s="6"/>
      <c r="BX95" s="35">
        <f t="shared" si="38"/>
        <v>344</v>
      </c>
      <c r="BY95" s="6">
        <v>195</v>
      </c>
      <c r="BZ95" s="6">
        <v>1560</v>
      </c>
      <c r="CA95" s="6">
        <f t="shared" si="39"/>
        <v>353</v>
      </c>
      <c r="CB95" s="6">
        <v>545</v>
      </c>
      <c r="CC95" s="6"/>
      <c r="CD95" s="6">
        <f t="shared" si="40"/>
        <v>350</v>
      </c>
      <c r="CE95" s="6">
        <v>910</v>
      </c>
      <c r="CF95" s="6"/>
      <c r="CG95" s="6">
        <f t="shared" si="41"/>
        <v>365</v>
      </c>
      <c r="CH95" s="6">
        <v>1270</v>
      </c>
      <c r="CI95" s="6"/>
      <c r="CJ95" s="6">
        <f t="shared" si="42"/>
        <v>360</v>
      </c>
      <c r="CK95" s="6">
        <v>61</v>
      </c>
      <c r="CL95" s="6">
        <v>1560</v>
      </c>
      <c r="CM95" s="6">
        <f t="shared" si="43"/>
        <v>351</v>
      </c>
      <c r="CN95" s="6"/>
      <c r="CO95" s="6"/>
      <c r="CP95" s="6"/>
      <c r="CQ95" s="6">
        <v>410</v>
      </c>
      <c r="CR95" s="6"/>
      <c r="CS95" s="6">
        <f t="shared" si="44"/>
        <v>349</v>
      </c>
      <c r="CT95" s="6">
        <v>771</v>
      </c>
      <c r="CU95" s="6"/>
      <c r="CV95" s="6">
        <f t="shared" si="45"/>
        <v>361</v>
      </c>
      <c r="CW95" s="6">
        <v>1144</v>
      </c>
      <c r="CX95" s="6"/>
      <c r="CY95" s="6">
        <f t="shared" si="46"/>
        <v>373</v>
      </c>
      <c r="CZ95" s="6">
        <v>1286</v>
      </c>
      <c r="DA95" s="6"/>
      <c r="DB95" s="6">
        <f t="shared" si="47"/>
        <v>142</v>
      </c>
      <c r="DC95" s="6">
        <v>0</v>
      </c>
      <c r="DD95" s="6">
        <v>1591</v>
      </c>
      <c r="DE95" s="6">
        <f t="shared" si="48"/>
        <v>305</v>
      </c>
      <c r="DF95" s="6">
        <v>340</v>
      </c>
      <c r="DG95" s="6"/>
      <c r="DH95" s="6">
        <f t="shared" si="49"/>
        <v>340</v>
      </c>
      <c r="DI95" s="6"/>
      <c r="DJ95" s="6"/>
      <c r="DK95" s="6"/>
      <c r="DL95" s="6">
        <v>729</v>
      </c>
      <c r="DM95" s="6"/>
      <c r="DN95" s="6">
        <f t="shared" si="50"/>
        <v>389</v>
      </c>
      <c r="DO95" s="6">
        <v>1088</v>
      </c>
      <c r="DP95" s="6"/>
      <c r="DQ95" s="6">
        <f t="shared" si="51"/>
        <v>359</v>
      </c>
    </row>
    <row r="96" spans="1:121" ht="15.75" customHeight="1">
      <c r="A96" s="6">
        <v>92</v>
      </c>
      <c r="B96" s="6">
        <v>499</v>
      </c>
      <c r="C96" s="6"/>
      <c r="D96" s="6">
        <v>321</v>
      </c>
      <c r="E96" s="199" t="s">
        <v>37</v>
      </c>
      <c r="F96" s="199" t="s">
        <v>37</v>
      </c>
      <c r="G96" s="199" t="s">
        <v>37</v>
      </c>
      <c r="H96" s="199" t="s">
        <v>37</v>
      </c>
      <c r="I96" s="198" t="s">
        <v>37</v>
      </c>
      <c r="J96" s="199" t="s">
        <v>37</v>
      </c>
      <c r="K96" s="199" t="s">
        <v>37</v>
      </c>
      <c r="L96" s="199" t="s">
        <v>37</v>
      </c>
      <c r="M96" s="199" t="s">
        <v>37</v>
      </c>
      <c r="N96" s="199" t="s">
        <v>37</v>
      </c>
      <c r="O96" s="199" t="s">
        <v>37</v>
      </c>
      <c r="P96" s="199" t="s">
        <v>37</v>
      </c>
      <c r="Q96" s="199" t="s">
        <v>37</v>
      </c>
      <c r="R96" s="199" t="s">
        <v>37</v>
      </c>
      <c r="S96" s="199" t="s">
        <v>37</v>
      </c>
      <c r="T96" s="199" t="s">
        <v>37</v>
      </c>
      <c r="U96" s="199" t="s">
        <v>37</v>
      </c>
      <c r="V96" s="199" t="s">
        <v>37</v>
      </c>
      <c r="W96" s="199" t="s">
        <v>37</v>
      </c>
      <c r="X96" s="199" t="s">
        <v>37</v>
      </c>
      <c r="Y96" s="199" t="s">
        <v>37</v>
      </c>
      <c r="Z96" s="199" t="s">
        <v>37</v>
      </c>
      <c r="AA96" s="199" t="s">
        <v>37</v>
      </c>
      <c r="AB96" s="199" t="s">
        <v>37</v>
      </c>
      <c r="AC96" s="199" t="s">
        <v>37</v>
      </c>
      <c r="AD96" s="199" t="s">
        <v>37</v>
      </c>
      <c r="AE96" s="198" t="s">
        <v>37</v>
      </c>
      <c r="AF96" s="6">
        <v>884</v>
      </c>
      <c r="AG96" s="6"/>
      <c r="AH96" s="35">
        <f t="shared" si="26"/>
        <v>385</v>
      </c>
      <c r="AI96" s="35">
        <v>1233</v>
      </c>
      <c r="AJ96" s="35"/>
      <c r="AK96" s="35">
        <f t="shared" si="27"/>
        <v>349</v>
      </c>
      <c r="AL96" s="6">
        <v>1587</v>
      </c>
      <c r="AM96" s="6"/>
      <c r="AN96" s="35">
        <f t="shared" si="28"/>
        <v>354</v>
      </c>
      <c r="AO96" s="6">
        <v>270</v>
      </c>
      <c r="AP96" s="6">
        <v>1629</v>
      </c>
      <c r="AQ96" s="34">
        <f t="shared" si="29"/>
        <v>312</v>
      </c>
      <c r="AR96" s="35">
        <v>625</v>
      </c>
      <c r="AS96" s="35"/>
      <c r="AT96" s="35">
        <f t="shared" si="30"/>
        <v>355</v>
      </c>
      <c r="AU96" s="6">
        <v>965</v>
      </c>
      <c r="AV96" s="6"/>
      <c r="AW96" s="35">
        <f t="shared" si="31"/>
        <v>340</v>
      </c>
      <c r="AX96" s="6"/>
      <c r="AY96" s="6"/>
      <c r="AZ96" s="35"/>
      <c r="BA96" s="35">
        <v>1331</v>
      </c>
      <c r="BB96" s="35"/>
      <c r="BC96" s="35">
        <f t="shared" si="32"/>
        <v>366</v>
      </c>
      <c r="BD96" s="6">
        <v>124</v>
      </c>
      <c r="BE96" s="6">
        <v>1560</v>
      </c>
      <c r="BF96" s="35">
        <f t="shared" si="33"/>
        <v>353</v>
      </c>
      <c r="BG96" s="6">
        <v>487</v>
      </c>
      <c r="BH96" s="6"/>
      <c r="BI96" s="6">
        <f t="shared" si="34"/>
        <v>363</v>
      </c>
      <c r="BJ96" s="6">
        <v>850</v>
      </c>
      <c r="BK96" s="6"/>
      <c r="BL96" s="6">
        <f t="shared" si="35"/>
        <v>363</v>
      </c>
      <c r="BM96" s="6">
        <v>1208</v>
      </c>
      <c r="BN96" s="6"/>
      <c r="BO96" s="6">
        <f t="shared" si="36"/>
        <v>358</v>
      </c>
      <c r="BP96" s="6">
        <v>1542</v>
      </c>
      <c r="BQ96" s="6"/>
      <c r="BR96" s="35">
        <f t="shared" si="37"/>
        <v>334</v>
      </c>
      <c r="BS96" s="6"/>
      <c r="BT96" s="6"/>
      <c r="BU96" s="6"/>
      <c r="BV96" s="6">
        <v>347</v>
      </c>
      <c r="BW96" s="6">
        <v>1560</v>
      </c>
      <c r="BX96" s="35">
        <f t="shared" si="38"/>
        <v>365</v>
      </c>
      <c r="BY96" s="6">
        <v>701</v>
      </c>
      <c r="BZ96" s="6"/>
      <c r="CA96" s="6">
        <f t="shared" si="39"/>
        <v>354</v>
      </c>
      <c r="CB96" s="6">
        <v>1072</v>
      </c>
      <c r="CC96" s="6"/>
      <c r="CD96" s="6">
        <f t="shared" si="40"/>
        <v>371</v>
      </c>
      <c r="CE96" s="6">
        <v>1445</v>
      </c>
      <c r="CF96" s="6"/>
      <c r="CG96" s="6">
        <f t="shared" si="41"/>
        <v>373</v>
      </c>
      <c r="CH96" s="6">
        <v>303</v>
      </c>
      <c r="CI96" s="6">
        <v>1473</v>
      </c>
      <c r="CJ96" s="6">
        <f t="shared" si="42"/>
        <v>331</v>
      </c>
      <c r="CK96" s="6">
        <v>666</v>
      </c>
      <c r="CL96" s="6"/>
      <c r="CM96" s="6">
        <f t="shared" si="43"/>
        <v>363</v>
      </c>
      <c r="CN96" s="6"/>
      <c r="CO96" s="6"/>
      <c r="CP96" s="6"/>
      <c r="CQ96" s="6">
        <v>1054</v>
      </c>
      <c r="CR96" s="6"/>
      <c r="CS96" s="6">
        <f t="shared" si="44"/>
        <v>388</v>
      </c>
      <c r="CT96" s="6">
        <v>1436</v>
      </c>
      <c r="CU96" s="6"/>
      <c r="CV96" s="6">
        <f t="shared" si="45"/>
        <v>382</v>
      </c>
      <c r="CW96" s="6">
        <v>256</v>
      </c>
      <c r="CX96" s="6">
        <v>1560</v>
      </c>
      <c r="CY96" s="6">
        <f t="shared" si="46"/>
        <v>380</v>
      </c>
      <c r="CZ96" s="6">
        <v>611</v>
      </c>
      <c r="DA96" s="6"/>
      <c r="DB96" s="6">
        <f t="shared" si="47"/>
        <v>355</v>
      </c>
      <c r="DC96" s="6">
        <v>986</v>
      </c>
      <c r="DD96" s="6"/>
      <c r="DE96" s="6">
        <f t="shared" si="48"/>
        <v>375</v>
      </c>
      <c r="DF96" s="6">
        <v>1227</v>
      </c>
      <c r="DG96" s="6"/>
      <c r="DH96" s="6">
        <f t="shared" si="49"/>
        <v>241</v>
      </c>
      <c r="DI96" s="6"/>
      <c r="DJ96" s="6"/>
      <c r="DK96" s="6"/>
      <c r="DL96" s="6">
        <v>1608</v>
      </c>
      <c r="DM96" s="6"/>
      <c r="DN96" s="6">
        <f t="shared" si="50"/>
        <v>381</v>
      </c>
      <c r="DO96" s="6">
        <v>234</v>
      </c>
      <c r="DP96" s="6">
        <v>1714</v>
      </c>
      <c r="DQ96" s="6">
        <f t="shared" si="51"/>
        <v>340</v>
      </c>
    </row>
    <row r="97" spans="1:121">
      <c r="A97" s="6">
        <v>93</v>
      </c>
      <c r="B97" s="6">
        <v>220</v>
      </c>
      <c r="C97" s="6">
        <v>186</v>
      </c>
      <c r="D97" s="6">
        <v>318</v>
      </c>
      <c r="E97" s="148" t="s">
        <v>37</v>
      </c>
      <c r="F97" s="33" t="s">
        <v>37</v>
      </c>
      <c r="G97" s="33" t="s">
        <v>37</v>
      </c>
      <c r="H97" s="33" t="s">
        <v>37</v>
      </c>
      <c r="I97" s="33" t="s">
        <v>37</v>
      </c>
      <c r="J97" s="33" t="s">
        <v>37</v>
      </c>
      <c r="K97" s="33" t="s">
        <v>37</v>
      </c>
      <c r="L97" s="33" t="s">
        <v>37</v>
      </c>
      <c r="M97" s="33" t="s">
        <v>37</v>
      </c>
      <c r="N97" s="33" t="s">
        <v>37</v>
      </c>
      <c r="O97" s="33" t="s">
        <v>37</v>
      </c>
      <c r="P97" s="33" t="s">
        <v>37</v>
      </c>
      <c r="Q97" s="33" t="s">
        <v>37</v>
      </c>
      <c r="R97" s="33" t="s">
        <v>37</v>
      </c>
      <c r="S97" s="33" t="s">
        <v>37</v>
      </c>
      <c r="T97" s="33" t="s">
        <v>37</v>
      </c>
      <c r="U97" s="33" t="s">
        <v>37</v>
      </c>
      <c r="V97" s="33" t="s">
        <v>37</v>
      </c>
      <c r="W97" s="33" t="s">
        <v>37</v>
      </c>
      <c r="X97" s="33" t="s">
        <v>37</v>
      </c>
      <c r="Y97" s="33" t="s">
        <v>37</v>
      </c>
      <c r="Z97" s="33" t="s">
        <v>37</v>
      </c>
      <c r="AA97" s="148" t="s">
        <v>37</v>
      </c>
      <c r="AB97" s="33" t="s">
        <v>37</v>
      </c>
      <c r="AC97" s="33" t="s">
        <v>37</v>
      </c>
      <c r="AD97" s="33" t="s">
        <v>37</v>
      </c>
      <c r="AE97" s="33" t="s">
        <v>37</v>
      </c>
      <c r="AF97" s="6">
        <v>595</v>
      </c>
      <c r="AG97" s="6"/>
      <c r="AH97" s="35">
        <f t="shared" si="26"/>
        <v>375</v>
      </c>
      <c r="AI97" s="35">
        <v>957</v>
      </c>
      <c r="AJ97" s="35"/>
      <c r="AK97" s="35">
        <f t="shared" si="27"/>
        <v>362</v>
      </c>
      <c r="AL97" s="6">
        <v>1312</v>
      </c>
      <c r="AM97" s="6"/>
      <c r="AN97" s="35">
        <f t="shared" si="28"/>
        <v>355</v>
      </c>
      <c r="AO97" s="6">
        <v>113</v>
      </c>
      <c r="AP97" s="6">
        <v>1560</v>
      </c>
      <c r="AQ97" s="34">
        <f t="shared" si="29"/>
        <v>361</v>
      </c>
      <c r="AR97" s="35">
        <v>477</v>
      </c>
      <c r="AS97" s="35"/>
      <c r="AT97" s="35">
        <f t="shared" si="30"/>
        <v>364</v>
      </c>
      <c r="AU97" s="6">
        <v>815</v>
      </c>
      <c r="AV97" s="6"/>
      <c r="AW97" s="35">
        <f t="shared" si="31"/>
        <v>338</v>
      </c>
      <c r="AX97" s="35"/>
      <c r="AY97" s="6"/>
      <c r="AZ97" s="35"/>
      <c r="BA97" s="35">
        <v>1178</v>
      </c>
      <c r="BB97" s="35"/>
      <c r="BC97" s="35">
        <f t="shared" si="32"/>
        <v>363</v>
      </c>
      <c r="BD97" s="6">
        <v>1537</v>
      </c>
      <c r="BE97" s="6"/>
      <c r="BF97" s="35">
        <f t="shared" si="33"/>
        <v>359</v>
      </c>
      <c r="BG97" s="6">
        <v>338</v>
      </c>
      <c r="BH97" s="6">
        <v>1560</v>
      </c>
      <c r="BI97" s="6">
        <f t="shared" si="34"/>
        <v>361</v>
      </c>
      <c r="BJ97" s="6">
        <v>704</v>
      </c>
      <c r="BK97" s="6"/>
      <c r="BL97" s="6">
        <f t="shared" si="35"/>
        <v>366</v>
      </c>
      <c r="BM97" s="6">
        <v>1063</v>
      </c>
      <c r="BN97" s="6"/>
      <c r="BO97" s="6">
        <f t="shared" si="36"/>
        <v>359</v>
      </c>
      <c r="BP97" s="6">
        <v>1408</v>
      </c>
      <c r="BQ97" s="6"/>
      <c r="BR97" s="35">
        <f t="shared" si="37"/>
        <v>345</v>
      </c>
      <c r="BS97" s="6"/>
      <c r="BT97" s="6"/>
      <c r="BU97" s="6"/>
      <c r="BV97" s="6">
        <v>215</v>
      </c>
      <c r="BW97" s="6">
        <v>1560</v>
      </c>
      <c r="BX97" s="35">
        <f t="shared" si="38"/>
        <v>367</v>
      </c>
      <c r="BY97" s="6">
        <v>566</v>
      </c>
      <c r="BZ97" s="6"/>
      <c r="CA97" s="6">
        <f t="shared" si="39"/>
        <v>351</v>
      </c>
      <c r="CB97" s="6">
        <v>927</v>
      </c>
      <c r="CC97" s="6"/>
      <c r="CD97" s="6">
        <f t="shared" si="40"/>
        <v>361</v>
      </c>
      <c r="CE97" s="6">
        <v>1287</v>
      </c>
      <c r="CF97" s="6"/>
      <c r="CG97" s="6">
        <f t="shared" si="41"/>
        <v>360</v>
      </c>
      <c r="CH97" s="6">
        <v>87</v>
      </c>
      <c r="CI97" s="6">
        <v>1560</v>
      </c>
      <c r="CJ97" s="6">
        <f t="shared" si="42"/>
        <v>360</v>
      </c>
      <c r="CK97" s="6">
        <v>442</v>
      </c>
      <c r="CL97" s="6"/>
      <c r="CM97" s="6">
        <f t="shared" si="43"/>
        <v>355</v>
      </c>
      <c r="CN97" s="6"/>
      <c r="CO97" s="6"/>
      <c r="CP97" s="6"/>
      <c r="CQ97" s="6">
        <v>809</v>
      </c>
      <c r="CR97" s="6"/>
      <c r="CS97" s="6">
        <f t="shared" si="44"/>
        <v>367</v>
      </c>
      <c r="CT97" s="6">
        <v>1167</v>
      </c>
      <c r="CU97" s="6"/>
      <c r="CV97" s="6">
        <f t="shared" si="45"/>
        <v>358</v>
      </c>
      <c r="CW97" s="6">
        <v>1527</v>
      </c>
      <c r="CX97" s="6"/>
      <c r="CY97" s="6">
        <f t="shared" si="46"/>
        <v>360</v>
      </c>
      <c r="CZ97" s="6">
        <v>246</v>
      </c>
      <c r="DA97" s="6">
        <v>1621</v>
      </c>
      <c r="DB97" s="6">
        <f t="shared" si="47"/>
        <v>340</v>
      </c>
      <c r="DC97" s="6">
        <v>601</v>
      </c>
      <c r="DD97" s="6"/>
      <c r="DE97" s="6">
        <f t="shared" si="48"/>
        <v>355</v>
      </c>
      <c r="DF97" s="6">
        <v>930</v>
      </c>
      <c r="DG97" s="6"/>
      <c r="DH97" s="6">
        <f t="shared" si="49"/>
        <v>329</v>
      </c>
      <c r="DI97" s="6"/>
      <c r="DJ97" s="6"/>
      <c r="DK97" s="6"/>
      <c r="DL97" s="6">
        <v>1293</v>
      </c>
      <c r="DM97" s="6"/>
      <c r="DN97" s="6">
        <f t="shared" si="50"/>
        <v>363</v>
      </c>
      <c r="DO97" s="6">
        <v>64</v>
      </c>
      <c r="DP97" s="6">
        <v>1560</v>
      </c>
      <c r="DQ97" s="6">
        <f t="shared" si="51"/>
        <v>331</v>
      </c>
    </row>
    <row r="98" spans="1:121">
      <c r="A98" s="6">
        <v>94</v>
      </c>
      <c r="B98" s="6">
        <v>9</v>
      </c>
      <c r="C98" s="6">
        <v>518</v>
      </c>
      <c r="D98" s="6">
        <v>325</v>
      </c>
      <c r="E98" s="33" t="s">
        <v>128</v>
      </c>
      <c r="F98" s="33" t="s">
        <v>128</v>
      </c>
      <c r="G98" s="33" t="s">
        <v>128</v>
      </c>
      <c r="H98" s="33" t="s">
        <v>128</v>
      </c>
      <c r="I98" s="33" t="s">
        <v>128</v>
      </c>
      <c r="J98" s="33" t="s">
        <v>128</v>
      </c>
      <c r="K98" s="33" t="s">
        <v>128</v>
      </c>
      <c r="L98" s="33" t="s">
        <v>128</v>
      </c>
      <c r="M98" s="33" t="s">
        <v>128</v>
      </c>
      <c r="N98" s="33" t="s">
        <v>128</v>
      </c>
      <c r="O98" s="33" t="s">
        <v>128</v>
      </c>
      <c r="P98" s="33" t="s">
        <v>128</v>
      </c>
      <c r="Q98" s="33" t="s">
        <v>128</v>
      </c>
      <c r="R98" s="148" t="s">
        <v>128</v>
      </c>
      <c r="S98" s="33" t="s">
        <v>128</v>
      </c>
      <c r="T98" s="33" t="s">
        <v>128</v>
      </c>
      <c r="U98" s="33" t="s">
        <v>128</v>
      </c>
      <c r="V98" s="33" t="s">
        <v>128</v>
      </c>
      <c r="W98" s="33" t="s">
        <v>128</v>
      </c>
      <c r="X98" s="33" t="s">
        <v>128</v>
      </c>
      <c r="Y98" s="33" t="s">
        <v>128</v>
      </c>
      <c r="Z98" s="33" t="s">
        <v>128</v>
      </c>
      <c r="AA98" s="33" t="s">
        <v>128</v>
      </c>
      <c r="AB98" s="33" t="s">
        <v>128</v>
      </c>
      <c r="AC98" s="33" t="s">
        <v>128</v>
      </c>
      <c r="AD98" s="33" t="s">
        <v>128</v>
      </c>
      <c r="AE98" s="33" t="s">
        <v>128</v>
      </c>
      <c r="AF98" s="6">
        <v>408</v>
      </c>
      <c r="AG98" s="6"/>
      <c r="AH98" s="35">
        <f t="shared" si="26"/>
        <v>399</v>
      </c>
      <c r="AI98" s="35">
        <v>771</v>
      </c>
      <c r="AJ98" s="35"/>
      <c r="AK98" s="35">
        <f t="shared" si="27"/>
        <v>363</v>
      </c>
      <c r="AL98" s="6">
        <v>348</v>
      </c>
      <c r="AM98" s="6">
        <v>792</v>
      </c>
      <c r="AN98" s="35">
        <f t="shared" si="28"/>
        <v>369</v>
      </c>
      <c r="AO98" s="6">
        <v>721</v>
      </c>
      <c r="AP98" s="6"/>
      <c r="AQ98" s="34">
        <f t="shared" si="29"/>
        <v>373</v>
      </c>
      <c r="AR98" s="35">
        <v>1097</v>
      </c>
      <c r="AS98" s="35"/>
      <c r="AT98" s="35">
        <f t="shared" si="30"/>
        <v>376</v>
      </c>
      <c r="AU98" s="6">
        <v>1451</v>
      </c>
      <c r="AV98" s="6"/>
      <c r="AW98" s="35">
        <f t="shared" si="31"/>
        <v>354</v>
      </c>
      <c r="AX98" s="35"/>
      <c r="AY98" s="35"/>
      <c r="AZ98" s="35"/>
      <c r="BA98" s="6">
        <v>272</v>
      </c>
      <c r="BB98" s="6">
        <v>1560</v>
      </c>
      <c r="BC98" s="35">
        <f t="shared" si="32"/>
        <v>381</v>
      </c>
      <c r="BD98" s="6">
        <v>641</v>
      </c>
      <c r="BE98" s="6"/>
      <c r="BF98" s="35">
        <f t="shared" si="33"/>
        <v>369</v>
      </c>
      <c r="BG98" s="6">
        <v>1013</v>
      </c>
      <c r="BH98" s="6"/>
      <c r="BI98" s="6">
        <f t="shared" si="34"/>
        <v>372</v>
      </c>
      <c r="BJ98" s="6">
        <v>208</v>
      </c>
      <c r="BK98" s="35">
        <v>1179</v>
      </c>
      <c r="BL98" s="6">
        <f t="shared" si="35"/>
        <v>374</v>
      </c>
      <c r="BM98" s="6">
        <v>564</v>
      </c>
      <c r="BN98" s="6"/>
      <c r="BO98" s="6">
        <f t="shared" si="36"/>
        <v>356</v>
      </c>
      <c r="BP98" s="6">
        <v>0</v>
      </c>
      <c r="BQ98" s="6">
        <v>774</v>
      </c>
      <c r="BR98" s="35">
        <f t="shared" si="37"/>
        <v>210</v>
      </c>
      <c r="BS98" s="6"/>
      <c r="BT98" s="6"/>
      <c r="BU98" s="6"/>
      <c r="BV98" s="6">
        <v>352</v>
      </c>
      <c r="BW98" s="6"/>
      <c r="BX98" s="35">
        <f t="shared" si="38"/>
        <v>352</v>
      </c>
      <c r="BY98" s="6">
        <v>717</v>
      </c>
      <c r="BZ98" s="35"/>
      <c r="CA98" s="6">
        <f t="shared" si="39"/>
        <v>365</v>
      </c>
      <c r="CB98" s="6">
        <v>1110</v>
      </c>
      <c r="CC98" s="6"/>
      <c r="CD98" s="6">
        <f t="shared" si="40"/>
        <v>393</v>
      </c>
      <c r="CE98" s="6">
        <v>353</v>
      </c>
      <c r="CF98" s="35">
        <v>1144</v>
      </c>
      <c r="CG98" s="6">
        <f t="shared" si="41"/>
        <v>387</v>
      </c>
      <c r="CH98" s="6">
        <v>741</v>
      </c>
      <c r="CI98" s="6"/>
      <c r="CJ98" s="6">
        <f t="shared" si="42"/>
        <v>388</v>
      </c>
      <c r="CK98" s="6">
        <v>1122</v>
      </c>
      <c r="CL98" s="6"/>
      <c r="CM98" s="6">
        <f t="shared" si="43"/>
        <v>381</v>
      </c>
      <c r="CN98" s="6"/>
      <c r="CO98" s="6"/>
      <c r="CP98" s="6"/>
      <c r="CQ98" s="6">
        <v>290</v>
      </c>
      <c r="CR98" s="6">
        <v>1219</v>
      </c>
      <c r="CS98" s="6">
        <f t="shared" si="44"/>
        <v>387</v>
      </c>
      <c r="CT98" s="6">
        <v>679</v>
      </c>
      <c r="CU98" s="6"/>
      <c r="CV98" s="6">
        <f t="shared" si="45"/>
        <v>389</v>
      </c>
      <c r="CW98" s="6">
        <v>1073</v>
      </c>
      <c r="CX98" s="6"/>
      <c r="CY98" s="6">
        <f t="shared" si="46"/>
        <v>394</v>
      </c>
      <c r="CZ98" s="6">
        <v>1449</v>
      </c>
      <c r="DA98" s="6"/>
      <c r="DB98" s="6">
        <f t="shared" si="47"/>
        <v>376</v>
      </c>
      <c r="DC98" s="6">
        <v>269</v>
      </c>
      <c r="DD98" s="6">
        <v>1560</v>
      </c>
      <c r="DE98" s="6">
        <f t="shared" si="48"/>
        <v>380</v>
      </c>
      <c r="DF98" s="6">
        <v>625</v>
      </c>
      <c r="DG98" s="6"/>
      <c r="DH98" s="6">
        <f t="shared" si="49"/>
        <v>356</v>
      </c>
      <c r="DI98" s="6"/>
      <c r="DJ98" s="6"/>
      <c r="DK98" s="6"/>
      <c r="DL98" s="6">
        <v>256</v>
      </c>
      <c r="DM98" s="6">
        <v>737</v>
      </c>
      <c r="DN98" s="6">
        <f t="shared" si="50"/>
        <v>368</v>
      </c>
      <c r="DO98" s="6">
        <v>602</v>
      </c>
      <c r="DP98" s="6"/>
      <c r="DQ98" s="6">
        <f t="shared" si="51"/>
        <v>346</v>
      </c>
    </row>
    <row r="99" spans="1:121">
      <c r="A99" s="6">
        <v>95</v>
      </c>
      <c r="B99" s="6">
        <v>1003</v>
      </c>
      <c r="C99" s="6"/>
      <c r="D99" s="6">
        <v>332</v>
      </c>
      <c r="E99" s="33" t="s">
        <v>37</v>
      </c>
      <c r="F99" s="33" t="s">
        <v>37</v>
      </c>
      <c r="G99" s="33" t="s">
        <v>37</v>
      </c>
      <c r="H99" s="33" t="s">
        <v>37</v>
      </c>
      <c r="I99" s="33" t="s">
        <v>37</v>
      </c>
      <c r="J99" s="33" t="s">
        <v>37</v>
      </c>
      <c r="K99" s="33" t="s">
        <v>37</v>
      </c>
      <c r="L99" s="33" t="s">
        <v>37</v>
      </c>
      <c r="M99" s="33" t="s">
        <v>37</v>
      </c>
      <c r="N99" s="33" t="s">
        <v>37</v>
      </c>
      <c r="O99" s="33" t="s">
        <v>37</v>
      </c>
      <c r="P99" s="33" t="s">
        <v>37</v>
      </c>
      <c r="Q99" s="33" t="s">
        <v>37</v>
      </c>
      <c r="R99" s="33" t="s">
        <v>37</v>
      </c>
      <c r="S99" s="33" t="s">
        <v>37</v>
      </c>
      <c r="T99" s="33" t="s">
        <v>37</v>
      </c>
      <c r="U99" s="33" t="s">
        <v>37</v>
      </c>
      <c r="V99" s="33" t="s">
        <v>37</v>
      </c>
      <c r="W99" s="33" t="s">
        <v>37</v>
      </c>
      <c r="X99" s="33" t="s">
        <v>37</v>
      </c>
      <c r="Y99" s="148" t="s">
        <v>37</v>
      </c>
      <c r="Z99" s="33" t="s">
        <v>37</v>
      </c>
      <c r="AA99" s="33" t="s">
        <v>37</v>
      </c>
      <c r="AB99" s="33" t="s">
        <v>37</v>
      </c>
      <c r="AC99" s="33" t="s">
        <v>37</v>
      </c>
      <c r="AD99" s="33" t="s">
        <v>37</v>
      </c>
      <c r="AE99" s="33" t="s">
        <v>37</v>
      </c>
      <c r="AF99" s="6">
        <v>1384</v>
      </c>
      <c r="AG99" s="6"/>
      <c r="AH99" s="35">
        <f t="shared" si="26"/>
        <v>381</v>
      </c>
      <c r="AI99" s="35">
        <v>165</v>
      </c>
      <c r="AJ99" s="35">
        <v>1560</v>
      </c>
      <c r="AK99" s="35">
        <f t="shared" si="27"/>
        <v>341</v>
      </c>
      <c r="AL99" s="6">
        <v>530</v>
      </c>
      <c r="AM99" s="6"/>
      <c r="AN99" s="35">
        <f t="shared" si="28"/>
        <v>365</v>
      </c>
      <c r="AO99" s="6">
        <v>893</v>
      </c>
      <c r="AP99" s="6"/>
      <c r="AQ99" s="34">
        <f t="shared" si="29"/>
        <v>363</v>
      </c>
      <c r="AR99" s="35">
        <v>1258</v>
      </c>
      <c r="AS99" s="35"/>
      <c r="AT99" s="35">
        <f t="shared" si="30"/>
        <v>365</v>
      </c>
      <c r="AU99" s="6">
        <v>40</v>
      </c>
      <c r="AV99" s="6">
        <v>1560</v>
      </c>
      <c r="AW99" s="35">
        <f t="shared" si="31"/>
        <v>342</v>
      </c>
      <c r="AX99" s="6"/>
      <c r="AY99" s="6"/>
      <c r="AZ99" s="35"/>
      <c r="BA99" s="35">
        <v>409</v>
      </c>
      <c r="BB99" s="35"/>
      <c r="BC99" s="35">
        <f t="shared" si="32"/>
        <v>369</v>
      </c>
      <c r="BD99" s="6">
        <v>769</v>
      </c>
      <c r="BE99" s="6"/>
      <c r="BF99" s="35">
        <f t="shared" si="33"/>
        <v>360</v>
      </c>
      <c r="BG99" s="6">
        <v>1133</v>
      </c>
      <c r="BH99" s="6"/>
      <c r="BI99" s="6">
        <f t="shared" si="34"/>
        <v>364</v>
      </c>
      <c r="BJ99" s="6">
        <v>1498</v>
      </c>
      <c r="BK99" s="6"/>
      <c r="BL99" s="6">
        <f t="shared" si="35"/>
        <v>365</v>
      </c>
      <c r="BM99" s="6">
        <v>283</v>
      </c>
      <c r="BN99" s="6">
        <v>1560</v>
      </c>
      <c r="BO99" s="6">
        <f t="shared" si="36"/>
        <v>345</v>
      </c>
      <c r="BP99" s="6">
        <v>144</v>
      </c>
      <c r="BQ99" s="6">
        <v>459</v>
      </c>
      <c r="BR99" s="35">
        <f t="shared" si="37"/>
        <v>320</v>
      </c>
      <c r="BS99" s="6"/>
      <c r="BT99" s="6"/>
      <c r="BU99" s="6"/>
      <c r="BV99" s="6">
        <v>496</v>
      </c>
      <c r="BW99" s="6"/>
      <c r="BX99" s="35">
        <f t="shared" si="38"/>
        <v>352</v>
      </c>
      <c r="BY99" s="6">
        <v>845</v>
      </c>
      <c r="BZ99" s="6"/>
      <c r="CA99" s="6">
        <f t="shared" si="39"/>
        <v>349</v>
      </c>
      <c r="CB99" s="6">
        <v>1195</v>
      </c>
      <c r="CC99" s="6"/>
      <c r="CD99" s="6">
        <f t="shared" si="40"/>
        <v>350</v>
      </c>
      <c r="CE99" s="6">
        <v>1546</v>
      </c>
      <c r="CF99" s="6"/>
      <c r="CG99" s="6">
        <f t="shared" si="41"/>
        <v>351</v>
      </c>
      <c r="CH99" s="6">
        <v>336</v>
      </c>
      <c r="CI99" s="6">
        <v>1560</v>
      </c>
      <c r="CJ99" s="6">
        <f t="shared" si="42"/>
        <v>350</v>
      </c>
      <c r="CK99" s="6">
        <v>680</v>
      </c>
      <c r="CL99" s="6"/>
      <c r="CM99" s="6">
        <f t="shared" si="43"/>
        <v>344</v>
      </c>
      <c r="CN99" s="6"/>
      <c r="CO99" s="6"/>
      <c r="CP99" s="6"/>
      <c r="CQ99" s="6">
        <v>1036</v>
      </c>
      <c r="CR99" s="6"/>
      <c r="CS99" s="6">
        <f t="shared" si="44"/>
        <v>356</v>
      </c>
      <c r="CT99" s="6">
        <v>248</v>
      </c>
      <c r="CU99" s="6">
        <v>1136</v>
      </c>
      <c r="CV99" s="6">
        <f t="shared" si="45"/>
        <v>348</v>
      </c>
      <c r="CW99" s="6">
        <v>624</v>
      </c>
      <c r="CX99" s="6"/>
      <c r="CY99" s="6">
        <f t="shared" si="46"/>
        <v>376</v>
      </c>
      <c r="CZ99" s="6">
        <v>997</v>
      </c>
      <c r="DA99" s="6"/>
      <c r="DB99" s="6">
        <f t="shared" si="47"/>
        <v>373</v>
      </c>
      <c r="DC99" s="6">
        <v>1375</v>
      </c>
      <c r="DD99" s="6"/>
      <c r="DE99" s="6">
        <f t="shared" si="48"/>
        <v>378</v>
      </c>
      <c r="DF99" s="6">
        <v>169</v>
      </c>
      <c r="DG99" s="6">
        <v>1560</v>
      </c>
      <c r="DH99" s="6">
        <f t="shared" si="49"/>
        <v>354</v>
      </c>
      <c r="DI99" s="6"/>
      <c r="DJ99" s="6"/>
      <c r="DK99" s="6"/>
      <c r="DL99" s="6">
        <v>86</v>
      </c>
      <c r="DM99" s="6">
        <v>429</v>
      </c>
      <c r="DN99" s="6">
        <f t="shared" si="50"/>
        <v>346</v>
      </c>
      <c r="DO99" s="6">
        <v>431</v>
      </c>
      <c r="DP99" s="6"/>
      <c r="DQ99" s="6">
        <f t="shared" si="51"/>
        <v>345</v>
      </c>
    </row>
    <row r="100" spans="1:121">
      <c r="A100" s="6">
        <v>96</v>
      </c>
      <c r="B100" s="6">
        <v>1525</v>
      </c>
      <c r="C100" s="6"/>
      <c r="D100" s="6">
        <v>327</v>
      </c>
      <c r="E100" s="33" t="s">
        <v>37</v>
      </c>
      <c r="F100" s="148" t="s">
        <v>128</v>
      </c>
      <c r="G100" s="33" t="s">
        <v>128</v>
      </c>
      <c r="H100" s="33" t="s">
        <v>128</v>
      </c>
      <c r="I100" s="33" t="s">
        <v>128</v>
      </c>
      <c r="J100" s="33" t="s">
        <v>128</v>
      </c>
      <c r="K100" s="33" t="s">
        <v>128</v>
      </c>
      <c r="L100" s="33" t="s">
        <v>128</v>
      </c>
      <c r="M100" s="33" t="s">
        <v>128</v>
      </c>
      <c r="N100" s="33" t="s">
        <v>128</v>
      </c>
      <c r="O100" s="33" t="s">
        <v>128</v>
      </c>
      <c r="P100" s="33" t="s">
        <v>128</v>
      </c>
      <c r="Q100" s="33" t="s">
        <v>128</v>
      </c>
      <c r="R100" s="33" t="s">
        <v>128</v>
      </c>
      <c r="S100" s="33" t="s">
        <v>128</v>
      </c>
      <c r="T100" s="33" t="s">
        <v>128</v>
      </c>
      <c r="U100" s="33" t="s">
        <v>128</v>
      </c>
      <c r="V100" s="33" t="s">
        <v>128</v>
      </c>
      <c r="W100" s="33" t="s">
        <v>128</v>
      </c>
      <c r="X100" s="33" t="s">
        <v>128</v>
      </c>
      <c r="Y100" s="33" t="s">
        <v>128</v>
      </c>
      <c r="Z100" s="33" t="s">
        <v>128</v>
      </c>
      <c r="AA100" s="33" t="s">
        <v>128</v>
      </c>
      <c r="AB100" s="33" t="s">
        <v>128</v>
      </c>
      <c r="AC100" s="148" t="s">
        <v>128</v>
      </c>
      <c r="AD100" s="33" t="s">
        <v>128</v>
      </c>
      <c r="AE100" s="33" t="s">
        <v>128</v>
      </c>
      <c r="AF100" s="6">
        <v>261</v>
      </c>
      <c r="AG100" s="6">
        <v>1617</v>
      </c>
      <c r="AH100" s="35">
        <f t="shared" si="26"/>
        <v>353</v>
      </c>
      <c r="AI100" s="35">
        <v>616</v>
      </c>
      <c r="AJ100" s="35"/>
      <c r="AK100" s="35">
        <f t="shared" si="27"/>
        <v>355</v>
      </c>
      <c r="AL100" s="6">
        <v>308</v>
      </c>
      <c r="AM100" s="6">
        <v>656</v>
      </c>
      <c r="AN100" s="35">
        <f t="shared" si="28"/>
        <v>348</v>
      </c>
      <c r="AO100" s="6">
        <v>659</v>
      </c>
      <c r="AP100" s="6"/>
      <c r="AQ100" s="34">
        <f t="shared" si="29"/>
        <v>351</v>
      </c>
      <c r="AR100" s="35">
        <v>1017</v>
      </c>
      <c r="AS100" s="35"/>
      <c r="AT100" s="35">
        <f t="shared" si="30"/>
        <v>358</v>
      </c>
      <c r="AU100" s="6">
        <v>1355</v>
      </c>
      <c r="AV100" s="6"/>
      <c r="AW100" s="35">
        <f t="shared" si="31"/>
        <v>338</v>
      </c>
      <c r="AX100" s="6"/>
      <c r="AY100" s="6"/>
      <c r="AZ100" s="35"/>
      <c r="BA100" s="35">
        <v>154</v>
      </c>
      <c r="BB100" s="35">
        <v>1560</v>
      </c>
      <c r="BC100" s="35">
        <f t="shared" si="32"/>
        <v>359</v>
      </c>
      <c r="BD100" s="6">
        <v>508</v>
      </c>
      <c r="BE100" s="6"/>
      <c r="BF100" s="35">
        <f t="shared" si="33"/>
        <v>354</v>
      </c>
      <c r="BG100" s="6">
        <v>858</v>
      </c>
      <c r="BH100" s="6"/>
      <c r="BI100" s="6">
        <f t="shared" si="34"/>
        <v>350</v>
      </c>
      <c r="BJ100" s="6">
        <v>1210</v>
      </c>
      <c r="BK100" s="6"/>
      <c r="BL100" s="6">
        <f t="shared" si="35"/>
        <v>352</v>
      </c>
      <c r="BM100" s="6">
        <v>6</v>
      </c>
      <c r="BN100" s="6">
        <v>1560</v>
      </c>
      <c r="BO100" s="6">
        <f t="shared" si="36"/>
        <v>356</v>
      </c>
      <c r="BP100" s="6">
        <v>328</v>
      </c>
      <c r="BQ100" s="6"/>
      <c r="BR100" s="35">
        <f t="shared" si="37"/>
        <v>322</v>
      </c>
      <c r="BS100" s="6"/>
      <c r="BT100" s="6"/>
      <c r="BU100" s="6"/>
      <c r="BV100" s="6">
        <v>694</v>
      </c>
      <c r="BW100" s="6"/>
      <c r="BX100" s="35">
        <f t="shared" si="38"/>
        <v>366</v>
      </c>
      <c r="BY100" s="6">
        <v>1055</v>
      </c>
      <c r="BZ100" s="6"/>
      <c r="CA100" s="6">
        <f t="shared" si="39"/>
        <v>361</v>
      </c>
      <c r="CB100" s="6">
        <v>1424</v>
      </c>
      <c r="CC100" s="6"/>
      <c r="CD100" s="6">
        <f t="shared" si="40"/>
        <v>369</v>
      </c>
      <c r="CE100" s="6">
        <v>224</v>
      </c>
      <c r="CF100" s="6">
        <v>1560</v>
      </c>
      <c r="CG100" s="6">
        <f t="shared" si="41"/>
        <v>360</v>
      </c>
      <c r="CH100" s="6">
        <v>594</v>
      </c>
      <c r="CI100" s="6"/>
      <c r="CJ100" s="6">
        <f t="shared" si="42"/>
        <v>370</v>
      </c>
      <c r="CK100" s="6">
        <v>952</v>
      </c>
      <c r="CL100" s="6"/>
      <c r="CM100" s="6">
        <f t="shared" si="43"/>
        <v>358</v>
      </c>
      <c r="CN100" s="6"/>
      <c r="CO100" s="6"/>
      <c r="CP100" s="6"/>
      <c r="CQ100" s="6">
        <v>1323</v>
      </c>
      <c r="CR100" s="6"/>
      <c r="CS100" s="6">
        <f t="shared" si="44"/>
        <v>371</v>
      </c>
      <c r="CT100" s="6">
        <v>124</v>
      </c>
      <c r="CU100" s="6">
        <v>1560</v>
      </c>
      <c r="CV100" s="6">
        <f t="shared" si="45"/>
        <v>361</v>
      </c>
      <c r="CW100" s="6">
        <v>494</v>
      </c>
      <c r="CX100" s="6"/>
      <c r="CY100" s="6">
        <f t="shared" si="46"/>
        <v>370</v>
      </c>
      <c r="CZ100" s="6">
        <v>632</v>
      </c>
      <c r="DA100" s="6"/>
      <c r="DB100" s="6">
        <f t="shared" si="47"/>
        <v>138</v>
      </c>
      <c r="DC100" s="6">
        <v>969</v>
      </c>
      <c r="DD100" s="6"/>
      <c r="DE100" s="6">
        <f t="shared" si="48"/>
        <v>337</v>
      </c>
      <c r="DF100" s="6">
        <v>313</v>
      </c>
      <c r="DG100" s="6">
        <v>972</v>
      </c>
      <c r="DH100" s="6">
        <f t="shared" si="49"/>
        <v>316</v>
      </c>
      <c r="DI100" s="6"/>
      <c r="DJ100" s="6"/>
      <c r="DK100" s="6"/>
      <c r="DL100" s="6">
        <v>677</v>
      </c>
      <c r="DM100" s="6"/>
      <c r="DN100" s="6">
        <f t="shared" si="50"/>
        <v>364</v>
      </c>
      <c r="DO100" s="6">
        <v>150</v>
      </c>
      <c r="DP100" s="6">
        <v>861</v>
      </c>
      <c r="DQ100" s="6">
        <f t="shared" si="51"/>
        <v>334</v>
      </c>
    </row>
    <row r="101" spans="1:121">
      <c r="A101" s="6">
        <v>97</v>
      </c>
      <c r="B101" s="6">
        <v>0</v>
      </c>
      <c r="C101" s="6">
        <v>942</v>
      </c>
      <c r="D101" s="6">
        <v>275</v>
      </c>
      <c r="E101" s="33" t="s">
        <v>37</v>
      </c>
      <c r="F101" s="148" t="s">
        <v>37</v>
      </c>
      <c r="G101" s="33" t="s">
        <v>37</v>
      </c>
      <c r="H101" s="33" t="s">
        <v>37</v>
      </c>
      <c r="I101" s="33" t="s">
        <v>37</v>
      </c>
      <c r="J101" s="33" t="s">
        <v>37</v>
      </c>
      <c r="K101" s="33" t="s">
        <v>37</v>
      </c>
      <c r="L101" s="33" t="s">
        <v>37</v>
      </c>
      <c r="M101" s="33" t="s">
        <v>37</v>
      </c>
      <c r="N101" s="33" t="s">
        <v>37</v>
      </c>
      <c r="O101" s="33" t="s">
        <v>37</v>
      </c>
      <c r="P101" s="33" t="s">
        <v>37</v>
      </c>
      <c r="Q101" s="33" t="s">
        <v>37</v>
      </c>
      <c r="R101" s="33" t="s">
        <v>37</v>
      </c>
      <c r="S101" s="33" t="s">
        <v>37</v>
      </c>
      <c r="T101" s="33" t="s">
        <v>37</v>
      </c>
      <c r="U101" s="33" t="s">
        <v>37</v>
      </c>
      <c r="V101" s="33" t="s">
        <v>37</v>
      </c>
      <c r="W101" s="33" t="s">
        <v>37</v>
      </c>
      <c r="X101" s="33" t="s">
        <v>37</v>
      </c>
      <c r="Y101" s="33" t="s">
        <v>37</v>
      </c>
      <c r="Z101" s="33" t="s">
        <v>37</v>
      </c>
      <c r="AA101" s="33" t="s">
        <v>37</v>
      </c>
      <c r="AB101" s="148" t="s">
        <v>37</v>
      </c>
      <c r="AC101" s="33" t="s">
        <v>37</v>
      </c>
      <c r="AD101" s="33" t="s">
        <v>37</v>
      </c>
      <c r="AE101" s="33" t="s">
        <v>37</v>
      </c>
      <c r="AF101" s="6">
        <v>353</v>
      </c>
      <c r="AG101" s="6"/>
      <c r="AH101" s="35">
        <f t="shared" si="26"/>
        <v>353</v>
      </c>
      <c r="AI101" s="35">
        <v>714</v>
      </c>
      <c r="AJ101" s="35"/>
      <c r="AK101" s="35">
        <f t="shared" si="27"/>
        <v>361</v>
      </c>
      <c r="AL101" s="6">
        <v>1078</v>
      </c>
      <c r="AM101" s="6"/>
      <c r="AN101" s="35">
        <f t="shared" si="28"/>
        <v>364</v>
      </c>
      <c r="AO101" s="6">
        <v>1440</v>
      </c>
      <c r="AP101" s="6"/>
      <c r="AQ101" s="34">
        <f t="shared" si="29"/>
        <v>362</v>
      </c>
      <c r="AR101" s="35">
        <v>244</v>
      </c>
      <c r="AS101" s="35">
        <v>1560</v>
      </c>
      <c r="AT101" s="35">
        <f t="shared" si="30"/>
        <v>364</v>
      </c>
      <c r="AU101" s="6">
        <v>586</v>
      </c>
      <c r="AV101" s="6"/>
      <c r="AW101" s="35">
        <f t="shared" si="31"/>
        <v>342</v>
      </c>
      <c r="AX101" s="6"/>
      <c r="AY101" s="6"/>
      <c r="AZ101" s="35"/>
      <c r="BA101" s="35">
        <v>956</v>
      </c>
      <c r="BB101" s="35"/>
      <c r="BC101" s="35">
        <f t="shared" si="32"/>
        <v>370</v>
      </c>
      <c r="BD101" s="6">
        <v>1311</v>
      </c>
      <c r="BE101" s="6"/>
      <c r="BF101" s="35">
        <f t="shared" si="33"/>
        <v>355</v>
      </c>
      <c r="BG101" s="6">
        <v>109</v>
      </c>
      <c r="BH101" s="6">
        <v>1560</v>
      </c>
      <c r="BI101" s="6">
        <f t="shared" si="34"/>
        <v>358</v>
      </c>
      <c r="BJ101" s="6">
        <v>471</v>
      </c>
      <c r="BK101" s="6"/>
      <c r="BL101" s="6">
        <f t="shared" si="35"/>
        <v>362</v>
      </c>
      <c r="BM101" s="6">
        <v>830</v>
      </c>
      <c r="BN101" s="6"/>
      <c r="BO101" s="6">
        <f t="shared" si="36"/>
        <v>359</v>
      </c>
      <c r="BP101" s="6">
        <v>1172</v>
      </c>
      <c r="BQ101" s="6"/>
      <c r="BR101" s="35">
        <f t="shared" si="37"/>
        <v>342</v>
      </c>
      <c r="BS101" s="6"/>
      <c r="BT101" s="6"/>
      <c r="BU101" s="6"/>
      <c r="BV101" s="6">
        <v>16</v>
      </c>
      <c r="BW101" s="6">
        <v>1513</v>
      </c>
      <c r="BX101" s="35">
        <f t="shared" si="38"/>
        <v>357</v>
      </c>
      <c r="BY101" s="6">
        <v>374</v>
      </c>
      <c r="BZ101" s="6"/>
      <c r="CA101" s="6">
        <f t="shared" si="39"/>
        <v>358</v>
      </c>
      <c r="CB101" s="6">
        <v>756</v>
      </c>
      <c r="CC101" s="6"/>
      <c r="CD101" s="6">
        <f t="shared" si="40"/>
        <v>382</v>
      </c>
      <c r="CE101" s="6">
        <v>1142</v>
      </c>
      <c r="CF101" s="6"/>
      <c r="CG101" s="6">
        <f t="shared" si="41"/>
        <v>386</v>
      </c>
      <c r="CH101" s="6">
        <v>1530</v>
      </c>
      <c r="CI101" s="6"/>
      <c r="CJ101" s="6">
        <f t="shared" si="42"/>
        <v>388</v>
      </c>
      <c r="CK101" s="6">
        <v>345</v>
      </c>
      <c r="CL101" s="6">
        <v>1560</v>
      </c>
      <c r="CM101" s="6">
        <f t="shared" si="43"/>
        <v>375</v>
      </c>
      <c r="CN101" s="6"/>
      <c r="CO101" s="6"/>
      <c r="CP101" s="6"/>
      <c r="CQ101" s="6">
        <v>720</v>
      </c>
      <c r="CR101" s="6"/>
      <c r="CS101" s="6">
        <f t="shared" si="44"/>
        <v>375</v>
      </c>
      <c r="CT101" s="6">
        <v>1102</v>
      </c>
      <c r="CU101" s="6"/>
      <c r="CV101" s="6">
        <f t="shared" si="45"/>
        <v>382</v>
      </c>
      <c r="CW101" s="6">
        <v>87</v>
      </c>
      <c r="CX101" s="6">
        <v>1385</v>
      </c>
      <c r="CY101" s="6">
        <f t="shared" si="46"/>
        <v>370</v>
      </c>
      <c r="CZ101" s="6">
        <v>218</v>
      </c>
      <c r="DA101" s="6"/>
      <c r="DB101" s="6">
        <f t="shared" si="47"/>
        <v>131</v>
      </c>
      <c r="DC101" s="6">
        <v>267</v>
      </c>
      <c r="DD101" s="6">
        <v>293</v>
      </c>
      <c r="DE101" s="6">
        <f t="shared" si="48"/>
        <v>342</v>
      </c>
      <c r="DF101" s="6">
        <v>629</v>
      </c>
      <c r="DG101" s="6"/>
      <c r="DH101" s="6">
        <f t="shared" si="49"/>
        <v>362</v>
      </c>
      <c r="DI101" s="6"/>
      <c r="DJ101" s="6"/>
      <c r="DK101" s="6"/>
      <c r="DL101" s="6">
        <v>1018</v>
      </c>
      <c r="DM101" s="6"/>
      <c r="DN101" s="6">
        <f t="shared" si="50"/>
        <v>389</v>
      </c>
      <c r="DO101" s="6">
        <v>1378</v>
      </c>
      <c r="DP101" s="6"/>
      <c r="DQ101" s="6">
        <f t="shared" si="51"/>
        <v>360</v>
      </c>
    </row>
    <row r="102" spans="1:121">
      <c r="A102" s="6">
        <v>98</v>
      </c>
      <c r="B102" s="6">
        <v>26</v>
      </c>
      <c r="C102" s="6">
        <v>1550</v>
      </c>
      <c r="D102" s="6">
        <v>326</v>
      </c>
      <c r="E102" s="33" t="s">
        <v>128</v>
      </c>
      <c r="F102" s="33" t="s">
        <v>128</v>
      </c>
      <c r="G102" s="33" t="s">
        <v>128</v>
      </c>
      <c r="H102" s="33" t="s">
        <v>128</v>
      </c>
      <c r="I102" s="33" t="s">
        <v>128</v>
      </c>
      <c r="J102" s="33" t="s">
        <v>128</v>
      </c>
      <c r="K102" s="33" t="s">
        <v>128</v>
      </c>
      <c r="L102" s="33" t="s">
        <v>128</v>
      </c>
      <c r="M102" s="33" t="s">
        <v>128</v>
      </c>
      <c r="N102" s="33" t="s">
        <v>128</v>
      </c>
      <c r="O102" s="33" t="s">
        <v>128</v>
      </c>
      <c r="P102" s="33" t="s">
        <v>128</v>
      </c>
      <c r="Q102" s="33" t="s">
        <v>128</v>
      </c>
      <c r="R102" s="33" t="s">
        <v>128</v>
      </c>
      <c r="S102" s="148" t="s">
        <v>128</v>
      </c>
      <c r="T102" s="33" t="s">
        <v>128</v>
      </c>
      <c r="U102" s="33" t="s">
        <v>128</v>
      </c>
      <c r="V102" s="33" t="s">
        <v>128</v>
      </c>
      <c r="W102" s="33" t="s">
        <v>128</v>
      </c>
      <c r="X102" s="33" t="s">
        <v>128</v>
      </c>
      <c r="Y102" s="33" t="s">
        <v>128</v>
      </c>
      <c r="Z102" s="33" t="s">
        <v>128</v>
      </c>
      <c r="AA102" s="33" t="s">
        <v>128</v>
      </c>
      <c r="AB102" s="33" t="s">
        <v>128</v>
      </c>
      <c r="AC102" s="33" t="s">
        <v>128</v>
      </c>
      <c r="AD102" s="33" t="s">
        <v>128</v>
      </c>
      <c r="AE102" s="33" t="s">
        <v>128</v>
      </c>
      <c r="AF102" s="35">
        <v>402</v>
      </c>
      <c r="AG102" s="35"/>
      <c r="AH102" s="35">
        <f t="shared" si="26"/>
        <v>376</v>
      </c>
      <c r="AI102" s="35">
        <v>755</v>
      </c>
      <c r="AJ102" s="35"/>
      <c r="AK102" s="35">
        <f t="shared" si="27"/>
        <v>353</v>
      </c>
      <c r="AL102" s="35">
        <v>1112</v>
      </c>
      <c r="AM102" s="35"/>
      <c r="AN102" s="35">
        <f t="shared" si="28"/>
        <v>357</v>
      </c>
      <c r="AO102" s="35">
        <v>1468</v>
      </c>
      <c r="AP102" s="35"/>
      <c r="AQ102" s="34">
        <f t="shared" si="29"/>
        <v>356</v>
      </c>
      <c r="AR102" s="35">
        <v>266</v>
      </c>
      <c r="AS102" s="35">
        <v>1560</v>
      </c>
      <c r="AT102" s="35">
        <f t="shared" si="30"/>
        <v>358</v>
      </c>
      <c r="AU102" s="6">
        <v>598</v>
      </c>
      <c r="AV102" s="6"/>
      <c r="AW102" s="35">
        <f t="shared" si="31"/>
        <v>332</v>
      </c>
      <c r="AX102" s="35"/>
      <c r="AY102" s="35"/>
      <c r="AZ102" s="35"/>
      <c r="BA102" s="6">
        <v>957</v>
      </c>
      <c r="BB102" s="6"/>
      <c r="BC102" s="35">
        <f t="shared" si="32"/>
        <v>359</v>
      </c>
      <c r="BD102" s="35">
        <v>1305</v>
      </c>
      <c r="BE102" s="6"/>
      <c r="BF102" s="35">
        <f t="shared" si="33"/>
        <v>348</v>
      </c>
      <c r="BG102" s="6">
        <v>103</v>
      </c>
      <c r="BH102" s="6">
        <v>1560</v>
      </c>
      <c r="BI102" s="6">
        <f t="shared" si="34"/>
        <v>358</v>
      </c>
      <c r="BJ102" s="6">
        <v>461</v>
      </c>
      <c r="BK102" s="35"/>
      <c r="BL102" s="6">
        <f t="shared" si="35"/>
        <v>358</v>
      </c>
      <c r="BM102" s="6">
        <v>817</v>
      </c>
      <c r="BN102" s="6"/>
      <c r="BO102" s="6">
        <f t="shared" si="36"/>
        <v>356</v>
      </c>
      <c r="BP102" s="6">
        <v>1156</v>
      </c>
      <c r="BQ102" s="6"/>
      <c r="BR102" s="35">
        <f t="shared" si="37"/>
        <v>339</v>
      </c>
      <c r="BS102" s="6"/>
      <c r="BT102" s="6"/>
      <c r="BU102" s="6"/>
      <c r="BV102" s="6">
        <v>1515</v>
      </c>
      <c r="BW102" s="6"/>
      <c r="BX102" s="35">
        <f t="shared" si="38"/>
        <v>359</v>
      </c>
      <c r="BY102" s="6">
        <v>238</v>
      </c>
      <c r="BZ102" s="35">
        <v>1604</v>
      </c>
      <c r="CA102" s="6">
        <f t="shared" si="39"/>
        <v>327</v>
      </c>
      <c r="CB102" s="6">
        <v>96</v>
      </c>
      <c r="CC102" s="6">
        <v>512</v>
      </c>
      <c r="CD102" s="6">
        <f t="shared" si="40"/>
        <v>370</v>
      </c>
      <c r="CE102" s="6">
        <v>478</v>
      </c>
      <c r="CF102" s="35"/>
      <c r="CG102" s="6">
        <f t="shared" si="41"/>
        <v>382</v>
      </c>
      <c r="CH102" s="6">
        <v>864</v>
      </c>
      <c r="CI102" s="6"/>
      <c r="CJ102" s="6">
        <f t="shared" si="42"/>
        <v>386</v>
      </c>
      <c r="CK102" s="6">
        <v>1243</v>
      </c>
      <c r="CL102" s="6"/>
      <c r="CM102" s="6">
        <f t="shared" si="43"/>
        <v>379</v>
      </c>
      <c r="CN102" s="6"/>
      <c r="CO102" s="6"/>
      <c r="CP102" s="6"/>
      <c r="CQ102" s="6">
        <v>150</v>
      </c>
      <c r="CR102" s="6">
        <v>1481</v>
      </c>
      <c r="CS102" s="6">
        <f t="shared" si="44"/>
        <v>388</v>
      </c>
      <c r="CT102" s="6">
        <v>252</v>
      </c>
      <c r="CU102" s="6">
        <v>274</v>
      </c>
      <c r="CV102" s="6">
        <f t="shared" si="45"/>
        <v>376</v>
      </c>
      <c r="CW102" s="6">
        <v>639</v>
      </c>
      <c r="CX102" s="6"/>
      <c r="CY102" s="6">
        <f t="shared" si="46"/>
        <v>387</v>
      </c>
      <c r="CZ102" s="6">
        <v>1025</v>
      </c>
      <c r="DA102" s="6"/>
      <c r="DB102" s="6">
        <f t="shared" si="47"/>
        <v>386</v>
      </c>
      <c r="DC102" s="6">
        <v>1412</v>
      </c>
      <c r="DD102" s="6"/>
      <c r="DE102" s="6">
        <f t="shared" si="48"/>
        <v>387</v>
      </c>
      <c r="DF102" s="6">
        <v>210</v>
      </c>
      <c r="DG102" s="6">
        <v>1560</v>
      </c>
      <c r="DH102" s="6">
        <f t="shared" si="49"/>
        <v>358</v>
      </c>
      <c r="DI102" s="6"/>
      <c r="DJ102" s="6"/>
      <c r="DK102" s="6"/>
      <c r="DL102" s="6">
        <v>584</v>
      </c>
      <c r="DM102" s="6"/>
      <c r="DN102" s="6">
        <f t="shared" si="50"/>
        <v>374</v>
      </c>
      <c r="DO102" s="6">
        <v>938</v>
      </c>
      <c r="DP102" s="6"/>
      <c r="DQ102" s="6">
        <f t="shared" si="51"/>
        <v>354</v>
      </c>
    </row>
    <row r="103" spans="1:121">
      <c r="A103" s="6">
        <v>99</v>
      </c>
      <c r="B103" s="6">
        <v>995</v>
      </c>
      <c r="C103" s="6"/>
      <c r="D103" s="6">
        <v>318</v>
      </c>
      <c r="E103" s="33" t="s">
        <v>37</v>
      </c>
      <c r="F103" s="33" t="s">
        <v>37</v>
      </c>
      <c r="G103" s="33" t="s">
        <v>37</v>
      </c>
      <c r="H103" s="33" t="s">
        <v>37</v>
      </c>
      <c r="I103" s="33" t="s">
        <v>37</v>
      </c>
      <c r="J103" s="33" t="s">
        <v>37</v>
      </c>
      <c r="K103" s="33" t="s">
        <v>37</v>
      </c>
      <c r="L103" s="33" t="s">
        <v>37</v>
      </c>
      <c r="M103" s="33" t="s">
        <v>37</v>
      </c>
      <c r="N103" s="33" t="s">
        <v>37</v>
      </c>
      <c r="O103" s="33" t="s">
        <v>37</v>
      </c>
      <c r="P103" s="33" t="s">
        <v>37</v>
      </c>
      <c r="Q103" s="33" t="s">
        <v>37</v>
      </c>
      <c r="R103" s="33" t="s">
        <v>37</v>
      </c>
      <c r="S103" s="33" t="s">
        <v>37</v>
      </c>
      <c r="T103" s="33" t="s">
        <v>37</v>
      </c>
      <c r="U103" s="33" t="s">
        <v>37</v>
      </c>
      <c r="V103" s="33" t="s">
        <v>37</v>
      </c>
      <c r="W103" s="33" t="s">
        <v>37</v>
      </c>
      <c r="X103" s="33" t="s">
        <v>37</v>
      </c>
      <c r="Y103" s="148" t="s">
        <v>37</v>
      </c>
      <c r="Z103" s="33" t="s">
        <v>37</v>
      </c>
      <c r="AA103" s="33" t="s">
        <v>37</v>
      </c>
      <c r="AB103" s="33" t="s">
        <v>37</v>
      </c>
      <c r="AC103" s="33" t="s">
        <v>37</v>
      </c>
      <c r="AD103" s="33" t="s">
        <v>37</v>
      </c>
      <c r="AE103" s="33" t="s">
        <v>37</v>
      </c>
      <c r="AF103" s="6">
        <v>1378</v>
      </c>
      <c r="AG103" s="6"/>
      <c r="AH103" s="35">
        <f t="shared" si="26"/>
        <v>383</v>
      </c>
      <c r="AI103" s="35">
        <v>170</v>
      </c>
      <c r="AJ103" s="35">
        <v>1560</v>
      </c>
      <c r="AK103" s="35">
        <f t="shared" si="27"/>
        <v>352</v>
      </c>
      <c r="AL103" s="6">
        <v>533</v>
      </c>
      <c r="AM103" s="6"/>
      <c r="AN103" s="35">
        <f t="shared" si="28"/>
        <v>363</v>
      </c>
      <c r="AO103" s="6">
        <v>895</v>
      </c>
      <c r="AP103" s="6"/>
      <c r="AQ103" s="34">
        <f t="shared" si="29"/>
        <v>362</v>
      </c>
      <c r="AR103" s="35">
        <v>1245</v>
      </c>
      <c r="AS103" s="35"/>
      <c r="AT103" s="35">
        <f t="shared" si="30"/>
        <v>350</v>
      </c>
      <c r="AU103" s="6">
        <v>23</v>
      </c>
      <c r="AV103" s="6">
        <v>1560</v>
      </c>
      <c r="AW103" s="35">
        <f t="shared" si="31"/>
        <v>338</v>
      </c>
      <c r="AX103" s="6"/>
      <c r="AY103" s="6"/>
      <c r="AZ103" s="35"/>
      <c r="BA103" s="35">
        <v>391</v>
      </c>
      <c r="BB103" s="35"/>
      <c r="BC103" s="35">
        <f t="shared" si="32"/>
        <v>368</v>
      </c>
      <c r="BD103" s="6">
        <v>752</v>
      </c>
      <c r="BE103" s="6"/>
      <c r="BF103" s="35">
        <f t="shared" si="33"/>
        <v>361</v>
      </c>
      <c r="BG103" s="6">
        <v>1108</v>
      </c>
      <c r="BH103" s="6"/>
      <c r="BI103" s="6">
        <f t="shared" si="34"/>
        <v>356</v>
      </c>
      <c r="BJ103" s="6">
        <v>1473</v>
      </c>
      <c r="BK103" s="6"/>
      <c r="BL103" s="6">
        <f t="shared" si="35"/>
        <v>365</v>
      </c>
      <c r="BM103" s="6">
        <v>276</v>
      </c>
      <c r="BN103" s="6">
        <v>1560</v>
      </c>
      <c r="BO103" s="6">
        <f t="shared" si="36"/>
        <v>363</v>
      </c>
      <c r="BP103" s="6">
        <v>615</v>
      </c>
      <c r="BQ103" s="6"/>
      <c r="BR103" s="35">
        <f t="shared" si="37"/>
        <v>339</v>
      </c>
      <c r="BS103" s="6"/>
      <c r="BT103" s="6"/>
      <c r="BU103" s="6"/>
      <c r="BV103" s="6">
        <v>978</v>
      </c>
      <c r="BW103" s="6"/>
      <c r="BX103" s="35">
        <f t="shared" si="38"/>
        <v>363</v>
      </c>
      <c r="BY103" s="6">
        <v>1335</v>
      </c>
      <c r="BZ103" s="6"/>
      <c r="CA103" s="6">
        <f t="shared" si="39"/>
        <v>357</v>
      </c>
      <c r="CB103" s="6">
        <v>153</v>
      </c>
      <c r="CC103" s="6">
        <v>1560</v>
      </c>
      <c r="CD103" s="6">
        <f t="shared" si="40"/>
        <v>378</v>
      </c>
      <c r="CE103" s="6">
        <v>548</v>
      </c>
      <c r="CF103" s="6"/>
      <c r="CG103" s="6">
        <f t="shared" si="41"/>
        <v>395</v>
      </c>
      <c r="CH103" s="6">
        <v>938</v>
      </c>
      <c r="CI103" s="6"/>
      <c r="CJ103" s="6">
        <f t="shared" si="42"/>
        <v>390</v>
      </c>
      <c r="CK103" s="6">
        <v>1316</v>
      </c>
      <c r="CL103" s="6"/>
      <c r="CM103" s="6">
        <f t="shared" si="43"/>
        <v>378</v>
      </c>
      <c r="CN103" s="6"/>
      <c r="CO103" s="6"/>
      <c r="CP103" s="6"/>
      <c r="CQ103" s="6">
        <v>0</v>
      </c>
      <c r="CR103" s="6">
        <v>1590</v>
      </c>
      <c r="CS103" s="6">
        <f t="shared" si="44"/>
        <v>274</v>
      </c>
      <c r="CT103" s="6">
        <v>353</v>
      </c>
      <c r="CU103" s="6"/>
      <c r="CV103" s="6">
        <f t="shared" si="45"/>
        <v>353</v>
      </c>
      <c r="CW103" s="6">
        <v>738</v>
      </c>
      <c r="CX103" s="6"/>
      <c r="CY103" s="6">
        <f t="shared" si="46"/>
        <v>385</v>
      </c>
      <c r="CZ103" s="6">
        <v>1127</v>
      </c>
      <c r="DA103" s="6"/>
      <c r="DB103" s="6">
        <f t="shared" si="47"/>
        <v>389</v>
      </c>
      <c r="DC103" s="6">
        <v>1518</v>
      </c>
      <c r="DD103" s="6"/>
      <c r="DE103" s="6">
        <f t="shared" si="48"/>
        <v>391</v>
      </c>
      <c r="DF103" s="6">
        <v>331</v>
      </c>
      <c r="DG103" s="6">
        <v>1560</v>
      </c>
      <c r="DH103" s="6">
        <f t="shared" si="49"/>
        <v>373</v>
      </c>
      <c r="DI103" s="6"/>
      <c r="DJ103" s="6"/>
      <c r="DK103" s="6"/>
      <c r="DL103" s="6">
        <v>725</v>
      </c>
      <c r="DM103" s="6"/>
      <c r="DN103" s="6">
        <f t="shared" si="50"/>
        <v>394</v>
      </c>
      <c r="DO103" s="6">
        <v>1088</v>
      </c>
      <c r="DP103" s="6"/>
      <c r="DQ103" s="6">
        <f t="shared" si="51"/>
        <v>363</v>
      </c>
    </row>
    <row r="104" spans="1:121">
      <c r="A104" s="6">
        <v>100</v>
      </c>
      <c r="B104" s="6">
        <v>1032</v>
      </c>
      <c r="C104" s="6"/>
      <c r="D104" s="6">
        <v>337</v>
      </c>
      <c r="E104" s="33" t="s">
        <v>37</v>
      </c>
      <c r="F104" s="148" t="s">
        <v>128</v>
      </c>
      <c r="G104" s="33" t="s">
        <v>128</v>
      </c>
      <c r="H104" s="33" t="s">
        <v>128</v>
      </c>
      <c r="I104" s="33" t="s">
        <v>128</v>
      </c>
      <c r="J104" s="33" t="s">
        <v>128</v>
      </c>
      <c r="K104" s="33" t="s">
        <v>128</v>
      </c>
      <c r="L104" s="33" t="s">
        <v>128</v>
      </c>
      <c r="M104" s="33" t="s">
        <v>128</v>
      </c>
      <c r="N104" s="33" t="s">
        <v>128</v>
      </c>
      <c r="O104" s="33" t="s">
        <v>128</v>
      </c>
      <c r="P104" s="33" t="s">
        <v>128</v>
      </c>
      <c r="Q104" s="33" t="s">
        <v>128</v>
      </c>
      <c r="R104" s="33" t="s">
        <v>128</v>
      </c>
      <c r="S104" s="33" t="s">
        <v>128</v>
      </c>
      <c r="T104" s="33" t="s">
        <v>128</v>
      </c>
      <c r="U104" s="33" t="s">
        <v>128</v>
      </c>
      <c r="V104" s="33" t="s">
        <v>128</v>
      </c>
      <c r="W104" s="33" t="s">
        <v>128</v>
      </c>
      <c r="X104" s="33" t="s">
        <v>128</v>
      </c>
      <c r="Y104" s="33" t="s">
        <v>128</v>
      </c>
      <c r="Z104" s="33" t="s">
        <v>128</v>
      </c>
      <c r="AA104" s="33" t="s">
        <v>128</v>
      </c>
      <c r="AB104" s="33" t="s">
        <v>128</v>
      </c>
      <c r="AC104" s="148" t="s">
        <v>128</v>
      </c>
      <c r="AD104" s="33" t="s">
        <v>128</v>
      </c>
      <c r="AE104" s="33" t="s">
        <v>128</v>
      </c>
      <c r="AF104" s="35">
        <v>276</v>
      </c>
      <c r="AG104" s="35">
        <v>1132</v>
      </c>
      <c r="AH104" s="35">
        <f t="shared" si="26"/>
        <v>376</v>
      </c>
      <c r="AI104" s="35">
        <v>641</v>
      </c>
      <c r="AJ104" s="35"/>
      <c r="AK104" s="35">
        <f t="shared" si="27"/>
        <v>365</v>
      </c>
      <c r="AL104" s="6">
        <v>1011</v>
      </c>
      <c r="AM104" s="6"/>
      <c r="AN104" s="35">
        <f t="shared" si="28"/>
        <v>370</v>
      </c>
      <c r="AO104" s="6">
        <v>1373</v>
      </c>
      <c r="AP104" s="6"/>
      <c r="AQ104" s="34">
        <f t="shared" si="29"/>
        <v>362</v>
      </c>
      <c r="AR104" s="35">
        <v>183</v>
      </c>
      <c r="AS104" s="35">
        <v>1560</v>
      </c>
      <c r="AT104" s="35">
        <f t="shared" si="30"/>
        <v>370</v>
      </c>
      <c r="AU104" s="6">
        <v>530</v>
      </c>
      <c r="AV104" s="6"/>
      <c r="AW104" s="35">
        <f t="shared" si="31"/>
        <v>347</v>
      </c>
      <c r="AX104" s="6"/>
      <c r="AY104" s="6"/>
      <c r="AZ104" s="35"/>
      <c r="BA104" s="35">
        <v>904</v>
      </c>
      <c r="BB104" s="35"/>
      <c r="BC104" s="35">
        <f t="shared" si="32"/>
        <v>374</v>
      </c>
      <c r="BD104" s="6">
        <v>1271</v>
      </c>
      <c r="BE104" s="6"/>
      <c r="BF104" s="35">
        <f t="shared" si="33"/>
        <v>367</v>
      </c>
      <c r="BG104" s="6">
        <v>76</v>
      </c>
      <c r="BH104" s="6">
        <v>1560</v>
      </c>
      <c r="BI104" s="6">
        <f t="shared" si="34"/>
        <v>365</v>
      </c>
      <c r="BJ104" s="6">
        <v>447</v>
      </c>
      <c r="BK104" s="6"/>
      <c r="BL104" s="6">
        <f t="shared" si="35"/>
        <v>371</v>
      </c>
      <c r="BM104" s="6">
        <v>800</v>
      </c>
      <c r="BN104" s="6"/>
      <c r="BO104" s="6">
        <f t="shared" si="36"/>
        <v>353</v>
      </c>
      <c r="BP104" s="6">
        <v>1113</v>
      </c>
      <c r="BQ104" s="6"/>
      <c r="BR104" s="35">
        <f t="shared" si="37"/>
        <v>313</v>
      </c>
      <c r="BS104" s="6"/>
      <c r="BT104" s="6"/>
      <c r="BU104" s="6"/>
      <c r="BV104" s="6">
        <v>336</v>
      </c>
      <c r="BW104" s="6">
        <v>1128</v>
      </c>
      <c r="BX104" s="35">
        <f t="shared" si="38"/>
        <v>351</v>
      </c>
      <c r="BY104" s="6">
        <v>678</v>
      </c>
      <c r="BZ104" s="6"/>
      <c r="CA104" s="6">
        <f t="shared" si="39"/>
        <v>342</v>
      </c>
      <c r="CB104" s="6">
        <v>1056</v>
      </c>
      <c r="CC104" s="6"/>
      <c r="CD104" s="6">
        <f t="shared" si="40"/>
        <v>378</v>
      </c>
      <c r="CE104" s="6">
        <v>1428</v>
      </c>
      <c r="CF104" s="6"/>
      <c r="CG104" s="6">
        <f t="shared" si="41"/>
        <v>372</v>
      </c>
      <c r="CH104" s="6">
        <v>246</v>
      </c>
      <c r="CI104" s="6">
        <v>1560</v>
      </c>
      <c r="CJ104" s="6">
        <f t="shared" si="42"/>
        <v>378</v>
      </c>
      <c r="CK104" s="6">
        <v>625</v>
      </c>
      <c r="CL104" s="6"/>
      <c r="CM104" s="6">
        <f t="shared" si="43"/>
        <v>379</v>
      </c>
      <c r="CN104" s="6"/>
      <c r="CO104" s="6"/>
      <c r="CP104" s="6"/>
      <c r="CQ104" s="6">
        <v>999</v>
      </c>
      <c r="CR104" s="6"/>
      <c r="CS104" s="6">
        <f t="shared" si="44"/>
        <v>374</v>
      </c>
      <c r="CT104" s="6">
        <v>1378</v>
      </c>
      <c r="CU104" s="6"/>
      <c r="CV104" s="6">
        <f t="shared" si="45"/>
        <v>379</v>
      </c>
      <c r="CW104" s="6">
        <v>194</v>
      </c>
      <c r="CX104" s="6">
        <v>1560</v>
      </c>
      <c r="CY104" s="6">
        <f t="shared" si="46"/>
        <v>376</v>
      </c>
      <c r="CZ104" s="6">
        <v>338</v>
      </c>
      <c r="DA104" s="6"/>
      <c r="DB104" s="6">
        <f t="shared" si="47"/>
        <v>144</v>
      </c>
      <c r="DC104" s="6">
        <v>0</v>
      </c>
      <c r="DD104" s="6">
        <v>505</v>
      </c>
      <c r="DE104" s="6">
        <f t="shared" si="48"/>
        <v>167</v>
      </c>
      <c r="DF104" s="6">
        <v>335</v>
      </c>
      <c r="DG104" s="6"/>
      <c r="DH104" s="6">
        <f t="shared" si="49"/>
        <v>335</v>
      </c>
      <c r="DI104" s="6"/>
      <c r="DJ104" s="6"/>
      <c r="DK104" s="6"/>
      <c r="DL104" s="6">
        <v>717</v>
      </c>
      <c r="DM104" s="6"/>
      <c r="DN104" s="6">
        <f t="shared" si="50"/>
        <v>382</v>
      </c>
      <c r="DO104" s="6">
        <v>1072</v>
      </c>
      <c r="DP104" s="6"/>
      <c r="DQ104" s="6">
        <f t="shared" si="51"/>
        <v>355</v>
      </c>
    </row>
    <row r="105" spans="1:121">
      <c r="A105" s="6">
        <v>101</v>
      </c>
      <c r="B105" s="6">
        <v>291</v>
      </c>
      <c r="C105" s="6"/>
      <c r="D105" s="6">
        <v>291</v>
      </c>
      <c r="E105" s="148" t="s">
        <v>37</v>
      </c>
      <c r="F105" s="33" t="s">
        <v>37</v>
      </c>
      <c r="G105" s="33" t="s">
        <v>37</v>
      </c>
      <c r="H105" s="33" t="s">
        <v>37</v>
      </c>
      <c r="I105" s="33" t="s">
        <v>37</v>
      </c>
      <c r="J105" s="33" t="s">
        <v>37</v>
      </c>
      <c r="K105" s="33" t="s">
        <v>37</v>
      </c>
      <c r="L105" s="33" t="s">
        <v>37</v>
      </c>
      <c r="M105" s="33" t="s">
        <v>37</v>
      </c>
      <c r="N105" s="33" t="s">
        <v>37</v>
      </c>
      <c r="O105" s="33" t="s">
        <v>37</v>
      </c>
      <c r="P105" s="33" t="s">
        <v>37</v>
      </c>
      <c r="Q105" s="33" t="s">
        <v>37</v>
      </c>
      <c r="R105" s="33" t="s">
        <v>37</v>
      </c>
      <c r="S105" s="33" t="s">
        <v>37</v>
      </c>
      <c r="T105" s="33" t="s">
        <v>37</v>
      </c>
      <c r="U105" s="33" t="s">
        <v>37</v>
      </c>
      <c r="V105" s="33" t="s">
        <v>37</v>
      </c>
      <c r="W105" s="33" t="s">
        <v>37</v>
      </c>
      <c r="X105" s="33" t="s">
        <v>37</v>
      </c>
      <c r="Y105" s="33" t="s">
        <v>37</v>
      </c>
      <c r="Z105" s="33" t="s">
        <v>37</v>
      </c>
      <c r="AA105" s="148" t="s">
        <v>37</v>
      </c>
      <c r="AB105" s="33" t="s">
        <v>37</v>
      </c>
      <c r="AC105" s="33" t="s">
        <v>37</v>
      </c>
      <c r="AD105" s="33" t="s">
        <v>37</v>
      </c>
      <c r="AE105" s="33" t="s">
        <v>37</v>
      </c>
      <c r="AF105" s="6">
        <v>662</v>
      </c>
      <c r="AG105" s="6"/>
      <c r="AH105" s="35">
        <f t="shared" si="26"/>
        <v>371</v>
      </c>
      <c r="AI105" s="35">
        <v>1000</v>
      </c>
      <c r="AJ105" s="35"/>
      <c r="AK105" s="35">
        <f t="shared" si="27"/>
        <v>338</v>
      </c>
      <c r="AL105" s="6">
        <v>1359</v>
      </c>
      <c r="AM105" s="6"/>
      <c r="AN105" s="35">
        <f t="shared" si="28"/>
        <v>359</v>
      </c>
      <c r="AO105" s="6">
        <v>160</v>
      </c>
      <c r="AP105" s="6">
        <v>1560</v>
      </c>
      <c r="AQ105" s="34">
        <f t="shared" si="29"/>
        <v>361</v>
      </c>
      <c r="AR105" s="35">
        <v>522</v>
      </c>
      <c r="AS105" s="35"/>
      <c r="AT105" s="35">
        <f t="shared" si="30"/>
        <v>362</v>
      </c>
      <c r="AU105" s="6">
        <v>862</v>
      </c>
      <c r="AV105" s="6"/>
      <c r="AW105" s="35">
        <f t="shared" si="31"/>
        <v>340</v>
      </c>
      <c r="AX105" s="6"/>
      <c r="AY105" s="6"/>
      <c r="AZ105" s="35"/>
      <c r="BA105" s="35">
        <v>1225</v>
      </c>
      <c r="BB105" s="35"/>
      <c r="BC105" s="35">
        <f t="shared" si="32"/>
        <v>363</v>
      </c>
      <c r="BD105" s="6">
        <v>13</v>
      </c>
      <c r="BE105" s="6">
        <v>1560</v>
      </c>
      <c r="BF105" s="35">
        <f t="shared" si="33"/>
        <v>348</v>
      </c>
      <c r="BG105" s="35">
        <v>367</v>
      </c>
      <c r="BH105" s="6"/>
      <c r="BI105" s="6">
        <f t="shared" si="34"/>
        <v>354</v>
      </c>
      <c r="BJ105" s="6">
        <v>720</v>
      </c>
      <c r="BK105" s="6"/>
      <c r="BL105" s="6">
        <f t="shared" si="35"/>
        <v>353</v>
      </c>
      <c r="BM105" s="6">
        <v>1071</v>
      </c>
      <c r="BN105" s="6"/>
      <c r="BO105" s="6">
        <f t="shared" si="36"/>
        <v>351</v>
      </c>
      <c r="BP105" s="6">
        <v>1399</v>
      </c>
      <c r="BQ105" s="6"/>
      <c r="BR105" s="35">
        <f t="shared" si="37"/>
        <v>328</v>
      </c>
      <c r="BS105" s="6"/>
      <c r="BT105" s="6"/>
      <c r="BU105" s="6"/>
      <c r="BV105" s="6">
        <v>199</v>
      </c>
      <c r="BW105" s="6">
        <v>1560</v>
      </c>
      <c r="BX105" s="35">
        <f t="shared" si="38"/>
        <v>360</v>
      </c>
      <c r="BY105" s="6">
        <v>555</v>
      </c>
      <c r="BZ105" s="6"/>
      <c r="CA105" s="6">
        <f t="shared" si="39"/>
        <v>356</v>
      </c>
      <c r="CB105" s="6">
        <v>935</v>
      </c>
      <c r="CC105" s="6"/>
      <c r="CD105" s="6">
        <f t="shared" si="40"/>
        <v>380</v>
      </c>
      <c r="CE105" s="6">
        <v>1323</v>
      </c>
      <c r="CF105" s="6"/>
      <c r="CG105" s="6">
        <f t="shared" si="41"/>
        <v>388</v>
      </c>
      <c r="CH105" s="6">
        <v>145</v>
      </c>
      <c r="CI105" s="6">
        <v>1560</v>
      </c>
      <c r="CJ105" s="6">
        <f t="shared" si="42"/>
        <v>382</v>
      </c>
      <c r="CK105" s="6">
        <v>516</v>
      </c>
      <c r="CL105" s="6"/>
      <c r="CM105" s="6">
        <f t="shared" si="43"/>
        <v>371</v>
      </c>
      <c r="CN105" s="6"/>
      <c r="CO105" s="6"/>
      <c r="CP105" s="6"/>
      <c r="CQ105" s="6">
        <v>904</v>
      </c>
      <c r="CR105" s="6"/>
      <c r="CS105" s="6">
        <f t="shared" si="44"/>
        <v>388</v>
      </c>
      <c r="CT105" s="6">
        <v>1278</v>
      </c>
      <c r="CU105" s="6"/>
      <c r="CV105" s="6">
        <f t="shared" si="45"/>
        <v>374</v>
      </c>
      <c r="CW105" s="6">
        <v>0</v>
      </c>
      <c r="CX105" s="6">
        <v>1600</v>
      </c>
      <c r="CY105" s="6">
        <f t="shared" si="46"/>
        <v>322</v>
      </c>
      <c r="CZ105" s="6">
        <v>364</v>
      </c>
      <c r="DA105" s="6"/>
      <c r="DB105" s="6">
        <f t="shared" si="47"/>
        <v>364</v>
      </c>
      <c r="DC105" s="6">
        <v>746</v>
      </c>
      <c r="DD105" s="6"/>
      <c r="DE105" s="6">
        <f t="shared" si="48"/>
        <v>382</v>
      </c>
      <c r="DF105" s="6">
        <v>1105</v>
      </c>
      <c r="DG105" s="6"/>
      <c r="DH105" s="6">
        <f t="shared" si="49"/>
        <v>359</v>
      </c>
      <c r="DI105" s="6"/>
      <c r="DJ105" s="6"/>
      <c r="DK105" s="6"/>
      <c r="DL105" s="6">
        <v>126</v>
      </c>
      <c r="DM105" s="6">
        <v>1358</v>
      </c>
      <c r="DN105" s="6">
        <f t="shared" si="50"/>
        <v>379</v>
      </c>
      <c r="DO105" s="6">
        <v>487</v>
      </c>
      <c r="DP105" s="6"/>
      <c r="DQ105" s="6">
        <f t="shared" si="51"/>
        <v>361</v>
      </c>
    </row>
    <row r="106" spans="1:121">
      <c r="A106" s="6">
        <v>102</v>
      </c>
      <c r="B106" s="6">
        <v>7</v>
      </c>
      <c r="C106" s="6">
        <v>564</v>
      </c>
      <c r="D106" s="6">
        <v>336</v>
      </c>
      <c r="E106" s="33" t="s">
        <v>128</v>
      </c>
      <c r="F106" s="33" t="s">
        <v>128</v>
      </c>
      <c r="G106" s="33" t="s">
        <v>128</v>
      </c>
      <c r="H106" s="33" t="s">
        <v>128</v>
      </c>
      <c r="I106" s="33" t="s">
        <v>128</v>
      </c>
      <c r="J106" s="33" t="s">
        <v>128</v>
      </c>
      <c r="K106" s="33" t="s">
        <v>128</v>
      </c>
      <c r="L106" s="33" t="s">
        <v>128</v>
      </c>
      <c r="M106" s="33" t="s">
        <v>128</v>
      </c>
      <c r="N106" s="33" t="s">
        <v>128</v>
      </c>
      <c r="O106" s="33" t="s">
        <v>128</v>
      </c>
      <c r="P106" s="33" t="s">
        <v>128</v>
      </c>
      <c r="Q106" s="33" t="s">
        <v>128</v>
      </c>
      <c r="R106" s="33" t="s">
        <v>128</v>
      </c>
      <c r="S106" s="148" t="s">
        <v>128</v>
      </c>
      <c r="T106" s="33" t="s">
        <v>128</v>
      </c>
      <c r="U106" s="33" t="s">
        <v>128</v>
      </c>
      <c r="V106" s="33" t="s">
        <v>128</v>
      </c>
      <c r="W106" s="33" t="s">
        <v>128</v>
      </c>
      <c r="X106" s="33" t="s">
        <v>128</v>
      </c>
      <c r="Y106" s="33" t="s">
        <v>128</v>
      </c>
      <c r="Z106" s="33" t="s">
        <v>128</v>
      </c>
      <c r="AA106" s="33" t="s">
        <v>128</v>
      </c>
      <c r="AB106" s="33" t="s">
        <v>128</v>
      </c>
      <c r="AC106" s="33" t="s">
        <v>128</v>
      </c>
      <c r="AD106" s="33" t="s">
        <v>128</v>
      </c>
      <c r="AE106" s="33" t="s">
        <v>128</v>
      </c>
      <c r="AF106" s="6">
        <v>397</v>
      </c>
      <c r="AG106" s="6"/>
      <c r="AH106" s="35">
        <f t="shared" si="26"/>
        <v>390</v>
      </c>
      <c r="AI106" s="35">
        <v>763</v>
      </c>
      <c r="AJ106" s="35"/>
      <c r="AK106" s="35">
        <f t="shared" si="27"/>
        <v>366</v>
      </c>
      <c r="AL106" s="6">
        <v>1131</v>
      </c>
      <c r="AM106" s="6"/>
      <c r="AN106" s="35">
        <f t="shared" si="28"/>
        <v>368</v>
      </c>
      <c r="AO106" s="6">
        <v>1499</v>
      </c>
      <c r="AP106" s="6"/>
      <c r="AQ106" s="34">
        <f t="shared" si="29"/>
        <v>368</v>
      </c>
      <c r="AR106" s="35">
        <v>305</v>
      </c>
      <c r="AS106" s="35">
        <v>1560</v>
      </c>
      <c r="AT106" s="35">
        <f t="shared" si="30"/>
        <v>366</v>
      </c>
      <c r="AU106" s="6">
        <v>650</v>
      </c>
      <c r="AV106" s="6"/>
      <c r="AW106" s="35">
        <f t="shared" si="31"/>
        <v>345</v>
      </c>
      <c r="AX106" s="6"/>
      <c r="AY106" s="6"/>
      <c r="AZ106" s="35"/>
      <c r="BA106" s="35">
        <v>1025</v>
      </c>
      <c r="BB106" s="35"/>
      <c r="BC106" s="35">
        <f t="shared" si="32"/>
        <v>375</v>
      </c>
      <c r="BD106" s="35">
        <v>1392</v>
      </c>
      <c r="BE106" s="6"/>
      <c r="BF106" s="35">
        <f t="shared" si="33"/>
        <v>367</v>
      </c>
      <c r="BG106" s="6">
        <v>196</v>
      </c>
      <c r="BH106" s="6">
        <v>1560</v>
      </c>
      <c r="BI106" s="6">
        <f t="shared" si="34"/>
        <v>364</v>
      </c>
      <c r="BJ106" s="6">
        <v>559</v>
      </c>
      <c r="BK106" s="6"/>
      <c r="BL106" s="6">
        <f t="shared" si="35"/>
        <v>363</v>
      </c>
      <c r="BM106" s="6">
        <v>920</v>
      </c>
      <c r="BN106" s="6"/>
      <c r="BO106" s="6">
        <f t="shared" si="36"/>
        <v>361</v>
      </c>
      <c r="BP106" s="6">
        <v>1268</v>
      </c>
      <c r="BQ106" s="6"/>
      <c r="BR106" s="35">
        <f t="shared" si="37"/>
        <v>348</v>
      </c>
      <c r="BS106" s="6"/>
      <c r="BT106" s="6"/>
      <c r="BU106" s="6"/>
      <c r="BV106" s="6">
        <v>0</v>
      </c>
      <c r="BW106" s="6">
        <v>1512</v>
      </c>
      <c r="BX106" s="35">
        <f t="shared" si="38"/>
        <v>244</v>
      </c>
      <c r="BY106" s="6">
        <v>346</v>
      </c>
      <c r="BZ106" s="6"/>
      <c r="CA106" s="6">
        <f t="shared" si="39"/>
        <v>346</v>
      </c>
      <c r="CB106" s="6">
        <v>729</v>
      </c>
      <c r="CC106" s="6"/>
      <c r="CD106" s="6">
        <f t="shared" si="40"/>
        <v>383</v>
      </c>
      <c r="CE106" s="6">
        <v>1121</v>
      </c>
      <c r="CF106" s="6"/>
      <c r="CG106" s="6">
        <f t="shared" si="41"/>
        <v>392</v>
      </c>
      <c r="CH106" s="6">
        <v>1511</v>
      </c>
      <c r="CI106" s="6"/>
      <c r="CJ106" s="6">
        <f t="shared" si="42"/>
        <v>390</v>
      </c>
      <c r="CK106" s="6">
        <v>323</v>
      </c>
      <c r="CL106" s="6">
        <v>1562</v>
      </c>
      <c r="CM106" s="6">
        <f t="shared" si="43"/>
        <v>374</v>
      </c>
      <c r="CN106" s="6"/>
      <c r="CO106" s="6"/>
      <c r="CP106" s="6"/>
      <c r="CQ106" s="6">
        <v>719</v>
      </c>
      <c r="CR106" s="6"/>
      <c r="CS106" s="6">
        <f t="shared" si="44"/>
        <v>396</v>
      </c>
      <c r="CT106" s="6">
        <v>1104</v>
      </c>
      <c r="CU106" s="6"/>
      <c r="CV106" s="6">
        <f t="shared" si="45"/>
        <v>385</v>
      </c>
      <c r="CW106" s="6">
        <v>1496</v>
      </c>
      <c r="CX106" s="6"/>
      <c r="CY106" s="6">
        <f t="shared" si="46"/>
        <v>392</v>
      </c>
      <c r="CZ106" s="6">
        <v>327</v>
      </c>
      <c r="DA106" s="6">
        <v>1561</v>
      </c>
      <c r="DB106" s="6">
        <f t="shared" si="47"/>
        <v>392</v>
      </c>
      <c r="DC106" s="6">
        <v>712</v>
      </c>
      <c r="DD106" s="6"/>
      <c r="DE106" s="6">
        <f t="shared" si="48"/>
        <v>385</v>
      </c>
      <c r="DF106" s="6">
        <v>1084</v>
      </c>
      <c r="DG106" s="6"/>
      <c r="DH106" s="6">
        <f t="shared" si="49"/>
        <v>372</v>
      </c>
      <c r="DI106" s="6"/>
      <c r="DJ106" s="6"/>
      <c r="DK106" s="6"/>
      <c r="DL106" s="6">
        <v>363</v>
      </c>
      <c r="DM106" s="6">
        <v>1113</v>
      </c>
      <c r="DN106" s="6">
        <f t="shared" si="50"/>
        <v>392</v>
      </c>
      <c r="DO106" s="6">
        <v>727</v>
      </c>
      <c r="DP106" s="6"/>
      <c r="DQ106" s="6">
        <f t="shared" si="51"/>
        <v>364</v>
      </c>
    </row>
    <row r="107" spans="1:121">
      <c r="A107" s="6">
        <v>103</v>
      </c>
      <c r="B107" s="6">
        <v>975</v>
      </c>
      <c r="C107" s="6"/>
      <c r="D107" s="6">
        <v>311</v>
      </c>
      <c r="E107" s="33" t="s">
        <v>37</v>
      </c>
      <c r="F107" s="33" t="s">
        <v>37</v>
      </c>
      <c r="G107" s="33" t="s">
        <v>37</v>
      </c>
      <c r="H107" s="33" t="s">
        <v>37</v>
      </c>
      <c r="I107" s="33" t="s">
        <v>37</v>
      </c>
      <c r="J107" s="33" t="s">
        <v>37</v>
      </c>
      <c r="K107" s="33" t="s">
        <v>37</v>
      </c>
      <c r="L107" s="33" t="s">
        <v>37</v>
      </c>
      <c r="M107" s="33" t="s">
        <v>37</v>
      </c>
      <c r="N107" s="33" t="s">
        <v>37</v>
      </c>
      <c r="O107" s="33" t="s">
        <v>37</v>
      </c>
      <c r="P107" s="33" t="s">
        <v>37</v>
      </c>
      <c r="Q107" s="33" t="s">
        <v>37</v>
      </c>
      <c r="R107" s="33" t="s">
        <v>37</v>
      </c>
      <c r="S107" s="33" t="s">
        <v>37</v>
      </c>
      <c r="T107" s="33" t="s">
        <v>37</v>
      </c>
      <c r="U107" s="33" t="s">
        <v>37</v>
      </c>
      <c r="V107" s="33" t="s">
        <v>37</v>
      </c>
      <c r="W107" s="33" t="s">
        <v>37</v>
      </c>
      <c r="X107" s="33" t="s">
        <v>37</v>
      </c>
      <c r="Y107" s="148" t="s">
        <v>37</v>
      </c>
      <c r="Z107" s="33" t="s">
        <v>37</v>
      </c>
      <c r="AA107" s="33" t="s">
        <v>37</v>
      </c>
      <c r="AB107" s="33" t="s">
        <v>37</v>
      </c>
      <c r="AC107" s="33" t="s">
        <v>37</v>
      </c>
      <c r="AD107" s="33" t="s">
        <v>37</v>
      </c>
      <c r="AE107" s="33" t="s">
        <v>37</v>
      </c>
      <c r="AF107" s="6">
        <v>1329</v>
      </c>
      <c r="AG107" s="6"/>
      <c r="AH107" s="35">
        <f t="shared" si="26"/>
        <v>354</v>
      </c>
      <c r="AI107" s="35">
        <v>147</v>
      </c>
      <c r="AJ107" s="35">
        <v>1540</v>
      </c>
      <c r="AK107" s="35">
        <f t="shared" si="27"/>
        <v>358</v>
      </c>
      <c r="AL107" s="6">
        <v>517</v>
      </c>
      <c r="AM107" s="6"/>
      <c r="AN107" s="35">
        <f t="shared" si="28"/>
        <v>370</v>
      </c>
      <c r="AO107" s="6">
        <v>882</v>
      </c>
      <c r="AP107" s="6"/>
      <c r="AQ107" s="34">
        <f t="shared" si="29"/>
        <v>365</v>
      </c>
      <c r="AR107" s="35">
        <v>1249</v>
      </c>
      <c r="AS107" s="35"/>
      <c r="AT107" s="35">
        <f t="shared" si="30"/>
        <v>367</v>
      </c>
      <c r="AU107" s="6">
        <v>310</v>
      </c>
      <c r="AV107" s="6">
        <v>1277</v>
      </c>
      <c r="AW107" s="35">
        <f t="shared" si="31"/>
        <v>338</v>
      </c>
      <c r="AX107" s="6"/>
      <c r="AY107" s="6"/>
      <c r="AZ107" s="35"/>
      <c r="BA107" s="35">
        <v>681</v>
      </c>
      <c r="BB107" s="35"/>
      <c r="BC107" s="35">
        <f t="shared" si="32"/>
        <v>371</v>
      </c>
      <c r="BD107" s="6">
        <v>1047</v>
      </c>
      <c r="BE107" s="6"/>
      <c r="BF107" s="35">
        <f t="shared" si="33"/>
        <v>366</v>
      </c>
      <c r="BG107" s="6">
        <v>1405</v>
      </c>
      <c r="BH107" s="6"/>
      <c r="BI107" s="6">
        <f t="shared" si="34"/>
        <v>358</v>
      </c>
      <c r="BJ107" s="6">
        <v>219</v>
      </c>
      <c r="BK107" s="6">
        <v>1549</v>
      </c>
      <c r="BL107" s="6">
        <f t="shared" si="35"/>
        <v>363</v>
      </c>
      <c r="BM107" s="6">
        <v>577</v>
      </c>
      <c r="BN107" s="6"/>
      <c r="BO107" s="6">
        <f t="shared" si="36"/>
        <v>358</v>
      </c>
      <c r="BP107" s="6">
        <v>920</v>
      </c>
      <c r="BQ107" s="6"/>
      <c r="BR107" s="35">
        <f t="shared" si="37"/>
        <v>343</v>
      </c>
      <c r="BS107" s="6"/>
      <c r="BT107" s="6"/>
      <c r="BU107" s="6"/>
      <c r="BV107" s="6">
        <v>1283</v>
      </c>
      <c r="BW107" s="6"/>
      <c r="BX107" s="35">
        <f t="shared" si="38"/>
        <v>363</v>
      </c>
      <c r="BY107" s="6">
        <v>87</v>
      </c>
      <c r="BZ107" s="6">
        <v>1560</v>
      </c>
      <c r="CA107" s="6">
        <f t="shared" si="39"/>
        <v>364</v>
      </c>
      <c r="CB107" s="6">
        <v>461</v>
      </c>
      <c r="CC107" s="6"/>
      <c r="CD107" s="6">
        <f t="shared" si="40"/>
        <v>374</v>
      </c>
      <c r="CE107" s="6">
        <v>840</v>
      </c>
      <c r="CF107" s="6"/>
      <c r="CG107" s="6">
        <f t="shared" si="41"/>
        <v>379</v>
      </c>
      <c r="CH107" s="6">
        <v>1224</v>
      </c>
      <c r="CI107" s="6"/>
      <c r="CJ107" s="6">
        <f t="shared" si="42"/>
        <v>384</v>
      </c>
      <c r="CK107" s="6">
        <v>35</v>
      </c>
      <c r="CL107" s="6">
        <v>1560</v>
      </c>
      <c r="CM107" s="6">
        <f t="shared" si="43"/>
        <v>371</v>
      </c>
      <c r="CN107" s="6"/>
      <c r="CO107" s="6"/>
      <c r="CP107" s="6"/>
      <c r="CQ107" s="6">
        <v>0</v>
      </c>
      <c r="CR107" s="6">
        <v>366</v>
      </c>
      <c r="CS107" s="6">
        <f t="shared" si="44"/>
        <v>331</v>
      </c>
      <c r="CT107" s="6">
        <v>338</v>
      </c>
      <c r="CU107" s="6"/>
      <c r="CV107" s="6">
        <f t="shared" si="45"/>
        <v>338</v>
      </c>
      <c r="CW107" s="6">
        <v>717</v>
      </c>
      <c r="CX107" s="6"/>
      <c r="CY107" s="6">
        <f t="shared" si="46"/>
        <v>379</v>
      </c>
      <c r="CZ107" s="6">
        <v>1105</v>
      </c>
      <c r="DA107" s="6"/>
      <c r="DB107" s="6">
        <f t="shared" si="47"/>
        <v>388</v>
      </c>
      <c r="DC107" s="6">
        <v>1477</v>
      </c>
      <c r="DD107" s="6"/>
      <c r="DE107" s="6">
        <f t="shared" si="48"/>
        <v>372</v>
      </c>
      <c r="DF107" s="6">
        <v>263</v>
      </c>
      <c r="DG107" s="6">
        <v>1560</v>
      </c>
      <c r="DH107" s="6">
        <f t="shared" si="49"/>
        <v>346</v>
      </c>
      <c r="DI107" s="6"/>
      <c r="DJ107" s="6"/>
      <c r="DK107" s="6"/>
      <c r="DL107" s="6">
        <v>652</v>
      </c>
      <c r="DM107" s="6"/>
      <c r="DN107" s="6">
        <f t="shared" si="50"/>
        <v>389</v>
      </c>
      <c r="DO107" s="6">
        <v>994</v>
      </c>
      <c r="DP107" s="6"/>
      <c r="DQ107" s="6">
        <f t="shared" si="51"/>
        <v>342</v>
      </c>
    </row>
    <row r="108" spans="1:121">
      <c r="A108" s="6">
        <v>104</v>
      </c>
      <c r="B108" s="6">
        <v>281</v>
      </c>
      <c r="C108" s="6">
        <v>1560</v>
      </c>
      <c r="D108" s="6">
        <v>327</v>
      </c>
      <c r="E108" s="33" t="s">
        <v>37</v>
      </c>
      <c r="F108" s="33" t="s">
        <v>37</v>
      </c>
      <c r="G108" s="33" t="s">
        <v>37</v>
      </c>
      <c r="H108" s="33" t="s">
        <v>37</v>
      </c>
      <c r="I108" s="33" t="s">
        <v>37</v>
      </c>
      <c r="J108" s="33" t="s">
        <v>37</v>
      </c>
      <c r="K108" s="33" t="s">
        <v>37</v>
      </c>
      <c r="L108" s="33" t="s">
        <v>37</v>
      </c>
      <c r="M108" s="33" t="s">
        <v>37</v>
      </c>
      <c r="N108" s="33" t="s">
        <v>37</v>
      </c>
      <c r="O108" s="33" t="s">
        <v>37</v>
      </c>
      <c r="P108" s="33" t="s">
        <v>37</v>
      </c>
      <c r="Q108" s="33" t="s">
        <v>37</v>
      </c>
      <c r="R108" s="33" t="s">
        <v>37</v>
      </c>
      <c r="S108" s="33" t="s">
        <v>37</v>
      </c>
      <c r="T108" s="33" t="s">
        <v>37</v>
      </c>
      <c r="U108" s="33" t="s">
        <v>37</v>
      </c>
      <c r="V108" s="33" t="s">
        <v>37</v>
      </c>
      <c r="W108" s="148" t="s">
        <v>37</v>
      </c>
      <c r="X108" s="33" t="s">
        <v>37</v>
      </c>
      <c r="Y108" s="33" t="s">
        <v>37</v>
      </c>
      <c r="Z108" s="33" t="s">
        <v>37</v>
      </c>
      <c r="AA108" s="33" t="s">
        <v>37</v>
      </c>
      <c r="AB108" s="33" t="s">
        <v>37</v>
      </c>
      <c r="AC108" s="33" t="s">
        <v>37</v>
      </c>
      <c r="AD108" s="33" t="s">
        <v>37</v>
      </c>
      <c r="AE108" s="33" t="s">
        <v>37</v>
      </c>
      <c r="AF108" s="6">
        <v>655</v>
      </c>
      <c r="AG108" s="6"/>
      <c r="AH108" s="35">
        <f t="shared" si="26"/>
        <v>374</v>
      </c>
      <c r="AI108" s="35">
        <v>1007</v>
      </c>
      <c r="AJ108" s="35"/>
      <c r="AK108" s="35">
        <f t="shared" si="27"/>
        <v>352</v>
      </c>
      <c r="AL108" s="6">
        <v>1357</v>
      </c>
      <c r="AM108" s="6"/>
      <c r="AN108" s="35">
        <f t="shared" si="28"/>
        <v>350</v>
      </c>
      <c r="AO108" s="6">
        <v>147</v>
      </c>
      <c r="AP108" s="6">
        <v>1560</v>
      </c>
      <c r="AQ108" s="34">
        <f t="shared" si="29"/>
        <v>350</v>
      </c>
      <c r="AR108" s="35">
        <v>491</v>
      </c>
      <c r="AS108" s="35"/>
      <c r="AT108" s="35">
        <f t="shared" si="30"/>
        <v>344</v>
      </c>
      <c r="AU108" s="6">
        <v>826</v>
      </c>
      <c r="AV108" s="6"/>
      <c r="AW108" s="35">
        <f t="shared" si="31"/>
        <v>335</v>
      </c>
      <c r="AX108" s="6"/>
      <c r="AY108" s="6"/>
      <c r="AZ108" s="35"/>
      <c r="BA108" s="35">
        <v>1187</v>
      </c>
      <c r="BB108" s="35"/>
      <c r="BC108" s="35">
        <f t="shared" si="32"/>
        <v>361</v>
      </c>
      <c r="BD108" s="6">
        <v>1541</v>
      </c>
      <c r="BE108" s="6"/>
      <c r="BF108" s="35">
        <f t="shared" si="33"/>
        <v>354</v>
      </c>
      <c r="BG108" s="6">
        <v>329</v>
      </c>
      <c r="BH108" s="6">
        <v>1560</v>
      </c>
      <c r="BI108" s="6">
        <f t="shared" si="34"/>
        <v>348</v>
      </c>
      <c r="BJ108" s="6">
        <v>686</v>
      </c>
      <c r="BK108" s="6"/>
      <c r="BL108" s="6">
        <f t="shared" si="35"/>
        <v>357</v>
      </c>
      <c r="BM108" s="6">
        <v>1042</v>
      </c>
      <c r="BN108" s="6"/>
      <c r="BO108" s="6">
        <f t="shared" si="36"/>
        <v>356</v>
      </c>
      <c r="BP108" s="6">
        <v>1379</v>
      </c>
      <c r="BQ108" s="6"/>
      <c r="BR108" s="35">
        <f t="shared" si="37"/>
        <v>337</v>
      </c>
      <c r="BS108" s="6"/>
      <c r="BT108" s="6"/>
      <c r="BU108" s="6"/>
      <c r="BV108" s="6">
        <v>180</v>
      </c>
      <c r="BW108" s="6">
        <v>1560</v>
      </c>
      <c r="BX108" s="35">
        <f t="shared" si="38"/>
        <v>361</v>
      </c>
      <c r="BY108" s="6">
        <v>541</v>
      </c>
      <c r="BZ108" s="6"/>
      <c r="CA108" s="6">
        <f t="shared" si="39"/>
        <v>361</v>
      </c>
      <c r="CB108" s="6">
        <v>919</v>
      </c>
      <c r="CC108" s="6"/>
      <c r="CD108" s="6">
        <f t="shared" si="40"/>
        <v>378</v>
      </c>
      <c r="CE108" s="6">
        <v>1300</v>
      </c>
      <c r="CF108" s="6"/>
      <c r="CG108" s="6">
        <f t="shared" si="41"/>
        <v>381</v>
      </c>
      <c r="CH108" s="6">
        <v>0</v>
      </c>
      <c r="CI108" s="6">
        <v>1626</v>
      </c>
      <c r="CJ108" s="6">
        <f t="shared" si="42"/>
        <v>326</v>
      </c>
      <c r="CK108" s="6">
        <v>338</v>
      </c>
      <c r="CL108" s="6"/>
      <c r="CM108" s="6">
        <f t="shared" si="43"/>
        <v>338</v>
      </c>
      <c r="CN108" s="6"/>
      <c r="CO108" s="6"/>
      <c r="CP108" s="6"/>
      <c r="CQ108" s="6">
        <v>728</v>
      </c>
      <c r="CR108" s="6"/>
      <c r="CS108" s="6">
        <f t="shared" si="44"/>
        <v>390</v>
      </c>
      <c r="CT108" s="6">
        <v>1095</v>
      </c>
      <c r="CU108" s="6"/>
      <c r="CV108" s="6">
        <f t="shared" si="45"/>
        <v>367</v>
      </c>
      <c r="CW108" s="6">
        <v>1476</v>
      </c>
      <c r="CX108" s="6"/>
      <c r="CY108" s="6">
        <f t="shared" si="46"/>
        <v>381</v>
      </c>
      <c r="CZ108" s="6">
        <v>295</v>
      </c>
      <c r="DA108" s="6">
        <v>1560</v>
      </c>
      <c r="DB108" s="6">
        <f t="shared" si="47"/>
        <v>379</v>
      </c>
      <c r="DC108" s="6">
        <v>683</v>
      </c>
      <c r="DD108" s="6"/>
      <c r="DE108" s="6">
        <f t="shared" si="48"/>
        <v>388</v>
      </c>
      <c r="DF108" s="6">
        <v>1050</v>
      </c>
      <c r="DG108" s="6"/>
      <c r="DH108" s="6">
        <f t="shared" si="49"/>
        <v>367</v>
      </c>
      <c r="DI108" s="6"/>
      <c r="DJ108" s="6"/>
      <c r="DK108" s="6"/>
      <c r="DL108" s="6">
        <v>1440</v>
      </c>
      <c r="DM108" s="6"/>
      <c r="DN108" s="6">
        <f t="shared" si="50"/>
        <v>390</v>
      </c>
      <c r="DO108" s="6">
        <v>231</v>
      </c>
      <c r="DP108" s="6">
        <v>1560</v>
      </c>
      <c r="DQ108" s="6">
        <f t="shared" si="51"/>
        <v>351</v>
      </c>
    </row>
    <row r="109" spans="1:121">
      <c r="A109" s="6">
        <v>105</v>
      </c>
      <c r="B109" s="6">
        <v>916</v>
      </c>
      <c r="C109" s="6"/>
      <c r="D109" s="6">
        <v>324</v>
      </c>
      <c r="E109" s="33" t="s">
        <v>37</v>
      </c>
      <c r="F109" s="33" t="s">
        <v>37</v>
      </c>
      <c r="G109" s="33" t="s">
        <v>37</v>
      </c>
      <c r="H109" s="33" t="s">
        <v>37</v>
      </c>
      <c r="I109" s="33" t="s">
        <v>37</v>
      </c>
      <c r="J109" s="33" t="s">
        <v>37</v>
      </c>
      <c r="K109" s="33" t="s">
        <v>37</v>
      </c>
      <c r="L109" s="33" t="s">
        <v>37</v>
      </c>
      <c r="M109" s="33" t="s">
        <v>37</v>
      </c>
      <c r="N109" s="33" t="s">
        <v>37</v>
      </c>
      <c r="O109" s="33" t="s">
        <v>37</v>
      </c>
      <c r="P109" s="33" t="s">
        <v>37</v>
      </c>
      <c r="Q109" s="33" t="s">
        <v>37</v>
      </c>
      <c r="R109" s="33" t="s">
        <v>37</v>
      </c>
      <c r="S109" s="33" t="s">
        <v>37</v>
      </c>
      <c r="T109" s="33" t="s">
        <v>37</v>
      </c>
      <c r="U109" s="33" t="s">
        <v>37</v>
      </c>
      <c r="V109" s="33" t="s">
        <v>37</v>
      </c>
      <c r="W109" s="33" t="s">
        <v>37</v>
      </c>
      <c r="X109" s="33" t="s">
        <v>37</v>
      </c>
      <c r="Y109" s="148" t="s">
        <v>37</v>
      </c>
      <c r="Z109" s="33" t="s">
        <v>37</v>
      </c>
      <c r="AA109" s="33" t="s">
        <v>37</v>
      </c>
      <c r="AB109" s="33" t="s">
        <v>37</v>
      </c>
      <c r="AC109" s="33" t="s">
        <v>37</v>
      </c>
      <c r="AD109" s="33" t="s">
        <v>37</v>
      </c>
      <c r="AE109" s="33" t="s">
        <v>37</v>
      </c>
      <c r="AF109" s="6">
        <v>1282</v>
      </c>
      <c r="AG109" s="6"/>
      <c r="AH109" s="35">
        <f t="shared" si="26"/>
        <v>366</v>
      </c>
      <c r="AI109" s="35">
        <v>72</v>
      </c>
      <c r="AJ109" s="35">
        <v>1560</v>
      </c>
      <c r="AK109" s="35">
        <f t="shared" si="27"/>
        <v>350</v>
      </c>
      <c r="AL109" s="6">
        <v>420</v>
      </c>
      <c r="AM109" s="6"/>
      <c r="AN109" s="35">
        <f t="shared" si="28"/>
        <v>348</v>
      </c>
      <c r="AO109" s="6">
        <v>771</v>
      </c>
      <c r="AP109" s="6"/>
      <c r="AQ109" s="34">
        <f t="shared" si="29"/>
        <v>351</v>
      </c>
      <c r="AR109" s="35">
        <v>1128</v>
      </c>
      <c r="AS109" s="35"/>
      <c r="AT109" s="35">
        <f t="shared" si="30"/>
        <v>357</v>
      </c>
      <c r="AU109" s="6">
        <v>1464</v>
      </c>
      <c r="AV109" s="6"/>
      <c r="AW109" s="35">
        <f t="shared" si="31"/>
        <v>336</v>
      </c>
      <c r="AX109" s="6"/>
      <c r="AY109" s="6"/>
      <c r="AZ109" s="35"/>
      <c r="BA109" s="35">
        <v>262</v>
      </c>
      <c r="BB109" s="35">
        <v>1560</v>
      </c>
      <c r="BC109" s="35">
        <f t="shared" si="32"/>
        <v>358</v>
      </c>
      <c r="BD109" s="6">
        <v>611</v>
      </c>
      <c r="BE109" s="6"/>
      <c r="BF109" s="35">
        <f t="shared" si="33"/>
        <v>349</v>
      </c>
      <c r="BG109" s="6">
        <v>947</v>
      </c>
      <c r="BH109" s="6"/>
      <c r="BI109" s="6">
        <f t="shared" si="34"/>
        <v>336</v>
      </c>
      <c r="BJ109" s="6">
        <v>1305</v>
      </c>
      <c r="BK109" s="6"/>
      <c r="BL109" s="6">
        <f t="shared" si="35"/>
        <v>358</v>
      </c>
      <c r="BM109" s="6">
        <v>98</v>
      </c>
      <c r="BN109" s="6">
        <v>1560</v>
      </c>
      <c r="BO109" s="6">
        <f t="shared" si="36"/>
        <v>353</v>
      </c>
      <c r="BP109" s="6">
        <v>436</v>
      </c>
      <c r="BQ109" s="6"/>
      <c r="BR109" s="35">
        <f t="shared" si="37"/>
        <v>338</v>
      </c>
      <c r="BS109" s="6"/>
      <c r="BT109" s="6"/>
      <c r="BU109" s="6"/>
      <c r="BV109" s="6">
        <v>792</v>
      </c>
      <c r="BW109" s="6"/>
      <c r="BX109" s="35">
        <f t="shared" si="38"/>
        <v>356</v>
      </c>
      <c r="BY109" s="6">
        <v>1184</v>
      </c>
      <c r="BZ109" s="6"/>
      <c r="CA109" s="6">
        <f>BZ109+BY109-BV109</f>
        <v>392</v>
      </c>
      <c r="CB109" s="6">
        <v>20</v>
      </c>
      <c r="CC109" s="6">
        <v>1560</v>
      </c>
      <c r="CD109" s="6">
        <f t="shared" si="40"/>
        <v>396</v>
      </c>
      <c r="CE109" s="6">
        <v>409</v>
      </c>
      <c r="CF109" s="6"/>
      <c r="CG109" s="6">
        <f t="shared" si="41"/>
        <v>389</v>
      </c>
      <c r="CH109" s="6">
        <v>799</v>
      </c>
      <c r="CI109" s="6"/>
      <c r="CJ109" s="6">
        <f t="shared" si="42"/>
        <v>390</v>
      </c>
      <c r="CK109" s="6">
        <v>1173</v>
      </c>
      <c r="CL109" s="6"/>
      <c r="CM109" s="6">
        <f t="shared" si="43"/>
        <v>374</v>
      </c>
      <c r="CN109" s="6"/>
      <c r="CO109" s="6"/>
      <c r="CP109" s="6"/>
      <c r="CQ109" s="6">
        <v>1565</v>
      </c>
      <c r="CR109" s="6"/>
      <c r="CS109" s="6">
        <f t="shared" si="44"/>
        <v>392</v>
      </c>
      <c r="CT109" s="6">
        <v>280</v>
      </c>
      <c r="CU109" s="6">
        <v>1635</v>
      </c>
      <c r="CV109" s="6">
        <f t="shared" si="45"/>
        <v>350</v>
      </c>
      <c r="CW109" s="6">
        <v>662</v>
      </c>
      <c r="CX109" s="6"/>
      <c r="CY109" s="6">
        <f t="shared" si="46"/>
        <v>382</v>
      </c>
      <c r="CZ109" s="6">
        <v>1043</v>
      </c>
      <c r="DA109" s="6"/>
      <c r="DB109" s="6">
        <f t="shared" si="47"/>
        <v>381</v>
      </c>
      <c r="DC109" s="6">
        <v>1417</v>
      </c>
      <c r="DD109" s="6"/>
      <c r="DE109" s="6">
        <f t="shared" si="48"/>
        <v>374</v>
      </c>
      <c r="DF109" s="6">
        <v>197</v>
      </c>
      <c r="DG109" s="6">
        <v>1560</v>
      </c>
      <c r="DH109" s="6">
        <f t="shared" si="49"/>
        <v>340</v>
      </c>
      <c r="DI109" s="6"/>
      <c r="DJ109" s="6"/>
      <c r="DK109" s="6"/>
      <c r="DL109" s="6">
        <v>581</v>
      </c>
      <c r="DM109" s="6"/>
      <c r="DN109" s="6">
        <f t="shared" si="50"/>
        <v>384</v>
      </c>
      <c r="DO109" s="6">
        <v>940</v>
      </c>
      <c r="DP109" s="6"/>
      <c r="DQ109" s="6">
        <f t="shared" si="51"/>
        <v>359</v>
      </c>
    </row>
    <row r="110" spans="1:121">
      <c r="A110" s="6">
        <v>106</v>
      </c>
      <c r="B110" s="6">
        <v>940</v>
      </c>
      <c r="C110" s="6"/>
      <c r="D110" s="6">
        <v>327</v>
      </c>
      <c r="E110" s="33" t="s">
        <v>128</v>
      </c>
      <c r="F110" s="33" t="s">
        <v>128</v>
      </c>
      <c r="G110" s="33" t="s">
        <v>128</v>
      </c>
      <c r="H110" s="33" t="s">
        <v>128</v>
      </c>
      <c r="I110" s="33" t="s">
        <v>128</v>
      </c>
      <c r="J110" s="33" t="s">
        <v>128</v>
      </c>
      <c r="K110" s="33" t="s">
        <v>128</v>
      </c>
      <c r="L110" s="33" t="s">
        <v>128</v>
      </c>
      <c r="M110" s="33" t="s">
        <v>128</v>
      </c>
      <c r="N110" s="33" t="s">
        <v>128</v>
      </c>
      <c r="O110" s="33" t="s">
        <v>128</v>
      </c>
      <c r="P110" s="33" t="s">
        <v>128</v>
      </c>
      <c r="Q110" s="148" t="s">
        <v>128</v>
      </c>
      <c r="R110" s="33" t="s">
        <v>128</v>
      </c>
      <c r="S110" s="33" t="s">
        <v>128</v>
      </c>
      <c r="T110" s="33" t="s">
        <v>128</v>
      </c>
      <c r="U110" s="33" t="s">
        <v>128</v>
      </c>
      <c r="V110" s="33" t="s">
        <v>128</v>
      </c>
      <c r="W110" s="33" t="s">
        <v>128</v>
      </c>
      <c r="X110" s="33" t="s">
        <v>128</v>
      </c>
      <c r="Y110" s="33" t="s">
        <v>128</v>
      </c>
      <c r="Z110" s="33" t="s">
        <v>128</v>
      </c>
      <c r="AA110" s="33" t="s">
        <v>128</v>
      </c>
      <c r="AB110" s="33" t="s">
        <v>128</v>
      </c>
      <c r="AC110" s="33" t="s">
        <v>128</v>
      </c>
      <c r="AD110" s="33" t="s">
        <v>128</v>
      </c>
      <c r="AE110" s="33" t="s">
        <v>128</v>
      </c>
      <c r="AF110" s="6">
        <v>1318</v>
      </c>
      <c r="AG110" s="6"/>
      <c r="AH110" s="35">
        <f t="shared" si="26"/>
        <v>378</v>
      </c>
      <c r="AI110" s="35">
        <v>118</v>
      </c>
      <c r="AJ110" s="35">
        <v>1556</v>
      </c>
      <c r="AK110" s="35">
        <f t="shared" si="27"/>
        <v>356</v>
      </c>
      <c r="AL110" s="6">
        <v>475</v>
      </c>
      <c r="AM110" s="6"/>
      <c r="AN110" s="35">
        <f t="shared" si="28"/>
        <v>357</v>
      </c>
      <c r="AO110" s="6">
        <v>829</v>
      </c>
      <c r="AP110" s="6"/>
      <c r="AQ110" s="34">
        <f t="shared" si="29"/>
        <v>354</v>
      </c>
      <c r="AR110" s="35">
        <v>1186</v>
      </c>
      <c r="AS110" s="35"/>
      <c r="AT110" s="35">
        <f t="shared" si="30"/>
        <v>357</v>
      </c>
      <c r="AU110" s="6">
        <v>1524</v>
      </c>
      <c r="AV110" s="6"/>
      <c r="AW110" s="35">
        <f t="shared" si="31"/>
        <v>338</v>
      </c>
      <c r="AX110" s="6"/>
      <c r="AY110" s="6"/>
      <c r="AZ110" s="35"/>
      <c r="BA110" s="35">
        <v>316</v>
      </c>
      <c r="BB110" s="35">
        <v>1570</v>
      </c>
      <c r="BC110" s="35">
        <f t="shared" si="32"/>
        <v>362</v>
      </c>
      <c r="BD110" s="6">
        <v>666</v>
      </c>
      <c r="BE110" s="6"/>
      <c r="BF110" s="35">
        <f t="shared" si="33"/>
        <v>350</v>
      </c>
      <c r="BG110" s="6">
        <v>1023</v>
      </c>
      <c r="BH110" s="6"/>
      <c r="BI110" s="6">
        <f t="shared" si="34"/>
        <v>357</v>
      </c>
      <c r="BJ110" s="6">
        <v>1381</v>
      </c>
      <c r="BK110" s="6"/>
      <c r="BL110" s="6">
        <f t="shared" si="35"/>
        <v>358</v>
      </c>
      <c r="BM110" s="6">
        <v>0</v>
      </c>
      <c r="BN110" s="6">
        <v>1614</v>
      </c>
      <c r="BO110" s="6">
        <f t="shared" si="36"/>
        <v>233</v>
      </c>
      <c r="BP110" s="6">
        <v>297</v>
      </c>
      <c r="BQ110" s="6"/>
      <c r="BR110" s="35">
        <f t="shared" si="37"/>
        <v>297</v>
      </c>
      <c r="BS110" s="6"/>
      <c r="BT110" s="6"/>
      <c r="BU110" s="6"/>
      <c r="BV110" s="6">
        <v>660</v>
      </c>
      <c r="BW110" s="6"/>
      <c r="BX110" s="35">
        <f t="shared" si="38"/>
        <v>363</v>
      </c>
      <c r="BY110" s="6">
        <v>1040</v>
      </c>
      <c r="BZ110" s="6"/>
      <c r="CA110" s="6">
        <f t="shared" si="39"/>
        <v>380</v>
      </c>
      <c r="CB110" s="6">
        <v>1421</v>
      </c>
      <c r="CC110" s="6"/>
      <c r="CD110" s="6">
        <f t="shared" si="40"/>
        <v>381</v>
      </c>
      <c r="CE110" s="6">
        <v>241</v>
      </c>
      <c r="CF110" s="6">
        <v>1560</v>
      </c>
      <c r="CG110" s="6">
        <f t="shared" si="41"/>
        <v>380</v>
      </c>
      <c r="CH110" s="6">
        <v>623</v>
      </c>
      <c r="CI110" s="6"/>
      <c r="CJ110" s="6">
        <f t="shared" si="42"/>
        <v>382</v>
      </c>
      <c r="CK110" s="6">
        <v>995</v>
      </c>
      <c r="CL110" s="6"/>
      <c r="CM110" s="6">
        <f t="shared" si="43"/>
        <v>372</v>
      </c>
      <c r="CN110" s="6"/>
      <c r="CO110" s="6"/>
      <c r="CP110" s="6"/>
      <c r="CQ110" s="6">
        <v>1384</v>
      </c>
      <c r="CR110" s="6"/>
      <c r="CS110" s="6">
        <f t="shared" si="44"/>
        <v>389</v>
      </c>
      <c r="CT110" s="6">
        <v>202</v>
      </c>
      <c r="CU110" s="6">
        <v>1560</v>
      </c>
      <c r="CV110" s="6">
        <f t="shared" si="45"/>
        <v>378</v>
      </c>
      <c r="CW110" s="6">
        <v>586</v>
      </c>
      <c r="CX110" s="6"/>
      <c r="CY110" s="6">
        <f t="shared" si="46"/>
        <v>384</v>
      </c>
      <c r="CZ110" s="6">
        <v>966</v>
      </c>
      <c r="DA110" s="6"/>
      <c r="DB110" s="6">
        <f t="shared" si="47"/>
        <v>380</v>
      </c>
      <c r="DC110" s="6">
        <v>1340</v>
      </c>
      <c r="DD110" s="6"/>
      <c r="DE110" s="6">
        <f t="shared" si="48"/>
        <v>374</v>
      </c>
      <c r="DF110" s="6">
        <v>150</v>
      </c>
      <c r="DG110" s="6">
        <v>1560</v>
      </c>
      <c r="DH110" s="6">
        <f t="shared" si="49"/>
        <v>370</v>
      </c>
      <c r="DI110" s="6"/>
      <c r="DJ110" s="6"/>
      <c r="DK110" s="6"/>
      <c r="DL110" s="6">
        <v>536</v>
      </c>
      <c r="DM110" s="6"/>
      <c r="DN110" s="6">
        <f t="shared" si="50"/>
        <v>386</v>
      </c>
      <c r="DO110" s="6">
        <v>878</v>
      </c>
      <c r="DP110" s="6"/>
      <c r="DQ110" s="6">
        <f t="shared" si="51"/>
        <v>342</v>
      </c>
    </row>
    <row r="111" spans="1:121">
      <c r="A111" s="6">
        <v>107</v>
      </c>
      <c r="B111" s="6">
        <v>102</v>
      </c>
      <c r="C111" s="6">
        <v>1560</v>
      </c>
      <c r="D111" s="6">
        <v>327</v>
      </c>
      <c r="E111" s="33" t="s">
        <v>37</v>
      </c>
      <c r="F111" s="33" t="s">
        <v>37</v>
      </c>
      <c r="G111" s="33" t="s">
        <v>37</v>
      </c>
      <c r="H111" s="33" t="s">
        <v>37</v>
      </c>
      <c r="I111" s="33" t="s">
        <v>37</v>
      </c>
      <c r="J111" s="33" t="s">
        <v>37</v>
      </c>
      <c r="K111" s="33" t="s">
        <v>37</v>
      </c>
      <c r="L111" s="33" t="s">
        <v>37</v>
      </c>
      <c r="M111" s="33" t="s">
        <v>37</v>
      </c>
      <c r="N111" s="33" t="s">
        <v>37</v>
      </c>
      <c r="O111" s="33" t="s">
        <v>37</v>
      </c>
      <c r="P111" s="33" t="s">
        <v>37</v>
      </c>
      <c r="Q111" s="33" t="s">
        <v>37</v>
      </c>
      <c r="R111" s="33" t="s">
        <v>37</v>
      </c>
      <c r="S111" s="33" t="s">
        <v>37</v>
      </c>
      <c r="T111" s="33" t="s">
        <v>37</v>
      </c>
      <c r="U111" s="33" t="s">
        <v>37</v>
      </c>
      <c r="V111" s="33" t="s">
        <v>37</v>
      </c>
      <c r="W111" s="148" t="s">
        <v>37</v>
      </c>
      <c r="X111" s="33" t="s">
        <v>37</v>
      </c>
      <c r="Y111" s="33" t="s">
        <v>37</v>
      </c>
      <c r="Z111" s="33" t="s">
        <v>37</v>
      </c>
      <c r="AA111" s="33" t="s">
        <v>37</v>
      </c>
      <c r="AB111" s="33" t="s">
        <v>37</v>
      </c>
      <c r="AC111" s="33" t="s">
        <v>37</v>
      </c>
      <c r="AD111" s="33" t="s">
        <v>37</v>
      </c>
      <c r="AE111" s="33" t="s">
        <v>37</v>
      </c>
      <c r="AF111" s="6">
        <v>482</v>
      </c>
      <c r="AG111" s="6"/>
      <c r="AH111" s="35">
        <f t="shared" si="26"/>
        <v>380</v>
      </c>
      <c r="AI111" s="35">
        <v>839</v>
      </c>
      <c r="AJ111" s="35"/>
      <c r="AK111" s="35">
        <f t="shared" si="27"/>
        <v>357</v>
      </c>
      <c r="AL111" s="6">
        <v>1199</v>
      </c>
      <c r="AM111" s="6"/>
      <c r="AN111" s="35">
        <f t="shared" si="28"/>
        <v>360</v>
      </c>
      <c r="AO111" s="6">
        <v>1552</v>
      </c>
      <c r="AP111" s="6"/>
      <c r="AQ111" s="34">
        <f t="shared" si="29"/>
        <v>353</v>
      </c>
      <c r="AR111" s="35">
        <v>349</v>
      </c>
      <c r="AS111" s="35">
        <v>1560</v>
      </c>
      <c r="AT111" s="35">
        <f t="shared" si="30"/>
        <v>357</v>
      </c>
      <c r="AU111" s="6">
        <v>684</v>
      </c>
      <c r="AV111" s="6"/>
      <c r="AW111" s="35">
        <f t="shared" si="31"/>
        <v>335</v>
      </c>
      <c r="AX111" s="6"/>
      <c r="AY111" s="6"/>
      <c r="AZ111" s="35"/>
      <c r="BA111" s="35">
        <v>1050</v>
      </c>
      <c r="BB111" s="35"/>
      <c r="BC111" s="35">
        <f t="shared" si="32"/>
        <v>366</v>
      </c>
      <c r="BD111" s="6">
        <v>1407</v>
      </c>
      <c r="BE111" s="6"/>
      <c r="BF111" s="35">
        <f t="shared" si="33"/>
        <v>357</v>
      </c>
      <c r="BG111" s="6">
        <v>205</v>
      </c>
      <c r="BH111" s="6">
        <v>1560</v>
      </c>
      <c r="BI111" s="6">
        <f t="shared" si="34"/>
        <v>358</v>
      </c>
      <c r="BJ111" s="6">
        <v>570</v>
      </c>
      <c r="BK111" s="6"/>
      <c r="BL111" s="6">
        <f t="shared" si="35"/>
        <v>365</v>
      </c>
      <c r="BM111" s="6">
        <v>929</v>
      </c>
      <c r="BN111" s="6"/>
      <c r="BO111" s="6">
        <f t="shared" si="36"/>
        <v>359</v>
      </c>
      <c r="BP111" s="6">
        <v>1266</v>
      </c>
      <c r="BQ111" s="6"/>
      <c r="BR111" s="35">
        <f t="shared" si="37"/>
        <v>337</v>
      </c>
      <c r="BS111" s="6"/>
      <c r="BT111" s="6"/>
      <c r="BU111" s="6"/>
      <c r="BV111" s="6">
        <v>121</v>
      </c>
      <c r="BW111" s="6">
        <v>1510</v>
      </c>
      <c r="BX111" s="35">
        <f t="shared" si="38"/>
        <v>365</v>
      </c>
      <c r="BY111" s="6">
        <v>490</v>
      </c>
      <c r="BZ111" s="6"/>
      <c r="CA111" s="6">
        <f t="shared" si="39"/>
        <v>369</v>
      </c>
      <c r="CB111" s="6">
        <v>859</v>
      </c>
      <c r="CC111" s="6"/>
      <c r="CD111" s="6">
        <f t="shared" si="40"/>
        <v>369</v>
      </c>
      <c r="CE111" s="6">
        <v>1218</v>
      </c>
      <c r="CF111" s="6"/>
      <c r="CG111" s="6">
        <f t="shared" si="41"/>
        <v>359</v>
      </c>
      <c r="CH111" s="6">
        <v>1586</v>
      </c>
      <c r="CI111" s="6"/>
      <c r="CJ111" s="6">
        <f t="shared" si="42"/>
        <v>368</v>
      </c>
      <c r="CK111" s="6">
        <v>273</v>
      </c>
      <c r="CL111" s="6">
        <v>1664</v>
      </c>
      <c r="CM111" s="6">
        <f t="shared" si="43"/>
        <v>351</v>
      </c>
      <c r="CN111" s="6"/>
      <c r="CO111" s="6"/>
      <c r="CP111" s="6"/>
      <c r="CQ111" s="6">
        <v>648</v>
      </c>
      <c r="CR111" s="6"/>
      <c r="CS111" s="6">
        <f t="shared" si="44"/>
        <v>375</v>
      </c>
      <c r="CT111" s="6">
        <v>1015</v>
      </c>
      <c r="CU111" s="6"/>
      <c r="CV111" s="6">
        <f t="shared" si="45"/>
        <v>367</v>
      </c>
      <c r="CW111" s="6">
        <v>1388</v>
      </c>
      <c r="CX111" s="6"/>
      <c r="CY111" s="6">
        <f t="shared" si="46"/>
        <v>373</v>
      </c>
      <c r="CZ111" s="6">
        <v>202</v>
      </c>
      <c r="DA111" s="6">
        <v>1560</v>
      </c>
      <c r="DB111" s="6">
        <f t="shared" si="47"/>
        <v>374</v>
      </c>
      <c r="DC111" s="6">
        <v>582</v>
      </c>
      <c r="DD111" s="6"/>
      <c r="DE111" s="6">
        <f t="shared" si="48"/>
        <v>380</v>
      </c>
      <c r="DF111" s="6">
        <v>928</v>
      </c>
      <c r="DG111" s="6"/>
      <c r="DH111" s="6">
        <f t="shared" si="49"/>
        <v>346</v>
      </c>
      <c r="DI111" s="6"/>
      <c r="DJ111" s="6"/>
      <c r="DK111" s="6"/>
      <c r="DL111" s="6">
        <v>1311</v>
      </c>
      <c r="DM111" s="6"/>
      <c r="DN111" s="6">
        <f t="shared" si="50"/>
        <v>383</v>
      </c>
      <c r="DO111" s="6">
        <v>106</v>
      </c>
      <c r="DP111" s="6">
        <v>1561</v>
      </c>
      <c r="DQ111" s="6">
        <f t="shared" si="51"/>
        <v>356</v>
      </c>
    </row>
    <row r="112" spans="1:121">
      <c r="A112" s="6">
        <v>108</v>
      </c>
      <c r="B112" s="6">
        <v>243</v>
      </c>
      <c r="C112" s="6">
        <v>1560</v>
      </c>
      <c r="D112" s="6">
        <v>332</v>
      </c>
      <c r="E112" s="33" t="s">
        <v>37</v>
      </c>
      <c r="F112" s="33" t="s">
        <v>37</v>
      </c>
      <c r="G112" s="33" t="s">
        <v>37</v>
      </c>
      <c r="H112" s="33" t="s">
        <v>37</v>
      </c>
      <c r="I112" s="33" t="s">
        <v>37</v>
      </c>
      <c r="J112" s="33" t="s">
        <v>37</v>
      </c>
      <c r="K112" s="33" t="s">
        <v>37</v>
      </c>
      <c r="L112" s="33" t="s">
        <v>37</v>
      </c>
      <c r="M112" s="33" t="s">
        <v>37</v>
      </c>
      <c r="N112" s="33" t="s">
        <v>37</v>
      </c>
      <c r="O112" s="33" t="s">
        <v>37</v>
      </c>
      <c r="P112" s="33" t="s">
        <v>37</v>
      </c>
      <c r="Q112" s="33" t="s">
        <v>37</v>
      </c>
      <c r="R112" s="33" t="s">
        <v>37</v>
      </c>
      <c r="S112" s="33" t="s">
        <v>37</v>
      </c>
      <c r="T112" s="33" t="s">
        <v>37</v>
      </c>
      <c r="U112" s="33" t="s">
        <v>37</v>
      </c>
      <c r="V112" s="33" t="s">
        <v>37</v>
      </c>
      <c r="W112" s="148" t="s">
        <v>37</v>
      </c>
      <c r="X112" s="33" t="s">
        <v>37</v>
      </c>
      <c r="Y112" s="33" t="s">
        <v>37</v>
      </c>
      <c r="Z112" s="33" t="s">
        <v>37</v>
      </c>
      <c r="AA112" s="33" t="s">
        <v>37</v>
      </c>
      <c r="AB112" s="33" t="s">
        <v>37</v>
      </c>
      <c r="AC112" s="33" t="s">
        <v>37</v>
      </c>
      <c r="AD112" s="33" t="s">
        <v>37</v>
      </c>
      <c r="AE112" s="33" t="s">
        <v>37</v>
      </c>
      <c r="AF112" s="6">
        <v>630</v>
      </c>
      <c r="AG112" s="6"/>
      <c r="AH112" s="35">
        <f t="shared" si="26"/>
        <v>387</v>
      </c>
      <c r="AI112" s="35">
        <v>989</v>
      </c>
      <c r="AJ112" s="35"/>
      <c r="AK112" s="35">
        <f t="shared" si="27"/>
        <v>359</v>
      </c>
      <c r="AL112" s="6">
        <v>1350</v>
      </c>
      <c r="AM112" s="6"/>
      <c r="AN112" s="35">
        <f t="shared" si="28"/>
        <v>361</v>
      </c>
      <c r="AO112" s="6">
        <v>1711</v>
      </c>
      <c r="AP112" s="6"/>
      <c r="AQ112" s="34">
        <f t="shared" si="29"/>
        <v>361</v>
      </c>
      <c r="AR112" s="35">
        <v>253</v>
      </c>
      <c r="AS112" s="35">
        <v>1820</v>
      </c>
      <c r="AT112" s="35">
        <f t="shared" si="30"/>
        <v>362</v>
      </c>
      <c r="AU112" s="6">
        <v>597</v>
      </c>
      <c r="AV112" s="6"/>
      <c r="AW112" s="35">
        <f t="shared" si="31"/>
        <v>344</v>
      </c>
      <c r="AX112" s="6"/>
      <c r="AY112" s="6"/>
      <c r="AZ112" s="35"/>
      <c r="BA112" s="35">
        <v>966</v>
      </c>
      <c r="BB112" s="35"/>
      <c r="BC112" s="35">
        <f t="shared" si="32"/>
        <v>369</v>
      </c>
      <c r="BD112" s="6">
        <v>1327</v>
      </c>
      <c r="BE112" s="6"/>
      <c r="BF112" s="35">
        <f t="shared" si="33"/>
        <v>361</v>
      </c>
      <c r="BG112" s="6">
        <v>122</v>
      </c>
      <c r="BH112" s="6">
        <v>1560</v>
      </c>
      <c r="BI112" s="6">
        <f t="shared" si="34"/>
        <v>355</v>
      </c>
      <c r="BJ112" s="6">
        <v>483</v>
      </c>
      <c r="BK112" s="6"/>
      <c r="BL112" s="6">
        <f t="shared" si="35"/>
        <v>361</v>
      </c>
      <c r="BM112" s="6">
        <v>843</v>
      </c>
      <c r="BN112" s="6"/>
      <c r="BO112" s="6">
        <f t="shared" si="36"/>
        <v>360</v>
      </c>
      <c r="BP112" s="6">
        <v>1184</v>
      </c>
      <c r="BQ112" s="6"/>
      <c r="BR112" s="35">
        <f t="shared" si="37"/>
        <v>341</v>
      </c>
      <c r="BS112" s="6"/>
      <c r="BT112" s="6"/>
      <c r="BU112" s="6"/>
      <c r="BV112" s="6">
        <v>1550</v>
      </c>
      <c r="BW112" s="6"/>
      <c r="BX112" s="35">
        <f t="shared" si="38"/>
        <v>366</v>
      </c>
      <c r="BY112" s="6">
        <v>372</v>
      </c>
      <c r="BZ112" s="6">
        <v>1560</v>
      </c>
      <c r="CA112" s="6">
        <f t="shared" si="39"/>
        <v>382</v>
      </c>
      <c r="CB112" s="6">
        <v>748</v>
      </c>
      <c r="CC112" s="6"/>
      <c r="CD112" s="6">
        <f t="shared" si="40"/>
        <v>376</v>
      </c>
      <c r="CE112" s="6">
        <v>1135</v>
      </c>
      <c r="CF112" s="6"/>
      <c r="CG112" s="6">
        <f t="shared" si="41"/>
        <v>387</v>
      </c>
      <c r="CH112" s="6">
        <v>0</v>
      </c>
      <c r="CI112" s="6">
        <v>1365</v>
      </c>
      <c r="CJ112" s="6">
        <f t="shared" si="42"/>
        <v>230</v>
      </c>
      <c r="CK112" s="6">
        <v>67</v>
      </c>
      <c r="CL112" s="6">
        <v>275</v>
      </c>
      <c r="CM112" s="6">
        <f t="shared" si="43"/>
        <v>342</v>
      </c>
      <c r="CN112" s="6"/>
      <c r="CO112" s="6"/>
      <c r="CP112" s="6"/>
      <c r="CQ112" s="6">
        <v>450</v>
      </c>
      <c r="CR112" s="6"/>
      <c r="CS112" s="6">
        <f t="shared" si="44"/>
        <v>383</v>
      </c>
      <c r="CT112" s="6">
        <v>834</v>
      </c>
      <c r="CU112" s="6"/>
      <c r="CV112" s="6">
        <f t="shared" si="45"/>
        <v>384</v>
      </c>
      <c r="CW112" s="6">
        <v>1208</v>
      </c>
      <c r="CX112" s="6"/>
      <c r="CY112" s="6">
        <f t="shared" si="46"/>
        <v>374</v>
      </c>
      <c r="CZ112" s="6">
        <v>13</v>
      </c>
      <c r="DA112" s="6">
        <v>1560</v>
      </c>
      <c r="DB112" s="6">
        <f t="shared" si="47"/>
        <v>365</v>
      </c>
      <c r="DC112" s="6">
        <v>218</v>
      </c>
      <c r="DD112" s="6">
        <v>177</v>
      </c>
      <c r="DE112" s="6">
        <f t="shared" si="48"/>
        <v>382</v>
      </c>
      <c r="DF112" s="6">
        <v>186</v>
      </c>
      <c r="DG112" s="6">
        <v>403</v>
      </c>
      <c r="DH112" s="6">
        <f t="shared" si="49"/>
        <v>371</v>
      </c>
      <c r="DI112" s="6"/>
      <c r="DJ112" s="6"/>
      <c r="DK112" s="6"/>
      <c r="DL112" s="6">
        <v>580</v>
      </c>
      <c r="DM112" s="6"/>
      <c r="DN112" s="6">
        <f t="shared" si="50"/>
        <v>394</v>
      </c>
      <c r="DO112" s="6">
        <v>942</v>
      </c>
      <c r="DP112" s="6"/>
      <c r="DQ112" s="6">
        <f t="shared" si="51"/>
        <v>362</v>
      </c>
    </row>
    <row r="113" spans="1:121">
      <c r="A113" s="6">
        <v>109</v>
      </c>
      <c r="B113" s="6">
        <v>1003</v>
      </c>
      <c r="C113" s="6"/>
      <c r="D113" s="6">
        <v>315</v>
      </c>
      <c r="E113" s="33" t="s">
        <v>128</v>
      </c>
      <c r="F113" s="33" t="s">
        <v>128</v>
      </c>
      <c r="G113" s="33" t="s">
        <v>128</v>
      </c>
      <c r="H113" s="33" t="s">
        <v>128</v>
      </c>
      <c r="I113" s="33" t="s">
        <v>128</v>
      </c>
      <c r="J113" s="33" t="s">
        <v>128</v>
      </c>
      <c r="K113" s="33" t="s">
        <v>128</v>
      </c>
      <c r="L113" s="33" t="s">
        <v>128</v>
      </c>
      <c r="M113" s="33" t="s">
        <v>128</v>
      </c>
      <c r="N113" s="33" t="s">
        <v>128</v>
      </c>
      <c r="O113" s="33" t="s">
        <v>128</v>
      </c>
      <c r="P113" s="33" t="s">
        <v>128</v>
      </c>
      <c r="Q113" s="33" t="s">
        <v>128</v>
      </c>
      <c r="R113" s="33" t="s">
        <v>128</v>
      </c>
      <c r="S113" s="33" t="s">
        <v>128</v>
      </c>
      <c r="T113" s="33" t="s">
        <v>128</v>
      </c>
      <c r="U113" s="33" t="s">
        <v>128</v>
      </c>
      <c r="V113" s="33" t="s">
        <v>128</v>
      </c>
      <c r="W113" s="33" t="s">
        <v>128</v>
      </c>
      <c r="X113" s="148" t="s">
        <v>128</v>
      </c>
      <c r="Y113" s="33" t="s">
        <v>128</v>
      </c>
      <c r="Z113" s="33" t="s">
        <v>128</v>
      </c>
      <c r="AA113" s="33" t="s">
        <v>128</v>
      </c>
      <c r="AB113" s="33" t="s">
        <v>128</v>
      </c>
      <c r="AC113" s="33" t="s">
        <v>128</v>
      </c>
      <c r="AD113" s="33" t="s">
        <v>128</v>
      </c>
      <c r="AE113" s="33" t="s">
        <v>128</v>
      </c>
      <c r="AF113" s="6">
        <v>1386</v>
      </c>
      <c r="AG113" s="6"/>
      <c r="AH113" s="35">
        <f t="shared" si="26"/>
        <v>383</v>
      </c>
      <c r="AI113" s="35">
        <v>185</v>
      </c>
      <c r="AJ113" s="35">
        <v>1560</v>
      </c>
      <c r="AK113" s="35">
        <f t="shared" si="27"/>
        <v>359</v>
      </c>
      <c r="AL113" s="6">
        <v>549</v>
      </c>
      <c r="AM113" s="35"/>
      <c r="AN113" s="35">
        <f t="shared" si="28"/>
        <v>364</v>
      </c>
      <c r="AO113" s="6">
        <v>911</v>
      </c>
      <c r="AP113" s="6"/>
      <c r="AQ113" s="34">
        <f t="shared" si="29"/>
        <v>362</v>
      </c>
      <c r="AR113" s="35">
        <v>1268</v>
      </c>
      <c r="AS113" s="35"/>
      <c r="AT113" s="35">
        <f t="shared" si="30"/>
        <v>357</v>
      </c>
      <c r="AU113" s="6">
        <v>1611</v>
      </c>
      <c r="AV113" s="6"/>
      <c r="AW113" s="35">
        <f t="shared" si="31"/>
        <v>343</v>
      </c>
      <c r="AX113" s="6"/>
      <c r="AY113" s="6"/>
      <c r="AZ113" s="35"/>
      <c r="BA113" s="35">
        <v>358</v>
      </c>
      <c r="BB113" s="35">
        <v>1621</v>
      </c>
      <c r="BC113" s="35">
        <f t="shared" si="32"/>
        <v>368</v>
      </c>
      <c r="BD113" s="6">
        <v>717</v>
      </c>
      <c r="BE113" s="6"/>
      <c r="BF113" s="35">
        <f t="shared" si="33"/>
        <v>359</v>
      </c>
      <c r="BG113" s="6">
        <v>1080</v>
      </c>
      <c r="BH113" s="6"/>
      <c r="BI113" s="6">
        <f t="shared" si="34"/>
        <v>363</v>
      </c>
      <c r="BJ113" s="6">
        <v>1441</v>
      </c>
      <c r="BK113" s="6"/>
      <c r="BL113" s="6">
        <f t="shared" si="35"/>
        <v>361</v>
      </c>
      <c r="BM113" s="6">
        <v>241</v>
      </c>
      <c r="BN113" s="6">
        <v>1560</v>
      </c>
      <c r="BO113" s="6">
        <f t="shared" si="36"/>
        <v>360</v>
      </c>
      <c r="BP113" s="6">
        <v>580</v>
      </c>
      <c r="BQ113" s="6"/>
      <c r="BR113" s="35">
        <f t="shared" si="37"/>
        <v>339</v>
      </c>
      <c r="BS113" s="6"/>
      <c r="BT113" s="6"/>
      <c r="BU113" s="6"/>
      <c r="BV113" s="6">
        <v>940</v>
      </c>
      <c r="BW113" s="6"/>
      <c r="BX113" s="35">
        <f t="shared" si="38"/>
        <v>360</v>
      </c>
      <c r="BY113" s="6">
        <v>1296</v>
      </c>
      <c r="BZ113" s="6"/>
      <c r="CA113" s="6">
        <f t="shared" si="39"/>
        <v>356</v>
      </c>
      <c r="CB113" s="6">
        <v>120</v>
      </c>
      <c r="CC113" s="6">
        <v>1560</v>
      </c>
      <c r="CD113" s="6">
        <f t="shared" si="40"/>
        <v>384</v>
      </c>
      <c r="CE113" s="6">
        <v>505</v>
      </c>
      <c r="CF113" s="6"/>
      <c r="CG113" s="6">
        <f t="shared" si="41"/>
        <v>385</v>
      </c>
      <c r="CH113" s="6">
        <v>892</v>
      </c>
      <c r="CI113" s="6"/>
      <c r="CJ113" s="6">
        <f t="shared" si="42"/>
        <v>387</v>
      </c>
      <c r="CK113" s="6">
        <v>1242</v>
      </c>
      <c r="CL113" s="6"/>
      <c r="CM113" s="6">
        <f t="shared" si="43"/>
        <v>350</v>
      </c>
      <c r="CN113" s="6"/>
      <c r="CO113" s="6"/>
      <c r="CP113" s="6"/>
      <c r="CQ113" s="6">
        <v>288</v>
      </c>
      <c r="CR113" s="6">
        <v>1272</v>
      </c>
      <c r="CS113" s="6">
        <f t="shared" si="44"/>
        <v>318</v>
      </c>
      <c r="CT113" s="6">
        <v>669</v>
      </c>
      <c r="CU113" s="6"/>
      <c r="CV113" s="6">
        <f t="shared" si="45"/>
        <v>381</v>
      </c>
      <c r="CW113" s="6">
        <v>1054</v>
      </c>
      <c r="CX113" s="6"/>
      <c r="CY113" s="6">
        <f t="shared" si="46"/>
        <v>385</v>
      </c>
      <c r="CZ113" s="6">
        <v>1440</v>
      </c>
      <c r="DA113" s="6"/>
      <c r="DB113" s="6">
        <f t="shared" si="47"/>
        <v>386</v>
      </c>
      <c r="DC113" s="6">
        <v>265</v>
      </c>
      <c r="DD113" s="6">
        <v>1560</v>
      </c>
      <c r="DE113" s="6">
        <f t="shared" si="48"/>
        <v>385</v>
      </c>
      <c r="DF113" s="6">
        <v>215</v>
      </c>
      <c r="DG113" s="6">
        <v>413</v>
      </c>
      <c r="DH113" s="6">
        <f t="shared" si="49"/>
        <v>363</v>
      </c>
      <c r="DI113" s="6"/>
      <c r="DJ113" s="6"/>
      <c r="DK113" s="6"/>
      <c r="DL113" s="6">
        <v>603</v>
      </c>
      <c r="DM113" s="6"/>
      <c r="DN113" s="6">
        <f t="shared" si="50"/>
        <v>388</v>
      </c>
      <c r="DO113" s="6">
        <v>963</v>
      </c>
      <c r="DP113" s="6"/>
      <c r="DQ113" s="6">
        <f t="shared" si="51"/>
        <v>360</v>
      </c>
    </row>
    <row r="114" spans="1:121">
      <c r="A114" s="6">
        <v>110</v>
      </c>
      <c r="B114" s="6">
        <v>201</v>
      </c>
      <c r="C114" s="6">
        <v>1560</v>
      </c>
      <c r="D114" s="6">
        <v>326</v>
      </c>
      <c r="E114" s="33" t="s">
        <v>37</v>
      </c>
      <c r="F114" s="33" t="s">
        <v>37</v>
      </c>
      <c r="G114" s="33" t="s">
        <v>37</v>
      </c>
      <c r="H114" s="33" t="s">
        <v>37</v>
      </c>
      <c r="I114" s="33" t="s">
        <v>37</v>
      </c>
      <c r="J114" s="33" t="s">
        <v>37</v>
      </c>
      <c r="K114" s="33" t="s">
        <v>37</v>
      </c>
      <c r="L114" s="33" t="s">
        <v>37</v>
      </c>
      <c r="M114" s="33" t="s">
        <v>37</v>
      </c>
      <c r="N114" s="33" t="s">
        <v>37</v>
      </c>
      <c r="O114" s="33" t="s">
        <v>37</v>
      </c>
      <c r="P114" s="33" t="s">
        <v>37</v>
      </c>
      <c r="Q114" s="33" t="s">
        <v>37</v>
      </c>
      <c r="R114" s="33" t="s">
        <v>37</v>
      </c>
      <c r="S114" s="33" t="s">
        <v>37</v>
      </c>
      <c r="T114" s="33" t="s">
        <v>37</v>
      </c>
      <c r="U114" s="33" t="s">
        <v>37</v>
      </c>
      <c r="V114" s="33" t="s">
        <v>37</v>
      </c>
      <c r="W114" s="148" t="s">
        <v>37</v>
      </c>
      <c r="X114" s="33" t="s">
        <v>37</v>
      </c>
      <c r="Y114" s="33" t="s">
        <v>37</v>
      </c>
      <c r="Z114" s="33" t="s">
        <v>37</v>
      </c>
      <c r="AA114" s="33" t="s">
        <v>37</v>
      </c>
      <c r="AB114" s="33" t="s">
        <v>37</v>
      </c>
      <c r="AC114" s="33" t="s">
        <v>37</v>
      </c>
      <c r="AD114" s="33" t="s">
        <v>37</v>
      </c>
      <c r="AE114" s="33" t="s">
        <v>37</v>
      </c>
      <c r="AF114" s="6">
        <v>577</v>
      </c>
      <c r="AG114" s="6"/>
      <c r="AH114" s="35">
        <f t="shared" si="26"/>
        <v>376</v>
      </c>
      <c r="AI114" s="35">
        <v>934</v>
      </c>
      <c r="AJ114" s="35"/>
      <c r="AK114" s="35">
        <f t="shared" si="27"/>
        <v>357</v>
      </c>
      <c r="AL114" s="35">
        <v>1297</v>
      </c>
      <c r="AM114" s="6"/>
      <c r="AN114" s="35">
        <f t="shared" si="28"/>
        <v>363</v>
      </c>
      <c r="AO114" s="6">
        <v>1660</v>
      </c>
      <c r="AP114" s="6"/>
      <c r="AQ114" s="34">
        <f t="shared" si="29"/>
        <v>363</v>
      </c>
      <c r="AR114" s="35">
        <v>248</v>
      </c>
      <c r="AS114" s="35">
        <v>1774</v>
      </c>
      <c r="AT114" s="35">
        <f t="shared" si="30"/>
        <v>362</v>
      </c>
      <c r="AU114" s="6">
        <v>594</v>
      </c>
      <c r="AV114" s="6"/>
      <c r="AW114" s="35">
        <f t="shared" si="31"/>
        <v>346</v>
      </c>
      <c r="AX114" s="6"/>
      <c r="AY114" s="6"/>
      <c r="AZ114" s="35"/>
      <c r="BA114" s="35">
        <v>961</v>
      </c>
      <c r="BB114" s="35"/>
      <c r="BC114" s="35">
        <f t="shared" si="32"/>
        <v>367</v>
      </c>
      <c r="BD114" s="6">
        <v>1317</v>
      </c>
      <c r="BE114" s="6"/>
      <c r="BF114" s="35">
        <f t="shared" si="33"/>
        <v>356</v>
      </c>
      <c r="BG114" s="6">
        <v>120</v>
      </c>
      <c r="BH114" s="6">
        <v>1560</v>
      </c>
      <c r="BI114" s="6">
        <f t="shared" si="34"/>
        <v>363</v>
      </c>
      <c r="BJ114" s="6">
        <v>482</v>
      </c>
      <c r="BK114" s="6"/>
      <c r="BL114" s="6">
        <f t="shared" si="35"/>
        <v>362</v>
      </c>
      <c r="BM114" s="6">
        <v>845</v>
      </c>
      <c r="BN114" s="6"/>
      <c r="BO114" s="6">
        <f t="shared" si="36"/>
        <v>363</v>
      </c>
      <c r="BP114" s="6">
        <v>1165</v>
      </c>
      <c r="BQ114" s="6"/>
      <c r="BR114" s="35">
        <f t="shared" si="37"/>
        <v>320</v>
      </c>
      <c r="BS114" s="6"/>
      <c r="BT114" s="6"/>
      <c r="BU114" s="6"/>
      <c r="BV114" s="6">
        <v>1544</v>
      </c>
      <c r="BW114" s="6"/>
      <c r="BX114" s="35">
        <f t="shared" si="38"/>
        <v>379</v>
      </c>
      <c r="BY114" s="6">
        <v>357</v>
      </c>
      <c r="BZ114" s="6">
        <v>1560</v>
      </c>
      <c r="CA114" s="6">
        <f t="shared" si="39"/>
        <v>373</v>
      </c>
      <c r="CB114" s="6">
        <v>737</v>
      </c>
      <c r="CC114" s="6"/>
      <c r="CD114" s="6">
        <f t="shared" si="40"/>
        <v>380</v>
      </c>
      <c r="CE114" s="6">
        <v>1123</v>
      </c>
      <c r="CF114" s="6"/>
      <c r="CG114" s="6">
        <f t="shared" si="41"/>
        <v>386</v>
      </c>
      <c r="CH114" s="6">
        <v>0</v>
      </c>
      <c r="CI114" s="6">
        <v>1439</v>
      </c>
      <c r="CJ114" s="6">
        <f t="shared" si="42"/>
        <v>316</v>
      </c>
      <c r="CK114" s="6">
        <v>326</v>
      </c>
      <c r="CL114" s="6"/>
      <c r="CM114" s="6">
        <f t="shared" si="43"/>
        <v>326</v>
      </c>
      <c r="CN114" s="6"/>
      <c r="CO114" s="6"/>
      <c r="CP114" s="6"/>
      <c r="CQ114" s="6">
        <v>716</v>
      </c>
      <c r="CR114" s="6"/>
      <c r="CS114" s="6">
        <f t="shared" si="44"/>
        <v>390</v>
      </c>
      <c r="CT114" s="6">
        <v>1094</v>
      </c>
      <c r="CU114" s="6"/>
      <c r="CV114" s="6">
        <f t="shared" si="45"/>
        <v>378</v>
      </c>
      <c r="CW114" s="6">
        <v>1480</v>
      </c>
      <c r="CX114" s="6"/>
      <c r="CY114" s="6">
        <f t="shared" si="46"/>
        <v>386</v>
      </c>
      <c r="CZ114" s="6">
        <v>300</v>
      </c>
      <c r="DA114" s="6">
        <v>1560</v>
      </c>
      <c r="DB114" s="6">
        <f t="shared" si="47"/>
        <v>380</v>
      </c>
      <c r="DC114" s="6">
        <v>683</v>
      </c>
      <c r="DD114" s="6"/>
      <c r="DE114" s="6">
        <f t="shared" si="48"/>
        <v>383</v>
      </c>
      <c r="DF114" s="6">
        <v>129</v>
      </c>
      <c r="DG114" s="6">
        <v>914</v>
      </c>
      <c r="DH114" s="6">
        <f t="shared" si="49"/>
        <v>360</v>
      </c>
      <c r="DI114" s="6"/>
      <c r="DJ114" s="6"/>
      <c r="DK114" s="6"/>
      <c r="DL114" s="6">
        <v>518</v>
      </c>
      <c r="DM114" s="6"/>
      <c r="DN114" s="6">
        <f t="shared" si="50"/>
        <v>389</v>
      </c>
      <c r="DO114" s="6">
        <v>876</v>
      </c>
      <c r="DP114" s="6"/>
      <c r="DQ114" s="6">
        <f t="shared" si="51"/>
        <v>358</v>
      </c>
    </row>
    <row r="115" spans="1:121">
      <c r="A115" s="6">
        <v>111</v>
      </c>
      <c r="B115" s="6">
        <v>248</v>
      </c>
      <c r="C115" s="6">
        <v>1566</v>
      </c>
      <c r="D115" s="6">
        <v>300</v>
      </c>
      <c r="E115" s="148" t="s">
        <v>37</v>
      </c>
      <c r="F115" s="33" t="s">
        <v>37</v>
      </c>
      <c r="G115" s="33" t="s">
        <v>37</v>
      </c>
      <c r="H115" s="33" t="s">
        <v>37</v>
      </c>
      <c r="I115" s="33" t="s">
        <v>37</v>
      </c>
      <c r="J115" s="33" t="s">
        <v>37</v>
      </c>
      <c r="K115" s="33" t="s">
        <v>37</v>
      </c>
      <c r="L115" s="33" t="s">
        <v>37</v>
      </c>
      <c r="M115" s="33" t="s">
        <v>37</v>
      </c>
      <c r="N115" s="33" t="s">
        <v>37</v>
      </c>
      <c r="O115" s="33" t="s">
        <v>37</v>
      </c>
      <c r="P115" s="33" t="s">
        <v>37</v>
      </c>
      <c r="Q115" s="33" t="s">
        <v>37</v>
      </c>
      <c r="R115" s="33" t="s">
        <v>37</v>
      </c>
      <c r="S115" s="33" t="s">
        <v>37</v>
      </c>
      <c r="T115" s="33" t="s">
        <v>37</v>
      </c>
      <c r="U115" s="33" t="s">
        <v>37</v>
      </c>
      <c r="V115" s="33" t="s">
        <v>37</v>
      </c>
      <c r="W115" s="33" t="s">
        <v>37</v>
      </c>
      <c r="X115" s="33" t="s">
        <v>37</v>
      </c>
      <c r="Y115" s="33" t="s">
        <v>37</v>
      </c>
      <c r="Z115" s="33" t="s">
        <v>37</v>
      </c>
      <c r="AA115" s="148" t="s">
        <v>37</v>
      </c>
      <c r="AB115" s="33" t="s">
        <v>37</v>
      </c>
      <c r="AC115" s="33" t="s">
        <v>37</v>
      </c>
      <c r="AD115" s="33" t="s">
        <v>37</v>
      </c>
      <c r="AE115" s="33" t="s">
        <v>37</v>
      </c>
      <c r="AF115" s="35">
        <v>650</v>
      </c>
      <c r="AG115" s="35"/>
      <c r="AH115" s="35">
        <f t="shared" si="26"/>
        <v>402</v>
      </c>
      <c r="AI115" s="35">
        <v>1027</v>
      </c>
      <c r="AJ115" s="35"/>
      <c r="AK115" s="35">
        <f t="shared" si="27"/>
        <v>377</v>
      </c>
      <c r="AL115" s="6">
        <v>1401</v>
      </c>
      <c r="AM115" s="6"/>
      <c r="AN115" s="35">
        <f t="shared" si="28"/>
        <v>374</v>
      </c>
      <c r="AO115" s="6">
        <v>220</v>
      </c>
      <c r="AP115" s="6">
        <v>1560</v>
      </c>
      <c r="AQ115" s="34">
        <f t="shared" si="29"/>
        <v>379</v>
      </c>
      <c r="AR115" s="35">
        <v>598</v>
      </c>
      <c r="AS115" s="35"/>
      <c r="AT115" s="35">
        <f t="shared" si="30"/>
        <v>378</v>
      </c>
      <c r="AU115" s="6">
        <v>952</v>
      </c>
      <c r="AV115" s="6"/>
      <c r="AW115" s="35">
        <f t="shared" si="31"/>
        <v>354</v>
      </c>
      <c r="AX115" s="6"/>
      <c r="AY115" s="6"/>
      <c r="AZ115" s="35"/>
      <c r="BA115" s="35">
        <v>1328</v>
      </c>
      <c r="BB115" s="35"/>
      <c r="BC115" s="35">
        <f t="shared" si="32"/>
        <v>376</v>
      </c>
      <c r="BD115" s="6">
        <v>114</v>
      </c>
      <c r="BE115" s="6">
        <v>1560</v>
      </c>
      <c r="BF115" s="35">
        <f t="shared" si="33"/>
        <v>346</v>
      </c>
      <c r="BG115" s="6">
        <v>466</v>
      </c>
      <c r="BH115" s="6"/>
      <c r="BI115" s="6">
        <f t="shared" si="34"/>
        <v>352</v>
      </c>
      <c r="BJ115" s="6">
        <v>820</v>
      </c>
      <c r="BK115" s="6"/>
      <c r="BL115" s="6">
        <f t="shared" si="35"/>
        <v>354</v>
      </c>
      <c r="BM115" s="6">
        <v>1175</v>
      </c>
      <c r="BN115" s="6"/>
      <c r="BO115" s="6">
        <f t="shared" si="36"/>
        <v>355</v>
      </c>
      <c r="BP115" s="6">
        <v>1496</v>
      </c>
      <c r="BQ115" s="6"/>
      <c r="BR115" s="35">
        <f t="shared" si="37"/>
        <v>321</v>
      </c>
      <c r="BS115" s="6"/>
      <c r="BT115" s="6"/>
      <c r="BU115" s="6"/>
      <c r="BV115" s="6">
        <v>294</v>
      </c>
      <c r="BW115" s="6">
        <v>1560</v>
      </c>
      <c r="BX115" s="35">
        <f t="shared" si="38"/>
        <v>358</v>
      </c>
      <c r="BY115" s="6">
        <v>648</v>
      </c>
      <c r="BZ115" s="6"/>
      <c r="CA115" s="6">
        <f t="shared" si="39"/>
        <v>354</v>
      </c>
      <c r="CB115" s="6">
        <v>1016</v>
      </c>
      <c r="CC115" s="6"/>
      <c r="CD115" s="6">
        <f t="shared" si="40"/>
        <v>368</v>
      </c>
      <c r="CE115" s="6">
        <v>1395</v>
      </c>
      <c r="CF115" s="6"/>
      <c r="CG115" s="6">
        <f t="shared" si="41"/>
        <v>379</v>
      </c>
      <c r="CH115" s="6">
        <v>212</v>
      </c>
      <c r="CI115" s="6">
        <v>1560</v>
      </c>
      <c r="CJ115" s="6">
        <f t="shared" si="42"/>
        <v>377</v>
      </c>
      <c r="CK115" s="6">
        <v>575</v>
      </c>
      <c r="CL115" s="6"/>
      <c r="CM115" s="6">
        <f t="shared" si="43"/>
        <v>363</v>
      </c>
      <c r="CN115" s="6"/>
      <c r="CO115" s="6"/>
      <c r="CP115" s="6"/>
      <c r="CQ115" s="6">
        <v>964</v>
      </c>
      <c r="CR115" s="6"/>
      <c r="CS115" s="6">
        <f t="shared" si="44"/>
        <v>389</v>
      </c>
      <c r="CT115" s="6">
        <v>62</v>
      </c>
      <c r="CU115" s="6">
        <v>1280</v>
      </c>
      <c r="CV115" s="6">
        <f t="shared" si="45"/>
        <v>378</v>
      </c>
      <c r="CW115" s="6">
        <v>0</v>
      </c>
      <c r="CX115" s="6">
        <v>394</v>
      </c>
      <c r="CY115" s="6">
        <f t="shared" si="46"/>
        <v>332</v>
      </c>
      <c r="CZ115" s="6">
        <v>340</v>
      </c>
      <c r="DA115" s="6"/>
      <c r="DB115" s="6">
        <f t="shared" si="47"/>
        <v>340</v>
      </c>
      <c r="DC115" s="6">
        <v>723</v>
      </c>
      <c r="DD115" s="6"/>
      <c r="DE115" s="6">
        <f t="shared" si="48"/>
        <v>383</v>
      </c>
      <c r="DF115" s="6">
        <v>1092</v>
      </c>
      <c r="DG115" s="6"/>
      <c r="DH115" s="6">
        <f t="shared" si="49"/>
        <v>369</v>
      </c>
      <c r="DI115" s="6"/>
      <c r="DJ115" s="6"/>
      <c r="DK115" s="6"/>
      <c r="DL115" s="6">
        <v>1473</v>
      </c>
      <c r="DM115" s="6"/>
      <c r="DN115" s="6">
        <f t="shared" si="50"/>
        <v>381</v>
      </c>
      <c r="DO115" s="6">
        <v>256</v>
      </c>
      <c r="DP115" s="6">
        <v>1560</v>
      </c>
      <c r="DQ115" s="6">
        <f t="shared" si="51"/>
        <v>343</v>
      </c>
    </row>
    <row r="116" spans="1:121">
      <c r="A116" s="6">
        <v>112</v>
      </c>
      <c r="B116" s="6">
        <v>998</v>
      </c>
      <c r="C116" s="6"/>
      <c r="D116" s="6">
        <v>329</v>
      </c>
      <c r="E116" s="33" t="s">
        <v>128</v>
      </c>
      <c r="F116" s="33" t="s">
        <v>128</v>
      </c>
      <c r="G116" s="33" t="s">
        <v>128</v>
      </c>
      <c r="H116" s="33" t="s">
        <v>128</v>
      </c>
      <c r="I116" s="33" t="s">
        <v>128</v>
      </c>
      <c r="J116" s="33" t="s">
        <v>128</v>
      </c>
      <c r="K116" s="33" t="s">
        <v>128</v>
      </c>
      <c r="L116" s="33" t="s">
        <v>128</v>
      </c>
      <c r="M116" s="33" t="s">
        <v>128</v>
      </c>
      <c r="N116" s="33" t="s">
        <v>128</v>
      </c>
      <c r="O116" s="33" t="s">
        <v>128</v>
      </c>
      <c r="P116" s="33" t="s">
        <v>128</v>
      </c>
      <c r="Q116" s="33" t="s">
        <v>128</v>
      </c>
      <c r="R116" s="33" t="s">
        <v>128</v>
      </c>
      <c r="S116" s="33" t="s">
        <v>128</v>
      </c>
      <c r="T116" s="33" t="s">
        <v>128</v>
      </c>
      <c r="U116" s="33" t="s">
        <v>128</v>
      </c>
      <c r="V116" s="33" t="s">
        <v>128</v>
      </c>
      <c r="W116" s="33" t="s">
        <v>128</v>
      </c>
      <c r="X116" s="33" t="s">
        <v>128</v>
      </c>
      <c r="Y116" s="148" t="s">
        <v>128</v>
      </c>
      <c r="Z116" s="33" t="s">
        <v>128</v>
      </c>
      <c r="AA116" s="33" t="s">
        <v>128</v>
      </c>
      <c r="AB116" s="33" t="s">
        <v>128</v>
      </c>
      <c r="AC116" s="33" t="s">
        <v>128</v>
      </c>
      <c r="AD116" s="33" t="s">
        <v>128</v>
      </c>
      <c r="AE116" s="33" t="s">
        <v>128</v>
      </c>
      <c r="AF116" s="6">
        <v>1379</v>
      </c>
      <c r="AG116" s="6"/>
      <c r="AH116" s="35">
        <f t="shared" si="26"/>
        <v>381</v>
      </c>
      <c r="AI116" s="35">
        <v>139</v>
      </c>
      <c r="AJ116" s="35">
        <v>1575</v>
      </c>
      <c r="AK116" s="35">
        <f t="shared" si="27"/>
        <v>335</v>
      </c>
      <c r="AL116" s="6">
        <v>494</v>
      </c>
      <c r="AM116" s="6"/>
      <c r="AN116" s="35">
        <f t="shared" si="28"/>
        <v>355</v>
      </c>
      <c r="AO116" s="6">
        <v>845</v>
      </c>
      <c r="AP116" s="6"/>
      <c r="AQ116" s="34">
        <f t="shared" si="29"/>
        <v>351</v>
      </c>
      <c r="AR116" s="35">
        <v>1207</v>
      </c>
      <c r="AS116" s="35"/>
      <c r="AT116" s="35">
        <f t="shared" si="30"/>
        <v>362</v>
      </c>
      <c r="AU116" s="6">
        <v>1547</v>
      </c>
      <c r="AV116" s="6"/>
      <c r="AW116" s="35">
        <f t="shared" si="31"/>
        <v>340</v>
      </c>
      <c r="AX116" s="6"/>
      <c r="AY116" s="6"/>
      <c r="AZ116" s="35"/>
      <c r="BA116" s="35">
        <v>352</v>
      </c>
      <c r="BB116" s="35">
        <v>1560</v>
      </c>
      <c r="BC116" s="35">
        <f t="shared" si="32"/>
        <v>365</v>
      </c>
      <c r="BD116" s="6">
        <v>713</v>
      </c>
      <c r="BE116" s="6"/>
      <c r="BF116" s="35">
        <f t="shared" si="33"/>
        <v>361</v>
      </c>
      <c r="BG116" s="6">
        <v>1074</v>
      </c>
      <c r="BH116" s="6"/>
      <c r="BI116" s="6">
        <f t="shared" si="34"/>
        <v>361</v>
      </c>
      <c r="BJ116" s="6">
        <v>1429</v>
      </c>
      <c r="BK116" s="6"/>
      <c r="BL116" s="6">
        <f t="shared" si="35"/>
        <v>355</v>
      </c>
      <c r="BM116" s="6">
        <v>234</v>
      </c>
      <c r="BN116" s="6">
        <v>1560</v>
      </c>
      <c r="BO116" s="6">
        <f t="shared" si="36"/>
        <v>365</v>
      </c>
      <c r="BP116" s="6">
        <v>562</v>
      </c>
      <c r="BQ116" s="6"/>
      <c r="BR116" s="35">
        <f t="shared" si="37"/>
        <v>328</v>
      </c>
      <c r="BS116" s="6"/>
      <c r="BT116" s="6"/>
      <c r="BU116" s="6"/>
      <c r="BV116" s="6">
        <v>926</v>
      </c>
      <c r="BW116" s="6"/>
      <c r="BX116" s="35">
        <f t="shared" si="38"/>
        <v>364</v>
      </c>
      <c r="BY116" s="6">
        <v>1257</v>
      </c>
      <c r="BZ116" s="6"/>
      <c r="CA116" s="6">
        <f t="shared" si="39"/>
        <v>331</v>
      </c>
      <c r="CB116" s="6">
        <v>61</v>
      </c>
      <c r="CC116" s="6">
        <v>1560</v>
      </c>
      <c r="CD116" s="6">
        <f t="shared" si="40"/>
        <v>364</v>
      </c>
      <c r="CE116" s="6">
        <v>440</v>
      </c>
      <c r="CF116" s="6"/>
      <c r="CG116" s="6">
        <f t="shared" si="41"/>
        <v>379</v>
      </c>
      <c r="CH116" s="6">
        <v>802</v>
      </c>
      <c r="CI116" s="6"/>
      <c r="CJ116" s="6">
        <f t="shared" si="42"/>
        <v>362</v>
      </c>
      <c r="CK116" s="6">
        <v>1154</v>
      </c>
      <c r="CL116" s="6"/>
      <c r="CM116" s="6">
        <f t="shared" si="43"/>
        <v>352</v>
      </c>
      <c r="CN116" s="6"/>
      <c r="CO116" s="6"/>
      <c r="CP116" s="6"/>
      <c r="CQ116" s="6">
        <v>1521</v>
      </c>
      <c r="CR116" s="6"/>
      <c r="CS116" s="6">
        <f t="shared" si="44"/>
        <v>367</v>
      </c>
      <c r="CT116" s="6">
        <v>279</v>
      </c>
      <c r="CU116" s="6">
        <v>1597</v>
      </c>
      <c r="CV116" s="6">
        <f t="shared" si="45"/>
        <v>355</v>
      </c>
      <c r="CW116" s="6">
        <v>657</v>
      </c>
      <c r="CX116" s="6"/>
      <c r="CY116" s="6">
        <f t="shared" si="46"/>
        <v>378</v>
      </c>
      <c r="CZ116" s="6">
        <v>1026</v>
      </c>
      <c r="DA116" s="6"/>
      <c r="DB116" s="6">
        <f t="shared" si="47"/>
        <v>369</v>
      </c>
      <c r="DC116" s="6">
        <v>1396</v>
      </c>
      <c r="DD116" s="6"/>
      <c r="DE116" s="6">
        <f t="shared" si="48"/>
        <v>370</v>
      </c>
      <c r="DF116" s="6">
        <v>190</v>
      </c>
      <c r="DG116" s="6">
        <v>1560</v>
      </c>
      <c r="DH116" s="6">
        <f t="shared" si="49"/>
        <v>354</v>
      </c>
      <c r="DI116" s="6"/>
      <c r="DJ116" s="6"/>
      <c r="DK116" s="6"/>
      <c r="DL116" s="6">
        <v>40</v>
      </c>
      <c r="DM116" s="6">
        <v>524</v>
      </c>
      <c r="DN116" s="6">
        <f t="shared" si="50"/>
        <v>374</v>
      </c>
      <c r="DO116" s="6">
        <v>389</v>
      </c>
      <c r="DP116" s="6"/>
      <c r="DQ116" s="6">
        <f t="shared" si="51"/>
        <v>349</v>
      </c>
    </row>
    <row r="117" spans="1:121">
      <c r="A117" s="6">
        <v>113</v>
      </c>
      <c r="B117" s="6">
        <v>225</v>
      </c>
      <c r="C117" s="6">
        <v>1743</v>
      </c>
      <c r="D117" s="6">
        <v>327</v>
      </c>
      <c r="E117" s="148" t="s">
        <v>37</v>
      </c>
      <c r="F117" s="33" t="s">
        <v>37</v>
      </c>
      <c r="G117" s="33" t="s">
        <v>37</v>
      </c>
      <c r="H117" s="33" t="s">
        <v>37</v>
      </c>
      <c r="I117" s="33" t="s">
        <v>37</v>
      </c>
      <c r="J117" s="33" t="s">
        <v>37</v>
      </c>
      <c r="K117" s="33" t="s">
        <v>37</v>
      </c>
      <c r="L117" s="33" t="s">
        <v>37</v>
      </c>
      <c r="M117" s="33" t="s">
        <v>37</v>
      </c>
      <c r="N117" s="33" t="s">
        <v>37</v>
      </c>
      <c r="O117" s="33" t="s">
        <v>37</v>
      </c>
      <c r="P117" s="33" t="s">
        <v>37</v>
      </c>
      <c r="Q117" s="33" t="s">
        <v>37</v>
      </c>
      <c r="R117" s="33" t="s">
        <v>37</v>
      </c>
      <c r="S117" s="33" t="s">
        <v>37</v>
      </c>
      <c r="T117" s="33" t="s">
        <v>37</v>
      </c>
      <c r="U117" s="33" t="s">
        <v>37</v>
      </c>
      <c r="V117" s="33" t="s">
        <v>37</v>
      </c>
      <c r="W117" s="33" t="s">
        <v>37</v>
      </c>
      <c r="X117" s="33" t="s">
        <v>37</v>
      </c>
      <c r="Y117" s="33" t="s">
        <v>37</v>
      </c>
      <c r="Z117" s="33" t="s">
        <v>37</v>
      </c>
      <c r="AA117" s="148" t="s">
        <v>37</v>
      </c>
      <c r="AB117" s="33" t="s">
        <v>37</v>
      </c>
      <c r="AC117" s="33" t="s">
        <v>37</v>
      </c>
      <c r="AD117" s="33" t="s">
        <v>37</v>
      </c>
      <c r="AE117" s="33" t="s">
        <v>37</v>
      </c>
      <c r="AF117" s="35">
        <v>636</v>
      </c>
      <c r="AG117" s="35"/>
      <c r="AH117" s="35">
        <f t="shared" si="26"/>
        <v>411</v>
      </c>
      <c r="AI117" s="35">
        <v>1003</v>
      </c>
      <c r="AJ117" s="35"/>
      <c r="AK117" s="35">
        <f t="shared" si="27"/>
        <v>367</v>
      </c>
      <c r="AL117" s="6">
        <v>1364</v>
      </c>
      <c r="AM117" s="6"/>
      <c r="AN117" s="35">
        <f t="shared" si="28"/>
        <v>361</v>
      </c>
      <c r="AO117" s="6">
        <v>170</v>
      </c>
      <c r="AP117" s="6">
        <v>1560</v>
      </c>
      <c r="AQ117" s="34">
        <f t="shared" si="29"/>
        <v>366</v>
      </c>
      <c r="AR117" s="35">
        <v>537</v>
      </c>
      <c r="AS117" s="35"/>
      <c r="AT117" s="35">
        <f t="shared" si="30"/>
        <v>367</v>
      </c>
      <c r="AU117" s="6">
        <v>870</v>
      </c>
      <c r="AV117" s="6"/>
      <c r="AW117" s="35">
        <f t="shared" si="31"/>
        <v>333</v>
      </c>
      <c r="AX117" s="6"/>
      <c r="AY117" s="6"/>
      <c r="AZ117" s="35"/>
      <c r="BA117" s="6">
        <v>1245</v>
      </c>
      <c r="BB117" s="6"/>
      <c r="BC117" s="35">
        <f t="shared" si="32"/>
        <v>375</v>
      </c>
      <c r="BD117" s="6">
        <v>46</v>
      </c>
      <c r="BE117" s="6">
        <v>1560</v>
      </c>
      <c r="BF117" s="35">
        <f t="shared" si="33"/>
        <v>361</v>
      </c>
      <c r="BG117" s="6">
        <v>414</v>
      </c>
      <c r="BH117" s="6"/>
      <c r="BI117" s="6">
        <f t="shared" si="34"/>
        <v>368</v>
      </c>
      <c r="BJ117" s="6">
        <v>783</v>
      </c>
      <c r="BK117" s="35"/>
      <c r="BL117" s="6">
        <f t="shared" si="35"/>
        <v>369</v>
      </c>
      <c r="BM117" s="6">
        <v>1144</v>
      </c>
      <c r="BN117" s="6"/>
      <c r="BO117" s="6">
        <f t="shared" si="36"/>
        <v>361</v>
      </c>
      <c r="BP117" s="6">
        <v>1478</v>
      </c>
      <c r="BQ117" s="6"/>
      <c r="BR117" s="35">
        <f t="shared" si="37"/>
        <v>334</v>
      </c>
      <c r="BS117" s="6"/>
      <c r="BT117" s="6"/>
      <c r="BU117" s="6"/>
      <c r="BV117" s="6">
        <v>287</v>
      </c>
      <c r="BW117" s="6">
        <v>1560</v>
      </c>
      <c r="BX117" s="35">
        <f t="shared" si="38"/>
        <v>369</v>
      </c>
      <c r="BY117" s="6">
        <v>652</v>
      </c>
      <c r="BZ117" s="35"/>
      <c r="CA117" s="6">
        <f t="shared" si="39"/>
        <v>365</v>
      </c>
      <c r="CB117" s="6">
        <v>1024</v>
      </c>
      <c r="CC117" s="6"/>
      <c r="CD117" s="6">
        <f t="shared" si="40"/>
        <v>372</v>
      </c>
      <c r="CE117" s="6">
        <v>1399</v>
      </c>
      <c r="CF117" s="35"/>
      <c r="CG117" s="6">
        <f t="shared" si="41"/>
        <v>375</v>
      </c>
      <c r="CH117" s="6">
        <v>222</v>
      </c>
      <c r="CI117" s="6">
        <v>1560</v>
      </c>
      <c r="CJ117" s="6">
        <f t="shared" si="42"/>
        <v>383</v>
      </c>
      <c r="CK117" s="6">
        <v>584</v>
      </c>
      <c r="CL117" s="6"/>
      <c r="CM117" s="6">
        <f t="shared" si="43"/>
        <v>362</v>
      </c>
      <c r="CN117" s="6"/>
      <c r="CO117" s="6"/>
      <c r="CP117" s="6"/>
      <c r="CQ117" s="6">
        <v>969</v>
      </c>
      <c r="CR117" s="6"/>
      <c r="CS117" s="6">
        <f t="shared" si="44"/>
        <v>385</v>
      </c>
      <c r="CT117" s="6">
        <v>1354</v>
      </c>
      <c r="CU117" s="6"/>
      <c r="CV117" s="6">
        <f t="shared" si="45"/>
        <v>385</v>
      </c>
      <c r="CW117" s="6">
        <v>0</v>
      </c>
      <c r="CX117" s="6">
        <v>1599</v>
      </c>
      <c r="CY117" s="6">
        <f t="shared" si="46"/>
        <v>245</v>
      </c>
      <c r="CZ117" s="6">
        <v>337</v>
      </c>
      <c r="DA117" s="6"/>
      <c r="DB117" s="6">
        <f t="shared" si="47"/>
        <v>337</v>
      </c>
      <c r="DC117" s="6">
        <v>722</v>
      </c>
      <c r="DD117" s="6"/>
      <c r="DE117" s="6">
        <f t="shared" si="48"/>
        <v>385</v>
      </c>
      <c r="DF117" s="6">
        <v>1087</v>
      </c>
      <c r="DG117" s="6"/>
      <c r="DH117" s="6">
        <f t="shared" si="49"/>
        <v>365</v>
      </c>
      <c r="DI117" s="6"/>
      <c r="DJ117" s="6"/>
      <c r="DK117" s="6"/>
      <c r="DL117" s="6">
        <v>1476</v>
      </c>
      <c r="DM117" s="6"/>
      <c r="DN117" s="6">
        <f t="shared" si="50"/>
        <v>389</v>
      </c>
      <c r="DO117" s="6">
        <v>276</v>
      </c>
      <c r="DP117" s="6">
        <v>1560</v>
      </c>
      <c r="DQ117" s="6">
        <f t="shared" si="51"/>
        <v>360</v>
      </c>
    </row>
    <row r="118" spans="1:121">
      <c r="A118" s="6">
        <v>114</v>
      </c>
      <c r="B118" s="6">
        <v>1366</v>
      </c>
      <c r="C118" s="6"/>
      <c r="D118" s="6">
        <v>330</v>
      </c>
      <c r="E118" s="33" t="s">
        <v>37</v>
      </c>
      <c r="F118" s="33" t="s">
        <v>37</v>
      </c>
      <c r="G118" s="33" t="s">
        <v>37</v>
      </c>
      <c r="H118" s="33" t="s">
        <v>37</v>
      </c>
      <c r="I118" s="33" t="s">
        <v>37</v>
      </c>
      <c r="J118" s="33" t="s">
        <v>37</v>
      </c>
      <c r="K118" s="33" t="s">
        <v>37</v>
      </c>
      <c r="L118" s="33" t="s">
        <v>37</v>
      </c>
      <c r="M118" s="33" t="s">
        <v>37</v>
      </c>
      <c r="N118" s="33" t="s">
        <v>37</v>
      </c>
      <c r="O118" s="33" t="s">
        <v>37</v>
      </c>
      <c r="P118" s="33" t="s">
        <v>37</v>
      </c>
      <c r="Q118" s="33" t="s">
        <v>37</v>
      </c>
      <c r="R118" s="33" t="s">
        <v>37</v>
      </c>
      <c r="S118" s="33" t="s">
        <v>37</v>
      </c>
      <c r="T118" s="33" t="s">
        <v>37</v>
      </c>
      <c r="U118" s="33" t="s">
        <v>37</v>
      </c>
      <c r="V118" s="33" t="s">
        <v>37</v>
      </c>
      <c r="W118" s="33" t="s">
        <v>37</v>
      </c>
      <c r="X118" s="148" t="s">
        <v>37</v>
      </c>
      <c r="Y118" s="33" t="s">
        <v>37</v>
      </c>
      <c r="Z118" s="33" t="s">
        <v>37</v>
      </c>
      <c r="AA118" s="33" t="s">
        <v>37</v>
      </c>
      <c r="AB118" s="33" t="s">
        <v>37</v>
      </c>
      <c r="AC118" s="33" t="s">
        <v>37</v>
      </c>
      <c r="AD118" s="33" t="s">
        <v>37</v>
      </c>
      <c r="AE118" s="33" t="s">
        <v>37</v>
      </c>
      <c r="AF118" s="6">
        <v>194</v>
      </c>
      <c r="AG118" s="6">
        <v>1560</v>
      </c>
      <c r="AH118" s="35">
        <f t="shared" si="26"/>
        <v>388</v>
      </c>
      <c r="AI118" s="35">
        <v>546</v>
      </c>
      <c r="AJ118" s="35"/>
      <c r="AK118" s="35">
        <f t="shared" si="27"/>
        <v>352</v>
      </c>
      <c r="AL118" s="6">
        <v>911</v>
      </c>
      <c r="AM118" s="6"/>
      <c r="AN118" s="35">
        <f t="shared" si="28"/>
        <v>365</v>
      </c>
      <c r="AO118" s="6">
        <v>1270</v>
      </c>
      <c r="AP118" s="6"/>
      <c r="AQ118" s="34">
        <f t="shared" si="29"/>
        <v>359</v>
      </c>
      <c r="AR118" s="35">
        <v>8</v>
      </c>
      <c r="AS118" s="35">
        <v>1620</v>
      </c>
      <c r="AT118" s="35">
        <f t="shared" si="30"/>
        <v>358</v>
      </c>
      <c r="AU118" s="6">
        <v>350</v>
      </c>
      <c r="AV118" s="6"/>
      <c r="AW118" s="35">
        <f t="shared" si="31"/>
        <v>342</v>
      </c>
      <c r="AX118" s="6"/>
      <c r="AY118" s="6"/>
      <c r="AZ118" s="35"/>
      <c r="BA118" s="35">
        <v>717</v>
      </c>
      <c r="BB118" s="35"/>
      <c r="BC118" s="35">
        <f t="shared" si="32"/>
        <v>367</v>
      </c>
      <c r="BD118" s="6">
        <v>1069</v>
      </c>
      <c r="BE118" s="6"/>
      <c r="BF118" s="35">
        <f t="shared" si="33"/>
        <v>352</v>
      </c>
      <c r="BG118" s="6">
        <v>1427</v>
      </c>
      <c r="BH118" s="6"/>
      <c r="BI118" s="6">
        <f t="shared" si="34"/>
        <v>358</v>
      </c>
      <c r="BJ118" s="6">
        <v>227</v>
      </c>
      <c r="BK118" s="6">
        <v>1560</v>
      </c>
      <c r="BL118" s="6">
        <f t="shared" si="35"/>
        <v>360</v>
      </c>
      <c r="BM118" s="6">
        <v>570</v>
      </c>
      <c r="BN118" s="6"/>
      <c r="BO118" s="6">
        <f t="shared" si="36"/>
        <v>343</v>
      </c>
      <c r="BP118" s="6">
        <v>906</v>
      </c>
      <c r="BQ118" s="6"/>
      <c r="BR118" s="35">
        <f t="shared" si="37"/>
        <v>336</v>
      </c>
      <c r="BS118" s="6"/>
      <c r="BT118" s="6"/>
      <c r="BU118" s="6"/>
      <c r="BV118" s="6">
        <v>1272</v>
      </c>
      <c r="BW118" s="6"/>
      <c r="BX118" s="35">
        <f t="shared" si="38"/>
        <v>366</v>
      </c>
      <c r="BY118" s="6">
        <v>72</v>
      </c>
      <c r="BZ118" s="6">
        <v>1560</v>
      </c>
      <c r="CA118" s="6">
        <f t="shared" si="39"/>
        <v>360</v>
      </c>
      <c r="CB118" s="6">
        <v>457</v>
      </c>
      <c r="CC118" s="6"/>
      <c r="CD118" s="6">
        <f t="shared" si="40"/>
        <v>385</v>
      </c>
      <c r="CE118" s="6">
        <v>843</v>
      </c>
      <c r="CF118" s="6"/>
      <c r="CG118" s="6">
        <f t="shared" si="41"/>
        <v>386</v>
      </c>
      <c r="CH118" s="6">
        <v>1227</v>
      </c>
      <c r="CI118" s="6"/>
      <c r="CJ118" s="6">
        <f t="shared" si="42"/>
        <v>384</v>
      </c>
      <c r="CK118" s="6">
        <v>0</v>
      </c>
      <c r="CL118" s="6">
        <v>1560</v>
      </c>
      <c r="CM118" s="6">
        <f t="shared" si="43"/>
        <v>333</v>
      </c>
      <c r="CN118" s="6"/>
      <c r="CO118" s="6"/>
      <c r="CP118" s="6"/>
      <c r="CQ118" s="6">
        <v>353</v>
      </c>
      <c r="CR118" s="6"/>
      <c r="CS118" s="6">
        <f t="shared" si="44"/>
        <v>353</v>
      </c>
      <c r="CT118" s="6">
        <v>739</v>
      </c>
      <c r="CU118" s="6"/>
      <c r="CV118" s="6">
        <f t="shared" si="45"/>
        <v>386</v>
      </c>
      <c r="CW118" s="6">
        <v>1123</v>
      </c>
      <c r="CX118" s="6"/>
      <c r="CY118" s="6">
        <f t="shared" si="46"/>
        <v>384</v>
      </c>
      <c r="CZ118" s="6">
        <v>1502</v>
      </c>
      <c r="DA118" s="6"/>
      <c r="DB118" s="6">
        <f t="shared" si="47"/>
        <v>379</v>
      </c>
      <c r="DC118" s="6">
        <v>327</v>
      </c>
      <c r="DD118" s="6">
        <v>1560</v>
      </c>
      <c r="DE118" s="6">
        <f t="shared" si="48"/>
        <v>385</v>
      </c>
      <c r="DF118" s="6">
        <v>698</v>
      </c>
      <c r="DG118" s="6"/>
      <c r="DH118" s="6">
        <f t="shared" si="49"/>
        <v>371</v>
      </c>
      <c r="DI118" s="6"/>
      <c r="DJ118" s="6"/>
      <c r="DK118" s="6"/>
      <c r="DL118" s="6">
        <v>279</v>
      </c>
      <c r="DM118" s="6">
        <v>807</v>
      </c>
      <c r="DN118" s="6">
        <f t="shared" si="50"/>
        <v>388</v>
      </c>
      <c r="DO118" s="6">
        <v>643</v>
      </c>
      <c r="DP118" s="6"/>
      <c r="DQ118" s="6">
        <f t="shared" si="51"/>
        <v>364</v>
      </c>
    </row>
    <row r="119" spans="1:121">
      <c r="A119" s="6">
        <v>115</v>
      </c>
      <c r="B119" s="6">
        <v>297</v>
      </c>
      <c r="C119" s="6"/>
      <c r="D119" s="6">
        <v>297</v>
      </c>
      <c r="E119" s="148" t="s">
        <v>37</v>
      </c>
      <c r="F119" s="33" t="s">
        <v>37</v>
      </c>
      <c r="G119" s="33" t="s">
        <v>37</v>
      </c>
      <c r="H119" s="33" t="s">
        <v>37</v>
      </c>
      <c r="I119" s="33" t="s">
        <v>37</v>
      </c>
      <c r="J119" s="33" t="s">
        <v>37</v>
      </c>
      <c r="K119" s="33" t="s">
        <v>37</v>
      </c>
      <c r="L119" s="33" t="s">
        <v>37</v>
      </c>
      <c r="M119" s="33" t="s">
        <v>37</v>
      </c>
      <c r="N119" s="33" t="s">
        <v>37</v>
      </c>
      <c r="O119" s="33" t="s">
        <v>37</v>
      </c>
      <c r="P119" s="33" t="s">
        <v>37</v>
      </c>
      <c r="Q119" s="33" t="s">
        <v>37</v>
      </c>
      <c r="R119" s="33" t="s">
        <v>37</v>
      </c>
      <c r="S119" s="33" t="s">
        <v>37</v>
      </c>
      <c r="T119" s="33" t="s">
        <v>37</v>
      </c>
      <c r="U119" s="33" t="s">
        <v>37</v>
      </c>
      <c r="V119" s="33" t="s">
        <v>37</v>
      </c>
      <c r="W119" s="33" t="s">
        <v>37</v>
      </c>
      <c r="X119" s="33" t="s">
        <v>37</v>
      </c>
      <c r="Y119" s="33" t="s">
        <v>37</v>
      </c>
      <c r="Z119" s="33" t="s">
        <v>37</v>
      </c>
      <c r="AA119" s="148" t="s">
        <v>37</v>
      </c>
      <c r="AB119" s="33" t="s">
        <v>37</v>
      </c>
      <c r="AC119" s="33" t="s">
        <v>37</v>
      </c>
      <c r="AD119" s="33" t="s">
        <v>37</v>
      </c>
      <c r="AE119" s="33" t="s">
        <v>37</v>
      </c>
      <c r="AF119" s="6">
        <v>680</v>
      </c>
      <c r="AG119" s="6"/>
      <c r="AH119" s="35">
        <f t="shared" si="26"/>
        <v>383</v>
      </c>
      <c r="AI119" s="35">
        <v>1041</v>
      </c>
      <c r="AJ119" s="35"/>
      <c r="AK119" s="35">
        <f t="shared" si="27"/>
        <v>361</v>
      </c>
      <c r="AL119" s="6">
        <v>1405</v>
      </c>
      <c r="AM119" s="6"/>
      <c r="AN119" s="35">
        <f t="shared" si="28"/>
        <v>364</v>
      </c>
      <c r="AO119" s="6">
        <v>262</v>
      </c>
      <c r="AP119" s="6">
        <v>1504</v>
      </c>
      <c r="AQ119" s="34">
        <f t="shared" si="29"/>
        <v>361</v>
      </c>
      <c r="AR119" s="35">
        <v>629</v>
      </c>
      <c r="AS119" s="35"/>
      <c r="AT119" s="35">
        <f t="shared" si="30"/>
        <v>367</v>
      </c>
      <c r="AU119" s="6">
        <v>99</v>
      </c>
      <c r="AV119" s="6">
        <v>847</v>
      </c>
      <c r="AW119" s="35">
        <f t="shared" si="31"/>
        <v>317</v>
      </c>
      <c r="AX119" s="6"/>
      <c r="AY119" s="6"/>
      <c r="AZ119" s="35"/>
      <c r="BA119" s="35">
        <v>474</v>
      </c>
      <c r="BB119" s="35"/>
      <c r="BC119" s="35">
        <f t="shared" si="32"/>
        <v>375</v>
      </c>
      <c r="BD119" s="6">
        <v>19</v>
      </c>
      <c r="BE119" s="6">
        <f>602+190</f>
        <v>792</v>
      </c>
      <c r="BF119" s="35">
        <f t="shared" si="33"/>
        <v>337</v>
      </c>
      <c r="BG119" s="6">
        <v>380</v>
      </c>
      <c r="BH119" s="6"/>
      <c r="BI119" s="6">
        <f t="shared" si="34"/>
        <v>361</v>
      </c>
      <c r="BJ119" s="6">
        <v>750</v>
      </c>
      <c r="BK119" s="6"/>
      <c r="BL119" s="6">
        <f t="shared" si="35"/>
        <v>370</v>
      </c>
      <c r="BM119" s="6">
        <v>1107</v>
      </c>
      <c r="BN119" s="6"/>
      <c r="BO119" s="6">
        <f t="shared" si="36"/>
        <v>357</v>
      </c>
      <c r="BP119" s="6">
        <v>1443</v>
      </c>
      <c r="BQ119" s="6"/>
      <c r="BR119" s="35">
        <f t="shared" si="37"/>
        <v>336</v>
      </c>
      <c r="BS119" s="6"/>
      <c r="BT119" s="6"/>
      <c r="BU119" s="6"/>
      <c r="BV119" s="6">
        <v>245</v>
      </c>
      <c r="BW119" s="6">
        <v>1560</v>
      </c>
      <c r="BX119" s="35">
        <f t="shared" si="38"/>
        <v>362</v>
      </c>
      <c r="BY119" s="6">
        <v>601</v>
      </c>
      <c r="BZ119" s="6"/>
      <c r="CA119" s="6">
        <f t="shared" si="39"/>
        <v>356</v>
      </c>
      <c r="CB119" s="6">
        <v>958</v>
      </c>
      <c r="CC119" s="6"/>
      <c r="CD119" s="6">
        <f t="shared" si="40"/>
        <v>357</v>
      </c>
      <c r="CE119" s="6">
        <v>1334</v>
      </c>
      <c r="CF119" s="6"/>
      <c r="CG119" s="6">
        <f t="shared" si="41"/>
        <v>376</v>
      </c>
      <c r="CH119" s="6">
        <v>147</v>
      </c>
      <c r="CI119" s="6">
        <v>1560</v>
      </c>
      <c r="CJ119" s="6">
        <f t="shared" si="42"/>
        <v>373</v>
      </c>
      <c r="CK119" s="6">
        <v>495</v>
      </c>
      <c r="CL119" s="6"/>
      <c r="CM119" s="6">
        <f t="shared" si="43"/>
        <v>348</v>
      </c>
      <c r="CN119" s="6"/>
      <c r="CO119" s="6"/>
      <c r="CP119" s="6"/>
      <c r="CQ119" s="6">
        <v>886</v>
      </c>
      <c r="CR119" s="6"/>
      <c r="CS119" s="6">
        <f t="shared" si="44"/>
        <v>391</v>
      </c>
      <c r="CT119" s="6">
        <v>1272</v>
      </c>
      <c r="CU119" s="6"/>
      <c r="CV119" s="6">
        <f t="shared" si="45"/>
        <v>386</v>
      </c>
      <c r="CW119" s="6">
        <v>0</v>
      </c>
      <c r="CX119" s="6">
        <v>1600</v>
      </c>
      <c r="CY119" s="6">
        <f t="shared" si="46"/>
        <v>328</v>
      </c>
      <c r="CZ119" s="6">
        <v>342</v>
      </c>
      <c r="DA119" s="6"/>
      <c r="DB119" s="6">
        <f t="shared" si="47"/>
        <v>342</v>
      </c>
      <c r="DC119" s="6">
        <v>732</v>
      </c>
      <c r="DD119" s="6"/>
      <c r="DE119" s="6">
        <f t="shared" si="48"/>
        <v>390</v>
      </c>
      <c r="DF119" s="6">
        <v>1103</v>
      </c>
      <c r="DG119" s="6"/>
      <c r="DH119" s="6">
        <f t="shared" si="49"/>
        <v>371</v>
      </c>
      <c r="DI119" s="6"/>
      <c r="DJ119" s="6"/>
      <c r="DK119" s="6"/>
      <c r="DL119" s="6">
        <v>1493</v>
      </c>
      <c r="DM119" s="6"/>
      <c r="DN119" s="6">
        <f t="shared" si="50"/>
        <v>390</v>
      </c>
      <c r="DO119" s="6">
        <v>277</v>
      </c>
      <c r="DP119" s="6">
        <v>1560</v>
      </c>
      <c r="DQ119" s="6">
        <f t="shared" si="51"/>
        <v>344</v>
      </c>
    </row>
    <row r="120" spans="1:121">
      <c r="A120" s="6">
        <v>116</v>
      </c>
      <c r="B120" s="6">
        <v>1000</v>
      </c>
      <c r="C120" s="6"/>
      <c r="D120" s="6">
        <v>331</v>
      </c>
      <c r="E120" s="33" t="s">
        <v>37</v>
      </c>
      <c r="F120" s="33" t="s">
        <v>37</v>
      </c>
      <c r="G120" s="33" t="s">
        <v>37</v>
      </c>
      <c r="H120" s="33" t="s">
        <v>37</v>
      </c>
      <c r="I120" s="33" t="s">
        <v>37</v>
      </c>
      <c r="J120" s="148" t="s">
        <v>37</v>
      </c>
      <c r="K120" s="33" t="s">
        <v>37</v>
      </c>
      <c r="L120" s="33" t="s">
        <v>37</v>
      </c>
      <c r="M120" s="33" t="s">
        <v>37</v>
      </c>
      <c r="N120" s="33" t="s">
        <v>37</v>
      </c>
      <c r="O120" s="33" t="s">
        <v>37</v>
      </c>
      <c r="P120" s="33" t="s">
        <v>37</v>
      </c>
      <c r="Q120" s="33" t="s">
        <v>37</v>
      </c>
      <c r="R120" s="33" t="s">
        <v>37</v>
      </c>
      <c r="S120" s="33" t="s">
        <v>37</v>
      </c>
      <c r="T120" s="33" t="s">
        <v>37</v>
      </c>
      <c r="U120" s="33" t="s">
        <v>37</v>
      </c>
      <c r="V120" s="33" t="s">
        <v>37</v>
      </c>
      <c r="W120" s="33" t="s">
        <v>37</v>
      </c>
      <c r="X120" s="33" t="s">
        <v>37</v>
      </c>
      <c r="Y120" s="33" t="s">
        <v>37</v>
      </c>
      <c r="Z120" s="33" t="s">
        <v>37</v>
      </c>
      <c r="AA120" s="33" t="s">
        <v>37</v>
      </c>
      <c r="AB120" s="33" t="s">
        <v>37</v>
      </c>
      <c r="AC120" s="33" t="s">
        <v>37</v>
      </c>
      <c r="AD120" s="33" t="s">
        <v>37</v>
      </c>
      <c r="AE120" s="33" t="s">
        <v>37</v>
      </c>
      <c r="AF120" s="6">
        <v>1385</v>
      </c>
      <c r="AG120" s="6"/>
      <c r="AH120" s="35">
        <f t="shared" si="26"/>
        <v>385</v>
      </c>
      <c r="AI120" s="35">
        <v>185</v>
      </c>
      <c r="AJ120" s="35">
        <v>1560</v>
      </c>
      <c r="AK120" s="35">
        <f t="shared" si="27"/>
        <v>360</v>
      </c>
      <c r="AL120" s="6">
        <v>549</v>
      </c>
      <c r="AM120" s="6"/>
      <c r="AN120" s="35">
        <f t="shared" si="28"/>
        <v>364</v>
      </c>
      <c r="AO120" s="6">
        <v>912</v>
      </c>
      <c r="AP120" s="6"/>
      <c r="AQ120" s="34">
        <f t="shared" si="29"/>
        <v>363</v>
      </c>
      <c r="AR120" s="35">
        <v>302</v>
      </c>
      <c r="AS120" s="35">
        <v>953</v>
      </c>
      <c r="AT120" s="35">
        <f t="shared" si="30"/>
        <v>343</v>
      </c>
      <c r="AU120" s="6">
        <v>631</v>
      </c>
      <c r="AV120" s="6"/>
      <c r="AW120" s="35">
        <f t="shared" si="31"/>
        <v>329</v>
      </c>
      <c r="AX120" s="6"/>
      <c r="AY120" s="6"/>
      <c r="AZ120" s="35"/>
      <c r="BA120" s="35">
        <v>86</v>
      </c>
      <c r="BB120" s="35">
        <v>910</v>
      </c>
      <c r="BC120" s="35">
        <f t="shared" si="32"/>
        <v>365</v>
      </c>
      <c r="BD120" s="6">
        <v>447</v>
      </c>
      <c r="BE120" s="6"/>
      <c r="BF120" s="35">
        <f t="shared" si="33"/>
        <v>361</v>
      </c>
      <c r="BG120" s="6">
        <v>810</v>
      </c>
      <c r="BH120" s="6"/>
      <c r="BI120" s="6">
        <f t="shared" si="34"/>
        <v>363</v>
      </c>
      <c r="BJ120" s="6">
        <v>324</v>
      </c>
      <c r="BK120" s="6">
        <v>849</v>
      </c>
      <c r="BL120" s="6">
        <f t="shared" si="35"/>
        <v>363</v>
      </c>
      <c r="BM120" s="6">
        <v>682</v>
      </c>
      <c r="BN120" s="6"/>
      <c r="BO120" s="6">
        <f t="shared" si="36"/>
        <v>358</v>
      </c>
      <c r="BP120" s="6">
        <v>1025</v>
      </c>
      <c r="BQ120" s="6"/>
      <c r="BR120" s="35">
        <f t="shared" si="37"/>
        <v>343</v>
      </c>
      <c r="BS120" s="6"/>
      <c r="BT120" s="6"/>
      <c r="BU120" s="6"/>
      <c r="BV120" s="6">
        <v>1394</v>
      </c>
      <c r="BW120" s="6"/>
      <c r="BX120" s="35">
        <f t="shared" si="38"/>
        <v>369</v>
      </c>
      <c r="BY120" s="6">
        <v>195</v>
      </c>
      <c r="BZ120" s="6">
        <v>1560</v>
      </c>
      <c r="CA120" s="6">
        <f t="shared" si="39"/>
        <v>361</v>
      </c>
      <c r="CB120" s="6">
        <v>584</v>
      </c>
      <c r="CC120" s="6"/>
      <c r="CD120" s="6">
        <f t="shared" si="40"/>
        <v>389</v>
      </c>
      <c r="CE120" s="6">
        <v>972</v>
      </c>
      <c r="CF120" s="6"/>
      <c r="CG120" s="6">
        <f t="shared" si="41"/>
        <v>388</v>
      </c>
      <c r="CH120" s="6">
        <v>1347</v>
      </c>
      <c r="CI120" s="6"/>
      <c r="CJ120" s="6">
        <f t="shared" si="42"/>
        <v>375</v>
      </c>
      <c r="CK120" s="6">
        <v>159</v>
      </c>
      <c r="CL120" s="6">
        <v>1560</v>
      </c>
      <c r="CM120" s="6">
        <f t="shared" si="43"/>
        <v>372</v>
      </c>
      <c r="CN120" s="6"/>
      <c r="CO120" s="6"/>
      <c r="CP120" s="6"/>
      <c r="CQ120" s="6">
        <v>551</v>
      </c>
      <c r="CR120" s="6"/>
      <c r="CS120" s="6">
        <f t="shared" si="44"/>
        <v>392</v>
      </c>
      <c r="CT120" s="6">
        <v>935</v>
      </c>
      <c r="CU120" s="6"/>
      <c r="CV120" s="6">
        <f t="shared" si="45"/>
        <v>384</v>
      </c>
      <c r="CW120" s="6">
        <v>164</v>
      </c>
      <c r="CX120" s="6">
        <v>1152</v>
      </c>
      <c r="CY120" s="6">
        <f t="shared" si="46"/>
        <v>381</v>
      </c>
      <c r="CZ120" s="6">
        <v>550</v>
      </c>
      <c r="DA120" s="6"/>
      <c r="DB120" s="6">
        <f t="shared" si="47"/>
        <v>386</v>
      </c>
      <c r="DC120" s="6">
        <v>247</v>
      </c>
      <c r="DD120" s="6">
        <v>675</v>
      </c>
      <c r="DE120" s="6">
        <f t="shared" si="48"/>
        <v>372</v>
      </c>
      <c r="DF120" s="35">
        <v>605</v>
      </c>
      <c r="DG120" s="6"/>
      <c r="DH120" s="6">
        <f t="shared" si="49"/>
        <v>358</v>
      </c>
      <c r="DI120" s="35"/>
      <c r="DJ120" s="6"/>
      <c r="DK120" s="6"/>
      <c r="DL120" s="35">
        <v>993</v>
      </c>
      <c r="DM120" s="6"/>
      <c r="DN120" s="6">
        <f t="shared" si="50"/>
        <v>388</v>
      </c>
      <c r="DO120" s="35">
        <v>0</v>
      </c>
      <c r="DP120" s="6">
        <v>1144</v>
      </c>
      <c r="DQ120" s="6">
        <f t="shared" si="51"/>
        <v>151</v>
      </c>
    </row>
    <row r="121" spans="1:121">
      <c r="A121" s="6">
        <v>117</v>
      </c>
      <c r="B121" s="6">
        <v>204</v>
      </c>
      <c r="C121" s="6">
        <v>666</v>
      </c>
      <c r="D121" s="6">
        <v>300</v>
      </c>
      <c r="E121" s="33" t="s">
        <v>37</v>
      </c>
      <c r="F121" s="33" t="s">
        <v>37</v>
      </c>
      <c r="G121" s="33" t="s">
        <v>37</v>
      </c>
      <c r="H121" s="33" t="s">
        <v>37</v>
      </c>
      <c r="I121" s="33" t="s">
        <v>37</v>
      </c>
      <c r="J121" s="33" t="s">
        <v>37</v>
      </c>
      <c r="K121" s="33" t="s">
        <v>37</v>
      </c>
      <c r="L121" s="33" t="s">
        <v>37</v>
      </c>
      <c r="M121" s="33" t="s">
        <v>37</v>
      </c>
      <c r="N121" s="33" t="s">
        <v>37</v>
      </c>
      <c r="O121" s="33" t="s">
        <v>37</v>
      </c>
      <c r="P121" s="33" t="s">
        <v>37</v>
      </c>
      <c r="Q121" s="33" t="s">
        <v>37</v>
      </c>
      <c r="R121" s="33" t="s">
        <v>37</v>
      </c>
      <c r="S121" s="33" t="s">
        <v>37</v>
      </c>
      <c r="T121" s="33" t="s">
        <v>37</v>
      </c>
      <c r="U121" s="33" t="s">
        <v>37</v>
      </c>
      <c r="V121" s="33" t="s">
        <v>37</v>
      </c>
      <c r="W121" s="33" t="s">
        <v>37</v>
      </c>
      <c r="X121" s="33" t="s">
        <v>37</v>
      </c>
      <c r="Y121" s="33" t="s">
        <v>37</v>
      </c>
      <c r="Z121" s="148" t="s">
        <v>37</v>
      </c>
      <c r="AA121" s="33" t="s">
        <v>37</v>
      </c>
      <c r="AB121" s="33" t="s">
        <v>37</v>
      </c>
      <c r="AC121" s="33" t="s">
        <v>37</v>
      </c>
      <c r="AD121" s="33" t="s">
        <v>37</v>
      </c>
      <c r="AE121" s="33" t="s">
        <v>37</v>
      </c>
      <c r="AF121" s="6">
        <v>128</v>
      </c>
      <c r="AG121" s="6">
        <v>432</v>
      </c>
      <c r="AH121" s="35">
        <f t="shared" si="26"/>
        <v>356</v>
      </c>
      <c r="AI121" s="35">
        <v>475</v>
      </c>
      <c r="AJ121" s="35"/>
      <c r="AK121" s="35">
        <f t="shared" si="27"/>
        <v>347</v>
      </c>
      <c r="AL121" s="6">
        <v>823</v>
      </c>
      <c r="AM121" s="6"/>
      <c r="AN121" s="35">
        <f t="shared" si="28"/>
        <v>348</v>
      </c>
      <c r="AO121" s="6">
        <v>1179</v>
      </c>
      <c r="AP121" s="6"/>
      <c r="AQ121" s="34">
        <f t="shared" si="29"/>
        <v>356</v>
      </c>
      <c r="AR121" s="35">
        <v>1528</v>
      </c>
      <c r="AS121" s="35"/>
      <c r="AT121" s="35">
        <f t="shared" si="30"/>
        <v>349</v>
      </c>
      <c r="AU121" s="6">
        <v>290</v>
      </c>
      <c r="AV121" s="6">
        <v>1560</v>
      </c>
      <c r="AW121" s="35">
        <f t="shared" si="31"/>
        <v>322</v>
      </c>
      <c r="AX121" s="6"/>
      <c r="AY121" s="6"/>
      <c r="AZ121" s="35"/>
      <c r="BA121" s="35">
        <v>211</v>
      </c>
      <c r="BB121" s="35">
        <v>412</v>
      </c>
      <c r="BC121" s="35">
        <f t="shared" si="32"/>
        <v>333</v>
      </c>
      <c r="BD121" s="6">
        <v>537</v>
      </c>
      <c r="BE121" s="6"/>
      <c r="BF121" s="35">
        <f t="shared" si="33"/>
        <v>326</v>
      </c>
      <c r="BG121" s="6">
        <v>862</v>
      </c>
      <c r="BH121" s="6"/>
      <c r="BI121" s="6">
        <f t="shared" si="34"/>
        <v>325</v>
      </c>
      <c r="BJ121" s="6">
        <v>317</v>
      </c>
      <c r="BK121" s="6">
        <v>889</v>
      </c>
      <c r="BL121" s="6">
        <f t="shared" si="35"/>
        <v>344</v>
      </c>
      <c r="BM121" s="6">
        <v>676</v>
      </c>
      <c r="BN121" s="6"/>
      <c r="BO121" s="6">
        <f t="shared" si="36"/>
        <v>359</v>
      </c>
      <c r="BP121" s="6">
        <v>1008</v>
      </c>
      <c r="BQ121" s="6"/>
      <c r="BR121" s="35">
        <f t="shared" si="37"/>
        <v>332</v>
      </c>
      <c r="BS121" s="6"/>
      <c r="BT121" s="6"/>
      <c r="BU121" s="6"/>
      <c r="BV121" s="6">
        <v>1370</v>
      </c>
      <c r="BW121" s="6"/>
      <c r="BX121" s="35">
        <f t="shared" si="38"/>
        <v>362</v>
      </c>
      <c r="BY121" s="6">
        <v>166</v>
      </c>
      <c r="BZ121" s="6">
        <v>1560</v>
      </c>
      <c r="CA121" s="6">
        <f t="shared" si="39"/>
        <v>356</v>
      </c>
      <c r="CB121" s="6">
        <v>541</v>
      </c>
      <c r="CC121" s="6"/>
      <c r="CD121" s="6">
        <f t="shared" si="40"/>
        <v>375</v>
      </c>
      <c r="CE121" s="6">
        <v>925</v>
      </c>
      <c r="CF121" s="6"/>
      <c r="CG121" s="6">
        <f t="shared" si="41"/>
        <v>384</v>
      </c>
      <c r="CH121" s="6">
        <v>1308</v>
      </c>
      <c r="CI121" s="6"/>
      <c r="CJ121" s="6">
        <f t="shared" si="42"/>
        <v>383</v>
      </c>
      <c r="CK121" s="6">
        <v>82</v>
      </c>
      <c r="CL121" s="6">
        <v>1560</v>
      </c>
      <c r="CM121" s="6">
        <f t="shared" si="43"/>
        <v>334</v>
      </c>
      <c r="CN121" s="6"/>
      <c r="CO121" s="6"/>
      <c r="CP121" s="6"/>
      <c r="CQ121" s="6">
        <v>445</v>
      </c>
      <c r="CR121" s="6"/>
      <c r="CS121" s="6">
        <f t="shared" si="44"/>
        <v>363</v>
      </c>
      <c r="CT121" s="6">
        <v>0</v>
      </c>
      <c r="CU121" s="6">
        <f>661+122</f>
        <v>783</v>
      </c>
      <c r="CV121" s="6">
        <f t="shared" si="45"/>
        <v>338</v>
      </c>
      <c r="CW121" s="6">
        <v>347</v>
      </c>
      <c r="CX121" s="6"/>
      <c r="CY121" s="6">
        <f t="shared" si="46"/>
        <v>347</v>
      </c>
      <c r="CZ121" s="6">
        <v>710</v>
      </c>
      <c r="DA121" s="6"/>
      <c r="DB121" s="6">
        <f t="shared" si="47"/>
        <v>363</v>
      </c>
      <c r="DC121" s="6">
        <v>153</v>
      </c>
      <c r="DD121" s="6">
        <v>931</v>
      </c>
      <c r="DE121" s="6">
        <f t="shared" si="48"/>
        <v>374</v>
      </c>
      <c r="DF121" s="6">
        <v>517</v>
      </c>
      <c r="DG121" s="6"/>
      <c r="DH121" s="6">
        <f t="shared" si="49"/>
        <v>364</v>
      </c>
      <c r="DI121" s="6"/>
      <c r="DJ121" s="6"/>
      <c r="DK121" s="6"/>
      <c r="DL121" s="6">
        <v>900</v>
      </c>
      <c r="DM121" s="6"/>
      <c r="DN121" s="6">
        <f t="shared" si="50"/>
        <v>383</v>
      </c>
      <c r="DO121" s="6">
        <v>1255</v>
      </c>
      <c r="DP121" s="6"/>
      <c r="DQ121" s="6">
        <f t="shared" si="51"/>
        <v>355</v>
      </c>
    </row>
    <row r="122" spans="1:121">
      <c r="A122" s="6">
        <v>118</v>
      </c>
      <c r="B122" s="6">
        <v>656</v>
      </c>
      <c r="C122" s="6"/>
      <c r="D122" s="6">
        <v>323</v>
      </c>
      <c r="E122" s="33" t="s">
        <v>37</v>
      </c>
      <c r="F122" s="33" t="s">
        <v>37</v>
      </c>
      <c r="G122" s="33" t="s">
        <v>37</v>
      </c>
      <c r="H122" s="33" t="s">
        <v>37</v>
      </c>
      <c r="I122" s="33" t="s">
        <v>37</v>
      </c>
      <c r="J122" s="33" t="s">
        <v>37</v>
      </c>
      <c r="K122" s="33" t="s">
        <v>37</v>
      </c>
      <c r="L122" s="33" t="s">
        <v>37</v>
      </c>
      <c r="M122" s="33" t="s">
        <v>37</v>
      </c>
      <c r="N122" s="33" t="s">
        <v>37</v>
      </c>
      <c r="O122" s="33" t="s">
        <v>37</v>
      </c>
      <c r="P122" s="33" t="s">
        <v>37</v>
      </c>
      <c r="Q122" s="33" t="s">
        <v>37</v>
      </c>
      <c r="R122" s="33" t="s">
        <v>37</v>
      </c>
      <c r="S122" s="33" t="s">
        <v>37</v>
      </c>
      <c r="T122" s="33" t="s">
        <v>37</v>
      </c>
      <c r="U122" s="33" t="s">
        <v>37</v>
      </c>
      <c r="V122" s="33" t="s">
        <v>37</v>
      </c>
      <c r="W122" s="33" t="s">
        <v>37</v>
      </c>
      <c r="X122" s="33" t="s">
        <v>37</v>
      </c>
      <c r="Y122" s="33" t="s">
        <v>37</v>
      </c>
      <c r="Z122" s="148" t="s">
        <v>37</v>
      </c>
      <c r="AA122" s="148" t="s">
        <v>37</v>
      </c>
      <c r="AB122" s="33" t="s">
        <v>37</v>
      </c>
      <c r="AC122" s="33" t="s">
        <v>37</v>
      </c>
      <c r="AD122" s="33" t="s">
        <v>37</v>
      </c>
      <c r="AE122" s="33" t="s">
        <v>37</v>
      </c>
      <c r="AF122" s="6">
        <v>1035</v>
      </c>
      <c r="AG122" s="6"/>
      <c r="AH122" s="35">
        <f t="shared" si="26"/>
        <v>379</v>
      </c>
      <c r="AI122" s="35">
        <v>1383</v>
      </c>
      <c r="AJ122" s="35"/>
      <c r="AK122" s="35">
        <f t="shared" si="27"/>
        <v>348</v>
      </c>
      <c r="AL122" s="6">
        <v>244</v>
      </c>
      <c r="AM122" s="6">
        <v>1486</v>
      </c>
      <c r="AN122" s="35">
        <f t="shared" si="28"/>
        <v>347</v>
      </c>
      <c r="AO122" s="6">
        <v>598</v>
      </c>
      <c r="AP122" s="6"/>
      <c r="AQ122" s="34">
        <f t="shared" si="29"/>
        <v>354</v>
      </c>
      <c r="AR122" s="35">
        <v>946</v>
      </c>
      <c r="AS122" s="35"/>
      <c r="AT122" s="35">
        <f t="shared" si="30"/>
        <v>348</v>
      </c>
      <c r="AU122" s="6">
        <v>1284</v>
      </c>
      <c r="AV122" s="6"/>
      <c r="AW122" s="35">
        <f t="shared" si="31"/>
        <v>338</v>
      </c>
      <c r="AX122" s="6"/>
      <c r="AY122" s="6"/>
      <c r="AZ122" s="35"/>
      <c r="BA122" s="35">
        <v>81</v>
      </c>
      <c r="BB122" s="35">
        <v>1560</v>
      </c>
      <c r="BC122" s="35">
        <f t="shared" si="32"/>
        <v>357</v>
      </c>
      <c r="BD122" s="6">
        <v>436</v>
      </c>
      <c r="BE122" s="6"/>
      <c r="BF122" s="35">
        <f t="shared" si="33"/>
        <v>355</v>
      </c>
      <c r="BG122" s="6">
        <v>794</v>
      </c>
      <c r="BH122" s="6"/>
      <c r="BI122" s="6">
        <f t="shared" si="34"/>
        <v>358</v>
      </c>
      <c r="BJ122" s="6">
        <v>1151</v>
      </c>
      <c r="BK122" s="6"/>
      <c r="BL122" s="6">
        <f t="shared" si="35"/>
        <v>357</v>
      </c>
      <c r="BM122" s="6">
        <v>254</v>
      </c>
      <c r="BN122" s="6">
        <v>1237</v>
      </c>
      <c r="BO122" s="6">
        <f t="shared" si="36"/>
        <v>340</v>
      </c>
      <c r="BP122" s="6">
        <v>589</v>
      </c>
      <c r="BQ122" s="6"/>
      <c r="BR122" s="35">
        <f t="shared" si="37"/>
        <v>335</v>
      </c>
      <c r="BS122" s="6"/>
      <c r="BT122" s="6"/>
      <c r="BU122" s="6"/>
      <c r="BV122" s="6">
        <v>953</v>
      </c>
      <c r="BW122" s="6"/>
      <c r="BX122" s="35">
        <f t="shared" si="38"/>
        <v>364</v>
      </c>
      <c r="BY122" s="6">
        <v>1307</v>
      </c>
      <c r="BZ122" s="6"/>
      <c r="CA122" s="6">
        <f t="shared" si="39"/>
        <v>354</v>
      </c>
      <c r="CB122" s="6">
        <v>108</v>
      </c>
      <c r="CC122" s="6">
        <v>1560</v>
      </c>
      <c r="CD122" s="6">
        <f t="shared" si="40"/>
        <v>361</v>
      </c>
      <c r="CE122" s="6">
        <v>482</v>
      </c>
      <c r="CF122" s="6"/>
      <c r="CG122" s="6">
        <f t="shared" si="41"/>
        <v>374</v>
      </c>
      <c r="CH122" s="6">
        <v>854</v>
      </c>
      <c r="CI122" s="6"/>
      <c r="CJ122" s="6">
        <f t="shared" si="42"/>
        <v>372</v>
      </c>
      <c r="CK122" s="6">
        <v>1223</v>
      </c>
      <c r="CL122" s="6"/>
      <c r="CM122" s="6">
        <f t="shared" si="43"/>
        <v>369</v>
      </c>
      <c r="CN122" s="6"/>
      <c r="CO122" s="6"/>
      <c r="CP122" s="6"/>
      <c r="CQ122" s="6">
        <v>50</v>
      </c>
      <c r="CR122" s="6">
        <v>1560</v>
      </c>
      <c r="CS122" s="6">
        <f t="shared" si="44"/>
        <v>387</v>
      </c>
      <c r="CT122" s="6">
        <v>429</v>
      </c>
      <c r="CU122" s="6"/>
      <c r="CV122" s="6">
        <f t="shared" si="45"/>
        <v>379</v>
      </c>
      <c r="CW122" s="6">
        <v>242</v>
      </c>
      <c r="CX122" s="6">
        <v>506</v>
      </c>
      <c r="CY122" s="6">
        <f t="shared" si="46"/>
        <v>319</v>
      </c>
      <c r="CZ122" s="6">
        <v>333</v>
      </c>
      <c r="DA122" s="6">
        <v>242</v>
      </c>
      <c r="DB122" s="6">
        <f t="shared" si="47"/>
        <v>333</v>
      </c>
      <c r="DC122" s="6">
        <v>713</v>
      </c>
      <c r="DD122" s="6"/>
      <c r="DE122" s="6">
        <f t="shared" si="48"/>
        <v>380</v>
      </c>
      <c r="DF122" s="6">
        <v>1075</v>
      </c>
      <c r="DG122" s="6"/>
      <c r="DH122" s="6">
        <f t="shared" si="49"/>
        <v>362</v>
      </c>
      <c r="DI122" s="6"/>
      <c r="DJ122" s="6"/>
      <c r="DK122" s="6"/>
      <c r="DL122" s="6">
        <v>1455</v>
      </c>
      <c r="DM122" s="6"/>
      <c r="DN122" s="6">
        <f t="shared" si="50"/>
        <v>380</v>
      </c>
      <c r="DO122" s="6">
        <v>243</v>
      </c>
      <c r="DP122" s="6">
        <v>1560</v>
      </c>
      <c r="DQ122" s="6">
        <f t="shared" si="51"/>
        <v>348</v>
      </c>
    </row>
    <row r="123" spans="1:121">
      <c r="A123" s="6">
        <v>119</v>
      </c>
      <c r="B123" s="6">
        <v>349</v>
      </c>
      <c r="C123" s="6"/>
      <c r="D123" s="6">
        <v>327</v>
      </c>
      <c r="E123" s="33" t="s">
        <v>37</v>
      </c>
      <c r="F123" s="33" t="s">
        <v>37</v>
      </c>
      <c r="G123" s="33" t="s">
        <v>37</v>
      </c>
      <c r="H123" s="33" t="s">
        <v>37</v>
      </c>
      <c r="I123" s="33" t="s">
        <v>37</v>
      </c>
      <c r="J123" s="148" t="s">
        <v>37</v>
      </c>
      <c r="K123" s="33" t="s">
        <v>37</v>
      </c>
      <c r="L123" s="33" t="s">
        <v>37</v>
      </c>
      <c r="M123" s="33" t="s">
        <v>37</v>
      </c>
      <c r="N123" s="33" t="s">
        <v>37</v>
      </c>
      <c r="O123" s="33" t="s">
        <v>37</v>
      </c>
      <c r="P123" s="33" t="s">
        <v>37</v>
      </c>
      <c r="Q123" s="33" t="s">
        <v>37</v>
      </c>
      <c r="R123" s="33" t="s">
        <v>37</v>
      </c>
      <c r="S123" s="33" t="s">
        <v>37</v>
      </c>
      <c r="T123" s="33" t="s">
        <v>37</v>
      </c>
      <c r="U123" s="33" t="s">
        <v>37</v>
      </c>
      <c r="V123" s="33" t="s">
        <v>37</v>
      </c>
      <c r="W123" s="33" t="s">
        <v>37</v>
      </c>
      <c r="X123" s="33" t="s">
        <v>37</v>
      </c>
      <c r="Y123" s="33" t="s">
        <v>37</v>
      </c>
      <c r="Z123" s="33" t="s">
        <v>37</v>
      </c>
      <c r="AA123" s="33" t="s">
        <v>37</v>
      </c>
      <c r="AB123" s="33" t="s">
        <v>37</v>
      </c>
      <c r="AC123" s="33" t="s">
        <v>37</v>
      </c>
      <c r="AD123" s="33" t="s">
        <v>37</v>
      </c>
      <c r="AE123" s="33" t="s">
        <v>37</v>
      </c>
      <c r="AF123" s="35">
        <v>730</v>
      </c>
      <c r="AG123" s="35"/>
      <c r="AH123" s="35">
        <f t="shared" si="26"/>
        <v>381</v>
      </c>
      <c r="AI123" s="35">
        <v>1086</v>
      </c>
      <c r="AJ123" s="35"/>
      <c r="AK123" s="35">
        <f t="shared" si="27"/>
        <v>356</v>
      </c>
      <c r="AL123" s="35">
        <v>1443</v>
      </c>
      <c r="AM123" s="35"/>
      <c r="AN123" s="35">
        <f t="shared" si="28"/>
        <v>357</v>
      </c>
      <c r="AO123" s="6">
        <v>0</v>
      </c>
      <c r="AP123" s="35">
        <v>1590</v>
      </c>
      <c r="AQ123" s="34">
        <f t="shared" si="29"/>
        <v>147</v>
      </c>
      <c r="AR123" s="35">
        <v>335</v>
      </c>
      <c r="AS123" s="35"/>
      <c r="AT123" s="35">
        <f t="shared" si="30"/>
        <v>335</v>
      </c>
      <c r="AU123" s="6">
        <v>680</v>
      </c>
      <c r="AV123" s="6"/>
      <c r="AW123" s="35">
        <f t="shared" si="31"/>
        <v>345</v>
      </c>
      <c r="AX123" s="6"/>
      <c r="AY123" s="6"/>
      <c r="AZ123" s="35"/>
      <c r="BA123" s="6">
        <v>1043</v>
      </c>
      <c r="BB123" s="6"/>
      <c r="BC123" s="35">
        <f t="shared" si="32"/>
        <v>363</v>
      </c>
      <c r="BD123" s="6">
        <v>1392</v>
      </c>
      <c r="BE123" s="6"/>
      <c r="BF123" s="35">
        <f t="shared" si="33"/>
        <v>349</v>
      </c>
      <c r="BG123" s="6">
        <v>133</v>
      </c>
      <c r="BH123" s="6">
        <v>1612</v>
      </c>
      <c r="BI123" s="6">
        <f t="shared" si="34"/>
        <v>353</v>
      </c>
      <c r="BJ123" s="6">
        <v>497</v>
      </c>
      <c r="BK123" s="35"/>
      <c r="BL123" s="6">
        <f t="shared" si="35"/>
        <v>364</v>
      </c>
      <c r="BM123" s="6">
        <v>859</v>
      </c>
      <c r="BN123" s="6"/>
      <c r="BO123" s="6">
        <f t="shared" si="36"/>
        <v>362</v>
      </c>
      <c r="BP123" s="6">
        <v>1195</v>
      </c>
      <c r="BQ123" s="6"/>
      <c r="BR123" s="35">
        <f t="shared" si="37"/>
        <v>336</v>
      </c>
      <c r="BS123" s="6"/>
      <c r="BT123" s="6"/>
      <c r="BU123" s="6"/>
      <c r="BV123" s="6">
        <v>2</v>
      </c>
      <c r="BW123" s="6">
        <v>1560</v>
      </c>
      <c r="BX123" s="35">
        <f t="shared" si="38"/>
        <v>367</v>
      </c>
      <c r="BY123" s="6">
        <v>363</v>
      </c>
      <c r="BZ123" s="35"/>
      <c r="CA123" s="6">
        <f t="shared" si="39"/>
        <v>361</v>
      </c>
      <c r="CB123" s="6">
        <v>743</v>
      </c>
      <c r="CC123" s="6"/>
      <c r="CD123" s="6">
        <f t="shared" si="40"/>
        <v>380</v>
      </c>
      <c r="CE123" s="6">
        <v>1131</v>
      </c>
      <c r="CF123" s="35"/>
      <c r="CG123" s="6">
        <f t="shared" si="41"/>
        <v>388</v>
      </c>
      <c r="CH123" s="6">
        <v>1512</v>
      </c>
      <c r="CI123" s="6"/>
      <c r="CJ123" s="6">
        <f t="shared" si="42"/>
        <v>381</v>
      </c>
      <c r="CK123" s="6">
        <v>323</v>
      </c>
      <c r="CL123" s="6">
        <v>1561</v>
      </c>
      <c r="CM123" s="6">
        <f t="shared" si="43"/>
        <v>372</v>
      </c>
      <c r="CN123" s="6"/>
      <c r="CO123" s="6"/>
      <c r="CP123" s="6"/>
      <c r="CQ123" s="6">
        <v>711</v>
      </c>
      <c r="CR123" s="6"/>
      <c r="CS123" s="6">
        <f t="shared" si="44"/>
        <v>388</v>
      </c>
      <c r="CT123" s="6">
        <v>1092</v>
      </c>
      <c r="CU123" s="6"/>
      <c r="CV123" s="6">
        <f t="shared" si="45"/>
        <v>381</v>
      </c>
      <c r="CW123" s="6">
        <v>1474</v>
      </c>
      <c r="CX123" s="6"/>
      <c r="CY123" s="6">
        <f t="shared" si="46"/>
        <v>382</v>
      </c>
      <c r="CZ123" s="6">
        <v>298</v>
      </c>
      <c r="DA123" s="6">
        <v>1560</v>
      </c>
      <c r="DB123" s="6">
        <f t="shared" si="47"/>
        <v>384</v>
      </c>
      <c r="DC123" s="6">
        <v>679</v>
      </c>
      <c r="DD123" s="6"/>
      <c r="DE123" s="6">
        <f t="shared" si="48"/>
        <v>381</v>
      </c>
      <c r="DF123" s="6">
        <v>1038</v>
      </c>
      <c r="DG123" s="6"/>
      <c r="DH123" s="6">
        <f t="shared" si="49"/>
        <v>359</v>
      </c>
      <c r="DI123" s="6"/>
      <c r="DJ123" s="6"/>
      <c r="DK123" s="6"/>
      <c r="DL123" s="6">
        <v>1414</v>
      </c>
      <c r="DM123" s="6"/>
      <c r="DN123" s="6">
        <f t="shared" si="50"/>
        <v>376</v>
      </c>
      <c r="DO123" s="6">
        <v>0</v>
      </c>
      <c r="DP123" s="6">
        <v>1547</v>
      </c>
      <c r="DQ123" s="6">
        <f t="shared" si="51"/>
        <v>133</v>
      </c>
    </row>
    <row r="124" spans="1:121">
      <c r="A124" s="6">
        <v>120</v>
      </c>
      <c r="B124" s="6">
        <v>234</v>
      </c>
      <c r="C124" s="6">
        <v>1073</v>
      </c>
      <c r="D124" s="6">
        <v>285</v>
      </c>
      <c r="E124" s="148" t="s">
        <v>37</v>
      </c>
      <c r="F124" s="33" t="s">
        <v>37</v>
      </c>
      <c r="G124" s="33" t="s">
        <v>37</v>
      </c>
      <c r="H124" s="33" t="s">
        <v>37</v>
      </c>
      <c r="I124" s="33" t="s">
        <v>37</v>
      </c>
      <c r="J124" s="33" t="s">
        <v>37</v>
      </c>
      <c r="K124" s="33" t="s">
        <v>37</v>
      </c>
      <c r="L124" s="33" t="s">
        <v>37</v>
      </c>
      <c r="M124" s="33" t="s">
        <v>37</v>
      </c>
      <c r="N124" s="33" t="s">
        <v>37</v>
      </c>
      <c r="O124" s="33" t="s">
        <v>37</v>
      </c>
      <c r="P124" s="33" t="s">
        <v>37</v>
      </c>
      <c r="Q124" s="33" t="s">
        <v>37</v>
      </c>
      <c r="R124" s="33" t="s">
        <v>37</v>
      </c>
      <c r="S124" s="33" t="s">
        <v>37</v>
      </c>
      <c r="T124" s="33" t="s">
        <v>37</v>
      </c>
      <c r="U124" s="33" t="s">
        <v>37</v>
      </c>
      <c r="V124" s="33" t="s">
        <v>37</v>
      </c>
      <c r="W124" s="33" t="s">
        <v>37</v>
      </c>
      <c r="X124" s="33" t="s">
        <v>37</v>
      </c>
      <c r="Y124" s="33" t="s">
        <v>37</v>
      </c>
      <c r="Z124" s="33" t="s">
        <v>37</v>
      </c>
      <c r="AA124" s="148" t="s">
        <v>37</v>
      </c>
      <c r="AB124" s="33" t="s">
        <v>37</v>
      </c>
      <c r="AC124" s="33" t="s">
        <v>37</v>
      </c>
      <c r="AD124" s="33" t="s">
        <v>37</v>
      </c>
      <c r="AE124" s="33" t="s">
        <v>37</v>
      </c>
      <c r="AF124" s="6">
        <v>614</v>
      </c>
      <c r="AG124" s="6"/>
      <c r="AH124" s="35">
        <f t="shared" si="26"/>
        <v>380</v>
      </c>
      <c r="AI124" s="35">
        <v>976</v>
      </c>
      <c r="AJ124" s="35"/>
      <c r="AK124" s="35">
        <f t="shared" si="27"/>
        <v>362</v>
      </c>
      <c r="AL124" s="6">
        <v>1336</v>
      </c>
      <c r="AM124" s="6"/>
      <c r="AN124" s="35">
        <f t="shared" si="28"/>
        <v>360</v>
      </c>
      <c r="AO124" s="6">
        <v>132</v>
      </c>
      <c r="AP124" s="6">
        <v>1560</v>
      </c>
      <c r="AQ124" s="34">
        <f t="shared" si="29"/>
        <v>356</v>
      </c>
      <c r="AR124" s="35">
        <v>496</v>
      </c>
      <c r="AS124" s="35"/>
      <c r="AT124" s="35">
        <f t="shared" si="30"/>
        <v>364</v>
      </c>
      <c r="AU124" s="6">
        <v>831</v>
      </c>
      <c r="AV124" s="6"/>
      <c r="AW124" s="35">
        <f t="shared" si="31"/>
        <v>335</v>
      </c>
      <c r="AX124" s="6"/>
      <c r="AY124" s="6"/>
      <c r="AZ124" s="35"/>
      <c r="BA124" s="35">
        <v>1190</v>
      </c>
      <c r="BB124" s="35"/>
      <c r="BC124" s="35">
        <f t="shared" si="32"/>
        <v>359</v>
      </c>
      <c r="BD124" s="6">
        <v>1550</v>
      </c>
      <c r="BE124" s="6"/>
      <c r="BF124" s="35">
        <f t="shared" si="33"/>
        <v>360</v>
      </c>
      <c r="BG124" s="6">
        <v>351</v>
      </c>
      <c r="BH124" s="6">
        <v>1560</v>
      </c>
      <c r="BI124" s="6">
        <f t="shared" si="34"/>
        <v>361</v>
      </c>
      <c r="BJ124" s="6">
        <v>711</v>
      </c>
      <c r="BK124" s="6"/>
      <c r="BL124" s="6">
        <f t="shared" si="35"/>
        <v>360</v>
      </c>
      <c r="BM124" s="6">
        <v>1077</v>
      </c>
      <c r="BN124" s="6"/>
      <c r="BO124" s="6">
        <f t="shared" si="36"/>
        <v>366</v>
      </c>
      <c r="BP124" s="6">
        <v>1406</v>
      </c>
      <c r="BQ124" s="6"/>
      <c r="BR124" s="35">
        <f t="shared" si="37"/>
        <v>329</v>
      </c>
      <c r="BS124" s="6"/>
      <c r="BT124" s="6"/>
      <c r="BU124" s="6"/>
      <c r="BV124" s="6">
        <v>209</v>
      </c>
      <c r="BW124" s="6">
        <v>1560</v>
      </c>
      <c r="BX124" s="35">
        <f t="shared" si="38"/>
        <v>363</v>
      </c>
      <c r="BY124" s="6">
        <v>569</v>
      </c>
      <c r="BZ124" s="6"/>
      <c r="CA124" s="6">
        <f t="shared" si="39"/>
        <v>360</v>
      </c>
      <c r="CB124" s="6">
        <v>913</v>
      </c>
      <c r="CC124" s="6"/>
      <c r="CD124" s="6">
        <f t="shared" si="40"/>
        <v>344</v>
      </c>
      <c r="CE124" s="6">
        <v>1289</v>
      </c>
      <c r="CF124" s="6"/>
      <c r="CG124" s="6">
        <f t="shared" si="41"/>
        <v>376</v>
      </c>
      <c r="CH124" s="6">
        <v>115</v>
      </c>
      <c r="CI124" s="6">
        <v>1560</v>
      </c>
      <c r="CJ124" s="6">
        <f t="shared" si="42"/>
        <v>386</v>
      </c>
      <c r="CK124" s="6">
        <v>488</v>
      </c>
      <c r="CL124" s="6"/>
      <c r="CM124" s="6">
        <f t="shared" si="43"/>
        <v>373</v>
      </c>
      <c r="CN124" s="6"/>
      <c r="CO124" s="6"/>
      <c r="CP124" s="6"/>
      <c r="CQ124" s="6">
        <v>869</v>
      </c>
      <c r="CR124" s="6"/>
      <c r="CS124" s="6">
        <f t="shared" si="44"/>
        <v>381</v>
      </c>
      <c r="CT124" s="6">
        <v>1252</v>
      </c>
      <c r="CU124" s="6"/>
      <c r="CV124" s="6">
        <f t="shared" si="45"/>
        <v>383</v>
      </c>
      <c r="CW124" s="6">
        <v>0</v>
      </c>
      <c r="CX124" s="6">
        <v>1618</v>
      </c>
      <c r="CY124" s="6">
        <f t="shared" si="46"/>
        <v>366</v>
      </c>
      <c r="CZ124" s="6">
        <v>326</v>
      </c>
      <c r="DA124" s="6"/>
      <c r="DB124" s="6">
        <f t="shared" si="47"/>
        <v>326</v>
      </c>
      <c r="DC124" s="6">
        <v>699</v>
      </c>
      <c r="DD124" s="6"/>
      <c r="DE124" s="6">
        <f t="shared" si="48"/>
        <v>373</v>
      </c>
      <c r="DF124" s="6">
        <v>1054</v>
      </c>
      <c r="DG124" s="6"/>
      <c r="DH124" s="6">
        <f t="shared" si="49"/>
        <v>355</v>
      </c>
      <c r="DI124" s="6"/>
      <c r="DJ124" s="6"/>
      <c r="DK124" s="6"/>
      <c r="DL124" s="6">
        <v>1436</v>
      </c>
      <c r="DM124" s="6"/>
      <c r="DN124" s="6">
        <f t="shared" si="50"/>
        <v>382</v>
      </c>
      <c r="DO124" s="6">
        <v>229</v>
      </c>
      <c r="DP124" s="6">
        <v>1560</v>
      </c>
      <c r="DQ124" s="6">
        <f t="shared" si="51"/>
        <v>353</v>
      </c>
    </row>
    <row r="125" spans="1:121">
      <c r="A125" s="6">
        <v>121</v>
      </c>
      <c r="B125" s="6">
        <v>344</v>
      </c>
      <c r="C125" s="6"/>
      <c r="D125" s="6">
        <v>328</v>
      </c>
      <c r="E125" s="33" t="s">
        <v>128</v>
      </c>
      <c r="F125" s="33" t="s">
        <v>128</v>
      </c>
      <c r="G125" s="33" t="s">
        <v>128</v>
      </c>
      <c r="H125" s="33" t="s">
        <v>128</v>
      </c>
      <c r="I125" s="33" t="s">
        <v>128</v>
      </c>
      <c r="J125" s="33" t="s">
        <v>128</v>
      </c>
      <c r="K125" s="33" t="s">
        <v>128</v>
      </c>
      <c r="L125" s="33" t="s">
        <v>128</v>
      </c>
      <c r="M125" s="33" t="s">
        <v>128</v>
      </c>
      <c r="N125" s="148" t="s">
        <v>37</v>
      </c>
      <c r="O125" s="33" t="s">
        <v>37</v>
      </c>
      <c r="P125" s="33" t="s">
        <v>37</v>
      </c>
      <c r="Q125" s="33" t="s">
        <v>37</v>
      </c>
      <c r="R125" s="33" t="s">
        <v>37</v>
      </c>
      <c r="S125" s="33" t="s">
        <v>37</v>
      </c>
      <c r="T125" s="33" t="s">
        <v>37</v>
      </c>
      <c r="U125" s="33" t="s">
        <v>37</v>
      </c>
      <c r="V125" s="33" t="s">
        <v>37</v>
      </c>
      <c r="W125" s="33" t="s">
        <v>37</v>
      </c>
      <c r="X125" s="33" t="s">
        <v>37</v>
      </c>
      <c r="Y125" s="33" t="s">
        <v>37</v>
      </c>
      <c r="Z125" s="33" t="s">
        <v>37</v>
      </c>
      <c r="AA125" s="33" t="s">
        <v>37</v>
      </c>
      <c r="AB125" s="33" t="s">
        <v>37</v>
      </c>
      <c r="AC125" s="33" t="s">
        <v>37</v>
      </c>
      <c r="AD125" s="33" t="s">
        <v>37</v>
      </c>
      <c r="AE125" s="33" t="s">
        <v>37</v>
      </c>
      <c r="AF125" s="6">
        <v>714</v>
      </c>
      <c r="AG125" s="6"/>
      <c r="AH125" s="35">
        <f t="shared" si="26"/>
        <v>370</v>
      </c>
      <c r="AI125" s="35">
        <v>1068</v>
      </c>
      <c r="AJ125" s="35"/>
      <c r="AK125" s="35">
        <f t="shared" si="27"/>
        <v>354</v>
      </c>
      <c r="AL125" s="6">
        <v>139</v>
      </c>
      <c r="AM125" s="6">
        <v>1281</v>
      </c>
      <c r="AN125" s="35">
        <f t="shared" si="28"/>
        <v>352</v>
      </c>
      <c r="AO125" s="6">
        <v>494</v>
      </c>
      <c r="AP125" s="6"/>
      <c r="AQ125" s="34">
        <f t="shared" si="29"/>
        <v>355</v>
      </c>
      <c r="AR125" s="35">
        <v>848</v>
      </c>
      <c r="AS125" s="35"/>
      <c r="AT125" s="35">
        <f t="shared" si="30"/>
        <v>354</v>
      </c>
      <c r="AU125" s="6">
        <v>1181</v>
      </c>
      <c r="AV125" s="6"/>
      <c r="AW125" s="35">
        <f t="shared" si="31"/>
        <v>333</v>
      </c>
      <c r="AX125" s="6"/>
      <c r="AY125" s="6"/>
      <c r="AZ125" s="35"/>
      <c r="BA125" s="35">
        <v>20</v>
      </c>
      <c r="BB125" s="35">
        <v>1520</v>
      </c>
      <c r="BC125" s="35">
        <f t="shared" si="32"/>
        <v>359</v>
      </c>
      <c r="BD125" s="6">
        <v>373</v>
      </c>
      <c r="BE125" s="6"/>
      <c r="BF125" s="35">
        <f t="shared" si="33"/>
        <v>353</v>
      </c>
      <c r="BG125" s="6">
        <v>312</v>
      </c>
      <c r="BH125" s="6">
        <v>386</v>
      </c>
      <c r="BI125" s="6">
        <f t="shared" si="34"/>
        <v>325</v>
      </c>
      <c r="BJ125" s="6">
        <v>670</v>
      </c>
      <c r="BK125" s="6"/>
      <c r="BL125" s="6">
        <f t="shared" si="35"/>
        <v>358</v>
      </c>
      <c r="BM125" s="6">
        <v>1039</v>
      </c>
      <c r="BN125" s="6"/>
      <c r="BO125" s="6">
        <f t="shared" si="36"/>
        <v>369</v>
      </c>
      <c r="BP125" s="6">
        <v>1393</v>
      </c>
      <c r="BQ125" s="6"/>
      <c r="BR125" s="35">
        <f t="shared" si="37"/>
        <v>354</v>
      </c>
      <c r="BS125" s="6"/>
      <c r="BT125" s="6"/>
      <c r="BU125" s="6"/>
      <c r="BV125" s="6">
        <v>214</v>
      </c>
      <c r="BW125" s="6">
        <v>1561</v>
      </c>
      <c r="BX125" s="35">
        <f t="shared" si="38"/>
        <v>382</v>
      </c>
      <c r="BY125" s="6">
        <v>586</v>
      </c>
      <c r="BZ125" s="6"/>
      <c r="CA125" s="6">
        <f t="shared" si="39"/>
        <v>372</v>
      </c>
      <c r="CB125" s="6">
        <v>966</v>
      </c>
      <c r="CC125" s="6"/>
      <c r="CD125" s="6">
        <f t="shared" si="40"/>
        <v>380</v>
      </c>
      <c r="CE125" s="6">
        <v>1355</v>
      </c>
      <c r="CF125" s="6"/>
      <c r="CG125" s="6">
        <f t="shared" si="41"/>
        <v>389</v>
      </c>
      <c r="CH125" s="6">
        <v>180</v>
      </c>
      <c r="CI125" s="6">
        <v>1560</v>
      </c>
      <c r="CJ125" s="6">
        <f t="shared" si="42"/>
        <v>385</v>
      </c>
      <c r="CK125" s="6">
        <v>550</v>
      </c>
      <c r="CL125" s="6"/>
      <c r="CM125" s="6">
        <f t="shared" si="43"/>
        <v>370</v>
      </c>
      <c r="CN125" s="6"/>
      <c r="CO125" s="6"/>
      <c r="CP125" s="6"/>
      <c r="CQ125" s="6">
        <v>937</v>
      </c>
      <c r="CR125" s="6"/>
      <c r="CS125" s="6">
        <f t="shared" si="44"/>
        <v>387</v>
      </c>
      <c r="CT125" s="6">
        <v>1319</v>
      </c>
      <c r="CU125" s="6"/>
      <c r="CV125" s="6">
        <f t="shared" si="45"/>
        <v>382</v>
      </c>
      <c r="CW125" s="6">
        <v>144</v>
      </c>
      <c r="CX125" s="6">
        <v>1560</v>
      </c>
      <c r="CY125" s="6">
        <f t="shared" si="46"/>
        <v>385</v>
      </c>
      <c r="CZ125" s="6">
        <v>532</v>
      </c>
      <c r="DA125" s="6"/>
      <c r="DB125" s="6">
        <f t="shared" si="47"/>
        <v>388</v>
      </c>
      <c r="DC125" s="6">
        <v>916</v>
      </c>
      <c r="DD125" s="6"/>
      <c r="DE125" s="6">
        <f t="shared" si="48"/>
        <v>384</v>
      </c>
      <c r="DF125" s="6">
        <v>1287</v>
      </c>
      <c r="DG125" s="6"/>
      <c r="DH125" s="6">
        <f t="shared" si="49"/>
        <v>371</v>
      </c>
      <c r="DI125" s="6"/>
      <c r="DJ125" s="6"/>
      <c r="DK125" s="6"/>
      <c r="DL125" s="6">
        <v>115</v>
      </c>
      <c r="DM125" s="6">
        <v>1560</v>
      </c>
      <c r="DN125" s="6">
        <f t="shared" si="50"/>
        <v>388</v>
      </c>
      <c r="DO125" s="6">
        <v>460</v>
      </c>
      <c r="DP125" s="6"/>
      <c r="DQ125" s="6">
        <f t="shared" si="51"/>
        <v>345</v>
      </c>
    </row>
    <row r="126" spans="1:121">
      <c r="A126" s="6">
        <v>122</v>
      </c>
      <c r="B126" s="6">
        <v>1364</v>
      </c>
      <c r="C126" s="6"/>
      <c r="D126" s="6">
        <v>318</v>
      </c>
      <c r="E126" s="33" t="s">
        <v>37</v>
      </c>
      <c r="F126" s="33" t="s">
        <v>37</v>
      </c>
      <c r="G126" s="33" t="s">
        <v>37</v>
      </c>
      <c r="H126" s="33" t="s">
        <v>37</v>
      </c>
      <c r="I126" s="33" t="s">
        <v>37</v>
      </c>
      <c r="J126" s="33" t="s">
        <v>37</v>
      </c>
      <c r="K126" s="33" t="s">
        <v>37</v>
      </c>
      <c r="L126" s="33" t="s">
        <v>37</v>
      </c>
      <c r="M126" s="33" t="s">
        <v>37</v>
      </c>
      <c r="N126" s="33" t="s">
        <v>37</v>
      </c>
      <c r="O126" s="33" t="s">
        <v>37</v>
      </c>
      <c r="P126" s="33" t="s">
        <v>37</v>
      </c>
      <c r="Q126" s="33" t="s">
        <v>37</v>
      </c>
      <c r="R126" s="33" t="s">
        <v>37</v>
      </c>
      <c r="S126" s="33" t="s">
        <v>37</v>
      </c>
      <c r="T126" s="33" t="s">
        <v>37</v>
      </c>
      <c r="U126" s="33" t="s">
        <v>37</v>
      </c>
      <c r="V126" s="33" t="s">
        <v>37</v>
      </c>
      <c r="W126" s="33" t="s">
        <v>37</v>
      </c>
      <c r="X126" s="148" t="s">
        <v>37</v>
      </c>
      <c r="Y126" s="33" t="s">
        <v>37</v>
      </c>
      <c r="Z126" s="33" t="s">
        <v>37</v>
      </c>
      <c r="AA126" s="33" t="s">
        <v>37</v>
      </c>
      <c r="AB126" s="33" t="s">
        <v>37</v>
      </c>
      <c r="AC126" s="33" t="s">
        <v>37</v>
      </c>
      <c r="AD126" s="33" t="s">
        <v>37</v>
      </c>
      <c r="AE126" s="33" t="s">
        <v>37</v>
      </c>
      <c r="AF126" s="6">
        <v>181</v>
      </c>
      <c r="AG126" s="6">
        <v>1560</v>
      </c>
      <c r="AH126" s="35">
        <f t="shared" si="26"/>
        <v>377</v>
      </c>
      <c r="AI126" s="35">
        <v>530</v>
      </c>
      <c r="AJ126" s="35"/>
      <c r="AK126" s="35">
        <f t="shared" si="27"/>
        <v>349</v>
      </c>
      <c r="AL126" s="6">
        <v>882</v>
      </c>
      <c r="AM126" s="6"/>
      <c r="AN126" s="35">
        <f t="shared" si="28"/>
        <v>352</v>
      </c>
      <c r="AO126" s="6">
        <v>1231</v>
      </c>
      <c r="AP126" s="6"/>
      <c r="AQ126" s="34">
        <f t="shared" si="29"/>
        <v>349</v>
      </c>
      <c r="AR126" s="35">
        <v>17</v>
      </c>
      <c r="AS126" s="35">
        <v>1561</v>
      </c>
      <c r="AT126" s="35">
        <f t="shared" si="30"/>
        <v>347</v>
      </c>
      <c r="AU126" s="6">
        <v>350</v>
      </c>
      <c r="AV126" s="6"/>
      <c r="AW126" s="35">
        <f t="shared" si="31"/>
        <v>333</v>
      </c>
      <c r="AX126" s="6"/>
      <c r="AY126" s="6"/>
      <c r="AZ126" s="35"/>
      <c r="BA126" s="35">
        <v>704</v>
      </c>
      <c r="BB126" s="35"/>
      <c r="BC126" s="35">
        <f t="shared" si="32"/>
        <v>354</v>
      </c>
      <c r="BD126" s="6">
        <v>1048</v>
      </c>
      <c r="BE126" s="6"/>
      <c r="BF126" s="35">
        <f t="shared" si="33"/>
        <v>344</v>
      </c>
      <c r="BG126" s="6">
        <v>1405</v>
      </c>
      <c r="BH126" s="6"/>
      <c r="BI126" s="6">
        <f t="shared" si="34"/>
        <v>357</v>
      </c>
      <c r="BJ126" s="6">
        <v>194</v>
      </c>
      <c r="BK126" s="6">
        <v>1561</v>
      </c>
      <c r="BL126" s="6">
        <f t="shared" si="35"/>
        <v>350</v>
      </c>
      <c r="BM126" s="6">
        <v>551</v>
      </c>
      <c r="BN126" s="6"/>
      <c r="BO126" s="6">
        <f t="shared" si="36"/>
        <v>357</v>
      </c>
      <c r="BP126" s="6">
        <v>880</v>
      </c>
      <c r="BQ126" s="6"/>
      <c r="BR126" s="35">
        <f t="shared" si="37"/>
        <v>329</v>
      </c>
      <c r="BS126" s="6"/>
      <c r="BT126" s="6"/>
      <c r="BU126" s="6"/>
      <c r="BV126" s="6">
        <v>1239</v>
      </c>
      <c r="BW126" s="6"/>
      <c r="BX126" s="35">
        <f t="shared" si="38"/>
        <v>359</v>
      </c>
      <c r="BY126" s="6">
        <v>33</v>
      </c>
      <c r="BZ126" s="6">
        <v>1560</v>
      </c>
      <c r="CA126" s="6">
        <f t="shared" si="39"/>
        <v>354</v>
      </c>
      <c r="CB126" s="6">
        <v>384</v>
      </c>
      <c r="CC126" s="6"/>
      <c r="CD126" s="6">
        <f t="shared" si="40"/>
        <v>351</v>
      </c>
      <c r="CE126" s="6">
        <v>770</v>
      </c>
      <c r="CF126" s="6"/>
      <c r="CG126" s="6">
        <f t="shared" si="41"/>
        <v>386</v>
      </c>
      <c r="CH126" s="6">
        <v>1153</v>
      </c>
      <c r="CI126" s="6"/>
      <c r="CJ126" s="6">
        <f t="shared" si="42"/>
        <v>383</v>
      </c>
      <c r="CK126" s="6">
        <v>19</v>
      </c>
      <c r="CL126" s="6">
        <v>1507</v>
      </c>
      <c r="CM126" s="6">
        <f t="shared" si="43"/>
        <v>373</v>
      </c>
      <c r="CN126" s="6"/>
      <c r="CO126" s="6"/>
      <c r="CP126" s="6"/>
      <c r="CQ126" s="6">
        <v>277</v>
      </c>
      <c r="CR126" s="6">
        <v>106</v>
      </c>
      <c r="CS126" s="6">
        <f t="shared" si="44"/>
        <v>364</v>
      </c>
      <c r="CT126" s="6">
        <v>646</v>
      </c>
      <c r="CU126" s="6"/>
      <c r="CV126" s="6">
        <f t="shared" si="45"/>
        <v>369</v>
      </c>
      <c r="CW126" s="6">
        <v>1017</v>
      </c>
      <c r="CX126" s="6"/>
      <c r="CY126" s="6">
        <f t="shared" si="46"/>
        <v>371</v>
      </c>
      <c r="CZ126" s="6">
        <v>1391</v>
      </c>
      <c r="DA126" s="6"/>
      <c r="DB126" s="6">
        <f t="shared" si="47"/>
        <v>374</v>
      </c>
      <c r="DC126" s="6">
        <v>207</v>
      </c>
      <c r="DD126" s="6">
        <v>1560</v>
      </c>
      <c r="DE126" s="6">
        <f t="shared" si="48"/>
        <v>376</v>
      </c>
      <c r="DF126" s="6">
        <v>561</v>
      </c>
      <c r="DG126" s="6"/>
      <c r="DH126" s="6">
        <f t="shared" si="49"/>
        <v>354</v>
      </c>
      <c r="DI126" s="6"/>
      <c r="DJ126" s="6"/>
      <c r="DK126" s="6"/>
      <c r="DL126" s="6">
        <v>931</v>
      </c>
      <c r="DM126" s="6"/>
      <c r="DN126" s="6">
        <f t="shared" si="50"/>
        <v>370</v>
      </c>
      <c r="DO126" s="6">
        <v>1271</v>
      </c>
      <c r="DP126" s="6"/>
      <c r="DQ126" s="6">
        <f t="shared" si="51"/>
        <v>340</v>
      </c>
    </row>
    <row r="127" spans="1:121">
      <c r="A127" s="6">
        <v>123</v>
      </c>
      <c r="B127" s="6">
        <v>237</v>
      </c>
      <c r="C127" s="6"/>
      <c r="D127" s="6">
        <v>0</v>
      </c>
      <c r="E127" s="33" t="s">
        <v>102</v>
      </c>
      <c r="F127" s="33" t="s">
        <v>102</v>
      </c>
      <c r="G127" s="33" t="s">
        <v>102</v>
      </c>
      <c r="H127" s="33" t="s">
        <v>102</v>
      </c>
      <c r="I127" s="33" t="s">
        <v>102</v>
      </c>
      <c r="J127" s="33" t="s">
        <v>102</v>
      </c>
      <c r="K127" s="33" t="s">
        <v>102</v>
      </c>
      <c r="L127" s="33" t="s">
        <v>102</v>
      </c>
      <c r="M127" s="33" t="s">
        <v>102</v>
      </c>
      <c r="N127" s="33" t="s">
        <v>102</v>
      </c>
      <c r="O127" s="33" t="s">
        <v>102</v>
      </c>
      <c r="P127" s="33" t="s">
        <v>102</v>
      </c>
      <c r="Q127" s="148" t="s">
        <v>37</v>
      </c>
      <c r="R127" s="33" t="s">
        <v>37</v>
      </c>
      <c r="S127" s="33" t="s">
        <v>37</v>
      </c>
      <c r="T127" s="33" t="s">
        <v>37</v>
      </c>
      <c r="U127" s="33" t="s">
        <v>37</v>
      </c>
      <c r="V127" s="33" t="s">
        <v>37</v>
      </c>
      <c r="W127" s="33" t="s">
        <v>37</v>
      </c>
      <c r="X127" s="33" t="s">
        <v>37</v>
      </c>
      <c r="Y127" s="33" t="s">
        <v>37</v>
      </c>
      <c r="Z127" s="33" t="s">
        <v>37</v>
      </c>
      <c r="AA127" s="33" t="s">
        <v>37</v>
      </c>
      <c r="AB127" s="33" t="s">
        <v>37</v>
      </c>
      <c r="AC127" s="33" t="s">
        <v>37</v>
      </c>
      <c r="AD127" s="33" t="s">
        <v>37</v>
      </c>
      <c r="AE127" s="33" t="s">
        <v>37</v>
      </c>
      <c r="AF127" s="6">
        <v>237</v>
      </c>
      <c r="AG127" s="6"/>
      <c r="AH127" s="35">
        <f t="shared" si="26"/>
        <v>0</v>
      </c>
      <c r="AI127" s="35">
        <v>237</v>
      </c>
      <c r="AJ127" s="35"/>
      <c r="AK127" s="35">
        <f t="shared" si="27"/>
        <v>0</v>
      </c>
      <c r="AL127" s="6">
        <v>237</v>
      </c>
      <c r="AM127" s="6"/>
      <c r="AN127" s="35">
        <f t="shared" si="28"/>
        <v>0</v>
      </c>
      <c r="AO127" s="6">
        <v>0</v>
      </c>
      <c r="AP127" s="6">
        <f>237+264</f>
        <v>501</v>
      </c>
      <c r="AQ127" s="34">
        <f t="shared" si="29"/>
        <v>264</v>
      </c>
      <c r="AR127" s="35">
        <v>0</v>
      </c>
      <c r="AS127" s="35"/>
      <c r="AT127" s="35">
        <f t="shared" si="30"/>
        <v>0</v>
      </c>
      <c r="AU127" s="6">
        <v>0</v>
      </c>
      <c r="AV127" s="6"/>
      <c r="AW127" s="35">
        <f t="shared" si="31"/>
        <v>0</v>
      </c>
      <c r="AX127" s="6"/>
      <c r="AY127" s="6"/>
      <c r="AZ127" s="35"/>
      <c r="BA127" s="35">
        <v>0</v>
      </c>
      <c r="BB127" s="35"/>
      <c r="BC127" s="35">
        <f t="shared" si="32"/>
        <v>0</v>
      </c>
      <c r="BD127" s="6">
        <v>0</v>
      </c>
      <c r="BE127" s="6"/>
      <c r="BF127" s="35">
        <f t="shared" si="33"/>
        <v>0</v>
      </c>
      <c r="BG127" s="6">
        <v>0</v>
      </c>
      <c r="BH127" s="6"/>
      <c r="BI127" s="6">
        <f t="shared" si="34"/>
        <v>0</v>
      </c>
      <c r="BJ127" s="6">
        <v>0</v>
      </c>
      <c r="BK127" s="6"/>
      <c r="BL127" s="6">
        <f t="shared" si="35"/>
        <v>0</v>
      </c>
      <c r="BM127" s="6">
        <v>0</v>
      </c>
      <c r="BN127" s="6"/>
      <c r="BO127" s="6">
        <f t="shared" si="36"/>
        <v>0</v>
      </c>
      <c r="BP127" s="6">
        <v>249</v>
      </c>
      <c r="BQ127" s="6"/>
      <c r="BR127" s="35">
        <f t="shared" si="37"/>
        <v>249</v>
      </c>
      <c r="BS127" s="6"/>
      <c r="BT127" s="6"/>
      <c r="BU127" s="6"/>
      <c r="BV127" s="6">
        <v>621</v>
      </c>
      <c r="BW127" s="6"/>
      <c r="BX127" s="35">
        <f t="shared" si="38"/>
        <v>372</v>
      </c>
      <c r="BY127" s="6">
        <v>970</v>
      </c>
      <c r="BZ127" s="6"/>
      <c r="CA127" s="6">
        <f t="shared" si="39"/>
        <v>349</v>
      </c>
      <c r="CB127" s="6">
        <v>1356</v>
      </c>
      <c r="CC127" s="6"/>
      <c r="CD127" s="6">
        <f t="shared" si="40"/>
        <v>386</v>
      </c>
      <c r="CE127" s="6">
        <v>182</v>
      </c>
      <c r="CF127" s="6">
        <v>1560</v>
      </c>
      <c r="CG127" s="6">
        <f t="shared" si="41"/>
        <v>386</v>
      </c>
      <c r="CH127" s="6">
        <v>564</v>
      </c>
      <c r="CI127" s="6"/>
      <c r="CJ127" s="6">
        <f t="shared" si="42"/>
        <v>382</v>
      </c>
      <c r="CK127" s="6">
        <v>934</v>
      </c>
      <c r="CL127" s="6"/>
      <c r="CM127" s="6">
        <f t="shared" si="43"/>
        <v>370</v>
      </c>
      <c r="CN127" s="6"/>
      <c r="CO127" s="6"/>
      <c r="CP127" s="6"/>
      <c r="CQ127" s="6">
        <v>1321</v>
      </c>
      <c r="CR127" s="6"/>
      <c r="CS127" s="6">
        <f t="shared" si="44"/>
        <v>387</v>
      </c>
      <c r="CT127" s="6">
        <v>136</v>
      </c>
      <c r="CU127" s="6">
        <v>1560</v>
      </c>
      <c r="CV127" s="6">
        <f t="shared" si="45"/>
        <v>375</v>
      </c>
      <c r="CW127" s="6">
        <v>329</v>
      </c>
      <c r="CX127" s="6">
        <v>192</v>
      </c>
      <c r="CY127" s="6">
        <f t="shared" si="46"/>
        <v>385</v>
      </c>
      <c r="CZ127" s="6">
        <v>236</v>
      </c>
      <c r="DA127" s="6">
        <v>458</v>
      </c>
      <c r="DB127" s="6">
        <f t="shared" si="47"/>
        <v>365</v>
      </c>
      <c r="DC127" s="6">
        <v>615</v>
      </c>
      <c r="DD127" s="6"/>
      <c r="DE127" s="6">
        <f t="shared" si="48"/>
        <v>379</v>
      </c>
      <c r="DF127" s="6">
        <v>976</v>
      </c>
      <c r="DG127" s="6"/>
      <c r="DH127" s="6">
        <f t="shared" si="49"/>
        <v>361</v>
      </c>
      <c r="DI127" s="6"/>
      <c r="DJ127" s="6"/>
      <c r="DK127" s="6"/>
      <c r="DL127" s="6">
        <v>73</v>
      </c>
      <c r="DM127" s="6">
        <v>1255</v>
      </c>
      <c r="DN127" s="6">
        <f t="shared" si="50"/>
        <v>352</v>
      </c>
      <c r="DO127" s="6">
        <v>70</v>
      </c>
      <c r="DP127" s="6">
        <v>329</v>
      </c>
      <c r="DQ127" s="6">
        <f t="shared" si="51"/>
        <v>326</v>
      </c>
    </row>
    <row r="128" spans="1:121">
      <c r="A128" s="6">
        <v>124</v>
      </c>
      <c r="B128" s="6">
        <v>969</v>
      </c>
      <c r="C128" s="6"/>
      <c r="D128" s="6">
        <v>322</v>
      </c>
      <c r="E128" s="33" t="s">
        <v>128</v>
      </c>
      <c r="F128" s="33" t="s">
        <v>128</v>
      </c>
      <c r="G128" s="33" t="s">
        <v>128</v>
      </c>
      <c r="H128" s="33" t="s">
        <v>128</v>
      </c>
      <c r="I128" s="33" t="s">
        <v>128</v>
      </c>
      <c r="J128" s="33" t="s">
        <v>128</v>
      </c>
      <c r="K128" s="33" t="s">
        <v>128</v>
      </c>
      <c r="L128" s="33" t="s">
        <v>128</v>
      </c>
      <c r="M128" s="33" t="s">
        <v>128</v>
      </c>
      <c r="N128" s="33" t="s">
        <v>128</v>
      </c>
      <c r="O128" s="33" t="s">
        <v>128</v>
      </c>
      <c r="P128" s="33" t="s">
        <v>128</v>
      </c>
      <c r="Q128" s="33" t="s">
        <v>128</v>
      </c>
      <c r="R128" s="33" t="s">
        <v>128</v>
      </c>
      <c r="S128" s="33" t="s">
        <v>128</v>
      </c>
      <c r="T128" s="33" t="s">
        <v>128</v>
      </c>
      <c r="U128" s="33" t="s">
        <v>128</v>
      </c>
      <c r="V128" s="33" t="s">
        <v>128</v>
      </c>
      <c r="W128" s="33" t="s">
        <v>128</v>
      </c>
      <c r="X128" s="33" t="s">
        <v>128</v>
      </c>
      <c r="Y128" s="148" t="s">
        <v>128</v>
      </c>
      <c r="Z128" s="33" t="s">
        <v>128</v>
      </c>
      <c r="AA128" s="33" t="s">
        <v>128</v>
      </c>
      <c r="AB128" s="33" t="s">
        <v>128</v>
      </c>
      <c r="AC128" s="33" t="s">
        <v>128</v>
      </c>
      <c r="AD128" s="33" t="s">
        <v>128</v>
      </c>
      <c r="AE128" s="33" t="s">
        <v>128</v>
      </c>
      <c r="AF128" s="6">
        <v>1352</v>
      </c>
      <c r="AG128" s="6"/>
      <c r="AH128" s="35">
        <f t="shared" si="26"/>
        <v>383</v>
      </c>
      <c r="AI128" s="35">
        <v>141</v>
      </c>
      <c r="AJ128" s="35">
        <v>1560</v>
      </c>
      <c r="AK128" s="35">
        <f t="shared" si="27"/>
        <v>349</v>
      </c>
      <c r="AL128" s="6">
        <v>499</v>
      </c>
      <c r="AM128" s="6"/>
      <c r="AN128" s="35">
        <f t="shared" si="28"/>
        <v>358</v>
      </c>
      <c r="AO128" s="6">
        <v>852</v>
      </c>
      <c r="AP128" s="6"/>
      <c r="AQ128" s="34">
        <f t="shared" si="29"/>
        <v>353</v>
      </c>
      <c r="AR128" s="35">
        <v>1211</v>
      </c>
      <c r="AS128" s="35"/>
      <c r="AT128" s="35">
        <f t="shared" si="30"/>
        <v>359</v>
      </c>
      <c r="AU128" s="6">
        <v>1546</v>
      </c>
      <c r="AV128" s="6"/>
      <c r="AW128" s="35">
        <f t="shared" si="31"/>
        <v>335</v>
      </c>
      <c r="AX128" s="6"/>
      <c r="AY128" s="6"/>
      <c r="AZ128" s="35"/>
      <c r="BA128" s="35">
        <v>346</v>
      </c>
      <c r="BB128" s="35">
        <v>1560</v>
      </c>
      <c r="BC128" s="35">
        <f t="shared" si="32"/>
        <v>360</v>
      </c>
      <c r="BD128" s="6">
        <v>695</v>
      </c>
      <c r="BE128" s="6"/>
      <c r="BF128" s="35">
        <f t="shared" si="33"/>
        <v>349</v>
      </c>
      <c r="BG128" s="6">
        <v>1052</v>
      </c>
      <c r="BH128" s="6"/>
      <c r="BI128" s="6">
        <f t="shared" si="34"/>
        <v>357</v>
      </c>
      <c r="BJ128" s="6">
        <v>221</v>
      </c>
      <c r="BK128" s="6">
        <v>1187</v>
      </c>
      <c r="BL128" s="6">
        <f t="shared" si="35"/>
        <v>356</v>
      </c>
      <c r="BM128" s="6">
        <v>573</v>
      </c>
      <c r="BN128" s="6"/>
      <c r="BO128" s="6">
        <f t="shared" si="36"/>
        <v>352</v>
      </c>
      <c r="BP128" s="6">
        <v>904</v>
      </c>
      <c r="BQ128" s="6"/>
      <c r="BR128" s="35">
        <f t="shared" si="37"/>
        <v>331</v>
      </c>
      <c r="BS128" s="6"/>
      <c r="BT128" s="6"/>
      <c r="BU128" s="6"/>
      <c r="BV128" s="6">
        <v>1256</v>
      </c>
      <c r="BW128" s="6"/>
      <c r="BX128" s="35">
        <f t="shared" si="38"/>
        <v>352</v>
      </c>
      <c r="BY128" s="6">
        <v>44</v>
      </c>
      <c r="BZ128" s="6">
        <v>1571</v>
      </c>
      <c r="CA128" s="6">
        <f t="shared" si="39"/>
        <v>359</v>
      </c>
      <c r="CB128" s="6">
        <v>415</v>
      </c>
      <c r="CC128" s="6"/>
      <c r="CD128" s="6">
        <f t="shared" si="40"/>
        <v>371</v>
      </c>
      <c r="CE128" s="6">
        <v>804</v>
      </c>
      <c r="CF128" s="6"/>
      <c r="CG128" s="6">
        <f t="shared" si="41"/>
        <v>389</v>
      </c>
      <c r="CH128" s="6">
        <v>1170</v>
      </c>
      <c r="CI128" s="6"/>
      <c r="CJ128" s="6">
        <f t="shared" si="42"/>
        <v>366</v>
      </c>
      <c r="CK128" s="6">
        <v>1543</v>
      </c>
      <c r="CL128" s="6"/>
      <c r="CM128" s="6">
        <f t="shared" si="43"/>
        <v>373</v>
      </c>
      <c r="CN128" s="6"/>
      <c r="CO128" s="6"/>
      <c r="CP128" s="6"/>
      <c r="CQ128" s="6">
        <v>192</v>
      </c>
      <c r="CR128" s="6">
        <v>1722</v>
      </c>
      <c r="CS128" s="6">
        <f t="shared" si="44"/>
        <v>371</v>
      </c>
      <c r="CT128" s="6">
        <v>289</v>
      </c>
      <c r="CU128" s="6">
        <v>241</v>
      </c>
      <c r="CV128" s="6">
        <f t="shared" si="45"/>
        <v>338</v>
      </c>
      <c r="CW128" s="6">
        <v>677</v>
      </c>
      <c r="CX128" s="6"/>
      <c r="CY128" s="6">
        <f t="shared" si="46"/>
        <v>388</v>
      </c>
      <c r="CZ128" s="6">
        <v>1049</v>
      </c>
      <c r="DA128" s="6"/>
      <c r="DB128" s="6">
        <f t="shared" si="47"/>
        <v>372</v>
      </c>
      <c r="DC128" s="6">
        <v>1439</v>
      </c>
      <c r="DD128" s="6"/>
      <c r="DE128" s="6">
        <f t="shared" si="48"/>
        <v>390</v>
      </c>
      <c r="DF128" s="6">
        <v>245</v>
      </c>
      <c r="DG128" s="6">
        <v>1560</v>
      </c>
      <c r="DH128" s="6">
        <f t="shared" si="49"/>
        <v>366</v>
      </c>
      <c r="DI128" s="6"/>
      <c r="DJ128" s="6"/>
      <c r="DK128" s="6"/>
      <c r="DL128" s="6">
        <v>633</v>
      </c>
      <c r="DM128" s="6"/>
      <c r="DN128" s="6">
        <f t="shared" si="50"/>
        <v>388</v>
      </c>
      <c r="DO128" s="6">
        <v>990</v>
      </c>
      <c r="DP128" s="6"/>
      <c r="DQ128" s="6">
        <f t="shared" si="51"/>
        <v>357</v>
      </c>
    </row>
    <row r="129" spans="1:121">
      <c r="A129" s="6">
        <v>125</v>
      </c>
      <c r="B129" s="6">
        <v>984</v>
      </c>
      <c r="C129" s="6"/>
      <c r="D129" s="6">
        <v>328</v>
      </c>
      <c r="E129" s="33" t="s">
        <v>128</v>
      </c>
      <c r="F129" s="33" t="s">
        <v>128</v>
      </c>
      <c r="G129" s="33" t="s">
        <v>128</v>
      </c>
      <c r="H129" s="33" t="s">
        <v>128</v>
      </c>
      <c r="I129" s="33" t="s">
        <v>128</v>
      </c>
      <c r="J129" s="33" t="s">
        <v>128</v>
      </c>
      <c r="K129" s="33" t="s">
        <v>128</v>
      </c>
      <c r="L129" s="33" t="s">
        <v>128</v>
      </c>
      <c r="M129" s="33" t="s">
        <v>128</v>
      </c>
      <c r="N129" s="33" t="s">
        <v>128</v>
      </c>
      <c r="O129" s="33" t="s">
        <v>128</v>
      </c>
      <c r="P129" s="33" t="s">
        <v>128</v>
      </c>
      <c r="Q129" s="33" t="s">
        <v>128</v>
      </c>
      <c r="R129" s="33" t="s">
        <v>128</v>
      </c>
      <c r="S129" s="33" t="s">
        <v>128</v>
      </c>
      <c r="T129" s="33" t="s">
        <v>128</v>
      </c>
      <c r="U129" s="33" t="s">
        <v>128</v>
      </c>
      <c r="V129" s="33" t="s">
        <v>128</v>
      </c>
      <c r="W129" s="33" t="s">
        <v>128</v>
      </c>
      <c r="X129" s="33" t="s">
        <v>128</v>
      </c>
      <c r="Y129" s="148" t="s">
        <v>128</v>
      </c>
      <c r="Z129" s="33" t="s">
        <v>128</v>
      </c>
      <c r="AA129" s="33" t="s">
        <v>128</v>
      </c>
      <c r="AB129" s="33" t="s">
        <v>128</v>
      </c>
      <c r="AC129" s="33" t="s">
        <v>128</v>
      </c>
      <c r="AD129" s="33" t="s">
        <v>128</v>
      </c>
      <c r="AE129" s="33" t="s">
        <v>128</v>
      </c>
      <c r="AF129" s="6">
        <v>1362</v>
      </c>
      <c r="AG129" s="6"/>
      <c r="AH129" s="35">
        <f t="shared" si="26"/>
        <v>378</v>
      </c>
      <c r="AI129" s="35">
        <v>156</v>
      </c>
      <c r="AJ129" s="35">
        <v>1560</v>
      </c>
      <c r="AK129" s="35">
        <f t="shared" si="27"/>
        <v>354</v>
      </c>
      <c r="AL129" s="6">
        <v>520</v>
      </c>
      <c r="AM129" s="6"/>
      <c r="AN129" s="35">
        <f t="shared" si="28"/>
        <v>364</v>
      </c>
      <c r="AO129" s="6">
        <v>882</v>
      </c>
      <c r="AP129" s="6"/>
      <c r="AQ129" s="34">
        <f t="shared" si="29"/>
        <v>362</v>
      </c>
      <c r="AR129" s="35">
        <v>1247</v>
      </c>
      <c r="AS129" s="35"/>
      <c r="AT129" s="35">
        <f t="shared" si="30"/>
        <v>365</v>
      </c>
      <c r="AU129" s="6">
        <v>26</v>
      </c>
      <c r="AV129" s="6">
        <v>1560</v>
      </c>
      <c r="AW129" s="35">
        <f t="shared" si="31"/>
        <v>339</v>
      </c>
      <c r="AX129" s="6"/>
      <c r="AY129" s="6"/>
      <c r="AZ129" s="35"/>
      <c r="BA129" s="6">
        <v>394</v>
      </c>
      <c r="BB129" s="6"/>
      <c r="BC129" s="35">
        <f t="shared" si="32"/>
        <v>368</v>
      </c>
      <c r="BD129" s="6">
        <v>751</v>
      </c>
      <c r="BE129" s="6"/>
      <c r="BF129" s="35">
        <f t="shared" si="33"/>
        <v>357</v>
      </c>
      <c r="BG129" s="6">
        <v>1110</v>
      </c>
      <c r="BH129" s="6"/>
      <c r="BI129" s="6">
        <f t="shared" si="34"/>
        <v>359</v>
      </c>
      <c r="BJ129" s="6">
        <v>1474</v>
      </c>
      <c r="BK129" s="35"/>
      <c r="BL129" s="6">
        <f t="shared" si="35"/>
        <v>364</v>
      </c>
      <c r="BM129" s="6">
        <v>283</v>
      </c>
      <c r="BN129" s="6">
        <v>1560</v>
      </c>
      <c r="BO129" s="6">
        <f t="shared" si="36"/>
        <v>369</v>
      </c>
      <c r="BP129" s="6">
        <v>619</v>
      </c>
      <c r="BQ129" s="6"/>
      <c r="BR129" s="35">
        <f t="shared" si="37"/>
        <v>336</v>
      </c>
      <c r="BS129" s="6"/>
      <c r="BT129" s="6"/>
      <c r="BU129" s="6"/>
      <c r="BV129" s="6">
        <v>997</v>
      </c>
      <c r="BW129" s="6"/>
      <c r="BX129" s="35">
        <f t="shared" si="38"/>
        <v>378</v>
      </c>
      <c r="BY129" s="6">
        <v>1391</v>
      </c>
      <c r="BZ129" s="35"/>
      <c r="CA129" s="6">
        <f t="shared" si="39"/>
        <v>394</v>
      </c>
      <c r="CB129" s="6">
        <v>228</v>
      </c>
      <c r="CC129" s="6">
        <v>1560</v>
      </c>
      <c r="CD129" s="6">
        <f t="shared" si="40"/>
        <v>397</v>
      </c>
      <c r="CE129" s="6">
        <v>604</v>
      </c>
      <c r="CF129" s="35"/>
      <c r="CG129" s="6">
        <f t="shared" si="41"/>
        <v>376</v>
      </c>
      <c r="CH129" s="6">
        <v>991</v>
      </c>
      <c r="CI129" s="6"/>
      <c r="CJ129" s="6">
        <f t="shared" si="42"/>
        <v>387</v>
      </c>
      <c r="CK129" s="6">
        <v>1370</v>
      </c>
      <c r="CL129" s="6"/>
      <c r="CM129" s="6">
        <f t="shared" si="43"/>
        <v>379</v>
      </c>
      <c r="CN129" s="6"/>
      <c r="CO129" s="6"/>
      <c r="CP129" s="6"/>
      <c r="CQ129" s="6">
        <v>0</v>
      </c>
      <c r="CR129" s="6">
        <v>1633</v>
      </c>
      <c r="CS129" s="6">
        <f t="shared" si="44"/>
        <v>263</v>
      </c>
      <c r="CT129" s="6">
        <v>351</v>
      </c>
      <c r="CU129" s="6"/>
      <c r="CV129" s="6">
        <f t="shared" si="45"/>
        <v>351</v>
      </c>
      <c r="CW129" s="6">
        <v>741</v>
      </c>
      <c r="CX129" s="6"/>
      <c r="CY129" s="6">
        <f t="shared" si="46"/>
        <v>390</v>
      </c>
      <c r="CZ129" s="6">
        <v>1130</v>
      </c>
      <c r="DA129" s="6"/>
      <c r="DB129" s="6">
        <f t="shared" si="47"/>
        <v>389</v>
      </c>
      <c r="DC129" s="6">
        <v>1523</v>
      </c>
      <c r="DD129" s="6"/>
      <c r="DE129" s="6">
        <f t="shared" si="48"/>
        <v>393</v>
      </c>
      <c r="DF129" s="6">
        <v>334</v>
      </c>
      <c r="DG129" s="6">
        <v>1560</v>
      </c>
      <c r="DH129" s="6">
        <f t="shared" si="49"/>
        <v>371</v>
      </c>
      <c r="DI129" s="6"/>
      <c r="DJ129" s="6"/>
      <c r="DK129" s="6"/>
      <c r="DL129" s="6">
        <v>726</v>
      </c>
      <c r="DM129" s="6"/>
      <c r="DN129" s="6">
        <f t="shared" si="50"/>
        <v>392</v>
      </c>
      <c r="DO129" s="6">
        <v>1087</v>
      </c>
      <c r="DP129" s="6"/>
      <c r="DQ129" s="6">
        <f t="shared" si="51"/>
        <v>361</v>
      </c>
    </row>
    <row r="130" spans="1:121">
      <c r="A130" s="6">
        <v>126</v>
      </c>
      <c r="B130" s="6">
        <v>1043</v>
      </c>
      <c r="C130" s="6"/>
      <c r="D130" s="6">
        <v>328</v>
      </c>
      <c r="E130" s="33" t="s">
        <v>128</v>
      </c>
      <c r="F130" s="148" t="s">
        <v>128</v>
      </c>
      <c r="G130" s="33" t="s">
        <v>128</v>
      </c>
      <c r="H130" s="33" t="s">
        <v>128</v>
      </c>
      <c r="I130" s="33" t="s">
        <v>128</v>
      </c>
      <c r="J130" s="33" t="s">
        <v>128</v>
      </c>
      <c r="K130" s="33" t="s">
        <v>128</v>
      </c>
      <c r="L130" s="33" t="s">
        <v>128</v>
      </c>
      <c r="M130" s="33" t="s">
        <v>128</v>
      </c>
      <c r="N130" s="33" t="s">
        <v>128</v>
      </c>
      <c r="O130" s="33" t="s">
        <v>128</v>
      </c>
      <c r="P130" s="33" t="s">
        <v>128</v>
      </c>
      <c r="Q130" s="33" t="s">
        <v>128</v>
      </c>
      <c r="R130" s="33" t="s">
        <v>128</v>
      </c>
      <c r="S130" s="33" t="s">
        <v>128</v>
      </c>
      <c r="T130" s="33" t="s">
        <v>128</v>
      </c>
      <c r="U130" s="33" t="s">
        <v>128</v>
      </c>
      <c r="V130" s="33" t="s">
        <v>128</v>
      </c>
      <c r="W130" s="33" t="s">
        <v>128</v>
      </c>
      <c r="X130" s="33" t="s">
        <v>128</v>
      </c>
      <c r="Y130" s="33" t="s">
        <v>128</v>
      </c>
      <c r="Z130" s="33" t="s">
        <v>128</v>
      </c>
      <c r="AA130" s="33" t="s">
        <v>128</v>
      </c>
      <c r="AB130" s="33" t="s">
        <v>128</v>
      </c>
      <c r="AC130" s="148" t="s">
        <v>128</v>
      </c>
      <c r="AD130" s="33" t="s">
        <v>128</v>
      </c>
      <c r="AE130" s="33" t="s">
        <v>128</v>
      </c>
      <c r="AF130" s="35">
        <v>308</v>
      </c>
      <c r="AG130" s="35">
        <v>1089</v>
      </c>
      <c r="AH130" s="35">
        <f t="shared" si="26"/>
        <v>354</v>
      </c>
      <c r="AI130" s="35">
        <v>651</v>
      </c>
      <c r="AJ130" s="35"/>
      <c r="AK130" s="35">
        <f t="shared" si="27"/>
        <v>343</v>
      </c>
      <c r="AL130" s="35">
        <v>1015</v>
      </c>
      <c r="AM130" s="35"/>
      <c r="AN130" s="35">
        <f t="shared" si="28"/>
        <v>364</v>
      </c>
      <c r="AO130" s="35">
        <v>1375</v>
      </c>
      <c r="AP130" s="35"/>
      <c r="AQ130" s="34">
        <f t="shared" si="29"/>
        <v>360</v>
      </c>
      <c r="AR130" s="35">
        <v>177</v>
      </c>
      <c r="AS130" s="35">
        <v>1560</v>
      </c>
      <c r="AT130" s="35">
        <f t="shared" si="30"/>
        <v>362</v>
      </c>
      <c r="AU130" s="6">
        <v>515</v>
      </c>
      <c r="AV130" s="6"/>
      <c r="AW130" s="35">
        <f t="shared" si="31"/>
        <v>338</v>
      </c>
      <c r="AX130" s="35"/>
      <c r="AY130" s="35"/>
      <c r="AZ130" s="35"/>
      <c r="BA130" s="35">
        <v>881</v>
      </c>
      <c r="BB130" s="35"/>
      <c r="BC130" s="35">
        <f t="shared" si="32"/>
        <v>366</v>
      </c>
      <c r="BD130" s="35">
        <v>1233</v>
      </c>
      <c r="BE130" s="35"/>
      <c r="BF130" s="35">
        <f t="shared" si="33"/>
        <v>352</v>
      </c>
      <c r="BG130" s="35">
        <v>23</v>
      </c>
      <c r="BH130" s="35">
        <v>1560</v>
      </c>
      <c r="BI130" s="6">
        <f t="shared" si="34"/>
        <v>350</v>
      </c>
      <c r="BJ130" s="35">
        <v>367</v>
      </c>
      <c r="BK130" s="35"/>
      <c r="BL130" s="6">
        <f t="shared" si="35"/>
        <v>344</v>
      </c>
      <c r="BM130" s="35">
        <v>305</v>
      </c>
      <c r="BN130" s="6">
        <v>396</v>
      </c>
      <c r="BO130" s="6">
        <f t="shared" si="36"/>
        <v>334</v>
      </c>
      <c r="BP130" s="6">
        <v>625</v>
      </c>
      <c r="BQ130" s="6"/>
      <c r="BR130" s="35">
        <f t="shared" si="37"/>
        <v>320</v>
      </c>
      <c r="BS130" s="6"/>
      <c r="BT130" s="6"/>
      <c r="BU130" s="6"/>
      <c r="BV130" s="6">
        <v>981</v>
      </c>
      <c r="BW130" s="6"/>
      <c r="BX130" s="35">
        <f t="shared" si="38"/>
        <v>356</v>
      </c>
      <c r="BY130" s="6">
        <v>1290</v>
      </c>
      <c r="BZ130" s="6"/>
      <c r="CA130" s="6">
        <f t="shared" si="39"/>
        <v>309</v>
      </c>
      <c r="CB130" s="6">
        <v>84</v>
      </c>
      <c r="CC130" s="6">
        <v>1560</v>
      </c>
      <c r="CD130" s="6">
        <f t="shared" si="40"/>
        <v>354</v>
      </c>
      <c r="CE130" s="6">
        <v>462</v>
      </c>
      <c r="CF130" s="6"/>
      <c r="CG130" s="6">
        <f t="shared" si="41"/>
        <v>378</v>
      </c>
      <c r="CH130" s="6">
        <v>842</v>
      </c>
      <c r="CI130" s="6"/>
      <c r="CJ130" s="6">
        <f t="shared" si="42"/>
        <v>380</v>
      </c>
      <c r="CK130" s="6">
        <v>1214</v>
      </c>
      <c r="CL130" s="6"/>
      <c r="CM130" s="6">
        <f t="shared" si="43"/>
        <v>372</v>
      </c>
      <c r="CN130" s="6"/>
      <c r="CO130" s="6"/>
      <c r="CP130" s="6"/>
      <c r="CQ130" s="6">
        <v>40</v>
      </c>
      <c r="CR130" s="6">
        <v>1560</v>
      </c>
      <c r="CS130" s="6">
        <f t="shared" si="44"/>
        <v>386</v>
      </c>
      <c r="CT130" s="6">
        <v>421</v>
      </c>
      <c r="CU130" s="6"/>
      <c r="CV130" s="6">
        <f t="shared" si="45"/>
        <v>381</v>
      </c>
      <c r="CW130" s="6">
        <v>806</v>
      </c>
      <c r="CX130" s="6"/>
      <c r="CY130" s="6">
        <f t="shared" si="46"/>
        <v>385</v>
      </c>
      <c r="CZ130" s="6">
        <v>935</v>
      </c>
      <c r="DA130" s="6"/>
      <c r="DB130" s="6">
        <f t="shared" si="47"/>
        <v>129</v>
      </c>
      <c r="DC130" s="6">
        <v>0</v>
      </c>
      <c r="DD130" s="6">
        <v>1224</v>
      </c>
      <c r="DE130" s="6">
        <f t="shared" si="48"/>
        <v>289</v>
      </c>
      <c r="DF130" s="6">
        <v>316</v>
      </c>
      <c r="DG130" s="6"/>
      <c r="DH130" s="6">
        <f t="shared" si="49"/>
        <v>316</v>
      </c>
      <c r="DI130" s="6"/>
      <c r="DJ130" s="6"/>
      <c r="DK130" s="6"/>
      <c r="DL130" s="6">
        <v>705</v>
      </c>
      <c r="DM130" s="6"/>
      <c r="DN130" s="6">
        <f t="shared" si="50"/>
        <v>389</v>
      </c>
      <c r="DO130" s="6">
        <v>1060</v>
      </c>
      <c r="DP130" s="6"/>
      <c r="DQ130" s="6">
        <f t="shared" si="51"/>
        <v>355</v>
      </c>
    </row>
    <row r="131" spans="1:121">
      <c r="A131" s="6">
        <v>127</v>
      </c>
      <c r="B131" s="6">
        <v>1070</v>
      </c>
      <c r="C131" s="6"/>
      <c r="D131" s="6">
        <v>324</v>
      </c>
      <c r="E131" s="33" t="s">
        <v>128</v>
      </c>
      <c r="F131" s="33" t="s">
        <v>128</v>
      </c>
      <c r="G131" s="33" t="s">
        <v>128</v>
      </c>
      <c r="H131" s="33" t="s">
        <v>128</v>
      </c>
      <c r="I131" s="33" t="s">
        <v>128</v>
      </c>
      <c r="J131" s="148" t="s">
        <v>128</v>
      </c>
      <c r="K131" s="33" t="s">
        <v>128</v>
      </c>
      <c r="L131" s="33" t="s">
        <v>128</v>
      </c>
      <c r="M131" s="33" t="s">
        <v>128</v>
      </c>
      <c r="N131" s="33" t="s">
        <v>128</v>
      </c>
      <c r="O131" s="33" t="s">
        <v>128</v>
      </c>
      <c r="P131" s="33" t="s">
        <v>128</v>
      </c>
      <c r="Q131" s="33" t="s">
        <v>128</v>
      </c>
      <c r="R131" s="33" t="s">
        <v>128</v>
      </c>
      <c r="S131" s="33" t="s">
        <v>128</v>
      </c>
      <c r="T131" s="33" t="s">
        <v>128</v>
      </c>
      <c r="U131" s="33" t="s">
        <v>128</v>
      </c>
      <c r="V131" s="33" t="s">
        <v>128</v>
      </c>
      <c r="W131" s="33" t="s">
        <v>128</v>
      </c>
      <c r="X131" s="33" t="s">
        <v>128</v>
      </c>
      <c r="Y131" s="33" t="s">
        <v>128</v>
      </c>
      <c r="Z131" s="33" t="s">
        <v>128</v>
      </c>
      <c r="AA131" s="33" t="s">
        <v>128</v>
      </c>
      <c r="AB131" s="33" t="s">
        <v>128</v>
      </c>
      <c r="AC131" s="33" t="s">
        <v>128</v>
      </c>
      <c r="AD131" s="33" t="s">
        <v>128</v>
      </c>
      <c r="AE131" s="33" t="s">
        <v>128</v>
      </c>
      <c r="AF131" s="6">
        <v>1449</v>
      </c>
      <c r="AG131" s="6"/>
      <c r="AH131" s="35">
        <f t="shared" si="26"/>
        <v>379</v>
      </c>
      <c r="AI131" s="35">
        <v>244</v>
      </c>
      <c r="AJ131" s="35">
        <v>1560</v>
      </c>
      <c r="AK131" s="35">
        <f t="shared" si="27"/>
        <v>355</v>
      </c>
      <c r="AL131" s="6">
        <v>601</v>
      </c>
      <c r="AM131" s="6"/>
      <c r="AN131" s="35">
        <f t="shared" si="28"/>
        <v>357</v>
      </c>
      <c r="AO131" s="6">
        <v>0</v>
      </c>
      <c r="AP131" s="6">
        <v>849</v>
      </c>
      <c r="AQ131" s="34">
        <f t="shared" si="29"/>
        <v>248</v>
      </c>
      <c r="AR131" s="35">
        <v>309</v>
      </c>
      <c r="AS131" s="35"/>
      <c r="AT131" s="35">
        <f t="shared" si="30"/>
        <v>309</v>
      </c>
      <c r="AU131" s="6">
        <v>1</v>
      </c>
      <c r="AV131" s="6">
        <v>623</v>
      </c>
      <c r="AW131" s="35">
        <f t="shared" si="31"/>
        <v>315</v>
      </c>
      <c r="AX131" s="6"/>
      <c r="AY131" s="35"/>
      <c r="AZ131" s="35"/>
      <c r="BA131" s="35">
        <v>272</v>
      </c>
      <c r="BB131" s="35"/>
      <c r="BC131" s="35">
        <f t="shared" si="32"/>
        <v>271</v>
      </c>
      <c r="BD131" s="6">
        <v>624</v>
      </c>
      <c r="BE131" s="6"/>
      <c r="BF131" s="35">
        <f t="shared" si="33"/>
        <v>352</v>
      </c>
      <c r="BG131" s="6">
        <v>988</v>
      </c>
      <c r="BH131" s="6"/>
      <c r="BI131" s="6">
        <f t="shared" si="34"/>
        <v>364</v>
      </c>
      <c r="BJ131" s="6">
        <v>1334</v>
      </c>
      <c r="BK131" s="6"/>
      <c r="BL131" s="6">
        <f t="shared" si="35"/>
        <v>346</v>
      </c>
      <c r="BM131" s="6">
        <v>137</v>
      </c>
      <c r="BN131" s="6">
        <v>1560</v>
      </c>
      <c r="BO131" s="6">
        <f t="shared" si="36"/>
        <v>363</v>
      </c>
      <c r="BP131" s="6">
        <v>470</v>
      </c>
      <c r="BQ131" s="6"/>
      <c r="BR131" s="35">
        <f t="shared" si="37"/>
        <v>333</v>
      </c>
      <c r="BS131" s="6"/>
      <c r="BT131" s="6"/>
      <c r="BU131" s="6"/>
      <c r="BV131" s="6">
        <v>821</v>
      </c>
      <c r="BW131" s="6"/>
      <c r="BX131" s="35">
        <f t="shared" si="38"/>
        <v>351</v>
      </c>
      <c r="BY131" s="6">
        <v>122</v>
      </c>
      <c r="BZ131" s="6">
        <v>1044</v>
      </c>
      <c r="CA131" s="6">
        <f t="shared" si="39"/>
        <v>345</v>
      </c>
      <c r="CB131" s="6">
        <v>499</v>
      </c>
      <c r="CC131" s="6"/>
      <c r="CD131" s="6">
        <f t="shared" si="40"/>
        <v>377</v>
      </c>
      <c r="CE131" s="6">
        <v>855</v>
      </c>
      <c r="CF131" s="6"/>
      <c r="CG131" s="6">
        <f t="shared" si="41"/>
        <v>356</v>
      </c>
      <c r="CH131" s="6">
        <v>1225</v>
      </c>
      <c r="CI131" s="6"/>
      <c r="CJ131" s="6">
        <f t="shared" si="42"/>
        <v>370</v>
      </c>
      <c r="CK131" s="6">
        <v>6</v>
      </c>
      <c r="CL131" s="6">
        <v>1560</v>
      </c>
      <c r="CM131" s="6">
        <f t="shared" si="43"/>
        <v>341</v>
      </c>
      <c r="CN131" s="6"/>
      <c r="CO131" s="6"/>
      <c r="CP131" s="6"/>
      <c r="CQ131" s="6">
        <v>377</v>
      </c>
      <c r="CR131" s="6"/>
      <c r="CS131" s="6">
        <f t="shared" si="44"/>
        <v>371</v>
      </c>
      <c r="CT131" s="6">
        <v>744</v>
      </c>
      <c r="CU131" s="6"/>
      <c r="CV131" s="6">
        <f t="shared" si="45"/>
        <v>367</v>
      </c>
      <c r="CW131" s="6">
        <v>143</v>
      </c>
      <c r="CX131" s="6">
        <v>964</v>
      </c>
      <c r="CY131" s="6">
        <f t="shared" si="46"/>
        <v>363</v>
      </c>
      <c r="CZ131" s="6">
        <v>525</v>
      </c>
      <c r="DA131" s="6"/>
      <c r="DB131" s="6">
        <f t="shared" si="47"/>
        <v>382</v>
      </c>
      <c r="DC131" s="6">
        <v>905</v>
      </c>
      <c r="DD131" s="6"/>
      <c r="DE131" s="6">
        <f t="shared" si="48"/>
        <v>380</v>
      </c>
      <c r="DF131" s="6">
        <v>1268</v>
      </c>
      <c r="DG131" s="6"/>
      <c r="DH131" s="6">
        <f t="shared" si="49"/>
        <v>363</v>
      </c>
      <c r="DI131" s="6"/>
      <c r="DJ131" s="6"/>
      <c r="DK131" s="6"/>
      <c r="DL131" s="6">
        <v>94</v>
      </c>
      <c r="DM131" s="6">
        <v>1560</v>
      </c>
      <c r="DN131" s="6">
        <f t="shared" si="50"/>
        <v>386</v>
      </c>
      <c r="DO131" s="6">
        <v>451</v>
      </c>
      <c r="DP131" s="6"/>
      <c r="DQ131" s="6">
        <f t="shared" si="51"/>
        <v>357</v>
      </c>
    </row>
    <row r="132" spans="1:121">
      <c r="A132" s="6">
        <v>128</v>
      </c>
      <c r="B132" s="6">
        <v>1499</v>
      </c>
      <c r="C132" s="6"/>
      <c r="D132" s="6">
        <v>329</v>
      </c>
      <c r="E132" s="33" t="s">
        <v>37</v>
      </c>
      <c r="F132" s="33" t="s">
        <v>37</v>
      </c>
      <c r="G132" s="33" t="s">
        <v>37</v>
      </c>
      <c r="H132" s="33" t="s">
        <v>37</v>
      </c>
      <c r="I132" s="33" t="s">
        <v>37</v>
      </c>
      <c r="J132" s="148" t="s">
        <v>37</v>
      </c>
      <c r="K132" s="33" t="s">
        <v>37</v>
      </c>
      <c r="L132" s="33" t="s">
        <v>37</v>
      </c>
      <c r="M132" s="33" t="s">
        <v>37</v>
      </c>
      <c r="N132" s="33" t="s">
        <v>37</v>
      </c>
      <c r="O132" s="33" t="s">
        <v>37</v>
      </c>
      <c r="P132" s="33" t="s">
        <v>37</v>
      </c>
      <c r="Q132" s="33" t="s">
        <v>37</v>
      </c>
      <c r="R132" s="33" t="s">
        <v>37</v>
      </c>
      <c r="S132" s="33" t="s">
        <v>37</v>
      </c>
      <c r="T132" s="33" t="s">
        <v>37</v>
      </c>
      <c r="U132" s="33" t="s">
        <v>37</v>
      </c>
      <c r="V132" s="33" t="s">
        <v>37</v>
      </c>
      <c r="W132" s="33" t="s">
        <v>37</v>
      </c>
      <c r="X132" s="33" t="s">
        <v>37</v>
      </c>
      <c r="Y132" s="33" t="s">
        <v>37</v>
      </c>
      <c r="Z132" s="33" t="s">
        <v>37</v>
      </c>
      <c r="AA132" s="33" t="s">
        <v>37</v>
      </c>
      <c r="AB132" s="33" t="s">
        <v>37</v>
      </c>
      <c r="AC132" s="33" t="s">
        <v>37</v>
      </c>
      <c r="AD132" s="33" t="s">
        <v>37</v>
      </c>
      <c r="AE132" s="33" t="s">
        <v>37</v>
      </c>
      <c r="AF132" s="6">
        <v>321</v>
      </c>
      <c r="AG132" s="6">
        <v>1560</v>
      </c>
      <c r="AH132" s="35">
        <f t="shared" si="26"/>
        <v>382</v>
      </c>
      <c r="AI132" s="35">
        <v>679</v>
      </c>
      <c r="AJ132" s="35"/>
      <c r="AK132" s="35">
        <f t="shared" si="27"/>
        <v>358</v>
      </c>
      <c r="AL132" s="6">
        <v>1038</v>
      </c>
      <c r="AM132" s="6"/>
      <c r="AN132" s="35">
        <f t="shared" si="28"/>
        <v>359</v>
      </c>
      <c r="AO132" s="6">
        <v>1387</v>
      </c>
      <c r="AP132" s="6"/>
      <c r="AQ132" s="34">
        <f t="shared" si="29"/>
        <v>349</v>
      </c>
      <c r="AR132" s="35">
        <v>253</v>
      </c>
      <c r="AS132" s="35">
        <v>1450</v>
      </c>
      <c r="AT132" s="35">
        <f t="shared" si="30"/>
        <v>316</v>
      </c>
      <c r="AU132" s="6">
        <v>587</v>
      </c>
      <c r="AV132" s="6"/>
      <c r="AW132" s="35">
        <f t="shared" si="31"/>
        <v>334</v>
      </c>
      <c r="AX132" s="6"/>
      <c r="AY132" s="6"/>
      <c r="AZ132" s="35"/>
      <c r="BA132" s="6">
        <v>926</v>
      </c>
      <c r="BB132" s="6"/>
      <c r="BC132" s="35">
        <f t="shared" si="32"/>
        <v>339</v>
      </c>
      <c r="BD132" s="6">
        <v>1288</v>
      </c>
      <c r="BE132" s="6"/>
      <c r="BF132" s="35">
        <f t="shared" si="33"/>
        <v>362</v>
      </c>
      <c r="BG132" s="6">
        <v>88</v>
      </c>
      <c r="BH132" s="6">
        <v>1560</v>
      </c>
      <c r="BI132" s="6">
        <f t="shared" si="34"/>
        <v>360</v>
      </c>
      <c r="BJ132" s="6">
        <v>450</v>
      </c>
      <c r="BK132" s="35"/>
      <c r="BL132" s="6">
        <f t="shared" si="35"/>
        <v>362</v>
      </c>
      <c r="BM132" s="6">
        <v>814</v>
      </c>
      <c r="BN132" s="6"/>
      <c r="BO132" s="6">
        <f t="shared" si="36"/>
        <v>364</v>
      </c>
      <c r="BP132" s="6">
        <v>1156</v>
      </c>
      <c r="BQ132" s="6"/>
      <c r="BR132" s="35">
        <f t="shared" si="37"/>
        <v>342</v>
      </c>
      <c r="BS132" s="6"/>
      <c r="BT132" s="6"/>
      <c r="BU132" s="6"/>
      <c r="BV132" s="6">
        <v>1525</v>
      </c>
      <c r="BW132" s="6"/>
      <c r="BX132" s="35">
        <f t="shared" si="38"/>
        <v>369</v>
      </c>
      <c r="BY132" s="6">
        <v>324</v>
      </c>
      <c r="BZ132" s="35">
        <v>1560</v>
      </c>
      <c r="CA132" s="6">
        <f t="shared" si="39"/>
        <v>359</v>
      </c>
      <c r="CB132" s="6">
        <v>701</v>
      </c>
      <c r="CC132" s="6"/>
      <c r="CD132" s="6">
        <f t="shared" si="40"/>
        <v>377</v>
      </c>
      <c r="CE132" s="6">
        <v>1089</v>
      </c>
      <c r="CF132" s="35"/>
      <c r="CG132" s="6">
        <f t="shared" si="41"/>
        <v>388</v>
      </c>
      <c r="CH132" s="6">
        <v>1469</v>
      </c>
      <c r="CI132" s="6"/>
      <c r="CJ132" s="6">
        <f t="shared" si="42"/>
        <v>380</v>
      </c>
      <c r="CK132" s="6">
        <v>278</v>
      </c>
      <c r="CL132" s="6">
        <v>1560</v>
      </c>
      <c r="CM132" s="6">
        <f t="shared" si="43"/>
        <v>369</v>
      </c>
      <c r="CN132" s="6"/>
      <c r="CO132" s="6"/>
      <c r="CP132" s="6"/>
      <c r="CQ132" s="6">
        <v>664</v>
      </c>
      <c r="CR132" s="6"/>
      <c r="CS132" s="6">
        <f t="shared" si="44"/>
        <v>386</v>
      </c>
      <c r="CT132" s="6">
        <v>1045</v>
      </c>
      <c r="CU132" s="6"/>
      <c r="CV132" s="6">
        <f t="shared" si="45"/>
        <v>381</v>
      </c>
      <c r="CW132" s="6">
        <v>1426</v>
      </c>
      <c r="CX132" s="6"/>
      <c r="CY132" s="6">
        <f t="shared" si="46"/>
        <v>381</v>
      </c>
      <c r="CZ132" s="6">
        <v>253</v>
      </c>
      <c r="DA132" s="6">
        <v>1560</v>
      </c>
      <c r="DB132" s="6">
        <f t="shared" si="47"/>
        <v>387</v>
      </c>
      <c r="DC132" s="6">
        <v>639</v>
      </c>
      <c r="DD132" s="6"/>
      <c r="DE132" s="6">
        <f t="shared" si="48"/>
        <v>386</v>
      </c>
      <c r="DF132" s="6">
        <v>1007</v>
      </c>
      <c r="DG132" s="6"/>
      <c r="DH132" s="6">
        <f t="shared" si="49"/>
        <v>368</v>
      </c>
      <c r="DI132" s="6"/>
      <c r="DJ132" s="6"/>
      <c r="DK132" s="6"/>
      <c r="DL132" s="6">
        <v>1397</v>
      </c>
      <c r="DM132" s="6"/>
      <c r="DN132" s="6">
        <f t="shared" si="50"/>
        <v>390</v>
      </c>
      <c r="DO132" s="6">
        <v>0</v>
      </c>
      <c r="DP132" s="6">
        <v>1647</v>
      </c>
      <c r="DQ132" s="6">
        <f t="shared" si="51"/>
        <v>250</v>
      </c>
    </row>
    <row r="133" spans="1:121">
      <c r="A133" s="6">
        <v>129</v>
      </c>
      <c r="B133" s="6">
        <v>927</v>
      </c>
      <c r="C133" s="6"/>
      <c r="D133" s="6">
        <v>318</v>
      </c>
      <c r="E133" s="33" t="s">
        <v>128</v>
      </c>
      <c r="F133" s="33" t="s">
        <v>128</v>
      </c>
      <c r="G133" s="33" t="s">
        <v>128</v>
      </c>
      <c r="H133" s="33" t="s">
        <v>128</v>
      </c>
      <c r="I133" s="33" t="s">
        <v>128</v>
      </c>
      <c r="J133" s="33" t="s">
        <v>128</v>
      </c>
      <c r="K133" s="33" t="s">
        <v>128</v>
      </c>
      <c r="L133" s="33" t="s">
        <v>128</v>
      </c>
      <c r="M133" s="33" t="s">
        <v>128</v>
      </c>
      <c r="N133" s="33" t="s">
        <v>128</v>
      </c>
      <c r="O133" s="33" t="s">
        <v>128</v>
      </c>
      <c r="P133" s="33" t="s">
        <v>128</v>
      </c>
      <c r="Q133" s="33" t="s">
        <v>128</v>
      </c>
      <c r="R133" s="33" t="s">
        <v>128</v>
      </c>
      <c r="S133" s="33" t="s">
        <v>128</v>
      </c>
      <c r="T133" s="33" t="s">
        <v>128</v>
      </c>
      <c r="U133" s="33" t="s">
        <v>128</v>
      </c>
      <c r="V133" s="33" t="s">
        <v>128</v>
      </c>
      <c r="W133" s="33" t="s">
        <v>128</v>
      </c>
      <c r="X133" s="33" t="s">
        <v>128</v>
      </c>
      <c r="Y133" s="33" t="s">
        <v>128</v>
      </c>
      <c r="Z133" s="148" t="s">
        <v>128</v>
      </c>
      <c r="AA133" s="33" t="s">
        <v>128</v>
      </c>
      <c r="AB133" s="33" t="s">
        <v>128</v>
      </c>
      <c r="AC133" s="33" t="s">
        <v>128</v>
      </c>
      <c r="AD133" s="33" t="s">
        <v>128</v>
      </c>
      <c r="AE133" s="33" t="s">
        <v>128</v>
      </c>
      <c r="AF133" s="6">
        <v>1295</v>
      </c>
      <c r="AG133" s="6"/>
      <c r="AH133" s="35">
        <f t="shared" si="26"/>
        <v>368</v>
      </c>
      <c r="AI133" s="35">
        <v>1649</v>
      </c>
      <c r="AJ133" s="35"/>
      <c r="AK133" s="35">
        <f t="shared" si="27"/>
        <v>354</v>
      </c>
      <c r="AL133" s="6">
        <v>243</v>
      </c>
      <c r="AM133" s="6">
        <v>1741</v>
      </c>
      <c r="AN133" s="35">
        <f t="shared" si="28"/>
        <v>335</v>
      </c>
      <c r="AO133" s="6">
        <v>594</v>
      </c>
      <c r="AP133" s="6"/>
      <c r="AQ133" s="34">
        <f t="shared" si="29"/>
        <v>351</v>
      </c>
      <c r="AR133" s="35">
        <v>952</v>
      </c>
      <c r="AS133" s="35"/>
      <c r="AT133" s="35">
        <f t="shared" si="30"/>
        <v>358</v>
      </c>
      <c r="AU133" s="6">
        <v>1277</v>
      </c>
      <c r="AV133" s="6"/>
      <c r="AW133" s="35">
        <f t="shared" si="31"/>
        <v>325</v>
      </c>
      <c r="AX133" s="6"/>
      <c r="AY133" s="35"/>
      <c r="AZ133" s="35"/>
      <c r="BA133" s="35">
        <v>73</v>
      </c>
      <c r="BB133" s="35">
        <v>1560</v>
      </c>
      <c r="BC133" s="35">
        <f t="shared" si="32"/>
        <v>356</v>
      </c>
      <c r="BD133" s="6">
        <v>420</v>
      </c>
      <c r="BE133" s="6"/>
      <c r="BF133" s="35">
        <f t="shared" si="33"/>
        <v>347</v>
      </c>
      <c r="BG133" s="6">
        <v>774</v>
      </c>
      <c r="BH133" s="6"/>
      <c r="BI133" s="6">
        <f t="shared" si="34"/>
        <v>354</v>
      </c>
      <c r="BJ133" s="6">
        <v>277</v>
      </c>
      <c r="BK133" s="6">
        <v>822</v>
      </c>
      <c r="BL133" s="6">
        <f t="shared" si="35"/>
        <v>325</v>
      </c>
      <c r="BM133" s="6">
        <v>93</v>
      </c>
      <c r="BN133" s="6">
        <v>490</v>
      </c>
      <c r="BO133" s="6">
        <f t="shared" si="36"/>
        <v>306</v>
      </c>
      <c r="BP133" s="6">
        <v>397</v>
      </c>
      <c r="BQ133" s="6"/>
      <c r="BR133" s="35">
        <f t="shared" si="37"/>
        <v>304</v>
      </c>
      <c r="BS133" s="6"/>
      <c r="BT133" s="6"/>
      <c r="BU133" s="6"/>
      <c r="BV133" s="6">
        <v>753</v>
      </c>
      <c r="BW133" s="6"/>
      <c r="BX133" s="35">
        <f t="shared" si="38"/>
        <v>356</v>
      </c>
      <c r="BY133" s="6">
        <v>1100</v>
      </c>
      <c r="BZ133" s="6"/>
      <c r="CA133" s="6">
        <f t="shared" si="39"/>
        <v>347</v>
      </c>
      <c r="CB133" s="6">
        <v>277</v>
      </c>
      <c r="CC133" s="6">
        <v>1171</v>
      </c>
      <c r="CD133" s="6">
        <f t="shared" si="40"/>
        <v>348</v>
      </c>
      <c r="CE133" s="6">
        <v>140</v>
      </c>
      <c r="CF133" s="6">
        <v>496</v>
      </c>
      <c r="CG133" s="6">
        <f t="shared" si="41"/>
        <v>359</v>
      </c>
      <c r="CH133" s="6">
        <v>31</v>
      </c>
      <c r="CI133" s="6">
        <v>496</v>
      </c>
      <c r="CJ133" s="6">
        <f t="shared" si="42"/>
        <v>387</v>
      </c>
      <c r="CK133" s="6">
        <v>81</v>
      </c>
      <c r="CL133" s="6">
        <v>255</v>
      </c>
      <c r="CM133" s="6">
        <f t="shared" si="43"/>
        <v>305</v>
      </c>
      <c r="CN133" s="6"/>
      <c r="CO133" s="6"/>
      <c r="CP133" s="6"/>
      <c r="CQ133" s="6">
        <v>446</v>
      </c>
      <c r="CR133" s="6"/>
      <c r="CS133" s="6">
        <f t="shared" si="44"/>
        <v>365</v>
      </c>
      <c r="CT133" s="6">
        <v>801</v>
      </c>
      <c r="CU133" s="6"/>
      <c r="CV133" s="6">
        <f t="shared" si="45"/>
        <v>355</v>
      </c>
      <c r="CW133" s="6">
        <v>276</v>
      </c>
      <c r="CX133" s="6">
        <v>876</v>
      </c>
      <c r="CY133" s="6">
        <f t="shared" si="46"/>
        <v>351</v>
      </c>
      <c r="CZ133" s="6">
        <v>205</v>
      </c>
      <c r="DA133" s="6">
        <v>403</v>
      </c>
      <c r="DB133" s="6">
        <f t="shared" si="47"/>
        <v>332</v>
      </c>
      <c r="DC133" s="6">
        <v>569</v>
      </c>
      <c r="DD133" s="6"/>
      <c r="DE133" s="6">
        <f t="shared" si="48"/>
        <v>364</v>
      </c>
      <c r="DF133" s="6">
        <v>228</v>
      </c>
      <c r="DG133" s="6">
        <v>678</v>
      </c>
      <c r="DH133" s="6">
        <f t="shared" si="49"/>
        <v>337</v>
      </c>
      <c r="DI133" s="6"/>
      <c r="DJ133" s="6"/>
      <c r="DK133" s="6"/>
      <c r="DL133" s="6">
        <v>595</v>
      </c>
      <c r="DM133" s="6"/>
      <c r="DN133" s="6">
        <f t="shared" si="50"/>
        <v>367</v>
      </c>
      <c r="DO133" s="6">
        <v>0</v>
      </c>
      <c r="DP133" s="6">
        <v>922</v>
      </c>
      <c r="DQ133" s="6">
        <f t="shared" si="51"/>
        <v>327</v>
      </c>
    </row>
    <row r="134" spans="1:121">
      <c r="A134" s="6">
        <v>130</v>
      </c>
      <c r="B134" s="6">
        <v>725</v>
      </c>
      <c r="C134" s="6"/>
      <c r="D134" s="6">
        <v>312</v>
      </c>
      <c r="E134" s="33" t="s">
        <v>37</v>
      </c>
      <c r="F134" s="148" t="s">
        <v>128</v>
      </c>
      <c r="G134" s="33" t="s">
        <v>128</v>
      </c>
      <c r="H134" s="33" t="s">
        <v>128</v>
      </c>
      <c r="I134" s="33" t="s">
        <v>128</v>
      </c>
      <c r="J134" s="33" t="s">
        <v>128</v>
      </c>
      <c r="K134" s="33" t="s">
        <v>128</v>
      </c>
      <c r="L134" s="33" t="s">
        <v>128</v>
      </c>
      <c r="M134" s="33" t="s">
        <v>128</v>
      </c>
      <c r="N134" s="33" t="s">
        <v>128</v>
      </c>
      <c r="O134" s="33" t="s">
        <v>128</v>
      </c>
      <c r="P134" s="33" t="s">
        <v>128</v>
      </c>
      <c r="Q134" s="33" t="s">
        <v>128</v>
      </c>
      <c r="R134" s="33" t="s">
        <v>128</v>
      </c>
      <c r="S134" s="33" t="s">
        <v>128</v>
      </c>
      <c r="T134" s="33" t="s">
        <v>128</v>
      </c>
      <c r="U134" s="33" t="s">
        <v>128</v>
      </c>
      <c r="V134" s="33" t="s">
        <v>128</v>
      </c>
      <c r="W134" s="33" t="s">
        <v>128</v>
      </c>
      <c r="X134" s="33" t="s">
        <v>128</v>
      </c>
      <c r="Y134" s="33" t="s">
        <v>128</v>
      </c>
      <c r="Z134" s="33" t="s">
        <v>128</v>
      </c>
      <c r="AA134" s="33" t="s">
        <v>128</v>
      </c>
      <c r="AB134" s="33" t="s">
        <v>128</v>
      </c>
      <c r="AC134" s="148" t="s">
        <v>128</v>
      </c>
      <c r="AD134" s="33" t="s">
        <v>128</v>
      </c>
      <c r="AE134" s="33" t="s">
        <v>128</v>
      </c>
      <c r="AF134" s="6">
        <v>302</v>
      </c>
      <c r="AG134" s="6">
        <v>771</v>
      </c>
      <c r="AH134" s="35">
        <f t="shared" ref="AH134:AH197" si="52">AG134+AF134-B134</f>
        <v>348</v>
      </c>
      <c r="AI134" s="35">
        <v>652</v>
      </c>
      <c r="AJ134" s="35"/>
      <c r="AK134" s="35">
        <f t="shared" ref="AK134:AK197" si="53">AJ134+AI134-AF134</f>
        <v>350</v>
      </c>
      <c r="AL134" s="6">
        <v>1006</v>
      </c>
      <c r="AM134" s="6"/>
      <c r="AN134" s="35">
        <f t="shared" ref="AN134:AN197" si="54">AM134+AL134-AI134</f>
        <v>354</v>
      </c>
      <c r="AO134" s="6">
        <v>1355</v>
      </c>
      <c r="AP134" s="6"/>
      <c r="AQ134" s="34">
        <f t="shared" ref="AQ134:AQ197" si="55">AP134+AO134-AL134</f>
        <v>349</v>
      </c>
      <c r="AR134" s="35">
        <v>162</v>
      </c>
      <c r="AS134" s="35">
        <v>1560</v>
      </c>
      <c r="AT134" s="35">
        <f t="shared" ref="AT134:AT197" si="56">AS134+AR134-AO134</f>
        <v>367</v>
      </c>
      <c r="AU134" s="6">
        <v>509</v>
      </c>
      <c r="AV134" s="6"/>
      <c r="AW134" s="35">
        <f t="shared" ref="AW134:AW197" si="57">AV134+AU134-AR134</f>
        <v>347</v>
      </c>
      <c r="AX134" s="6"/>
      <c r="AY134" s="6"/>
      <c r="AZ134" s="35"/>
      <c r="BA134" s="6">
        <v>884</v>
      </c>
      <c r="BB134" s="6"/>
      <c r="BC134" s="35">
        <f t="shared" ref="BC134:BC197" si="58">BB134+BA134-AU134</f>
        <v>375</v>
      </c>
      <c r="BD134" s="6">
        <v>1251</v>
      </c>
      <c r="BE134" s="6"/>
      <c r="BF134" s="35">
        <f t="shared" ref="BF134:BF197" si="59">BE134+BD134-BA134</f>
        <v>367</v>
      </c>
      <c r="BG134" s="6">
        <v>55</v>
      </c>
      <c r="BH134" s="6">
        <v>1560</v>
      </c>
      <c r="BI134" s="6">
        <f t="shared" ref="BI134:BI197" si="60">BH134+BG134-BD134</f>
        <v>364</v>
      </c>
      <c r="BJ134" s="6">
        <v>421</v>
      </c>
      <c r="BK134" s="35"/>
      <c r="BL134" s="6">
        <f t="shared" ref="BL134:BL197" si="61">BK134+BJ134-BG134</f>
        <v>366</v>
      </c>
      <c r="BM134" s="6">
        <v>788</v>
      </c>
      <c r="BN134" s="6"/>
      <c r="BO134" s="6">
        <f t="shared" ref="BO134:BO197" si="62">BN134+BM134-BJ134</f>
        <v>367</v>
      </c>
      <c r="BP134" s="6">
        <v>1137</v>
      </c>
      <c r="BQ134" s="6"/>
      <c r="BR134" s="35">
        <f t="shared" ref="BR134:BR197" si="63">BQ134+BP134-BM134</f>
        <v>349</v>
      </c>
      <c r="BS134" s="6"/>
      <c r="BT134" s="6"/>
      <c r="BU134" s="6"/>
      <c r="BV134" s="6">
        <v>1512</v>
      </c>
      <c r="BW134" s="6"/>
      <c r="BX134" s="35">
        <f t="shared" ref="BX134:BX197" si="64">BW134+BV134-BP134</f>
        <v>375</v>
      </c>
      <c r="BY134" s="6">
        <v>307</v>
      </c>
      <c r="BZ134" s="35">
        <v>1551</v>
      </c>
      <c r="CA134" s="6">
        <f t="shared" ref="CA134:CA197" si="65">BZ134+BY134-BV134</f>
        <v>346</v>
      </c>
      <c r="CB134" s="6">
        <v>670</v>
      </c>
      <c r="CC134" s="6"/>
      <c r="CD134" s="6">
        <f t="shared" ref="CD134:CD197" si="66">CC134+CB134-BY134</f>
        <v>363</v>
      </c>
      <c r="CE134" s="6">
        <v>1053</v>
      </c>
      <c r="CF134" s="35"/>
      <c r="CG134" s="6">
        <f t="shared" ref="CG134:CG197" si="67">CF134+CE134-CB134</f>
        <v>383</v>
      </c>
      <c r="CH134" s="6">
        <v>1440</v>
      </c>
      <c r="CI134" s="6"/>
      <c r="CJ134" s="6">
        <f t="shared" ref="CJ134:CJ197" si="68">CI134+CH134-CE134</f>
        <v>387</v>
      </c>
      <c r="CK134" s="6">
        <v>256</v>
      </c>
      <c r="CL134" s="6">
        <v>1560</v>
      </c>
      <c r="CM134" s="6">
        <f t="shared" ref="CM134:CM197" si="69">CL134+CK134-CH134</f>
        <v>376</v>
      </c>
      <c r="CN134" s="6"/>
      <c r="CO134" s="6"/>
      <c r="CP134" s="6"/>
      <c r="CQ134" s="6">
        <v>281</v>
      </c>
      <c r="CR134" s="6">
        <v>348</v>
      </c>
      <c r="CS134" s="6">
        <f t="shared" ref="CS134:CS197" si="70">CR134+CQ134-CK134</f>
        <v>373</v>
      </c>
      <c r="CT134" s="6">
        <v>664</v>
      </c>
      <c r="CU134" s="6"/>
      <c r="CV134" s="6">
        <f t="shared" ref="CV134:CV197" si="71">CU134+CT134-CQ134</f>
        <v>383</v>
      </c>
      <c r="CW134" s="6">
        <v>1043</v>
      </c>
      <c r="CX134" s="35"/>
      <c r="CY134" s="6">
        <f t="shared" ref="CY134:CY197" si="72">CX134+CW134-CT134</f>
        <v>379</v>
      </c>
      <c r="CZ134" s="6">
        <v>1170</v>
      </c>
      <c r="DA134" s="6"/>
      <c r="DB134" s="6">
        <f t="shared" ref="DB134:DB197" si="73">DA134+CZ134-CW134</f>
        <v>127</v>
      </c>
      <c r="DC134" s="6">
        <v>0</v>
      </c>
      <c r="DD134" s="6">
        <v>1298</v>
      </c>
      <c r="DE134" s="6">
        <f t="shared" ref="DE134:DE197" si="74">DD134+DC134-CZ134</f>
        <v>128</v>
      </c>
      <c r="DF134" s="6">
        <v>332</v>
      </c>
      <c r="DG134" s="6"/>
      <c r="DH134" s="6">
        <f t="shared" ref="DH134:DH197" si="75">DG134+DF134-DC134</f>
        <v>332</v>
      </c>
      <c r="DI134" s="6"/>
      <c r="DJ134" s="6"/>
      <c r="DK134" s="6"/>
      <c r="DL134" s="6">
        <v>722</v>
      </c>
      <c r="DM134" s="6"/>
      <c r="DN134" s="6">
        <f t="shared" ref="DN134:DN197" si="76">DM134+DL134-DF134</f>
        <v>390</v>
      </c>
      <c r="DO134" s="6">
        <v>1079</v>
      </c>
      <c r="DP134" s="6"/>
      <c r="DQ134" s="6">
        <f t="shared" ref="DQ134:DQ197" si="77">DP134+DO134-DL134</f>
        <v>357</v>
      </c>
    </row>
    <row r="135" spans="1:121">
      <c r="A135" s="6">
        <v>131</v>
      </c>
      <c r="B135" s="6">
        <v>1525</v>
      </c>
      <c r="C135" s="6"/>
      <c r="D135" s="6">
        <v>324</v>
      </c>
      <c r="E135" s="33" t="s">
        <v>128</v>
      </c>
      <c r="F135" s="33" t="s">
        <v>128</v>
      </c>
      <c r="G135" s="33" t="s">
        <v>128</v>
      </c>
      <c r="H135" s="33" t="s">
        <v>128</v>
      </c>
      <c r="I135" s="33" t="s">
        <v>128</v>
      </c>
      <c r="J135" s="33" t="s">
        <v>128</v>
      </c>
      <c r="K135" s="148" t="s">
        <v>128</v>
      </c>
      <c r="L135" s="33" t="s">
        <v>128</v>
      </c>
      <c r="M135" s="33" t="s">
        <v>128</v>
      </c>
      <c r="N135" s="33" t="s">
        <v>128</v>
      </c>
      <c r="O135" s="33" t="s">
        <v>128</v>
      </c>
      <c r="P135" s="33" t="s">
        <v>128</v>
      </c>
      <c r="Q135" s="33" t="s">
        <v>128</v>
      </c>
      <c r="R135" s="33" t="s">
        <v>128</v>
      </c>
      <c r="S135" s="33" t="s">
        <v>128</v>
      </c>
      <c r="T135" s="33" t="s">
        <v>128</v>
      </c>
      <c r="U135" s="33" t="s">
        <v>128</v>
      </c>
      <c r="V135" s="33" t="s">
        <v>128</v>
      </c>
      <c r="W135" s="33" t="s">
        <v>128</v>
      </c>
      <c r="X135" s="33" t="s">
        <v>128</v>
      </c>
      <c r="Y135" s="33" t="s">
        <v>128</v>
      </c>
      <c r="Z135" s="33" t="s">
        <v>128</v>
      </c>
      <c r="AA135" s="33" t="s">
        <v>128</v>
      </c>
      <c r="AB135" s="33" t="s">
        <v>128</v>
      </c>
      <c r="AC135" s="33" t="s">
        <v>128</v>
      </c>
      <c r="AD135" s="33" t="s">
        <v>128</v>
      </c>
      <c r="AE135" s="33" t="s">
        <v>128</v>
      </c>
      <c r="AF135" s="6">
        <v>316</v>
      </c>
      <c r="AG135" s="6">
        <v>1560</v>
      </c>
      <c r="AH135" s="35">
        <f t="shared" si="52"/>
        <v>351</v>
      </c>
      <c r="AI135" s="35">
        <v>658</v>
      </c>
      <c r="AJ135" s="35"/>
      <c r="AK135" s="35">
        <f t="shared" si="53"/>
        <v>342</v>
      </c>
      <c r="AL135" s="6">
        <v>1021</v>
      </c>
      <c r="AM135" s="6"/>
      <c r="AN135" s="35">
        <f t="shared" si="54"/>
        <v>363</v>
      </c>
      <c r="AO135" s="6">
        <v>167</v>
      </c>
      <c r="AP135" s="6">
        <v>1203</v>
      </c>
      <c r="AQ135" s="34">
        <f t="shared" si="55"/>
        <v>349</v>
      </c>
      <c r="AR135" s="35">
        <v>0</v>
      </c>
      <c r="AS135" s="35">
        <v>511</v>
      </c>
      <c r="AT135" s="35">
        <f t="shared" si="56"/>
        <v>344</v>
      </c>
      <c r="AU135" s="6">
        <v>266</v>
      </c>
      <c r="AV135" s="6"/>
      <c r="AW135" s="35">
        <f t="shared" si="57"/>
        <v>266</v>
      </c>
      <c r="AX135" s="6"/>
      <c r="AY135" s="6"/>
      <c r="AZ135" s="35"/>
      <c r="BA135" s="35">
        <v>617</v>
      </c>
      <c r="BB135" s="35"/>
      <c r="BC135" s="35">
        <f t="shared" si="58"/>
        <v>351</v>
      </c>
      <c r="BD135" s="35">
        <v>966</v>
      </c>
      <c r="BE135" s="6"/>
      <c r="BF135" s="35">
        <f t="shared" si="59"/>
        <v>349</v>
      </c>
      <c r="BG135" s="6">
        <v>1322</v>
      </c>
      <c r="BH135" s="6"/>
      <c r="BI135" s="6">
        <f t="shared" si="60"/>
        <v>356</v>
      </c>
      <c r="BJ135" s="6">
        <v>117</v>
      </c>
      <c r="BK135" s="6">
        <v>1560</v>
      </c>
      <c r="BL135" s="6">
        <f t="shared" si="61"/>
        <v>355</v>
      </c>
      <c r="BM135" s="6">
        <v>471</v>
      </c>
      <c r="BN135" s="6"/>
      <c r="BO135" s="6">
        <f t="shared" si="62"/>
        <v>354</v>
      </c>
      <c r="BP135" s="6">
        <v>803</v>
      </c>
      <c r="BQ135" s="6"/>
      <c r="BR135" s="35">
        <f t="shared" si="63"/>
        <v>332</v>
      </c>
      <c r="BS135" s="6"/>
      <c r="BT135" s="6"/>
      <c r="BU135" s="6"/>
      <c r="BV135" s="6">
        <v>1151</v>
      </c>
      <c r="BW135" s="6"/>
      <c r="BX135" s="35">
        <f t="shared" si="64"/>
        <v>348</v>
      </c>
      <c r="BY135" s="6">
        <v>1505</v>
      </c>
      <c r="BZ135" s="6"/>
      <c r="CA135" s="6">
        <f t="shared" si="65"/>
        <v>354</v>
      </c>
      <c r="CB135" s="6">
        <v>297</v>
      </c>
      <c r="CC135" s="6">
        <v>1560</v>
      </c>
      <c r="CD135" s="6">
        <f t="shared" si="66"/>
        <v>352</v>
      </c>
      <c r="CE135" s="6">
        <v>673</v>
      </c>
      <c r="CF135" s="6"/>
      <c r="CG135" s="6">
        <f t="shared" si="67"/>
        <v>376</v>
      </c>
      <c r="CH135" s="6">
        <v>1048</v>
      </c>
      <c r="CI135" s="6"/>
      <c r="CJ135" s="6">
        <f t="shared" si="68"/>
        <v>375</v>
      </c>
      <c r="CK135" s="6">
        <v>1404</v>
      </c>
      <c r="CL135" s="6"/>
      <c r="CM135" s="6">
        <f t="shared" si="69"/>
        <v>356</v>
      </c>
      <c r="CN135" s="6"/>
      <c r="CO135" s="6"/>
      <c r="CP135" s="6"/>
      <c r="CQ135" s="6">
        <v>229</v>
      </c>
      <c r="CR135" s="6">
        <v>1560</v>
      </c>
      <c r="CS135" s="6">
        <f t="shared" si="70"/>
        <v>385</v>
      </c>
      <c r="CT135" s="6">
        <v>607</v>
      </c>
      <c r="CU135" s="6"/>
      <c r="CV135" s="6">
        <f t="shared" si="71"/>
        <v>378</v>
      </c>
      <c r="CW135" s="6">
        <v>334</v>
      </c>
      <c r="CX135" s="6">
        <v>648</v>
      </c>
      <c r="CY135" s="6">
        <f t="shared" si="72"/>
        <v>375</v>
      </c>
      <c r="CZ135" s="6">
        <v>711</v>
      </c>
      <c r="DA135" s="6"/>
      <c r="DB135" s="6">
        <f t="shared" si="73"/>
        <v>377</v>
      </c>
      <c r="DC135" s="6">
        <v>1</v>
      </c>
      <c r="DD135" s="6">
        <v>1083</v>
      </c>
      <c r="DE135" s="6">
        <f t="shared" si="74"/>
        <v>373</v>
      </c>
      <c r="DF135" s="6">
        <v>354</v>
      </c>
      <c r="DG135" s="6"/>
      <c r="DH135" s="6">
        <f t="shared" si="75"/>
        <v>353</v>
      </c>
      <c r="DI135" s="6"/>
      <c r="DJ135" s="6"/>
      <c r="DK135" s="6"/>
      <c r="DL135" s="6">
        <v>730</v>
      </c>
      <c r="DM135" s="6"/>
      <c r="DN135" s="6">
        <f t="shared" si="76"/>
        <v>376</v>
      </c>
      <c r="DO135" s="6">
        <v>1081</v>
      </c>
      <c r="DP135" s="6"/>
      <c r="DQ135" s="6">
        <f t="shared" si="77"/>
        <v>351</v>
      </c>
    </row>
    <row r="136" spans="1:121">
      <c r="A136" s="6">
        <v>132</v>
      </c>
      <c r="B136" s="6">
        <v>656</v>
      </c>
      <c r="C136" s="6"/>
      <c r="D136" s="6">
        <v>324</v>
      </c>
      <c r="E136" s="33" t="s">
        <v>128</v>
      </c>
      <c r="F136" s="33" t="s">
        <v>128</v>
      </c>
      <c r="G136" s="33" t="s">
        <v>128</v>
      </c>
      <c r="H136" s="33" t="s">
        <v>128</v>
      </c>
      <c r="I136" s="33" t="s">
        <v>128</v>
      </c>
      <c r="J136" s="148" t="s">
        <v>128</v>
      </c>
      <c r="K136" s="33" t="s">
        <v>128</v>
      </c>
      <c r="L136" s="33" t="s">
        <v>128</v>
      </c>
      <c r="M136" s="33" t="s">
        <v>128</v>
      </c>
      <c r="N136" s="33" t="s">
        <v>128</v>
      </c>
      <c r="O136" s="33" t="s">
        <v>128</v>
      </c>
      <c r="P136" s="33" t="s">
        <v>128</v>
      </c>
      <c r="Q136" s="33" t="s">
        <v>128</v>
      </c>
      <c r="R136" s="33" t="s">
        <v>128</v>
      </c>
      <c r="S136" s="33" t="s">
        <v>128</v>
      </c>
      <c r="T136" s="33" t="s">
        <v>128</v>
      </c>
      <c r="U136" s="33" t="s">
        <v>128</v>
      </c>
      <c r="V136" s="33" t="s">
        <v>128</v>
      </c>
      <c r="W136" s="33" t="s">
        <v>128</v>
      </c>
      <c r="X136" s="33" t="s">
        <v>128</v>
      </c>
      <c r="Y136" s="33" t="s">
        <v>128</v>
      </c>
      <c r="Z136" s="33" t="s">
        <v>128</v>
      </c>
      <c r="AA136" s="33" t="s">
        <v>128</v>
      </c>
      <c r="AB136" s="33" t="s">
        <v>128</v>
      </c>
      <c r="AC136" s="33" t="s">
        <v>128</v>
      </c>
      <c r="AD136" s="33" t="s">
        <v>128</v>
      </c>
      <c r="AE136" s="33" t="s">
        <v>128</v>
      </c>
      <c r="AF136" s="35">
        <v>41</v>
      </c>
      <c r="AG136" s="35">
        <v>995</v>
      </c>
      <c r="AH136" s="35">
        <f t="shared" si="52"/>
        <v>380</v>
      </c>
      <c r="AI136" s="35">
        <v>398</v>
      </c>
      <c r="AJ136" s="35"/>
      <c r="AK136" s="35">
        <f t="shared" si="53"/>
        <v>357</v>
      </c>
      <c r="AL136" s="35">
        <v>754</v>
      </c>
      <c r="AM136" s="35"/>
      <c r="AN136" s="35">
        <f t="shared" si="54"/>
        <v>356</v>
      </c>
      <c r="AO136" s="6">
        <v>0</v>
      </c>
      <c r="AP136" s="35">
        <v>943</v>
      </c>
      <c r="AQ136" s="34">
        <f t="shared" si="55"/>
        <v>189</v>
      </c>
      <c r="AR136" s="35">
        <v>326</v>
      </c>
      <c r="AS136" s="35"/>
      <c r="AT136" s="35">
        <f t="shared" si="56"/>
        <v>326</v>
      </c>
      <c r="AU136" s="6">
        <v>663</v>
      </c>
      <c r="AV136" s="6"/>
      <c r="AW136" s="35">
        <f t="shared" si="57"/>
        <v>337</v>
      </c>
      <c r="AX136" s="6"/>
      <c r="AY136" s="6"/>
      <c r="AZ136" s="35"/>
      <c r="BA136" s="6">
        <v>1026</v>
      </c>
      <c r="BB136" s="6"/>
      <c r="BC136" s="35">
        <f t="shared" si="58"/>
        <v>363</v>
      </c>
      <c r="BD136" s="6">
        <v>1377</v>
      </c>
      <c r="BE136" s="6"/>
      <c r="BF136" s="35">
        <f t="shared" si="59"/>
        <v>351</v>
      </c>
      <c r="BG136" s="6">
        <v>132</v>
      </c>
      <c r="BH136" s="6">
        <v>1596</v>
      </c>
      <c r="BI136" s="6">
        <f t="shared" si="60"/>
        <v>351</v>
      </c>
      <c r="BJ136" s="6">
        <v>485</v>
      </c>
      <c r="BK136" s="35"/>
      <c r="BL136" s="6">
        <f t="shared" si="61"/>
        <v>353</v>
      </c>
      <c r="BM136" s="6">
        <v>841</v>
      </c>
      <c r="BN136" s="6"/>
      <c r="BO136" s="6">
        <f t="shared" si="62"/>
        <v>356</v>
      </c>
      <c r="BP136" s="6">
        <v>1172</v>
      </c>
      <c r="BQ136" s="6"/>
      <c r="BR136" s="35">
        <f t="shared" si="63"/>
        <v>331</v>
      </c>
      <c r="BS136" s="6"/>
      <c r="BT136" s="6"/>
      <c r="BU136" s="6"/>
      <c r="BV136" s="6">
        <v>1532</v>
      </c>
      <c r="BW136" s="6"/>
      <c r="BX136" s="35">
        <f t="shared" si="64"/>
        <v>360</v>
      </c>
      <c r="BY136" s="6">
        <v>324</v>
      </c>
      <c r="BZ136" s="35">
        <v>1596</v>
      </c>
      <c r="CA136" s="6">
        <f t="shared" si="65"/>
        <v>388</v>
      </c>
      <c r="CB136" s="6">
        <v>675</v>
      </c>
      <c r="CC136" s="6"/>
      <c r="CD136" s="6">
        <f t="shared" si="66"/>
        <v>351</v>
      </c>
      <c r="CE136" s="6">
        <v>1053</v>
      </c>
      <c r="CF136" s="35"/>
      <c r="CG136" s="6">
        <f t="shared" si="67"/>
        <v>378</v>
      </c>
      <c r="CH136" s="6">
        <v>1423</v>
      </c>
      <c r="CI136" s="6"/>
      <c r="CJ136" s="6">
        <f t="shared" si="68"/>
        <v>370</v>
      </c>
      <c r="CK136" s="6">
        <v>235</v>
      </c>
      <c r="CL136" s="6">
        <v>1560</v>
      </c>
      <c r="CM136" s="6">
        <f t="shared" si="69"/>
        <v>372</v>
      </c>
      <c r="CN136" s="6"/>
      <c r="CO136" s="6"/>
      <c r="CP136" s="6"/>
      <c r="CQ136" s="6">
        <v>621</v>
      </c>
      <c r="CR136" s="6"/>
      <c r="CS136" s="6">
        <f t="shared" si="70"/>
        <v>386</v>
      </c>
      <c r="CT136" s="6">
        <v>1005</v>
      </c>
      <c r="CU136" s="6"/>
      <c r="CV136" s="6">
        <f t="shared" si="71"/>
        <v>384</v>
      </c>
      <c r="CW136" s="6">
        <v>1391</v>
      </c>
      <c r="CX136" s="6"/>
      <c r="CY136" s="6">
        <f t="shared" si="72"/>
        <v>386</v>
      </c>
      <c r="CZ136" s="6">
        <v>208</v>
      </c>
      <c r="DA136" s="6">
        <v>1560</v>
      </c>
      <c r="DB136" s="6">
        <f t="shared" si="73"/>
        <v>377</v>
      </c>
      <c r="DC136" s="6">
        <v>596</v>
      </c>
      <c r="DD136" s="6"/>
      <c r="DE136" s="6">
        <f t="shared" si="74"/>
        <v>388</v>
      </c>
      <c r="DF136" s="6">
        <v>963</v>
      </c>
      <c r="DG136" s="6"/>
      <c r="DH136" s="6">
        <f t="shared" si="75"/>
        <v>367</v>
      </c>
      <c r="DI136" s="6"/>
      <c r="DJ136" s="6"/>
      <c r="DK136" s="6"/>
      <c r="DL136" s="6">
        <v>1346</v>
      </c>
      <c r="DM136" s="6"/>
      <c r="DN136" s="6">
        <f t="shared" si="76"/>
        <v>383</v>
      </c>
      <c r="DO136" s="6">
        <v>0</v>
      </c>
      <c r="DP136" s="6">
        <v>1601</v>
      </c>
      <c r="DQ136" s="6">
        <f t="shared" si="77"/>
        <v>255</v>
      </c>
    </row>
    <row r="137" spans="1:121">
      <c r="A137" s="6">
        <v>133</v>
      </c>
      <c r="B137" s="6">
        <v>1356</v>
      </c>
      <c r="C137" s="6"/>
      <c r="D137" s="6">
        <v>324</v>
      </c>
      <c r="E137" s="33" t="s">
        <v>37</v>
      </c>
      <c r="F137" s="33" t="s">
        <v>37</v>
      </c>
      <c r="G137" s="33" t="s">
        <v>37</v>
      </c>
      <c r="H137" s="33" t="s">
        <v>37</v>
      </c>
      <c r="I137" s="33" t="s">
        <v>37</v>
      </c>
      <c r="J137" s="33" t="s">
        <v>37</v>
      </c>
      <c r="K137" s="33" t="s">
        <v>37</v>
      </c>
      <c r="L137" s="33" t="s">
        <v>37</v>
      </c>
      <c r="M137" s="33" t="s">
        <v>37</v>
      </c>
      <c r="N137" s="33" t="s">
        <v>37</v>
      </c>
      <c r="O137" s="33" t="s">
        <v>37</v>
      </c>
      <c r="P137" s="33" t="s">
        <v>37</v>
      </c>
      <c r="Q137" s="33" t="s">
        <v>37</v>
      </c>
      <c r="R137" s="33" t="s">
        <v>37</v>
      </c>
      <c r="S137" s="33" t="s">
        <v>37</v>
      </c>
      <c r="T137" s="33" t="s">
        <v>37</v>
      </c>
      <c r="U137" s="33" t="s">
        <v>37</v>
      </c>
      <c r="V137" s="33" t="s">
        <v>37</v>
      </c>
      <c r="W137" s="33" t="s">
        <v>37</v>
      </c>
      <c r="X137" s="148" t="s">
        <v>37</v>
      </c>
      <c r="Y137" s="33" t="s">
        <v>37</v>
      </c>
      <c r="Z137" s="33" t="s">
        <v>37</v>
      </c>
      <c r="AA137" s="33" t="s">
        <v>37</v>
      </c>
      <c r="AB137" s="33" t="s">
        <v>37</v>
      </c>
      <c r="AC137" s="33" t="s">
        <v>37</v>
      </c>
      <c r="AD137" s="33" t="s">
        <v>37</v>
      </c>
      <c r="AE137" s="33" t="s">
        <v>37</v>
      </c>
      <c r="AF137" s="6">
        <v>182</v>
      </c>
      <c r="AG137" s="6">
        <v>1560</v>
      </c>
      <c r="AH137" s="35">
        <f t="shared" si="52"/>
        <v>386</v>
      </c>
      <c r="AI137" s="35">
        <v>540</v>
      </c>
      <c r="AJ137" s="35"/>
      <c r="AK137" s="35">
        <f t="shared" si="53"/>
        <v>358</v>
      </c>
      <c r="AL137" s="6">
        <v>901</v>
      </c>
      <c r="AM137" s="6"/>
      <c r="AN137" s="35">
        <f t="shared" si="54"/>
        <v>361</v>
      </c>
      <c r="AO137" s="6">
        <v>1259</v>
      </c>
      <c r="AP137" s="6"/>
      <c r="AQ137" s="34">
        <f t="shared" si="55"/>
        <v>358</v>
      </c>
      <c r="AR137" s="35">
        <v>57</v>
      </c>
      <c r="AS137" s="35">
        <v>1560</v>
      </c>
      <c r="AT137" s="35">
        <f t="shared" si="56"/>
        <v>358</v>
      </c>
      <c r="AU137" s="6">
        <v>396</v>
      </c>
      <c r="AV137" s="6"/>
      <c r="AW137" s="35">
        <f t="shared" si="57"/>
        <v>339</v>
      </c>
      <c r="AX137" s="6"/>
      <c r="AY137" s="6"/>
      <c r="AZ137" s="35"/>
      <c r="BA137" s="6">
        <v>759</v>
      </c>
      <c r="BB137" s="6"/>
      <c r="BC137" s="35">
        <f t="shared" si="58"/>
        <v>363</v>
      </c>
      <c r="BD137" s="6">
        <v>1119</v>
      </c>
      <c r="BE137" s="6"/>
      <c r="BF137" s="35">
        <f t="shared" si="59"/>
        <v>360</v>
      </c>
      <c r="BG137" s="6">
        <v>1483</v>
      </c>
      <c r="BH137" s="6"/>
      <c r="BI137" s="6">
        <f t="shared" si="60"/>
        <v>364</v>
      </c>
      <c r="BJ137" s="6">
        <v>285</v>
      </c>
      <c r="BK137" s="35">
        <v>1560</v>
      </c>
      <c r="BL137" s="6">
        <f t="shared" si="61"/>
        <v>362</v>
      </c>
      <c r="BM137" s="6">
        <v>644</v>
      </c>
      <c r="BN137" s="6"/>
      <c r="BO137" s="6">
        <f t="shared" si="62"/>
        <v>359</v>
      </c>
      <c r="BP137" s="6">
        <v>972</v>
      </c>
      <c r="BQ137" s="6"/>
      <c r="BR137" s="35">
        <f t="shared" si="63"/>
        <v>328</v>
      </c>
      <c r="BS137" s="6"/>
      <c r="BT137" s="6"/>
      <c r="BU137" s="6"/>
      <c r="BV137" s="6">
        <v>1341</v>
      </c>
      <c r="BW137" s="6"/>
      <c r="BX137" s="35">
        <f t="shared" si="64"/>
        <v>369</v>
      </c>
      <c r="BY137" s="6">
        <v>133</v>
      </c>
      <c r="BZ137" s="35">
        <v>1560</v>
      </c>
      <c r="CA137" s="6">
        <f t="shared" si="65"/>
        <v>352</v>
      </c>
      <c r="CB137" s="6">
        <v>496</v>
      </c>
      <c r="CC137" s="6"/>
      <c r="CD137" s="6">
        <f t="shared" si="66"/>
        <v>363</v>
      </c>
      <c r="CE137" s="6">
        <v>865</v>
      </c>
      <c r="CF137" s="35"/>
      <c r="CG137" s="6">
        <f t="shared" si="67"/>
        <v>369</v>
      </c>
      <c r="CH137" s="6">
        <v>1245</v>
      </c>
      <c r="CI137" s="6"/>
      <c r="CJ137" s="6">
        <f t="shared" si="68"/>
        <v>380</v>
      </c>
      <c r="CK137" s="6">
        <v>1624</v>
      </c>
      <c r="CL137" s="6"/>
      <c r="CM137" s="6">
        <f t="shared" si="69"/>
        <v>379</v>
      </c>
      <c r="CN137" s="6"/>
      <c r="CO137" s="6"/>
      <c r="CP137" s="6"/>
      <c r="CQ137" s="35">
        <v>346</v>
      </c>
      <c r="CR137" s="6">
        <v>1632</v>
      </c>
      <c r="CS137" s="6">
        <f t="shared" si="70"/>
        <v>354</v>
      </c>
      <c r="CT137" s="6">
        <v>707</v>
      </c>
      <c r="CU137" s="6"/>
      <c r="CV137" s="6">
        <f t="shared" si="71"/>
        <v>361</v>
      </c>
      <c r="CW137" s="6">
        <v>1088</v>
      </c>
      <c r="CX137" s="6"/>
      <c r="CY137" s="6">
        <f t="shared" si="72"/>
        <v>381</v>
      </c>
      <c r="CZ137" s="6">
        <v>1468</v>
      </c>
      <c r="DA137" s="6"/>
      <c r="DB137" s="6">
        <f t="shared" si="73"/>
        <v>380</v>
      </c>
      <c r="DC137" s="6">
        <v>147</v>
      </c>
      <c r="DD137" s="6">
        <v>1560</v>
      </c>
      <c r="DE137" s="6">
        <f t="shared" si="74"/>
        <v>239</v>
      </c>
      <c r="DF137" s="6">
        <v>488</v>
      </c>
      <c r="DG137" s="6"/>
      <c r="DH137" s="6">
        <f t="shared" si="75"/>
        <v>341</v>
      </c>
      <c r="DI137" s="6"/>
      <c r="DJ137" s="6"/>
      <c r="DK137" s="6"/>
      <c r="DL137" s="6">
        <v>849</v>
      </c>
      <c r="DM137" s="6"/>
      <c r="DN137" s="6">
        <f t="shared" si="76"/>
        <v>361</v>
      </c>
      <c r="DO137" s="6">
        <v>1187</v>
      </c>
      <c r="DP137" s="6"/>
      <c r="DQ137" s="6">
        <f t="shared" si="77"/>
        <v>338</v>
      </c>
    </row>
    <row r="138" spans="1:121" ht="15.75" customHeight="1">
      <c r="A138" s="6">
        <v>134</v>
      </c>
      <c r="B138" s="6">
        <v>567</v>
      </c>
      <c r="C138" s="6"/>
      <c r="D138" s="6">
        <v>328</v>
      </c>
      <c r="E138" s="33" t="s">
        <v>37</v>
      </c>
      <c r="F138" s="33" t="s">
        <v>37</v>
      </c>
      <c r="G138" s="33" t="s">
        <v>37</v>
      </c>
      <c r="H138" s="33" t="s">
        <v>37</v>
      </c>
      <c r="I138" s="33" t="s">
        <v>37</v>
      </c>
      <c r="J138" s="33" t="s">
        <v>37</v>
      </c>
      <c r="K138" s="33" t="s">
        <v>37</v>
      </c>
      <c r="L138" s="33" t="s">
        <v>37</v>
      </c>
      <c r="M138" s="33" t="s">
        <v>37</v>
      </c>
      <c r="N138" s="33" t="s">
        <v>37</v>
      </c>
      <c r="O138" s="33" t="s">
        <v>37</v>
      </c>
      <c r="P138" s="33" t="s">
        <v>37</v>
      </c>
      <c r="Q138" s="33" t="s">
        <v>37</v>
      </c>
      <c r="R138" s="33" t="s">
        <v>37</v>
      </c>
      <c r="S138" s="33" t="s">
        <v>37</v>
      </c>
      <c r="T138" s="33" t="s">
        <v>37</v>
      </c>
      <c r="U138" s="33" t="s">
        <v>37</v>
      </c>
      <c r="V138" s="148" t="s">
        <v>37</v>
      </c>
      <c r="W138" s="33" t="s">
        <v>37</v>
      </c>
      <c r="X138" s="33" t="s">
        <v>37</v>
      </c>
      <c r="Y138" s="33" t="s">
        <v>37</v>
      </c>
      <c r="Z138" s="33" t="s">
        <v>37</v>
      </c>
      <c r="AA138" s="33" t="s">
        <v>37</v>
      </c>
      <c r="AB138" s="33" t="s">
        <v>37</v>
      </c>
      <c r="AC138" s="33" t="s">
        <v>37</v>
      </c>
      <c r="AD138" s="33" t="s">
        <v>37</v>
      </c>
      <c r="AE138" s="33" t="s">
        <v>37</v>
      </c>
      <c r="AF138" s="6">
        <v>941</v>
      </c>
      <c r="AG138" s="6"/>
      <c r="AH138" s="35">
        <f t="shared" si="52"/>
        <v>374</v>
      </c>
      <c r="AI138" s="35">
        <v>1306</v>
      </c>
      <c r="AJ138" s="35"/>
      <c r="AK138" s="35">
        <f t="shared" si="53"/>
        <v>365</v>
      </c>
      <c r="AL138" s="6">
        <v>112</v>
      </c>
      <c r="AM138" s="6">
        <v>1560</v>
      </c>
      <c r="AN138" s="35">
        <f t="shared" si="54"/>
        <v>366</v>
      </c>
      <c r="AO138" s="6">
        <v>477</v>
      </c>
      <c r="AP138" s="6"/>
      <c r="AQ138" s="34">
        <f t="shared" si="55"/>
        <v>365</v>
      </c>
      <c r="AR138" s="35">
        <v>834</v>
      </c>
      <c r="AS138" s="35"/>
      <c r="AT138" s="35">
        <f t="shared" si="56"/>
        <v>357</v>
      </c>
      <c r="AU138" s="6">
        <v>1175</v>
      </c>
      <c r="AV138" s="6"/>
      <c r="AW138" s="35">
        <f t="shared" si="57"/>
        <v>341</v>
      </c>
      <c r="AX138" s="6"/>
      <c r="AY138" s="6"/>
      <c r="AZ138" s="35"/>
      <c r="BA138" s="35">
        <v>1556</v>
      </c>
      <c r="BB138" s="35"/>
      <c r="BC138" s="35">
        <f t="shared" si="58"/>
        <v>381</v>
      </c>
      <c r="BD138" s="6">
        <v>366</v>
      </c>
      <c r="BE138" s="6">
        <v>1560</v>
      </c>
      <c r="BF138" s="35">
        <f t="shared" si="59"/>
        <v>370</v>
      </c>
      <c r="BG138" s="6">
        <v>742</v>
      </c>
      <c r="BH138" s="6"/>
      <c r="BI138" s="6">
        <f t="shared" si="60"/>
        <v>376</v>
      </c>
      <c r="BJ138" s="6">
        <v>244</v>
      </c>
      <c r="BK138" s="6">
        <v>865</v>
      </c>
      <c r="BL138" s="6">
        <f t="shared" si="61"/>
        <v>367</v>
      </c>
      <c r="BM138" s="6">
        <v>622</v>
      </c>
      <c r="BN138" s="6"/>
      <c r="BO138" s="6">
        <f t="shared" si="62"/>
        <v>378</v>
      </c>
      <c r="BP138" s="6">
        <v>932</v>
      </c>
      <c r="BQ138" s="6"/>
      <c r="BR138" s="35">
        <f t="shared" si="63"/>
        <v>310</v>
      </c>
      <c r="BS138" s="6"/>
      <c r="BT138" s="6"/>
      <c r="BU138" s="6"/>
      <c r="BV138" s="6">
        <v>1302</v>
      </c>
      <c r="BW138" s="6"/>
      <c r="BX138" s="35">
        <f t="shared" si="64"/>
        <v>370</v>
      </c>
      <c r="BY138" s="6">
        <v>342</v>
      </c>
      <c r="BZ138" s="6">
        <v>1327</v>
      </c>
      <c r="CA138" s="6">
        <f t="shared" si="65"/>
        <v>367</v>
      </c>
      <c r="CB138" s="6">
        <v>709</v>
      </c>
      <c r="CC138" s="6"/>
      <c r="CD138" s="6">
        <f t="shared" si="66"/>
        <v>367</v>
      </c>
      <c r="CE138" s="6">
        <v>0</v>
      </c>
      <c r="CF138" s="6">
        <v>1000</v>
      </c>
      <c r="CG138" s="6">
        <f t="shared" si="67"/>
        <v>291</v>
      </c>
      <c r="CH138" s="6">
        <v>367</v>
      </c>
      <c r="CI138" s="6"/>
      <c r="CJ138" s="6">
        <f t="shared" si="68"/>
        <v>367</v>
      </c>
      <c r="CK138" s="6">
        <v>746</v>
      </c>
      <c r="CL138" s="6"/>
      <c r="CM138" s="6">
        <f t="shared" si="69"/>
        <v>379</v>
      </c>
      <c r="CN138" s="6"/>
      <c r="CO138" s="6"/>
      <c r="CP138" s="6"/>
      <c r="CQ138" s="6">
        <v>1136</v>
      </c>
      <c r="CR138" s="6"/>
      <c r="CS138" s="6">
        <f t="shared" si="70"/>
        <v>390</v>
      </c>
      <c r="CT138" s="6">
        <v>1517</v>
      </c>
      <c r="CU138" s="6"/>
      <c r="CV138" s="6">
        <f t="shared" si="71"/>
        <v>381</v>
      </c>
      <c r="CW138" s="6">
        <v>322</v>
      </c>
      <c r="CX138" s="6">
        <v>1560</v>
      </c>
      <c r="CY138" s="6">
        <f t="shared" si="72"/>
        <v>365</v>
      </c>
      <c r="CZ138" s="6">
        <v>707</v>
      </c>
      <c r="DA138" s="6"/>
      <c r="DB138" s="6">
        <f t="shared" si="73"/>
        <v>385</v>
      </c>
      <c r="DC138" s="6">
        <v>1091</v>
      </c>
      <c r="DD138" s="6"/>
      <c r="DE138" s="6">
        <f t="shared" si="74"/>
        <v>384</v>
      </c>
      <c r="DF138" s="6">
        <v>1456</v>
      </c>
      <c r="DG138" s="6"/>
      <c r="DH138" s="6">
        <f t="shared" si="75"/>
        <v>365</v>
      </c>
      <c r="DI138" s="6"/>
      <c r="DJ138" s="6"/>
      <c r="DK138" s="6"/>
      <c r="DL138" s="6">
        <v>281</v>
      </c>
      <c r="DM138" s="6">
        <v>1560</v>
      </c>
      <c r="DN138" s="6">
        <f t="shared" si="76"/>
        <v>385</v>
      </c>
      <c r="DO138" s="6">
        <v>643</v>
      </c>
      <c r="DP138" s="6"/>
      <c r="DQ138" s="6">
        <f t="shared" si="77"/>
        <v>362</v>
      </c>
    </row>
    <row r="139" spans="1:121">
      <c r="A139" s="6">
        <v>135</v>
      </c>
      <c r="B139" s="6">
        <v>809</v>
      </c>
      <c r="C139" s="6"/>
      <c r="D139" s="6">
        <v>330</v>
      </c>
      <c r="E139" s="33" t="s">
        <v>128</v>
      </c>
      <c r="F139" s="33" t="s">
        <v>128</v>
      </c>
      <c r="G139" s="33" t="s">
        <v>128</v>
      </c>
      <c r="H139" s="33" t="s">
        <v>128</v>
      </c>
      <c r="I139" s="33" t="s">
        <v>128</v>
      </c>
      <c r="J139" s="148" t="s">
        <v>128</v>
      </c>
      <c r="K139" s="33" t="s">
        <v>128</v>
      </c>
      <c r="L139" s="33" t="s">
        <v>128</v>
      </c>
      <c r="M139" s="33" t="s">
        <v>128</v>
      </c>
      <c r="N139" s="33" t="s">
        <v>128</v>
      </c>
      <c r="O139" s="33" t="s">
        <v>128</v>
      </c>
      <c r="P139" s="33" t="s">
        <v>128</v>
      </c>
      <c r="Q139" s="33" t="s">
        <v>128</v>
      </c>
      <c r="R139" s="33" t="s">
        <v>128</v>
      </c>
      <c r="S139" s="33" t="s">
        <v>128</v>
      </c>
      <c r="T139" s="33" t="s">
        <v>128</v>
      </c>
      <c r="U139" s="33" t="s">
        <v>128</v>
      </c>
      <c r="V139" s="33" t="s">
        <v>128</v>
      </c>
      <c r="W139" s="33" t="s">
        <v>128</v>
      </c>
      <c r="X139" s="33" t="s">
        <v>128</v>
      </c>
      <c r="Y139" s="33" t="s">
        <v>128</v>
      </c>
      <c r="Z139" s="33" t="s">
        <v>128</v>
      </c>
      <c r="AA139" s="33" t="s">
        <v>128</v>
      </c>
      <c r="AB139" s="33" t="s">
        <v>128</v>
      </c>
      <c r="AC139" s="33" t="s">
        <v>128</v>
      </c>
      <c r="AD139" s="33" t="s">
        <v>128</v>
      </c>
      <c r="AE139" s="148" t="s">
        <v>128</v>
      </c>
      <c r="AF139" s="35">
        <v>1186</v>
      </c>
      <c r="AG139" s="35"/>
      <c r="AH139" s="35">
        <f t="shared" si="52"/>
        <v>377</v>
      </c>
      <c r="AI139" s="35">
        <v>1504</v>
      </c>
      <c r="AJ139" s="35"/>
      <c r="AK139" s="35">
        <f t="shared" si="53"/>
        <v>318</v>
      </c>
      <c r="AL139" s="35">
        <v>254</v>
      </c>
      <c r="AM139" s="35">
        <v>1633</v>
      </c>
      <c r="AN139" s="35">
        <f t="shared" si="54"/>
        <v>383</v>
      </c>
      <c r="AO139" s="35">
        <v>0</v>
      </c>
      <c r="AP139" s="35">
        <v>449</v>
      </c>
      <c r="AQ139" s="34">
        <f t="shared" si="55"/>
        <v>195</v>
      </c>
      <c r="AR139" s="35">
        <v>335</v>
      </c>
      <c r="AS139" s="35"/>
      <c r="AT139" s="35">
        <f t="shared" si="56"/>
        <v>335</v>
      </c>
      <c r="AU139" s="6">
        <v>678</v>
      </c>
      <c r="AV139" s="6"/>
      <c r="AW139" s="35">
        <f t="shared" si="57"/>
        <v>343</v>
      </c>
      <c r="AX139" s="6"/>
      <c r="AY139" s="6"/>
      <c r="AZ139" s="35"/>
      <c r="BA139" s="6">
        <v>1051</v>
      </c>
      <c r="BB139" s="6"/>
      <c r="BC139" s="35">
        <f t="shared" si="58"/>
        <v>373</v>
      </c>
      <c r="BD139" s="6">
        <v>1416</v>
      </c>
      <c r="BE139" s="6"/>
      <c r="BF139" s="35">
        <f t="shared" si="59"/>
        <v>365</v>
      </c>
      <c r="BG139" s="6">
        <v>192</v>
      </c>
      <c r="BH139" s="6">
        <v>1580</v>
      </c>
      <c r="BI139" s="6">
        <f t="shared" si="60"/>
        <v>356</v>
      </c>
      <c r="BJ139" s="35">
        <v>559</v>
      </c>
      <c r="BK139" s="35"/>
      <c r="BL139" s="6">
        <f t="shared" si="61"/>
        <v>367</v>
      </c>
      <c r="BM139" s="6">
        <v>928</v>
      </c>
      <c r="BN139" s="6"/>
      <c r="BO139" s="6">
        <f t="shared" si="62"/>
        <v>369</v>
      </c>
      <c r="BP139" s="6">
        <v>1274</v>
      </c>
      <c r="BQ139" s="6"/>
      <c r="BR139" s="35">
        <f t="shared" si="63"/>
        <v>346</v>
      </c>
      <c r="BS139" s="6"/>
      <c r="BT139" s="6"/>
      <c r="BU139" s="6"/>
      <c r="BV139" s="6">
        <v>87</v>
      </c>
      <c r="BW139" s="6">
        <v>1560</v>
      </c>
      <c r="BX139" s="35">
        <f t="shared" si="64"/>
        <v>373</v>
      </c>
      <c r="BY139" s="6">
        <v>455</v>
      </c>
      <c r="BZ139" s="35"/>
      <c r="CA139" s="6">
        <f t="shared" si="65"/>
        <v>368</v>
      </c>
      <c r="CB139" s="6">
        <v>818</v>
      </c>
      <c r="CC139" s="6"/>
      <c r="CD139" s="6">
        <f t="shared" si="66"/>
        <v>363</v>
      </c>
      <c r="CE139" s="6">
        <v>1201</v>
      </c>
      <c r="CF139" s="35"/>
      <c r="CG139" s="6">
        <f t="shared" si="67"/>
        <v>383</v>
      </c>
      <c r="CH139" s="6">
        <v>26</v>
      </c>
      <c r="CI139" s="6">
        <v>1560</v>
      </c>
      <c r="CJ139" s="6">
        <f t="shared" si="68"/>
        <v>385</v>
      </c>
      <c r="CK139" s="6">
        <v>402</v>
      </c>
      <c r="CL139" s="6"/>
      <c r="CM139" s="6">
        <f t="shared" si="69"/>
        <v>376</v>
      </c>
      <c r="CN139" s="6"/>
      <c r="CO139" s="6"/>
      <c r="CP139" s="6"/>
      <c r="CQ139" s="6">
        <v>792</v>
      </c>
      <c r="CR139" s="6"/>
      <c r="CS139" s="6">
        <f t="shared" si="70"/>
        <v>390</v>
      </c>
      <c r="CT139" s="6">
        <v>1170</v>
      </c>
      <c r="CU139" s="6"/>
      <c r="CV139" s="6">
        <f t="shared" si="71"/>
        <v>378</v>
      </c>
      <c r="CW139" s="6">
        <v>1556</v>
      </c>
      <c r="CX139" s="6"/>
      <c r="CY139" s="6">
        <f t="shared" si="72"/>
        <v>386</v>
      </c>
      <c r="CZ139" s="6">
        <v>380</v>
      </c>
      <c r="DA139" s="6">
        <v>1560</v>
      </c>
      <c r="DB139" s="6">
        <f t="shared" si="73"/>
        <v>384</v>
      </c>
      <c r="DC139" s="6">
        <v>765</v>
      </c>
      <c r="DD139" s="6"/>
      <c r="DE139" s="6">
        <f t="shared" si="74"/>
        <v>385</v>
      </c>
      <c r="DF139" s="6">
        <v>262</v>
      </c>
      <c r="DG139" s="6">
        <v>849</v>
      </c>
      <c r="DH139" s="6">
        <f t="shared" si="75"/>
        <v>346</v>
      </c>
      <c r="DI139" s="6"/>
      <c r="DJ139" s="6"/>
      <c r="DK139" s="6"/>
      <c r="DL139" s="6">
        <v>644</v>
      </c>
      <c r="DM139" s="6"/>
      <c r="DN139" s="6">
        <f t="shared" si="76"/>
        <v>382</v>
      </c>
      <c r="DO139" s="6">
        <v>233</v>
      </c>
      <c r="DP139" s="6">
        <v>758</v>
      </c>
      <c r="DQ139" s="6">
        <f t="shared" si="77"/>
        <v>347</v>
      </c>
    </row>
    <row r="140" spans="1:121">
      <c r="A140" s="6">
        <v>136</v>
      </c>
      <c r="B140" s="6">
        <v>1426</v>
      </c>
      <c r="C140" s="6"/>
      <c r="D140" s="6">
        <v>331</v>
      </c>
      <c r="E140" s="33" t="s">
        <v>37</v>
      </c>
      <c r="F140" s="33" t="s">
        <v>37</v>
      </c>
      <c r="G140" s="33" t="s">
        <v>37</v>
      </c>
      <c r="H140" s="33" t="s">
        <v>37</v>
      </c>
      <c r="I140" s="33" t="s">
        <v>37</v>
      </c>
      <c r="J140" s="33" t="s">
        <v>37</v>
      </c>
      <c r="K140" s="33" t="s">
        <v>37</v>
      </c>
      <c r="L140" s="33" t="s">
        <v>37</v>
      </c>
      <c r="M140" s="33" t="s">
        <v>37</v>
      </c>
      <c r="N140" s="33" t="s">
        <v>37</v>
      </c>
      <c r="O140" s="33" t="s">
        <v>37</v>
      </c>
      <c r="P140" s="33" t="s">
        <v>37</v>
      </c>
      <c r="Q140" s="33" t="s">
        <v>37</v>
      </c>
      <c r="R140" s="33" t="s">
        <v>37</v>
      </c>
      <c r="S140" s="33" t="s">
        <v>37</v>
      </c>
      <c r="T140" s="33" t="s">
        <v>37</v>
      </c>
      <c r="U140" s="33" t="s">
        <v>37</v>
      </c>
      <c r="V140" s="33" t="s">
        <v>37</v>
      </c>
      <c r="W140" s="33" t="s">
        <v>37</v>
      </c>
      <c r="X140" s="148" t="s">
        <v>37</v>
      </c>
      <c r="Y140" s="33" t="s">
        <v>37</v>
      </c>
      <c r="Z140" s="33" t="s">
        <v>37</v>
      </c>
      <c r="AA140" s="33" t="s">
        <v>37</v>
      </c>
      <c r="AB140" s="33" t="s">
        <v>37</v>
      </c>
      <c r="AC140" s="33" t="s">
        <v>37</v>
      </c>
      <c r="AD140" s="33" t="s">
        <v>37</v>
      </c>
      <c r="AE140" s="33" t="s">
        <v>37</v>
      </c>
      <c r="AF140" s="6">
        <v>249</v>
      </c>
      <c r="AG140" s="6">
        <v>1560</v>
      </c>
      <c r="AH140" s="35">
        <f t="shared" si="52"/>
        <v>383</v>
      </c>
      <c r="AI140" s="35">
        <v>609</v>
      </c>
      <c r="AJ140" s="35"/>
      <c r="AK140" s="35">
        <f t="shared" si="53"/>
        <v>360</v>
      </c>
      <c r="AL140" s="6">
        <v>972</v>
      </c>
      <c r="AM140" s="6"/>
      <c r="AN140" s="35">
        <f t="shared" si="54"/>
        <v>363</v>
      </c>
      <c r="AO140" s="6">
        <v>1327</v>
      </c>
      <c r="AP140" s="6"/>
      <c r="AQ140" s="34">
        <f t="shared" si="55"/>
        <v>355</v>
      </c>
      <c r="AR140" s="35">
        <v>121</v>
      </c>
      <c r="AS140" s="35">
        <v>1560</v>
      </c>
      <c r="AT140" s="35">
        <f t="shared" si="56"/>
        <v>354</v>
      </c>
      <c r="AU140" s="6">
        <v>463</v>
      </c>
      <c r="AV140" s="6"/>
      <c r="AW140" s="35">
        <f t="shared" si="57"/>
        <v>342</v>
      </c>
      <c r="AX140" s="6"/>
      <c r="AY140" s="6"/>
      <c r="AZ140" s="35"/>
      <c r="BA140" s="35">
        <v>830</v>
      </c>
      <c r="BB140" s="35"/>
      <c r="BC140" s="35">
        <f t="shared" si="58"/>
        <v>367</v>
      </c>
      <c r="BD140" s="6">
        <v>1184</v>
      </c>
      <c r="BE140" s="35"/>
      <c r="BF140" s="35">
        <f t="shared" si="59"/>
        <v>354</v>
      </c>
      <c r="BG140" s="6">
        <v>1546</v>
      </c>
      <c r="BH140" s="6"/>
      <c r="BI140" s="6">
        <f t="shared" si="60"/>
        <v>362</v>
      </c>
      <c r="BJ140" s="35">
        <v>349</v>
      </c>
      <c r="BK140" s="6">
        <v>1560</v>
      </c>
      <c r="BL140" s="6">
        <f t="shared" si="61"/>
        <v>363</v>
      </c>
      <c r="BM140" s="6">
        <v>190</v>
      </c>
      <c r="BN140" s="6">
        <v>520</v>
      </c>
      <c r="BO140" s="6">
        <f t="shared" si="62"/>
        <v>361</v>
      </c>
      <c r="BP140" s="6">
        <v>532</v>
      </c>
      <c r="BQ140" s="6"/>
      <c r="BR140" s="35">
        <f t="shared" si="63"/>
        <v>342</v>
      </c>
      <c r="BS140" s="6"/>
      <c r="BT140" s="6"/>
      <c r="BU140" s="6"/>
      <c r="BV140" s="6">
        <v>901</v>
      </c>
      <c r="BW140" s="6"/>
      <c r="BX140" s="35">
        <f t="shared" si="64"/>
        <v>369</v>
      </c>
      <c r="BY140" s="6">
        <v>1265</v>
      </c>
      <c r="BZ140" s="6"/>
      <c r="CA140" s="6">
        <f t="shared" si="65"/>
        <v>364</v>
      </c>
      <c r="CB140" s="6">
        <v>64</v>
      </c>
      <c r="CC140" s="6">
        <v>1560</v>
      </c>
      <c r="CD140" s="6">
        <f t="shared" si="66"/>
        <v>359</v>
      </c>
      <c r="CE140" s="6">
        <v>435</v>
      </c>
      <c r="CF140" s="6"/>
      <c r="CG140" s="6">
        <f t="shared" si="67"/>
        <v>371</v>
      </c>
      <c r="CH140" s="6">
        <v>819</v>
      </c>
      <c r="CI140" s="6"/>
      <c r="CJ140" s="6">
        <f t="shared" si="68"/>
        <v>384</v>
      </c>
      <c r="CK140" s="6">
        <v>0</v>
      </c>
      <c r="CL140" s="6">
        <f>846+253</f>
        <v>1099</v>
      </c>
      <c r="CM140" s="6">
        <f t="shared" si="69"/>
        <v>280</v>
      </c>
      <c r="CN140" s="6"/>
      <c r="CO140" s="6"/>
      <c r="CP140" s="6"/>
      <c r="CQ140" s="6">
        <v>362</v>
      </c>
      <c r="CR140" s="6"/>
      <c r="CS140" s="6">
        <f t="shared" si="70"/>
        <v>362</v>
      </c>
      <c r="CT140" s="6">
        <v>744</v>
      </c>
      <c r="CU140" s="6"/>
      <c r="CV140" s="6">
        <f t="shared" si="71"/>
        <v>382</v>
      </c>
      <c r="CW140" s="6">
        <v>1132</v>
      </c>
      <c r="CX140" s="6"/>
      <c r="CY140" s="6">
        <f t="shared" si="72"/>
        <v>388</v>
      </c>
      <c r="CZ140" s="6">
        <v>1515</v>
      </c>
      <c r="DA140" s="35"/>
      <c r="DB140" s="6">
        <f t="shared" si="73"/>
        <v>383</v>
      </c>
      <c r="DC140" s="6">
        <v>318</v>
      </c>
      <c r="DD140" s="6">
        <v>1576</v>
      </c>
      <c r="DE140" s="6">
        <f t="shared" si="74"/>
        <v>379</v>
      </c>
      <c r="DF140" s="6">
        <v>689</v>
      </c>
      <c r="DG140" s="6"/>
      <c r="DH140" s="6">
        <f t="shared" si="75"/>
        <v>371</v>
      </c>
      <c r="DI140" s="6"/>
      <c r="DJ140" s="6"/>
      <c r="DK140" s="6"/>
      <c r="DL140" s="6">
        <v>1071</v>
      </c>
      <c r="DM140" s="6"/>
      <c r="DN140" s="6">
        <f t="shared" si="76"/>
        <v>382</v>
      </c>
      <c r="DO140" s="6">
        <v>1427</v>
      </c>
      <c r="DP140" s="6"/>
      <c r="DQ140" s="6">
        <f t="shared" si="77"/>
        <v>356</v>
      </c>
    </row>
    <row r="141" spans="1:121">
      <c r="A141" s="6">
        <v>137</v>
      </c>
      <c r="B141" s="6">
        <v>575</v>
      </c>
      <c r="C141" s="6"/>
      <c r="D141" s="6">
        <v>325</v>
      </c>
      <c r="E141" s="33" t="s">
        <v>128</v>
      </c>
      <c r="F141" s="33" t="s">
        <v>128</v>
      </c>
      <c r="G141" s="33" t="s">
        <v>128</v>
      </c>
      <c r="H141" s="33" t="s">
        <v>128</v>
      </c>
      <c r="I141" s="33" t="s">
        <v>128</v>
      </c>
      <c r="J141" s="33" t="s">
        <v>128</v>
      </c>
      <c r="K141" s="33" t="s">
        <v>128</v>
      </c>
      <c r="L141" s="148" t="s">
        <v>128</v>
      </c>
      <c r="M141" s="33" t="s">
        <v>128</v>
      </c>
      <c r="N141" s="33" t="s">
        <v>128</v>
      </c>
      <c r="O141" s="33" t="s">
        <v>128</v>
      </c>
      <c r="P141" s="33" t="s">
        <v>128</v>
      </c>
      <c r="Q141" s="33" t="s">
        <v>128</v>
      </c>
      <c r="R141" s="33" t="s">
        <v>128</v>
      </c>
      <c r="S141" s="33" t="s">
        <v>128</v>
      </c>
      <c r="T141" s="33" t="s">
        <v>128</v>
      </c>
      <c r="U141" s="33" t="s">
        <v>128</v>
      </c>
      <c r="V141" s="33" t="s">
        <v>128</v>
      </c>
      <c r="W141" s="33" t="s">
        <v>128</v>
      </c>
      <c r="X141" s="33" t="s">
        <v>128</v>
      </c>
      <c r="Y141" s="33" t="s">
        <v>128</v>
      </c>
      <c r="Z141" s="33" t="s">
        <v>128</v>
      </c>
      <c r="AA141" s="33" t="s">
        <v>128</v>
      </c>
      <c r="AB141" s="33" t="s">
        <v>128</v>
      </c>
      <c r="AC141" s="33" t="s">
        <v>128</v>
      </c>
      <c r="AD141" s="33" t="s">
        <v>128</v>
      </c>
      <c r="AE141" s="33" t="s">
        <v>128</v>
      </c>
      <c r="AF141" s="6">
        <v>953</v>
      </c>
      <c r="AG141" s="6"/>
      <c r="AH141" s="35">
        <f t="shared" si="52"/>
        <v>378</v>
      </c>
      <c r="AI141" s="35">
        <v>1304</v>
      </c>
      <c r="AJ141" s="35"/>
      <c r="AK141" s="35">
        <f t="shared" si="53"/>
        <v>351</v>
      </c>
      <c r="AL141" s="6">
        <v>1659</v>
      </c>
      <c r="AM141" s="35"/>
      <c r="AN141" s="35">
        <f t="shared" si="54"/>
        <v>355</v>
      </c>
      <c r="AO141" s="6">
        <v>262</v>
      </c>
      <c r="AP141" s="6">
        <v>1755</v>
      </c>
      <c r="AQ141" s="34">
        <f t="shared" si="55"/>
        <v>358</v>
      </c>
      <c r="AR141" s="35">
        <v>616</v>
      </c>
      <c r="AS141" s="35"/>
      <c r="AT141" s="35">
        <f t="shared" si="56"/>
        <v>354</v>
      </c>
      <c r="AU141" s="6">
        <v>0</v>
      </c>
      <c r="AV141" s="6">
        <v>739</v>
      </c>
      <c r="AW141" s="35">
        <f t="shared" si="57"/>
        <v>123</v>
      </c>
      <c r="AX141" s="6"/>
      <c r="AY141" s="6"/>
      <c r="AZ141" s="35"/>
      <c r="BA141" s="35">
        <v>348</v>
      </c>
      <c r="BB141" s="35"/>
      <c r="BC141" s="35">
        <f t="shared" si="58"/>
        <v>348</v>
      </c>
      <c r="BD141" s="6">
        <v>34</v>
      </c>
      <c r="BE141" s="35">
        <v>623</v>
      </c>
      <c r="BF141" s="35">
        <f t="shared" si="59"/>
        <v>309</v>
      </c>
      <c r="BG141" s="6">
        <v>354</v>
      </c>
      <c r="BH141" s="6"/>
      <c r="BI141" s="6">
        <f t="shared" si="60"/>
        <v>320</v>
      </c>
      <c r="BJ141" s="6">
        <v>700</v>
      </c>
      <c r="BK141" s="6"/>
      <c r="BL141" s="6">
        <f t="shared" si="61"/>
        <v>346</v>
      </c>
      <c r="BM141" s="6">
        <v>1042</v>
      </c>
      <c r="BN141" s="6"/>
      <c r="BO141" s="6">
        <f t="shared" si="62"/>
        <v>342</v>
      </c>
      <c r="BP141" s="6">
        <v>1351</v>
      </c>
      <c r="BQ141" s="6"/>
      <c r="BR141" s="35">
        <f t="shared" si="63"/>
        <v>309</v>
      </c>
      <c r="BS141" s="6"/>
      <c r="BT141" s="6"/>
      <c r="BU141" s="6"/>
      <c r="BV141" s="6">
        <v>138</v>
      </c>
      <c r="BW141" s="6">
        <v>1560</v>
      </c>
      <c r="BX141" s="35">
        <f t="shared" si="64"/>
        <v>347</v>
      </c>
      <c r="BY141" s="6">
        <v>479</v>
      </c>
      <c r="BZ141" s="6"/>
      <c r="CA141" s="6">
        <f t="shared" si="65"/>
        <v>341</v>
      </c>
      <c r="CB141" s="6">
        <v>843</v>
      </c>
      <c r="CC141" s="6"/>
      <c r="CD141" s="6">
        <f t="shared" si="66"/>
        <v>364</v>
      </c>
      <c r="CE141" s="6">
        <v>1223</v>
      </c>
      <c r="CF141" s="6"/>
      <c r="CG141" s="6">
        <f t="shared" si="67"/>
        <v>380</v>
      </c>
      <c r="CH141" s="6">
        <v>47</v>
      </c>
      <c r="CI141" s="6">
        <v>1560</v>
      </c>
      <c r="CJ141" s="6">
        <f t="shared" si="68"/>
        <v>384</v>
      </c>
      <c r="CK141" s="6">
        <v>415</v>
      </c>
      <c r="CL141" s="6"/>
      <c r="CM141" s="6">
        <f t="shared" si="69"/>
        <v>368</v>
      </c>
      <c r="CN141" s="6"/>
      <c r="CO141" s="6"/>
      <c r="CP141" s="6"/>
      <c r="CQ141" s="6">
        <v>793</v>
      </c>
      <c r="CR141" s="6"/>
      <c r="CS141" s="6">
        <f t="shared" si="70"/>
        <v>378</v>
      </c>
      <c r="CT141" s="6">
        <v>1166</v>
      </c>
      <c r="CU141" s="6"/>
      <c r="CV141" s="6">
        <f t="shared" si="71"/>
        <v>373</v>
      </c>
      <c r="CW141" s="6">
        <v>1543</v>
      </c>
      <c r="CX141" s="6"/>
      <c r="CY141" s="6">
        <f t="shared" si="72"/>
        <v>377</v>
      </c>
      <c r="CZ141" s="6">
        <v>365</v>
      </c>
      <c r="DA141" s="6">
        <v>1560</v>
      </c>
      <c r="DB141" s="6">
        <f t="shared" si="73"/>
        <v>382</v>
      </c>
      <c r="DC141" s="6">
        <v>753</v>
      </c>
      <c r="DD141" s="6"/>
      <c r="DE141" s="6">
        <f t="shared" si="74"/>
        <v>388</v>
      </c>
      <c r="DF141" s="6">
        <v>1114</v>
      </c>
      <c r="DG141" s="6"/>
      <c r="DH141" s="6">
        <f t="shared" si="75"/>
        <v>361</v>
      </c>
      <c r="DI141" s="6"/>
      <c r="DJ141" s="6"/>
      <c r="DK141" s="6"/>
      <c r="DL141" s="6">
        <v>1482</v>
      </c>
      <c r="DM141" s="6"/>
      <c r="DN141" s="6">
        <f t="shared" si="76"/>
        <v>368</v>
      </c>
      <c r="DO141" s="6">
        <v>270</v>
      </c>
      <c r="DP141" s="6">
        <v>1560</v>
      </c>
      <c r="DQ141" s="6">
        <f t="shared" si="77"/>
        <v>348</v>
      </c>
    </row>
    <row r="142" spans="1:121">
      <c r="A142" s="6">
        <v>138</v>
      </c>
      <c r="B142" s="6">
        <v>650</v>
      </c>
      <c r="C142" s="6"/>
      <c r="D142" s="6">
        <v>326</v>
      </c>
      <c r="E142" s="33" t="s">
        <v>37</v>
      </c>
      <c r="F142" s="33" t="s">
        <v>37</v>
      </c>
      <c r="G142" s="33" t="s">
        <v>37</v>
      </c>
      <c r="H142" s="33" t="s">
        <v>37</v>
      </c>
      <c r="I142" s="33" t="s">
        <v>37</v>
      </c>
      <c r="J142" s="33" t="s">
        <v>37</v>
      </c>
      <c r="K142" s="33" t="s">
        <v>37</v>
      </c>
      <c r="L142" s="33" t="s">
        <v>37</v>
      </c>
      <c r="M142" s="33" t="s">
        <v>37</v>
      </c>
      <c r="N142" s="33" t="s">
        <v>37</v>
      </c>
      <c r="O142" s="33" t="s">
        <v>37</v>
      </c>
      <c r="P142" s="33" t="s">
        <v>37</v>
      </c>
      <c r="Q142" s="33" t="s">
        <v>37</v>
      </c>
      <c r="R142" s="33" t="s">
        <v>37</v>
      </c>
      <c r="S142" s="33" t="s">
        <v>37</v>
      </c>
      <c r="T142" s="33" t="s">
        <v>37</v>
      </c>
      <c r="U142" s="33" t="s">
        <v>37</v>
      </c>
      <c r="V142" s="33" t="s">
        <v>37</v>
      </c>
      <c r="W142" s="33" t="s">
        <v>37</v>
      </c>
      <c r="X142" s="33" t="s">
        <v>37</v>
      </c>
      <c r="Y142" s="33" t="s">
        <v>37</v>
      </c>
      <c r="Z142" s="148" t="s">
        <v>37</v>
      </c>
      <c r="AA142" s="33" t="s">
        <v>37</v>
      </c>
      <c r="AB142" s="33" t="s">
        <v>37</v>
      </c>
      <c r="AC142" s="33" t="s">
        <v>37</v>
      </c>
      <c r="AD142" s="33" t="s">
        <v>37</v>
      </c>
      <c r="AE142" s="33" t="s">
        <v>37</v>
      </c>
      <c r="AF142" s="6">
        <v>1029</v>
      </c>
      <c r="AG142" s="6"/>
      <c r="AH142" s="35">
        <f t="shared" si="52"/>
        <v>379</v>
      </c>
      <c r="AI142" s="35">
        <v>1372</v>
      </c>
      <c r="AJ142" s="35"/>
      <c r="AK142" s="35">
        <f t="shared" si="53"/>
        <v>343</v>
      </c>
      <c r="AL142" s="6">
        <v>167</v>
      </c>
      <c r="AM142" s="6">
        <v>1560</v>
      </c>
      <c r="AN142" s="35">
        <f t="shared" si="54"/>
        <v>355</v>
      </c>
      <c r="AO142" s="6">
        <v>528</v>
      </c>
      <c r="AP142" s="6"/>
      <c r="AQ142" s="34">
        <f t="shared" si="55"/>
        <v>361</v>
      </c>
      <c r="AR142" s="35">
        <v>891</v>
      </c>
      <c r="AS142" s="35"/>
      <c r="AT142" s="35">
        <f t="shared" si="56"/>
        <v>363</v>
      </c>
      <c r="AU142" s="6">
        <v>1226</v>
      </c>
      <c r="AV142" s="6"/>
      <c r="AW142" s="35">
        <f t="shared" si="57"/>
        <v>335</v>
      </c>
      <c r="AX142" s="6"/>
      <c r="AY142" s="6"/>
      <c r="AZ142" s="35"/>
      <c r="BA142" s="6">
        <v>41</v>
      </c>
      <c r="BB142" s="6">
        <v>1560</v>
      </c>
      <c r="BC142" s="35">
        <f t="shared" si="58"/>
        <v>375</v>
      </c>
      <c r="BD142" s="6">
        <v>405</v>
      </c>
      <c r="BE142" s="6"/>
      <c r="BF142" s="35">
        <f t="shared" si="59"/>
        <v>364</v>
      </c>
      <c r="BG142" s="6">
        <v>775</v>
      </c>
      <c r="BH142" s="6"/>
      <c r="BI142" s="6">
        <f t="shared" si="60"/>
        <v>370</v>
      </c>
      <c r="BJ142" s="6">
        <v>89</v>
      </c>
      <c r="BK142" s="35">
        <v>1048</v>
      </c>
      <c r="BL142" s="6">
        <f t="shared" si="61"/>
        <v>362</v>
      </c>
      <c r="BM142" s="6">
        <v>79</v>
      </c>
      <c r="BN142" s="6">
        <v>351</v>
      </c>
      <c r="BO142" s="6">
        <f t="shared" si="62"/>
        <v>341</v>
      </c>
      <c r="BP142" s="6">
        <v>419</v>
      </c>
      <c r="BQ142" s="6"/>
      <c r="BR142" s="35">
        <f t="shared" si="63"/>
        <v>340</v>
      </c>
      <c r="BS142" s="6"/>
      <c r="BT142" s="6"/>
      <c r="BU142" s="6"/>
      <c r="BV142" s="6">
        <v>785</v>
      </c>
      <c r="BW142" s="6"/>
      <c r="BX142" s="35">
        <f t="shared" si="64"/>
        <v>366</v>
      </c>
      <c r="BY142" s="6">
        <v>139</v>
      </c>
      <c r="BZ142" s="35">
        <v>982</v>
      </c>
      <c r="CA142" s="6">
        <f t="shared" si="65"/>
        <v>336</v>
      </c>
      <c r="CB142" s="6">
        <v>508</v>
      </c>
      <c r="CC142" s="6"/>
      <c r="CD142" s="6">
        <f t="shared" si="66"/>
        <v>369</v>
      </c>
      <c r="CE142" s="6">
        <v>144</v>
      </c>
      <c r="CF142" s="35">
        <v>737</v>
      </c>
      <c r="CG142" s="6">
        <f t="shared" si="67"/>
        <v>373</v>
      </c>
      <c r="CH142" s="6">
        <v>521</v>
      </c>
      <c r="CI142" s="6"/>
      <c r="CJ142" s="6">
        <f t="shared" si="68"/>
        <v>377</v>
      </c>
      <c r="CK142" s="6">
        <v>79</v>
      </c>
      <c r="CL142" s="6">
        <v>806</v>
      </c>
      <c r="CM142" s="6">
        <f t="shared" si="69"/>
        <v>364</v>
      </c>
      <c r="CN142" s="6"/>
      <c r="CO142" s="6"/>
      <c r="CP142" s="6"/>
      <c r="CQ142" s="6">
        <v>465</v>
      </c>
      <c r="CR142" s="6"/>
      <c r="CS142" s="6">
        <f t="shared" si="70"/>
        <v>386</v>
      </c>
      <c r="CT142" s="6">
        <v>0</v>
      </c>
      <c r="CU142" s="35">
        <v>818</v>
      </c>
      <c r="CV142" s="6">
        <f t="shared" si="71"/>
        <v>353</v>
      </c>
      <c r="CW142" s="6">
        <v>369</v>
      </c>
      <c r="CX142" s="35"/>
      <c r="CY142" s="6">
        <f t="shared" si="72"/>
        <v>369</v>
      </c>
      <c r="CZ142" s="6">
        <v>753</v>
      </c>
      <c r="DA142" s="6"/>
      <c r="DB142" s="6">
        <f t="shared" si="73"/>
        <v>384</v>
      </c>
      <c r="DC142" s="6">
        <v>1141</v>
      </c>
      <c r="DD142" s="6"/>
      <c r="DE142" s="6">
        <f t="shared" si="74"/>
        <v>388</v>
      </c>
      <c r="DF142" s="6">
        <v>1512</v>
      </c>
      <c r="DG142" s="6"/>
      <c r="DH142" s="6">
        <f t="shared" si="75"/>
        <v>371</v>
      </c>
      <c r="DI142" s="6"/>
      <c r="DJ142" s="6"/>
      <c r="DK142" s="6"/>
      <c r="DL142" s="6">
        <v>341</v>
      </c>
      <c r="DM142" s="6">
        <v>1560</v>
      </c>
      <c r="DN142" s="6">
        <f t="shared" si="76"/>
        <v>389</v>
      </c>
      <c r="DO142" s="6">
        <v>703</v>
      </c>
      <c r="DP142" s="6"/>
      <c r="DQ142" s="6">
        <f t="shared" si="77"/>
        <v>362</v>
      </c>
    </row>
    <row r="143" spans="1:121">
      <c r="A143" s="7">
        <v>139</v>
      </c>
      <c r="B143" s="6">
        <v>280</v>
      </c>
      <c r="C143" s="6"/>
      <c r="D143" s="6">
        <v>280</v>
      </c>
      <c r="E143" s="148" t="s">
        <v>37</v>
      </c>
      <c r="F143" s="33" t="s">
        <v>37</v>
      </c>
      <c r="G143" s="33" t="s">
        <v>37</v>
      </c>
      <c r="H143" s="33" t="s">
        <v>37</v>
      </c>
      <c r="I143" s="33" t="s">
        <v>37</v>
      </c>
      <c r="J143" s="33" t="s">
        <v>37</v>
      </c>
      <c r="K143" s="33" t="s">
        <v>37</v>
      </c>
      <c r="L143" s="33" t="s">
        <v>37</v>
      </c>
      <c r="M143" s="33" t="s">
        <v>37</v>
      </c>
      <c r="N143" s="33" t="s">
        <v>37</v>
      </c>
      <c r="O143" s="33" t="s">
        <v>37</v>
      </c>
      <c r="P143" s="33" t="s">
        <v>37</v>
      </c>
      <c r="Q143" s="33" t="s">
        <v>37</v>
      </c>
      <c r="R143" s="33" t="s">
        <v>37</v>
      </c>
      <c r="S143" s="33" t="s">
        <v>37</v>
      </c>
      <c r="T143" s="33" t="s">
        <v>37</v>
      </c>
      <c r="U143" s="33" t="s">
        <v>37</v>
      </c>
      <c r="V143" s="33" t="s">
        <v>37</v>
      </c>
      <c r="W143" s="33" t="s">
        <v>37</v>
      </c>
      <c r="X143" s="33" t="s">
        <v>37</v>
      </c>
      <c r="Y143" s="33" t="s">
        <v>37</v>
      </c>
      <c r="Z143" s="33" t="s">
        <v>37</v>
      </c>
      <c r="AA143" s="148" t="s">
        <v>37</v>
      </c>
      <c r="AB143" s="33" t="s">
        <v>37</v>
      </c>
      <c r="AC143" s="33" t="s">
        <v>37</v>
      </c>
      <c r="AD143" s="33" t="s">
        <v>37</v>
      </c>
      <c r="AE143" s="33" t="s">
        <v>37</v>
      </c>
      <c r="AF143" s="35">
        <v>664</v>
      </c>
      <c r="AG143" s="35"/>
      <c r="AH143" s="35">
        <f t="shared" si="52"/>
        <v>384</v>
      </c>
      <c r="AI143" s="35">
        <v>1027</v>
      </c>
      <c r="AJ143" s="35"/>
      <c r="AK143" s="35">
        <f t="shared" si="53"/>
        <v>363</v>
      </c>
      <c r="AL143" s="6">
        <v>1393</v>
      </c>
      <c r="AM143" s="6"/>
      <c r="AN143" s="35">
        <f t="shared" si="54"/>
        <v>366</v>
      </c>
      <c r="AO143" s="6">
        <v>197</v>
      </c>
      <c r="AP143" s="6">
        <v>1560</v>
      </c>
      <c r="AQ143" s="34">
        <f t="shared" si="55"/>
        <v>364</v>
      </c>
      <c r="AR143" s="35">
        <v>556</v>
      </c>
      <c r="AS143" s="35"/>
      <c r="AT143" s="35">
        <f t="shared" si="56"/>
        <v>359</v>
      </c>
      <c r="AU143" s="6">
        <v>189</v>
      </c>
      <c r="AV143" s="6">
        <v>711</v>
      </c>
      <c r="AW143" s="35">
        <f t="shared" si="57"/>
        <v>344</v>
      </c>
      <c r="AX143" s="6"/>
      <c r="AY143" s="6"/>
      <c r="AZ143" s="35"/>
      <c r="BA143" s="6">
        <v>563</v>
      </c>
      <c r="BB143" s="6"/>
      <c r="BC143" s="35">
        <f t="shared" si="58"/>
        <v>374</v>
      </c>
      <c r="BD143" s="6">
        <v>922</v>
      </c>
      <c r="BE143" s="6"/>
      <c r="BF143" s="35">
        <f t="shared" si="59"/>
        <v>359</v>
      </c>
      <c r="BG143" s="6">
        <v>1291</v>
      </c>
      <c r="BH143" s="6"/>
      <c r="BI143" s="6">
        <f t="shared" si="60"/>
        <v>369</v>
      </c>
      <c r="BJ143" s="6">
        <v>98</v>
      </c>
      <c r="BK143" s="35">
        <v>1560</v>
      </c>
      <c r="BL143" s="6">
        <f t="shared" si="61"/>
        <v>367</v>
      </c>
      <c r="BM143" s="6">
        <v>467</v>
      </c>
      <c r="BN143" s="6"/>
      <c r="BO143" s="6">
        <f t="shared" si="62"/>
        <v>369</v>
      </c>
      <c r="BP143" s="6">
        <v>811</v>
      </c>
      <c r="BQ143" s="6"/>
      <c r="BR143" s="35">
        <f t="shared" si="63"/>
        <v>344</v>
      </c>
      <c r="BS143" s="6"/>
      <c r="BT143" s="6"/>
      <c r="BU143" s="6"/>
      <c r="BV143" s="6">
        <v>1171</v>
      </c>
      <c r="BW143" s="6"/>
      <c r="BX143" s="35">
        <f t="shared" si="64"/>
        <v>360</v>
      </c>
      <c r="BY143" s="6">
        <v>1533</v>
      </c>
      <c r="BZ143" s="35"/>
      <c r="CA143" s="6">
        <f t="shared" si="65"/>
        <v>362</v>
      </c>
      <c r="CB143" s="6">
        <v>330</v>
      </c>
      <c r="CC143" s="6">
        <v>1560</v>
      </c>
      <c r="CD143" s="6">
        <f t="shared" si="66"/>
        <v>357</v>
      </c>
      <c r="CE143" s="6">
        <v>716</v>
      </c>
      <c r="CF143" s="35"/>
      <c r="CG143" s="6">
        <f t="shared" si="67"/>
        <v>386</v>
      </c>
      <c r="CH143" s="6">
        <v>1102</v>
      </c>
      <c r="CI143" s="6"/>
      <c r="CJ143" s="6">
        <f t="shared" si="68"/>
        <v>386</v>
      </c>
      <c r="CK143" s="6">
        <v>1479</v>
      </c>
      <c r="CL143" s="6"/>
      <c r="CM143" s="6">
        <f t="shared" si="69"/>
        <v>377</v>
      </c>
      <c r="CN143" s="6"/>
      <c r="CO143" s="6"/>
      <c r="CP143" s="6"/>
      <c r="CQ143" s="6">
        <v>303</v>
      </c>
      <c r="CR143" s="6">
        <v>1560</v>
      </c>
      <c r="CS143" s="6">
        <f t="shared" si="70"/>
        <v>384</v>
      </c>
      <c r="CT143" s="6">
        <v>687</v>
      </c>
      <c r="CU143" s="35"/>
      <c r="CV143" s="6">
        <f t="shared" si="71"/>
        <v>384</v>
      </c>
      <c r="CW143" s="6">
        <v>0</v>
      </c>
      <c r="CX143" s="6">
        <v>906</v>
      </c>
      <c r="CY143" s="6">
        <f t="shared" si="72"/>
        <v>219</v>
      </c>
      <c r="CZ143" s="6">
        <v>332</v>
      </c>
      <c r="DA143" s="6"/>
      <c r="DB143" s="6">
        <f t="shared" si="73"/>
        <v>332</v>
      </c>
      <c r="DC143" s="6">
        <v>720</v>
      </c>
      <c r="DD143" s="6"/>
      <c r="DE143" s="6">
        <f t="shared" si="74"/>
        <v>388</v>
      </c>
      <c r="DF143" s="6">
        <v>1082</v>
      </c>
      <c r="DG143" s="6"/>
      <c r="DH143" s="6">
        <f t="shared" si="75"/>
        <v>362</v>
      </c>
      <c r="DI143" s="6"/>
      <c r="DJ143" s="6"/>
      <c r="DK143" s="6"/>
      <c r="DL143" s="6">
        <v>1468</v>
      </c>
      <c r="DM143" s="6"/>
      <c r="DN143" s="6">
        <f t="shared" si="76"/>
        <v>386</v>
      </c>
      <c r="DO143" s="6">
        <v>255</v>
      </c>
      <c r="DP143" s="6">
        <v>1560</v>
      </c>
      <c r="DQ143" s="6">
        <f t="shared" si="77"/>
        <v>347</v>
      </c>
    </row>
    <row r="144" spans="1:121">
      <c r="A144" s="7">
        <v>140</v>
      </c>
      <c r="B144" s="6">
        <v>364</v>
      </c>
      <c r="C144" s="6"/>
      <c r="D144" s="6">
        <v>326</v>
      </c>
      <c r="E144" s="33" t="s">
        <v>128</v>
      </c>
      <c r="F144" s="33" t="s">
        <v>128</v>
      </c>
      <c r="G144" s="148" t="s">
        <v>128</v>
      </c>
      <c r="H144" s="33" t="s">
        <v>128</v>
      </c>
      <c r="I144" s="33" t="s">
        <v>128</v>
      </c>
      <c r="J144" s="33" t="s">
        <v>128</v>
      </c>
      <c r="K144" s="33" t="s">
        <v>128</v>
      </c>
      <c r="L144" s="33" t="s">
        <v>128</v>
      </c>
      <c r="M144" s="33" t="s">
        <v>128</v>
      </c>
      <c r="N144" s="33" t="s">
        <v>128</v>
      </c>
      <c r="O144" s="33" t="s">
        <v>128</v>
      </c>
      <c r="P144" s="33" t="s">
        <v>128</v>
      </c>
      <c r="Q144" s="33" t="s">
        <v>128</v>
      </c>
      <c r="R144" s="33" t="s">
        <v>128</v>
      </c>
      <c r="S144" s="33" t="s">
        <v>128</v>
      </c>
      <c r="T144" s="33" t="s">
        <v>128</v>
      </c>
      <c r="U144" s="33" t="s">
        <v>128</v>
      </c>
      <c r="V144" s="33" t="s">
        <v>128</v>
      </c>
      <c r="W144" s="33" t="s">
        <v>128</v>
      </c>
      <c r="X144" s="33" t="s">
        <v>128</v>
      </c>
      <c r="Y144" s="33" t="s">
        <v>128</v>
      </c>
      <c r="Z144" s="33" t="s">
        <v>128</v>
      </c>
      <c r="AA144" s="33" t="s">
        <v>128</v>
      </c>
      <c r="AB144" s="33" t="s">
        <v>128</v>
      </c>
      <c r="AC144" s="33" t="s">
        <v>128</v>
      </c>
      <c r="AD144" s="148" t="s">
        <v>128</v>
      </c>
      <c r="AE144" s="33" t="s">
        <v>128</v>
      </c>
      <c r="AF144" s="35">
        <v>0</v>
      </c>
      <c r="AG144" s="35">
        <v>639</v>
      </c>
      <c r="AH144" s="35">
        <f t="shared" si="52"/>
        <v>275</v>
      </c>
      <c r="AI144" s="35">
        <v>312</v>
      </c>
      <c r="AJ144" s="35"/>
      <c r="AK144" s="35">
        <f t="shared" si="53"/>
        <v>312</v>
      </c>
      <c r="AL144" s="6">
        <v>671</v>
      </c>
      <c r="AM144" s="6"/>
      <c r="AN144" s="35">
        <f t="shared" si="54"/>
        <v>359</v>
      </c>
      <c r="AO144" s="6">
        <v>1029</v>
      </c>
      <c r="AP144" s="6"/>
      <c r="AQ144" s="34">
        <f t="shared" si="55"/>
        <v>358</v>
      </c>
      <c r="AR144" s="35">
        <v>1390</v>
      </c>
      <c r="AS144" s="35"/>
      <c r="AT144" s="35">
        <f t="shared" si="56"/>
        <v>361</v>
      </c>
      <c r="AU144" s="6">
        <v>164</v>
      </c>
      <c r="AV144" s="6">
        <v>1560</v>
      </c>
      <c r="AW144" s="35">
        <f t="shared" si="57"/>
        <v>334</v>
      </c>
      <c r="AX144" s="6"/>
      <c r="AY144" s="6"/>
      <c r="AZ144" s="35"/>
      <c r="BA144" s="6">
        <v>482</v>
      </c>
      <c r="BB144" s="6"/>
      <c r="BC144" s="35">
        <f t="shared" si="58"/>
        <v>318</v>
      </c>
      <c r="BD144" s="6">
        <v>839</v>
      </c>
      <c r="BE144" s="6"/>
      <c r="BF144" s="35">
        <f t="shared" si="59"/>
        <v>357</v>
      </c>
      <c r="BG144" s="6">
        <v>1203</v>
      </c>
      <c r="BH144" s="6"/>
      <c r="BI144" s="6">
        <f t="shared" si="60"/>
        <v>364</v>
      </c>
      <c r="BJ144" s="6">
        <v>5</v>
      </c>
      <c r="BK144" s="35">
        <v>1560</v>
      </c>
      <c r="BL144" s="6">
        <f t="shared" si="61"/>
        <v>362</v>
      </c>
      <c r="BM144" s="6">
        <v>371</v>
      </c>
      <c r="BN144" s="6"/>
      <c r="BO144" s="6">
        <f t="shared" si="62"/>
        <v>366</v>
      </c>
      <c r="BP144" s="6">
        <v>702</v>
      </c>
      <c r="BQ144" s="6"/>
      <c r="BR144" s="35">
        <f t="shared" si="63"/>
        <v>331</v>
      </c>
      <c r="BS144" s="6"/>
      <c r="BT144" s="6"/>
      <c r="BU144" s="6"/>
      <c r="BV144" s="6">
        <v>1053</v>
      </c>
      <c r="BW144" s="6"/>
      <c r="BX144" s="35">
        <f t="shared" si="64"/>
        <v>351</v>
      </c>
      <c r="BY144" s="6">
        <v>1414</v>
      </c>
      <c r="BZ144" s="35"/>
      <c r="CA144" s="6">
        <f t="shared" si="65"/>
        <v>361</v>
      </c>
      <c r="CB144" s="6">
        <v>215</v>
      </c>
      <c r="CC144" s="6">
        <v>1560</v>
      </c>
      <c r="CD144" s="6">
        <f t="shared" si="66"/>
        <v>361</v>
      </c>
      <c r="CE144" s="6">
        <v>591</v>
      </c>
      <c r="CF144" s="35"/>
      <c r="CG144" s="6">
        <f t="shared" si="67"/>
        <v>376</v>
      </c>
      <c r="CH144" s="6">
        <v>972</v>
      </c>
      <c r="CI144" s="6"/>
      <c r="CJ144" s="6">
        <f t="shared" si="68"/>
        <v>381</v>
      </c>
      <c r="CK144" s="6">
        <v>1351</v>
      </c>
      <c r="CL144" s="6"/>
      <c r="CM144" s="6">
        <f t="shared" si="69"/>
        <v>379</v>
      </c>
      <c r="CN144" s="6"/>
      <c r="CO144" s="6"/>
      <c r="CP144" s="6"/>
      <c r="CQ144" s="6">
        <v>179</v>
      </c>
      <c r="CR144" s="6">
        <v>1560</v>
      </c>
      <c r="CS144" s="6">
        <f t="shared" si="70"/>
        <v>388</v>
      </c>
      <c r="CT144" s="6">
        <v>556</v>
      </c>
      <c r="CU144" s="6"/>
      <c r="CV144" s="6">
        <f t="shared" si="71"/>
        <v>377</v>
      </c>
      <c r="CW144" s="6">
        <v>942</v>
      </c>
      <c r="CX144" s="6"/>
      <c r="CY144" s="6">
        <f t="shared" si="72"/>
        <v>386</v>
      </c>
      <c r="CZ144" s="6">
        <v>1088</v>
      </c>
      <c r="DA144" s="6"/>
      <c r="DB144" s="6">
        <f t="shared" si="73"/>
        <v>146</v>
      </c>
      <c r="DC144" s="6">
        <v>1450</v>
      </c>
      <c r="DD144" s="6"/>
      <c r="DE144" s="6">
        <f t="shared" si="74"/>
        <v>362</v>
      </c>
      <c r="DF144" s="6">
        <v>0</v>
      </c>
      <c r="DG144" s="6">
        <v>1615</v>
      </c>
      <c r="DH144" s="6">
        <f t="shared" si="75"/>
        <v>165</v>
      </c>
      <c r="DI144" s="6"/>
      <c r="DJ144" s="6"/>
      <c r="DK144" s="6"/>
      <c r="DL144" s="6">
        <v>353</v>
      </c>
      <c r="DM144" s="6"/>
      <c r="DN144" s="6">
        <f t="shared" si="76"/>
        <v>353</v>
      </c>
      <c r="DO144" s="6">
        <v>712</v>
      </c>
      <c r="DP144" s="6"/>
      <c r="DQ144" s="6">
        <f t="shared" si="77"/>
        <v>359</v>
      </c>
    </row>
    <row r="145" spans="1:121">
      <c r="A145" s="6">
        <v>141</v>
      </c>
      <c r="B145" s="6">
        <v>746</v>
      </c>
      <c r="C145" s="6"/>
      <c r="D145" s="6">
        <v>323</v>
      </c>
      <c r="E145" s="33" t="s">
        <v>37</v>
      </c>
      <c r="F145" s="33" t="s">
        <v>37</v>
      </c>
      <c r="G145" s="33" t="s">
        <v>37</v>
      </c>
      <c r="H145" s="33" t="s">
        <v>37</v>
      </c>
      <c r="I145" s="148" t="s">
        <v>37</v>
      </c>
      <c r="J145" s="33" t="s">
        <v>37</v>
      </c>
      <c r="K145" s="33" t="s">
        <v>37</v>
      </c>
      <c r="L145" s="33" t="s">
        <v>37</v>
      </c>
      <c r="M145" s="33" t="s">
        <v>37</v>
      </c>
      <c r="N145" s="33" t="s">
        <v>37</v>
      </c>
      <c r="O145" s="33" t="s">
        <v>37</v>
      </c>
      <c r="P145" s="33" t="s">
        <v>37</v>
      </c>
      <c r="Q145" s="33" t="s">
        <v>37</v>
      </c>
      <c r="R145" s="33" t="s">
        <v>37</v>
      </c>
      <c r="S145" s="33" t="s">
        <v>37</v>
      </c>
      <c r="T145" s="33" t="s">
        <v>37</v>
      </c>
      <c r="U145" s="33" t="s">
        <v>37</v>
      </c>
      <c r="V145" s="33" t="s">
        <v>37</v>
      </c>
      <c r="W145" s="33" t="s">
        <v>37</v>
      </c>
      <c r="X145" s="33" t="s">
        <v>37</v>
      </c>
      <c r="Y145" s="33" t="s">
        <v>37</v>
      </c>
      <c r="Z145" s="33" t="s">
        <v>37</v>
      </c>
      <c r="AA145" s="33" t="s">
        <v>37</v>
      </c>
      <c r="AB145" s="33" t="s">
        <v>37</v>
      </c>
      <c r="AC145" s="33" t="s">
        <v>37</v>
      </c>
      <c r="AD145" s="33" t="s">
        <v>37</v>
      </c>
      <c r="AE145" s="148" t="s">
        <v>37</v>
      </c>
      <c r="AF145" s="35">
        <v>1132</v>
      </c>
      <c r="AG145" s="35"/>
      <c r="AH145" s="35">
        <f t="shared" si="52"/>
        <v>386</v>
      </c>
      <c r="AI145" s="35">
        <v>1475</v>
      </c>
      <c r="AJ145" s="35"/>
      <c r="AK145" s="35">
        <f t="shared" si="53"/>
        <v>343</v>
      </c>
      <c r="AL145" s="35">
        <v>0</v>
      </c>
      <c r="AM145" s="35">
        <v>1618</v>
      </c>
      <c r="AN145" s="35">
        <f t="shared" si="54"/>
        <v>143</v>
      </c>
      <c r="AO145" s="35">
        <v>330</v>
      </c>
      <c r="AP145" s="35"/>
      <c r="AQ145" s="34">
        <f t="shared" si="55"/>
        <v>330</v>
      </c>
      <c r="AR145" s="35">
        <v>686</v>
      </c>
      <c r="AS145" s="35"/>
      <c r="AT145" s="35">
        <f t="shared" si="56"/>
        <v>356</v>
      </c>
      <c r="AU145" s="6">
        <v>1020</v>
      </c>
      <c r="AV145" s="6"/>
      <c r="AW145" s="35">
        <f t="shared" si="57"/>
        <v>334</v>
      </c>
      <c r="AX145" s="6"/>
      <c r="AY145" s="35"/>
      <c r="AZ145" s="35"/>
      <c r="BA145" s="6">
        <v>1378</v>
      </c>
      <c r="BB145" s="6"/>
      <c r="BC145" s="35">
        <f t="shared" si="58"/>
        <v>358</v>
      </c>
      <c r="BD145" s="6">
        <v>167</v>
      </c>
      <c r="BE145" s="6">
        <v>1560</v>
      </c>
      <c r="BF145" s="35">
        <f t="shared" si="59"/>
        <v>349</v>
      </c>
      <c r="BG145" s="6">
        <v>509</v>
      </c>
      <c r="BH145" s="6"/>
      <c r="BI145" s="6">
        <f t="shared" si="60"/>
        <v>342</v>
      </c>
      <c r="BJ145" s="6">
        <v>858</v>
      </c>
      <c r="BK145" s="35"/>
      <c r="BL145" s="6">
        <f t="shared" si="61"/>
        <v>349</v>
      </c>
      <c r="BM145" s="6">
        <v>1210</v>
      </c>
      <c r="BN145" s="6"/>
      <c r="BO145" s="6">
        <f t="shared" si="62"/>
        <v>352</v>
      </c>
      <c r="BP145" s="6">
        <v>1534</v>
      </c>
      <c r="BQ145" s="6"/>
      <c r="BR145" s="35">
        <f t="shared" si="63"/>
        <v>324</v>
      </c>
      <c r="BS145" s="6"/>
      <c r="BT145" s="6"/>
      <c r="BU145" s="6"/>
      <c r="BV145" s="6">
        <v>323</v>
      </c>
      <c r="BW145" s="6">
        <v>1560</v>
      </c>
      <c r="BX145" s="35">
        <f t="shared" si="64"/>
        <v>349</v>
      </c>
      <c r="BY145" s="6">
        <v>673</v>
      </c>
      <c r="BZ145" s="35"/>
      <c r="CA145" s="6">
        <f t="shared" si="65"/>
        <v>350</v>
      </c>
      <c r="CB145" s="6">
        <v>1019</v>
      </c>
      <c r="CC145" s="6"/>
      <c r="CD145" s="6">
        <f t="shared" si="66"/>
        <v>346</v>
      </c>
      <c r="CE145" s="6">
        <v>1397</v>
      </c>
      <c r="CF145" s="35"/>
      <c r="CG145" s="6">
        <f t="shared" si="67"/>
        <v>378</v>
      </c>
      <c r="CH145" s="6">
        <v>210</v>
      </c>
      <c r="CI145" s="6">
        <v>1560</v>
      </c>
      <c r="CJ145" s="6">
        <f t="shared" si="68"/>
        <v>373</v>
      </c>
      <c r="CK145" s="6">
        <v>557</v>
      </c>
      <c r="CL145" s="6"/>
      <c r="CM145" s="6">
        <f t="shared" si="69"/>
        <v>347</v>
      </c>
      <c r="CN145" s="6"/>
      <c r="CO145" s="6"/>
      <c r="CP145" s="6"/>
      <c r="CQ145" s="6">
        <v>899</v>
      </c>
      <c r="CR145" s="6"/>
      <c r="CS145" s="6">
        <f t="shared" si="70"/>
        <v>342</v>
      </c>
      <c r="CT145" s="6">
        <v>1284</v>
      </c>
      <c r="CU145" s="6"/>
      <c r="CV145" s="6">
        <f t="shared" si="71"/>
        <v>385</v>
      </c>
      <c r="CW145" s="6">
        <v>8</v>
      </c>
      <c r="CX145" s="6">
        <v>1658</v>
      </c>
      <c r="CY145" s="6">
        <f t="shared" si="72"/>
        <v>382</v>
      </c>
      <c r="CZ145" s="6">
        <v>386</v>
      </c>
      <c r="DA145" s="6"/>
      <c r="DB145" s="6">
        <f t="shared" si="73"/>
        <v>378</v>
      </c>
      <c r="DC145" s="6">
        <v>769</v>
      </c>
      <c r="DD145" s="6"/>
      <c r="DE145" s="6">
        <f t="shared" si="74"/>
        <v>383</v>
      </c>
      <c r="DF145" s="6">
        <v>1125</v>
      </c>
      <c r="DG145" s="6"/>
      <c r="DH145" s="6">
        <f t="shared" si="75"/>
        <v>356</v>
      </c>
      <c r="DI145" s="6"/>
      <c r="DJ145" s="6"/>
      <c r="DK145" s="6"/>
      <c r="DL145" s="6">
        <v>0</v>
      </c>
      <c r="DM145" s="6">
        <v>1501</v>
      </c>
      <c r="DN145" s="6">
        <f t="shared" si="76"/>
        <v>376</v>
      </c>
      <c r="DO145" s="6">
        <v>327</v>
      </c>
      <c r="DP145" s="6"/>
      <c r="DQ145" s="6">
        <f t="shared" si="77"/>
        <v>327</v>
      </c>
    </row>
    <row r="146" spans="1:121">
      <c r="A146" s="6">
        <v>142</v>
      </c>
      <c r="B146" s="6">
        <v>240</v>
      </c>
      <c r="C146" s="6">
        <v>1560</v>
      </c>
      <c r="D146" s="6">
        <v>331</v>
      </c>
      <c r="E146" s="33" t="s">
        <v>128</v>
      </c>
      <c r="F146" s="33" t="s">
        <v>128</v>
      </c>
      <c r="G146" s="33" t="s">
        <v>128</v>
      </c>
      <c r="H146" s="33" t="s">
        <v>128</v>
      </c>
      <c r="I146" s="33" t="s">
        <v>128</v>
      </c>
      <c r="J146" s="33" t="s">
        <v>128</v>
      </c>
      <c r="K146" s="33" t="s">
        <v>128</v>
      </c>
      <c r="L146" s="33" t="s">
        <v>128</v>
      </c>
      <c r="M146" s="33" t="s">
        <v>128</v>
      </c>
      <c r="N146" s="33" t="s">
        <v>128</v>
      </c>
      <c r="O146" s="33" t="s">
        <v>128</v>
      </c>
      <c r="P146" s="33" t="s">
        <v>128</v>
      </c>
      <c r="Q146" s="33" t="s">
        <v>128</v>
      </c>
      <c r="R146" s="33" t="s">
        <v>128</v>
      </c>
      <c r="S146" s="33" t="s">
        <v>128</v>
      </c>
      <c r="T146" s="33" t="s">
        <v>128</v>
      </c>
      <c r="U146" s="33" t="s">
        <v>128</v>
      </c>
      <c r="V146" s="33" t="s">
        <v>128</v>
      </c>
      <c r="W146" s="148" t="s">
        <v>128</v>
      </c>
      <c r="X146" s="33" t="s">
        <v>128</v>
      </c>
      <c r="Y146" s="33" t="s">
        <v>128</v>
      </c>
      <c r="Z146" s="33" t="s">
        <v>128</v>
      </c>
      <c r="AA146" s="33" t="s">
        <v>128</v>
      </c>
      <c r="AB146" s="33" t="s">
        <v>128</v>
      </c>
      <c r="AC146" s="33" t="s">
        <v>128</v>
      </c>
      <c r="AD146" s="33" t="s">
        <v>128</v>
      </c>
      <c r="AE146" s="33" t="s">
        <v>128</v>
      </c>
      <c r="AF146" s="6">
        <v>625</v>
      </c>
      <c r="AG146" s="6"/>
      <c r="AH146" s="35">
        <f t="shared" si="52"/>
        <v>385</v>
      </c>
      <c r="AI146" s="35">
        <v>984</v>
      </c>
      <c r="AJ146" s="35"/>
      <c r="AK146" s="35">
        <f t="shared" si="53"/>
        <v>359</v>
      </c>
      <c r="AL146" s="6">
        <v>1346</v>
      </c>
      <c r="AM146" s="6"/>
      <c r="AN146" s="35">
        <f t="shared" si="54"/>
        <v>362</v>
      </c>
      <c r="AO146" s="6">
        <v>145</v>
      </c>
      <c r="AP146" s="6">
        <v>1564</v>
      </c>
      <c r="AQ146" s="34">
        <f t="shared" si="55"/>
        <v>363</v>
      </c>
      <c r="AR146" s="35">
        <v>509</v>
      </c>
      <c r="AS146" s="35"/>
      <c r="AT146" s="35">
        <f t="shared" si="56"/>
        <v>364</v>
      </c>
      <c r="AU146" s="6">
        <v>850</v>
      </c>
      <c r="AV146" s="6"/>
      <c r="AW146" s="35">
        <f t="shared" si="57"/>
        <v>341</v>
      </c>
      <c r="AX146" s="6"/>
      <c r="AY146" s="6"/>
      <c r="AZ146" s="35"/>
      <c r="BA146" s="35">
        <v>1217</v>
      </c>
      <c r="BB146" s="35"/>
      <c r="BC146" s="35">
        <f t="shared" si="58"/>
        <v>367</v>
      </c>
      <c r="BD146" s="6">
        <v>17</v>
      </c>
      <c r="BE146" s="6">
        <v>1560</v>
      </c>
      <c r="BF146" s="35">
        <f t="shared" si="59"/>
        <v>360</v>
      </c>
      <c r="BG146" s="6">
        <v>381</v>
      </c>
      <c r="BH146" s="6"/>
      <c r="BI146" s="6">
        <f t="shared" si="60"/>
        <v>364</v>
      </c>
      <c r="BJ146" s="6">
        <v>745</v>
      </c>
      <c r="BK146" s="6"/>
      <c r="BL146" s="6">
        <f t="shared" si="61"/>
        <v>364</v>
      </c>
      <c r="BM146" s="6">
        <v>1111</v>
      </c>
      <c r="BN146" s="6"/>
      <c r="BO146" s="6">
        <f t="shared" si="62"/>
        <v>366</v>
      </c>
      <c r="BP146" s="6">
        <v>1456</v>
      </c>
      <c r="BQ146" s="6"/>
      <c r="BR146" s="35">
        <f t="shared" si="63"/>
        <v>345</v>
      </c>
      <c r="BS146" s="6"/>
      <c r="BT146" s="6"/>
      <c r="BU146" s="6"/>
      <c r="BV146" s="6">
        <v>264</v>
      </c>
      <c r="BW146" s="6">
        <v>1560</v>
      </c>
      <c r="BX146" s="35">
        <f t="shared" si="64"/>
        <v>368</v>
      </c>
      <c r="BY146" s="6">
        <v>624</v>
      </c>
      <c r="BZ146" s="6"/>
      <c r="CA146" s="6">
        <f t="shared" si="65"/>
        <v>360</v>
      </c>
      <c r="CB146" s="6">
        <v>983</v>
      </c>
      <c r="CC146" s="6"/>
      <c r="CD146" s="6">
        <f t="shared" si="66"/>
        <v>359</v>
      </c>
      <c r="CE146" s="6">
        <v>1344</v>
      </c>
      <c r="CF146" s="6"/>
      <c r="CG146" s="6">
        <f t="shared" si="67"/>
        <v>361</v>
      </c>
      <c r="CH146" s="6">
        <v>0</v>
      </c>
      <c r="CI146" s="6">
        <v>1644</v>
      </c>
      <c r="CJ146" s="6">
        <f t="shared" si="68"/>
        <v>300</v>
      </c>
      <c r="CK146" s="6">
        <v>348</v>
      </c>
      <c r="CL146" s="6"/>
      <c r="CM146" s="6">
        <f t="shared" si="69"/>
        <v>348</v>
      </c>
      <c r="CN146" s="6"/>
      <c r="CO146" s="6"/>
      <c r="CP146" s="6"/>
      <c r="CQ146" s="6">
        <v>738</v>
      </c>
      <c r="CR146" s="6"/>
      <c r="CS146" s="6">
        <f t="shared" si="70"/>
        <v>390</v>
      </c>
      <c r="CT146" s="6">
        <v>1123</v>
      </c>
      <c r="CU146" s="6"/>
      <c r="CV146" s="6">
        <f t="shared" si="71"/>
        <v>385</v>
      </c>
      <c r="CW146" s="6">
        <v>1505</v>
      </c>
      <c r="CX146" s="6"/>
      <c r="CY146" s="6">
        <f t="shared" si="72"/>
        <v>382</v>
      </c>
      <c r="CZ146" s="6">
        <v>326</v>
      </c>
      <c r="DA146" s="6">
        <v>1560</v>
      </c>
      <c r="DB146" s="6">
        <f t="shared" si="73"/>
        <v>381</v>
      </c>
      <c r="DC146" s="6">
        <v>714</v>
      </c>
      <c r="DD146" s="6"/>
      <c r="DE146" s="6">
        <f t="shared" si="74"/>
        <v>388</v>
      </c>
      <c r="DF146" s="6">
        <v>1075</v>
      </c>
      <c r="DG146" s="6"/>
      <c r="DH146" s="6">
        <f t="shared" si="75"/>
        <v>361</v>
      </c>
      <c r="DI146" s="6"/>
      <c r="DJ146" s="6"/>
      <c r="DK146" s="6"/>
      <c r="DL146" s="6">
        <v>1458</v>
      </c>
      <c r="DM146" s="6"/>
      <c r="DN146" s="6">
        <f t="shared" si="76"/>
        <v>383</v>
      </c>
      <c r="DO146" s="6">
        <v>248</v>
      </c>
      <c r="DP146" s="6">
        <v>1560</v>
      </c>
      <c r="DQ146" s="6">
        <f t="shared" si="77"/>
        <v>350</v>
      </c>
    </row>
    <row r="147" spans="1:121">
      <c r="A147" s="6">
        <v>143</v>
      </c>
      <c r="B147" s="6">
        <v>978</v>
      </c>
      <c r="C147" s="6"/>
      <c r="D147" s="6">
        <v>328</v>
      </c>
      <c r="E147" s="33" t="s">
        <v>128</v>
      </c>
      <c r="F147" s="33" t="s">
        <v>128</v>
      </c>
      <c r="G147" s="33" t="s">
        <v>128</v>
      </c>
      <c r="H147" s="33" t="s">
        <v>128</v>
      </c>
      <c r="I147" s="33" t="s">
        <v>128</v>
      </c>
      <c r="J147" s="33" t="s">
        <v>128</v>
      </c>
      <c r="K147" s="33" t="s">
        <v>128</v>
      </c>
      <c r="L147" s="33" t="s">
        <v>128</v>
      </c>
      <c r="M147" s="33" t="s">
        <v>128</v>
      </c>
      <c r="N147" s="33" t="s">
        <v>128</v>
      </c>
      <c r="O147" s="33" t="s">
        <v>128</v>
      </c>
      <c r="P147" s="33" t="s">
        <v>128</v>
      </c>
      <c r="Q147" s="33" t="s">
        <v>128</v>
      </c>
      <c r="R147" s="33" t="s">
        <v>128</v>
      </c>
      <c r="S147" s="33" t="s">
        <v>128</v>
      </c>
      <c r="T147" s="33" t="s">
        <v>128</v>
      </c>
      <c r="U147" s="148" t="s">
        <v>128</v>
      </c>
      <c r="V147" s="33" t="s">
        <v>128</v>
      </c>
      <c r="W147" s="33" t="s">
        <v>128</v>
      </c>
      <c r="X147" s="33" t="s">
        <v>128</v>
      </c>
      <c r="Y147" s="33" t="s">
        <v>128</v>
      </c>
      <c r="Z147" s="33" t="s">
        <v>128</v>
      </c>
      <c r="AA147" s="33" t="s">
        <v>128</v>
      </c>
      <c r="AB147" s="33" t="s">
        <v>128</v>
      </c>
      <c r="AC147" s="33" t="s">
        <v>128</v>
      </c>
      <c r="AD147" s="33" t="s">
        <v>128</v>
      </c>
      <c r="AE147" s="33" t="s">
        <v>128</v>
      </c>
      <c r="AF147" s="6">
        <v>1360</v>
      </c>
      <c r="AG147" s="6"/>
      <c r="AH147" s="35">
        <f t="shared" si="52"/>
        <v>382</v>
      </c>
      <c r="AI147" s="35">
        <v>133</v>
      </c>
      <c r="AJ147" s="35">
        <v>1575</v>
      </c>
      <c r="AK147" s="35">
        <f t="shared" si="53"/>
        <v>348</v>
      </c>
      <c r="AL147" s="6">
        <v>496</v>
      </c>
      <c r="AM147" s="6"/>
      <c r="AN147" s="35">
        <f t="shared" si="54"/>
        <v>363</v>
      </c>
      <c r="AO147" s="6">
        <v>848</v>
      </c>
      <c r="AP147" s="6"/>
      <c r="AQ147" s="34">
        <f t="shared" si="55"/>
        <v>352</v>
      </c>
      <c r="AR147" s="35">
        <v>1202</v>
      </c>
      <c r="AS147" s="35"/>
      <c r="AT147" s="35">
        <f t="shared" si="56"/>
        <v>354</v>
      </c>
      <c r="AU147" s="6">
        <v>1533</v>
      </c>
      <c r="AV147" s="6"/>
      <c r="AW147" s="35">
        <f t="shared" si="57"/>
        <v>331</v>
      </c>
      <c r="AX147" s="6"/>
      <c r="AY147" s="6"/>
      <c r="AZ147" s="35"/>
      <c r="BA147" s="35">
        <v>308</v>
      </c>
      <c r="BB147" s="35">
        <v>1560</v>
      </c>
      <c r="BC147" s="35">
        <f t="shared" si="58"/>
        <v>335</v>
      </c>
      <c r="BD147" s="6">
        <v>651</v>
      </c>
      <c r="BE147" s="6"/>
      <c r="BF147" s="35">
        <f t="shared" si="59"/>
        <v>343</v>
      </c>
      <c r="BG147" s="6">
        <v>992</v>
      </c>
      <c r="BH147" s="6"/>
      <c r="BI147" s="6">
        <f t="shared" si="60"/>
        <v>341</v>
      </c>
      <c r="BJ147" s="6">
        <v>1344</v>
      </c>
      <c r="BK147" s="6"/>
      <c r="BL147" s="6">
        <f t="shared" si="61"/>
        <v>352</v>
      </c>
      <c r="BM147" s="6">
        <v>137</v>
      </c>
      <c r="BN147" s="6">
        <v>1560</v>
      </c>
      <c r="BO147" s="6">
        <f t="shared" si="62"/>
        <v>353</v>
      </c>
      <c r="BP147" s="6">
        <v>452</v>
      </c>
      <c r="BQ147" s="6"/>
      <c r="BR147" s="35">
        <f t="shared" si="63"/>
        <v>315</v>
      </c>
      <c r="BS147" s="6"/>
      <c r="BT147" s="6"/>
      <c r="BU147" s="6"/>
      <c r="BV147" s="6">
        <v>797</v>
      </c>
      <c r="BW147" s="6"/>
      <c r="BX147" s="35">
        <f t="shared" si="64"/>
        <v>345</v>
      </c>
      <c r="BY147" s="6">
        <v>1149</v>
      </c>
      <c r="BZ147" s="6"/>
      <c r="CA147" s="6">
        <f t="shared" si="65"/>
        <v>352</v>
      </c>
      <c r="CB147" s="6">
        <v>1494</v>
      </c>
      <c r="CC147" s="6"/>
      <c r="CD147" s="6">
        <f t="shared" si="66"/>
        <v>345</v>
      </c>
      <c r="CE147" s="6">
        <v>229</v>
      </c>
      <c r="CF147" s="6">
        <v>1602</v>
      </c>
      <c r="CG147" s="6">
        <f t="shared" si="67"/>
        <v>337</v>
      </c>
      <c r="CH147" s="6">
        <v>570</v>
      </c>
      <c r="CI147" s="6"/>
      <c r="CJ147" s="6">
        <f t="shared" si="68"/>
        <v>341</v>
      </c>
      <c r="CK147" s="6">
        <v>909</v>
      </c>
      <c r="CL147" s="6"/>
      <c r="CM147" s="6">
        <f t="shared" si="69"/>
        <v>339</v>
      </c>
      <c r="CN147" s="6"/>
      <c r="CO147" s="6"/>
      <c r="CP147" s="6"/>
      <c r="CQ147" s="6">
        <v>1264</v>
      </c>
      <c r="CR147" s="6"/>
      <c r="CS147" s="6">
        <f t="shared" si="70"/>
        <v>355</v>
      </c>
      <c r="CT147" s="6">
        <v>20</v>
      </c>
      <c r="CU147" s="6">
        <v>1596</v>
      </c>
      <c r="CV147" s="6">
        <f t="shared" si="71"/>
        <v>352</v>
      </c>
      <c r="CW147" s="6">
        <v>363</v>
      </c>
      <c r="CX147" s="6"/>
      <c r="CY147" s="6">
        <f t="shared" si="72"/>
        <v>343</v>
      </c>
      <c r="CZ147" s="6">
        <v>712</v>
      </c>
      <c r="DA147" s="6"/>
      <c r="DB147" s="6">
        <f t="shared" si="73"/>
        <v>349</v>
      </c>
      <c r="DC147" s="6">
        <v>1067</v>
      </c>
      <c r="DD147" s="6"/>
      <c r="DE147" s="6">
        <f t="shared" si="74"/>
        <v>355</v>
      </c>
      <c r="DF147" s="6">
        <v>1396</v>
      </c>
      <c r="DG147" s="6"/>
      <c r="DH147" s="6">
        <f t="shared" si="75"/>
        <v>329</v>
      </c>
      <c r="DI147" s="6"/>
      <c r="DJ147" s="6"/>
      <c r="DK147" s="6"/>
      <c r="DL147" s="6">
        <v>189</v>
      </c>
      <c r="DM147" s="6">
        <v>1560</v>
      </c>
      <c r="DN147" s="6">
        <f t="shared" si="76"/>
        <v>353</v>
      </c>
      <c r="DO147" s="6">
        <v>524</v>
      </c>
      <c r="DP147" s="6"/>
      <c r="DQ147" s="6">
        <f t="shared" si="77"/>
        <v>335</v>
      </c>
    </row>
    <row r="148" spans="1:121" ht="15.75" customHeight="1">
      <c r="A148" s="6">
        <v>144</v>
      </c>
      <c r="B148" s="6">
        <v>577</v>
      </c>
      <c r="C148" s="6"/>
      <c r="D148" s="6">
        <v>335</v>
      </c>
      <c r="E148" s="33" t="s">
        <v>37</v>
      </c>
      <c r="F148" s="33" t="s">
        <v>37</v>
      </c>
      <c r="G148" s="33" t="s">
        <v>37</v>
      </c>
      <c r="H148" s="33" t="s">
        <v>37</v>
      </c>
      <c r="I148" s="33" t="s">
        <v>37</v>
      </c>
      <c r="J148" s="33" t="s">
        <v>37</v>
      </c>
      <c r="K148" s="33" t="s">
        <v>37</v>
      </c>
      <c r="L148" s="33" t="s">
        <v>37</v>
      </c>
      <c r="M148" s="33" t="s">
        <v>37</v>
      </c>
      <c r="N148" s="33" t="s">
        <v>37</v>
      </c>
      <c r="O148" s="33" t="s">
        <v>37</v>
      </c>
      <c r="P148" s="33" t="s">
        <v>37</v>
      </c>
      <c r="Q148" s="33" t="s">
        <v>37</v>
      </c>
      <c r="R148" s="33" t="s">
        <v>37</v>
      </c>
      <c r="S148" s="33" t="s">
        <v>37</v>
      </c>
      <c r="T148" s="33" t="s">
        <v>37</v>
      </c>
      <c r="U148" s="33" t="s">
        <v>37</v>
      </c>
      <c r="V148" s="33" t="s">
        <v>37</v>
      </c>
      <c r="W148" s="33" t="s">
        <v>37</v>
      </c>
      <c r="X148" s="33" t="s">
        <v>37</v>
      </c>
      <c r="Y148" s="148" t="s">
        <v>37</v>
      </c>
      <c r="Z148" s="33" t="s">
        <v>37</v>
      </c>
      <c r="AA148" s="33" t="s">
        <v>37</v>
      </c>
      <c r="AB148" s="33" t="s">
        <v>37</v>
      </c>
      <c r="AC148" s="33" t="s">
        <v>37</v>
      </c>
      <c r="AD148" s="33" t="s">
        <v>37</v>
      </c>
      <c r="AE148" s="33" t="s">
        <v>37</v>
      </c>
      <c r="AF148" s="6">
        <v>132</v>
      </c>
      <c r="AG148" s="6">
        <v>837</v>
      </c>
      <c r="AH148" s="35">
        <f t="shared" si="52"/>
        <v>392</v>
      </c>
      <c r="AI148" s="35">
        <v>495</v>
      </c>
      <c r="AJ148" s="35"/>
      <c r="AK148" s="35">
        <f t="shared" si="53"/>
        <v>363</v>
      </c>
      <c r="AL148" s="6">
        <v>861</v>
      </c>
      <c r="AM148" s="6"/>
      <c r="AN148" s="35">
        <f t="shared" si="54"/>
        <v>366</v>
      </c>
      <c r="AO148" s="6">
        <v>1222</v>
      </c>
      <c r="AP148" s="6"/>
      <c r="AQ148" s="34">
        <f t="shared" si="55"/>
        <v>361</v>
      </c>
      <c r="AR148" s="35">
        <v>24</v>
      </c>
      <c r="AS148" s="35">
        <v>1560</v>
      </c>
      <c r="AT148" s="35">
        <f t="shared" si="56"/>
        <v>362</v>
      </c>
      <c r="AU148" s="6">
        <v>366</v>
      </c>
      <c r="AV148" s="6"/>
      <c r="AW148" s="35">
        <f t="shared" si="57"/>
        <v>342</v>
      </c>
      <c r="AX148" s="6"/>
      <c r="AY148" s="35"/>
      <c r="AZ148" s="35"/>
      <c r="BA148" s="6">
        <v>741</v>
      </c>
      <c r="BB148" s="6"/>
      <c r="BC148" s="35">
        <f t="shared" si="58"/>
        <v>375</v>
      </c>
      <c r="BD148" s="6">
        <v>1107</v>
      </c>
      <c r="BE148" s="6"/>
      <c r="BF148" s="35">
        <f t="shared" si="59"/>
        <v>366</v>
      </c>
      <c r="BG148" s="6">
        <v>1461</v>
      </c>
      <c r="BH148" s="6"/>
      <c r="BI148" s="6">
        <f t="shared" si="60"/>
        <v>354</v>
      </c>
      <c r="BJ148" s="6">
        <v>265</v>
      </c>
      <c r="BK148" s="35">
        <v>1560</v>
      </c>
      <c r="BL148" s="6">
        <f t="shared" si="61"/>
        <v>364</v>
      </c>
      <c r="BM148" s="6">
        <v>620</v>
      </c>
      <c r="BN148" s="6"/>
      <c r="BO148" s="6">
        <f t="shared" si="62"/>
        <v>355</v>
      </c>
      <c r="BP148" s="6">
        <v>965</v>
      </c>
      <c r="BQ148" s="6"/>
      <c r="BR148" s="35">
        <f t="shared" si="63"/>
        <v>345</v>
      </c>
      <c r="BS148" s="6"/>
      <c r="BT148" s="6"/>
      <c r="BU148" s="6"/>
      <c r="BV148" s="6">
        <v>1338</v>
      </c>
      <c r="BW148" s="6"/>
      <c r="BX148" s="35">
        <f t="shared" si="64"/>
        <v>373</v>
      </c>
      <c r="BY148" s="6">
        <v>143</v>
      </c>
      <c r="BZ148" s="35">
        <v>1560</v>
      </c>
      <c r="CA148" s="6">
        <f t="shared" si="65"/>
        <v>365</v>
      </c>
      <c r="CB148" s="6">
        <v>503</v>
      </c>
      <c r="CC148" s="6"/>
      <c r="CD148" s="6">
        <f t="shared" si="66"/>
        <v>360</v>
      </c>
      <c r="CE148" s="6">
        <v>877</v>
      </c>
      <c r="CF148" s="35"/>
      <c r="CG148" s="6">
        <f t="shared" si="67"/>
        <v>374</v>
      </c>
      <c r="CH148" s="6">
        <v>1255</v>
      </c>
      <c r="CI148" s="6"/>
      <c r="CJ148" s="6">
        <f t="shared" si="68"/>
        <v>378</v>
      </c>
      <c r="CK148" s="6">
        <v>69</v>
      </c>
      <c r="CL148" s="6">
        <v>1560</v>
      </c>
      <c r="CM148" s="6">
        <f t="shared" si="69"/>
        <v>374</v>
      </c>
      <c r="CN148" s="6"/>
      <c r="CO148" s="6"/>
      <c r="CP148" s="6"/>
      <c r="CQ148" s="6">
        <v>450</v>
      </c>
      <c r="CR148" s="6"/>
      <c r="CS148" s="6">
        <f t="shared" si="70"/>
        <v>381</v>
      </c>
      <c r="CT148" s="6">
        <v>354</v>
      </c>
      <c r="CU148" s="6">
        <v>454</v>
      </c>
      <c r="CV148" s="6">
        <f t="shared" si="71"/>
        <v>358</v>
      </c>
      <c r="CW148" s="6">
        <v>740</v>
      </c>
      <c r="CX148" s="6"/>
      <c r="CY148" s="6">
        <f t="shared" si="72"/>
        <v>386</v>
      </c>
      <c r="CZ148" s="6">
        <v>1128</v>
      </c>
      <c r="DA148" s="6"/>
      <c r="DB148" s="6">
        <f t="shared" si="73"/>
        <v>388</v>
      </c>
      <c r="DC148" s="6">
        <v>1510</v>
      </c>
      <c r="DD148" s="6"/>
      <c r="DE148" s="6">
        <f t="shared" si="74"/>
        <v>382</v>
      </c>
      <c r="DF148" s="6">
        <v>316</v>
      </c>
      <c r="DG148" s="6">
        <v>1560</v>
      </c>
      <c r="DH148" s="6">
        <f t="shared" si="75"/>
        <v>366</v>
      </c>
      <c r="DI148" s="6"/>
      <c r="DJ148" s="6"/>
      <c r="DK148" s="6"/>
      <c r="DL148" s="6">
        <v>706</v>
      </c>
      <c r="DM148" s="6"/>
      <c r="DN148" s="6">
        <f t="shared" si="76"/>
        <v>390</v>
      </c>
      <c r="DO148" s="6">
        <v>207</v>
      </c>
      <c r="DP148" s="6">
        <v>848</v>
      </c>
      <c r="DQ148" s="6">
        <f t="shared" si="77"/>
        <v>349</v>
      </c>
    </row>
    <row r="149" spans="1:121">
      <c r="A149" s="7">
        <v>145</v>
      </c>
      <c r="B149" s="6">
        <v>811</v>
      </c>
      <c r="C149" s="6"/>
      <c r="D149" s="6">
        <v>250</v>
      </c>
      <c r="E149" s="33" t="s">
        <v>135</v>
      </c>
      <c r="F149" s="33" t="s">
        <v>135</v>
      </c>
      <c r="G149" s="33" t="s">
        <v>135</v>
      </c>
      <c r="H149" s="33" t="s">
        <v>135</v>
      </c>
      <c r="I149" s="33" t="s">
        <v>135</v>
      </c>
      <c r="J149" s="33" t="s">
        <v>135</v>
      </c>
      <c r="K149" s="33" t="s">
        <v>135</v>
      </c>
      <c r="L149" s="33" t="s">
        <v>135</v>
      </c>
      <c r="M149" s="148" t="s">
        <v>128</v>
      </c>
      <c r="N149" s="33" t="s">
        <v>128</v>
      </c>
      <c r="O149" s="33" t="s">
        <v>128</v>
      </c>
      <c r="P149" s="33" t="s">
        <v>128</v>
      </c>
      <c r="Q149" s="33" t="s">
        <v>128</v>
      </c>
      <c r="R149" s="33" t="s">
        <v>128</v>
      </c>
      <c r="S149" s="33" t="s">
        <v>128</v>
      </c>
      <c r="T149" s="33" t="s">
        <v>128</v>
      </c>
      <c r="U149" s="33" t="s">
        <v>128</v>
      </c>
      <c r="V149" s="33" t="s">
        <v>128</v>
      </c>
      <c r="W149" s="33" t="s">
        <v>128</v>
      </c>
      <c r="X149" s="33" t="s">
        <v>128</v>
      </c>
      <c r="Y149" s="33" t="s">
        <v>128</v>
      </c>
      <c r="Z149" s="33" t="s">
        <v>128</v>
      </c>
      <c r="AA149" s="33" t="s">
        <v>128</v>
      </c>
      <c r="AB149" s="33" t="s">
        <v>128</v>
      </c>
      <c r="AC149" s="33" t="s">
        <v>128</v>
      </c>
      <c r="AD149" s="33" t="s">
        <v>128</v>
      </c>
      <c r="AE149" s="33" t="s">
        <v>128</v>
      </c>
      <c r="AF149" s="35">
        <v>282</v>
      </c>
      <c r="AG149" s="35">
        <v>818</v>
      </c>
      <c r="AH149" s="35">
        <f t="shared" si="52"/>
        <v>289</v>
      </c>
      <c r="AI149" s="35">
        <v>554</v>
      </c>
      <c r="AJ149" s="35"/>
      <c r="AK149" s="35">
        <f t="shared" si="53"/>
        <v>272</v>
      </c>
      <c r="AL149" s="6">
        <v>827</v>
      </c>
      <c r="AM149" s="6"/>
      <c r="AN149" s="35">
        <f t="shared" si="54"/>
        <v>273</v>
      </c>
      <c r="AO149" s="6">
        <v>1103</v>
      </c>
      <c r="AP149" s="6"/>
      <c r="AQ149" s="34">
        <f t="shared" si="55"/>
        <v>276</v>
      </c>
      <c r="AR149" s="35">
        <v>1381</v>
      </c>
      <c r="AS149" s="35"/>
      <c r="AT149" s="35">
        <f t="shared" si="56"/>
        <v>278</v>
      </c>
      <c r="AU149" s="6">
        <v>1640</v>
      </c>
      <c r="AV149" s="6"/>
      <c r="AW149" s="35">
        <f t="shared" si="57"/>
        <v>259</v>
      </c>
      <c r="AX149" s="6"/>
      <c r="AY149" s="6"/>
      <c r="AZ149" s="35"/>
      <c r="BA149" s="35">
        <v>0</v>
      </c>
      <c r="BB149" s="35">
        <v>1914</v>
      </c>
      <c r="BC149" s="35">
        <f t="shared" si="58"/>
        <v>274</v>
      </c>
      <c r="BD149" s="6">
        <v>266</v>
      </c>
      <c r="BE149" s="6"/>
      <c r="BF149" s="35">
        <f t="shared" si="59"/>
        <v>266</v>
      </c>
      <c r="BG149" s="6">
        <v>628</v>
      </c>
      <c r="BH149" s="6"/>
      <c r="BI149" s="6">
        <f t="shared" si="60"/>
        <v>362</v>
      </c>
      <c r="BJ149" s="6">
        <v>993</v>
      </c>
      <c r="BK149" s="6"/>
      <c r="BL149" s="6">
        <f t="shared" si="61"/>
        <v>365</v>
      </c>
      <c r="BM149" s="6">
        <v>1354</v>
      </c>
      <c r="BN149" s="6"/>
      <c r="BO149" s="6">
        <f t="shared" si="62"/>
        <v>361</v>
      </c>
      <c r="BP149" s="6">
        <v>147</v>
      </c>
      <c r="BQ149" s="6">
        <v>1550</v>
      </c>
      <c r="BR149" s="35">
        <f t="shared" si="63"/>
        <v>343</v>
      </c>
      <c r="BS149" s="6"/>
      <c r="BT149" s="6"/>
      <c r="BU149" s="6"/>
      <c r="BV149" s="6">
        <v>515</v>
      </c>
      <c r="BW149" s="6"/>
      <c r="BX149" s="35">
        <f t="shared" si="64"/>
        <v>368</v>
      </c>
      <c r="BY149" s="6">
        <v>877</v>
      </c>
      <c r="BZ149" s="6"/>
      <c r="CA149" s="6">
        <f t="shared" si="65"/>
        <v>362</v>
      </c>
      <c r="CB149" s="6">
        <v>1238</v>
      </c>
      <c r="CC149" s="6"/>
      <c r="CD149" s="6">
        <f t="shared" si="66"/>
        <v>361</v>
      </c>
      <c r="CE149" s="6">
        <v>60</v>
      </c>
      <c r="CF149" s="6">
        <v>1560</v>
      </c>
      <c r="CG149" s="6">
        <f t="shared" si="67"/>
        <v>382</v>
      </c>
      <c r="CH149" s="6">
        <v>444</v>
      </c>
      <c r="CI149" s="6"/>
      <c r="CJ149" s="6">
        <f t="shared" si="68"/>
        <v>384</v>
      </c>
      <c r="CK149" s="6">
        <v>821</v>
      </c>
      <c r="CL149" s="6"/>
      <c r="CM149" s="6">
        <f t="shared" si="69"/>
        <v>377</v>
      </c>
      <c r="CN149" s="6"/>
      <c r="CO149" s="6"/>
      <c r="CP149" s="6"/>
      <c r="CQ149" s="6">
        <v>1209</v>
      </c>
      <c r="CR149" s="6"/>
      <c r="CS149" s="6">
        <f t="shared" si="70"/>
        <v>388</v>
      </c>
      <c r="CT149" s="6">
        <v>33</v>
      </c>
      <c r="CU149" s="6">
        <v>1560</v>
      </c>
      <c r="CV149" s="6">
        <f t="shared" si="71"/>
        <v>384</v>
      </c>
      <c r="CW149" s="6">
        <v>421</v>
      </c>
      <c r="CX149" s="6"/>
      <c r="CY149" s="6">
        <f t="shared" si="72"/>
        <v>388</v>
      </c>
      <c r="CZ149" s="6">
        <v>809</v>
      </c>
      <c r="DA149" s="6"/>
      <c r="DB149" s="6">
        <f t="shared" si="73"/>
        <v>388</v>
      </c>
      <c r="DC149" s="6">
        <v>1192</v>
      </c>
      <c r="DD149" s="6"/>
      <c r="DE149" s="6">
        <f t="shared" si="74"/>
        <v>383</v>
      </c>
      <c r="DF149" s="6">
        <v>1539</v>
      </c>
      <c r="DG149" s="6"/>
      <c r="DH149" s="6">
        <f t="shared" si="75"/>
        <v>347</v>
      </c>
      <c r="DI149" s="6"/>
      <c r="DJ149" s="6"/>
      <c r="DK149" s="6"/>
      <c r="DL149" s="6">
        <v>336</v>
      </c>
      <c r="DM149" s="6">
        <v>1560</v>
      </c>
      <c r="DN149" s="6">
        <f t="shared" si="76"/>
        <v>357</v>
      </c>
      <c r="DO149" s="6">
        <v>693</v>
      </c>
      <c r="DP149" s="6"/>
      <c r="DQ149" s="6">
        <f t="shared" si="77"/>
        <v>357</v>
      </c>
    </row>
    <row r="150" spans="1:121">
      <c r="A150" s="6">
        <v>146</v>
      </c>
      <c r="B150" s="6">
        <v>0</v>
      </c>
      <c r="C150" s="6"/>
      <c r="D150" s="6">
        <v>0</v>
      </c>
      <c r="E150" s="33" t="s">
        <v>56</v>
      </c>
      <c r="F150" s="33" t="s">
        <v>56</v>
      </c>
      <c r="G150" s="33" t="s">
        <v>56</v>
      </c>
      <c r="H150" s="33" t="s">
        <v>56</v>
      </c>
      <c r="I150" s="33" t="s">
        <v>56</v>
      </c>
      <c r="J150" s="33" t="s">
        <v>56</v>
      </c>
      <c r="K150" s="33" t="s">
        <v>56</v>
      </c>
      <c r="L150" s="33" t="s">
        <v>56</v>
      </c>
      <c r="M150" s="33" t="s">
        <v>56</v>
      </c>
      <c r="N150" s="33" t="s">
        <v>56</v>
      </c>
      <c r="O150" s="33" t="s">
        <v>56</v>
      </c>
      <c r="P150" s="148" t="s">
        <v>37</v>
      </c>
      <c r="Q150" s="33" t="s">
        <v>37</v>
      </c>
      <c r="R150" s="33" t="s">
        <v>37</v>
      </c>
      <c r="S150" s="33" t="s">
        <v>37</v>
      </c>
      <c r="T150" s="33" t="s">
        <v>37</v>
      </c>
      <c r="U150" s="33" t="s">
        <v>37</v>
      </c>
      <c r="V150" s="33" t="s">
        <v>37</v>
      </c>
      <c r="W150" s="33" t="s">
        <v>37</v>
      </c>
      <c r="X150" s="33" t="s">
        <v>37</v>
      </c>
      <c r="Y150" s="33" t="s">
        <v>37</v>
      </c>
      <c r="Z150" s="33" t="s">
        <v>37</v>
      </c>
      <c r="AA150" s="33" t="s">
        <v>37</v>
      </c>
      <c r="AB150" s="33" t="s">
        <v>37</v>
      </c>
      <c r="AC150" s="33" t="s">
        <v>37</v>
      </c>
      <c r="AD150" s="33" t="s">
        <v>37</v>
      </c>
      <c r="AE150" s="33" t="s">
        <v>37</v>
      </c>
      <c r="AF150" s="6">
        <v>0</v>
      </c>
      <c r="AG150" s="6"/>
      <c r="AH150" s="35">
        <f t="shared" si="52"/>
        <v>0</v>
      </c>
      <c r="AI150" s="35">
        <v>0</v>
      </c>
      <c r="AJ150" s="35"/>
      <c r="AK150" s="35">
        <f t="shared" si="53"/>
        <v>0</v>
      </c>
      <c r="AL150" s="6">
        <v>0</v>
      </c>
      <c r="AM150" s="6"/>
      <c r="AN150" s="35">
        <f t="shared" si="54"/>
        <v>0</v>
      </c>
      <c r="AO150" s="6">
        <v>0</v>
      </c>
      <c r="AP150" s="6"/>
      <c r="AQ150" s="34">
        <f t="shared" si="55"/>
        <v>0</v>
      </c>
      <c r="AR150" s="35">
        <v>0</v>
      </c>
      <c r="AS150" s="35"/>
      <c r="AT150" s="35">
        <f t="shared" si="56"/>
        <v>0</v>
      </c>
      <c r="AU150" s="6">
        <v>0</v>
      </c>
      <c r="AV150" s="6"/>
      <c r="AW150" s="35">
        <f t="shared" si="57"/>
        <v>0</v>
      </c>
      <c r="AX150" s="6"/>
      <c r="AY150" s="6"/>
      <c r="AZ150" s="35"/>
      <c r="BA150" s="6">
        <v>0</v>
      </c>
      <c r="BB150" s="6"/>
      <c r="BC150" s="35">
        <f t="shared" si="58"/>
        <v>0</v>
      </c>
      <c r="BD150" s="6">
        <v>0</v>
      </c>
      <c r="BE150" s="6"/>
      <c r="BF150" s="35">
        <f t="shared" si="59"/>
        <v>0</v>
      </c>
      <c r="BG150" s="6">
        <v>0</v>
      </c>
      <c r="BH150" s="6"/>
      <c r="BI150" s="6">
        <f t="shared" si="60"/>
        <v>0</v>
      </c>
      <c r="BJ150" s="6">
        <v>0</v>
      </c>
      <c r="BK150" s="35"/>
      <c r="BL150" s="6">
        <f t="shared" si="61"/>
        <v>0</v>
      </c>
      <c r="BM150" s="6">
        <v>344</v>
      </c>
      <c r="BN150" s="6"/>
      <c r="BO150" s="6">
        <f t="shared" si="62"/>
        <v>344</v>
      </c>
      <c r="BP150" s="6">
        <v>658</v>
      </c>
      <c r="BQ150" s="6"/>
      <c r="BR150" s="35">
        <f t="shared" si="63"/>
        <v>314</v>
      </c>
      <c r="BS150" s="6"/>
      <c r="BT150" s="6"/>
      <c r="BU150" s="6"/>
      <c r="BV150" s="6">
        <v>1023</v>
      </c>
      <c r="BW150" s="6"/>
      <c r="BX150" s="35">
        <f t="shared" si="64"/>
        <v>365</v>
      </c>
      <c r="BY150" s="6">
        <v>1405</v>
      </c>
      <c r="BZ150" s="35"/>
      <c r="CA150" s="6">
        <f t="shared" si="65"/>
        <v>382</v>
      </c>
      <c r="CB150" s="6">
        <v>231</v>
      </c>
      <c r="CC150" s="6">
        <v>1560</v>
      </c>
      <c r="CD150" s="6">
        <f t="shared" si="66"/>
        <v>386</v>
      </c>
      <c r="CE150" s="6">
        <v>616</v>
      </c>
      <c r="CF150" s="35"/>
      <c r="CG150" s="6">
        <f t="shared" si="67"/>
        <v>385</v>
      </c>
      <c r="CH150" s="6">
        <v>1002</v>
      </c>
      <c r="CI150" s="6"/>
      <c r="CJ150" s="6">
        <f t="shared" si="68"/>
        <v>386</v>
      </c>
      <c r="CK150" s="6">
        <v>1378</v>
      </c>
      <c r="CL150" s="6"/>
      <c r="CM150" s="6">
        <f t="shared" si="69"/>
        <v>376</v>
      </c>
      <c r="CN150" s="6"/>
      <c r="CO150" s="6"/>
      <c r="CP150" s="6"/>
      <c r="CQ150" s="6">
        <v>207</v>
      </c>
      <c r="CR150" s="6">
        <v>1560</v>
      </c>
      <c r="CS150" s="6">
        <f t="shared" si="70"/>
        <v>389</v>
      </c>
      <c r="CT150" s="6">
        <v>582</v>
      </c>
      <c r="CU150" s="6"/>
      <c r="CV150" s="6">
        <f t="shared" si="71"/>
        <v>375</v>
      </c>
      <c r="CW150" s="6">
        <v>969</v>
      </c>
      <c r="CX150" s="6"/>
      <c r="CY150" s="6">
        <f t="shared" si="72"/>
        <v>387</v>
      </c>
      <c r="CZ150" s="6">
        <v>1350</v>
      </c>
      <c r="DA150" s="6"/>
      <c r="DB150" s="6">
        <f t="shared" si="73"/>
        <v>381</v>
      </c>
      <c r="DC150" s="6">
        <v>154</v>
      </c>
      <c r="DD150" s="6">
        <v>1560</v>
      </c>
      <c r="DE150" s="6">
        <f t="shared" si="74"/>
        <v>364</v>
      </c>
      <c r="DF150" s="6">
        <v>524</v>
      </c>
      <c r="DG150" s="6"/>
      <c r="DH150" s="6">
        <f t="shared" si="75"/>
        <v>370</v>
      </c>
      <c r="DI150" s="6"/>
      <c r="DJ150" s="6"/>
      <c r="DK150" s="6"/>
      <c r="DL150" s="6">
        <v>912</v>
      </c>
      <c r="DM150" s="6"/>
      <c r="DN150" s="6">
        <f t="shared" si="76"/>
        <v>388</v>
      </c>
      <c r="DO150" s="6">
        <v>1270</v>
      </c>
      <c r="DP150" s="6"/>
      <c r="DQ150" s="6">
        <f t="shared" si="77"/>
        <v>358</v>
      </c>
    </row>
    <row r="151" spans="1:121">
      <c r="A151" s="6">
        <v>147</v>
      </c>
      <c r="B151" s="6">
        <v>610</v>
      </c>
      <c r="C151" s="6"/>
      <c r="D151" s="6">
        <v>259</v>
      </c>
      <c r="E151" s="33" t="s">
        <v>135</v>
      </c>
      <c r="F151" s="33" t="s">
        <v>135</v>
      </c>
      <c r="G151" s="33" t="s">
        <v>135</v>
      </c>
      <c r="H151" s="33" t="s">
        <v>135</v>
      </c>
      <c r="I151" s="33" t="s">
        <v>135</v>
      </c>
      <c r="J151" s="33" t="s">
        <v>135</v>
      </c>
      <c r="K151" s="33" t="s">
        <v>135</v>
      </c>
      <c r="L151" s="148" t="s">
        <v>135</v>
      </c>
      <c r="M151" s="33" t="s">
        <v>135</v>
      </c>
      <c r="N151" s="33" t="s">
        <v>135</v>
      </c>
      <c r="O151" s="148" t="s">
        <v>37</v>
      </c>
      <c r="P151" s="33" t="s">
        <v>37</v>
      </c>
      <c r="Q151" s="33" t="s">
        <v>37</v>
      </c>
      <c r="R151" s="33" t="s">
        <v>37</v>
      </c>
      <c r="S151" s="33" t="s">
        <v>37</v>
      </c>
      <c r="T151" s="33" t="s">
        <v>37</v>
      </c>
      <c r="U151" s="33" t="s">
        <v>37</v>
      </c>
      <c r="V151" s="33" t="s">
        <v>37</v>
      </c>
      <c r="W151" s="33" t="s">
        <v>37</v>
      </c>
      <c r="X151" s="33" t="s">
        <v>37</v>
      </c>
      <c r="Y151" s="33" t="s">
        <v>37</v>
      </c>
      <c r="Z151" s="33" t="s">
        <v>37</v>
      </c>
      <c r="AA151" s="33" t="s">
        <v>37</v>
      </c>
      <c r="AB151" s="33" t="s">
        <v>37</v>
      </c>
      <c r="AC151" s="33" t="s">
        <v>37</v>
      </c>
      <c r="AD151" s="33" t="s">
        <v>37</v>
      </c>
      <c r="AE151" s="33" t="s">
        <v>37</v>
      </c>
      <c r="AF151" s="6">
        <v>915</v>
      </c>
      <c r="AG151" s="35"/>
      <c r="AH151" s="35">
        <f t="shared" si="52"/>
        <v>305</v>
      </c>
      <c r="AI151" s="35">
        <v>198</v>
      </c>
      <c r="AJ151" s="35">
        <v>983</v>
      </c>
      <c r="AK151" s="35">
        <f t="shared" si="53"/>
        <v>266</v>
      </c>
      <c r="AL151" s="6">
        <v>486</v>
      </c>
      <c r="AM151" s="6"/>
      <c r="AN151" s="35">
        <f t="shared" si="54"/>
        <v>288</v>
      </c>
      <c r="AO151" s="6">
        <v>772</v>
      </c>
      <c r="AP151" s="6"/>
      <c r="AQ151" s="34">
        <f t="shared" si="55"/>
        <v>286</v>
      </c>
      <c r="AR151" s="35">
        <v>170</v>
      </c>
      <c r="AS151" s="35">
        <v>877</v>
      </c>
      <c r="AT151" s="35">
        <f t="shared" si="56"/>
        <v>275</v>
      </c>
      <c r="AU151" s="6">
        <v>0</v>
      </c>
      <c r="AV151" s="6">
        <v>440</v>
      </c>
      <c r="AW151" s="35">
        <f t="shared" si="57"/>
        <v>270</v>
      </c>
      <c r="AX151" s="6"/>
      <c r="AY151" s="6"/>
      <c r="AZ151" s="35"/>
      <c r="BA151" s="6">
        <v>268</v>
      </c>
      <c r="BB151" s="6"/>
      <c r="BC151" s="35">
        <f t="shared" si="58"/>
        <v>268</v>
      </c>
      <c r="BD151" s="6">
        <v>552</v>
      </c>
      <c r="BE151" s="6"/>
      <c r="BF151" s="35">
        <f t="shared" si="59"/>
        <v>284</v>
      </c>
      <c r="BG151" s="6">
        <v>838</v>
      </c>
      <c r="BH151" s="6"/>
      <c r="BI151" s="6">
        <f t="shared" si="60"/>
        <v>286</v>
      </c>
      <c r="BJ151" s="6">
        <v>276</v>
      </c>
      <c r="BK151" s="35">
        <v>864</v>
      </c>
      <c r="BL151" s="6">
        <f t="shared" si="61"/>
        <v>302</v>
      </c>
      <c r="BM151" s="6">
        <v>659</v>
      </c>
      <c r="BN151" s="6"/>
      <c r="BO151" s="6">
        <f t="shared" si="62"/>
        <v>383</v>
      </c>
      <c r="BP151" s="6">
        <v>1034</v>
      </c>
      <c r="BQ151" s="6"/>
      <c r="BR151" s="35">
        <f t="shared" si="63"/>
        <v>375</v>
      </c>
      <c r="BS151" s="6"/>
      <c r="BT151" s="6"/>
      <c r="BU151" s="6"/>
      <c r="BV151" s="6">
        <v>1429</v>
      </c>
      <c r="BW151" s="6"/>
      <c r="BX151" s="35">
        <f t="shared" si="64"/>
        <v>395</v>
      </c>
      <c r="BY151" s="6">
        <v>240</v>
      </c>
      <c r="BZ151" s="35">
        <v>1560</v>
      </c>
      <c r="CA151" s="6">
        <f t="shared" si="65"/>
        <v>371</v>
      </c>
      <c r="CB151" s="6">
        <v>624</v>
      </c>
      <c r="CC151" s="6"/>
      <c r="CD151" s="6">
        <f t="shared" si="66"/>
        <v>384</v>
      </c>
      <c r="CE151" s="6">
        <v>1000</v>
      </c>
      <c r="CF151" s="35"/>
      <c r="CG151" s="6">
        <f t="shared" si="67"/>
        <v>376</v>
      </c>
      <c r="CH151" s="6">
        <v>1387</v>
      </c>
      <c r="CI151" s="6"/>
      <c r="CJ151" s="6">
        <f t="shared" si="68"/>
        <v>387</v>
      </c>
      <c r="CK151" s="6">
        <v>203</v>
      </c>
      <c r="CL151" s="6">
        <v>1561</v>
      </c>
      <c r="CM151" s="6">
        <f t="shared" si="69"/>
        <v>377</v>
      </c>
      <c r="CN151" s="6"/>
      <c r="CO151" s="6"/>
      <c r="CP151" s="6"/>
      <c r="CQ151" s="6">
        <v>585</v>
      </c>
      <c r="CR151" s="6"/>
      <c r="CS151" s="6">
        <f t="shared" si="70"/>
        <v>382</v>
      </c>
      <c r="CT151" s="6">
        <v>969</v>
      </c>
      <c r="CU151" s="6"/>
      <c r="CV151" s="6">
        <f t="shared" si="71"/>
        <v>384</v>
      </c>
      <c r="CW151" s="6">
        <v>1354</v>
      </c>
      <c r="CX151" s="6"/>
      <c r="CY151" s="6">
        <f t="shared" si="72"/>
        <v>385</v>
      </c>
      <c r="CZ151" s="6">
        <v>176</v>
      </c>
      <c r="DA151" s="6">
        <v>1560</v>
      </c>
      <c r="DB151" s="6">
        <f t="shared" si="73"/>
        <v>382</v>
      </c>
      <c r="DC151" s="6">
        <v>559</v>
      </c>
      <c r="DD151" s="6"/>
      <c r="DE151" s="6">
        <f t="shared" si="74"/>
        <v>383</v>
      </c>
      <c r="DF151" s="6">
        <v>922</v>
      </c>
      <c r="DG151" s="6"/>
      <c r="DH151" s="6">
        <f t="shared" si="75"/>
        <v>363</v>
      </c>
      <c r="DI151" s="6"/>
      <c r="DJ151" s="6"/>
      <c r="DK151" s="6"/>
      <c r="DL151" s="6">
        <v>1312</v>
      </c>
      <c r="DM151" s="6"/>
      <c r="DN151" s="6">
        <f t="shared" si="76"/>
        <v>390</v>
      </c>
      <c r="DO151" s="6">
        <v>110</v>
      </c>
      <c r="DP151" s="6">
        <v>1560</v>
      </c>
      <c r="DQ151" s="6">
        <f t="shared" si="77"/>
        <v>358</v>
      </c>
    </row>
    <row r="152" spans="1:121">
      <c r="A152" s="6">
        <v>148</v>
      </c>
      <c r="B152" s="6">
        <v>0</v>
      </c>
      <c r="C152" s="6"/>
      <c r="D152" s="6">
        <v>0</v>
      </c>
      <c r="E152" s="33" t="s">
        <v>56</v>
      </c>
      <c r="F152" s="33" t="s">
        <v>56</v>
      </c>
      <c r="G152" s="148" t="s">
        <v>239</v>
      </c>
      <c r="H152" s="33" t="s">
        <v>239</v>
      </c>
      <c r="I152" s="33" t="s">
        <v>239</v>
      </c>
      <c r="J152" s="33" t="s">
        <v>239</v>
      </c>
      <c r="K152" s="33" t="s">
        <v>239</v>
      </c>
      <c r="L152" s="33" t="s">
        <v>239</v>
      </c>
      <c r="M152" s="33" t="s">
        <v>239</v>
      </c>
      <c r="N152" s="33" t="s">
        <v>239</v>
      </c>
      <c r="O152" s="33" t="s">
        <v>239</v>
      </c>
      <c r="P152" s="33" t="s">
        <v>239</v>
      </c>
      <c r="Q152" s="33" t="s">
        <v>239</v>
      </c>
      <c r="R152" s="33" t="s">
        <v>239</v>
      </c>
      <c r="S152" s="33" t="s">
        <v>239</v>
      </c>
      <c r="T152" s="33" t="s">
        <v>239</v>
      </c>
      <c r="U152" s="33" t="s">
        <v>239</v>
      </c>
      <c r="V152" s="33" t="s">
        <v>239</v>
      </c>
      <c r="W152" s="33" t="s">
        <v>239</v>
      </c>
      <c r="X152" s="148" t="s">
        <v>37</v>
      </c>
      <c r="Y152" s="33" t="s">
        <v>37</v>
      </c>
      <c r="Z152" s="33" t="s">
        <v>37</v>
      </c>
      <c r="AA152" s="33" t="s">
        <v>37</v>
      </c>
      <c r="AB152" s="33" t="s">
        <v>37</v>
      </c>
      <c r="AC152" s="33" t="s">
        <v>37</v>
      </c>
      <c r="AD152" s="33" t="s">
        <v>37</v>
      </c>
      <c r="AE152" s="33" t="s">
        <v>37</v>
      </c>
      <c r="AF152" s="6">
        <v>0</v>
      </c>
      <c r="AG152" s="6"/>
      <c r="AH152" s="35">
        <f t="shared" si="52"/>
        <v>0</v>
      </c>
      <c r="AI152" s="35">
        <v>0</v>
      </c>
      <c r="AJ152" s="35"/>
      <c r="AK152" s="35">
        <f t="shared" si="53"/>
        <v>0</v>
      </c>
      <c r="AL152" s="6">
        <v>468</v>
      </c>
      <c r="AM152" s="6"/>
      <c r="AN152" s="35">
        <f t="shared" si="54"/>
        <v>468</v>
      </c>
      <c r="AO152" s="6">
        <v>0</v>
      </c>
      <c r="AP152" s="6">
        <v>500</v>
      </c>
      <c r="AQ152" s="34">
        <f t="shared" si="55"/>
        <v>32</v>
      </c>
      <c r="AR152" s="35">
        <v>0</v>
      </c>
      <c r="AS152" s="35"/>
      <c r="AT152" s="35">
        <f t="shared" si="56"/>
        <v>0</v>
      </c>
      <c r="AU152" s="6">
        <v>0</v>
      </c>
      <c r="AV152" s="6"/>
      <c r="AW152" s="35">
        <f t="shared" si="57"/>
        <v>0</v>
      </c>
      <c r="AX152" s="6"/>
      <c r="AY152" s="6"/>
      <c r="AZ152" s="35"/>
      <c r="BA152" s="6">
        <v>0</v>
      </c>
      <c r="BB152" s="6"/>
      <c r="BC152" s="35">
        <f t="shared" si="58"/>
        <v>0</v>
      </c>
      <c r="BD152" s="6">
        <v>0</v>
      </c>
      <c r="BE152" s="6"/>
      <c r="BF152" s="35">
        <f t="shared" si="59"/>
        <v>0</v>
      </c>
      <c r="BG152" s="6">
        <v>0</v>
      </c>
      <c r="BH152" s="6"/>
      <c r="BI152" s="6">
        <f t="shared" si="60"/>
        <v>0</v>
      </c>
      <c r="BJ152" s="6">
        <v>0</v>
      </c>
      <c r="BK152" s="35"/>
      <c r="BL152" s="6">
        <f t="shared" si="61"/>
        <v>0</v>
      </c>
      <c r="BM152" s="6">
        <v>0</v>
      </c>
      <c r="BN152" s="6"/>
      <c r="BO152" s="6">
        <f t="shared" si="62"/>
        <v>0</v>
      </c>
      <c r="BP152" s="6">
        <v>0</v>
      </c>
      <c r="BQ152" s="6"/>
      <c r="BR152" s="35">
        <f t="shared" si="63"/>
        <v>0</v>
      </c>
      <c r="BS152" s="6"/>
      <c r="BT152" s="6"/>
      <c r="BU152" s="6"/>
      <c r="BV152" s="6">
        <v>0</v>
      </c>
      <c r="BW152" s="6"/>
      <c r="BX152" s="35">
        <f t="shared" si="64"/>
        <v>0</v>
      </c>
      <c r="BY152" s="6">
        <v>0</v>
      </c>
      <c r="BZ152" s="35"/>
      <c r="CA152" s="6">
        <f t="shared" si="65"/>
        <v>0</v>
      </c>
      <c r="CB152" s="6">
        <v>0</v>
      </c>
      <c r="CC152" s="6"/>
      <c r="CD152" s="6">
        <f t="shared" si="66"/>
        <v>0</v>
      </c>
      <c r="CE152" s="6">
        <v>0</v>
      </c>
      <c r="CF152" s="35"/>
      <c r="CG152" s="6">
        <f t="shared" si="67"/>
        <v>0</v>
      </c>
      <c r="CH152" s="6">
        <v>293</v>
      </c>
      <c r="CI152" s="6"/>
      <c r="CJ152" s="6">
        <f t="shared" si="68"/>
        <v>293</v>
      </c>
      <c r="CK152" s="6">
        <v>0</v>
      </c>
      <c r="CL152" s="6">
        <v>488</v>
      </c>
      <c r="CM152" s="6">
        <f t="shared" si="69"/>
        <v>195</v>
      </c>
      <c r="CN152" s="6"/>
      <c r="CO152" s="6"/>
      <c r="CP152" s="6"/>
      <c r="CQ152" s="6">
        <v>303</v>
      </c>
      <c r="CR152" s="6"/>
      <c r="CS152" s="6">
        <f t="shared" si="70"/>
        <v>303</v>
      </c>
      <c r="CT152" s="6">
        <v>681</v>
      </c>
      <c r="CU152" s="6"/>
      <c r="CV152" s="6">
        <f t="shared" si="71"/>
        <v>378</v>
      </c>
      <c r="CW152" s="6">
        <v>1061</v>
      </c>
      <c r="CX152" s="6"/>
      <c r="CY152" s="6">
        <f t="shared" si="72"/>
        <v>380</v>
      </c>
      <c r="CZ152" s="6">
        <v>1440</v>
      </c>
      <c r="DA152" s="6"/>
      <c r="DB152" s="6">
        <f t="shared" si="73"/>
        <v>379</v>
      </c>
      <c r="DC152" s="6">
        <v>262</v>
      </c>
      <c r="DD152" s="6">
        <v>1560</v>
      </c>
      <c r="DE152" s="6">
        <f t="shared" si="74"/>
        <v>382</v>
      </c>
      <c r="DF152" s="6">
        <v>621</v>
      </c>
      <c r="DG152" s="6"/>
      <c r="DH152" s="6">
        <f t="shared" si="75"/>
        <v>359</v>
      </c>
      <c r="DI152" s="6"/>
      <c r="DJ152" s="6"/>
      <c r="DK152" s="6"/>
      <c r="DL152" s="6">
        <v>1003</v>
      </c>
      <c r="DM152" s="6"/>
      <c r="DN152" s="6">
        <f t="shared" si="76"/>
        <v>382</v>
      </c>
      <c r="DO152" s="6">
        <v>1355</v>
      </c>
      <c r="DP152" s="6"/>
      <c r="DQ152" s="6">
        <f t="shared" si="77"/>
        <v>352</v>
      </c>
    </row>
    <row r="153" spans="1:121">
      <c r="A153" s="6">
        <v>149</v>
      </c>
      <c r="B153" s="6">
        <v>130</v>
      </c>
      <c r="C153" s="6">
        <v>2000</v>
      </c>
      <c r="D153" s="6">
        <v>258</v>
      </c>
      <c r="E153" s="33" t="s">
        <v>135</v>
      </c>
      <c r="F153" s="33" t="s">
        <v>135</v>
      </c>
      <c r="G153" s="33" t="s">
        <v>135</v>
      </c>
      <c r="H153" s="33" t="s">
        <v>135</v>
      </c>
      <c r="I153" s="33" t="s">
        <v>135</v>
      </c>
      <c r="J153" s="33" t="s">
        <v>135</v>
      </c>
      <c r="K153" s="33" t="s">
        <v>135</v>
      </c>
      <c r="L153" s="33" t="s">
        <v>135</v>
      </c>
      <c r="M153" s="148" t="s">
        <v>128</v>
      </c>
      <c r="N153" s="33" t="s">
        <v>128</v>
      </c>
      <c r="O153" s="33" t="s">
        <v>128</v>
      </c>
      <c r="P153" s="33" t="s">
        <v>128</v>
      </c>
      <c r="Q153" s="33" t="s">
        <v>128</v>
      </c>
      <c r="R153" s="33" t="s">
        <v>128</v>
      </c>
      <c r="S153" s="33" t="s">
        <v>128</v>
      </c>
      <c r="T153" s="33" t="s">
        <v>128</v>
      </c>
      <c r="U153" s="33" t="s">
        <v>128</v>
      </c>
      <c r="V153" s="33" t="s">
        <v>128</v>
      </c>
      <c r="W153" s="33" t="s">
        <v>128</v>
      </c>
      <c r="X153" s="33" t="s">
        <v>128</v>
      </c>
      <c r="Y153" s="33" t="s">
        <v>128</v>
      </c>
      <c r="Z153" s="33" t="s">
        <v>128</v>
      </c>
      <c r="AA153" s="33" t="s">
        <v>128</v>
      </c>
      <c r="AB153" s="33" t="s">
        <v>128</v>
      </c>
      <c r="AC153" s="33" t="s">
        <v>128</v>
      </c>
      <c r="AD153" s="33" t="s">
        <v>128</v>
      </c>
      <c r="AE153" s="33" t="s">
        <v>128</v>
      </c>
      <c r="AF153" s="6">
        <v>427</v>
      </c>
      <c r="AG153" s="6"/>
      <c r="AH153" s="35">
        <f t="shared" si="52"/>
        <v>297</v>
      </c>
      <c r="AI153" s="35">
        <v>20</v>
      </c>
      <c r="AJ153" s="35">
        <v>682</v>
      </c>
      <c r="AK153" s="35">
        <f t="shared" si="53"/>
        <v>275</v>
      </c>
      <c r="AL153" s="6">
        <v>298</v>
      </c>
      <c r="AM153" s="6"/>
      <c r="AN153" s="35">
        <f t="shared" si="54"/>
        <v>278</v>
      </c>
      <c r="AO153" s="6">
        <v>581</v>
      </c>
      <c r="AP153" s="6"/>
      <c r="AQ153" s="34">
        <f t="shared" si="55"/>
        <v>283</v>
      </c>
      <c r="AR153" s="35">
        <v>866</v>
      </c>
      <c r="AS153" s="35"/>
      <c r="AT153" s="35">
        <f t="shared" si="56"/>
        <v>285</v>
      </c>
      <c r="AU153" s="6">
        <v>1127</v>
      </c>
      <c r="AV153" s="6"/>
      <c r="AW153" s="35">
        <f t="shared" si="57"/>
        <v>261</v>
      </c>
      <c r="AX153" s="6"/>
      <c r="AY153" s="6"/>
      <c r="AZ153" s="35"/>
      <c r="BA153" s="6">
        <v>0</v>
      </c>
      <c r="BB153" s="6">
        <v>1241</v>
      </c>
      <c r="BC153" s="35">
        <f t="shared" si="58"/>
        <v>114</v>
      </c>
      <c r="BD153" s="6">
        <v>260</v>
      </c>
      <c r="BE153" s="6"/>
      <c r="BF153" s="35">
        <f t="shared" si="59"/>
        <v>260</v>
      </c>
      <c r="BG153" s="6">
        <v>619</v>
      </c>
      <c r="BH153" s="6"/>
      <c r="BI153" s="6">
        <f t="shared" si="60"/>
        <v>359</v>
      </c>
      <c r="BJ153" s="6">
        <v>979</v>
      </c>
      <c r="BK153" s="35"/>
      <c r="BL153" s="6">
        <f t="shared" si="61"/>
        <v>360</v>
      </c>
      <c r="BM153" s="6">
        <v>1349</v>
      </c>
      <c r="BN153" s="6"/>
      <c r="BO153" s="6">
        <f t="shared" si="62"/>
        <v>370</v>
      </c>
      <c r="BP153" s="6">
        <v>156</v>
      </c>
      <c r="BQ153" s="6">
        <v>1551</v>
      </c>
      <c r="BR153" s="35">
        <f t="shared" si="63"/>
        <v>358</v>
      </c>
      <c r="BS153" s="6"/>
      <c r="BT153" s="6"/>
      <c r="BU153" s="6"/>
      <c r="BV153" s="6">
        <v>535</v>
      </c>
      <c r="BW153" s="6"/>
      <c r="BX153" s="35">
        <f t="shared" si="64"/>
        <v>379</v>
      </c>
      <c r="BY153" s="6">
        <v>910</v>
      </c>
      <c r="BZ153" s="35"/>
      <c r="CA153" s="6">
        <f t="shared" si="65"/>
        <v>375</v>
      </c>
      <c r="CB153" s="6">
        <v>1281</v>
      </c>
      <c r="CC153" s="6"/>
      <c r="CD153" s="6">
        <f t="shared" si="66"/>
        <v>371</v>
      </c>
      <c r="CE153" s="6">
        <v>103</v>
      </c>
      <c r="CF153" s="35">
        <v>1560</v>
      </c>
      <c r="CG153" s="6">
        <f t="shared" si="67"/>
        <v>382</v>
      </c>
      <c r="CH153" s="6">
        <v>472</v>
      </c>
      <c r="CI153" s="6"/>
      <c r="CJ153" s="6">
        <f t="shared" si="68"/>
        <v>369</v>
      </c>
      <c r="CK153" s="6">
        <v>842</v>
      </c>
      <c r="CL153" s="6"/>
      <c r="CM153" s="6">
        <f t="shared" si="69"/>
        <v>370</v>
      </c>
      <c r="CN153" s="6"/>
      <c r="CO153" s="6"/>
      <c r="CP153" s="6"/>
      <c r="CQ153" s="6">
        <v>180</v>
      </c>
      <c r="CR153" s="6">
        <v>1031</v>
      </c>
      <c r="CS153" s="6">
        <f t="shared" si="70"/>
        <v>369</v>
      </c>
      <c r="CT153" s="6">
        <v>560</v>
      </c>
      <c r="CU153" s="6"/>
      <c r="CV153" s="6">
        <f t="shared" si="71"/>
        <v>380</v>
      </c>
      <c r="CW153" s="6">
        <v>943</v>
      </c>
      <c r="CX153" s="6"/>
      <c r="CY153" s="6">
        <f t="shared" si="72"/>
        <v>383</v>
      </c>
      <c r="CZ153" s="6">
        <v>1328</v>
      </c>
      <c r="DA153" s="6"/>
      <c r="DB153" s="6">
        <f t="shared" si="73"/>
        <v>385</v>
      </c>
      <c r="DC153" s="6">
        <v>153</v>
      </c>
      <c r="DD153" s="6">
        <v>1560</v>
      </c>
      <c r="DE153" s="6">
        <f t="shared" si="74"/>
        <v>385</v>
      </c>
      <c r="DF153" s="6">
        <v>513</v>
      </c>
      <c r="DG153" s="6"/>
      <c r="DH153" s="6">
        <f t="shared" si="75"/>
        <v>360</v>
      </c>
      <c r="DI153" s="6"/>
      <c r="DJ153" s="6"/>
      <c r="DK153" s="6"/>
      <c r="DL153" s="6">
        <v>896</v>
      </c>
      <c r="DM153" s="6"/>
      <c r="DN153" s="6">
        <f t="shared" si="76"/>
        <v>383</v>
      </c>
      <c r="DO153" s="6">
        <v>1242</v>
      </c>
      <c r="DP153" s="6"/>
      <c r="DQ153" s="6">
        <f t="shared" si="77"/>
        <v>346</v>
      </c>
    </row>
    <row r="154" spans="1:121">
      <c r="A154" s="6">
        <v>150</v>
      </c>
      <c r="B154" s="6">
        <v>0</v>
      </c>
      <c r="C154" s="6"/>
      <c r="D154" s="6">
        <v>0</v>
      </c>
      <c r="E154" s="33" t="s">
        <v>56</v>
      </c>
      <c r="F154" s="33" t="s">
        <v>56</v>
      </c>
      <c r="G154" s="33" t="s">
        <v>56</v>
      </c>
      <c r="H154" s="33" t="s">
        <v>56</v>
      </c>
      <c r="I154" s="33" t="s">
        <v>56</v>
      </c>
      <c r="J154" s="33" t="s">
        <v>56</v>
      </c>
      <c r="K154" s="33" t="s">
        <v>56</v>
      </c>
      <c r="L154" s="33" t="s">
        <v>56</v>
      </c>
      <c r="M154" s="33" t="s">
        <v>56</v>
      </c>
      <c r="N154" s="33" t="s">
        <v>56</v>
      </c>
      <c r="O154" s="33" t="s">
        <v>56</v>
      </c>
      <c r="P154" s="148" t="s">
        <v>37</v>
      </c>
      <c r="Q154" s="33" t="s">
        <v>37</v>
      </c>
      <c r="R154" s="33" t="s">
        <v>37</v>
      </c>
      <c r="S154" s="33" t="s">
        <v>37</v>
      </c>
      <c r="T154" s="33" t="s">
        <v>37</v>
      </c>
      <c r="U154" s="33" t="s">
        <v>37</v>
      </c>
      <c r="V154" s="33" t="s">
        <v>37</v>
      </c>
      <c r="W154" s="33" t="s">
        <v>37</v>
      </c>
      <c r="X154" s="33" t="s">
        <v>37</v>
      </c>
      <c r="Y154" s="33" t="s">
        <v>37</v>
      </c>
      <c r="Z154" s="33" t="s">
        <v>37</v>
      </c>
      <c r="AA154" s="33" t="s">
        <v>37</v>
      </c>
      <c r="AB154" s="33" t="s">
        <v>37</v>
      </c>
      <c r="AC154" s="33" t="s">
        <v>37</v>
      </c>
      <c r="AD154" s="33" t="s">
        <v>37</v>
      </c>
      <c r="AE154" s="33" t="s">
        <v>37</v>
      </c>
      <c r="AF154" s="6">
        <v>0</v>
      </c>
      <c r="AG154" s="6"/>
      <c r="AH154" s="35">
        <f t="shared" si="52"/>
        <v>0</v>
      </c>
      <c r="AI154" s="35">
        <v>0</v>
      </c>
      <c r="AJ154" s="35"/>
      <c r="AK154" s="35">
        <f t="shared" si="53"/>
        <v>0</v>
      </c>
      <c r="AL154" s="6">
        <v>0</v>
      </c>
      <c r="AM154" s="6"/>
      <c r="AN154" s="35">
        <f t="shared" si="54"/>
        <v>0</v>
      </c>
      <c r="AO154" s="6">
        <v>0</v>
      </c>
      <c r="AP154" s="6"/>
      <c r="AQ154" s="34">
        <f t="shared" si="55"/>
        <v>0</v>
      </c>
      <c r="AR154" s="35">
        <v>0</v>
      </c>
      <c r="AS154" s="35"/>
      <c r="AT154" s="35">
        <f t="shared" si="56"/>
        <v>0</v>
      </c>
      <c r="AU154" s="6">
        <v>0</v>
      </c>
      <c r="AV154" s="6"/>
      <c r="AW154" s="35">
        <f t="shared" si="57"/>
        <v>0</v>
      </c>
      <c r="AX154" s="6"/>
      <c r="AY154" s="6"/>
      <c r="AZ154" s="35"/>
      <c r="BA154" s="35">
        <v>0</v>
      </c>
      <c r="BB154" s="35"/>
      <c r="BC154" s="35">
        <f t="shared" si="58"/>
        <v>0</v>
      </c>
      <c r="BD154" s="4">
        <v>0</v>
      </c>
      <c r="BE154" s="6"/>
      <c r="BF154" s="35">
        <f t="shared" si="59"/>
        <v>0</v>
      </c>
      <c r="BG154" s="6">
        <v>0</v>
      </c>
      <c r="BH154" s="6"/>
      <c r="BI154" s="6">
        <f t="shared" si="60"/>
        <v>0</v>
      </c>
      <c r="BJ154" s="6">
        <v>0</v>
      </c>
      <c r="BK154" s="6"/>
      <c r="BL154" s="6">
        <f t="shared" si="61"/>
        <v>0</v>
      </c>
      <c r="BM154" s="6">
        <v>328</v>
      </c>
      <c r="BN154" s="6"/>
      <c r="BO154" s="6">
        <f t="shared" si="62"/>
        <v>328</v>
      </c>
      <c r="BP154" s="6">
        <v>685</v>
      </c>
      <c r="BQ154" s="6"/>
      <c r="BR154" s="35">
        <f t="shared" si="63"/>
        <v>357</v>
      </c>
      <c r="BS154" s="6"/>
      <c r="BT154" s="6"/>
      <c r="BU154" s="6"/>
      <c r="BV154" s="6">
        <v>1063</v>
      </c>
      <c r="BW154" s="6"/>
      <c r="BX154" s="35">
        <f t="shared" si="64"/>
        <v>378</v>
      </c>
      <c r="BY154" s="6">
        <v>1433</v>
      </c>
      <c r="BZ154" s="6"/>
      <c r="CA154" s="6">
        <f t="shared" si="65"/>
        <v>370</v>
      </c>
      <c r="CB154" s="6">
        <v>247</v>
      </c>
      <c r="CC154" s="6">
        <v>1560</v>
      </c>
      <c r="CD154" s="6">
        <f t="shared" si="66"/>
        <v>374</v>
      </c>
      <c r="CE154" s="6">
        <v>625</v>
      </c>
      <c r="CF154" s="6"/>
      <c r="CG154" s="6">
        <f t="shared" si="67"/>
        <v>378</v>
      </c>
      <c r="CH154" s="6">
        <v>1006</v>
      </c>
      <c r="CI154" s="6"/>
      <c r="CJ154" s="6">
        <f t="shared" si="68"/>
        <v>381</v>
      </c>
      <c r="CK154" s="6">
        <v>1379</v>
      </c>
      <c r="CL154" s="6"/>
      <c r="CM154" s="6">
        <f t="shared" si="69"/>
        <v>373</v>
      </c>
      <c r="CN154" s="6"/>
      <c r="CO154" s="6"/>
      <c r="CP154" s="6"/>
      <c r="CQ154" s="6">
        <v>188</v>
      </c>
      <c r="CR154" s="6">
        <v>1560</v>
      </c>
      <c r="CS154" s="6">
        <f t="shared" si="70"/>
        <v>369</v>
      </c>
      <c r="CT154" s="6">
        <v>555</v>
      </c>
      <c r="CU154" s="6"/>
      <c r="CV154" s="6">
        <f t="shared" si="71"/>
        <v>367</v>
      </c>
      <c r="CW154" s="6">
        <v>934</v>
      </c>
      <c r="CX154" s="6"/>
      <c r="CY154" s="6">
        <f t="shared" si="72"/>
        <v>379</v>
      </c>
      <c r="CZ154" s="6">
        <v>1321</v>
      </c>
      <c r="DA154" s="6"/>
      <c r="DB154" s="6">
        <f t="shared" si="73"/>
        <v>387</v>
      </c>
      <c r="DC154" s="6">
        <v>150</v>
      </c>
      <c r="DD154" s="6">
        <v>1560</v>
      </c>
      <c r="DE154" s="6">
        <f t="shared" si="74"/>
        <v>389</v>
      </c>
      <c r="DF154" s="6">
        <v>516</v>
      </c>
      <c r="DG154" s="6"/>
      <c r="DH154" s="6">
        <f t="shared" si="75"/>
        <v>366</v>
      </c>
      <c r="DI154" s="6"/>
      <c r="DJ154" s="6"/>
      <c r="DK154" s="6"/>
      <c r="DL154" s="6">
        <v>897</v>
      </c>
      <c r="DM154" s="6"/>
      <c r="DN154" s="6">
        <f t="shared" si="76"/>
        <v>381</v>
      </c>
      <c r="DO154" s="6">
        <v>1254</v>
      </c>
      <c r="DP154" s="6"/>
      <c r="DQ154" s="6">
        <f t="shared" si="77"/>
        <v>357</v>
      </c>
    </row>
    <row r="155" spans="1:121">
      <c r="A155" s="6">
        <v>151</v>
      </c>
      <c r="B155" s="6">
        <v>1308</v>
      </c>
      <c r="C155" s="6"/>
      <c r="D155" s="6">
        <v>245</v>
      </c>
      <c r="E155" s="33" t="s">
        <v>135</v>
      </c>
      <c r="F155" s="33" t="s">
        <v>135</v>
      </c>
      <c r="G155" s="33" t="s">
        <v>135</v>
      </c>
      <c r="H155" s="33" t="s">
        <v>135</v>
      </c>
      <c r="I155" s="33" t="s">
        <v>135</v>
      </c>
      <c r="J155" s="33" t="s">
        <v>135</v>
      </c>
      <c r="K155" s="33" t="s">
        <v>135</v>
      </c>
      <c r="L155" s="33" t="s">
        <v>135</v>
      </c>
      <c r="M155" s="33" t="s">
        <v>135</v>
      </c>
      <c r="N155" s="148" t="s">
        <v>37</v>
      </c>
      <c r="O155" s="33" t="s">
        <v>37</v>
      </c>
      <c r="P155" s="33" t="s">
        <v>37</v>
      </c>
      <c r="Q155" s="33" t="s">
        <v>37</v>
      </c>
      <c r="R155" s="33" t="s">
        <v>37</v>
      </c>
      <c r="S155" s="33" t="s">
        <v>37</v>
      </c>
      <c r="T155" s="33" t="s">
        <v>37</v>
      </c>
      <c r="U155" s="33" t="s">
        <v>37</v>
      </c>
      <c r="V155" s="33" t="s">
        <v>37</v>
      </c>
      <c r="W155" s="33" t="s">
        <v>37</v>
      </c>
      <c r="X155" s="33" t="s">
        <v>37</v>
      </c>
      <c r="Y155" s="33" t="s">
        <v>37</v>
      </c>
      <c r="Z155" s="33" t="s">
        <v>37</v>
      </c>
      <c r="AA155" s="33" t="s">
        <v>37</v>
      </c>
      <c r="AB155" s="33" t="s">
        <v>37</v>
      </c>
      <c r="AC155" s="33" t="s">
        <v>37</v>
      </c>
      <c r="AD155" s="33" t="s">
        <v>37</v>
      </c>
      <c r="AE155" s="33" t="s">
        <v>37</v>
      </c>
      <c r="AF155" s="6">
        <v>143</v>
      </c>
      <c r="AG155" s="6">
        <v>1437</v>
      </c>
      <c r="AH155" s="35">
        <f t="shared" si="52"/>
        <v>272</v>
      </c>
      <c r="AI155" s="35">
        <v>413</v>
      </c>
      <c r="AJ155" s="35"/>
      <c r="AK155" s="35">
        <f t="shared" si="53"/>
        <v>270</v>
      </c>
      <c r="AL155" s="6">
        <v>685</v>
      </c>
      <c r="AM155" s="6"/>
      <c r="AN155" s="35">
        <f t="shared" si="54"/>
        <v>272</v>
      </c>
      <c r="AO155" s="6">
        <v>95</v>
      </c>
      <c r="AP155" s="6">
        <v>852</v>
      </c>
      <c r="AQ155" s="34">
        <f t="shared" si="55"/>
        <v>262</v>
      </c>
      <c r="AR155" s="35">
        <v>365</v>
      </c>
      <c r="AS155" s="35"/>
      <c r="AT155" s="35">
        <f t="shared" si="56"/>
        <v>270</v>
      </c>
      <c r="AU155" s="6">
        <v>610</v>
      </c>
      <c r="AV155" s="6"/>
      <c r="AW155" s="35">
        <f t="shared" si="57"/>
        <v>245</v>
      </c>
      <c r="AX155" s="6"/>
      <c r="AY155" s="6"/>
      <c r="AZ155" s="35"/>
      <c r="BA155" s="6">
        <v>883</v>
      </c>
      <c r="BB155" s="6"/>
      <c r="BC155" s="35">
        <f t="shared" si="58"/>
        <v>273</v>
      </c>
      <c r="BD155" s="6">
        <v>0</v>
      </c>
      <c r="BE155" s="6">
        <v>1021</v>
      </c>
      <c r="BF155" s="35">
        <f t="shared" si="59"/>
        <v>138</v>
      </c>
      <c r="BG155" s="6">
        <v>328</v>
      </c>
      <c r="BH155" s="6"/>
      <c r="BI155" s="6">
        <f t="shared" si="60"/>
        <v>328</v>
      </c>
      <c r="BJ155" s="6">
        <v>697</v>
      </c>
      <c r="BK155" s="35"/>
      <c r="BL155" s="6">
        <f t="shared" si="61"/>
        <v>369</v>
      </c>
      <c r="BM155" s="6">
        <v>1084</v>
      </c>
      <c r="BN155" s="6"/>
      <c r="BO155" s="6">
        <f t="shared" si="62"/>
        <v>387</v>
      </c>
      <c r="BP155" s="6">
        <v>1453</v>
      </c>
      <c r="BQ155" s="6"/>
      <c r="BR155" s="35">
        <f t="shared" si="63"/>
        <v>369</v>
      </c>
      <c r="BS155" s="6"/>
      <c r="BT155" s="6"/>
      <c r="BU155" s="6"/>
      <c r="BV155" s="6">
        <v>292</v>
      </c>
      <c r="BW155" s="6">
        <v>1560</v>
      </c>
      <c r="BX155" s="35">
        <f t="shared" si="64"/>
        <v>399</v>
      </c>
      <c r="BY155" s="6">
        <v>671</v>
      </c>
      <c r="BZ155" s="35"/>
      <c r="CA155" s="6">
        <f t="shared" si="65"/>
        <v>379</v>
      </c>
      <c r="CB155" s="6">
        <v>1041</v>
      </c>
      <c r="CC155" s="6"/>
      <c r="CD155" s="6">
        <f t="shared" si="66"/>
        <v>370</v>
      </c>
      <c r="CE155" s="6">
        <v>1430</v>
      </c>
      <c r="CF155" s="35"/>
      <c r="CG155" s="6">
        <f t="shared" si="67"/>
        <v>389</v>
      </c>
      <c r="CH155" s="6">
        <v>257</v>
      </c>
      <c r="CI155" s="6">
        <v>1560</v>
      </c>
      <c r="CJ155" s="6">
        <f t="shared" si="68"/>
        <v>387</v>
      </c>
      <c r="CK155" s="6">
        <v>632</v>
      </c>
      <c r="CL155" s="6"/>
      <c r="CM155" s="6">
        <f t="shared" si="69"/>
        <v>375</v>
      </c>
      <c r="CN155" s="6"/>
      <c r="CO155" s="6"/>
      <c r="CP155" s="6"/>
      <c r="CQ155" s="6">
        <v>1022</v>
      </c>
      <c r="CR155" s="6"/>
      <c r="CS155" s="6">
        <f t="shared" si="70"/>
        <v>390</v>
      </c>
      <c r="CT155" s="35">
        <v>1403</v>
      </c>
      <c r="CU155" s="6"/>
      <c r="CV155" s="6">
        <f t="shared" si="71"/>
        <v>381</v>
      </c>
      <c r="CW155" s="6">
        <v>224</v>
      </c>
      <c r="CX155" s="6">
        <v>1560</v>
      </c>
      <c r="CY155" s="6">
        <f t="shared" si="72"/>
        <v>381</v>
      </c>
      <c r="CZ155" s="6">
        <v>153</v>
      </c>
      <c r="DA155" s="6">
        <v>456</v>
      </c>
      <c r="DB155" s="6">
        <f t="shared" si="73"/>
        <v>385</v>
      </c>
      <c r="DC155" s="6">
        <v>539</v>
      </c>
      <c r="DD155" s="6"/>
      <c r="DE155" s="6">
        <f t="shared" si="74"/>
        <v>386</v>
      </c>
      <c r="DF155" s="6">
        <v>909</v>
      </c>
      <c r="DG155" s="6"/>
      <c r="DH155" s="6">
        <f t="shared" si="75"/>
        <v>370</v>
      </c>
      <c r="DI155" s="6"/>
      <c r="DJ155" s="6"/>
      <c r="DK155" s="6"/>
      <c r="DL155" s="6">
        <v>1298</v>
      </c>
      <c r="DM155" s="6"/>
      <c r="DN155" s="6">
        <f t="shared" si="76"/>
        <v>389</v>
      </c>
      <c r="DO155" s="6">
        <v>98</v>
      </c>
      <c r="DP155" s="6">
        <v>1560</v>
      </c>
      <c r="DQ155" s="6">
        <f t="shared" si="77"/>
        <v>360</v>
      </c>
    </row>
    <row r="156" spans="1:121">
      <c r="A156" s="6">
        <v>152</v>
      </c>
      <c r="B156" s="6">
        <v>0</v>
      </c>
      <c r="C156" s="6"/>
      <c r="D156" s="6">
        <v>0</v>
      </c>
      <c r="E156" s="33" t="s">
        <v>56</v>
      </c>
      <c r="F156" s="33" t="s">
        <v>56</v>
      </c>
      <c r="G156" s="33" t="s">
        <v>56</v>
      </c>
      <c r="H156" s="33" t="s">
        <v>56</v>
      </c>
      <c r="I156" s="33" t="s">
        <v>56</v>
      </c>
      <c r="J156" s="33" t="s">
        <v>56</v>
      </c>
      <c r="K156" s="33" t="s">
        <v>56</v>
      </c>
      <c r="L156" s="33" t="s">
        <v>56</v>
      </c>
      <c r="M156" s="33" t="s">
        <v>56</v>
      </c>
      <c r="N156" s="33" t="s">
        <v>56</v>
      </c>
      <c r="O156" s="33" t="s">
        <v>56</v>
      </c>
      <c r="P156" s="148" t="s">
        <v>37</v>
      </c>
      <c r="Q156" s="33" t="s">
        <v>37</v>
      </c>
      <c r="R156" s="33" t="s">
        <v>37</v>
      </c>
      <c r="S156" s="33" t="s">
        <v>37</v>
      </c>
      <c r="T156" s="33" t="s">
        <v>37</v>
      </c>
      <c r="U156" s="33" t="s">
        <v>37</v>
      </c>
      <c r="V156" s="33" t="s">
        <v>37</v>
      </c>
      <c r="W156" s="33" t="s">
        <v>37</v>
      </c>
      <c r="X156" s="33" t="s">
        <v>37</v>
      </c>
      <c r="Y156" s="33" t="s">
        <v>37</v>
      </c>
      <c r="Z156" s="33" t="s">
        <v>37</v>
      </c>
      <c r="AA156" s="33" t="s">
        <v>37</v>
      </c>
      <c r="AB156" s="33" t="s">
        <v>37</v>
      </c>
      <c r="AC156" s="33" t="s">
        <v>37</v>
      </c>
      <c r="AD156" s="33" t="s">
        <v>37</v>
      </c>
      <c r="AE156" s="33" t="s">
        <v>37</v>
      </c>
      <c r="AF156" s="6">
        <v>0</v>
      </c>
      <c r="AG156" s="6"/>
      <c r="AH156" s="35">
        <f t="shared" si="52"/>
        <v>0</v>
      </c>
      <c r="AI156" s="35">
        <v>0</v>
      </c>
      <c r="AJ156" s="35"/>
      <c r="AK156" s="35">
        <f t="shared" si="53"/>
        <v>0</v>
      </c>
      <c r="AL156" s="6">
        <v>0</v>
      </c>
      <c r="AM156" s="6"/>
      <c r="AN156" s="35">
        <f t="shared" si="54"/>
        <v>0</v>
      </c>
      <c r="AO156" s="6">
        <v>0</v>
      </c>
      <c r="AP156" s="6"/>
      <c r="AQ156" s="34">
        <f t="shared" si="55"/>
        <v>0</v>
      </c>
      <c r="AR156" s="35">
        <v>0</v>
      </c>
      <c r="AS156" s="35"/>
      <c r="AT156" s="35">
        <f t="shared" si="56"/>
        <v>0</v>
      </c>
      <c r="AU156" s="6">
        <v>0</v>
      </c>
      <c r="AV156" s="6"/>
      <c r="AW156" s="35">
        <f t="shared" si="57"/>
        <v>0</v>
      </c>
      <c r="AX156" s="6"/>
      <c r="AY156" s="6"/>
      <c r="AZ156" s="35"/>
      <c r="BA156" s="6">
        <v>0</v>
      </c>
      <c r="BB156" s="6"/>
      <c r="BC156" s="35">
        <f t="shared" si="58"/>
        <v>0</v>
      </c>
      <c r="BD156" s="6">
        <v>0</v>
      </c>
      <c r="BE156" s="6"/>
      <c r="BF156" s="35">
        <f t="shared" si="59"/>
        <v>0</v>
      </c>
      <c r="BG156" s="6">
        <v>0</v>
      </c>
      <c r="BH156" s="6"/>
      <c r="BI156" s="6">
        <f t="shared" si="60"/>
        <v>0</v>
      </c>
      <c r="BJ156" s="6">
        <v>0</v>
      </c>
      <c r="BK156" s="35"/>
      <c r="BL156" s="6">
        <f t="shared" si="61"/>
        <v>0</v>
      </c>
      <c r="BM156" s="6">
        <v>322</v>
      </c>
      <c r="BN156" s="6"/>
      <c r="BO156" s="6">
        <f t="shared" si="62"/>
        <v>322</v>
      </c>
      <c r="BP156" s="6">
        <v>659</v>
      </c>
      <c r="BQ156" s="6"/>
      <c r="BR156" s="35">
        <f t="shared" si="63"/>
        <v>337</v>
      </c>
      <c r="BS156" s="6"/>
      <c r="BT156" s="6"/>
      <c r="BU156" s="6"/>
      <c r="BV156" s="6">
        <v>1025</v>
      </c>
      <c r="BW156" s="6"/>
      <c r="BX156" s="35">
        <f t="shared" si="64"/>
        <v>366</v>
      </c>
      <c r="BY156" s="6">
        <v>1387</v>
      </c>
      <c r="BZ156" s="35"/>
      <c r="CA156" s="6">
        <f t="shared" si="65"/>
        <v>362</v>
      </c>
      <c r="CB156" s="6">
        <v>184</v>
      </c>
      <c r="CC156" s="6">
        <v>1560</v>
      </c>
      <c r="CD156" s="6">
        <f t="shared" si="66"/>
        <v>357</v>
      </c>
      <c r="CE156" s="6">
        <v>567</v>
      </c>
      <c r="CF156" s="35"/>
      <c r="CG156" s="6">
        <f t="shared" si="67"/>
        <v>383</v>
      </c>
      <c r="CH156" s="6">
        <v>948</v>
      </c>
      <c r="CI156" s="6"/>
      <c r="CJ156" s="6">
        <f t="shared" si="68"/>
        <v>381</v>
      </c>
      <c r="CK156" s="6">
        <v>1326</v>
      </c>
      <c r="CL156" s="6"/>
      <c r="CM156" s="6">
        <f t="shared" si="69"/>
        <v>378</v>
      </c>
      <c r="CN156" s="6"/>
      <c r="CO156" s="6"/>
      <c r="CP156" s="6"/>
      <c r="CQ156" s="6">
        <v>155</v>
      </c>
      <c r="CR156" s="6">
        <v>1560</v>
      </c>
      <c r="CS156" s="6">
        <f t="shared" si="70"/>
        <v>389</v>
      </c>
      <c r="CT156" s="6">
        <v>540</v>
      </c>
      <c r="CU156" s="6"/>
      <c r="CV156" s="6">
        <f t="shared" si="71"/>
        <v>385</v>
      </c>
      <c r="CW156" s="6">
        <v>929</v>
      </c>
      <c r="CX156" s="6"/>
      <c r="CY156" s="6">
        <f t="shared" si="72"/>
        <v>389</v>
      </c>
      <c r="CZ156" s="6">
        <v>1315</v>
      </c>
      <c r="DA156" s="6"/>
      <c r="DB156" s="6">
        <f t="shared" si="73"/>
        <v>386</v>
      </c>
      <c r="DC156" s="6">
        <v>140</v>
      </c>
      <c r="DD156" s="6">
        <v>1560</v>
      </c>
      <c r="DE156" s="6">
        <f t="shared" si="74"/>
        <v>385</v>
      </c>
      <c r="DF156" s="6">
        <v>504</v>
      </c>
      <c r="DG156" s="6"/>
      <c r="DH156" s="6">
        <f t="shared" si="75"/>
        <v>364</v>
      </c>
      <c r="DI156" s="6"/>
      <c r="DJ156" s="6"/>
      <c r="DK156" s="6"/>
      <c r="DL156" s="6">
        <v>892</v>
      </c>
      <c r="DM156" s="6"/>
      <c r="DN156" s="6">
        <f t="shared" si="76"/>
        <v>388</v>
      </c>
      <c r="DO156" s="6">
        <v>1252</v>
      </c>
      <c r="DP156" s="6"/>
      <c r="DQ156" s="6">
        <f t="shared" si="77"/>
        <v>360</v>
      </c>
    </row>
    <row r="157" spans="1:121">
      <c r="A157" s="6">
        <v>153</v>
      </c>
      <c r="B157" s="6">
        <v>1269</v>
      </c>
      <c r="C157" s="6"/>
      <c r="D157" s="6">
        <v>246</v>
      </c>
      <c r="E157" s="33" t="s">
        <v>135</v>
      </c>
      <c r="F157" s="33" t="s">
        <v>135</v>
      </c>
      <c r="G157" s="33" t="s">
        <v>135</v>
      </c>
      <c r="H157" s="33" t="s">
        <v>135</v>
      </c>
      <c r="I157" s="33" t="s">
        <v>135</v>
      </c>
      <c r="J157" s="33" t="s">
        <v>135</v>
      </c>
      <c r="K157" s="33" t="s">
        <v>135</v>
      </c>
      <c r="L157" s="33" t="s">
        <v>135</v>
      </c>
      <c r="M157" s="33" t="s">
        <v>135</v>
      </c>
      <c r="N157" s="33" t="s">
        <v>135</v>
      </c>
      <c r="O157" s="33" t="s">
        <v>135</v>
      </c>
      <c r="P157" s="33" t="s">
        <v>135</v>
      </c>
      <c r="Q157" s="33" t="s">
        <v>135</v>
      </c>
      <c r="R157" s="33" t="s">
        <v>135</v>
      </c>
      <c r="S157" s="148" t="s">
        <v>37</v>
      </c>
      <c r="T157" s="33" t="s">
        <v>37</v>
      </c>
      <c r="U157" s="33" t="s">
        <v>37</v>
      </c>
      <c r="V157" s="33" t="s">
        <v>37</v>
      </c>
      <c r="W157" s="33" t="s">
        <v>37</v>
      </c>
      <c r="X157" s="33" t="s">
        <v>37</v>
      </c>
      <c r="Y157" s="33" t="s">
        <v>37</v>
      </c>
      <c r="Z157" s="33" t="s">
        <v>37</v>
      </c>
      <c r="AA157" s="33" t="s">
        <v>37</v>
      </c>
      <c r="AB157" s="33" t="s">
        <v>37</v>
      </c>
      <c r="AC157" s="33" t="s">
        <v>37</v>
      </c>
      <c r="AD157" s="33" t="s">
        <v>37</v>
      </c>
      <c r="AE157" s="33" t="s">
        <v>37</v>
      </c>
      <c r="AF157" s="6">
        <v>1556</v>
      </c>
      <c r="AG157" s="6"/>
      <c r="AH157" s="35">
        <f t="shared" si="52"/>
        <v>287</v>
      </c>
      <c r="AI157" s="35">
        <v>1828</v>
      </c>
      <c r="AJ157" s="35"/>
      <c r="AK157" s="35">
        <f t="shared" si="53"/>
        <v>272</v>
      </c>
      <c r="AL157" s="6">
        <v>100</v>
      </c>
      <c r="AM157" s="6">
        <v>2000</v>
      </c>
      <c r="AN157" s="35">
        <f t="shared" si="54"/>
        <v>272</v>
      </c>
      <c r="AO157" s="6">
        <v>373</v>
      </c>
      <c r="AP157" s="6"/>
      <c r="AQ157" s="34">
        <f t="shared" si="55"/>
        <v>273</v>
      </c>
      <c r="AR157" s="35">
        <v>646</v>
      </c>
      <c r="AS157" s="35"/>
      <c r="AT157" s="35">
        <f t="shared" si="56"/>
        <v>273</v>
      </c>
      <c r="AU157" s="6">
        <v>903</v>
      </c>
      <c r="AV157" s="6"/>
      <c r="AW157" s="35">
        <f t="shared" si="57"/>
        <v>257</v>
      </c>
      <c r="AX157" s="6"/>
      <c r="AY157" s="6"/>
      <c r="AZ157" s="35"/>
      <c r="BA157" s="6">
        <v>1180</v>
      </c>
      <c r="BB157" s="6"/>
      <c r="BC157" s="35">
        <f t="shared" si="58"/>
        <v>277</v>
      </c>
      <c r="BD157" s="6">
        <v>1450</v>
      </c>
      <c r="BE157" s="6"/>
      <c r="BF157" s="35">
        <f t="shared" si="59"/>
        <v>270</v>
      </c>
      <c r="BG157" s="6">
        <v>1723</v>
      </c>
      <c r="BH157" s="6"/>
      <c r="BI157" s="6">
        <f t="shared" si="60"/>
        <v>273</v>
      </c>
      <c r="BJ157" s="6">
        <v>1996</v>
      </c>
      <c r="BK157" s="35"/>
      <c r="BL157" s="6">
        <f t="shared" si="61"/>
        <v>273</v>
      </c>
      <c r="BM157" s="6">
        <v>2266</v>
      </c>
      <c r="BN157" s="6"/>
      <c r="BO157" s="6">
        <f t="shared" si="62"/>
        <v>270</v>
      </c>
      <c r="BP157" s="6">
        <v>2517</v>
      </c>
      <c r="BQ157" s="6"/>
      <c r="BR157" s="35">
        <f t="shared" si="63"/>
        <v>251</v>
      </c>
      <c r="BS157" s="6"/>
      <c r="BT157" s="6"/>
      <c r="BU157" s="6"/>
      <c r="BV157" s="6">
        <v>2779</v>
      </c>
      <c r="BW157" s="6"/>
      <c r="BX157" s="35">
        <f t="shared" si="64"/>
        <v>262</v>
      </c>
      <c r="BY157" s="6">
        <v>281</v>
      </c>
      <c r="BZ157" s="6">
        <v>2829</v>
      </c>
      <c r="CA157" s="6">
        <f t="shared" si="65"/>
        <v>331</v>
      </c>
      <c r="CB157" s="6">
        <v>647</v>
      </c>
      <c r="CC157" s="6"/>
      <c r="CD157" s="6">
        <f t="shared" si="66"/>
        <v>366</v>
      </c>
      <c r="CE157" s="6">
        <v>1016</v>
      </c>
      <c r="CF157" s="6"/>
      <c r="CG157" s="6">
        <f t="shared" si="67"/>
        <v>369</v>
      </c>
      <c r="CH157" s="6">
        <v>1380</v>
      </c>
      <c r="CI157" s="6"/>
      <c r="CJ157" s="6">
        <f t="shared" si="68"/>
        <v>364</v>
      </c>
      <c r="CK157" s="6">
        <v>158</v>
      </c>
      <c r="CL157" s="6">
        <v>1560</v>
      </c>
      <c r="CM157" s="6">
        <f t="shared" si="69"/>
        <v>338</v>
      </c>
      <c r="CN157" s="6"/>
      <c r="CO157" s="6"/>
      <c r="CP157" s="6"/>
      <c r="CQ157" s="6">
        <v>511</v>
      </c>
      <c r="CR157" s="6"/>
      <c r="CS157" s="6">
        <f t="shared" si="70"/>
        <v>353</v>
      </c>
      <c r="CT157" s="6">
        <v>872</v>
      </c>
      <c r="CU157" s="6"/>
      <c r="CV157" s="6">
        <f t="shared" si="71"/>
        <v>361</v>
      </c>
      <c r="CW157" s="6">
        <v>1246</v>
      </c>
      <c r="CX157" s="6"/>
      <c r="CY157" s="6">
        <f t="shared" si="72"/>
        <v>374</v>
      </c>
      <c r="CZ157" s="6">
        <v>1621</v>
      </c>
      <c r="DA157" s="6"/>
      <c r="DB157" s="6">
        <f t="shared" si="73"/>
        <v>375</v>
      </c>
      <c r="DC157" s="6">
        <v>226</v>
      </c>
      <c r="DD157" s="6">
        <v>1771</v>
      </c>
      <c r="DE157" s="6">
        <f t="shared" si="74"/>
        <v>376</v>
      </c>
      <c r="DF157" s="6">
        <v>581</v>
      </c>
      <c r="DG157" s="6"/>
      <c r="DH157" s="6">
        <f t="shared" si="75"/>
        <v>355</v>
      </c>
      <c r="DI157" s="6"/>
      <c r="DJ157" s="6"/>
      <c r="DK157" s="6"/>
      <c r="DL157" s="6">
        <v>957</v>
      </c>
      <c r="DM157" s="6"/>
      <c r="DN157" s="6">
        <f t="shared" si="76"/>
        <v>376</v>
      </c>
      <c r="DO157" s="6">
        <v>1303</v>
      </c>
      <c r="DP157" s="6"/>
      <c r="DQ157" s="6">
        <f t="shared" si="77"/>
        <v>346</v>
      </c>
    </row>
    <row r="158" spans="1:121">
      <c r="A158" s="6">
        <v>154</v>
      </c>
      <c r="B158" s="6">
        <v>558</v>
      </c>
      <c r="C158" s="6"/>
      <c r="D158" s="6">
        <v>233</v>
      </c>
      <c r="E158" s="33" t="s">
        <v>99</v>
      </c>
      <c r="F158" s="33" t="s">
        <v>99</v>
      </c>
      <c r="G158" s="33" t="s">
        <v>99</v>
      </c>
      <c r="H158" s="33" t="s">
        <v>99</v>
      </c>
      <c r="I158" s="33" t="s">
        <v>99</v>
      </c>
      <c r="J158" s="33" t="s">
        <v>99</v>
      </c>
      <c r="K158" s="33" t="s">
        <v>99</v>
      </c>
      <c r="L158" s="33" t="s">
        <v>99</v>
      </c>
      <c r="M158" s="33" t="s">
        <v>99</v>
      </c>
      <c r="N158" s="33" t="s">
        <v>99</v>
      </c>
      <c r="O158" s="33" t="s">
        <v>99</v>
      </c>
      <c r="P158" s="33" t="s">
        <v>99</v>
      </c>
      <c r="Q158" s="33" t="s">
        <v>99</v>
      </c>
      <c r="R158" s="33" t="s">
        <v>99</v>
      </c>
      <c r="S158" s="33" t="s">
        <v>99</v>
      </c>
      <c r="T158" s="33" t="s">
        <v>99</v>
      </c>
      <c r="U158" s="148" t="s">
        <v>128</v>
      </c>
      <c r="V158" s="33" t="s">
        <v>128</v>
      </c>
      <c r="W158" s="33" t="s">
        <v>128</v>
      </c>
      <c r="X158" s="33" t="s">
        <v>128</v>
      </c>
      <c r="Y158" s="33" t="s">
        <v>128</v>
      </c>
      <c r="Z158" s="33" t="s">
        <v>128</v>
      </c>
      <c r="AA158" s="33" t="s">
        <v>128</v>
      </c>
      <c r="AB158" s="33" t="s">
        <v>128</v>
      </c>
      <c r="AC158" s="33" t="s">
        <v>128</v>
      </c>
      <c r="AD158" s="33" t="s">
        <v>128</v>
      </c>
      <c r="AE158" s="33" t="s">
        <v>128</v>
      </c>
      <c r="AF158" s="6">
        <v>834</v>
      </c>
      <c r="AG158" s="6"/>
      <c r="AH158" s="35">
        <f t="shared" si="52"/>
        <v>276</v>
      </c>
      <c r="AI158" s="35">
        <v>1095</v>
      </c>
      <c r="AJ158" s="35"/>
      <c r="AK158" s="35">
        <f t="shared" si="53"/>
        <v>261</v>
      </c>
      <c r="AL158" s="6">
        <v>1360</v>
      </c>
      <c r="AM158" s="6"/>
      <c r="AN158" s="35">
        <f t="shared" si="54"/>
        <v>265</v>
      </c>
      <c r="AO158" s="6">
        <v>125</v>
      </c>
      <c r="AP158" s="6">
        <v>1500</v>
      </c>
      <c r="AQ158" s="34">
        <f t="shared" si="55"/>
        <v>265</v>
      </c>
      <c r="AR158" s="35">
        <v>388</v>
      </c>
      <c r="AS158" s="35"/>
      <c r="AT158" s="35">
        <f t="shared" si="56"/>
        <v>263</v>
      </c>
      <c r="AU158" s="6">
        <v>633</v>
      </c>
      <c r="AV158" s="6"/>
      <c r="AW158" s="35">
        <f t="shared" si="57"/>
        <v>245</v>
      </c>
      <c r="AX158" s="6"/>
      <c r="AY158" s="6"/>
      <c r="AZ158" s="35"/>
      <c r="BA158" s="35">
        <v>901</v>
      </c>
      <c r="BB158" s="35"/>
      <c r="BC158" s="35">
        <f t="shared" si="58"/>
        <v>268</v>
      </c>
      <c r="BD158" s="6">
        <v>1160</v>
      </c>
      <c r="BE158" s="6"/>
      <c r="BF158" s="35">
        <f t="shared" si="59"/>
        <v>259</v>
      </c>
      <c r="BG158" s="6">
        <v>1423</v>
      </c>
      <c r="BH158" s="6"/>
      <c r="BI158" s="6">
        <f t="shared" si="60"/>
        <v>263</v>
      </c>
      <c r="BJ158" s="6">
        <v>185</v>
      </c>
      <c r="BK158" s="6">
        <v>1500</v>
      </c>
      <c r="BL158" s="6">
        <f t="shared" si="61"/>
        <v>262</v>
      </c>
      <c r="BM158" s="6">
        <v>442</v>
      </c>
      <c r="BN158" s="6"/>
      <c r="BO158" s="6">
        <f t="shared" si="62"/>
        <v>257</v>
      </c>
      <c r="BP158" s="6">
        <v>685</v>
      </c>
      <c r="BQ158" s="6"/>
      <c r="BR158" s="35">
        <f t="shared" si="63"/>
        <v>243</v>
      </c>
      <c r="BS158" s="6"/>
      <c r="BT158" s="6"/>
      <c r="BU158" s="6"/>
      <c r="BV158" s="6">
        <v>938</v>
      </c>
      <c r="BW158" s="6"/>
      <c r="BX158" s="35">
        <f t="shared" si="64"/>
        <v>253</v>
      </c>
      <c r="BY158" s="6">
        <v>1201</v>
      </c>
      <c r="BZ158" s="6"/>
      <c r="CA158" s="6">
        <f t="shared" si="65"/>
        <v>263</v>
      </c>
      <c r="CB158" s="6">
        <v>0</v>
      </c>
      <c r="CC158" s="6">
        <v>1354</v>
      </c>
      <c r="CD158" s="6">
        <f t="shared" si="66"/>
        <v>153</v>
      </c>
      <c r="CE158" s="6">
        <v>352</v>
      </c>
      <c r="CF158" s="6"/>
      <c r="CG158" s="6">
        <f t="shared" si="67"/>
        <v>352</v>
      </c>
      <c r="CH158" s="6">
        <v>725</v>
      </c>
      <c r="CI158" s="6"/>
      <c r="CJ158" s="6">
        <f t="shared" si="68"/>
        <v>373</v>
      </c>
      <c r="CK158" s="6">
        <v>1090</v>
      </c>
      <c r="CL158" s="6"/>
      <c r="CM158" s="6">
        <f t="shared" si="69"/>
        <v>365</v>
      </c>
      <c r="CN158" s="6"/>
      <c r="CO158" s="6"/>
      <c r="CP158" s="6"/>
      <c r="CQ158" s="6">
        <v>1479</v>
      </c>
      <c r="CR158" s="6"/>
      <c r="CS158" s="6">
        <f t="shared" si="70"/>
        <v>389</v>
      </c>
      <c r="CT158" s="6">
        <v>301</v>
      </c>
      <c r="CU158" s="6">
        <v>1560</v>
      </c>
      <c r="CV158" s="6">
        <f t="shared" si="71"/>
        <v>382</v>
      </c>
      <c r="CW158" s="6">
        <v>686</v>
      </c>
      <c r="CX158" s="6"/>
      <c r="CY158" s="6">
        <f t="shared" si="72"/>
        <v>385</v>
      </c>
      <c r="CZ158" s="6">
        <v>1072</v>
      </c>
      <c r="DA158" s="6"/>
      <c r="DB158" s="6">
        <f t="shared" si="73"/>
        <v>386</v>
      </c>
      <c r="DC158" s="6">
        <v>1451</v>
      </c>
      <c r="DD158" s="6"/>
      <c r="DE158" s="6">
        <f t="shared" si="74"/>
        <v>379</v>
      </c>
      <c r="DF158" s="6">
        <v>247</v>
      </c>
      <c r="DG158" s="6">
        <v>1560</v>
      </c>
      <c r="DH158" s="6">
        <f t="shared" si="75"/>
        <v>356</v>
      </c>
      <c r="DI158" s="6"/>
      <c r="DJ158" s="6"/>
      <c r="DK158" s="6"/>
      <c r="DL158" s="6">
        <v>619</v>
      </c>
      <c r="DM158" s="6"/>
      <c r="DN158" s="6">
        <f t="shared" si="76"/>
        <v>372</v>
      </c>
      <c r="DO158" s="6">
        <v>977</v>
      </c>
      <c r="DP158" s="6"/>
      <c r="DQ158" s="6">
        <f t="shared" si="77"/>
        <v>358</v>
      </c>
    </row>
    <row r="159" spans="1:121">
      <c r="A159" s="6">
        <v>155</v>
      </c>
      <c r="B159" s="6">
        <v>0</v>
      </c>
      <c r="C159" s="6"/>
      <c r="D159" s="6">
        <v>0</v>
      </c>
      <c r="E159" s="33" t="s">
        <v>56</v>
      </c>
      <c r="F159" s="33" t="s">
        <v>56</v>
      </c>
      <c r="G159" s="148" t="s">
        <v>239</v>
      </c>
      <c r="H159" s="33" t="s">
        <v>239</v>
      </c>
      <c r="I159" s="33" t="s">
        <v>239</v>
      </c>
      <c r="J159" s="33" t="s">
        <v>239</v>
      </c>
      <c r="K159" s="33" t="s">
        <v>239</v>
      </c>
      <c r="L159" s="33" t="s">
        <v>239</v>
      </c>
      <c r="M159" s="33" t="s">
        <v>239</v>
      </c>
      <c r="N159" s="33" t="s">
        <v>239</v>
      </c>
      <c r="O159" s="33" t="s">
        <v>239</v>
      </c>
      <c r="P159" s="33" t="s">
        <v>239</v>
      </c>
      <c r="Q159" s="33" t="s">
        <v>239</v>
      </c>
      <c r="R159" s="33" t="s">
        <v>239</v>
      </c>
      <c r="S159" s="33" t="s">
        <v>239</v>
      </c>
      <c r="T159" s="33" t="s">
        <v>239</v>
      </c>
      <c r="U159" s="33" t="s">
        <v>239</v>
      </c>
      <c r="V159" s="33" t="s">
        <v>239</v>
      </c>
      <c r="W159" s="33" t="s">
        <v>239</v>
      </c>
      <c r="X159" s="148" t="s">
        <v>37</v>
      </c>
      <c r="Y159" s="33" t="s">
        <v>37</v>
      </c>
      <c r="Z159" s="33" t="s">
        <v>37</v>
      </c>
      <c r="AA159" s="33" t="s">
        <v>37</v>
      </c>
      <c r="AB159" s="33" t="s">
        <v>37</v>
      </c>
      <c r="AC159" s="33" t="s">
        <v>37</v>
      </c>
      <c r="AD159" s="33" t="s">
        <v>37</v>
      </c>
      <c r="AE159" s="33" t="s">
        <v>37</v>
      </c>
      <c r="AF159" s="6">
        <v>0</v>
      </c>
      <c r="AG159" s="6"/>
      <c r="AH159" s="35">
        <f t="shared" si="52"/>
        <v>0</v>
      </c>
      <c r="AI159" s="35">
        <v>16</v>
      </c>
      <c r="AJ159" s="35"/>
      <c r="AK159" s="35">
        <f t="shared" si="53"/>
        <v>16</v>
      </c>
      <c r="AL159" s="6">
        <v>476</v>
      </c>
      <c r="AM159" s="6"/>
      <c r="AN159" s="35">
        <f t="shared" si="54"/>
        <v>460</v>
      </c>
      <c r="AO159" s="6">
        <v>0</v>
      </c>
      <c r="AP159" s="6">
        <v>500</v>
      </c>
      <c r="AQ159" s="34">
        <f t="shared" si="55"/>
        <v>24</v>
      </c>
      <c r="AR159" s="35">
        <v>0</v>
      </c>
      <c r="AS159" s="35"/>
      <c r="AT159" s="35">
        <f t="shared" si="56"/>
        <v>0</v>
      </c>
      <c r="AU159" s="6">
        <v>0</v>
      </c>
      <c r="AV159" s="6"/>
      <c r="AW159" s="35">
        <f t="shared" si="57"/>
        <v>0</v>
      </c>
      <c r="AX159" s="6"/>
      <c r="AY159" s="6"/>
      <c r="AZ159" s="35"/>
      <c r="BA159" s="6"/>
      <c r="BB159" s="6"/>
      <c r="BC159" s="35">
        <f t="shared" si="58"/>
        <v>0</v>
      </c>
      <c r="BD159" s="6">
        <v>0</v>
      </c>
      <c r="BE159" s="6"/>
      <c r="BF159" s="35">
        <f t="shared" si="59"/>
        <v>0</v>
      </c>
      <c r="BG159" s="6">
        <v>0</v>
      </c>
      <c r="BH159" s="6"/>
      <c r="BI159" s="6">
        <f t="shared" si="60"/>
        <v>0</v>
      </c>
      <c r="BJ159" s="6">
        <v>0</v>
      </c>
      <c r="BK159" s="35"/>
      <c r="BL159" s="6">
        <f t="shared" si="61"/>
        <v>0</v>
      </c>
      <c r="BM159" s="6">
        <v>0</v>
      </c>
      <c r="BN159" s="6"/>
      <c r="BO159" s="6">
        <f t="shared" si="62"/>
        <v>0</v>
      </c>
      <c r="BP159" s="6">
        <v>0</v>
      </c>
      <c r="BQ159" s="6"/>
      <c r="BR159" s="35">
        <f t="shared" si="63"/>
        <v>0</v>
      </c>
      <c r="BS159" s="6"/>
      <c r="BT159" s="6"/>
      <c r="BU159" s="6"/>
      <c r="BV159" s="6">
        <v>0</v>
      </c>
      <c r="BW159" s="6"/>
      <c r="BX159" s="35">
        <f t="shared" si="64"/>
        <v>0</v>
      </c>
      <c r="BY159" s="6">
        <v>0</v>
      </c>
      <c r="BZ159" s="35"/>
      <c r="CA159" s="6">
        <f t="shared" si="65"/>
        <v>0</v>
      </c>
      <c r="CB159" s="6">
        <v>0</v>
      </c>
      <c r="CC159" s="6"/>
      <c r="CD159" s="6">
        <f t="shared" si="66"/>
        <v>0</v>
      </c>
      <c r="CE159" s="6">
        <v>0</v>
      </c>
      <c r="CF159" s="35"/>
      <c r="CG159" s="6">
        <f t="shared" si="67"/>
        <v>0</v>
      </c>
      <c r="CH159" s="6">
        <v>288</v>
      </c>
      <c r="CI159" s="6"/>
      <c r="CJ159" s="6">
        <f t="shared" si="68"/>
        <v>288</v>
      </c>
      <c r="CK159" s="6">
        <v>0</v>
      </c>
      <c r="CL159" s="6">
        <v>465</v>
      </c>
      <c r="CM159" s="6">
        <f t="shared" si="69"/>
        <v>177</v>
      </c>
      <c r="CN159" s="6"/>
      <c r="CO159" s="6"/>
      <c r="CP159" s="6"/>
      <c r="CQ159" s="6">
        <v>343</v>
      </c>
      <c r="CR159" s="6"/>
      <c r="CS159" s="6">
        <f t="shared" si="70"/>
        <v>343</v>
      </c>
      <c r="CT159" s="6">
        <v>728</v>
      </c>
      <c r="CU159" s="6"/>
      <c r="CV159" s="6">
        <f t="shared" si="71"/>
        <v>385</v>
      </c>
      <c r="CW159" s="6">
        <v>1116</v>
      </c>
      <c r="CX159" s="6"/>
      <c r="CY159" s="6">
        <f t="shared" si="72"/>
        <v>388</v>
      </c>
      <c r="CZ159" s="6">
        <v>1503</v>
      </c>
      <c r="DA159" s="6"/>
      <c r="DB159" s="6">
        <f t="shared" si="73"/>
        <v>387</v>
      </c>
      <c r="DC159" s="6">
        <v>327</v>
      </c>
      <c r="DD159" s="6">
        <v>1560</v>
      </c>
      <c r="DE159" s="6">
        <f t="shared" si="74"/>
        <v>384</v>
      </c>
      <c r="DF159" s="6">
        <v>696</v>
      </c>
      <c r="DG159" s="6"/>
      <c r="DH159" s="6">
        <f t="shared" si="75"/>
        <v>369</v>
      </c>
      <c r="DI159" s="6"/>
      <c r="DJ159" s="6"/>
      <c r="DK159" s="6"/>
      <c r="DL159" s="6">
        <v>1083</v>
      </c>
      <c r="DM159" s="6"/>
      <c r="DN159" s="6">
        <f t="shared" si="76"/>
        <v>387</v>
      </c>
      <c r="DO159" s="6">
        <v>1433</v>
      </c>
      <c r="DP159" s="6"/>
      <c r="DQ159" s="6">
        <f t="shared" si="77"/>
        <v>350</v>
      </c>
    </row>
    <row r="160" spans="1:121">
      <c r="A160" s="6">
        <v>156</v>
      </c>
      <c r="B160" s="6">
        <v>36</v>
      </c>
      <c r="C160" s="6">
        <v>1328</v>
      </c>
      <c r="D160" s="6">
        <v>209</v>
      </c>
      <c r="E160" s="33" t="s">
        <v>124</v>
      </c>
      <c r="F160" s="33" t="s">
        <v>124</v>
      </c>
      <c r="G160" s="33" t="s">
        <v>124</v>
      </c>
      <c r="H160" s="33" t="s">
        <v>124</v>
      </c>
      <c r="I160" s="33" t="s">
        <v>124</v>
      </c>
      <c r="J160" s="33" t="s">
        <v>124</v>
      </c>
      <c r="K160" s="148" t="s">
        <v>124</v>
      </c>
      <c r="L160" s="33" t="s">
        <v>124</v>
      </c>
      <c r="M160" s="33" t="s">
        <v>124</v>
      </c>
      <c r="N160" s="33" t="s">
        <v>124</v>
      </c>
      <c r="O160" s="148" t="s">
        <v>37</v>
      </c>
      <c r="P160" s="33" t="s">
        <v>37</v>
      </c>
      <c r="Q160" s="33" t="s">
        <v>37</v>
      </c>
      <c r="R160" s="33" t="s">
        <v>37</v>
      </c>
      <c r="S160" s="33" t="s">
        <v>37</v>
      </c>
      <c r="T160" s="33" t="s">
        <v>37</v>
      </c>
      <c r="U160" s="33" t="s">
        <v>37</v>
      </c>
      <c r="V160" s="33" t="s">
        <v>37</v>
      </c>
      <c r="W160" s="33" t="s">
        <v>37</v>
      </c>
      <c r="X160" s="33" t="s">
        <v>37</v>
      </c>
      <c r="Y160" s="33" t="s">
        <v>37</v>
      </c>
      <c r="Z160" s="33" t="s">
        <v>37</v>
      </c>
      <c r="AA160" s="33" t="s">
        <v>37</v>
      </c>
      <c r="AB160" s="33" t="s">
        <v>37</v>
      </c>
      <c r="AC160" s="33" t="s">
        <v>37</v>
      </c>
      <c r="AD160" s="33" t="s">
        <v>37</v>
      </c>
      <c r="AE160" s="33" t="s">
        <v>37</v>
      </c>
      <c r="AF160" s="6">
        <v>286</v>
      </c>
      <c r="AG160" s="6"/>
      <c r="AH160" s="35">
        <f t="shared" si="52"/>
        <v>250</v>
      </c>
      <c r="AI160" s="35">
        <v>517</v>
      </c>
      <c r="AJ160" s="35"/>
      <c r="AK160" s="35">
        <f t="shared" si="53"/>
        <v>231</v>
      </c>
      <c r="AL160" s="6">
        <v>519</v>
      </c>
      <c r="AM160" s="6"/>
      <c r="AN160" s="35">
        <f t="shared" si="54"/>
        <v>2</v>
      </c>
      <c r="AO160" s="6">
        <v>519</v>
      </c>
      <c r="AP160" s="6"/>
      <c r="AQ160" s="34">
        <f t="shared" si="55"/>
        <v>0</v>
      </c>
      <c r="AR160" s="35">
        <v>715</v>
      </c>
      <c r="AS160" s="35"/>
      <c r="AT160" s="35">
        <f t="shared" si="56"/>
        <v>196</v>
      </c>
      <c r="AU160" s="6">
        <v>164</v>
      </c>
      <c r="AV160" s="6">
        <v>754</v>
      </c>
      <c r="AW160" s="35">
        <f t="shared" si="57"/>
        <v>203</v>
      </c>
      <c r="AX160" s="6"/>
      <c r="AY160" s="6"/>
      <c r="AZ160" s="35"/>
      <c r="BA160" s="35">
        <v>399</v>
      </c>
      <c r="BB160" s="35"/>
      <c r="BC160" s="35">
        <f t="shared" si="58"/>
        <v>235</v>
      </c>
      <c r="BD160" s="6">
        <v>631</v>
      </c>
      <c r="BE160" s="6"/>
      <c r="BF160" s="35">
        <f t="shared" si="59"/>
        <v>232</v>
      </c>
      <c r="BG160" s="6">
        <v>0</v>
      </c>
      <c r="BH160" s="6">
        <v>638</v>
      </c>
      <c r="BI160" s="6">
        <f t="shared" si="60"/>
        <v>7</v>
      </c>
      <c r="BJ160" s="6">
        <v>23</v>
      </c>
      <c r="BK160" s="6"/>
      <c r="BL160" s="6">
        <f t="shared" si="61"/>
        <v>23</v>
      </c>
      <c r="BM160" s="6">
        <v>407</v>
      </c>
      <c r="BN160" s="6"/>
      <c r="BO160" s="6">
        <f t="shared" si="62"/>
        <v>384</v>
      </c>
      <c r="BP160" s="6">
        <v>780</v>
      </c>
      <c r="BQ160" s="6"/>
      <c r="BR160" s="35">
        <f t="shared" si="63"/>
        <v>373</v>
      </c>
      <c r="BS160" s="6"/>
      <c r="BT160" s="6"/>
      <c r="BU160" s="6"/>
      <c r="BV160" s="6">
        <v>1180</v>
      </c>
      <c r="BW160" s="6"/>
      <c r="BX160" s="35">
        <f t="shared" si="64"/>
        <v>400</v>
      </c>
      <c r="BY160" s="6">
        <v>10</v>
      </c>
      <c r="BZ160" s="6">
        <v>1560</v>
      </c>
      <c r="CA160" s="6">
        <f t="shared" si="65"/>
        <v>390</v>
      </c>
      <c r="CB160" s="6">
        <v>401</v>
      </c>
      <c r="CC160" s="6"/>
      <c r="CD160" s="6">
        <f t="shared" si="66"/>
        <v>391</v>
      </c>
      <c r="CE160" s="6">
        <v>784</v>
      </c>
      <c r="CF160" s="6"/>
      <c r="CG160" s="6">
        <f t="shared" si="67"/>
        <v>383</v>
      </c>
      <c r="CH160" s="6">
        <v>1161</v>
      </c>
      <c r="CI160" s="6"/>
      <c r="CJ160" s="6">
        <f t="shared" si="68"/>
        <v>377</v>
      </c>
      <c r="CK160" s="6">
        <v>1533</v>
      </c>
      <c r="CL160" s="6"/>
      <c r="CM160" s="6">
        <f t="shared" si="69"/>
        <v>372</v>
      </c>
      <c r="CN160" s="6"/>
      <c r="CO160" s="6"/>
      <c r="CP160" s="6"/>
      <c r="CQ160" s="6">
        <v>356</v>
      </c>
      <c r="CR160" s="6">
        <v>1560</v>
      </c>
      <c r="CS160" s="6">
        <f t="shared" si="70"/>
        <v>383</v>
      </c>
      <c r="CT160" s="6">
        <v>741</v>
      </c>
      <c r="CU160" s="6"/>
      <c r="CV160" s="6">
        <f t="shared" si="71"/>
        <v>385</v>
      </c>
      <c r="CW160" s="6">
        <v>30</v>
      </c>
      <c r="CX160" s="6">
        <v>1093</v>
      </c>
      <c r="CY160" s="6">
        <f t="shared" si="72"/>
        <v>382</v>
      </c>
      <c r="CZ160" s="6">
        <v>415</v>
      </c>
      <c r="DA160" s="6"/>
      <c r="DB160" s="6">
        <f t="shared" si="73"/>
        <v>385</v>
      </c>
      <c r="DC160" s="6">
        <v>798</v>
      </c>
      <c r="DD160" s="6"/>
      <c r="DE160" s="6">
        <f t="shared" si="74"/>
        <v>383</v>
      </c>
      <c r="DF160" s="6">
        <v>1166</v>
      </c>
      <c r="DG160" s="6"/>
      <c r="DH160" s="6">
        <f t="shared" si="75"/>
        <v>368</v>
      </c>
      <c r="DI160" s="6"/>
      <c r="DJ160" s="6"/>
      <c r="DK160" s="6"/>
      <c r="DL160" s="6">
        <v>1554</v>
      </c>
      <c r="DM160" s="6"/>
      <c r="DN160" s="6">
        <f t="shared" si="76"/>
        <v>388</v>
      </c>
      <c r="DO160" s="6">
        <v>351</v>
      </c>
      <c r="DP160" s="6">
        <v>1560</v>
      </c>
      <c r="DQ160" s="6">
        <f t="shared" si="77"/>
        <v>357</v>
      </c>
    </row>
    <row r="161" spans="1:121">
      <c r="A161" s="6">
        <v>157</v>
      </c>
      <c r="B161" s="6">
        <v>1367</v>
      </c>
      <c r="C161" s="6"/>
      <c r="D161" s="6">
        <v>241</v>
      </c>
      <c r="E161" s="33" t="s">
        <v>99</v>
      </c>
      <c r="F161" s="33" t="s">
        <v>99</v>
      </c>
      <c r="G161" s="33" t="s">
        <v>99</v>
      </c>
      <c r="H161" s="33" t="s">
        <v>99</v>
      </c>
      <c r="I161" s="33" t="s">
        <v>99</v>
      </c>
      <c r="J161" s="33" t="s">
        <v>99</v>
      </c>
      <c r="K161" s="33" t="s">
        <v>99</v>
      </c>
      <c r="L161" s="148" t="s">
        <v>99</v>
      </c>
      <c r="M161" s="33" t="s">
        <v>99</v>
      </c>
      <c r="N161" s="148" t="s">
        <v>37</v>
      </c>
      <c r="O161" s="33" t="s">
        <v>37</v>
      </c>
      <c r="P161" s="33" t="s">
        <v>37</v>
      </c>
      <c r="Q161" s="33" t="s">
        <v>37</v>
      </c>
      <c r="R161" s="33" t="s">
        <v>37</v>
      </c>
      <c r="S161" s="33" t="s">
        <v>37</v>
      </c>
      <c r="T161" s="33" t="s">
        <v>37</v>
      </c>
      <c r="U161" s="33" t="s">
        <v>37</v>
      </c>
      <c r="V161" s="33" t="s">
        <v>37</v>
      </c>
      <c r="W161" s="33" t="s">
        <v>37</v>
      </c>
      <c r="X161" s="33" t="s">
        <v>37</v>
      </c>
      <c r="Y161" s="33" t="s">
        <v>37</v>
      </c>
      <c r="Z161" s="33" t="s">
        <v>37</v>
      </c>
      <c r="AA161" s="33" t="s">
        <v>37</v>
      </c>
      <c r="AB161" s="33" t="s">
        <v>37</v>
      </c>
      <c r="AC161" s="33" t="s">
        <v>37</v>
      </c>
      <c r="AD161" s="33" t="s">
        <v>37</v>
      </c>
      <c r="AE161" s="33" t="s">
        <v>37</v>
      </c>
      <c r="AF161" s="6">
        <v>149</v>
      </c>
      <c r="AG161" s="6">
        <v>1500</v>
      </c>
      <c r="AH161" s="35">
        <f t="shared" si="52"/>
        <v>282</v>
      </c>
      <c r="AI161" s="35">
        <v>405</v>
      </c>
      <c r="AJ161" s="35"/>
      <c r="AK161" s="35">
        <f t="shared" si="53"/>
        <v>256</v>
      </c>
      <c r="AL161" s="6">
        <v>671</v>
      </c>
      <c r="AM161" s="6"/>
      <c r="AN161" s="35">
        <f t="shared" si="54"/>
        <v>266</v>
      </c>
      <c r="AO161" s="6">
        <v>934</v>
      </c>
      <c r="AP161" s="6"/>
      <c r="AQ161" s="34">
        <f t="shared" si="55"/>
        <v>263</v>
      </c>
      <c r="AR161" s="35">
        <v>1198</v>
      </c>
      <c r="AS161" s="35"/>
      <c r="AT161" s="35">
        <f t="shared" si="56"/>
        <v>264</v>
      </c>
      <c r="AU161" s="6">
        <v>0</v>
      </c>
      <c r="AV161" s="6">
        <v>1328</v>
      </c>
      <c r="AW161" s="35">
        <f t="shared" si="57"/>
        <v>130</v>
      </c>
      <c r="AX161" s="6"/>
      <c r="AY161" s="6"/>
      <c r="AZ161" s="35"/>
      <c r="BA161" s="6">
        <v>254</v>
      </c>
      <c r="BB161" s="6"/>
      <c r="BC161" s="35">
        <f t="shared" si="58"/>
        <v>254</v>
      </c>
      <c r="BD161" s="6">
        <v>519</v>
      </c>
      <c r="BE161" s="6"/>
      <c r="BF161" s="35">
        <f t="shared" si="59"/>
        <v>265</v>
      </c>
      <c r="BG161" s="6">
        <v>320</v>
      </c>
      <c r="BH161" s="6">
        <v>526</v>
      </c>
      <c r="BI161" s="6">
        <f t="shared" si="60"/>
        <v>327</v>
      </c>
      <c r="BJ161" s="6">
        <v>677</v>
      </c>
      <c r="BK161" s="35"/>
      <c r="BL161" s="6">
        <f t="shared" si="61"/>
        <v>357</v>
      </c>
      <c r="BM161" s="6">
        <v>1040</v>
      </c>
      <c r="BN161" s="6"/>
      <c r="BO161" s="6">
        <f t="shared" si="62"/>
        <v>363</v>
      </c>
      <c r="BP161" s="6">
        <v>1379</v>
      </c>
      <c r="BQ161" s="6"/>
      <c r="BR161" s="35">
        <f t="shared" si="63"/>
        <v>339</v>
      </c>
      <c r="BS161" s="6"/>
      <c r="BT161" s="6"/>
      <c r="BU161" s="6"/>
      <c r="BV161" s="6">
        <v>184</v>
      </c>
      <c r="BW161" s="6">
        <v>1560</v>
      </c>
      <c r="BX161" s="35">
        <f t="shared" si="64"/>
        <v>365</v>
      </c>
      <c r="BY161" s="6">
        <v>542</v>
      </c>
      <c r="BZ161" s="6"/>
      <c r="CA161" s="6">
        <f t="shared" si="65"/>
        <v>358</v>
      </c>
      <c r="CB161" s="6">
        <v>900</v>
      </c>
      <c r="CC161" s="6"/>
      <c r="CD161" s="6">
        <f t="shared" si="66"/>
        <v>358</v>
      </c>
      <c r="CE161" s="6">
        <v>1283</v>
      </c>
      <c r="CF161" s="6"/>
      <c r="CG161" s="6">
        <f t="shared" si="67"/>
        <v>383</v>
      </c>
      <c r="CH161" s="6">
        <v>105</v>
      </c>
      <c r="CI161" s="6">
        <v>1560</v>
      </c>
      <c r="CJ161" s="6">
        <f t="shared" si="68"/>
        <v>382</v>
      </c>
      <c r="CK161" s="6">
        <v>480</v>
      </c>
      <c r="CL161" s="6"/>
      <c r="CM161" s="6">
        <f t="shared" si="69"/>
        <v>375</v>
      </c>
      <c r="CN161" s="6"/>
      <c r="CO161" s="6"/>
      <c r="CP161" s="6"/>
      <c r="CQ161" s="6">
        <v>864</v>
      </c>
      <c r="CR161" s="6"/>
      <c r="CS161" s="6">
        <f t="shared" si="70"/>
        <v>384</v>
      </c>
      <c r="CT161" s="6">
        <v>1237</v>
      </c>
      <c r="CU161" s="6"/>
      <c r="CV161" s="6">
        <f t="shared" si="71"/>
        <v>373</v>
      </c>
      <c r="CW161" s="6">
        <v>1620</v>
      </c>
      <c r="CX161" s="6"/>
      <c r="CY161" s="6">
        <f t="shared" si="72"/>
        <v>383</v>
      </c>
      <c r="CZ161" s="6">
        <v>180</v>
      </c>
      <c r="DA161" s="6">
        <v>1820</v>
      </c>
      <c r="DB161" s="6">
        <f t="shared" si="73"/>
        <v>380</v>
      </c>
      <c r="DC161" s="6">
        <v>570</v>
      </c>
      <c r="DD161" s="6"/>
      <c r="DE161" s="6">
        <f t="shared" si="74"/>
        <v>390</v>
      </c>
      <c r="DF161" s="6">
        <v>938</v>
      </c>
      <c r="DG161" s="6"/>
      <c r="DH161" s="6">
        <f t="shared" si="75"/>
        <v>368</v>
      </c>
      <c r="DI161" s="6"/>
      <c r="DJ161" s="6"/>
      <c r="DK161" s="6"/>
      <c r="DL161" s="6">
        <v>1324</v>
      </c>
      <c r="DM161" s="6"/>
      <c r="DN161" s="6">
        <f t="shared" si="76"/>
        <v>386</v>
      </c>
      <c r="DO161" s="6">
        <v>120</v>
      </c>
      <c r="DP161" s="6">
        <v>1560</v>
      </c>
      <c r="DQ161" s="6">
        <f t="shared" si="77"/>
        <v>356</v>
      </c>
    </row>
    <row r="162" spans="1:121">
      <c r="A162" s="6">
        <v>158</v>
      </c>
      <c r="B162" s="6">
        <v>390</v>
      </c>
      <c r="C162" s="6"/>
      <c r="D162" s="6">
        <v>211</v>
      </c>
      <c r="E162" s="33" t="s">
        <v>124</v>
      </c>
      <c r="F162" s="33" t="s">
        <v>124</v>
      </c>
      <c r="G162" s="33" t="s">
        <v>124</v>
      </c>
      <c r="H162" s="33" t="s">
        <v>124</v>
      </c>
      <c r="I162" s="33" t="s">
        <v>124</v>
      </c>
      <c r="J162" s="33" t="s">
        <v>124</v>
      </c>
      <c r="K162" s="33" t="s">
        <v>124</v>
      </c>
      <c r="L162" s="33" t="s">
        <v>124</v>
      </c>
      <c r="M162" s="33" t="s">
        <v>124</v>
      </c>
      <c r="N162" s="33" t="s">
        <v>124</v>
      </c>
      <c r="O162" s="148" t="s">
        <v>37</v>
      </c>
      <c r="P162" s="33" t="s">
        <v>37</v>
      </c>
      <c r="Q162" s="33" t="s">
        <v>37</v>
      </c>
      <c r="R162" s="33" t="s">
        <v>37</v>
      </c>
      <c r="S162" s="33" t="s">
        <v>37</v>
      </c>
      <c r="T162" s="33" t="s">
        <v>37</v>
      </c>
      <c r="U162" s="33" t="s">
        <v>37</v>
      </c>
      <c r="V162" s="33" t="s">
        <v>37</v>
      </c>
      <c r="W162" s="33" t="s">
        <v>37</v>
      </c>
      <c r="X162" s="33" t="s">
        <v>37</v>
      </c>
      <c r="Y162" s="33" t="s">
        <v>37</v>
      </c>
      <c r="Z162" s="33" t="s">
        <v>37</v>
      </c>
      <c r="AA162" s="33" t="s">
        <v>37</v>
      </c>
      <c r="AB162" s="33" t="s">
        <v>37</v>
      </c>
      <c r="AC162" s="33" t="s">
        <v>37</v>
      </c>
      <c r="AD162" s="33" t="s">
        <v>37</v>
      </c>
      <c r="AE162" s="33" t="s">
        <v>37</v>
      </c>
      <c r="AF162" s="6">
        <v>633</v>
      </c>
      <c r="AG162" s="6"/>
      <c r="AH162" s="35">
        <f t="shared" si="52"/>
        <v>243</v>
      </c>
      <c r="AI162" s="35">
        <v>862</v>
      </c>
      <c r="AJ162" s="35"/>
      <c r="AK162" s="35">
        <f t="shared" si="53"/>
        <v>229</v>
      </c>
      <c r="AL162" s="6">
        <v>1093</v>
      </c>
      <c r="AM162" s="6"/>
      <c r="AN162" s="35">
        <f t="shared" si="54"/>
        <v>231</v>
      </c>
      <c r="AO162" s="6">
        <v>1320</v>
      </c>
      <c r="AP162" s="6"/>
      <c r="AQ162" s="34">
        <f t="shared" si="55"/>
        <v>227</v>
      </c>
      <c r="AR162" s="35">
        <v>1552</v>
      </c>
      <c r="AS162" s="35"/>
      <c r="AT162" s="35">
        <f t="shared" si="56"/>
        <v>232</v>
      </c>
      <c r="AU162" s="6">
        <v>1769</v>
      </c>
      <c r="AV162" s="6"/>
      <c r="AW162" s="35">
        <f t="shared" si="57"/>
        <v>217</v>
      </c>
      <c r="AX162" s="6"/>
      <c r="AY162" s="6"/>
      <c r="AZ162" s="35"/>
      <c r="BA162" s="35">
        <v>1</v>
      </c>
      <c r="BB162" s="35">
        <v>2000</v>
      </c>
      <c r="BC162" s="35">
        <f t="shared" si="58"/>
        <v>232</v>
      </c>
      <c r="BD162" s="6">
        <v>231</v>
      </c>
      <c r="BE162" s="6"/>
      <c r="BF162" s="35">
        <f t="shared" si="59"/>
        <v>230</v>
      </c>
      <c r="BG162" s="6">
        <v>462</v>
      </c>
      <c r="BH162" s="6"/>
      <c r="BI162" s="6">
        <f t="shared" si="60"/>
        <v>231</v>
      </c>
      <c r="BJ162" s="6">
        <v>304</v>
      </c>
      <c r="BK162" s="6">
        <v>472</v>
      </c>
      <c r="BL162" s="6">
        <f t="shared" si="61"/>
        <v>314</v>
      </c>
      <c r="BM162" s="6">
        <v>684</v>
      </c>
      <c r="BN162" s="6"/>
      <c r="BO162" s="6">
        <f t="shared" si="62"/>
        <v>380</v>
      </c>
      <c r="BP162" s="6">
        <v>1043</v>
      </c>
      <c r="BQ162" s="6"/>
      <c r="BR162" s="35">
        <f t="shared" si="63"/>
        <v>359</v>
      </c>
      <c r="BS162" s="6"/>
      <c r="BT162" s="6"/>
      <c r="BU162" s="6"/>
      <c r="BV162" s="6">
        <v>1436</v>
      </c>
      <c r="BW162" s="6"/>
      <c r="BX162" s="35">
        <f t="shared" si="64"/>
        <v>393</v>
      </c>
      <c r="BY162" s="6">
        <v>250</v>
      </c>
      <c r="BZ162" s="6">
        <v>1560</v>
      </c>
      <c r="CA162" s="6">
        <f t="shared" si="65"/>
        <v>374</v>
      </c>
      <c r="CB162" s="6">
        <v>620</v>
      </c>
      <c r="CC162" s="6"/>
      <c r="CD162" s="6">
        <f t="shared" si="66"/>
        <v>370</v>
      </c>
      <c r="CE162" s="6">
        <v>205</v>
      </c>
      <c r="CF162" s="6">
        <v>793</v>
      </c>
      <c r="CG162" s="6">
        <f t="shared" si="67"/>
        <v>378</v>
      </c>
      <c r="CH162" s="6">
        <v>584</v>
      </c>
      <c r="CI162" s="6"/>
      <c r="CJ162" s="6">
        <f t="shared" si="68"/>
        <v>379</v>
      </c>
      <c r="CK162" s="6">
        <v>197</v>
      </c>
      <c r="CL162" s="6">
        <v>712</v>
      </c>
      <c r="CM162" s="6">
        <f t="shared" si="69"/>
        <v>325</v>
      </c>
      <c r="CN162" s="6"/>
      <c r="CO162" s="6"/>
      <c r="CP162" s="6"/>
      <c r="CQ162" s="6">
        <v>218</v>
      </c>
      <c r="CR162" s="6">
        <f>239+120</f>
        <v>359</v>
      </c>
      <c r="CS162" s="6">
        <f t="shared" si="70"/>
        <v>380</v>
      </c>
      <c r="CT162" s="6">
        <v>578</v>
      </c>
      <c r="CU162" s="6"/>
      <c r="CV162" s="6">
        <f t="shared" si="71"/>
        <v>360</v>
      </c>
      <c r="CW162" s="6">
        <v>202</v>
      </c>
      <c r="CX162" s="6">
        <v>732</v>
      </c>
      <c r="CY162" s="6">
        <f t="shared" si="72"/>
        <v>356</v>
      </c>
      <c r="CZ162" s="6">
        <v>554</v>
      </c>
      <c r="DA162" s="6"/>
      <c r="DB162" s="6">
        <f t="shared" si="73"/>
        <v>352</v>
      </c>
      <c r="DC162" s="6">
        <v>913</v>
      </c>
      <c r="DD162" s="6"/>
      <c r="DE162" s="6">
        <f t="shared" si="74"/>
        <v>359</v>
      </c>
      <c r="DF162" s="6">
        <v>1252</v>
      </c>
      <c r="DG162" s="6"/>
      <c r="DH162" s="6">
        <f t="shared" si="75"/>
        <v>339</v>
      </c>
      <c r="DI162" s="6"/>
      <c r="DJ162" s="6"/>
      <c r="DK162" s="6"/>
      <c r="DL162" s="6">
        <v>329</v>
      </c>
      <c r="DM162" s="6">
        <v>1275</v>
      </c>
      <c r="DN162" s="6">
        <f t="shared" si="76"/>
        <v>352</v>
      </c>
      <c r="DO162" s="6">
        <v>660</v>
      </c>
      <c r="DP162" s="6"/>
      <c r="DQ162" s="6">
        <f t="shared" si="77"/>
        <v>331</v>
      </c>
    </row>
    <row r="163" spans="1:121">
      <c r="A163" s="6">
        <v>159</v>
      </c>
      <c r="B163" s="6">
        <v>1652</v>
      </c>
      <c r="C163" s="6"/>
      <c r="D163" s="6">
        <v>210</v>
      </c>
      <c r="E163" s="33" t="s">
        <v>124</v>
      </c>
      <c r="F163" s="33" t="s">
        <v>124</v>
      </c>
      <c r="G163" s="33" t="s">
        <v>124</v>
      </c>
      <c r="H163" s="33" t="s">
        <v>124</v>
      </c>
      <c r="I163" s="33" t="s">
        <v>124</v>
      </c>
      <c r="J163" s="33" t="s">
        <v>124</v>
      </c>
      <c r="K163" s="33" t="s">
        <v>124</v>
      </c>
      <c r="L163" s="33" t="s">
        <v>124</v>
      </c>
      <c r="M163" s="33" t="s">
        <v>124</v>
      </c>
      <c r="N163" s="33" t="s">
        <v>124</v>
      </c>
      <c r="O163" s="33" t="s">
        <v>124</v>
      </c>
      <c r="P163" s="148" t="s">
        <v>37</v>
      </c>
      <c r="Q163" s="33" t="s">
        <v>37</v>
      </c>
      <c r="R163" s="33" t="s">
        <v>37</v>
      </c>
      <c r="S163" s="33" t="s">
        <v>37</v>
      </c>
      <c r="T163" s="33" t="s">
        <v>37</v>
      </c>
      <c r="U163" s="33" t="s">
        <v>37</v>
      </c>
      <c r="V163" s="33" t="s">
        <v>37</v>
      </c>
      <c r="W163" s="33" t="s">
        <v>37</v>
      </c>
      <c r="X163" s="33" t="s">
        <v>37</v>
      </c>
      <c r="Y163" s="33" t="s">
        <v>37</v>
      </c>
      <c r="Z163" s="33" t="s">
        <v>37</v>
      </c>
      <c r="AA163" s="33" t="s">
        <v>37</v>
      </c>
      <c r="AB163" s="33" t="s">
        <v>37</v>
      </c>
      <c r="AC163" s="33" t="s">
        <v>37</v>
      </c>
      <c r="AD163" s="33" t="s">
        <v>37</v>
      </c>
      <c r="AE163" s="33" t="s">
        <v>37</v>
      </c>
      <c r="AF163" s="35">
        <v>1900</v>
      </c>
      <c r="AG163" s="35"/>
      <c r="AH163" s="35">
        <f t="shared" si="52"/>
        <v>248</v>
      </c>
      <c r="AI163" s="35">
        <v>129</v>
      </c>
      <c r="AJ163" s="35">
        <v>2000</v>
      </c>
      <c r="AK163" s="35">
        <f t="shared" si="53"/>
        <v>229</v>
      </c>
      <c r="AL163" s="6">
        <v>361</v>
      </c>
      <c r="AM163" s="6"/>
      <c r="AN163" s="35">
        <f t="shared" si="54"/>
        <v>232</v>
      </c>
      <c r="AO163" s="6">
        <v>593</v>
      </c>
      <c r="AP163" s="6"/>
      <c r="AQ163" s="34">
        <f t="shared" si="55"/>
        <v>232</v>
      </c>
      <c r="AR163" s="35">
        <v>826</v>
      </c>
      <c r="AS163" s="35"/>
      <c r="AT163" s="35">
        <f t="shared" si="56"/>
        <v>233</v>
      </c>
      <c r="AU163" s="6">
        <v>1044</v>
      </c>
      <c r="AV163" s="6"/>
      <c r="AW163" s="35">
        <f t="shared" si="57"/>
        <v>218</v>
      </c>
      <c r="AX163" s="6"/>
      <c r="AY163" s="6"/>
      <c r="AZ163" s="35"/>
      <c r="BA163" s="6">
        <v>1280</v>
      </c>
      <c r="BB163" s="6"/>
      <c r="BC163" s="35">
        <f t="shared" si="58"/>
        <v>236</v>
      </c>
      <c r="BD163" s="6">
        <v>1510</v>
      </c>
      <c r="BE163" s="6"/>
      <c r="BF163" s="35">
        <f t="shared" si="59"/>
        <v>230</v>
      </c>
      <c r="BG163" s="6">
        <v>1743</v>
      </c>
      <c r="BH163" s="6"/>
      <c r="BI163" s="6">
        <f t="shared" si="60"/>
        <v>233</v>
      </c>
      <c r="BJ163" s="6">
        <v>0</v>
      </c>
      <c r="BK163" s="35">
        <v>1767</v>
      </c>
      <c r="BL163" s="6">
        <f t="shared" si="61"/>
        <v>24</v>
      </c>
      <c r="BM163" s="6">
        <v>314</v>
      </c>
      <c r="BN163" s="6"/>
      <c r="BO163" s="6">
        <f t="shared" si="62"/>
        <v>314</v>
      </c>
      <c r="BP163" s="6">
        <v>667</v>
      </c>
      <c r="BQ163" s="6"/>
      <c r="BR163" s="35">
        <f t="shared" si="63"/>
        <v>353</v>
      </c>
      <c r="BS163" s="6"/>
      <c r="BT163" s="6"/>
      <c r="BU163" s="6"/>
      <c r="BV163" s="6">
        <v>1047</v>
      </c>
      <c r="BW163" s="6"/>
      <c r="BX163" s="35">
        <f t="shared" si="64"/>
        <v>380</v>
      </c>
      <c r="BY163" s="6">
        <v>1414</v>
      </c>
      <c r="BZ163" s="6"/>
      <c r="CA163" s="6">
        <f t="shared" si="65"/>
        <v>367</v>
      </c>
      <c r="CB163" s="6">
        <v>226</v>
      </c>
      <c r="CC163" s="6">
        <v>1560</v>
      </c>
      <c r="CD163" s="6">
        <f t="shared" si="66"/>
        <v>372</v>
      </c>
      <c r="CE163" s="6">
        <v>609</v>
      </c>
      <c r="CF163" s="6"/>
      <c r="CG163" s="6">
        <f t="shared" si="67"/>
        <v>383</v>
      </c>
      <c r="CH163" s="6">
        <v>996</v>
      </c>
      <c r="CI163" s="6"/>
      <c r="CJ163" s="6">
        <f t="shared" si="68"/>
        <v>387</v>
      </c>
      <c r="CK163" s="6">
        <v>1371</v>
      </c>
      <c r="CL163" s="6"/>
      <c r="CM163" s="6">
        <f t="shared" si="69"/>
        <v>375</v>
      </c>
      <c r="CN163" s="6"/>
      <c r="CO163" s="6"/>
      <c r="CP163" s="6"/>
      <c r="CQ163" s="6">
        <v>195</v>
      </c>
      <c r="CR163" s="6">
        <v>1560</v>
      </c>
      <c r="CS163" s="6">
        <f t="shared" si="70"/>
        <v>384</v>
      </c>
      <c r="CT163" s="6">
        <v>577</v>
      </c>
      <c r="CU163" s="6"/>
      <c r="CV163" s="6">
        <f t="shared" si="71"/>
        <v>382</v>
      </c>
      <c r="CW163" s="6">
        <v>964</v>
      </c>
      <c r="CX163" s="6"/>
      <c r="CY163" s="6">
        <f t="shared" si="72"/>
        <v>387</v>
      </c>
      <c r="CZ163" s="6">
        <v>1351</v>
      </c>
      <c r="DA163" s="6"/>
      <c r="DB163" s="6">
        <f t="shared" si="73"/>
        <v>387</v>
      </c>
      <c r="DC163" s="6">
        <v>177</v>
      </c>
      <c r="DD163" s="6">
        <v>1560</v>
      </c>
      <c r="DE163" s="6">
        <f t="shared" si="74"/>
        <v>386</v>
      </c>
      <c r="DF163" s="6">
        <v>537</v>
      </c>
      <c r="DG163" s="6"/>
      <c r="DH163" s="6">
        <f t="shared" si="75"/>
        <v>360</v>
      </c>
      <c r="DI163" s="6"/>
      <c r="DJ163" s="6"/>
      <c r="DK163" s="6"/>
      <c r="DL163" s="6">
        <v>301</v>
      </c>
      <c r="DM163" s="6">
        <v>613</v>
      </c>
      <c r="DN163" s="6">
        <f t="shared" si="76"/>
        <v>377</v>
      </c>
      <c r="DO163" s="6">
        <v>656</v>
      </c>
      <c r="DP163" s="6"/>
      <c r="DQ163" s="6">
        <f t="shared" si="77"/>
        <v>355</v>
      </c>
    </row>
    <row r="164" spans="1:121">
      <c r="A164" s="6">
        <v>160</v>
      </c>
      <c r="B164" s="6">
        <v>702</v>
      </c>
      <c r="C164" s="6"/>
      <c r="D164" s="6">
        <v>237</v>
      </c>
      <c r="E164" s="33" t="s">
        <v>99</v>
      </c>
      <c r="F164" s="33" t="s">
        <v>99</v>
      </c>
      <c r="G164" s="33" t="s">
        <v>99</v>
      </c>
      <c r="H164" s="33" t="s">
        <v>99</v>
      </c>
      <c r="I164" s="33" t="s">
        <v>99</v>
      </c>
      <c r="J164" s="33" t="s">
        <v>99</v>
      </c>
      <c r="K164" s="148" t="s">
        <v>251</v>
      </c>
      <c r="L164" s="33" t="s">
        <v>251</v>
      </c>
      <c r="M164" s="148" t="s">
        <v>128</v>
      </c>
      <c r="N164" s="33" t="s">
        <v>128</v>
      </c>
      <c r="O164" s="33" t="s">
        <v>128</v>
      </c>
      <c r="P164" s="33" t="s">
        <v>128</v>
      </c>
      <c r="Q164" s="33" t="s">
        <v>128</v>
      </c>
      <c r="R164" s="33" t="s">
        <v>128</v>
      </c>
      <c r="S164" s="33" t="s">
        <v>128</v>
      </c>
      <c r="T164" s="33" t="s">
        <v>128</v>
      </c>
      <c r="U164" s="33" t="s">
        <v>128</v>
      </c>
      <c r="V164" s="33" t="s">
        <v>128</v>
      </c>
      <c r="W164" s="33" t="s">
        <v>128</v>
      </c>
      <c r="X164" s="33" t="s">
        <v>128</v>
      </c>
      <c r="Y164" s="33" t="s">
        <v>128</v>
      </c>
      <c r="Z164" s="33" t="s">
        <v>128</v>
      </c>
      <c r="AA164" s="33" t="s">
        <v>128</v>
      </c>
      <c r="AB164" s="33" t="s">
        <v>128</v>
      </c>
      <c r="AC164" s="33" t="s">
        <v>128</v>
      </c>
      <c r="AD164" s="33" t="s">
        <v>128</v>
      </c>
      <c r="AE164" s="33" t="s">
        <v>128</v>
      </c>
      <c r="AF164" s="6">
        <v>981</v>
      </c>
      <c r="AG164" s="6"/>
      <c r="AH164" s="35">
        <f t="shared" si="52"/>
        <v>279</v>
      </c>
      <c r="AI164" s="35">
        <v>1242</v>
      </c>
      <c r="AJ164" s="35"/>
      <c r="AK164" s="35">
        <f t="shared" si="53"/>
        <v>261</v>
      </c>
      <c r="AL164" s="6">
        <v>0</v>
      </c>
      <c r="AM164" s="6">
        <v>1362</v>
      </c>
      <c r="AN164" s="35">
        <f t="shared" si="54"/>
        <v>120</v>
      </c>
      <c r="AO164" s="6">
        <v>0</v>
      </c>
      <c r="AP164" s="6"/>
      <c r="AQ164" s="34">
        <f t="shared" si="55"/>
        <v>0</v>
      </c>
      <c r="AR164" s="35">
        <v>0</v>
      </c>
      <c r="AS164" s="35"/>
      <c r="AT164" s="35">
        <f t="shared" si="56"/>
        <v>0</v>
      </c>
      <c r="AU164" s="6">
        <v>361</v>
      </c>
      <c r="AV164" s="6"/>
      <c r="AW164" s="35">
        <f t="shared" si="57"/>
        <v>361</v>
      </c>
      <c r="AX164" s="6"/>
      <c r="AY164" s="6"/>
      <c r="AZ164" s="35"/>
      <c r="BA164" s="35">
        <v>348</v>
      </c>
      <c r="BB164" s="35">
        <v>450</v>
      </c>
      <c r="BC164" s="35">
        <f t="shared" si="58"/>
        <v>437</v>
      </c>
      <c r="BD164" s="6">
        <v>226</v>
      </c>
      <c r="BE164" s="6">
        <v>418</v>
      </c>
      <c r="BF164" s="35">
        <f t="shared" si="59"/>
        <v>296</v>
      </c>
      <c r="BG164" s="35">
        <v>532</v>
      </c>
      <c r="BH164" s="6"/>
      <c r="BI164" s="6">
        <f t="shared" si="60"/>
        <v>306</v>
      </c>
      <c r="BJ164" s="6">
        <v>883</v>
      </c>
      <c r="BK164" s="6"/>
      <c r="BL164" s="6">
        <f t="shared" si="61"/>
        <v>351</v>
      </c>
      <c r="BM164" s="6">
        <v>1230</v>
      </c>
      <c r="BN164" s="6"/>
      <c r="BO164" s="6">
        <f t="shared" si="62"/>
        <v>347</v>
      </c>
      <c r="BP164" s="6">
        <v>1560</v>
      </c>
      <c r="BQ164" s="6"/>
      <c r="BR164" s="35">
        <f t="shared" si="63"/>
        <v>330</v>
      </c>
      <c r="BS164" s="6"/>
      <c r="BT164" s="6"/>
      <c r="BU164" s="6"/>
      <c r="BV164" s="6">
        <v>350</v>
      </c>
      <c r="BW164" s="6">
        <v>1560</v>
      </c>
      <c r="BX164" s="35">
        <f t="shared" si="64"/>
        <v>350</v>
      </c>
      <c r="BY164" s="6">
        <v>718</v>
      </c>
      <c r="BZ164" s="6"/>
      <c r="CA164" s="6">
        <f t="shared" si="65"/>
        <v>368</v>
      </c>
      <c r="CB164" s="6">
        <v>1073</v>
      </c>
      <c r="CC164" s="6"/>
      <c r="CD164" s="6">
        <f t="shared" si="66"/>
        <v>355</v>
      </c>
      <c r="CE164" s="6">
        <v>1416</v>
      </c>
      <c r="CF164" s="6"/>
      <c r="CG164" s="6">
        <f t="shared" si="67"/>
        <v>343</v>
      </c>
      <c r="CH164" s="6">
        <v>228</v>
      </c>
      <c r="CI164" s="6">
        <v>1560</v>
      </c>
      <c r="CJ164" s="6">
        <f t="shared" si="68"/>
        <v>372</v>
      </c>
      <c r="CK164" s="6">
        <v>591</v>
      </c>
      <c r="CL164" s="6"/>
      <c r="CM164" s="6">
        <f t="shared" si="69"/>
        <v>363</v>
      </c>
      <c r="CN164" s="6"/>
      <c r="CO164" s="6"/>
      <c r="CP164" s="6"/>
      <c r="CQ164" s="6">
        <v>970</v>
      </c>
      <c r="CR164" s="6"/>
      <c r="CS164" s="6">
        <f t="shared" si="70"/>
        <v>379</v>
      </c>
      <c r="CT164" s="6">
        <v>106</v>
      </c>
      <c r="CU164" s="6">
        <v>1231</v>
      </c>
      <c r="CV164" s="6">
        <f t="shared" si="71"/>
        <v>367</v>
      </c>
      <c r="CW164" s="6">
        <v>485</v>
      </c>
      <c r="CX164" s="6"/>
      <c r="CY164" s="6">
        <f t="shared" si="72"/>
        <v>379</v>
      </c>
      <c r="CZ164" s="6">
        <v>867</v>
      </c>
      <c r="DA164" s="6"/>
      <c r="DB164" s="6">
        <f t="shared" si="73"/>
        <v>382</v>
      </c>
      <c r="DC164" s="6">
        <v>1251</v>
      </c>
      <c r="DD164" s="6"/>
      <c r="DE164" s="6">
        <f t="shared" si="74"/>
        <v>384</v>
      </c>
      <c r="DF164" s="6">
        <v>49</v>
      </c>
      <c r="DG164" s="6">
        <v>1560</v>
      </c>
      <c r="DH164" s="6">
        <f t="shared" si="75"/>
        <v>358</v>
      </c>
      <c r="DI164" s="6"/>
      <c r="DJ164" s="6"/>
      <c r="DK164" s="6"/>
      <c r="DL164" s="6">
        <v>427</v>
      </c>
      <c r="DM164" s="6"/>
      <c r="DN164" s="6">
        <f t="shared" si="76"/>
        <v>378</v>
      </c>
      <c r="DO164" s="6">
        <v>782</v>
      </c>
      <c r="DP164" s="6"/>
      <c r="DQ164" s="6">
        <f t="shared" si="77"/>
        <v>355</v>
      </c>
    </row>
    <row r="165" spans="1:121">
      <c r="A165" s="6">
        <v>161</v>
      </c>
      <c r="B165" s="6">
        <v>12</v>
      </c>
      <c r="C165" s="6"/>
      <c r="D165" s="6">
        <v>0</v>
      </c>
      <c r="E165" s="33" t="s">
        <v>68</v>
      </c>
      <c r="F165" s="33" t="s">
        <v>68</v>
      </c>
      <c r="G165" s="33" t="s">
        <v>68</v>
      </c>
      <c r="H165" s="33" t="s">
        <v>68</v>
      </c>
      <c r="I165" s="148" t="s">
        <v>68</v>
      </c>
      <c r="J165" s="33" t="s">
        <v>68</v>
      </c>
      <c r="K165" s="33" t="s">
        <v>68</v>
      </c>
      <c r="L165" s="33" t="s">
        <v>68</v>
      </c>
      <c r="M165" s="33" t="s">
        <v>68</v>
      </c>
      <c r="N165" s="33" t="s">
        <v>68</v>
      </c>
      <c r="O165" s="33" t="s">
        <v>68</v>
      </c>
      <c r="P165" s="33" t="s">
        <v>68</v>
      </c>
      <c r="Q165" s="33" t="s">
        <v>68</v>
      </c>
      <c r="R165" s="33" t="s">
        <v>68</v>
      </c>
      <c r="S165" s="33" t="s">
        <v>68</v>
      </c>
      <c r="T165" s="148" t="s">
        <v>37</v>
      </c>
      <c r="U165" s="33" t="s">
        <v>37</v>
      </c>
      <c r="V165" s="33" t="s">
        <v>37</v>
      </c>
      <c r="W165" s="33" t="s">
        <v>37</v>
      </c>
      <c r="X165" s="33" t="s">
        <v>37</v>
      </c>
      <c r="Y165" s="33" t="s">
        <v>37</v>
      </c>
      <c r="Z165" s="33" t="s">
        <v>37</v>
      </c>
      <c r="AA165" s="33" t="s">
        <v>37</v>
      </c>
      <c r="AB165" s="33" t="s">
        <v>37</v>
      </c>
      <c r="AC165" s="33" t="s">
        <v>37</v>
      </c>
      <c r="AD165" s="33" t="s">
        <v>37</v>
      </c>
      <c r="AE165" s="33" t="s">
        <v>37</v>
      </c>
      <c r="AF165" s="6">
        <v>12</v>
      </c>
      <c r="AG165" s="6"/>
      <c r="AH165" s="35">
        <f t="shared" si="52"/>
        <v>0</v>
      </c>
      <c r="AI165" s="35">
        <v>12</v>
      </c>
      <c r="AJ165" s="35"/>
      <c r="AK165" s="35">
        <f t="shared" si="53"/>
        <v>0</v>
      </c>
      <c r="AL165" s="6">
        <v>12</v>
      </c>
      <c r="AM165" s="6"/>
      <c r="AN165" s="35">
        <f t="shared" si="54"/>
        <v>0</v>
      </c>
      <c r="AO165" s="6">
        <v>313</v>
      </c>
      <c r="AP165" s="6"/>
      <c r="AQ165" s="34">
        <f t="shared" si="55"/>
        <v>301</v>
      </c>
      <c r="AR165" s="35">
        <v>0</v>
      </c>
      <c r="AS165" s="35">
        <v>500</v>
      </c>
      <c r="AT165" s="35">
        <f t="shared" si="56"/>
        <v>187</v>
      </c>
      <c r="AU165" s="6">
        <v>0</v>
      </c>
      <c r="AV165" s="6"/>
      <c r="AW165" s="35">
        <f t="shared" si="57"/>
        <v>0</v>
      </c>
      <c r="AX165" s="6"/>
      <c r="AY165" s="6"/>
      <c r="AZ165" s="35"/>
      <c r="BA165" s="35">
        <v>0</v>
      </c>
      <c r="BB165" s="35"/>
      <c r="BC165" s="35">
        <f t="shared" si="58"/>
        <v>0</v>
      </c>
      <c r="BD165" s="6">
        <v>0</v>
      </c>
      <c r="BE165" s="6"/>
      <c r="BF165" s="35">
        <f t="shared" si="59"/>
        <v>0</v>
      </c>
      <c r="BG165" s="6">
        <v>0</v>
      </c>
      <c r="BH165" s="6"/>
      <c r="BI165" s="6">
        <f t="shared" si="60"/>
        <v>0</v>
      </c>
      <c r="BJ165" s="6">
        <v>0</v>
      </c>
      <c r="BK165" s="6"/>
      <c r="BL165" s="6">
        <f t="shared" si="61"/>
        <v>0</v>
      </c>
      <c r="BM165" s="6">
        <v>0</v>
      </c>
      <c r="BN165" s="6"/>
      <c r="BO165" s="6">
        <f t="shared" si="62"/>
        <v>0</v>
      </c>
      <c r="BP165" s="6">
        <v>0</v>
      </c>
      <c r="BQ165" s="6"/>
      <c r="BR165" s="35">
        <f t="shared" si="63"/>
        <v>0</v>
      </c>
      <c r="BS165" s="6"/>
      <c r="BT165" s="6"/>
      <c r="BU165" s="6"/>
      <c r="BV165" s="6">
        <v>228</v>
      </c>
      <c r="BW165" s="6"/>
      <c r="BX165" s="35">
        <f t="shared" si="64"/>
        <v>228</v>
      </c>
      <c r="BY165" s="6">
        <v>0</v>
      </c>
      <c r="BZ165" s="6">
        <v>423</v>
      </c>
      <c r="CA165" s="6">
        <f t="shared" si="65"/>
        <v>195</v>
      </c>
      <c r="CB165" s="6">
        <v>371</v>
      </c>
      <c r="CC165" s="6"/>
      <c r="CD165" s="6">
        <f t="shared" si="66"/>
        <v>371</v>
      </c>
      <c r="CE165" s="6">
        <v>741</v>
      </c>
      <c r="CF165" s="6"/>
      <c r="CG165" s="6">
        <f t="shared" si="67"/>
        <v>370</v>
      </c>
      <c r="CH165" s="6">
        <v>1125</v>
      </c>
      <c r="CI165" s="6"/>
      <c r="CJ165" s="6">
        <f t="shared" si="68"/>
        <v>384</v>
      </c>
      <c r="CK165" s="6">
        <v>1500</v>
      </c>
      <c r="CL165" s="6"/>
      <c r="CM165" s="6">
        <f t="shared" si="69"/>
        <v>375</v>
      </c>
      <c r="CN165" s="6"/>
      <c r="CO165" s="6"/>
      <c r="CP165" s="6"/>
      <c r="CQ165" s="6">
        <v>330</v>
      </c>
      <c r="CR165" s="6">
        <v>1560</v>
      </c>
      <c r="CS165" s="6">
        <f t="shared" si="70"/>
        <v>390</v>
      </c>
      <c r="CT165" s="6">
        <v>709</v>
      </c>
      <c r="CU165" s="6"/>
      <c r="CV165" s="6">
        <f t="shared" si="71"/>
        <v>379</v>
      </c>
      <c r="CW165" s="6">
        <v>1093</v>
      </c>
      <c r="CX165" s="6"/>
      <c r="CY165" s="6">
        <f t="shared" si="72"/>
        <v>384</v>
      </c>
      <c r="CZ165" s="6">
        <v>363</v>
      </c>
      <c r="DA165" s="6">
        <v>1095</v>
      </c>
      <c r="DB165" s="6">
        <f t="shared" si="73"/>
        <v>365</v>
      </c>
      <c r="DC165" s="6">
        <v>728</v>
      </c>
      <c r="DD165" s="6"/>
      <c r="DE165" s="6">
        <f t="shared" si="74"/>
        <v>365</v>
      </c>
      <c r="DF165" s="6">
        <v>33</v>
      </c>
      <c r="DG165" s="6">
        <v>1030</v>
      </c>
      <c r="DH165" s="6">
        <f t="shared" si="75"/>
        <v>335</v>
      </c>
      <c r="DI165" s="6"/>
      <c r="DJ165" s="6"/>
      <c r="DK165" s="6"/>
      <c r="DL165" s="6">
        <v>390</v>
      </c>
      <c r="DM165" s="6"/>
      <c r="DN165" s="6">
        <f t="shared" si="76"/>
        <v>357</v>
      </c>
      <c r="DO165" s="6">
        <v>111</v>
      </c>
      <c r="DP165" s="6">
        <v>607</v>
      </c>
      <c r="DQ165" s="6">
        <f t="shared" si="77"/>
        <v>328</v>
      </c>
    </row>
    <row r="166" spans="1:121">
      <c r="A166" s="7">
        <v>162</v>
      </c>
      <c r="B166" s="6">
        <v>1079</v>
      </c>
      <c r="C166" s="6"/>
      <c r="D166" s="6">
        <v>237</v>
      </c>
      <c r="E166" s="33" t="s">
        <v>99</v>
      </c>
      <c r="F166" s="33" t="s">
        <v>99</v>
      </c>
      <c r="G166" s="33" t="s">
        <v>99</v>
      </c>
      <c r="H166" s="148" t="s">
        <v>244</v>
      </c>
      <c r="I166" s="33" t="s">
        <v>244</v>
      </c>
      <c r="J166" s="33" t="s">
        <v>244</v>
      </c>
      <c r="K166" s="33" t="s">
        <v>244</v>
      </c>
      <c r="L166" s="33" t="s">
        <v>244</v>
      </c>
      <c r="M166" s="33" t="s">
        <v>244</v>
      </c>
      <c r="N166" s="33" t="s">
        <v>244</v>
      </c>
      <c r="O166" s="33" t="s">
        <v>244</v>
      </c>
      <c r="P166" s="33" t="s">
        <v>244</v>
      </c>
      <c r="Q166" s="33" t="s">
        <v>244</v>
      </c>
      <c r="R166" s="33" t="s">
        <v>244</v>
      </c>
      <c r="S166" s="33" t="s">
        <v>244</v>
      </c>
      <c r="T166" s="33" t="s">
        <v>244</v>
      </c>
      <c r="U166" s="33" t="s">
        <v>244</v>
      </c>
      <c r="V166" s="33" t="s">
        <v>244</v>
      </c>
      <c r="W166" s="33" t="s">
        <v>244</v>
      </c>
      <c r="X166" s="33" t="s">
        <v>244</v>
      </c>
      <c r="Y166" s="33" t="s">
        <v>244</v>
      </c>
      <c r="Z166" s="33" t="s">
        <v>244</v>
      </c>
      <c r="AA166" s="33" t="s">
        <v>244</v>
      </c>
      <c r="AB166" s="33" t="s">
        <v>244</v>
      </c>
      <c r="AC166" s="33" t="s">
        <v>244</v>
      </c>
      <c r="AD166" s="33" t="s">
        <v>244</v>
      </c>
      <c r="AE166" s="33" t="s">
        <v>244</v>
      </c>
      <c r="AF166" s="35">
        <v>1354</v>
      </c>
      <c r="AG166" s="35"/>
      <c r="AH166" s="35">
        <f t="shared" si="52"/>
        <v>275</v>
      </c>
      <c r="AI166" s="35">
        <v>0</v>
      </c>
      <c r="AJ166" s="35">
        <v>1592</v>
      </c>
      <c r="AK166" s="35">
        <f t="shared" si="53"/>
        <v>238</v>
      </c>
      <c r="AL166" s="6">
        <v>249</v>
      </c>
      <c r="AM166" s="6"/>
      <c r="AN166" s="35">
        <f t="shared" si="54"/>
        <v>249</v>
      </c>
      <c r="AO166" s="6">
        <v>0</v>
      </c>
      <c r="AP166" s="6">
        <v>500</v>
      </c>
      <c r="AQ166" s="34">
        <f t="shared" si="55"/>
        <v>251</v>
      </c>
      <c r="AR166" s="35">
        <v>0</v>
      </c>
      <c r="AS166" s="35"/>
      <c r="AT166" s="35">
        <f t="shared" si="56"/>
        <v>0</v>
      </c>
      <c r="AU166" s="6">
        <v>0</v>
      </c>
      <c r="AV166" s="6"/>
      <c r="AW166" s="35">
        <f t="shared" si="57"/>
        <v>0</v>
      </c>
      <c r="AX166" s="6"/>
      <c r="AY166" s="6"/>
      <c r="AZ166" s="35"/>
      <c r="BA166" s="6">
        <v>0</v>
      </c>
      <c r="BB166" s="6"/>
      <c r="BC166" s="35">
        <f t="shared" si="58"/>
        <v>0</v>
      </c>
      <c r="BD166" s="6">
        <v>0</v>
      </c>
      <c r="BE166" s="6"/>
      <c r="BF166" s="35">
        <f t="shared" si="59"/>
        <v>0</v>
      </c>
      <c r="BG166" s="6">
        <v>0</v>
      </c>
      <c r="BH166" s="6"/>
      <c r="BI166" s="6">
        <f t="shared" si="60"/>
        <v>0</v>
      </c>
      <c r="BJ166" s="6">
        <v>0</v>
      </c>
      <c r="BK166" s="35"/>
      <c r="BL166" s="6">
        <f t="shared" si="61"/>
        <v>0</v>
      </c>
      <c r="BM166" s="6">
        <v>0</v>
      </c>
      <c r="BN166" s="6"/>
      <c r="BO166" s="6">
        <f t="shared" si="62"/>
        <v>0</v>
      </c>
      <c r="BP166" s="6">
        <v>0</v>
      </c>
      <c r="BQ166" s="6"/>
      <c r="BR166" s="35">
        <f t="shared" si="63"/>
        <v>0</v>
      </c>
      <c r="BS166" s="6"/>
      <c r="BT166" s="6"/>
      <c r="BU166" s="6"/>
      <c r="BV166" s="6">
        <v>0</v>
      </c>
      <c r="BW166" s="6"/>
      <c r="BX166" s="35">
        <f t="shared" si="64"/>
        <v>0</v>
      </c>
      <c r="BY166" s="6">
        <v>0</v>
      </c>
      <c r="BZ166" s="35"/>
      <c r="CA166" s="6">
        <f t="shared" si="65"/>
        <v>0</v>
      </c>
      <c r="CB166" s="6">
        <v>0</v>
      </c>
      <c r="CC166" s="6"/>
      <c r="CD166" s="6">
        <f t="shared" si="66"/>
        <v>0</v>
      </c>
      <c r="CE166" s="6">
        <v>0</v>
      </c>
      <c r="CF166" s="35"/>
      <c r="CG166" s="6">
        <f t="shared" si="67"/>
        <v>0</v>
      </c>
      <c r="CH166" s="6">
        <v>0</v>
      </c>
      <c r="CI166" s="6"/>
      <c r="CJ166" s="6">
        <f t="shared" si="68"/>
        <v>0</v>
      </c>
      <c r="CK166" s="6">
        <v>0</v>
      </c>
      <c r="CL166" s="6"/>
      <c r="CM166" s="6">
        <f t="shared" si="69"/>
        <v>0</v>
      </c>
      <c r="CN166" s="6"/>
      <c r="CO166" s="6"/>
      <c r="CP166" s="6"/>
      <c r="CQ166" s="6">
        <v>0</v>
      </c>
      <c r="CR166" s="6"/>
      <c r="CS166" s="6">
        <f t="shared" si="70"/>
        <v>0</v>
      </c>
      <c r="CT166" s="6">
        <v>0</v>
      </c>
      <c r="CU166" s="6"/>
      <c r="CV166" s="6">
        <f t="shared" si="71"/>
        <v>0</v>
      </c>
      <c r="CW166" s="6">
        <v>0</v>
      </c>
      <c r="CX166" s="6"/>
      <c r="CY166" s="6">
        <f t="shared" si="72"/>
        <v>0</v>
      </c>
      <c r="CZ166" s="6">
        <v>0</v>
      </c>
      <c r="DA166" s="6"/>
      <c r="DB166" s="6">
        <f t="shared" si="73"/>
        <v>0</v>
      </c>
      <c r="DC166" s="6">
        <v>0</v>
      </c>
      <c r="DD166" s="6"/>
      <c r="DE166" s="6">
        <f t="shared" si="74"/>
        <v>0</v>
      </c>
      <c r="DF166" s="6">
        <v>0</v>
      </c>
      <c r="DG166" s="6"/>
      <c r="DH166" s="6">
        <f t="shared" si="75"/>
        <v>0</v>
      </c>
      <c r="DI166" s="6"/>
      <c r="DJ166" s="6"/>
      <c r="DK166" s="6"/>
      <c r="DL166" s="6">
        <v>0</v>
      </c>
      <c r="DM166" s="6"/>
      <c r="DN166" s="6">
        <f t="shared" si="76"/>
        <v>0</v>
      </c>
      <c r="DO166" s="6">
        <v>0</v>
      </c>
      <c r="DP166" s="6"/>
      <c r="DQ166" s="6">
        <f t="shared" si="77"/>
        <v>0</v>
      </c>
    </row>
    <row r="167" spans="1:121">
      <c r="A167" s="6">
        <v>163</v>
      </c>
      <c r="B167" s="6">
        <v>0</v>
      </c>
      <c r="C167" s="6"/>
      <c r="D167" s="6">
        <v>0</v>
      </c>
      <c r="E167" s="33" t="s">
        <v>138</v>
      </c>
      <c r="F167" s="33" t="s">
        <v>138</v>
      </c>
      <c r="G167" s="33" t="s">
        <v>138</v>
      </c>
      <c r="H167" s="33" t="s">
        <v>138</v>
      </c>
      <c r="I167" s="33" t="s">
        <v>138</v>
      </c>
      <c r="J167" s="33" t="s">
        <v>138</v>
      </c>
      <c r="K167" s="33" t="s">
        <v>138</v>
      </c>
      <c r="L167" s="33" t="s">
        <v>138</v>
      </c>
      <c r="M167" s="33" t="s">
        <v>138</v>
      </c>
      <c r="N167" s="33" t="s">
        <v>138</v>
      </c>
      <c r="O167" s="33" t="s">
        <v>138</v>
      </c>
      <c r="P167" s="33" t="s">
        <v>138</v>
      </c>
      <c r="Q167" s="33" t="s">
        <v>138</v>
      </c>
      <c r="R167" s="148" t="s">
        <v>138</v>
      </c>
      <c r="S167" s="33" t="s">
        <v>138</v>
      </c>
      <c r="T167" s="33" t="s">
        <v>138</v>
      </c>
      <c r="U167" s="33" t="s">
        <v>138</v>
      </c>
      <c r="V167" s="33" t="s">
        <v>138</v>
      </c>
      <c r="W167" s="33" t="s">
        <v>138</v>
      </c>
      <c r="X167" s="33" t="s">
        <v>138</v>
      </c>
      <c r="Y167" s="33" t="s">
        <v>138</v>
      </c>
      <c r="Z167" s="33" t="s">
        <v>138</v>
      </c>
      <c r="AA167" s="33" t="s">
        <v>138</v>
      </c>
      <c r="AB167" s="33" t="s">
        <v>138</v>
      </c>
      <c r="AC167" s="33" t="s">
        <v>138</v>
      </c>
      <c r="AD167" s="33" t="s">
        <v>138</v>
      </c>
      <c r="AE167" s="33" t="s">
        <v>138</v>
      </c>
      <c r="AF167" s="35">
        <v>0</v>
      </c>
      <c r="AG167" s="35"/>
      <c r="AH167" s="35">
        <f t="shared" si="52"/>
        <v>0</v>
      </c>
      <c r="AI167" s="35">
        <v>0</v>
      </c>
      <c r="AJ167" s="35"/>
      <c r="AK167" s="35">
        <f t="shared" si="53"/>
        <v>0</v>
      </c>
      <c r="AL167" s="6">
        <v>0</v>
      </c>
      <c r="AM167" s="6"/>
      <c r="AN167" s="35">
        <f t="shared" si="54"/>
        <v>0</v>
      </c>
      <c r="AO167" s="6">
        <v>0</v>
      </c>
      <c r="AP167" s="6"/>
      <c r="AQ167" s="34">
        <f t="shared" si="55"/>
        <v>0</v>
      </c>
      <c r="AR167" s="35">
        <v>0</v>
      </c>
      <c r="AS167" s="35"/>
      <c r="AT167" s="35">
        <f t="shared" si="56"/>
        <v>0</v>
      </c>
      <c r="AU167" s="6">
        <v>0</v>
      </c>
      <c r="AV167" s="6"/>
      <c r="AW167" s="35">
        <f t="shared" si="57"/>
        <v>0</v>
      </c>
      <c r="AX167" s="6"/>
      <c r="AY167" s="6"/>
      <c r="AZ167" s="35"/>
      <c r="BA167" s="35">
        <v>0</v>
      </c>
      <c r="BB167" s="35"/>
      <c r="BC167" s="35">
        <f t="shared" si="58"/>
        <v>0</v>
      </c>
      <c r="BD167" s="6">
        <v>0</v>
      </c>
      <c r="BE167" s="6"/>
      <c r="BF167" s="35">
        <f t="shared" si="59"/>
        <v>0</v>
      </c>
      <c r="BG167" s="6">
        <v>0</v>
      </c>
      <c r="BH167" s="6"/>
      <c r="BI167" s="6">
        <f t="shared" si="60"/>
        <v>0</v>
      </c>
      <c r="BJ167" s="6">
        <v>0</v>
      </c>
      <c r="BK167" s="6"/>
      <c r="BL167" s="6">
        <f t="shared" si="61"/>
        <v>0</v>
      </c>
      <c r="BM167" s="6">
        <v>0</v>
      </c>
      <c r="BN167" s="6"/>
      <c r="BO167" s="6">
        <f t="shared" si="62"/>
        <v>0</v>
      </c>
      <c r="BP167" s="6">
        <v>0</v>
      </c>
      <c r="BQ167" s="6"/>
      <c r="BR167" s="35">
        <f t="shared" si="63"/>
        <v>0</v>
      </c>
      <c r="BS167" s="6"/>
      <c r="BT167" s="6"/>
      <c r="BU167" s="6"/>
      <c r="BV167" s="6">
        <v>0</v>
      </c>
      <c r="BW167" s="6"/>
      <c r="BX167" s="35">
        <f t="shared" si="64"/>
        <v>0</v>
      </c>
      <c r="BY167" s="6">
        <v>0</v>
      </c>
      <c r="BZ167" s="6"/>
      <c r="CA167" s="6">
        <f t="shared" si="65"/>
        <v>0</v>
      </c>
      <c r="CB167" s="6">
        <v>0</v>
      </c>
      <c r="CC167" s="6"/>
      <c r="CD167" s="6">
        <f t="shared" si="66"/>
        <v>0</v>
      </c>
      <c r="CE167" s="6">
        <v>0</v>
      </c>
      <c r="CF167" s="6"/>
      <c r="CG167" s="6">
        <f t="shared" si="67"/>
        <v>0</v>
      </c>
      <c r="CH167" s="6">
        <v>0</v>
      </c>
      <c r="CI167" s="6"/>
      <c r="CJ167" s="6">
        <f t="shared" si="68"/>
        <v>0</v>
      </c>
      <c r="CK167" s="6">
        <v>0</v>
      </c>
      <c r="CL167" s="6"/>
      <c r="CM167" s="6">
        <f t="shared" si="69"/>
        <v>0</v>
      </c>
      <c r="CN167" s="6"/>
      <c r="CO167" s="6"/>
      <c r="CP167" s="6"/>
      <c r="CQ167" s="6">
        <v>0</v>
      </c>
      <c r="CR167" s="6"/>
      <c r="CS167" s="6">
        <f t="shared" si="70"/>
        <v>0</v>
      </c>
      <c r="CT167" s="6">
        <v>0</v>
      </c>
      <c r="CU167" s="6"/>
      <c r="CV167" s="6">
        <f t="shared" si="71"/>
        <v>0</v>
      </c>
      <c r="CW167" s="6">
        <v>0</v>
      </c>
      <c r="CX167" s="6"/>
      <c r="CY167" s="6">
        <f t="shared" si="72"/>
        <v>0</v>
      </c>
      <c r="CZ167" s="6">
        <v>0</v>
      </c>
      <c r="DA167" s="6"/>
      <c r="DB167" s="6">
        <f t="shared" si="73"/>
        <v>0</v>
      </c>
      <c r="DC167" s="6">
        <v>0</v>
      </c>
      <c r="DD167" s="6"/>
      <c r="DE167" s="6">
        <f t="shared" si="74"/>
        <v>0</v>
      </c>
      <c r="DF167" s="6">
        <v>0</v>
      </c>
      <c r="DG167" s="6"/>
      <c r="DH167" s="6">
        <f t="shared" si="75"/>
        <v>0</v>
      </c>
      <c r="DI167" s="6"/>
      <c r="DJ167" s="6"/>
      <c r="DK167" s="6"/>
      <c r="DL167" s="6">
        <v>0</v>
      </c>
      <c r="DM167" s="6"/>
      <c r="DN167" s="6">
        <f t="shared" si="76"/>
        <v>0</v>
      </c>
      <c r="DO167" s="6">
        <v>0</v>
      </c>
      <c r="DP167" s="6"/>
      <c r="DQ167" s="6">
        <f t="shared" si="77"/>
        <v>0</v>
      </c>
    </row>
    <row r="168" spans="1:121">
      <c r="A168" s="6">
        <v>164</v>
      </c>
      <c r="B168" s="6">
        <v>930</v>
      </c>
      <c r="C168" s="6"/>
      <c r="D168" s="6">
        <v>234</v>
      </c>
      <c r="E168" s="33" t="s">
        <v>99</v>
      </c>
      <c r="F168" s="33" t="s">
        <v>99</v>
      </c>
      <c r="G168" s="33" t="s">
        <v>99</v>
      </c>
      <c r="H168" s="33" t="s">
        <v>99</v>
      </c>
      <c r="I168" s="33" t="s">
        <v>99</v>
      </c>
      <c r="J168" s="33" t="s">
        <v>99</v>
      </c>
      <c r="K168" s="33" t="s">
        <v>99</v>
      </c>
      <c r="L168" s="33" t="s">
        <v>99</v>
      </c>
      <c r="M168" s="33" t="s">
        <v>99</v>
      </c>
      <c r="N168" s="148" t="s">
        <v>37</v>
      </c>
      <c r="O168" s="33" t="s">
        <v>37</v>
      </c>
      <c r="P168" s="33" t="s">
        <v>37</v>
      </c>
      <c r="Q168" s="33" t="s">
        <v>37</v>
      </c>
      <c r="R168" s="33" t="s">
        <v>37</v>
      </c>
      <c r="S168" s="33" t="s">
        <v>37</v>
      </c>
      <c r="T168" s="33" t="s">
        <v>37</v>
      </c>
      <c r="U168" s="33" t="s">
        <v>37</v>
      </c>
      <c r="V168" s="33" t="s">
        <v>37</v>
      </c>
      <c r="W168" s="33" t="s">
        <v>37</v>
      </c>
      <c r="X168" s="33" t="s">
        <v>37</v>
      </c>
      <c r="Y168" s="33" t="s">
        <v>37</v>
      </c>
      <c r="Z168" s="33" t="s">
        <v>37</v>
      </c>
      <c r="AA168" s="33" t="s">
        <v>37</v>
      </c>
      <c r="AB168" s="33" t="s">
        <v>37</v>
      </c>
      <c r="AC168" s="33" t="s">
        <v>37</v>
      </c>
      <c r="AD168" s="33" t="s">
        <v>37</v>
      </c>
      <c r="AE168" s="33" t="s">
        <v>37</v>
      </c>
      <c r="AF168" s="6">
        <v>1205</v>
      </c>
      <c r="AG168" s="6"/>
      <c r="AH168" s="35">
        <f t="shared" si="52"/>
        <v>275</v>
      </c>
      <c r="AI168" s="35">
        <v>1466</v>
      </c>
      <c r="AJ168" s="35"/>
      <c r="AK168" s="35">
        <f t="shared" si="53"/>
        <v>261</v>
      </c>
      <c r="AL168" s="6">
        <v>178</v>
      </c>
      <c r="AM168" s="6">
        <v>1550</v>
      </c>
      <c r="AN168" s="35">
        <f t="shared" si="54"/>
        <v>262</v>
      </c>
      <c r="AO168" s="6">
        <v>438</v>
      </c>
      <c r="AP168" s="6"/>
      <c r="AQ168" s="34">
        <f t="shared" si="55"/>
        <v>260</v>
      </c>
      <c r="AR168" s="35">
        <v>701</v>
      </c>
      <c r="AS168" s="35"/>
      <c r="AT168" s="35">
        <f t="shared" si="56"/>
        <v>263</v>
      </c>
      <c r="AU168" s="6">
        <v>946</v>
      </c>
      <c r="AV168" s="6"/>
      <c r="AW168" s="35">
        <f t="shared" si="57"/>
        <v>245</v>
      </c>
      <c r="AX168" s="6"/>
      <c r="AY168" s="6"/>
      <c r="AZ168" s="35"/>
      <c r="BA168" s="35">
        <v>1213</v>
      </c>
      <c r="BB168" s="35"/>
      <c r="BC168" s="35">
        <f t="shared" si="58"/>
        <v>267</v>
      </c>
      <c r="BD168" s="6">
        <v>1469</v>
      </c>
      <c r="BE168" s="6"/>
      <c r="BF168" s="35">
        <f t="shared" si="59"/>
        <v>256</v>
      </c>
      <c r="BG168" s="6">
        <v>338</v>
      </c>
      <c r="BH168" s="6">
        <v>1472</v>
      </c>
      <c r="BI168" s="6">
        <f t="shared" si="60"/>
        <v>341</v>
      </c>
      <c r="BJ168" s="6">
        <v>697</v>
      </c>
      <c r="BK168" s="6"/>
      <c r="BL168" s="6">
        <f t="shared" si="61"/>
        <v>359</v>
      </c>
      <c r="BM168" s="6">
        <v>1059</v>
      </c>
      <c r="BN168" s="6"/>
      <c r="BO168" s="6">
        <f t="shared" si="62"/>
        <v>362</v>
      </c>
      <c r="BP168" s="6">
        <v>1399</v>
      </c>
      <c r="BQ168" s="6"/>
      <c r="BR168" s="35">
        <f t="shared" si="63"/>
        <v>340</v>
      </c>
      <c r="BS168" s="6"/>
      <c r="BT168" s="6"/>
      <c r="BU168" s="6"/>
      <c r="BV168" s="6">
        <v>204</v>
      </c>
      <c r="BW168" s="6">
        <v>1560</v>
      </c>
      <c r="BX168" s="35">
        <f t="shared" si="64"/>
        <v>365</v>
      </c>
      <c r="BY168" s="6">
        <v>580</v>
      </c>
      <c r="BZ168" s="6"/>
      <c r="CA168" s="6">
        <f t="shared" si="65"/>
        <v>376</v>
      </c>
      <c r="CB168" s="6">
        <v>960</v>
      </c>
      <c r="CC168" s="6"/>
      <c r="CD168" s="6">
        <f t="shared" si="66"/>
        <v>380</v>
      </c>
      <c r="CE168" s="6">
        <v>1348</v>
      </c>
      <c r="CF168" s="6"/>
      <c r="CG168" s="6">
        <f t="shared" si="67"/>
        <v>388</v>
      </c>
      <c r="CH168" s="6">
        <v>175</v>
      </c>
      <c r="CI168" s="6">
        <v>1560</v>
      </c>
      <c r="CJ168" s="6">
        <f t="shared" si="68"/>
        <v>387</v>
      </c>
      <c r="CK168" s="6">
        <v>546</v>
      </c>
      <c r="CL168" s="6"/>
      <c r="CM168" s="6">
        <f t="shared" si="69"/>
        <v>371</v>
      </c>
      <c r="CN168" s="6"/>
      <c r="CO168" s="6"/>
      <c r="CP168" s="6"/>
      <c r="CQ168" s="6">
        <v>937</v>
      </c>
      <c r="CR168" s="6"/>
      <c r="CS168" s="6">
        <f t="shared" si="70"/>
        <v>391</v>
      </c>
      <c r="CT168" s="6">
        <v>1322</v>
      </c>
      <c r="CU168" s="6"/>
      <c r="CV168" s="6">
        <f t="shared" si="71"/>
        <v>385</v>
      </c>
      <c r="CW168" s="6">
        <v>146</v>
      </c>
      <c r="CX168" s="6">
        <v>1560</v>
      </c>
      <c r="CY168" s="6">
        <f t="shared" si="72"/>
        <v>384</v>
      </c>
      <c r="CZ168" s="6">
        <v>534</v>
      </c>
      <c r="DA168" s="6"/>
      <c r="DB168" s="6">
        <f t="shared" si="73"/>
        <v>388</v>
      </c>
      <c r="DC168" s="6">
        <v>920</v>
      </c>
      <c r="DD168" s="6"/>
      <c r="DE168" s="6">
        <f t="shared" si="74"/>
        <v>386</v>
      </c>
      <c r="DF168" s="35">
        <v>1282</v>
      </c>
      <c r="DG168" s="6"/>
      <c r="DH168" s="6">
        <f t="shared" si="75"/>
        <v>362</v>
      </c>
      <c r="DI168" s="35"/>
      <c r="DJ168" s="6"/>
      <c r="DK168" s="6"/>
      <c r="DL168" s="35">
        <v>110</v>
      </c>
      <c r="DM168" s="6">
        <v>1561</v>
      </c>
      <c r="DN168" s="6">
        <f t="shared" si="76"/>
        <v>389</v>
      </c>
      <c r="DO168" s="35">
        <v>467</v>
      </c>
      <c r="DP168" s="6"/>
      <c r="DQ168" s="6">
        <f t="shared" si="77"/>
        <v>357</v>
      </c>
    </row>
    <row r="169" spans="1:121">
      <c r="A169" s="6">
        <v>165</v>
      </c>
      <c r="B169" s="6">
        <v>0</v>
      </c>
      <c r="C169" s="6"/>
      <c r="D169" s="6">
        <v>0</v>
      </c>
      <c r="E169" s="33" t="s">
        <v>138</v>
      </c>
      <c r="F169" s="33" t="s">
        <v>138</v>
      </c>
      <c r="G169" s="33" t="s">
        <v>138</v>
      </c>
      <c r="H169" s="148" t="s">
        <v>138</v>
      </c>
      <c r="I169" s="33" t="s">
        <v>138</v>
      </c>
      <c r="J169" s="33" t="s">
        <v>138</v>
      </c>
      <c r="K169" s="33" t="s">
        <v>138</v>
      </c>
      <c r="L169" s="33" t="s">
        <v>138</v>
      </c>
      <c r="M169" s="33" t="s">
        <v>138</v>
      </c>
      <c r="N169" s="33" t="s">
        <v>138</v>
      </c>
      <c r="O169" s="33" t="s">
        <v>138</v>
      </c>
      <c r="P169" s="33" t="s">
        <v>138</v>
      </c>
      <c r="Q169" s="148" t="s">
        <v>102</v>
      </c>
      <c r="R169" s="33" t="s">
        <v>102</v>
      </c>
      <c r="S169" s="33" t="s">
        <v>102</v>
      </c>
      <c r="T169" s="33" t="s">
        <v>102</v>
      </c>
      <c r="U169" s="33" t="s">
        <v>102</v>
      </c>
      <c r="V169" s="33" t="s">
        <v>102</v>
      </c>
      <c r="W169" s="33" t="s">
        <v>102</v>
      </c>
      <c r="X169" s="33" t="s">
        <v>102</v>
      </c>
      <c r="Y169" s="33" t="s">
        <v>102</v>
      </c>
      <c r="Z169" s="33" t="s">
        <v>102</v>
      </c>
      <c r="AA169" s="33" t="s">
        <v>102</v>
      </c>
      <c r="AB169" s="33" t="s">
        <v>102</v>
      </c>
      <c r="AC169" s="33" t="s">
        <v>102</v>
      </c>
      <c r="AD169" s="33" t="s">
        <v>102</v>
      </c>
      <c r="AE169" s="33" t="s">
        <v>102</v>
      </c>
      <c r="AF169" s="35">
        <v>0</v>
      </c>
      <c r="AG169" s="35"/>
      <c r="AH169" s="35">
        <f t="shared" si="52"/>
        <v>0</v>
      </c>
      <c r="AI169" s="35">
        <v>0</v>
      </c>
      <c r="AJ169" s="35"/>
      <c r="AK169" s="35">
        <f t="shared" si="53"/>
        <v>0</v>
      </c>
      <c r="AL169" s="35">
        <v>8</v>
      </c>
      <c r="AM169" s="35">
        <v>225</v>
      </c>
      <c r="AN169" s="35">
        <f t="shared" si="54"/>
        <v>233</v>
      </c>
      <c r="AO169" s="6">
        <v>0</v>
      </c>
      <c r="AP169" s="35">
        <v>300</v>
      </c>
      <c r="AQ169" s="34">
        <f t="shared" si="55"/>
        <v>292</v>
      </c>
      <c r="AR169" s="35">
        <v>0</v>
      </c>
      <c r="AS169" s="35"/>
      <c r="AT169" s="35">
        <f t="shared" si="56"/>
        <v>0</v>
      </c>
      <c r="AU169" s="6">
        <v>0</v>
      </c>
      <c r="AV169" s="6"/>
      <c r="AW169" s="35">
        <f t="shared" si="57"/>
        <v>0</v>
      </c>
      <c r="AX169" s="6"/>
      <c r="AY169" s="6"/>
      <c r="AZ169" s="35"/>
      <c r="BA169" s="6">
        <v>0</v>
      </c>
      <c r="BB169" s="6"/>
      <c r="BC169" s="35">
        <f t="shared" si="58"/>
        <v>0</v>
      </c>
      <c r="BD169" s="6">
        <v>0</v>
      </c>
      <c r="BE169" s="6"/>
      <c r="BF169" s="35">
        <f t="shared" si="59"/>
        <v>0</v>
      </c>
      <c r="BG169" s="6">
        <v>0</v>
      </c>
      <c r="BH169" s="6"/>
      <c r="BI169" s="6">
        <f t="shared" si="60"/>
        <v>0</v>
      </c>
      <c r="BJ169" s="6">
        <v>0</v>
      </c>
      <c r="BK169" s="35"/>
      <c r="BL169" s="6">
        <f t="shared" si="61"/>
        <v>0</v>
      </c>
      <c r="BM169" s="6">
        <v>0</v>
      </c>
      <c r="BN169" s="6"/>
      <c r="BO169" s="6">
        <f t="shared" si="62"/>
        <v>0</v>
      </c>
      <c r="BP169" s="6">
        <v>0</v>
      </c>
      <c r="BQ169" s="6"/>
      <c r="BR169" s="35">
        <f t="shared" si="63"/>
        <v>0</v>
      </c>
      <c r="BS169" s="6"/>
      <c r="BT169" s="6"/>
      <c r="BU169" s="6"/>
      <c r="BV169" s="6">
        <v>271</v>
      </c>
      <c r="BW169" s="6"/>
      <c r="BX169" s="35">
        <f t="shared" si="64"/>
        <v>271</v>
      </c>
      <c r="BY169" s="6">
        <v>500</v>
      </c>
      <c r="BZ169" s="6"/>
      <c r="CA169" s="6">
        <f t="shared" si="65"/>
        <v>229</v>
      </c>
      <c r="CB169" s="6">
        <v>0</v>
      </c>
      <c r="CC169" s="6">
        <v>500</v>
      </c>
      <c r="CD169" s="6">
        <f t="shared" si="66"/>
        <v>0</v>
      </c>
      <c r="CE169" s="6">
        <v>0</v>
      </c>
      <c r="CF169" s="6"/>
      <c r="CG169" s="6">
        <f t="shared" si="67"/>
        <v>0</v>
      </c>
      <c r="CH169" s="6">
        <v>0</v>
      </c>
      <c r="CI169" s="6"/>
      <c r="CJ169" s="6">
        <f t="shared" si="68"/>
        <v>0</v>
      </c>
      <c r="CK169" s="6">
        <v>0</v>
      </c>
      <c r="CL169" s="6"/>
      <c r="CM169" s="6">
        <f t="shared" si="69"/>
        <v>0</v>
      </c>
      <c r="CN169" s="6"/>
      <c r="CO169" s="6"/>
      <c r="CP169" s="6"/>
      <c r="CQ169" s="6">
        <v>0</v>
      </c>
      <c r="CR169" s="6"/>
      <c r="CS169" s="6">
        <f t="shared" si="70"/>
        <v>0</v>
      </c>
      <c r="CT169" s="6">
        <v>0</v>
      </c>
      <c r="CU169" s="6"/>
      <c r="CV169" s="6">
        <f t="shared" si="71"/>
        <v>0</v>
      </c>
      <c r="CW169" s="6">
        <v>0</v>
      </c>
      <c r="CX169" s="6"/>
      <c r="CY169" s="6">
        <f t="shared" si="72"/>
        <v>0</v>
      </c>
      <c r="CZ169" s="6">
        <v>0</v>
      </c>
      <c r="DA169" s="6"/>
      <c r="DB169" s="6">
        <f t="shared" si="73"/>
        <v>0</v>
      </c>
      <c r="DC169" s="6">
        <v>0</v>
      </c>
      <c r="DD169" s="6"/>
      <c r="DE169" s="6">
        <f t="shared" si="74"/>
        <v>0</v>
      </c>
      <c r="DF169" s="6">
        <v>0</v>
      </c>
      <c r="DG169" s="6"/>
      <c r="DH169" s="6">
        <f t="shared" si="75"/>
        <v>0</v>
      </c>
      <c r="DI169" s="6"/>
      <c r="DJ169" s="6"/>
      <c r="DK169" s="6"/>
      <c r="DL169" s="6">
        <v>0</v>
      </c>
      <c r="DM169" s="6"/>
      <c r="DN169" s="6">
        <f t="shared" si="76"/>
        <v>0</v>
      </c>
      <c r="DO169" s="6">
        <v>0</v>
      </c>
      <c r="DP169" s="6"/>
      <c r="DQ169" s="6">
        <f t="shared" si="77"/>
        <v>0</v>
      </c>
    </row>
    <row r="170" spans="1:121">
      <c r="A170" s="6">
        <v>166</v>
      </c>
      <c r="B170" s="6">
        <v>948</v>
      </c>
      <c r="C170" s="6"/>
      <c r="D170" s="6">
        <v>239</v>
      </c>
      <c r="E170" s="33" t="s">
        <v>99</v>
      </c>
      <c r="F170" s="33" t="s">
        <v>99</v>
      </c>
      <c r="G170" s="33" t="s">
        <v>99</v>
      </c>
      <c r="H170" s="33" t="s">
        <v>99</v>
      </c>
      <c r="I170" s="33" t="s">
        <v>99</v>
      </c>
      <c r="J170" s="33" t="s">
        <v>99</v>
      </c>
      <c r="K170" s="33" t="s">
        <v>99</v>
      </c>
      <c r="L170" s="33" t="s">
        <v>99</v>
      </c>
      <c r="M170" s="33" t="s">
        <v>99</v>
      </c>
      <c r="N170" s="33" t="s">
        <v>99</v>
      </c>
      <c r="O170" s="148" t="s">
        <v>37</v>
      </c>
      <c r="P170" s="33" t="s">
        <v>37</v>
      </c>
      <c r="Q170" s="33" t="s">
        <v>37</v>
      </c>
      <c r="R170" s="33" t="s">
        <v>37</v>
      </c>
      <c r="S170" s="33" t="s">
        <v>37</v>
      </c>
      <c r="T170" s="33" t="s">
        <v>37</v>
      </c>
      <c r="U170" s="33" t="s">
        <v>37</v>
      </c>
      <c r="V170" s="33" t="s">
        <v>37</v>
      </c>
      <c r="W170" s="33" t="s">
        <v>37</v>
      </c>
      <c r="X170" s="33" t="s">
        <v>37</v>
      </c>
      <c r="Y170" s="33" t="s">
        <v>37</v>
      </c>
      <c r="Z170" s="33" t="s">
        <v>37</v>
      </c>
      <c r="AA170" s="33" t="s">
        <v>37</v>
      </c>
      <c r="AB170" s="33" t="s">
        <v>37</v>
      </c>
      <c r="AC170" s="33" t="s">
        <v>37</v>
      </c>
      <c r="AD170" s="33" t="s">
        <v>37</v>
      </c>
      <c r="AE170" s="33" t="s">
        <v>37</v>
      </c>
      <c r="AF170" s="6">
        <v>1227</v>
      </c>
      <c r="AG170" s="6"/>
      <c r="AH170" s="35">
        <f t="shared" si="52"/>
        <v>279</v>
      </c>
      <c r="AI170" s="35">
        <v>1486</v>
      </c>
      <c r="AJ170" s="35"/>
      <c r="AK170" s="35">
        <f t="shared" si="53"/>
        <v>259</v>
      </c>
      <c r="AL170" s="6">
        <v>249</v>
      </c>
      <c r="AM170" s="6">
        <v>1500</v>
      </c>
      <c r="AN170" s="35">
        <f t="shared" si="54"/>
        <v>263</v>
      </c>
      <c r="AO170" s="6">
        <v>511</v>
      </c>
      <c r="AP170" s="6"/>
      <c r="AQ170" s="34">
        <f t="shared" si="55"/>
        <v>262</v>
      </c>
      <c r="AR170" s="35">
        <v>776</v>
      </c>
      <c r="AS170" s="35"/>
      <c r="AT170" s="35">
        <f t="shared" si="56"/>
        <v>265</v>
      </c>
      <c r="AU170" s="6">
        <v>1018</v>
      </c>
      <c r="AV170" s="6"/>
      <c r="AW170" s="35">
        <f t="shared" si="57"/>
        <v>242</v>
      </c>
      <c r="AX170" s="6"/>
      <c r="AY170" s="6"/>
      <c r="AZ170" s="35"/>
      <c r="BA170" s="35">
        <v>1285</v>
      </c>
      <c r="BB170" s="35"/>
      <c r="BC170" s="35">
        <f t="shared" si="58"/>
        <v>267</v>
      </c>
      <c r="BD170" s="6">
        <v>46</v>
      </c>
      <c r="BE170" s="6">
        <v>1500</v>
      </c>
      <c r="BF170" s="35">
        <f t="shared" si="59"/>
        <v>261</v>
      </c>
      <c r="BG170" s="6">
        <v>309</v>
      </c>
      <c r="BH170" s="6"/>
      <c r="BI170" s="6">
        <f t="shared" si="60"/>
        <v>263</v>
      </c>
      <c r="BJ170" s="6">
        <v>242</v>
      </c>
      <c r="BK170" s="6">
        <v>336</v>
      </c>
      <c r="BL170" s="6">
        <f t="shared" si="61"/>
        <v>269</v>
      </c>
      <c r="BM170" s="6">
        <v>607</v>
      </c>
      <c r="BN170" s="6"/>
      <c r="BO170" s="6">
        <f t="shared" si="62"/>
        <v>365</v>
      </c>
      <c r="BP170" s="6">
        <v>344</v>
      </c>
      <c r="BQ170" s="6">
        <v>638</v>
      </c>
      <c r="BR170" s="35">
        <f t="shared" si="63"/>
        <v>375</v>
      </c>
      <c r="BS170" s="6"/>
      <c r="BT170" s="6"/>
      <c r="BU170" s="6"/>
      <c r="BV170" s="6">
        <v>236</v>
      </c>
      <c r="BW170" s="6">
        <v>484</v>
      </c>
      <c r="BX170" s="35">
        <f t="shared" si="64"/>
        <v>376</v>
      </c>
      <c r="BY170" s="6">
        <v>608</v>
      </c>
      <c r="BZ170" s="6"/>
      <c r="CA170" s="6">
        <f t="shared" si="65"/>
        <v>372</v>
      </c>
      <c r="CB170" s="6">
        <v>987</v>
      </c>
      <c r="CC170" s="6"/>
      <c r="CD170" s="6">
        <f t="shared" si="66"/>
        <v>379</v>
      </c>
      <c r="CE170" s="6">
        <v>1375</v>
      </c>
      <c r="CF170" s="6"/>
      <c r="CG170" s="6">
        <f t="shared" si="67"/>
        <v>388</v>
      </c>
      <c r="CH170" s="6">
        <v>201</v>
      </c>
      <c r="CI170" s="6">
        <v>1560</v>
      </c>
      <c r="CJ170" s="6">
        <f t="shared" si="68"/>
        <v>386</v>
      </c>
      <c r="CK170" s="6">
        <v>576</v>
      </c>
      <c r="CL170" s="6"/>
      <c r="CM170" s="6">
        <f t="shared" si="69"/>
        <v>375</v>
      </c>
      <c r="CN170" s="6"/>
      <c r="CO170" s="6"/>
      <c r="CP170" s="6"/>
      <c r="CQ170" s="6">
        <v>972</v>
      </c>
      <c r="CR170" s="6"/>
      <c r="CS170" s="6">
        <f t="shared" si="70"/>
        <v>396</v>
      </c>
      <c r="CT170" s="6">
        <v>1361</v>
      </c>
      <c r="CU170" s="6"/>
      <c r="CV170" s="6">
        <f t="shared" si="71"/>
        <v>389</v>
      </c>
      <c r="CW170" s="6">
        <v>190</v>
      </c>
      <c r="CX170" s="6">
        <v>1560</v>
      </c>
      <c r="CY170" s="6">
        <f t="shared" si="72"/>
        <v>389</v>
      </c>
      <c r="CZ170" s="6">
        <v>72</v>
      </c>
      <c r="DA170" s="6">
        <v>500</v>
      </c>
      <c r="DB170" s="6">
        <f t="shared" si="73"/>
        <v>382</v>
      </c>
      <c r="DC170" s="6">
        <v>460</v>
      </c>
      <c r="DD170" s="6"/>
      <c r="DE170" s="6">
        <f t="shared" si="74"/>
        <v>388</v>
      </c>
      <c r="DF170" s="35">
        <v>118</v>
      </c>
      <c r="DG170" s="6">
        <v>709</v>
      </c>
      <c r="DH170" s="6">
        <f t="shared" si="75"/>
        <v>367</v>
      </c>
      <c r="DI170" s="35"/>
      <c r="DJ170" s="6"/>
      <c r="DK170" s="35"/>
      <c r="DL170" s="35">
        <v>509</v>
      </c>
      <c r="DM170" s="6"/>
      <c r="DN170" s="6">
        <f t="shared" si="76"/>
        <v>391</v>
      </c>
      <c r="DO170" s="35">
        <v>155</v>
      </c>
      <c r="DP170" s="6">
        <v>710</v>
      </c>
      <c r="DQ170" s="6">
        <f t="shared" si="77"/>
        <v>356</v>
      </c>
    </row>
    <row r="171" spans="1:121">
      <c r="A171" s="6">
        <v>167</v>
      </c>
      <c r="B171" s="6">
        <v>0</v>
      </c>
      <c r="C171" s="6"/>
      <c r="D171" s="6">
        <v>0</v>
      </c>
      <c r="E171" s="33" t="s">
        <v>56</v>
      </c>
      <c r="F171" s="33" t="s">
        <v>56</v>
      </c>
      <c r="G171" s="33" t="s">
        <v>56</v>
      </c>
      <c r="H171" s="148" t="s">
        <v>245</v>
      </c>
      <c r="I171" s="33" t="s">
        <v>245</v>
      </c>
      <c r="J171" s="33" t="s">
        <v>245</v>
      </c>
      <c r="K171" s="33" t="s">
        <v>245</v>
      </c>
      <c r="L171" s="33" t="s">
        <v>245</v>
      </c>
      <c r="M171" s="33" t="s">
        <v>245</v>
      </c>
      <c r="N171" s="33" t="s">
        <v>245</v>
      </c>
      <c r="O171" s="33" t="s">
        <v>245</v>
      </c>
      <c r="P171" s="33" t="s">
        <v>245</v>
      </c>
      <c r="Q171" s="33" t="s">
        <v>245</v>
      </c>
      <c r="R171" s="33" t="s">
        <v>245</v>
      </c>
      <c r="S171" s="33" t="s">
        <v>245</v>
      </c>
      <c r="T171" s="33" t="s">
        <v>245</v>
      </c>
      <c r="U171" s="33" t="s">
        <v>245</v>
      </c>
      <c r="V171" s="33" t="s">
        <v>245</v>
      </c>
      <c r="W171" s="33" t="s">
        <v>245</v>
      </c>
      <c r="X171" s="33" t="s">
        <v>245</v>
      </c>
      <c r="Y171" s="33" t="s">
        <v>245</v>
      </c>
      <c r="Z171" s="33" t="s">
        <v>245</v>
      </c>
      <c r="AA171" s="33" t="s">
        <v>245</v>
      </c>
      <c r="AB171" s="33" t="s">
        <v>245</v>
      </c>
      <c r="AC171" s="33" t="s">
        <v>245</v>
      </c>
      <c r="AD171" s="33" t="s">
        <v>245</v>
      </c>
      <c r="AE171" s="33" t="s">
        <v>245</v>
      </c>
      <c r="AF171" s="6">
        <v>0</v>
      </c>
      <c r="AG171" s="6"/>
      <c r="AH171" s="35">
        <f t="shared" si="52"/>
        <v>0</v>
      </c>
      <c r="AI171" s="35">
        <v>0</v>
      </c>
      <c r="AJ171" s="35"/>
      <c r="AK171" s="35">
        <f t="shared" si="53"/>
        <v>0</v>
      </c>
      <c r="AL171" s="6">
        <v>196</v>
      </c>
      <c r="AM171" s="6"/>
      <c r="AN171" s="35">
        <f t="shared" si="54"/>
        <v>196</v>
      </c>
      <c r="AO171" s="6">
        <v>484</v>
      </c>
      <c r="AP171" s="6"/>
      <c r="AQ171" s="34">
        <f t="shared" si="55"/>
        <v>288</v>
      </c>
      <c r="AR171" s="35">
        <v>0</v>
      </c>
      <c r="AS171" s="35">
        <v>500</v>
      </c>
      <c r="AT171" s="35">
        <f t="shared" si="56"/>
        <v>16</v>
      </c>
      <c r="AU171" s="6">
        <v>0</v>
      </c>
      <c r="AV171" s="6"/>
      <c r="AW171" s="35">
        <f t="shared" si="57"/>
        <v>0</v>
      </c>
      <c r="AX171" s="6"/>
      <c r="AY171" s="6"/>
      <c r="AZ171" s="35"/>
      <c r="BA171" s="4">
        <v>0</v>
      </c>
      <c r="BB171" s="35"/>
      <c r="BC171" s="35">
        <f t="shared" si="58"/>
        <v>0</v>
      </c>
      <c r="BD171" s="6">
        <v>0</v>
      </c>
      <c r="BE171" s="6"/>
      <c r="BF171" s="35">
        <f t="shared" si="59"/>
        <v>0</v>
      </c>
      <c r="BG171" s="6">
        <v>0</v>
      </c>
      <c r="BH171" s="6"/>
      <c r="BI171" s="6">
        <f t="shared" si="60"/>
        <v>0</v>
      </c>
      <c r="BJ171" s="6">
        <v>0</v>
      </c>
      <c r="BK171" s="6"/>
      <c r="BL171" s="6">
        <f t="shared" si="61"/>
        <v>0</v>
      </c>
      <c r="BM171" s="6">
        <v>0</v>
      </c>
      <c r="BN171" s="6"/>
      <c r="BO171" s="6">
        <f t="shared" si="62"/>
        <v>0</v>
      </c>
      <c r="BP171" s="6">
        <v>0</v>
      </c>
      <c r="BQ171" s="6"/>
      <c r="BR171" s="35">
        <f t="shared" si="63"/>
        <v>0</v>
      </c>
      <c r="BS171" s="6"/>
      <c r="BT171" s="6"/>
      <c r="BU171" s="6"/>
      <c r="BV171" s="6">
        <v>0</v>
      </c>
      <c r="BW171" s="6"/>
      <c r="BX171" s="35">
        <f t="shared" si="64"/>
        <v>0</v>
      </c>
      <c r="BY171" s="6">
        <v>0</v>
      </c>
      <c r="BZ171" s="6"/>
      <c r="CA171" s="6">
        <f t="shared" si="65"/>
        <v>0</v>
      </c>
      <c r="CB171" s="6">
        <v>0</v>
      </c>
      <c r="CC171" s="6"/>
      <c r="CD171" s="6">
        <f t="shared" si="66"/>
        <v>0</v>
      </c>
      <c r="CE171" s="6">
        <v>0</v>
      </c>
      <c r="CF171" s="6"/>
      <c r="CG171" s="6">
        <f t="shared" si="67"/>
        <v>0</v>
      </c>
      <c r="CH171" s="6">
        <v>0</v>
      </c>
      <c r="CI171" s="6"/>
      <c r="CJ171" s="6">
        <f t="shared" si="68"/>
        <v>0</v>
      </c>
      <c r="CK171" s="6">
        <v>0</v>
      </c>
      <c r="CL171" s="6"/>
      <c r="CM171" s="6">
        <f t="shared" si="69"/>
        <v>0</v>
      </c>
      <c r="CN171" s="6"/>
      <c r="CO171" s="6"/>
      <c r="CP171" s="6"/>
      <c r="CQ171" s="6">
        <v>0</v>
      </c>
      <c r="CR171" s="6"/>
      <c r="CS171" s="6">
        <f t="shared" si="70"/>
        <v>0</v>
      </c>
      <c r="CT171" s="6">
        <v>0</v>
      </c>
      <c r="CU171" s="6"/>
      <c r="CV171" s="6">
        <f t="shared" si="71"/>
        <v>0</v>
      </c>
      <c r="CW171" s="6">
        <v>0</v>
      </c>
      <c r="CX171" s="6"/>
      <c r="CY171" s="6">
        <f t="shared" si="72"/>
        <v>0</v>
      </c>
      <c r="CZ171" s="6">
        <v>0</v>
      </c>
      <c r="DA171" s="6"/>
      <c r="DB171" s="6">
        <f t="shared" si="73"/>
        <v>0</v>
      </c>
      <c r="DC171" s="6">
        <v>0</v>
      </c>
      <c r="DD171" s="6"/>
      <c r="DE171" s="6">
        <f t="shared" si="74"/>
        <v>0</v>
      </c>
      <c r="DF171" s="6">
        <v>0</v>
      </c>
      <c r="DG171" s="6"/>
      <c r="DH171" s="6">
        <f t="shared" si="75"/>
        <v>0</v>
      </c>
      <c r="DI171" s="6"/>
      <c r="DJ171" s="6"/>
      <c r="DK171" s="6"/>
      <c r="DL171" s="6">
        <v>0</v>
      </c>
      <c r="DM171" s="6"/>
      <c r="DN171" s="6">
        <f t="shared" si="76"/>
        <v>0</v>
      </c>
      <c r="DO171" s="6">
        <v>0</v>
      </c>
      <c r="DP171" s="6"/>
      <c r="DQ171" s="6">
        <f t="shared" si="77"/>
        <v>0</v>
      </c>
    </row>
    <row r="172" spans="1:121">
      <c r="A172" s="6">
        <v>168</v>
      </c>
      <c r="B172" s="6">
        <v>138</v>
      </c>
      <c r="C172" s="6">
        <v>1500</v>
      </c>
      <c r="D172" s="6">
        <v>233</v>
      </c>
      <c r="E172" s="33" t="s">
        <v>99</v>
      </c>
      <c r="F172" s="33" t="s">
        <v>99</v>
      </c>
      <c r="G172" s="33" t="s">
        <v>99</v>
      </c>
      <c r="H172" s="33" t="s">
        <v>99</v>
      </c>
      <c r="I172" s="33" t="s">
        <v>99</v>
      </c>
      <c r="J172" s="33" t="s">
        <v>99</v>
      </c>
      <c r="K172" s="148" t="s">
        <v>99</v>
      </c>
      <c r="L172" s="33" t="s">
        <v>99</v>
      </c>
      <c r="M172" s="33" t="s">
        <v>99</v>
      </c>
      <c r="N172" s="148" t="s">
        <v>37</v>
      </c>
      <c r="O172" s="33" t="s">
        <v>37</v>
      </c>
      <c r="P172" s="33" t="s">
        <v>37</v>
      </c>
      <c r="Q172" s="33" t="s">
        <v>37</v>
      </c>
      <c r="R172" s="33" t="s">
        <v>37</v>
      </c>
      <c r="S172" s="33" t="s">
        <v>37</v>
      </c>
      <c r="T172" s="33" t="s">
        <v>37</v>
      </c>
      <c r="U172" s="33" t="s">
        <v>37</v>
      </c>
      <c r="V172" s="33" t="s">
        <v>37</v>
      </c>
      <c r="W172" s="33" t="s">
        <v>37</v>
      </c>
      <c r="X172" s="33" t="s">
        <v>37</v>
      </c>
      <c r="Y172" s="33" t="s">
        <v>37</v>
      </c>
      <c r="Z172" s="33" t="s">
        <v>37</v>
      </c>
      <c r="AA172" s="33" t="s">
        <v>37</v>
      </c>
      <c r="AB172" s="33" t="s">
        <v>37</v>
      </c>
      <c r="AC172" s="33" t="s">
        <v>37</v>
      </c>
      <c r="AD172" s="33" t="s">
        <v>37</v>
      </c>
      <c r="AE172" s="33" t="s">
        <v>37</v>
      </c>
      <c r="AF172" s="35">
        <v>409</v>
      </c>
      <c r="AG172" s="35"/>
      <c r="AH172" s="35">
        <f t="shared" si="52"/>
        <v>271</v>
      </c>
      <c r="AI172" s="35">
        <v>665</v>
      </c>
      <c r="AJ172" s="35"/>
      <c r="AK172" s="35">
        <f t="shared" si="53"/>
        <v>256</v>
      </c>
      <c r="AL172" s="35">
        <v>921</v>
      </c>
      <c r="AM172" s="35"/>
      <c r="AN172" s="35">
        <f t="shared" si="54"/>
        <v>256</v>
      </c>
      <c r="AO172" s="35">
        <v>235</v>
      </c>
      <c r="AP172" s="35">
        <v>943</v>
      </c>
      <c r="AQ172" s="34">
        <f t="shared" si="55"/>
        <v>257</v>
      </c>
      <c r="AR172" s="35">
        <v>0</v>
      </c>
      <c r="AS172" s="35">
        <v>396</v>
      </c>
      <c r="AT172" s="35">
        <f t="shared" si="56"/>
        <v>161</v>
      </c>
      <c r="AU172" s="6">
        <v>219</v>
      </c>
      <c r="AV172" s="6"/>
      <c r="AW172" s="35">
        <f t="shared" si="57"/>
        <v>219</v>
      </c>
      <c r="AX172" s="6"/>
      <c r="AY172" s="6"/>
      <c r="AZ172" s="35"/>
      <c r="BA172" s="35">
        <v>483</v>
      </c>
      <c r="BB172" s="6"/>
      <c r="BC172" s="35">
        <f t="shared" si="58"/>
        <v>264</v>
      </c>
      <c r="BD172" s="6">
        <v>0</v>
      </c>
      <c r="BE172" s="6">
        <v>737</v>
      </c>
      <c r="BF172" s="35">
        <f t="shared" si="59"/>
        <v>254</v>
      </c>
      <c r="BG172" s="6">
        <v>334</v>
      </c>
      <c r="BH172" s="6"/>
      <c r="BI172" s="6">
        <f t="shared" si="60"/>
        <v>334</v>
      </c>
      <c r="BJ172" s="6">
        <v>695</v>
      </c>
      <c r="BK172" s="35"/>
      <c r="BL172" s="6">
        <f t="shared" si="61"/>
        <v>361</v>
      </c>
      <c r="BM172" s="6">
        <v>1056</v>
      </c>
      <c r="BN172" s="6"/>
      <c r="BO172" s="6">
        <f t="shared" si="62"/>
        <v>361</v>
      </c>
      <c r="BP172" s="6">
        <v>1399</v>
      </c>
      <c r="BQ172" s="6"/>
      <c r="BR172" s="35">
        <f t="shared" si="63"/>
        <v>343</v>
      </c>
      <c r="BS172" s="6"/>
      <c r="BT172" s="6"/>
      <c r="BU172" s="6"/>
      <c r="BV172" s="6">
        <v>198</v>
      </c>
      <c r="BW172" s="6">
        <v>1560</v>
      </c>
      <c r="BX172" s="35">
        <f t="shared" si="64"/>
        <v>359</v>
      </c>
      <c r="BY172" s="6">
        <v>575</v>
      </c>
      <c r="BZ172" s="6"/>
      <c r="CA172" s="6">
        <f t="shared" si="65"/>
        <v>377</v>
      </c>
      <c r="CB172" s="6">
        <v>957</v>
      </c>
      <c r="CC172" s="6"/>
      <c r="CD172" s="6">
        <f t="shared" si="66"/>
        <v>382</v>
      </c>
      <c r="CE172" s="6">
        <v>1339</v>
      </c>
      <c r="CF172" s="6"/>
      <c r="CG172" s="6">
        <f t="shared" si="67"/>
        <v>382</v>
      </c>
      <c r="CH172" s="6">
        <v>140</v>
      </c>
      <c r="CI172" s="6">
        <v>1560</v>
      </c>
      <c r="CJ172" s="6">
        <f t="shared" si="68"/>
        <v>361</v>
      </c>
      <c r="CK172" s="6">
        <v>501</v>
      </c>
      <c r="CL172" s="6"/>
      <c r="CM172" s="6">
        <f t="shared" si="69"/>
        <v>361</v>
      </c>
      <c r="CN172" s="6"/>
      <c r="CO172" s="6"/>
      <c r="CP172" s="6"/>
      <c r="CQ172" s="6">
        <v>881</v>
      </c>
      <c r="CR172" s="6"/>
      <c r="CS172" s="6">
        <f t="shared" si="70"/>
        <v>380</v>
      </c>
      <c r="CT172" s="6">
        <v>1259</v>
      </c>
      <c r="CU172" s="6"/>
      <c r="CV172" s="6">
        <f t="shared" si="71"/>
        <v>378</v>
      </c>
      <c r="CW172" s="6">
        <v>82</v>
      </c>
      <c r="CX172" s="6">
        <v>1560</v>
      </c>
      <c r="CY172" s="6">
        <f t="shared" si="72"/>
        <v>383</v>
      </c>
      <c r="CZ172" s="6">
        <v>466</v>
      </c>
      <c r="DA172" s="6"/>
      <c r="DB172" s="6">
        <f t="shared" si="73"/>
        <v>384</v>
      </c>
      <c r="DC172" s="6">
        <v>138</v>
      </c>
      <c r="DD172" s="6">
        <v>706</v>
      </c>
      <c r="DE172" s="6">
        <f t="shared" si="74"/>
        <v>378</v>
      </c>
      <c r="DF172" s="6">
        <v>504</v>
      </c>
      <c r="DG172" s="6"/>
      <c r="DH172" s="6">
        <f t="shared" si="75"/>
        <v>366</v>
      </c>
      <c r="DI172" s="6"/>
      <c r="DJ172" s="6"/>
      <c r="DK172" s="6"/>
      <c r="DL172" s="6">
        <v>869</v>
      </c>
      <c r="DM172" s="6"/>
      <c r="DN172" s="6">
        <f t="shared" si="76"/>
        <v>365</v>
      </c>
      <c r="DO172" s="6">
        <v>164</v>
      </c>
      <c r="DP172" s="6">
        <v>1049</v>
      </c>
      <c r="DQ172" s="6">
        <f t="shared" si="77"/>
        <v>344</v>
      </c>
    </row>
    <row r="173" spans="1:121">
      <c r="A173" s="6">
        <v>169</v>
      </c>
      <c r="B173" s="6">
        <v>0</v>
      </c>
      <c r="C173" s="6"/>
      <c r="D173" s="6">
        <v>0</v>
      </c>
      <c r="E173" s="33" t="s">
        <v>108</v>
      </c>
      <c r="F173" s="33" t="s">
        <v>108</v>
      </c>
      <c r="G173" s="33" t="s">
        <v>108</v>
      </c>
      <c r="H173" s="33" t="s">
        <v>108</v>
      </c>
      <c r="I173" s="33" t="s">
        <v>108</v>
      </c>
      <c r="J173" s="33" t="s">
        <v>108</v>
      </c>
      <c r="K173" s="33" t="s">
        <v>108</v>
      </c>
      <c r="L173" s="33" t="s">
        <v>108</v>
      </c>
      <c r="M173" s="33" t="s">
        <v>108</v>
      </c>
      <c r="N173" s="33" t="s">
        <v>108</v>
      </c>
      <c r="O173" s="33" t="s">
        <v>108</v>
      </c>
      <c r="P173" s="33" t="s">
        <v>108</v>
      </c>
      <c r="Q173" s="33" t="s">
        <v>108</v>
      </c>
      <c r="R173" s="33" t="s">
        <v>108</v>
      </c>
      <c r="S173" s="33" t="s">
        <v>108</v>
      </c>
      <c r="T173" s="33" t="s">
        <v>108</v>
      </c>
      <c r="U173" s="33" t="s">
        <v>108</v>
      </c>
      <c r="V173" s="33" t="s">
        <v>108</v>
      </c>
      <c r="W173" s="33" t="s">
        <v>108</v>
      </c>
      <c r="X173" s="33" t="s">
        <v>108</v>
      </c>
      <c r="Y173" s="33" t="s">
        <v>108</v>
      </c>
      <c r="Z173" s="33" t="s">
        <v>108</v>
      </c>
      <c r="AA173" s="33" t="s">
        <v>108</v>
      </c>
      <c r="AB173" s="33" t="s">
        <v>108</v>
      </c>
      <c r="AC173" s="33" t="s">
        <v>108</v>
      </c>
      <c r="AD173" s="33" t="s">
        <v>108</v>
      </c>
      <c r="AE173" s="33" t="s">
        <v>108</v>
      </c>
      <c r="AF173" s="6">
        <v>0</v>
      </c>
      <c r="AG173" s="6"/>
      <c r="AH173" s="35">
        <f t="shared" si="52"/>
        <v>0</v>
      </c>
      <c r="AI173" s="35">
        <v>0</v>
      </c>
      <c r="AJ173" s="35"/>
      <c r="AK173" s="35">
        <f t="shared" si="53"/>
        <v>0</v>
      </c>
      <c r="AL173" s="6">
        <v>0</v>
      </c>
      <c r="AM173" s="6"/>
      <c r="AN173" s="35">
        <f t="shared" si="54"/>
        <v>0</v>
      </c>
      <c r="AO173" s="6">
        <v>0</v>
      </c>
      <c r="AP173" s="6"/>
      <c r="AQ173" s="34">
        <f t="shared" si="55"/>
        <v>0</v>
      </c>
      <c r="AR173" s="35">
        <v>0</v>
      </c>
      <c r="AS173" s="35"/>
      <c r="AT173" s="35">
        <f t="shared" si="56"/>
        <v>0</v>
      </c>
      <c r="AU173" s="6">
        <v>0</v>
      </c>
      <c r="AV173" s="6"/>
      <c r="AW173" s="35">
        <f t="shared" si="57"/>
        <v>0</v>
      </c>
      <c r="AX173" s="6"/>
      <c r="AY173" s="6"/>
      <c r="AZ173" s="35"/>
      <c r="BA173" s="6">
        <v>0</v>
      </c>
      <c r="BB173" s="35"/>
      <c r="BC173" s="35">
        <f t="shared" si="58"/>
        <v>0</v>
      </c>
      <c r="BD173" s="6">
        <v>0</v>
      </c>
      <c r="BE173" s="6"/>
      <c r="BF173" s="35">
        <f t="shared" si="59"/>
        <v>0</v>
      </c>
      <c r="BG173" s="6">
        <v>0</v>
      </c>
      <c r="BH173" s="6"/>
      <c r="BI173" s="6">
        <f t="shared" si="60"/>
        <v>0</v>
      </c>
      <c r="BJ173" s="6">
        <v>0</v>
      </c>
      <c r="BK173" s="6"/>
      <c r="BL173" s="6">
        <f t="shared" si="61"/>
        <v>0</v>
      </c>
      <c r="BM173" s="6">
        <v>0</v>
      </c>
      <c r="BN173" s="6"/>
      <c r="BO173" s="6">
        <f t="shared" si="62"/>
        <v>0</v>
      </c>
      <c r="BP173" s="6">
        <v>0</v>
      </c>
      <c r="BQ173" s="6"/>
      <c r="BR173" s="35">
        <f t="shared" si="63"/>
        <v>0</v>
      </c>
      <c r="BS173" s="6"/>
      <c r="BT173" s="6"/>
      <c r="BU173" s="6"/>
      <c r="BV173" s="6">
        <v>0</v>
      </c>
      <c r="BW173" s="6"/>
      <c r="BX173" s="35">
        <f t="shared" si="64"/>
        <v>0</v>
      </c>
      <c r="BY173" s="6">
        <v>0</v>
      </c>
      <c r="BZ173" s="6"/>
      <c r="CA173" s="6">
        <f t="shared" si="65"/>
        <v>0</v>
      </c>
      <c r="CB173" s="6">
        <v>0</v>
      </c>
      <c r="CC173" s="6"/>
      <c r="CD173" s="6">
        <f t="shared" si="66"/>
        <v>0</v>
      </c>
      <c r="CE173" s="6">
        <v>0</v>
      </c>
      <c r="CF173" s="6"/>
      <c r="CG173" s="6">
        <f t="shared" si="67"/>
        <v>0</v>
      </c>
      <c r="CH173" s="6">
        <v>0</v>
      </c>
      <c r="CI173" s="6"/>
      <c r="CJ173" s="6">
        <f t="shared" si="68"/>
        <v>0</v>
      </c>
      <c r="CK173" s="6">
        <v>0</v>
      </c>
      <c r="CL173" s="6"/>
      <c r="CM173" s="6">
        <f t="shared" si="69"/>
        <v>0</v>
      </c>
      <c r="CN173" s="6"/>
      <c r="CO173" s="6"/>
      <c r="CP173" s="6"/>
      <c r="CQ173" s="6">
        <v>0</v>
      </c>
      <c r="CR173" s="6"/>
      <c r="CS173" s="6">
        <f t="shared" si="70"/>
        <v>0</v>
      </c>
      <c r="CT173" s="6">
        <v>0</v>
      </c>
      <c r="CU173" s="6"/>
      <c r="CV173" s="6">
        <f t="shared" si="71"/>
        <v>0</v>
      </c>
      <c r="CW173" s="6">
        <v>0</v>
      </c>
      <c r="CX173" s="6"/>
      <c r="CY173" s="6">
        <f t="shared" si="72"/>
        <v>0</v>
      </c>
      <c r="CZ173" s="6">
        <v>0</v>
      </c>
      <c r="DA173" s="6"/>
      <c r="DB173" s="6">
        <f t="shared" si="73"/>
        <v>0</v>
      </c>
      <c r="DC173" s="6">
        <v>0</v>
      </c>
      <c r="DD173" s="6"/>
      <c r="DE173" s="6">
        <f t="shared" si="74"/>
        <v>0</v>
      </c>
      <c r="DF173" s="6">
        <v>0</v>
      </c>
      <c r="DG173" s="6"/>
      <c r="DH173" s="6">
        <f t="shared" si="75"/>
        <v>0</v>
      </c>
      <c r="DI173" s="6"/>
      <c r="DJ173" s="6"/>
      <c r="DK173" s="6"/>
      <c r="DL173" s="6">
        <v>0</v>
      </c>
      <c r="DM173" s="6"/>
      <c r="DN173" s="6">
        <f t="shared" si="76"/>
        <v>0</v>
      </c>
      <c r="DO173" s="6">
        <v>0</v>
      </c>
      <c r="DP173" s="6"/>
      <c r="DQ173" s="6">
        <f t="shared" si="77"/>
        <v>0</v>
      </c>
    </row>
    <row r="174" spans="1:121">
      <c r="A174" s="6">
        <v>170</v>
      </c>
      <c r="B174" s="6">
        <v>919</v>
      </c>
      <c r="C174" s="6"/>
      <c r="D174" s="6">
        <v>208</v>
      </c>
      <c r="E174" s="33" t="s">
        <v>124</v>
      </c>
      <c r="F174" s="33" t="s">
        <v>124</v>
      </c>
      <c r="G174" s="33" t="s">
        <v>124</v>
      </c>
      <c r="H174" s="33" t="s">
        <v>124</v>
      </c>
      <c r="I174" s="33" t="s">
        <v>124</v>
      </c>
      <c r="J174" s="33" t="s">
        <v>124</v>
      </c>
      <c r="K174" s="33" t="s">
        <v>124</v>
      </c>
      <c r="L174" s="33" t="s">
        <v>124</v>
      </c>
      <c r="M174" s="33" t="s">
        <v>124</v>
      </c>
      <c r="N174" s="33" t="s">
        <v>124</v>
      </c>
      <c r="O174" s="33" t="s">
        <v>124</v>
      </c>
      <c r="P174" s="33" t="s">
        <v>124</v>
      </c>
      <c r="Q174" s="33" t="s">
        <v>124</v>
      </c>
      <c r="R174" s="33" t="s">
        <v>124</v>
      </c>
      <c r="S174" s="148" t="s">
        <v>37</v>
      </c>
      <c r="T174" s="33" t="s">
        <v>37</v>
      </c>
      <c r="U174" s="33" t="s">
        <v>37</v>
      </c>
      <c r="V174" s="33" t="s">
        <v>37</v>
      </c>
      <c r="W174" s="33" t="s">
        <v>37</v>
      </c>
      <c r="X174" s="33" t="s">
        <v>37</v>
      </c>
      <c r="Y174" s="33" t="s">
        <v>37</v>
      </c>
      <c r="Z174" s="33" t="s">
        <v>37</v>
      </c>
      <c r="AA174" s="33" t="s">
        <v>37</v>
      </c>
      <c r="AB174" s="33" t="s">
        <v>37</v>
      </c>
      <c r="AC174" s="33" t="s">
        <v>37</v>
      </c>
      <c r="AD174" s="33" t="s">
        <v>37</v>
      </c>
      <c r="AE174" s="33" t="s">
        <v>37</v>
      </c>
      <c r="AF174" s="6">
        <v>1167</v>
      </c>
      <c r="AG174" s="6"/>
      <c r="AH174" s="35">
        <f t="shared" si="52"/>
        <v>248</v>
      </c>
      <c r="AI174" s="35">
        <v>1398</v>
      </c>
      <c r="AJ174" s="35"/>
      <c r="AK174" s="35">
        <f t="shared" si="53"/>
        <v>231</v>
      </c>
      <c r="AL174" s="6">
        <v>1631</v>
      </c>
      <c r="AM174" s="6"/>
      <c r="AN174" s="35">
        <f t="shared" si="54"/>
        <v>233</v>
      </c>
      <c r="AO174" s="6">
        <v>23</v>
      </c>
      <c r="AP174" s="6">
        <v>1818</v>
      </c>
      <c r="AQ174" s="34">
        <f t="shared" si="55"/>
        <v>210</v>
      </c>
      <c r="AR174" s="35">
        <v>256</v>
      </c>
      <c r="AS174" s="35"/>
      <c r="AT174" s="35">
        <f t="shared" si="56"/>
        <v>233</v>
      </c>
      <c r="AU174" s="6">
        <v>472</v>
      </c>
      <c r="AV174" s="6"/>
      <c r="AW174" s="35">
        <f t="shared" si="57"/>
        <v>216</v>
      </c>
      <c r="AX174" s="6"/>
      <c r="AY174" s="6"/>
      <c r="AZ174" s="35"/>
      <c r="BA174" s="35">
        <v>705</v>
      </c>
      <c r="BB174" s="6"/>
      <c r="BC174" s="35">
        <f t="shared" si="58"/>
        <v>233</v>
      </c>
      <c r="BD174" s="6">
        <v>936</v>
      </c>
      <c r="BE174" s="6"/>
      <c r="BF174" s="35">
        <f t="shared" si="59"/>
        <v>231</v>
      </c>
      <c r="BG174" s="6">
        <v>1167</v>
      </c>
      <c r="BH174" s="6"/>
      <c r="BI174" s="6">
        <f t="shared" si="60"/>
        <v>231</v>
      </c>
      <c r="BJ174" s="6">
        <v>1398</v>
      </c>
      <c r="BK174" s="6"/>
      <c r="BL174" s="6">
        <f t="shared" si="61"/>
        <v>231</v>
      </c>
      <c r="BM174" s="6">
        <v>225</v>
      </c>
      <c r="BN174" s="6">
        <v>1402</v>
      </c>
      <c r="BO174" s="6">
        <f t="shared" si="62"/>
        <v>229</v>
      </c>
      <c r="BP174" s="6">
        <v>436</v>
      </c>
      <c r="BQ174" s="6"/>
      <c r="BR174" s="35">
        <f t="shared" si="63"/>
        <v>211</v>
      </c>
      <c r="BS174" s="6"/>
      <c r="BT174" s="6"/>
      <c r="BU174" s="6"/>
      <c r="BV174" s="6">
        <v>0</v>
      </c>
      <c r="BW174" s="6">
        <v>574</v>
      </c>
      <c r="BX174" s="35">
        <f t="shared" si="64"/>
        <v>138</v>
      </c>
      <c r="BY174" s="6">
        <v>295</v>
      </c>
      <c r="BZ174" s="6"/>
      <c r="CA174" s="6">
        <f t="shared" si="65"/>
        <v>295</v>
      </c>
      <c r="CB174" s="6">
        <v>607</v>
      </c>
      <c r="CC174" s="6"/>
      <c r="CD174" s="6">
        <f t="shared" si="66"/>
        <v>312</v>
      </c>
      <c r="CE174" s="6">
        <v>978</v>
      </c>
      <c r="CF174" s="6"/>
      <c r="CG174" s="6">
        <f t="shared" si="67"/>
        <v>371</v>
      </c>
      <c r="CH174" s="6">
        <v>1359</v>
      </c>
      <c r="CI174" s="6"/>
      <c r="CJ174" s="6">
        <f t="shared" si="68"/>
        <v>381</v>
      </c>
      <c r="CK174" s="6">
        <v>140</v>
      </c>
      <c r="CL174" s="6">
        <v>1560</v>
      </c>
      <c r="CM174" s="6">
        <f t="shared" si="69"/>
        <v>341</v>
      </c>
      <c r="CN174" s="6"/>
      <c r="CO174" s="6"/>
      <c r="CP174" s="6"/>
      <c r="CQ174" s="6">
        <v>516</v>
      </c>
      <c r="CR174" s="6"/>
      <c r="CS174" s="6">
        <f t="shared" si="70"/>
        <v>376</v>
      </c>
      <c r="CT174" s="6">
        <v>55</v>
      </c>
      <c r="CU174" s="6">
        <v>840</v>
      </c>
      <c r="CV174" s="6">
        <f t="shared" si="71"/>
        <v>379</v>
      </c>
      <c r="CW174" s="6">
        <v>442</v>
      </c>
      <c r="CX174" s="6"/>
      <c r="CY174" s="6">
        <f t="shared" si="72"/>
        <v>387</v>
      </c>
      <c r="CZ174" s="6">
        <v>829</v>
      </c>
      <c r="DA174" s="6"/>
      <c r="DB174" s="6">
        <f t="shared" si="73"/>
        <v>387</v>
      </c>
      <c r="DC174" s="6">
        <v>1209</v>
      </c>
      <c r="DD174" s="6"/>
      <c r="DE174" s="6">
        <f t="shared" si="74"/>
        <v>380</v>
      </c>
      <c r="DF174" s="6">
        <v>36</v>
      </c>
      <c r="DG174" s="6">
        <v>1542</v>
      </c>
      <c r="DH174" s="6">
        <f t="shared" si="75"/>
        <v>369</v>
      </c>
      <c r="DI174" s="6"/>
      <c r="DJ174" s="6"/>
      <c r="DK174" s="6"/>
      <c r="DL174" s="6">
        <v>427</v>
      </c>
      <c r="DM174" s="6"/>
      <c r="DN174" s="6">
        <f t="shared" si="76"/>
        <v>391</v>
      </c>
      <c r="DO174" s="6">
        <v>790</v>
      </c>
      <c r="DP174" s="6"/>
      <c r="DQ174" s="6">
        <f t="shared" si="77"/>
        <v>363</v>
      </c>
    </row>
    <row r="175" spans="1:121">
      <c r="A175" s="6">
        <v>171</v>
      </c>
      <c r="B175" s="6">
        <v>1325</v>
      </c>
      <c r="C175" s="6"/>
      <c r="D175" s="6">
        <v>238</v>
      </c>
      <c r="E175" s="33" t="s">
        <v>99</v>
      </c>
      <c r="F175" s="33" t="s">
        <v>99</v>
      </c>
      <c r="G175" s="33" t="s">
        <v>99</v>
      </c>
      <c r="H175" s="33" t="s">
        <v>99</v>
      </c>
      <c r="I175" s="33" t="s">
        <v>99</v>
      </c>
      <c r="J175" s="33" t="s">
        <v>99</v>
      </c>
      <c r="K175" s="33" t="s">
        <v>99</v>
      </c>
      <c r="L175" s="33" t="s">
        <v>99</v>
      </c>
      <c r="M175" s="33" t="s">
        <v>99</v>
      </c>
      <c r="N175" s="33" t="s">
        <v>99</v>
      </c>
      <c r="O175" s="33" t="s">
        <v>99</v>
      </c>
      <c r="P175" s="33" t="s">
        <v>99</v>
      </c>
      <c r="Q175" s="33" t="s">
        <v>99</v>
      </c>
      <c r="R175" s="148" t="s">
        <v>128</v>
      </c>
      <c r="S175" s="33" t="s">
        <v>128</v>
      </c>
      <c r="T175" s="33" t="s">
        <v>128</v>
      </c>
      <c r="U175" s="33" t="s">
        <v>128</v>
      </c>
      <c r="V175" s="33" t="s">
        <v>128</v>
      </c>
      <c r="W175" s="33" t="s">
        <v>128</v>
      </c>
      <c r="X175" s="33" t="s">
        <v>128</v>
      </c>
      <c r="Y175" s="33" t="s">
        <v>128</v>
      </c>
      <c r="Z175" s="33" t="s">
        <v>128</v>
      </c>
      <c r="AA175" s="33" t="s">
        <v>128</v>
      </c>
      <c r="AB175" s="33" t="s">
        <v>128</v>
      </c>
      <c r="AC175" s="33" t="s">
        <v>128</v>
      </c>
      <c r="AD175" s="33" t="s">
        <v>128</v>
      </c>
      <c r="AE175" s="33" t="s">
        <v>128</v>
      </c>
      <c r="AF175" s="6">
        <v>105</v>
      </c>
      <c r="AG175" s="6">
        <v>1500</v>
      </c>
      <c r="AH175" s="35">
        <f t="shared" si="52"/>
        <v>280</v>
      </c>
      <c r="AI175" s="35">
        <v>366</v>
      </c>
      <c r="AJ175" s="35"/>
      <c r="AK175" s="35">
        <f t="shared" si="53"/>
        <v>261</v>
      </c>
      <c r="AL175" s="6">
        <v>627</v>
      </c>
      <c r="AM175" s="6"/>
      <c r="AN175" s="35">
        <f t="shared" si="54"/>
        <v>261</v>
      </c>
      <c r="AO175" s="6">
        <v>881</v>
      </c>
      <c r="AP175" s="6"/>
      <c r="AQ175" s="34">
        <f t="shared" si="55"/>
        <v>254</v>
      </c>
      <c r="AR175" s="35">
        <v>1141</v>
      </c>
      <c r="AS175" s="35"/>
      <c r="AT175" s="35">
        <f t="shared" si="56"/>
        <v>260</v>
      </c>
      <c r="AU175" s="6">
        <v>1388</v>
      </c>
      <c r="AV175" s="6"/>
      <c r="AW175" s="35">
        <f>AV175+AU175-AR175</f>
        <v>247</v>
      </c>
      <c r="AX175" s="6"/>
      <c r="AY175" s="6"/>
      <c r="AZ175" s="35"/>
      <c r="BA175" s="6">
        <v>140</v>
      </c>
      <c r="BB175" s="35">
        <v>1500</v>
      </c>
      <c r="BC175" s="35">
        <f t="shared" si="58"/>
        <v>252</v>
      </c>
      <c r="BD175" s="6">
        <v>399</v>
      </c>
      <c r="BE175" s="6"/>
      <c r="BF175" s="35">
        <f t="shared" si="59"/>
        <v>259</v>
      </c>
      <c r="BG175" s="6">
        <v>200</v>
      </c>
      <c r="BH175" s="6">
        <v>461</v>
      </c>
      <c r="BI175" s="6">
        <f t="shared" si="60"/>
        <v>262</v>
      </c>
      <c r="BJ175" s="6">
        <v>463</v>
      </c>
      <c r="BK175" s="6"/>
      <c r="BL175" s="6">
        <f t="shared" si="61"/>
        <v>263</v>
      </c>
      <c r="BM175" s="6">
        <v>726</v>
      </c>
      <c r="BN175" s="6"/>
      <c r="BO175" s="6">
        <f t="shared" si="62"/>
        <v>263</v>
      </c>
      <c r="BP175" s="6">
        <v>0</v>
      </c>
      <c r="BQ175" s="6">
        <v>881</v>
      </c>
      <c r="BR175" s="35">
        <f t="shared" si="63"/>
        <v>155</v>
      </c>
      <c r="BS175" s="6"/>
      <c r="BT175" s="6"/>
      <c r="BU175" s="6"/>
      <c r="BV175" s="6">
        <v>369</v>
      </c>
      <c r="BW175" s="6"/>
      <c r="BX175" s="35">
        <f t="shared" si="64"/>
        <v>369</v>
      </c>
      <c r="BY175" s="6">
        <v>740</v>
      </c>
      <c r="BZ175" s="6"/>
      <c r="CA175" s="6">
        <f t="shared" si="65"/>
        <v>371</v>
      </c>
      <c r="CB175" s="6">
        <v>1097</v>
      </c>
      <c r="CC175" s="6"/>
      <c r="CD175" s="6">
        <f t="shared" si="66"/>
        <v>357</v>
      </c>
      <c r="CE175" s="6">
        <v>101</v>
      </c>
      <c r="CF175" s="6">
        <v>1370</v>
      </c>
      <c r="CG175" s="6">
        <f t="shared" si="67"/>
        <v>374</v>
      </c>
      <c r="CH175" s="6">
        <v>407</v>
      </c>
      <c r="CI175" s="6"/>
      <c r="CJ175" s="6">
        <f t="shared" si="68"/>
        <v>306</v>
      </c>
      <c r="CK175" s="6">
        <v>775</v>
      </c>
      <c r="CL175" s="6"/>
      <c r="CM175" s="6">
        <f t="shared" si="69"/>
        <v>368</v>
      </c>
      <c r="CN175" s="6"/>
      <c r="CO175" s="6"/>
      <c r="CP175" s="6"/>
      <c r="CQ175" s="6">
        <v>1155</v>
      </c>
      <c r="CR175" s="6"/>
      <c r="CS175" s="6">
        <f t="shared" si="70"/>
        <v>380</v>
      </c>
      <c r="CT175" s="6">
        <v>34</v>
      </c>
      <c r="CU175" s="6">
        <v>1500</v>
      </c>
      <c r="CV175" s="6">
        <f t="shared" si="71"/>
        <v>379</v>
      </c>
      <c r="CW175" s="6">
        <v>416</v>
      </c>
      <c r="CX175" s="6"/>
      <c r="CY175" s="6">
        <f t="shared" si="72"/>
        <v>382</v>
      </c>
      <c r="CZ175" s="6">
        <v>803</v>
      </c>
      <c r="DA175" s="6"/>
      <c r="DB175" s="6">
        <f t="shared" si="73"/>
        <v>387</v>
      </c>
      <c r="DC175" s="6">
        <v>1191</v>
      </c>
      <c r="DD175" s="6"/>
      <c r="DE175" s="6">
        <f t="shared" si="74"/>
        <v>388</v>
      </c>
      <c r="DF175" s="6">
        <v>1558</v>
      </c>
      <c r="DG175" s="6"/>
      <c r="DH175" s="6">
        <f t="shared" si="75"/>
        <v>367</v>
      </c>
      <c r="DI175" s="6"/>
      <c r="DJ175" s="6"/>
      <c r="DK175" s="6"/>
      <c r="DL175" s="6">
        <v>382</v>
      </c>
      <c r="DM175" s="6">
        <v>1560</v>
      </c>
      <c r="DN175" s="6">
        <f t="shared" si="76"/>
        <v>384</v>
      </c>
      <c r="DO175" s="6">
        <v>739</v>
      </c>
      <c r="DP175" s="6"/>
      <c r="DQ175" s="6">
        <f t="shared" si="77"/>
        <v>357</v>
      </c>
    </row>
    <row r="176" spans="1:121">
      <c r="A176" s="6">
        <v>172</v>
      </c>
      <c r="B176" s="6">
        <v>0</v>
      </c>
      <c r="C176" s="6"/>
      <c r="D176" s="6">
        <v>0</v>
      </c>
      <c r="E176" s="33" t="s">
        <v>132</v>
      </c>
      <c r="F176" s="33" t="s">
        <v>132</v>
      </c>
      <c r="G176" s="33" t="s">
        <v>132</v>
      </c>
      <c r="H176" s="33" t="s">
        <v>132</v>
      </c>
      <c r="I176" s="33" t="s">
        <v>132</v>
      </c>
      <c r="J176" s="33" t="s">
        <v>132</v>
      </c>
      <c r="K176" s="33" t="s">
        <v>132</v>
      </c>
      <c r="L176" s="33" t="s">
        <v>132</v>
      </c>
      <c r="M176" s="33" t="s">
        <v>132</v>
      </c>
      <c r="N176" s="33" t="s">
        <v>132</v>
      </c>
      <c r="O176" s="33" t="s">
        <v>132</v>
      </c>
      <c r="P176" s="33" t="s">
        <v>132</v>
      </c>
      <c r="Q176" s="33" t="s">
        <v>132</v>
      </c>
      <c r="R176" s="33" t="s">
        <v>132</v>
      </c>
      <c r="S176" s="33" t="s">
        <v>132</v>
      </c>
      <c r="T176" s="33" t="s">
        <v>132</v>
      </c>
      <c r="U176" s="33" t="s">
        <v>132</v>
      </c>
      <c r="V176" s="33" t="s">
        <v>132</v>
      </c>
      <c r="W176" s="33" t="s">
        <v>132</v>
      </c>
      <c r="X176" s="33" t="s">
        <v>132</v>
      </c>
      <c r="Y176" s="33" t="s">
        <v>132</v>
      </c>
      <c r="Z176" s="33" t="s">
        <v>132</v>
      </c>
      <c r="AA176" s="33" t="s">
        <v>132</v>
      </c>
      <c r="AB176" s="33" t="s">
        <v>132</v>
      </c>
      <c r="AC176" s="33" t="s">
        <v>132</v>
      </c>
      <c r="AD176" s="33"/>
      <c r="AE176" s="148" t="s">
        <v>68</v>
      </c>
      <c r="AF176" s="35">
        <v>0</v>
      </c>
      <c r="AG176" s="35"/>
      <c r="AH176" s="35">
        <f t="shared" si="52"/>
        <v>0</v>
      </c>
      <c r="AI176" s="35">
        <v>0</v>
      </c>
      <c r="AJ176" s="35"/>
      <c r="AK176" s="35">
        <f t="shared" si="53"/>
        <v>0</v>
      </c>
      <c r="AL176" s="6">
        <v>0</v>
      </c>
      <c r="AM176" s="35"/>
      <c r="AN176" s="35">
        <f t="shared" si="54"/>
        <v>0</v>
      </c>
      <c r="AO176" s="6">
        <v>0</v>
      </c>
      <c r="AP176" s="6"/>
      <c r="AQ176" s="34">
        <f t="shared" si="55"/>
        <v>0</v>
      </c>
      <c r="AR176" s="35">
        <v>0</v>
      </c>
      <c r="AS176" s="35"/>
      <c r="AT176" s="35">
        <f t="shared" si="56"/>
        <v>0</v>
      </c>
      <c r="AU176" s="6">
        <v>0</v>
      </c>
      <c r="AV176" s="6"/>
      <c r="AW176" s="35">
        <f t="shared" si="57"/>
        <v>0</v>
      </c>
      <c r="AX176" s="6"/>
      <c r="AY176" s="6"/>
      <c r="AZ176" s="35"/>
      <c r="BA176" s="35">
        <v>0</v>
      </c>
      <c r="BB176" s="6"/>
      <c r="BC176" s="35">
        <f t="shared" si="58"/>
        <v>0</v>
      </c>
      <c r="BD176" s="6">
        <v>0</v>
      </c>
      <c r="BE176" s="6"/>
      <c r="BF176" s="35">
        <f t="shared" si="59"/>
        <v>0</v>
      </c>
      <c r="BG176" s="6">
        <v>0</v>
      </c>
      <c r="BH176" s="6"/>
      <c r="BI176" s="6">
        <f t="shared" si="60"/>
        <v>0</v>
      </c>
      <c r="BJ176" s="6">
        <v>0</v>
      </c>
      <c r="BK176" s="35"/>
      <c r="BL176" s="6">
        <f t="shared" si="61"/>
        <v>0</v>
      </c>
      <c r="BM176" s="6">
        <v>0</v>
      </c>
      <c r="BN176" s="6"/>
      <c r="BO176" s="6">
        <f t="shared" si="62"/>
        <v>0</v>
      </c>
      <c r="BP176" s="6">
        <v>0</v>
      </c>
      <c r="BQ176" s="6"/>
      <c r="BR176" s="35">
        <f t="shared" si="63"/>
        <v>0</v>
      </c>
      <c r="BS176" s="6"/>
      <c r="BT176" s="6"/>
      <c r="BU176" s="6"/>
      <c r="BV176" s="6">
        <v>272</v>
      </c>
      <c r="BW176" s="6"/>
      <c r="BX176" s="35">
        <f t="shared" si="64"/>
        <v>272</v>
      </c>
      <c r="BY176" s="6">
        <v>500</v>
      </c>
      <c r="BZ176" s="35"/>
      <c r="CA176" s="6">
        <f t="shared" si="65"/>
        <v>228</v>
      </c>
      <c r="CB176" s="6">
        <v>0</v>
      </c>
      <c r="CC176" s="6">
        <v>500</v>
      </c>
      <c r="CD176" s="6">
        <f t="shared" si="66"/>
        <v>0</v>
      </c>
      <c r="CE176" s="6">
        <v>0</v>
      </c>
      <c r="CF176" s="35"/>
      <c r="CG176" s="6">
        <f t="shared" si="67"/>
        <v>0</v>
      </c>
      <c r="CH176" s="6">
        <v>0</v>
      </c>
      <c r="CI176" s="6"/>
      <c r="CJ176" s="6">
        <f t="shared" si="68"/>
        <v>0</v>
      </c>
      <c r="CK176" s="6">
        <v>0</v>
      </c>
      <c r="CL176" s="6"/>
      <c r="CM176" s="6">
        <f t="shared" si="69"/>
        <v>0</v>
      </c>
      <c r="CN176" s="6"/>
      <c r="CO176" s="6"/>
      <c r="CP176" s="6"/>
      <c r="CQ176" s="6">
        <v>0</v>
      </c>
      <c r="CR176" s="6"/>
      <c r="CS176" s="6">
        <f t="shared" si="70"/>
        <v>0</v>
      </c>
      <c r="CT176" s="6">
        <v>0</v>
      </c>
      <c r="CU176" s="6"/>
      <c r="CV176" s="6">
        <f t="shared" si="71"/>
        <v>0</v>
      </c>
      <c r="CW176" s="6">
        <v>0</v>
      </c>
      <c r="CX176" s="6"/>
      <c r="CY176" s="6">
        <f t="shared" si="72"/>
        <v>0</v>
      </c>
      <c r="CZ176" s="6">
        <v>0</v>
      </c>
      <c r="DA176" s="6"/>
      <c r="DB176" s="6">
        <f t="shared" si="73"/>
        <v>0</v>
      </c>
      <c r="DC176" s="6">
        <v>0</v>
      </c>
      <c r="DD176" s="6"/>
      <c r="DE176" s="6">
        <f t="shared" si="74"/>
        <v>0</v>
      </c>
      <c r="DF176" s="6">
        <v>0</v>
      </c>
      <c r="DG176" s="6"/>
      <c r="DH176" s="6">
        <f t="shared" si="75"/>
        <v>0</v>
      </c>
      <c r="DI176" s="6"/>
      <c r="DJ176" s="6"/>
      <c r="DK176" s="6"/>
      <c r="DL176" s="6">
        <v>0</v>
      </c>
      <c r="DM176" s="6"/>
      <c r="DN176" s="6">
        <f t="shared" si="76"/>
        <v>0</v>
      </c>
      <c r="DO176" s="6">
        <v>286</v>
      </c>
      <c r="DP176" s="6"/>
      <c r="DQ176" s="6">
        <f t="shared" si="77"/>
        <v>286</v>
      </c>
    </row>
    <row r="177" spans="1:121">
      <c r="A177" s="6">
        <v>173</v>
      </c>
      <c r="B177" s="6">
        <v>0</v>
      </c>
      <c r="C177" s="6"/>
      <c r="D177" s="6">
        <v>0</v>
      </c>
      <c r="E177" s="33" t="s">
        <v>56</v>
      </c>
      <c r="F177" s="33" t="s">
        <v>56</v>
      </c>
      <c r="G177" s="33" t="s">
        <v>56</v>
      </c>
      <c r="H177" s="148" t="s">
        <v>128</v>
      </c>
      <c r="I177" s="33" t="s">
        <v>128</v>
      </c>
      <c r="J177" s="33" t="s">
        <v>128</v>
      </c>
      <c r="K177" s="33" t="s">
        <v>128</v>
      </c>
      <c r="L177" s="33" t="s">
        <v>128</v>
      </c>
      <c r="M177" s="33" t="s">
        <v>128</v>
      </c>
      <c r="N177" s="33" t="s">
        <v>128</v>
      </c>
      <c r="O177" s="33" t="s">
        <v>128</v>
      </c>
      <c r="P177" s="33" t="s">
        <v>128</v>
      </c>
      <c r="Q177" s="33" t="s">
        <v>128</v>
      </c>
      <c r="R177" s="33" t="s">
        <v>128</v>
      </c>
      <c r="S177" s="33" t="s">
        <v>128</v>
      </c>
      <c r="T177" s="33" t="s">
        <v>128</v>
      </c>
      <c r="U177" s="33" t="s">
        <v>128</v>
      </c>
      <c r="V177" s="33" t="s">
        <v>128</v>
      </c>
      <c r="W177" s="33" t="s">
        <v>128</v>
      </c>
      <c r="X177" s="33" t="s">
        <v>128</v>
      </c>
      <c r="Y177" s="33" t="s">
        <v>128</v>
      </c>
      <c r="Z177" s="33" t="s">
        <v>128</v>
      </c>
      <c r="AA177" s="33" t="s">
        <v>128</v>
      </c>
      <c r="AB177" s="33" t="s">
        <v>128</v>
      </c>
      <c r="AC177" s="33" t="s">
        <v>128</v>
      </c>
      <c r="AD177" s="148" t="s">
        <v>128</v>
      </c>
      <c r="AE177" s="33" t="s">
        <v>128</v>
      </c>
      <c r="AF177" s="6">
        <v>0</v>
      </c>
      <c r="AG177" s="6"/>
      <c r="AH177" s="35">
        <f t="shared" si="52"/>
        <v>0</v>
      </c>
      <c r="AI177" s="35">
        <v>0</v>
      </c>
      <c r="AJ177" s="35"/>
      <c r="AK177" s="35">
        <f t="shared" si="53"/>
        <v>0</v>
      </c>
      <c r="AL177" s="6">
        <v>257</v>
      </c>
      <c r="AM177" s="6"/>
      <c r="AN177" s="35">
        <f t="shared" si="54"/>
        <v>257</v>
      </c>
      <c r="AO177" s="6">
        <v>608</v>
      </c>
      <c r="AP177" s="6"/>
      <c r="AQ177" s="34">
        <f t="shared" si="55"/>
        <v>351</v>
      </c>
      <c r="AR177" s="35">
        <v>960</v>
      </c>
      <c r="AS177" s="35"/>
      <c r="AT177" s="35">
        <f t="shared" si="56"/>
        <v>352</v>
      </c>
      <c r="AU177" s="6">
        <v>1294</v>
      </c>
      <c r="AV177" s="6"/>
      <c r="AW177" s="35">
        <f t="shared" si="57"/>
        <v>334</v>
      </c>
      <c r="AX177" s="6"/>
      <c r="AY177" s="6"/>
      <c r="AZ177" s="35"/>
      <c r="BA177" s="6">
        <v>93</v>
      </c>
      <c r="BB177" s="35">
        <v>1561</v>
      </c>
      <c r="BC177" s="35">
        <f t="shared" si="58"/>
        <v>360</v>
      </c>
      <c r="BD177" s="6">
        <v>449</v>
      </c>
      <c r="BE177" s="6"/>
      <c r="BF177" s="35">
        <f t="shared" si="59"/>
        <v>356</v>
      </c>
      <c r="BG177" s="6">
        <v>806</v>
      </c>
      <c r="BH177" s="6"/>
      <c r="BI177" s="6">
        <f t="shared" si="60"/>
        <v>357</v>
      </c>
      <c r="BJ177" s="6">
        <v>1163</v>
      </c>
      <c r="BK177" s="6"/>
      <c r="BL177" s="6">
        <f t="shared" si="61"/>
        <v>357</v>
      </c>
      <c r="BM177" s="6">
        <v>344</v>
      </c>
      <c r="BN177" s="6">
        <v>1172</v>
      </c>
      <c r="BO177" s="6">
        <f t="shared" si="62"/>
        <v>353</v>
      </c>
      <c r="BP177" s="6">
        <v>682</v>
      </c>
      <c r="BQ177" s="6"/>
      <c r="BR177" s="35">
        <f t="shared" si="63"/>
        <v>338</v>
      </c>
      <c r="BS177" s="6"/>
      <c r="BT177" s="6"/>
      <c r="BU177" s="6"/>
      <c r="BV177" s="6">
        <v>1044</v>
      </c>
      <c r="BW177" s="6"/>
      <c r="BX177" s="35">
        <f t="shared" si="64"/>
        <v>362</v>
      </c>
      <c r="BY177" s="6">
        <v>1419</v>
      </c>
      <c r="BZ177" s="6"/>
      <c r="CA177" s="6">
        <f t="shared" si="65"/>
        <v>375</v>
      </c>
      <c r="CB177" s="6">
        <v>228</v>
      </c>
      <c r="CC177" s="6">
        <v>1560</v>
      </c>
      <c r="CD177" s="6">
        <f t="shared" si="66"/>
        <v>369</v>
      </c>
      <c r="CE177" s="6">
        <v>611</v>
      </c>
      <c r="CF177" s="6"/>
      <c r="CG177" s="6">
        <f t="shared" si="67"/>
        <v>383</v>
      </c>
      <c r="CH177" s="6">
        <v>989</v>
      </c>
      <c r="CI177" s="6"/>
      <c r="CJ177" s="6">
        <f t="shared" si="68"/>
        <v>378</v>
      </c>
      <c r="CK177" s="6">
        <v>16</v>
      </c>
      <c r="CL177" s="6">
        <v>1336</v>
      </c>
      <c r="CM177" s="6">
        <f t="shared" si="69"/>
        <v>363</v>
      </c>
      <c r="CN177" s="6"/>
      <c r="CO177" s="6"/>
      <c r="CP177" s="6"/>
      <c r="CQ177" s="6">
        <v>400</v>
      </c>
      <c r="CR177" s="6"/>
      <c r="CS177" s="6">
        <f t="shared" si="70"/>
        <v>384</v>
      </c>
      <c r="CT177" s="6">
        <v>776</v>
      </c>
      <c r="CU177" s="6"/>
      <c r="CV177" s="6">
        <f t="shared" si="71"/>
        <v>376</v>
      </c>
      <c r="CW177" s="6">
        <v>1152</v>
      </c>
      <c r="CX177" s="6"/>
      <c r="CY177" s="6">
        <f t="shared" si="72"/>
        <v>376</v>
      </c>
      <c r="CZ177" s="6">
        <v>1528</v>
      </c>
      <c r="DA177" s="6"/>
      <c r="DB177" s="6">
        <f t="shared" si="73"/>
        <v>376</v>
      </c>
      <c r="DC177" s="6">
        <v>346</v>
      </c>
      <c r="DD177" s="6">
        <v>1560</v>
      </c>
      <c r="DE177" s="6">
        <f t="shared" si="74"/>
        <v>378</v>
      </c>
      <c r="DF177" s="6">
        <v>0</v>
      </c>
      <c r="DG177" s="6">
        <v>649</v>
      </c>
      <c r="DH177" s="6">
        <f t="shared" si="75"/>
        <v>303</v>
      </c>
      <c r="DI177" s="6"/>
      <c r="DJ177" s="6"/>
      <c r="DK177" s="6"/>
      <c r="DL177" s="6">
        <v>357</v>
      </c>
      <c r="DM177" s="6"/>
      <c r="DN177" s="6">
        <f t="shared" si="76"/>
        <v>357</v>
      </c>
      <c r="DO177" s="6">
        <v>701</v>
      </c>
      <c r="DP177" s="6"/>
      <c r="DQ177" s="6">
        <f t="shared" si="77"/>
        <v>344</v>
      </c>
    </row>
    <row r="178" spans="1:121">
      <c r="A178" s="6">
        <v>174</v>
      </c>
      <c r="B178" s="6">
        <v>421</v>
      </c>
      <c r="C178" s="6"/>
      <c r="D178" s="6">
        <v>213</v>
      </c>
      <c r="E178" s="33" t="s">
        <v>124</v>
      </c>
      <c r="F178" s="33" t="s">
        <v>124</v>
      </c>
      <c r="G178" s="33" t="s">
        <v>124</v>
      </c>
      <c r="H178" s="33" t="s">
        <v>124</v>
      </c>
      <c r="I178" s="33" t="s">
        <v>124</v>
      </c>
      <c r="J178" s="33" t="s">
        <v>124</v>
      </c>
      <c r="K178" s="33" t="s">
        <v>124</v>
      </c>
      <c r="L178" s="33" t="s">
        <v>124</v>
      </c>
      <c r="M178" s="33" t="s">
        <v>124</v>
      </c>
      <c r="N178" s="33" t="s">
        <v>124</v>
      </c>
      <c r="O178" s="33" t="s">
        <v>124</v>
      </c>
      <c r="P178" s="33" t="s">
        <v>124</v>
      </c>
      <c r="Q178" s="33" t="s">
        <v>124</v>
      </c>
      <c r="R178" s="33" t="s">
        <v>124</v>
      </c>
      <c r="S178" s="33" t="s">
        <v>124</v>
      </c>
      <c r="T178" s="33" t="s">
        <v>124</v>
      </c>
      <c r="U178" s="148" t="s">
        <v>37</v>
      </c>
      <c r="V178" s="33" t="s">
        <v>37</v>
      </c>
      <c r="W178" s="33" t="s">
        <v>37</v>
      </c>
      <c r="X178" s="33" t="s">
        <v>37</v>
      </c>
      <c r="Y178" s="33" t="s">
        <v>37</v>
      </c>
      <c r="Z178" s="33" t="s">
        <v>37</v>
      </c>
      <c r="AA178" s="33" t="s">
        <v>37</v>
      </c>
      <c r="AB178" s="33" t="s">
        <v>37</v>
      </c>
      <c r="AC178" s="33" t="s">
        <v>37</v>
      </c>
      <c r="AD178" s="33" t="s">
        <v>37</v>
      </c>
      <c r="AE178" s="33" t="s">
        <v>37</v>
      </c>
      <c r="AF178" s="6">
        <v>665</v>
      </c>
      <c r="AG178" s="6"/>
      <c r="AH178" s="35">
        <f t="shared" si="52"/>
        <v>244</v>
      </c>
      <c r="AI178" s="35">
        <v>898</v>
      </c>
      <c r="AJ178" s="35"/>
      <c r="AK178" s="35">
        <f t="shared" si="53"/>
        <v>233</v>
      </c>
      <c r="AL178" s="6">
        <v>1130</v>
      </c>
      <c r="AM178" s="6"/>
      <c r="AN178" s="35">
        <f t="shared" si="54"/>
        <v>232</v>
      </c>
      <c r="AO178" s="6">
        <v>1364</v>
      </c>
      <c r="AP178" s="6"/>
      <c r="AQ178" s="34">
        <f t="shared" si="55"/>
        <v>234</v>
      </c>
      <c r="AR178" s="35">
        <v>1598</v>
      </c>
      <c r="AS178" s="35"/>
      <c r="AT178" s="35">
        <f t="shared" si="56"/>
        <v>234</v>
      </c>
      <c r="AU178" s="6">
        <v>1815</v>
      </c>
      <c r="AV178" s="6"/>
      <c r="AW178" s="35">
        <f t="shared" si="57"/>
        <v>217</v>
      </c>
      <c r="AX178" s="6"/>
      <c r="AY178" s="6"/>
      <c r="AZ178" s="35"/>
      <c r="BA178" s="35">
        <v>53</v>
      </c>
      <c r="BB178" s="35">
        <v>2000</v>
      </c>
      <c r="BC178" s="35">
        <f t="shared" si="58"/>
        <v>238</v>
      </c>
      <c r="BD178" s="6">
        <v>285</v>
      </c>
      <c r="BE178" s="6"/>
      <c r="BF178" s="35">
        <f t="shared" si="59"/>
        <v>232</v>
      </c>
      <c r="BG178" s="6">
        <v>520</v>
      </c>
      <c r="BH178" s="6"/>
      <c r="BI178" s="6">
        <f t="shared" si="60"/>
        <v>235</v>
      </c>
      <c r="BJ178" s="6">
        <v>756</v>
      </c>
      <c r="BK178" s="6"/>
      <c r="BL178" s="6">
        <f t="shared" si="61"/>
        <v>236</v>
      </c>
      <c r="BM178" s="6">
        <v>990</v>
      </c>
      <c r="BN178" s="6"/>
      <c r="BO178" s="6">
        <f t="shared" si="62"/>
        <v>234</v>
      </c>
      <c r="BP178" s="6">
        <v>1212</v>
      </c>
      <c r="BQ178" s="6"/>
      <c r="BR178" s="35">
        <f t="shared" si="63"/>
        <v>222</v>
      </c>
      <c r="BS178" s="6"/>
      <c r="BT178" s="6"/>
      <c r="BU178" s="6"/>
      <c r="BV178" s="6">
        <v>1450</v>
      </c>
      <c r="BW178" s="6"/>
      <c r="BX178" s="35">
        <f t="shared" si="64"/>
        <v>238</v>
      </c>
      <c r="BY178" s="6">
        <v>1689</v>
      </c>
      <c r="BZ178" s="6"/>
      <c r="CA178" s="6">
        <f t="shared" si="65"/>
        <v>239</v>
      </c>
      <c r="CB178" s="6">
        <v>1763</v>
      </c>
      <c r="CC178" s="6"/>
      <c r="CD178" s="6">
        <f t="shared" si="66"/>
        <v>74</v>
      </c>
      <c r="CE178" s="6">
        <v>334</v>
      </c>
      <c r="CF178" s="6">
        <v>1763</v>
      </c>
      <c r="CG178" s="6">
        <f t="shared" si="67"/>
        <v>334</v>
      </c>
      <c r="CH178" s="6">
        <v>718</v>
      </c>
      <c r="CI178" s="6"/>
      <c r="CJ178" s="6">
        <f t="shared" si="68"/>
        <v>384</v>
      </c>
      <c r="CK178" s="6">
        <v>1078</v>
      </c>
      <c r="CL178" s="6"/>
      <c r="CM178" s="6">
        <f t="shared" si="69"/>
        <v>360</v>
      </c>
      <c r="CN178" s="6"/>
      <c r="CO178" s="6"/>
      <c r="CP178" s="6"/>
      <c r="CQ178" s="6">
        <v>1467</v>
      </c>
      <c r="CR178" s="6"/>
      <c r="CS178" s="6">
        <f t="shared" si="70"/>
        <v>389</v>
      </c>
      <c r="CT178" s="6">
        <v>287</v>
      </c>
      <c r="CU178" s="6">
        <v>1560</v>
      </c>
      <c r="CV178" s="6">
        <f t="shared" si="71"/>
        <v>380</v>
      </c>
      <c r="CW178" s="6">
        <v>669</v>
      </c>
      <c r="CX178" s="6"/>
      <c r="CY178" s="6">
        <f t="shared" si="72"/>
        <v>382</v>
      </c>
      <c r="CZ178" s="6">
        <v>1047</v>
      </c>
      <c r="DA178" s="6"/>
      <c r="DB178" s="6">
        <f t="shared" si="73"/>
        <v>378</v>
      </c>
      <c r="DC178" s="6">
        <v>1428</v>
      </c>
      <c r="DD178" s="6"/>
      <c r="DE178" s="6">
        <f t="shared" si="74"/>
        <v>381</v>
      </c>
      <c r="DF178" s="6">
        <v>338</v>
      </c>
      <c r="DG178" s="6">
        <v>1443</v>
      </c>
      <c r="DH178" s="6">
        <f t="shared" si="75"/>
        <v>353</v>
      </c>
      <c r="DI178" s="6"/>
      <c r="DJ178" s="6"/>
      <c r="DK178" s="6"/>
      <c r="DL178" s="6">
        <v>723</v>
      </c>
      <c r="DM178" s="6"/>
      <c r="DN178" s="6">
        <f t="shared" si="76"/>
        <v>385</v>
      </c>
      <c r="DO178" s="6">
        <v>1081</v>
      </c>
      <c r="DP178" s="6"/>
      <c r="DQ178" s="6">
        <f t="shared" si="77"/>
        <v>358</v>
      </c>
    </row>
    <row r="179" spans="1:121" ht="14.25" customHeight="1">
      <c r="A179" s="6">
        <v>175</v>
      </c>
      <c r="B179" s="6">
        <v>1919</v>
      </c>
      <c r="C179" s="6"/>
      <c r="D179" s="6">
        <v>210</v>
      </c>
      <c r="E179" s="33" t="s">
        <v>124</v>
      </c>
      <c r="F179" s="33" t="s">
        <v>124</v>
      </c>
      <c r="G179" s="33" t="s">
        <v>124</v>
      </c>
      <c r="H179" s="33" t="s">
        <v>124</v>
      </c>
      <c r="I179" s="33" t="s">
        <v>124</v>
      </c>
      <c r="J179" s="33" t="s">
        <v>124</v>
      </c>
      <c r="K179" s="33" t="s">
        <v>124</v>
      </c>
      <c r="L179" s="148" t="s">
        <v>128</v>
      </c>
      <c r="M179" s="33" t="s">
        <v>128</v>
      </c>
      <c r="N179" s="33" t="s">
        <v>128</v>
      </c>
      <c r="O179" s="33" t="s">
        <v>128</v>
      </c>
      <c r="P179" s="33" t="s">
        <v>128</v>
      </c>
      <c r="Q179" s="33" t="s">
        <v>128</v>
      </c>
      <c r="R179" s="33" t="s">
        <v>128</v>
      </c>
      <c r="S179" s="33" t="s">
        <v>128</v>
      </c>
      <c r="T179" s="33" t="s">
        <v>128</v>
      </c>
      <c r="U179" s="33" t="s">
        <v>128</v>
      </c>
      <c r="V179" s="33" t="s">
        <v>128</v>
      </c>
      <c r="W179" s="33" t="s">
        <v>128</v>
      </c>
      <c r="X179" s="33" t="s">
        <v>128</v>
      </c>
      <c r="Y179" s="33" t="s">
        <v>128</v>
      </c>
      <c r="Z179" s="33" t="s">
        <v>128</v>
      </c>
      <c r="AA179" s="33" t="s">
        <v>128</v>
      </c>
      <c r="AB179" s="33" t="s">
        <v>128</v>
      </c>
      <c r="AC179" s="33" t="s">
        <v>128</v>
      </c>
      <c r="AD179" s="33" t="s">
        <v>128</v>
      </c>
      <c r="AE179" s="33" t="s">
        <v>128</v>
      </c>
      <c r="AF179" s="6">
        <v>168</v>
      </c>
      <c r="AG179" s="6">
        <v>2000</v>
      </c>
      <c r="AH179" s="35">
        <f t="shared" si="52"/>
        <v>249</v>
      </c>
      <c r="AI179" s="35">
        <v>397</v>
      </c>
      <c r="AJ179" s="35"/>
      <c r="AK179" s="35">
        <f t="shared" si="53"/>
        <v>229</v>
      </c>
      <c r="AL179" s="6">
        <v>628</v>
      </c>
      <c r="AM179" s="6"/>
      <c r="AN179" s="35">
        <f t="shared" si="54"/>
        <v>231</v>
      </c>
      <c r="AO179" s="6">
        <v>857</v>
      </c>
      <c r="AP179" s="6"/>
      <c r="AQ179" s="34">
        <f t="shared" si="55"/>
        <v>229</v>
      </c>
      <c r="AR179" s="35">
        <v>1087</v>
      </c>
      <c r="AS179" s="35"/>
      <c r="AT179" s="35">
        <f t="shared" si="56"/>
        <v>230</v>
      </c>
      <c r="AU179" s="6">
        <v>0</v>
      </c>
      <c r="AV179" s="6">
        <v>1255</v>
      </c>
      <c r="AW179" s="35">
        <f t="shared" si="57"/>
        <v>168</v>
      </c>
      <c r="AX179" s="6"/>
      <c r="AY179" s="6"/>
      <c r="AZ179" s="35"/>
      <c r="BA179" s="35">
        <v>336</v>
      </c>
      <c r="BB179" s="35"/>
      <c r="BC179" s="35">
        <f t="shared" si="58"/>
        <v>336</v>
      </c>
      <c r="BD179" s="35">
        <v>690</v>
      </c>
      <c r="BE179" s="35"/>
      <c r="BF179" s="35">
        <f t="shared" si="59"/>
        <v>354</v>
      </c>
      <c r="BG179" s="6">
        <v>1045</v>
      </c>
      <c r="BH179" s="6"/>
      <c r="BI179" s="6">
        <f t="shared" si="60"/>
        <v>355</v>
      </c>
      <c r="BJ179" s="6">
        <v>1398</v>
      </c>
      <c r="BK179" s="6"/>
      <c r="BL179" s="6">
        <f t="shared" si="61"/>
        <v>353</v>
      </c>
      <c r="BM179" s="6">
        <v>196</v>
      </c>
      <c r="BN179" s="6">
        <v>1560</v>
      </c>
      <c r="BO179" s="6">
        <f t="shared" si="62"/>
        <v>358</v>
      </c>
      <c r="BP179" s="6">
        <v>535</v>
      </c>
      <c r="BQ179" s="6"/>
      <c r="BR179" s="35">
        <f t="shared" si="63"/>
        <v>339</v>
      </c>
      <c r="BS179" s="6"/>
      <c r="BT179" s="6"/>
      <c r="BU179" s="6"/>
      <c r="BV179" s="6">
        <v>897</v>
      </c>
      <c r="BW179" s="6"/>
      <c r="BX179" s="35">
        <f t="shared" si="64"/>
        <v>362</v>
      </c>
      <c r="BY179" s="6">
        <v>1251</v>
      </c>
      <c r="BZ179" s="6"/>
      <c r="CA179" s="6">
        <f t="shared" si="65"/>
        <v>354</v>
      </c>
      <c r="CB179" s="6">
        <v>47</v>
      </c>
      <c r="CC179" s="6">
        <v>1560</v>
      </c>
      <c r="CD179" s="6">
        <f t="shared" si="66"/>
        <v>356</v>
      </c>
      <c r="CE179" s="6">
        <v>422</v>
      </c>
      <c r="CF179" s="6"/>
      <c r="CG179" s="6">
        <f t="shared" si="67"/>
        <v>375</v>
      </c>
      <c r="CH179" s="6">
        <v>806</v>
      </c>
      <c r="CI179" s="6"/>
      <c r="CJ179" s="6">
        <f t="shared" si="68"/>
        <v>384</v>
      </c>
      <c r="CK179" s="6">
        <v>1178</v>
      </c>
      <c r="CL179" s="6"/>
      <c r="CM179" s="6">
        <f t="shared" si="69"/>
        <v>372</v>
      </c>
      <c r="CN179" s="6"/>
      <c r="CO179" s="6"/>
      <c r="CP179" s="6"/>
      <c r="CQ179" s="6">
        <v>8</v>
      </c>
      <c r="CR179" s="6">
        <v>1560</v>
      </c>
      <c r="CS179" s="6">
        <f t="shared" si="70"/>
        <v>390</v>
      </c>
      <c r="CT179" s="6">
        <v>392</v>
      </c>
      <c r="CU179" s="6"/>
      <c r="CV179" s="6">
        <f t="shared" si="71"/>
        <v>384</v>
      </c>
      <c r="CW179" s="6">
        <v>769</v>
      </c>
      <c r="CX179" s="6"/>
      <c r="CY179" s="6">
        <f t="shared" si="72"/>
        <v>377</v>
      </c>
      <c r="CZ179" s="6">
        <v>1137</v>
      </c>
      <c r="DA179" s="6"/>
      <c r="DB179" s="6">
        <f t="shared" si="73"/>
        <v>368</v>
      </c>
      <c r="DC179" s="6">
        <v>1509</v>
      </c>
      <c r="DD179" s="6"/>
      <c r="DE179" s="6">
        <f t="shared" si="74"/>
        <v>372</v>
      </c>
      <c r="DF179" s="6">
        <v>312</v>
      </c>
      <c r="DG179" s="6">
        <v>1560</v>
      </c>
      <c r="DH179" s="6">
        <f t="shared" si="75"/>
        <v>363</v>
      </c>
      <c r="DI179" s="6"/>
      <c r="DJ179" s="6"/>
      <c r="DK179" s="6"/>
      <c r="DL179" s="6">
        <v>701</v>
      </c>
      <c r="DM179" s="6"/>
      <c r="DN179" s="6">
        <f t="shared" si="76"/>
        <v>389</v>
      </c>
      <c r="DO179" s="6">
        <v>1054</v>
      </c>
      <c r="DP179" s="6"/>
      <c r="DQ179" s="6">
        <f t="shared" si="77"/>
        <v>353</v>
      </c>
    </row>
    <row r="180" spans="1:121">
      <c r="A180" s="6">
        <v>176</v>
      </c>
      <c r="B180" s="6">
        <v>26</v>
      </c>
      <c r="C180" s="6">
        <v>2000</v>
      </c>
      <c r="D180" s="6">
        <v>229</v>
      </c>
      <c r="E180" s="33" t="s">
        <v>124</v>
      </c>
      <c r="F180" s="33" t="s">
        <v>124</v>
      </c>
      <c r="G180" s="33" t="s">
        <v>124</v>
      </c>
      <c r="H180" s="33" t="s">
        <v>124</v>
      </c>
      <c r="I180" s="33" t="s">
        <v>124</v>
      </c>
      <c r="J180" s="33" t="s">
        <v>124</v>
      </c>
      <c r="K180" s="33" t="s">
        <v>124</v>
      </c>
      <c r="L180" s="33" t="s">
        <v>124</v>
      </c>
      <c r="M180" s="33" t="s">
        <v>128</v>
      </c>
      <c r="N180" s="33" t="s">
        <v>128</v>
      </c>
      <c r="O180" s="33" t="s">
        <v>128</v>
      </c>
      <c r="P180" s="33" t="s">
        <v>128</v>
      </c>
      <c r="Q180" s="33" t="s">
        <v>128</v>
      </c>
      <c r="R180" s="33" t="s">
        <v>128</v>
      </c>
      <c r="S180" s="33" t="s">
        <v>128</v>
      </c>
      <c r="T180" s="33" t="s">
        <v>128</v>
      </c>
      <c r="U180" s="33" t="s">
        <v>128</v>
      </c>
      <c r="V180" s="33" t="s">
        <v>128</v>
      </c>
      <c r="W180" s="33" t="s">
        <v>128</v>
      </c>
      <c r="X180" s="33" t="s">
        <v>128</v>
      </c>
      <c r="Y180" s="33" t="s">
        <v>128</v>
      </c>
      <c r="Z180" s="33" t="s">
        <v>128</v>
      </c>
      <c r="AA180" s="33" t="s">
        <v>128</v>
      </c>
      <c r="AB180" s="33" t="s">
        <v>128</v>
      </c>
      <c r="AC180" s="33" t="s">
        <v>128</v>
      </c>
      <c r="AD180" s="33" t="s">
        <v>128</v>
      </c>
      <c r="AE180" s="33" t="s">
        <v>128</v>
      </c>
      <c r="AF180" s="35">
        <v>296</v>
      </c>
      <c r="AG180" s="35"/>
      <c r="AH180" s="35">
        <f t="shared" si="52"/>
        <v>270</v>
      </c>
      <c r="AI180" s="35">
        <v>548</v>
      </c>
      <c r="AJ180" s="35"/>
      <c r="AK180" s="35">
        <f t="shared" si="53"/>
        <v>252</v>
      </c>
      <c r="AL180" s="35">
        <v>801</v>
      </c>
      <c r="AM180" s="35"/>
      <c r="AN180" s="35">
        <f t="shared" si="54"/>
        <v>253</v>
      </c>
      <c r="AO180" s="35">
        <v>1054</v>
      </c>
      <c r="AP180" s="35"/>
      <c r="AQ180" s="34">
        <f t="shared" si="55"/>
        <v>253</v>
      </c>
      <c r="AR180" s="35">
        <v>1308</v>
      </c>
      <c r="AS180" s="35"/>
      <c r="AT180" s="35">
        <f t="shared" si="56"/>
        <v>254</v>
      </c>
      <c r="AU180" s="6">
        <v>1539</v>
      </c>
      <c r="AV180" s="6"/>
      <c r="AW180" s="35">
        <f t="shared" si="57"/>
        <v>231</v>
      </c>
      <c r="AX180" s="6"/>
      <c r="AY180" s="6"/>
      <c r="AZ180" s="35"/>
      <c r="BA180" s="35">
        <v>1795</v>
      </c>
      <c r="BB180" s="6"/>
      <c r="BC180" s="35">
        <f t="shared" si="58"/>
        <v>256</v>
      </c>
      <c r="BD180" s="6">
        <v>275</v>
      </c>
      <c r="BE180" s="6">
        <v>1847</v>
      </c>
      <c r="BF180" s="35">
        <f t="shared" si="59"/>
        <v>327</v>
      </c>
      <c r="BG180" s="35">
        <v>665</v>
      </c>
      <c r="BH180" s="6"/>
      <c r="BI180" s="6">
        <f t="shared" si="60"/>
        <v>390</v>
      </c>
      <c r="BJ180" s="6">
        <v>1055</v>
      </c>
      <c r="BK180" s="35"/>
      <c r="BL180" s="6">
        <f t="shared" si="61"/>
        <v>390</v>
      </c>
      <c r="BM180" s="6">
        <v>1421</v>
      </c>
      <c r="BN180" s="6"/>
      <c r="BO180" s="6">
        <f t="shared" si="62"/>
        <v>366</v>
      </c>
      <c r="BP180" s="6">
        <v>194</v>
      </c>
      <c r="BQ180" s="6">
        <v>1560</v>
      </c>
      <c r="BR180" s="35">
        <f t="shared" si="63"/>
        <v>333</v>
      </c>
      <c r="BS180" s="6"/>
      <c r="BT180" s="6"/>
      <c r="BU180" s="6"/>
      <c r="BV180" s="6">
        <v>558</v>
      </c>
      <c r="BW180" s="6"/>
      <c r="BX180" s="35">
        <f t="shared" si="64"/>
        <v>364</v>
      </c>
      <c r="BY180" s="6">
        <v>966</v>
      </c>
      <c r="BZ180" s="6"/>
      <c r="CA180" s="6">
        <f t="shared" si="65"/>
        <v>408</v>
      </c>
      <c r="CB180" s="6">
        <v>1370</v>
      </c>
      <c r="CC180" s="6"/>
      <c r="CD180" s="6">
        <f t="shared" si="66"/>
        <v>404</v>
      </c>
      <c r="CE180" s="6">
        <v>205</v>
      </c>
      <c r="CF180" s="6">
        <v>1560</v>
      </c>
      <c r="CG180" s="6">
        <f t="shared" si="67"/>
        <v>395</v>
      </c>
      <c r="CH180" s="6">
        <v>583</v>
      </c>
      <c r="CI180" s="6"/>
      <c r="CJ180" s="6">
        <f t="shared" si="68"/>
        <v>378</v>
      </c>
      <c r="CK180" s="6">
        <v>952</v>
      </c>
      <c r="CL180" s="6"/>
      <c r="CM180" s="6">
        <f t="shared" si="69"/>
        <v>369</v>
      </c>
      <c r="CN180" s="6"/>
      <c r="CO180" s="6"/>
      <c r="CP180" s="6"/>
      <c r="CQ180" s="6">
        <v>1337</v>
      </c>
      <c r="CR180" s="6"/>
      <c r="CS180" s="6">
        <f t="shared" si="70"/>
        <v>385</v>
      </c>
      <c r="CT180" s="6">
        <v>155</v>
      </c>
      <c r="CU180" s="6">
        <v>1560</v>
      </c>
      <c r="CV180" s="6">
        <f t="shared" si="71"/>
        <v>378</v>
      </c>
      <c r="CW180" s="6">
        <v>536</v>
      </c>
      <c r="CX180" s="6"/>
      <c r="CY180" s="6">
        <f t="shared" si="72"/>
        <v>381</v>
      </c>
      <c r="CZ180" s="6">
        <v>918</v>
      </c>
      <c r="DA180" s="6"/>
      <c r="DB180" s="6">
        <f t="shared" si="73"/>
        <v>382</v>
      </c>
      <c r="DC180" s="6">
        <v>1295</v>
      </c>
      <c r="DD180" s="6"/>
      <c r="DE180" s="6">
        <f t="shared" si="74"/>
        <v>377</v>
      </c>
      <c r="DF180" s="35">
        <v>86</v>
      </c>
      <c r="DG180" s="6">
        <v>1570</v>
      </c>
      <c r="DH180" s="6">
        <f t="shared" si="75"/>
        <v>361</v>
      </c>
      <c r="DI180" s="35"/>
      <c r="DJ180" s="6"/>
      <c r="DK180" s="6"/>
      <c r="DL180" s="35">
        <v>467</v>
      </c>
      <c r="DM180" s="6"/>
      <c r="DN180" s="6">
        <f t="shared" si="76"/>
        <v>381</v>
      </c>
      <c r="DO180" s="35">
        <v>821</v>
      </c>
      <c r="DP180" s="6"/>
      <c r="DQ180" s="6">
        <f t="shared" si="77"/>
        <v>354</v>
      </c>
    </row>
    <row r="181" spans="1:121">
      <c r="A181" s="6">
        <v>177</v>
      </c>
      <c r="B181" s="6">
        <v>0</v>
      </c>
      <c r="C181" s="6"/>
      <c r="D181" s="6">
        <v>0</v>
      </c>
      <c r="E181" s="33" t="s">
        <v>56</v>
      </c>
      <c r="F181" s="33" t="s">
        <v>56</v>
      </c>
      <c r="G181" s="33" t="s">
        <v>56</v>
      </c>
      <c r="H181" s="148" t="s">
        <v>128</v>
      </c>
      <c r="I181" s="33" t="s">
        <v>128</v>
      </c>
      <c r="J181" s="33" t="s">
        <v>128</v>
      </c>
      <c r="K181" s="33" t="s">
        <v>128</v>
      </c>
      <c r="L181" s="33" t="s">
        <v>128</v>
      </c>
      <c r="M181" s="33" t="s">
        <v>128</v>
      </c>
      <c r="N181" s="33" t="s">
        <v>128</v>
      </c>
      <c r="O181" s="33" t="s">
        <v>128</v>
      </c>
      <c r="P181" s="33" t="s">
        <v>128</v>
      </c>
      <c r="Q181" s="33" t="s">
        <v>128</v>
      </c>
      <c r="R181" s="33" t="s">
        <v>128</v>
      </c>
      <c r="S181" s="33" t="s">
        <v>128</v>
      </c>
      <c r="T181" s="33" t="s">
        <v>128</v>
      </c>
      <c r="U181" s="33" t="s">
        <v>128</v>
      </c>
      <c r="V181" s="33" t="s">
        <v>128</v>
      </c>
      <c r="W181" s="33" t="s">
        <v>128</v>
      </c>
      <c r="X181" s="33" t="s">
        <v>128</v>
      </c>
      <c r="Y181" s="33" t="s">
        <v>128</v>
      </c>
      <c r="Z181" s="33" t="s">
        <v>128</v>
      </c>
      <c r="AA181" s="33" t="s">
        <v>128</v>
      </c>
      <c r="AB181" s="33" t="s">
        <v>128</v>
      </c>
      <c r="AC181" s="33" t="s">
        <v>128</v>
      </c>
      <c r="AD181" s="148" t="s">
        <v>128</v>
      </c>
      <c r="AE181" s="33" t="s">
        <v>128</v>
      </c>
      <c r="AF181" s="35">
        <v>0</v>
      </c>
      <c r="AG181" s="35"/>
      <c r="AH181" s="35">
        <f t="shared" si="52"/>
        <v>0</v>
      </c>
      <c r="AI181" s="35">
        <v>0</v>
      </c>
      <c r="AJ181" s="35"/>
      <c r="AK181" s="35">
        <f t="shared" si="53"/>
        <v>0</v>
      </c>
      <c r="AL181" s="6">
        <v>308</v>
      </c>
      <c r="AM181" s="6"/>
      <c r="AN181" s="35">
        <f t="shared" si="54"/>
        <v>308</v>
      </c>
      <c r="AO181" s="6">
        <v>663</v>
      </c>
      <c r="AP181" s="6"/>
      <c r="AQ181" s="34">
        <f t="shared" si="55"/>
        <v>355</v>
      </c>
      <c r="AR181" s="35">
        <v>1020</v>
      </c>
      <c r="AS181" s="35"/>
      <c r="AT181" s="35">
        <f t="shared" si="56"/>
        <v>357</v>
      </c>
      <c r="AU181" s="6">
        <v>1360</v>
      </c>
      <c r="AV181" s="6"/>
      <c r="AW181" s="35">
        <f t="shared" si="57"/>
        <v>340</v>
      </c>
      <c r="AX181" s="6"/>
      <c r="AY181" s="6"/>
      <c r="AZ181" s="35"/>
      <c r="BA181" s="6">
        <v>360</v>
      </c>
      <c r="BB181" s="35">
        <v>1360</v>
      </c>
      <c r="BC181" s="35">
        <f t="shared" si="58"/>
        <v>360</v>
      </c>
      <c r="BD181" s="6">
        <v>726</v>
      </c>
      <c r="BE181" s="6"/>
      <c r="BF181" s="35">
        <f t="shared" si="59"/>
        <v>366</v>
      </c>
      <c r="BG181" s="35">
        <v>1096</v>
      </c>
      <c r="BH181" s="6"/>
      <c r="BI181" s="6">
        <f t="shared" si="60"/>
        <v>370</v>
      </c>
      <c r="BJ181" s="6">
        <v>1466</v>
      </c>
      <c r="BK181" s="6"/>
      <c r="BL181" s="6">
        <f t="shared" si="61"/>
        <v>370</v>
      </c>
      <c r="BM181" s="6">
        <v>357</v>
      </c>
      <c r="BN181" s="6">
        <v>1475</v>
      </c>
      <c r="BO181" s="6">
        <f t="shared" si="62"/>
        <v>366</v>
      </c>
      <c r="BP181" s="6">
        <v>715</v>
      </c>
      <c r="BQ181" s="6"/>
      <c r="BR181" s="35">
        <f t="shared" si="63"/>
        <v>358</v>
      </c>
      <c r="BS181" s="6"/>
      <c r="BT181" s="6"/>
      <c r="BU181" s="6"/>
      <c r="BV181" s="6">
        <v>1095</v>
      </c>
      <c r="BW181" s="6"/>
      <c r="BX181" s="35">
        <f t="shared" si="64"/>
        <v>380</v>
      </c>
      <c r="BY181" s="6">
        <v>3</v>
      </c>
      <c r="BZ181" s="6">
        <v>1451</v>
      </c>
      <c r="CA181" s="6">
        <f t="shared" si="65"/>
        <v>359</v>
      </c>
      <c r="CB181" s="6">
        <v>373</v>
      </c>
      <c r="CC181" s="6"/>
      <c r="CD181" s="6">
        <f t="shared" si="66"/>
        <v>370</v>
      </c>
      <c r="CE181" s="6">
        <v>758</v>
      </c>
      <c r="CF181" s="6"/>
      <c r="CG181" s="6">
        <f t="shared" si="67"/>
        <v>385</v>
      </c>
      <c r="CH181" s="6">
        <v>1142</v>
      </c>
      <c r="CI181" s="6"/>
      <c r="CJ181" s="6">
        <f t="shared" si="68"/>
        <v>384</v>
      </c>
      <c r="CK181" s="6">
        <v>1514</v>
      </c>
      <c r="CL181" s="6"/>
      <c r="CM181" s="6">
        <f t="shared" si="69"/>
        <v>372</v>
      </c>
      <c r="CN181" s="6"/>
      <c r="CO181" s="6"/>
      <c r="CP181" s="6"/>
      <c r="CQ181" s="6">
        <v>344</v>
      </c>
      <c r="CR181" s="6">
        <v>1560</v>
      </c>
      <c r="CS181" s="6">
        <f t="shared" si="70"/>
        <v>390</v>
      </c>
      <c r="CT181" s="6">
        <v>729</v>
      </c>
      <c r="CU181" s="6"/>
      <c r="CV181" s="6">
        <f t="shared" si="71"/>
        <v>385</v>
      </c>
      <c r="CW181" s="6">
        <v>1114</v>
      </c>
      <c r="CX181" s="6"/>
      <c r="CY181" s="6">
        <f t="shared" si="72"/>
        <v>385</v>
      </c>
      <c r="CZ181" s="6">
        <v>1261</v>
      </c>
      <c r="DA181" s="6"/>
      <c r="DB181" s="6">
        <f t="shared" si="73"/>
        <v>147</v>
      </c>
      <c r="DC181" s="6">
        <v>83</v>
      </c>
      <c r="DD181" s="6">
        <v>1560</v>
      </c>
      <c r="DE181" s="6">
        <f t="shared" si="74"/>
        <v>382</v>
      </c>
      <c r="DF181" s="6">
        <v>0</v>
      </c>
      <c r="DG181" s="6">
        <v>442</v>
      </c>
      <c r="DH181" s="6">
        <f t="shared" si="75"/>
        <v>359</v>
      </c>
      <c r="DI181" s="6"/>
      <c r="DJ181" s="6"/>
      <c r="DK181" s="6"/>
      <c r="DL181" s="6">
        <v>365</v>
      </c>
      <c r="DM181" s="6"/>
      <c r="DN181" s="6">
        <f t="shared" si="76"/>
        <v>365</v>
      </c>
      <c r="DO181" s="6">
        <v>722</v>
      </c>
      <c r="DP181" s="6"/>
      <c r="DQ181" s="6">
        <f t="shared" si="77"/>
        <v>357</v>
      </c>
    </row>
    <row r="182" spans="1:121">
      <c r="A182" s="6">
        <v>178</v>
      </c>
      <c r="B182" s="6">
        <v>523</v>
      </c>
      <c r="C182" s="6"/>
      <c r="D182" s="6">
        <v>209</v>
      </c>
      <c r="E182" s="33" t="s">
        <v>124</v>
      </c>
      <c r="F182" s="33" t="s">
        <v>124</v>
      </c>
      <c r="G182" s="33" t="s">
        <v>124</v>
      </c>
      <c r="H182" s="33" t="s">
        <v>124</v>
      </c>
      <c r="I182" s="33" t="s">
        <v>124</v>
      </c>
      <c r="J182" s="33" t="s">
        <v>124</v>
      </c>
      <c r="K182" s="33" t="s">
        <v>124</v>
      </c>
      <c r="L182" s="33" t="s">
        <v>124</v>
      </c>
      <c r="M182" s="148" t="s">
        <v>128</v>
      </c>
      <c r="N182" s="33" t="s">
        <v>128</v>
      </c>
      <c r="O182" s="33" t="s">
        <v>128</v>
      </c>
      <c r="P182" s="33" t="s">
        <v>128</v>
      </c>
      <c r="Q182" s="33" t="s">
        <v>128</v>
      </c>
      <c r="R182" s="33" t="s">
        <v>128</v>
      </c>
      <c r="S182" s="33" t="s">
        <v>128</v>
      </c>
      <c r="T182" s="33" t="s">
        <v>128</v>
      </c>
      <c r="U182" s="33" t="s">
        <v>128</v>
      </c>
      <c r="V182" s="33" t="s">
        <v>128</v>
      </c>
      <c r="W182" s="33" t="s">
        <v>128</v>
      </c>
      <c r="X182" s="33" t="s">
        <v>128</v>
      </c>
      <c r="Y182" s="33" t="s">
        <v>128</v>
      </c>
      <c r="Z182" s="33" t="s">
        <v>128</v>
      </c>
      <c r="AA182" s="33" t="s">
        <v>128</v>
      </c>
      <c r="AB182" s="33" t="s">
        <v>128</v>
      </c>
      <c r="AC182" s="33" t="s">
        <v>128</v>
      </c>
      <c r="AD182" s="33" t="s">
        <v>128</v>
      </c>
      <c r="AE182" s="33" t="s">
        <v>128</v>
      </c>
      <c r="AF182" s="6">
        <v>771</v>
      </c>
      <c r="AG182" s="6"/>
      <c r="AH182" s="35">
        <f t="shared" si="52"/>
        <v>248</v>
      </c>
      <c r="AI182" s="35">
        <v>1003</v>
      </c>
      <c r="AJ182" s="35"/>
      <c r="AK182" s="35">
        <f t="shared" si="53"/>
        <v>232</v>
      </c>
      <c r="AL182" s="6">
        <v>1236</v>
      </c>
      <c r="AM182" s="6"/>
      <c r="AN182" s="35">
        <f t="shared" si="54"/>
        <v>233</v>
      </c>
      <c r="AO182" s="6">
        <v>1471</v>
      </c>
      <c r="AP182" s="6"/>
      <c r="AQ182" s="34">
        <f t="shared" si="55"/>
        <v>235</v>
      </c>
      <c r="AR182" s="35">
        <v>1704</v>
      </c>
      <c r="AS182" s="35"/>
      <c r="AT182" s="35">
        <f t="shared" si="56"/>
        <v>233</v>
      </c>
      <c r="AU182" s="6">
        <v>1922</v>
      </c>
      <c r="AV182" s="6"/>
      <c r="AW182" s="35">
        <f t="shared" si="57"/>
        <v>218</v>
      </c>
      <c r="AX182" s="6"/>
      <c r="AY182" s="6"/>
      <c r="AZ182" s="35"/>
      <c r="BA182" s="35">
        <v>0</v>
      </c>
      <c r="BB182" s="35">
        <v>2052</v>
      </c>
      <c r="BC182" s="35">
        <f t="shared" si="58"/>
        <v>130</v>
      </c>
      <c r="BD182" s="6">
        <v>336</v>
      </c>
      <c r="BE182" s="6"/>
      <c r="BF182" s="35">
        <f t="shared" si="59"/>
        <v>336</v>
      </c>
      <c r="BG182" s="35">
        <v>694</v>
      </c>
      <c r="BH182" s="6"/>
      <c r="BI182" s="6">
        <f t="shared" si="60"/>
        <v>358</v>
      </c>
      <c r="BJ182" s="6">
        <v>1051</v>
      </c>
      <c r="BK182" s="6"/>
      <c r="BL182" s="6">
        <f t="shared" si="61"/>
        <v>357</v>
      </c>
      <c r="BM182" s="6">
        <v>1411</v>
      </c>
      <c r="BN182" s="6"/>
      <c r="BO182" s="6">
        <f t="shared" si="62"/>
        <v>360</v>
      </c>
      <c r="BP182" s="6">
        <v>208</v>
      </c>
      <c r="BQ182" s="6">
        <v>1533</v>
      </c>
      <c r="BR182" s="35">
        <f t="shared" si="63"/>
        <v>330</v>
      </c>
      <c r="BS182" s="6"/>
      <c r="BT182" s="6"/>
      <c r="BU182" s="6"/>
      <c r="BV182" s="6">
        <v>572</v>
      </c>
      <c r="BW182" s="6"/>
      <c r="BX182" s="35">
        <f t="shared" si="64"/>
        <v>364</v>
      </c>
      <c r="BY182" s="6">
        <v>1</v>
      </c>
      <c r="BZ182" s="6">
        <v>926</v>
      </c>
      <c r="CA182" s="6">
        <f t="shared" si="65"/>
        <v>355</v>
      </c>
      <c r="CB182" s="6">
        <v>352</v>
      </c>
      <c r="CC182" s="6"/>
      <c r="CD182" s="6">
        <f t="shared" si="66"/>
        <v>351</v>
      </c>
      <c r="CE182" s="6">
        <v>730</v>
      </c>
      <c r="CF182" s="6"/>
      <c r="CG182" s="6">
        <f t="shared" si="67"/>
        <v>378</v>
      </c>
      <c r="CH182" s="6">
        <v>1103</v>
      </c>
      <c r="CI182" s="6"/>
      <c r="CJ182" s="6">
        <f t="shared" si="68"/>
        <v>373</v>
      </c>
      <c r="CK182" s="6">
        <v>1467</v>
      </c>
      <c r="CL182" s="6"/>
      <c r="CM182" s="6">
        <f t="shared" si="69"/>
        <v>364</v>
      </c>
      <c r="CN182" s="6"/>
      <c r="CO182" s="6"/>
      <c r="CP182" s="6"/>
      <c r="CQ182" s="6">
        <v>296</v>
      </c>
      <c r="CR182" s="6">
        <v>1556</v>
      </c>
      <c r="CS182" s="6">
        <f t="shared" si="70"/>
        <v>385</v>
      </c>
      <c r="CT182" s="6">
        <v>666</v>
      </c>
      <c r="CU182" s="6"/>
      <c r="CV182" s="6">
        <f t="shared" si="71"/>
        <v>370</v>
      </c>
      <c r="CW182" s="6">
        <v>1044</v>
      </c>
      <c r="CX182" s="6"/>
      <c r="CY182" s="6">
        <f t="shared" si="72"/>
        <v>378</v>
      </c>
      <c r="CZ182" s="6">
        <v>1426</v>
      </c>
      <c r="DA182" s="6"/>
      <c r="DB182" s="6">
        <f t="shared" si="73"/>
        <v>382</v>
      </c>
      <c r="DC182" s="6">
        <v>254</v>
      </c>
      <c r="DD182" s="6">
        <v>1560</v>
      </c>
      <c r="DE182" s="6">
        <f t="shared" si="74"/>
        <v>388</v>
      </c>
      <c r="DF182" s="35">
        <v>621</v>
      </c>
      <c r="DG182" s="6"/>
      <c r="DH182" s="6">
        <f t="shared" si="75"/>
        <v>367</v>
      </c>
      <c r="DI182" s="35"/>
      <c r="DJ182" s="6"/>
      <c r="DK182" s="6"/>
      <c r="DL182" s="35">
        <v>1003</v>
      </c>
      <c r="DM182" s="6"/>
      <c r="DN182" s="6">
        <f t="shared" si="76"/>
        <v>382</v>
      </c>
      <c r="DO182" s="35">
        <v>1362</v>
      </c>
      <c r="DP182" s="6"/>
      <c r="DQ182" s="6">
        <f t="shared" si="77"/>
        <v>359</v>
      </c>
    </row>
    <row r="183" spans="1:121">
      <c r="A183" s="6">
        <v>179</v>
      </c>
      <c r="B183" s="6">
        <v>722</v>
      </c>
      <c r="C183" s="6"/>
      <c r="D183" s="6">
        <v>203</v>
      </c>
      <c r="E183" s="33" t="s">
        <v>124</v>
      </c>
      <c r="F183" s="33" t="s">
        <v>124</v>
      </c>
      <c r="G183" s="33" t="s">
        <v>124</v>
      </c>
      <c r="H183" s="33" t="s">
        <v>124</v>
      </c>
      <c r="I183" s="33" t="s">
        <v>124</v>
      </c>
      <c r="J183" s="33" t="s">
        <v>124</v>
      </c>
      <c r="K183" s="33" t="s">
        <v>124</v>
      </c>
      <c r="L183" s="148" t="s">
        <v>128</v>
      </c>
      <c r="M183" s="33" t="s">
        <v>128</v>
      </c>
      <c r="N183" s="33" t="s">
        <v>128</v>
      </c>
      <c r="O183" s="33" t="s">
        <v>128</v>
      </c>
      <c r="P183" s="33" t="s">
        <v>128</v>
      </c>
      <c r="Q183" s="33" t="s">
        <v>128</v>
      </c>
      <c r="R183" s="33" t="s">
        <v>128</v>
      </c>
      <c r="S183" s="33" t="s">
        <v>128</v>
      </c>
      <c r="T183" s="33" t="s">
        <v>128</v>
      </c>
      <c r="U183" s="33" t="s">
        <v>128</v>
      </c>
      <c r="V183" s="33" t="s">
        <v>128</v>
      </c>
      <c r="W183" s="33" t="s">
        <v>128</v>
      </c>
      <c r="X183" s="33" t="s">
        <v>128</v>
      </c>
      <c r="Y183" s="33" t="s">
        <v>128</v>
      </c>
      <c r="Z183" s="33" t="s">
        <v>128</v>
      </c>
      <c r="AA183" s="33" t="s">
        <v>128</v>
      </c>
      <c r="AB183" s="33" t="s">
        <v>128</v>
      </c>
      <c r="AC183" s="33" t="s">
        <v>128</v>
      </c>
      <c r="AD183" s="33" t="s">
        <v>128</v>
      </c>
      <c r="AE183" s="33" t="s">
        <v>128</v>
      </c>
      <c r="AF183" s="6">
        <v>962</v>
      </c>
      <c r="AG183" s="6"/>
      <c r="AH183" s="35">
        <f t="shared" si="52"/>
        <v>240</v>
      </c>
      <c r="AI183" s="35">
        <v>1187</v>
      </c>
      <c r="AJ183" s="35"/>
      <c r="AK183" s="35">
        <f t="shared" si="53"/>
        <v>225</v>
      </c>
      <c r="AL183" s="6">
        <v>1416</v>
      </c>
      <c r="AM183" s="6"/>
      <c r="AN183" s="35">
        <f t="shared" si="54"/>
        <v>229</v>
      </c>
      <c r="AO183" s="6">
        <v>1639</v>
      </c>
      <c r="AP183" s="6"/>
      <c r="AQ183" s="34">
        <f t="shared" si="55"/>
        <v>223</v>
      </c>
      <c r="AR183" s="35">
        <v>1865</v>
      </c>
      <c r="AS183" s="35"/>
      <c r="AT183" s="35">
        <f t="shared" si="56"/>
        <v>226</v>
      </c>
      <c r="AU183" s="6">
        <v>2072</v>
      </c>
      <c r="AV183" s="6"/>
      <c r="AW183" s="35">
        <f t="shared" si="57"/>
        <v>207</v>
      </c>
      <c r="AX183" s="6"/>
      <c r="AY183" s="6"/>
      <c r="AZ183" s="35"/>
      <c r="BA183" s="35">
        <v>256</v>
      </c>
      <c r="BB183" s="6">
        <v>2137</v>
      </c>
      <c r="BC183" s="35">
        <f t="shared" si="58"/>
        <v>321</v>
      </c>
      <c r="BD183" s="35">
        <v>620</v>
      </c>
      <c r="BE183" s="6"/>
      <c r="BF183" s="35">
        <f t="shared" si="59"/>
        <v>364</v>
      </c>
      <c r="BG183" s="35">
        <v>985</v>
      </c>
      <c r="BH183" s="6"/>
      <c r="BI183" s="6">
        <f t="shared" si="60"/>
        <v>365</v>
      </c>
      <c r="BJ183" s="6">
        <v>1347</v>
      </c>
      <c r="BK183" s="6"/>
      <c r="BL183" s="6">
        <f t="shared" si="61"/>
        <v>362</v>
      </c>
      <c r="BM183" s="6">
        <v>138</v>
      </c>
      <c r="BN183" s="6">
        <v>1561</v>
      </c>
      <c r="BO183" s="6">
        <f t="shared" si="62"/>
        <v>352</v>
      </c>
      <c r="BP183" s="6">
        <v>66</v>
      </c>
      <c r="BQ183" s="6">
        <v>436</v>
      </c>
      <c r="BR183" s="35">
        <f t="shared" si="63"/>
        <v>364</v>
      </c>
      <c r="BS183" s="6"/>
      <c r="BT183" s="6"/>
      <c r="BU183" s="6"/>
      <c r="BV183" s="6">
        <v>460</v>
      </c>
      <c r="BW183" s="6"/>
      <c r="BX183" s="35">
        <f t="shared" si="64"/>
        <v>394</v>
      </c>
      <c r="BY183" s="6">
        <v>843</v>
      </c>
      <c r="BZ183" s="6"/>
      <c r="CA183" s="6">
        <f t="shared" si="65"/>
        <v>383</v>
      </c>
      <c r="CB183" s="6">
        <v>1218</v>
      </c>
      <c r="CC183" s="6"/>
      <c r="CD183" s="6">
        <f t="shared" si="66"/>
        <v>375</v>
      </c>
      <c r="CE183" s="6">
        <v>42</v>
      </c>
      <c r="CF183" s="6">
        <v>1560</v>
      </c>
      <c r="CG183" s="6">
        <f t="shared" si="67"/>
        <v>384</v>
      </c>
      <c r="CH183" s="6">
        <v>420</v>
      </c>
      <c r="CI183" s="6"/>
      <c r="CJ183" s="6">
        <f t="shared" si="68"/>
        <v>378</v>
      </c>
      <c r="CK183" s="6">
        <v>783</v>
      </c>
      <c r="CL183" s="6"/>
      <c r="CM183" s="6">
        <f t="shared" si="69"/>
        <v>363</v>
      </c>
      <c r="CN183" s="6"/>
      <c r="CO183" s="6"/>
      <c r="CP183" s="6"/>
      <c r="CQ183" s="6">
        <v>107</v>
      </c>
      <c r="CR183" s="6">
        <v>1060</v>
      </c>
      <c r="CS183" s="6">
        <f t="shared" si="70"/>
        <v>384</v>
      </c>
      <c r="CT183" s="6">
        <v>489</v>
      </c>
      <c r="CU183" s="6"/>
      <c r="CV183" s="6">
        <f t="shared" si="71"/>
        <v>382</v>
      </c>
      <c r="CW183" s="6">
        <v>872</v>
      </c>
      <c r="CX183" s="6"/>
      <c r="CY183" s="6">
        <f t="shared" si="72"/>
        <v>383</v>
      </c>
      <c r="CZ183" s="6">
        <v>1258</v>
      </c>
      <c r="DA183" s="6"/>
      <c r="DB183" s="6">
        <f t="shared" si="73"/>
        <v>386</v>
      </c>
      <c r="DC183" s="6">
        <v>81</v>
      </c>
      <c r="DD183" s="6">
        <v>1560</v>
      </c>
      <c r="DE183" s="6">
        <f t="shared" si="74"/>
        <v>383</v>
      </c>
      <c r="DF183" s="6">
        <v>443</v>
      </c>
      <c r="DG183" s="6"/>
      <c r="DH183" s="6">
        <f t="shared" si="75"/>
        <v>362</v>
      </c>
      <c r="DI183" s="6"/>
      <c r="DJ183" s="6"/>
      <c r="DK183" s="6"/>
      <c r="DL183" s="6">
        <v>61</v>
      </c>
      <c r="DM183" s="6">
        <v>753</v>
      </c>
      <c r="DN183" s="6">
        <f t="shared" si="76"/>
        <v>371</v>
      </c>
      <c r="DO183" s="6">
        <v>403</v>
      </c>
      <c r="DP183" s="6"/>
      <c r="DQ183" s="6">
        <f t="shared" si="77"/>
        <v>342</v>
      </c>
    </row>
    <row r="184" spans="1:121">
      <c r="A184" s="6">
        <v>180</v>
      </c>
      <c r="B184" s="6">
        <v>1739</v>
      </c>
      <c r="C184" s="6"/>
      <c r="D184" s="6">
        <v>202</v>
      </c>
      <c r="E184" s="33" t="s">
        <v>124</v>
      </c>
      <c r="F184" s="33" t="s">
        <v>124</v>
      </c>
      <c r="G184" s="33" t="s">
        <v>124</v>
      </c>
      <c r="H184" s="33" t="s">
        <v>124</v>
      </c>
      <c r="I184" s="33" t="s">
        <v>124</v>
      </c>
      <c r="J184" s="33" t="s">
        <v>124</v>
      </c>
      <c r="K184" s="33" t="s">
        <v>124</v>
      </c>
      <c r="L184" s="33" t="s">
        <v>124</v>
      </c>
      <c r="M184" s="148" t="s">
        <v>128</v>
      </c>
      <c r="N184" s="33" t="s">
        <v>128</v>
      </c>
      <c r="O184" s="33" t="s">
        <v>128</v>
      </c>
      <c r="P184" s="33" t="s">
        <v>128</v>
      </c>
      <c r="Q184" s="33" t="s">
        <v>128</v>
      </c>
      <c r="R184" s="33" t="s">
        <v>128</v>
      </c>
      <c r="S184" s="33" t="s">
        <v>128</v>
      </c>
      <c r="T184" s="33" t="s">
        <v>128</v>
      </c>
      <c r="U184" s="33" t="s">
        <v>128</v>
      </c>
      <c r="V184" s="33" t="s">
        <v>128</v>
      </c>
      <c r="W184" s="33" t="s">
        <v>128</v>
      </c>
      <c r="X184" s="33" t="s">
        <v>128</v>
      </c>
      <c r="Y184" s="33" t="s">
        <v>128</v>
      </c>
      <c r="Z184" s="33" t="s">
        <v>128</v>
      </c>
      <c r="AA184" s="33" t="s">
        <v>128</v>
      </c>
      <c r="AB184" s="33" t="s">
        <v>128</v>
      </c>
      <c r="AC184" s="33" t="s">
        <v>128</v>
      </c>
      <c r="AD184" s="33" t="s">
        <v>128</v>
      </c>
      <c r="AE184" s="33" t="s">
        <v>128</v>
      </c>
      <c r="AF184" s="6">
        <v>1975</v>
      </c>
      <c r="AG184" s="6"/>
      <c r="AH184" s="35">
        <f t="shared" si="52"/>
        <v>236</v>
      </c>
      <c r="AI184" s="35">
        <v>193</v>
      </c>
      <c r="AJ184" s="35">
        <v>2000</v>
      </c>
      <c r="AK184" s="35">
        <f t="shared" si="53"/>
        <v>218</v>
      </c>
      <c r="AL184" s="6">
        <v>414</v>
      </c>
      <c r="AM184" s="6"/>
      <c r="AN184" s="35">
        <f t="shared" si="54"/>
        <v>221</v>
      </c>
      <c r="AO184" s="6">
        <v>632</v>
      </c>
      <c r="AP184" s="6"/>
      <c r="AQ184" s="34">
        <f t="shared" si="55"/>
        <v>218</v>
      </c>
      <c r="AR184" s="35">
        <v>850</v>
      </c>
      <c r="AS184" s="35"/>
      <c r="AT184" s="35">
        <f t="shared" si="56"/>
        <v>218</v>
      </c>
      <c r="AU184" s="6">
        <v>1055</v>
      </c>
      <c r="AV184" s="6"/>
      <c r="AW184" s="35">
        <f t="shared" si="57"/>
        <v>205</v>
      </c>
      <c r="AX184" s="6"/>
      <c r="AY184" s="6"/>
      <c r="AZ184" s="35"/>
      <c r="BA184" s="6">
        <v>0</v>
      </c>
      <c r="BB184" s="35">
        <v>1254</v>
      </c>
      <c r="BC184" s="35">
        <f t="shared" si="58"/>
        <v>199</v>
      </c>
      <c r="BD184" s="6">
        <v>312</v>
      </c>
      <c r="BE184" s="6"/>
      <c r="BF184" s="35">
        <f t="shared" si="59"/>
        <v>312</v>
      </c>
      <c r="BG184" s="35">
        <v>655</v>
      </c>
      <c r="BH184" s="6"/>
      <c r="BI184" s="6">
        <f t="shared" si="60"/>
        <v>343</v>
      </c>
      <c r="BJ184" s="6">
        <v>1000</v>
      </c>
      <c r="BK184" s="6"/>
      <c r="BL184" s="6">
        <f t="shared" si="61"/>
        <v>345</v>
      </c>
      <c r="BM184" s="6">
        <v>1347</v>
      </c>
      <c r="BN184" s="6"/>
      <c r="BO184" s="6">
        <f t="shared" si="62"/>
        <v>347</v>
      </c>
      <c r="BP184" s="6">
        <v>87</v>
      </c>
      <c r="BQ184" s="6">
        <v>1560</v>
      </c>
      <c r="BR184" s="35">
        <f t="shared" si="63"/>
        <v>300</v>
      </c>
      <c r="BS184" s="35"/>
      <c r="BT184" s="6"/>
      <c r="BU184" s="6"/>
      <c r="BV184" s="6">
        <v>458</v>
      </c>
      <c r="BW184" s="6"/>
      <c r="BX184" s="35">
        <f t="shared" si="64"/>
        <v>371</v>
      </c>
      <c r="BY184" s="6">
        <v>823</v>
      </c>
      <c r="BZ184" s="6"/>
      <c r="CA184" s="6">
        <f t="shared" si="65"/>
        <v>365</v>
      </c>
      <c r="CB184" s="6">
        <v>1184</v>
      </c>
      <c r="CC184" s="6"/>
      <c r="CD184" s="6">
        <f t="shared" si="66"/>
        <v>361</v>
      </c>
      <c r="CE184" s="6">
        <v>6</v>
      </c>
      <c r="CF184" s="6">
        <v>1560</v>
      </c>
      <c r="CG184" s="6">
        <f t="shared" si="67"/>
        <v>382</v>
      </c>
      <c r="CH184" s="6">
        <v>378</v>
      </c>
      <c r="CI184" s="6"/>
      <c r="CJ184" s="6">
        <f t="shared" si="68"/>
        <v>372</v>
      </c>
      <c r="CK184" s="6">
        <v>745</v>
      </c>
      <c r="CL184" s="6"/>
      <c r="CM184" s="6">
        <f t="shared" si="69"/>
        <v>367</v>
      </c>
      <c r="CN184" s="6"/>
      <c r="CO184" s="6"/>
      <c r="CP184" s="6"/>
      <c r="CQ184" s="6">
        <v>1132</v>
      </c>
      <c r="CR184" s="6"/>
      <c r="CS184" s="6">
        <f t="shared" si="70"/>
        <v>387</v>
      </c>
      <c r="CT184" s="6">
        <v>1511</v>
      </c>
      <c r="CU184" s="6"/>
      <c r="CV184" s="6">
        <f t="shared" si="71"/>
        <v>379</v>
      </c>
      <c r="CW184" s="6">
        <v>322</v>
      </c>
      <c r="CX184" s="6">
        <v>1560</v>
      </c>
      <c r="CY184" s="6">
        <f t="shared" si="72"/>
        <v>371</v>
      </c>
      <c r="CZ184" s="6">
        <v>701</v>
      </c>
      <c r="DA184" s="6"/>
      <c r="DB184" s="6">
        <f t="shared" si="73"/>
        <v>379</v>
      </c>
      <c r="DC184" s="6">
        <v>1078</v>
      </c>
      <c r="DD184" s="6"/>
      <c r="DE184" s="6">
        <f t="shared" si="74"/>
        <v>377</v>
      </c>
      <c r="DF184" s="6">
        <v>1425</v>
      </c>
      <c r="DG184" s="6"/>
      <c r="DH184" s="6">
        <f t="shared" si="75"/>
        <v>347</v>
      </c>
      <c r="DI184" s="6"/>
      <c r="DJ184" s="6"/>
      <c r="DK184" s="6"/>
      <c r="DL184" s="6">
        <v>241</v>
      </c>
      <c r="DM184" s="6">
        <v>1560</v>
      </c>
      <c r="DN184" s="6">
        <f t="shared" si="76"/>
        <v>376</v>
      </c>
      <c r="DO184" s="6">
        <v>594</v>
      </c>
      <c r="DP184" s="6"/>
      <c r="DQ184" s="6">
        <f t="shared" si="77"/>
        <v>353</v>
      </c>
    </row>
    <row r="185" spans="1:121">
      <c r="A185" s="6">
        <v>181</v>
      </c>
      <c r="B185" s="6">
        <v>706</v>
      </c>
      <c r="C185" s="6"/>
      <c r="D185" s="6">
        <v>227</v>
      </c>
      <c r="E185" s="33" t="s">
        <v>72</v>
      </c>
      <c r="F185" s="33" t="s">
        <v>72</v>
      </c>
      <c r="G185" s="33" t="s">
        <v>72</v>
      </c>
      <c r="H185" s="33" t="s">
        <v>72</v>
      </c>
      <c r="I185" s="33" t="s">
        <v>72</v>
      </c>
      <c r="J185" s="33" t="s">
        <v>72</v>
      </c>
      <c r="K185" s="33" t="s">
        <v>72</v>
      </c>
      <c r="L185" s="33" t="s">
        <v>72</v>
      </c>
      <c r="M185" s="33" t="s">
        <v>72</v>
      </c>
      <c r="N185" s="33" t="s">
        <v>72</v>
      </c>
      <c r="O185" s="33" t="s">
        <v>72</v>
      </c>
      <c r="P185" s="33" t="s">
        <v>72</v>
      </c>
      <c r="Q185" s="33" t="s">
        <v>72</v>
      </c>
      <c r="R185" s="33" t="s">
        <v>72</v>
      </c>
      <c r="S185" s="33" t="s">
        <v>72</v>
      </c>
      <c r="T185" s="33" t="s">
        <v>72</v>
      </c>
      <c r="U185" s="33" t="s">
        <v>72</v>
      </c>
      <c r="V185" s="33" t="s">
        <v>72</v>
      </c>
      <c r="W185" s="148" t="s">
        <v>72</v>
      </c>
      <c r="X185" s="33" t="s">
        <v>72</v>
      </c>
      <c r="Y185" s="33" t="s">
        <v>72</v>
      </c>
      <c r="Z185" s="33" t="s">
        <v>72</v>
      </c>
      <c r="AA185" s="33" t="s">
        <v>72</v>
      </c>
      <c r="AB185" s="33" t="s">
        <v>72</v>
      </c>
      <c r="AC185" s="33" t="s">
        <v>72</v>
      </c>
      <c r="AD185" s="33" t="s">
        <v>72</v>
      </c>
      <c r="AE185" s="33" t="s">
        <v>72</v>
      </c>
      <c r="AF185" s="35">
        <v>973</v>
      </c>
      <c r="AG185" s="35"/>
      <c r="AH185" s="35">
        <f t="shared" si="52"/>
        <v>267</v>
      </c>
      <c r="AI185" s="35">
        <v>118</v>
      </c>
      <c r="AJ185" s="35">
        <v>1100</v>
      </c>
      <c r="AK185" s="35">
        <f t="shared" si="53"/>
        <v>245</v>
      </c>
      <c r="AL185" s="6">
        <v>83</v>
      </c>
      <c r="AM185" s="6">
        <v>282</v>
      </c>
      <c r="AN185" s="35">
        <f t="shared" si="54"/>
        <v>247</v>
      </c>
      <c r="AO185" s="6">
        <v>32</v>
      </c>
      <c r="AP185" s="6">
        <v>285</v>
      </c>
      <c r="AQ185" s="34">
        <f t="shared" si="55"/>
        <v>234</v>
      </c>
      <c r="AR185" s="35">
        <v>277</v>
      </c>
      <c r="AS185" s="35"/>
      <c r="AT185" s="35">
        <f t="shared" si="56"/>
        <v>245</v>
      </c>
      <c r="AU185" s="6">
        <v>511</v>
      </c>
      <c r="AV185" s="6"/>
      <c r="AW185" s="35">
        <f t="shared" si="57"/>
        <v>234</v>
      </c>
      <c r="AX185" s="6"/>
      <c r="AY185" s="6"/>
      <c r="AZ185" s="35"/>
      <c r="BA185" s="35">
        <v>764</v>
      </c>
      <c r="BB185" s="35"/>
      <c r="BC185" s="35">
        <f t="shared" si="58"/>
        <v>253</v>
      </c>
      <c r="BD185" s="6">
        <v>1012</v>
      </c>
      <c r="BE185" s="6"/>
      <c r="BF185" s="35">
        <f t="shared" si="59"/>
        <v>248</v>
      </c>
      <c r="BG185" s="35">
        <v>151</v>
      </c>
      <c r="BH185" s="6">
        <v>1100</v>
      </c>
      <c r="BI185" s="6">
        <f t="shared" si="60"/>
        <v>239</v>
      </c>
      <c r="BJ185" s="6">
        <v>399</v>
      </c>
      <c r="BK185" s="6"/>
      <c r="BL185" s="6">
        <f t="shared" si="61"/>
        <v>248</v>
      </c>
      <c r="BM185" s="6">
        <v>638</v>
      </c>
      <c r="BN185" s="6"/>
      <c r="BO185" s="6">
        <f t="shared" si="62"/>
        <v>239</v>
      </c>
      <c r="BP185" s="6">
        <v>860</v>
      </c>
      <c r="BQ185" s="6"/>
      <c r="BR185" s="35">
        <f t="shared" si="63"/>
        <v>222</v>
      </c>
      <c r="BS185" s="6"/>
      <c r="BT185" s="6"/>
      <c r="BU185" s="6"/>
      <c r="BV185" s="6">
        <v>29</v>
      </c>
      <c r="BW185" s="6">
        <v>1071</v>
      </c>
      <c r="BX185" s="35">
        <f t="shared" si="64"/>
        <v>240</v>
      </c>
      <c r="BY185" s="6">
        <v>258</v>
      </c>
      <c r="BZ185" s="6"/>
      <c r="CA185" s="6">
        <f t="shared" si="65"/>
        <v>229</v>
      </c>
      <c r="CB185" s="6">
        <v>494</v>
      </c>
      <c r="CC185" s="6"/>
      <c r="CD185" s="6">
        <f t="shared" si="66"/>
        <v>236</v>
      </c>
      <c r="CE185" s="6">
        <v>737</v>
      </c>
      <c r="CF185" s="6"/>
      <c r="CG185" s="6">
        <f t="shared" si="67"/>
        <v>243</v>
      </c>
      <c r="CH185" s="6">
        <v>0</v>
      </c>
      <c r="CI185" s="6">
        <v>917</v>
      </c>
      <c r="CJ185" s="6">
        <f t="shared" si="68"/>
        <v>180</v>
      </c>
      <c r="CK185" s="6">
        <v>209</v>
      </c>
      <c r="CL185" s="6"/>
      <c r="CM185" s="6">
        <f t="shared" si="69"/>
        <v>209</v>
      </c>
      <c r="CN185" s="6"/>
      <c r="CO185" s="6"/>
      <c r="CP185" s="6"/>
      <c r="CQ185" s="6">
        <v>448</v>
      </c>
      <c r="CR185" s="6"/>
      <c r="CS185" s="6">
        <f t="shared" si="70"/>
        <v>239</v>
      </c>
      <c r="CT185" s="6">
        <v>681</v>
      </c>
      <c r="CU185" s="6"/>
      <c r="CV185" s="6">
        <f t="shared" si="71"/>
        <v>233</v>
      </c>
      <c r="CW185" s="6">
        <v>918</v>
      </c>
      <c r="CX185" s="6"/>
      <c r="CY185" s="6">
        <f t="shared" si="72"/>
        <v>237</v>
      </c>
      <c r="CZ185" s="6">
        <v>53</v>
      </c>
      <c r="DA185" s="6">
        <v>1100</v>
      </c>
      <c r="DB185" s="6">
        <f t="shared" si="73"/>
        <v>235</v>
      </c>
      <c r="DC185" s="6">
        <v>279</v>
      </c>
      <c r="DD185" s="6"/>
      <c r="DE185" s="6">
        <f t="shared" si="74"/>
        <v>226</v>
      </c>
      <c r="DF185" s="6">
        <v>501</v>
      </c>
      <c r="DG185" s="6"/>
      <c r="DH185" s="6">
        <f t="shared" si="75"/>
        <v>222</v>
      </c>
      <c r="DI185" s="6"/>
      <c r="DJ185" s="6"/>
      <c r="DK185" s="6"/>
      <c r="DL185" s="6">
        <v>739</v>
      </c>
      <c r="DM185" s="6"/>
      <c r="DN185" s="6">
        <f t="shared" si="76"/>
        <v>238</v>
      </c>
      <c r="DO185" s="6">
        <v>960</v>
      </c>
      <c r="DP185" s="6"/>
      <c r="DQ185" s="6">
        <f t="shared" si="77"/>
        <v>221</v>
      </c>
    </row>
    <row r="186" spans="1:121">
      <c r="A186" s="6">
        <v>182</v>
      </c>
      <c r="B186" s="6">
        <v>1045</v>
      </c>
      <c r="C186" s="6"/>
      <c r="D186" s="6">
        <v>216</v>
      </c>
      <c r="E186" s="33" t="s">
        <v>72</v>
      </c>
      <c r="F186" s="33" t="s">
        <v>72</v>
      </c>
      <c r="G186" s="33" t="s">
        <v>72</v>
      </c>
      <c r="H186" s="33" t="s">
        <v>72</v>
      </c>
      <c r="I186" s="148" t="s">
        <v>72</v>
      </c>
      <c r="J186" s="33" t="s">
        <v>72</v>
      </c>
      <c r="K186" s="33" t="s">
        <v>72</v>
      </c>
      <c r="L186" s="33" t="s">
        <v>72</v>
      </c>
      <c r="M186" s="33" t="s">
        <v>72</v>
      </c>
      <c r="N186" s="33" t="s">
        <v>72</v>
      </c>
      <c r="O186" s="33" t="s">
        <v>72</v>
      </c>
      <c r="P186" s="33" t="s">
        <v>72</v>
      </c>
      <c r="Q186" s="33" t="s">
        <v>72</v>
      </c>
      <c r="R186" s="33" t="s">
        <v>72</v>
      </c>
      <c r="S186" s="33" t="s">
        <v>72</v>
      </c>
      <c r="T186" s="33" t="s">
        <v>72</v>
      </c>
      <c r="U186" s="33" t="s">
        <v>72</v>
      </c>
      <c r="V186" s="33" t="s">
        <v>72</v>
      </c>
      <c r="W186" s="33" t="s">
        <v>72</v>
      </c>
      <c r="X186" s="33" t="s">
        <v>72</v>
      </c>
      <c r="Y186" s="33" t="s">
        <v>72</v>
      </c>
      <c r="Z186" s="33" t="s">
        <v>72</v>
      </c>
      <c r="AA186" s="33" t="s">
        <v>72</v>
      </c>
      <c r="AB186" s="33" t="s">
        <v>72</v>
      </c>
      <c r="AC186" s="33" t="s">
        <v>72</v>
      </c>
      <c r="AD186" s="148" t="s">
        <v>72</v>
      </c>
      <c r="AE186" s="33" t="s">
        <v>72</v>
      </c>
      <c r="AF186" s="6">
        <v>130</v>
      </c>
      <c r="AG186" s="6">
        <v>1100</v>
      </c>
      <c r="AH186" s="35">
        <f t="shared" si="52"/>
        <v>185</v>
      </c>
      <c r="AI186" s="35">
        <v>362</v>
      </c>
      <c r="AJ186" s="35"/>
      <c r="AK186" s="35">
        <f t="shared" si="53"/>
        <v>232</v>
      </c>
      <c r="AL186" s="6">
        <v>0</v>
      </c>
      <c r="AM186" s="6">
        <v>477</v>
      </c>
      <c r="AN186" s="35">
        <f t="shared" si="54"/>
        <v>115</v>
      </c>
      <c r="AO186" s="6">
        <v>225</v>
      </c>
      <c r="AP186" s="6"/>
      <c r="AQ186" s="34">
        <f t="shared" si="55"/>
        <v>225</v>
      </c>
      <c r="AR186" s="35">
        <v>168</v>
      </c>
      <c r="AS186" s="35">
        <v>288</v>
      </c>
      <c r="AT186" s="35">
        <f t="shared" si="56"/>
        <v>231</v>
      </c>
      <c r="AU186" s="6">
        <v>389</v>
      </c>
      <c r="AV186" s="6"/>
      <c r="AW186" s="35">
        <f t="shared" si="57"/>
        <v>221</v>
      </c>
      <c r="AX186" s="6"/>
      <c r="AY186" s="6"/>
      <c r="AZ186" s="35"/>
      <c r="BA186" s="35">
        <v>628</v>
      </c>
      <c r="BB186" s="35"/>
      <c r="BC186" s="35">
        <f t="shared" si="58"/>
        <v>239</v>
      </c>
      <c r="BD186" s="6">
        <v>27</v>
      </c>
      <c r="BE186" s="6">
        <v>771</v>
      </c>
      <c r="BF186" s="35">
        <f t="shared" si="59"/>
        <v>170</v>
      </c>
      <c r="BG186" s="35">
        <v>262</v>
      </c>
      <c r="BH186" s="6"/>
      <c r="BI186" s="6">
        <f t="shared" si="60"/>
        <v>235</v>
      </c>
      <c r="BJ186" s="6">
        <v>502</v>
      </c>
      <c r="BK186" s="6"/>
      <c r="BL186" s="6">
        <f t="shared" si="61"/>
        <v>240</v>
      </c>
      <c r="BM186" s="6">
        <v>80</v>
      </c>
      <c r="BN186" s="6">
        <v>657</v>
      </c>
      <c r="BO186" s="6">
        <f t="shared" si="62"/>
        <v>235</v>
      </c>
      <c r="BP186" s="6">
        <v>294</v>
      </c>
      <c r="BQ186" s="6"/>
      <c r="BR186" s="35">
        <f t="shared" si="63"/>
        <v>214</v>
      </c>
      <c r="BS186" s="6"/>
      <c r="BT186" s="6"/>
      <c r="BU186" s="6"/>
      <c r="BV186" s="6">
        <v>518</v>
      </c>
      <c r="BW186" s="6"/>
      <c r="BX186" s="35">
        <f t="shared" si="64"/>
        <v>224</v>
      </c>
      <c r="BY186" s="6">
        <v>738</v>
      </c>
      <c r="BZ186" s="6"/>
      <c r="CA186" s="6">
        <f t="shared" si="65"/>
        <v>220</v>
      </c>
      <c r="CB186" s="6">
        <v>968</v>
      </c>
      <c r="CC186" s="6"/>
      <c r="CD186" s="6">
        <f t="shared" si="66"/>
        <v>230</v>
      </c>
      <c r="CE186" s="6">
        <v>99</v>
      </c>
      <c r="CF186" s="6">
        <v>1100</v>
      </c>
      <c r="CG186" s="6">
        <f t="shared" si="67"/>
        <v>231</v>
      </c>
      <c r="CH186" s="6">
        <v>326</v>
      </c>
      <c r="CI186" s="6"/>
      <c r="CJ186" s="6">
        <f t="shared" si="68"/>
        <v>227</v>
      </c>
      <c r="CK186" s="6">
        <v>218</v>
      </c>
      <c r="CL186" s="6">
        <v>329</v>
      </c>
      <c r="CM186" s="6">
        <f t="shared" si="69"/>
        <v>221</v>
      </c>
      <c r="CN186" s="6"/>
      <c r="CO186" s="6"/>
      <c r="CP186" s="6"/>
      <c r="CQ186" s="6">
        <v>450</v>
      </c>
      <c r="CR186" s="6"/>
      <c r="CS186" s="6">
        <f t="shared" si="70"/>
        <v>232</v>
      </c>
      <c r="CT186" s="6">
        <v>676</v>
      </c>
      <c r="CU186" s="6"/>
      <c r="CV186" s="6">
        <f t="shared" si="71"/>
        <v>226</v>
      </c>
      <c r="CW186" s="6">
        <v>216</v>
      </c>
      <c r="CX186" s="6">
        <v>687</v>
      </c>
      <c r="CY186" s="6">
        <f t="shared" si="72"/>
        <v>227</v>
      </c>
      <c r="CZ186" s="6">
        <v>447</v>
      </c>
      <c r="DA186" s="6"/>
      <c r="DB186" s="6">
        <f t="shared" si="73"/>
        <v>231</v>
      </c>
      <c r="DC186" s="6">
        <v>676</v>
      </c>
      <c r="DD186" s="6"/>
      <c r="DE186" s="6">
        <f t="shared" si="74"/>
        <v>229</v>
      </c>
      <c r="DF186" s="6">
        <v>0</v>
      </c>
      <c r="DG186" s="6">
        <v>792</v>
      </c>
      <c r="DH186" s="6">
        <f t="shared" si="75"/>
        <v>116</v>
      </c>
      <c r="DI186" s="6"/>
      <c r="DJ186" s="6"/>
      <c r="DK186" s="6"/>
      <c r="DL186" s="6">
        <v>226</v>
      </c>
      <c r="DM186" s="6"/>
      <c r="DN186" s="6">
        <f t="shared" si="76"/>
        <v>226</v>
      </c>
      <c r="DO186" s="6">
        <v>440</v>
      </c>
      <c r="DP186" s="6"/>
      <c r="DQ186" s="6">
        <f t="shared" si="77"/>
        <v>214</v>
      </c>
    </row>
    <row r="187" spans="1:121">
      <c r="A187" s="6">
        <v>183</v>
      </c>
      <c r="B187" s="6">
        <v>836</v>
      </c>
      <c r="C187" s="6"/>
      <c r="D187" s="6">
        <v>229</v>
      </c>
      <c r="E187" s="33" t="s">
        <v>72</v>
      </c>
      <c r="F187" s="33" t="s">
        <v>72</v>
      </c>
      <c r="G187" s="33" t="s">
        <v>72</v>
      </c>
      <c r="H187" s="33" t="s">
        <v>72</v>
      </c>
      <c r="I187" s="33" t="s">
        <v>72</v>
      </c>
      <c r="J187" s="148" t="s">
        <v>72</v>
      </c>
      <c r="K187" s="33" t="s">
        <v>72</v>
      </c>
      <c r="L187" s="33" t="s">
        <v>72</v>
      </c>
      <c r="M187" s="33" t="s">
        <v>72</v>
      </c>
      <c r="N187" s="33" t="s">
        <v>72</v>
      </c>
      <c r="O187" s="33" t="s">
        <v>72</v>
      </c>
      <c r="P187" s="33" t="s">
        <v>72</v>
      </c>
      <c r="Q187" s="33" t="s">
        <v>72</v>
      </c>
      <c r="R187" s="33" t="s">
        <v>72</v>
      </c>
      <c r="S187" s="33" t="s">
        <v>72</v>
      </c>
      <c r="T187" s="33" t="s">
        <v>72</v>
      </c>
      <c r="U187" s="33" t="s">
        <v>72</v>
      </c>
      <c r="V187" s="33" t="s">
        <v>72</v>
      </c>
      <c r="W187" s="33" t="s">
        <v>72</v>
      </c>
      <c r="X187" s="33" t="s">
        <v>72</v>
      </c>
      <c r="Y187" s="33" t="s">
        <v>72</v>
      </c>
      <c r="Z187" s="33" t="s">
        <v>72</v>
      </c>
      <c r="AA187" s="33" t="s">
        <v>72</v>
      </c>
      <c r="AB187" s="33" t="s">
        <v>72</v>
      </c>
      <c r="AC187" s="33" t="s">
        <v>72</v>
      </c>
      <c r="AD187" s="148" t="s">
        <v>72</v>
      </c>
      <c r="AE187" s="33" t="s">
        <v>72</v>
      </c>
      <c r="AF187" s="6">
        <v>2</v>
      </c>
      <c r="AG187" s="6">
        <v>1100</v>
      </c>
      <c r="AH187" s="35">
        <f t="shared" si="52"/>
        <v>266</v>
      </c>
      <c r="AI187" s="35">
        <v>249</v>
      </c>
      <c r="AJ187" s="35"/>
      <c r="AK187" s="35">
        <f t="shared" si="53"/>
        <v>247</v>
      </c>
      <c r="AL187" s="6">
        <v>500</v>
      </c>
      <c r="AM187" s="6"/>
      <c r="AN187" s="35">
        <f t="shared" si="54"/>
        <v>251</v>
      </c>
      <c r="AO187" s="6">
        <v>0</v>
      </c>
      <c r="AP187" s="6">
        <v>695</v>
      </c>
      <c r="AQ187" s="34">
        <f t="shared" si="55"/>
        <v>195</v>
      </c>
      <c r="AR187" s="35">
        <v>232</v>
      </c>
      <c r="AS187" s="35"/>
      <c r="AT187" s="35">
        <f t="shared" si="56"/>
        <v>232</v>
      </c>
      <c r="AU187" s="6">
        <v>464</v>
      </c>
      <c r="AV187" s="6"/>
      <c r="AW187" s="35">
        <f t="shared" si="57"/>
        <v>232</v>
      </c>
      <c r="AX187" s="6"/>
      <c r="AY187" s="6"/>
      <c r="AZ187" s="35"/>
      <c r="BA187" s="35">
        <v>718</v>
      </c>
      <c r="BB187" s="35"/>
      <c r="BC187" s="35">
        <f t="shared" si="58"/>
        <v>254</v>
      </c>
      <c r="BD187" s="6">
        <v>966</v>
      </c>
      <c r="BE187" s="6"/>
      <c r="BF187" s="35">
        <f t="shared" si="59"/>
        <v>248</v>
      </c>
      <c r="BG187" s="35">
        <v>117</v>
      </c>
      <c r="BH187" s="6">
        <v>1100</v>
      </c>
      <c r="BI187" s="6">
        <f t="shared" si="60"/>
        <v>251</v>
      </c>
      <c r="BJ187" s="6">
        <v>363</v>
      </c>
      <c r="BK187" s="6"/>
      <c r="BL187" s="6">
        <f t="shared" si="61"/>
        <v>246</v>
      </c>
      <c r="BM187" s="6">
        <v>614</v>
      </c>
      <c r="BN187" s="6"/>
      <c r="BO187" s="6">
        <f t="shared" si="62"/>
        <v>251</v>
      </c>
      <c r="BP187" s="6">
        <v>852</v>
      </c>
      <c r="BQ187" s="6"/>
      <c r="BR187" s="35">
        <f t="shared" si="63"/>
        <v>238</v>
      </c>
      <c r="BS187" s="6"/>
      <c r="BT187" s="6"/>
      <c r="BU187" s="6"/>
      <c r="BV187" s="6">
        <v>1093</v>
      </c>
      <c r="BW187" s="6"/>
      <c r="BX187" s="35">
        <f t="shared" si="64"/>
        <v>241</v>
      </c>
      <c r="BY187" s="6">
        <v>229</v>
      </c>
      <c r="BZ187" s="6">
        <v>1100</v>
      </c>
      <c r="CA187" s="6">
        <f t="shared" si="65"/>
        <v>236</v>
      </c>
      <c r="CB187" s="6">
        <v>472</v>
      </c>
      <c r="CC187" s="6"/>
      <c r="CD187" s="6">
        <f t="shared" si="66"/>
        <v>243</v>
      </c>
      <c r="CE187" s="6">
        <v>720</v>
      </c>
      <c r="CF187" s="6"/>
      <c r="CG187" s="6">
        <f t="shared" si="67"/>
        <v>248</v>
      </c>
      <c r="CH187" s="6">
        <v>962</v>
      </c>
      <c r="CI187" s="6"/>
      <c r="CJ187" s="6">
        <f t="shared" si="68"/>
        <v>242</v>
      </c>
      <c r="CK187" s="6">
        <v>101</v>
      </c>
      <c r="CL187" s="6">
        <v>1100</v>
      </c>
      <c r="CM187" s="6">
        <f t="shared" si="69"/>
        <v>239</v>
      </c>
      <c r="CN187" s="6"/>
      <c r="CO187" s="6"/>
      <c r="CP187" s="6"/>
      <c r="CQ187" s="6">
        <v>352</v>
      </c>
      <c r="CR187" s="6"/>
      <c r="CS187" s="6">
        <f t="shared" si="70"/>
        <v>251</v>
      </c>
      <c r="CT187" s="6">
        <v>599</v>
      </c>
      <c r="CU187" s="6"/>
      <c r="CV187" s="6">
        <f t="shared" si="71"/>
        <v>247</v>
      </c>
      <c r="CW187" s="6">
        <v>849</v>
      </c>
      <c r="CX187" s="6"/>
      <c r="CY187" s="6">
        <f t="shared" si="72"/>
        <v>250</v>
      </c>
      <c r="CZ187" s="6">
        <v>1</v>
      </c>
      <c r="DA187" s="6">
        <v>1100</v>
      </c>
      <c r="DB187" s="6">
        <f t="shared" si="73"/>
        <v>252</v>
      </c>
      <c r="DC187" s="6">
        <v>250</v>
      </c>
      <c r="DD187" s="6"/>
      <c r="DE187" s="6">
        <f t="shared" si="74"/>
        <v>249</v>
      </c>
      <c r="DF187" s="6">
        <v>0</v>
      </c>
      <c r="DG187" s="6">
        <v>404</v>
      </c>
      <c r="DH187" s="6">
        <f t="shared" si="75"/>
        <v>154</v>
      </c>
      <c r="DI187" s="6"/>
      <c r="DJ187" s="6"/>
      <c r="DK187" s="6"/>
      <c r="DL187" s="6">
        <v>232</v>
      </c>
      <c r="DM187" s="6"/>
      <c r="DN187" s="6">
        <f t="shared" si="76"/>
        <v>232</v>
      </c>
      <c r="DO187" s="6">
        <v>464</v>
      </c>
      <c r="DP187" s="6"/>
      <c r="DQ187" s="6">
        <f t="shared" si="77"/>
        <v>232</v>
      </c>
    </row>
    <row r="188" spans="1:121">
      <c r="A188" s="6">
        <v>184</v>
      </c>
      <c r="B188" s="6">
        <v>983</v>
      </c>
      <c r="C188" s="6"/>
      <c r="D188" s="6">
        <v>224</v>
      </c>
      <c r="E188" s="33" t="s">
        <v>79</v>
      </c>
      <c r="F188" s="148" t="s">
        <v>79</v>
      </c>
      <c r="G188" s="33" t="s">
        <v>79</v>
      </c>
      <c r="H188" s="33" t="s">
        <v>79</v>
      </c>
      <c r="I188" s="33" t="s">
        <v>79</v>
      </c>
      <c r="J188" s="33" t="s">
        <v>79</v>
      </c>
      <c r="K188" s="33" t="s">
        <v>79</v>
      </c>
      <c r="L188" s="33" t="s">
        <v>79</v>
      </c>
      <c r="M188" s="33" t="s">
        <v>79</v>
      </c>
      <c r="N188" s="33" t="s">
        <v>79</v>
      </c>
      <c r="O188" s="33" t="s">
        <v>79</v>
      </c>
      <c r="P188" s="33" t="s">
        <v>79</v>
      </c>
      <c r="Q188" s="33" t="s">
        <v>79</v>
      </c>
      <c r="R188" s="33" t="s">
        <v>79</v>
      </c>
      <c r="S188" s="33" t="s">
        <v>79</v>
      </c>
      <c r="T188" s="33" t="s">
        <v>79</v>
      </c>
      <c r="U188" s="33" t="s">
        <v>79</v>
      </c>
      <c r="V188" s="33" t="s">
        <v>79</v>
      </c>
      <c r="W188" s="33" t="s">
        <v>79</v>
      </c>
      <c r="X188" s="33" t="s">
        <v>79</v>
      </c>
      <c r="Y188" s="33" t="s">
        <v>79</v>
      </c>
      <c r="Z188" s="148" t="s">
        <v>75</v>
      </c>
      <c r="AA188" s="33" t="s">
        <v>75</v>
      </c>
      <c r="AB188" s="33" t="s">
        <v>75</v>
      </c>
      <c r="AC188" s="33" t="s">
        <v>75</v>
      </c>
      <c r="AD188" s="33" t="s">
        <v>75</v>
      </c>
      <c r="AE188" s="33" t="s">
        <v>75</v>
      </c>
      <c r="AF188" s="6">
        <v>184</v>
      </c>
      <c r="AG188" s="6">
        <v>1048</v>
      </c>
      <c r="AH188" s="35">
        <f t="shared" si="52"/>
        <v>249</v>
      </c>
      <c r="AI188" s="35">
        <v>429</v>
      </c>
      <c r="AJ188" s="35"/>
      <c r="AK188" s="35">
        <f t="shared" si="53"/>
        <v>245</v>
      </c>
      <c r="AL188" s="6">
        <v>678</v>
      </c>
      <c r="AM188" s="6"/>
      <c r="AN188" s="35">
        <f t="shared" si="54"/>
        <v>249</v>
      </c>
      <c r="AO188" s="6">
        <v>128</v>
      </c>
      <c r="AP188" s="6">
        <v>800</v>
      </c>
      <c r="AQ188" s="34">
        <f t="shared" si="55"/>
        <v>250</v>
      </c>
      <c r="AR188" s="35">
        <v>378</v>
      </c>
      <c r="AS188" s="35"/>
      <c r="AT188" s="35">
        <f t="shared" si="56"/>
        <v>250</v>
      </c>
      <c r="AU188" s="6">
        <v>613</v>
      </c>
      <c r="AV188" s="6"/>
      <c r="AW188" s="35">
        <f t="shared" si="57"/>
        <v>235</v>
      </c>
      <c r="AX188" s="6"/>
      <c r="AY188" s="6"/>
      <c r="AZ188" s="35"/>
      <c r="BA188" s="35">
        <v>64</v>
      </c>
      <c r="BB188" s="35">
        <v>800</v>
      </c>
      <c r="BC188" s="35">
        <f t="shared" si="58"/>
        <v>251</v>
      </c>
      <c r="BD188" s="6">
        <v>308</v>
      </c>
      <c r="BE188" s="6"/>
      <c r="BF188" s="35">
        <f t="shared" si="59"/>
        <v>244</v>
      </c>
      <c r="BG188" s="35">
        <v>558</v>
      </c>
      <c r="BH188" s="6"/>
      <c r="BI188" s="6">
        <f t="shared" si="60"/>
        <v>250</v>
      </c>
      <c r="BJ188" s="6">
        <v>8</v>
      </c>
      <c r="BK188" s="6">
        <v>800</v>
      </c>
      <c r="BL188" s="6">
        <f t="shared" si="61"/>
        <v>250</v>
      </c>
      <c r="BM188" s="6">
        <v>258</v>
      </c>
      <c r="BN188" s="6"/>
      <c r="BO188" s="6">
        <f t="shared" si="62"/>
        <v>250</v>
      </c>
      <c r="BP188" s="6">
        <v>486</v>
      </c>
      <c r="BQ188" s="6"/>
      <c r="BR188" s="35">
        <f t="shared" si="63"/>
        <v>228</v>
      </c>
      <c r="BS188" s="6"/>
      <c r="BT188" s="6"/>
      <c r="BU188" s="6"/>
      <c r="BV188" s="6">
        <v>737</v>
      </c>
      <c r="BW188" s="6"/>
      <c r="BX188" s="35">
        <f t="shared" si="64"/>
        <v>251</v>
      </c>
      <c r="BY188" s="6">
        <v>180</v>
      </c>
      <c r="BZ188" s="6">
        <v>800</v>
      </c>
      <c r="CA188" s="6">
        <f t="shared" si="65"/>
        <v>243</v>
      </c>
      <c r="CB188" s="6">
        <v>427</v>
      </c>
      <c r="CC188" s="6"/>
      <c r="CD188" s="6">
        <f t="shared" si="66"/>
        <v>247</v>
      </c>
      <c r="CE188" s="6">
        <v>663</v>
      </c>
      <c r="CF188" s="6"/>
      <c r="CG188" s="6">
        <f t="shared" si="67"/>
        <v>236</v>
      </c>
      <c r="CH188" s="6">
        <v>908</v>
      </c>
      <c r="CI188" s="6"/>
      <c r="CJ188" s="6">
        <f t="shared" si="68"/>
        <v>245</v>
      </c>
      <c r="CK188" s="6">
        <v>49</v>
      </c>
      <c r="CL188" s="6">
        <v>1100</v>
      </c>
      <c r="CM188" s="6">
        <f t="shared" si="69"/>
        <v>241</v>
      </c>
      <c r="CN188" s="6"/>
      <c r="CO188" s="6"/>
      <c r="CP188" s="6"/>
      <c r="CQ188" s="6">
        <v>294</v>
      </c>
      <c r="CR188" s="6"/>
      <c r="CS188" s="6">
        <f t="shared" si="70"/>
        <v>245</v>
      </c>
      <c r="CT188" s="6">
        <v>0</v>
      </c>
      <c r="CU188" s="6">
        <v>528</v>
      </c>
      <c r="CV188" s="6">
        <f t="shared" si="71"/>
        <v>234</v>
      </c>
      <c r="CW188" s="6">
        <v>246</v>
      </c>
      <c r="CX188" s="6"/>
      <c r="CY188" s="6">
        <f t="shared" si="72"/>
        <v>246</v>
      </c>
      <c r="CZ188" s="6">
        <v>493</v>
      </c>
      <c r="DA188" s="6"/>
      <c r="DB188" s="6">
        <f t="shared" si="73"/>
        <v>247</v>
      </c>
      <c r="DC188" s="6">
        <v>743</v>
      </c>
      <c r="DD188" s="6"/>
      <c r="DE188" s="6">
        <f t="shared" si="74"/>
        <v>250</v>
      </c>
      <c r="DF188" s="6">
        <v>968</v>
      </c>
      <c r="DG188" s="6"/>
      <c r="DH188" s="6">
        <f t="shared" si="75"/>
        <v>225</v>
      </c>
      <c r="DI188" s="6"/>
      <c r="DJ188" s="6"/>
      <c r="DK188" s="6"/>
      <c r="DL188" s="6">
        <v>110</v>
      </c>
      <c r="DM188" s="6">
        <v>1100</v>
      </c>
      <c r="DN188" s="6">
        <f t="shared" si="76"/>
        <v>242</v>
      </c>
      <c r="DO188" s="6">
        <v>337</v>
      </c>
      <c r="DP188" s="6"/>
      <c r="DQ188" s="6">
        <f t="shared" si="77"/>
        <v>227</v>
      </c>
    </row>
    <row r="189" spans="1:121">
      <c r="A189" s="6">
        <v>185</v>
      </c>
      <c r="B189" s="6">
        <v>453</v>
      </c>
      <c r="C189" s="6"/>
      <c r="D189" s="6">
        <v>224</v>
      </c>
      <c r="E189" s="33" t="s">
        <v>72</v>
      </c>
      <c r="F189" s="33" t="s">
        <v>72</v>
      </c>
      <c r="G189" s="33" t="s">
        <v>72</v>
      </c>
      <c r="H189" s="33" t="s">
        <v>72</v>
      </c>
      <c r="I189" s="33" t="s">
        <v>72</v>
      </c>
      <c r="J189" s="33" t="s">
        <v>72</v>
      </c>
      <c r="K189" s="33" t="s">
        <v>72</v>
      </c>
      <c r="L189" s="33" t="s">
        <v>72</v>
      </c>
      <c r="M189" s="33" t="s">
        <v>72</v>
      </c>
      <c r="N189" s="33" t="s">
        <v>72</v>
      </c>
      <c r="O189" s="33" t="s">
        <v>72</v>
      </c>
      <c r="P189" s="33" t="s">
        <v>72</v>
      </c>
      <c r="Q189" s="33" t="s">
        <v>72</v>
      </c>
      <c r="R189" s="33" t="s">
        <v>72</v>
      </c>
      <c r="S189" s="33" t="s">
        <v>72</v>
      </c>
      <c r="T189" s="33" t="s">
        <v>72</v>
      </c>
      <c r="U189" s="33" t="s">
        <v>72</v>
      </c>
      <c r="V189" s="33" t="s">
        <v>72</v>
      </c>
      <c r="W189" s="33" t="s">
        <v>72</v>
      </c>
      <c r="X189" s="148" t="s">
        <v>72</v>
      </c>
      <c r="Y189" s="33" t="s">
        <v>72</v>
      </c>
      <c r="Z189" s="33" t="s">
        <v>72</v>
      </c>
      <c r="AA189" s="33" t="s">
        <v>72</v>
      </c>
      <c r="AB189" s="33" t="s">
        <v>72</v>
      </c>
      <c r="AC189" s="33" t="s">
        <v>72</v>
      </c>
      <c r="AD189" s="33" t="s">
        <v>72</v>
      </c>
      <c r="AE189" s="33" t="s">
        <v>72</v>
      </c>
      <c r="AF189" s="6">
        <v>703</v>
      </c>
      <c r="AG189" s="6"/>
      <c r="AH189" s="35">
        <f t="shared" si="52"/>
        <v>250</v>
      </c>
      <c r="AI189" s="35">
        <v>932</v>
      </c>
      <c r="AJ189" s="35"/>
      <c r="AK189" s="35">
        <f t="shared" si="53"/>
        <v>229</v>
      </c>
      <c r="AL189" s="6">
        <v>71</v>
      </c>
      <c r="AM189" s="6">
        <v>1100</v>
      </c>
      <c r="AN189" s="35">
        <f t="shared" si="54"/>
        <v>239</v>
      </c>
      <c r="AO189" s="6">
        <v>313</v>
      </c>
      <c r="AP189" s="6"/>
      <c r="AQ189" s="34">
        <f t="shared" si="55"/>
        <v>242</v>
      </c>
      <c r="AR189" s="35">
        <v>550</v>
      </c>
      <c r="AS189" s="35"/>
      <c r="AT189" s="35">
        <f t="shared" si="56"/>
        <v>237</v>
      </c>
      <c r="AU189" s="6">
        <v>758</v>
      </c>
      <c r="AV189" s="6"/>
      <c r="AW189" s="35">
        <f t="shared" si="57"/>
        <v>208</v>
      </c>
      <c r="AX189" s="6"/>
      <c r="AY189" s="6"/>
      <c r="AZ189" s="35"/>
      <c r="BA189" s="35">
        <v>207</v>
      </c>
      <c r="BB189" s="35">
        <v>790</v>
      </c>
      <c r="BC189" s="35">
        <f t="shared" si="58"/>
        <v>239</v>
      </c>
      <c r="BD189" s="6">
        <v>444</v>
      </c>
      <c r="BE189" s="6"/>
      <c r="BF189" s="35">
        <f t="shared" si="59"/>
        <v>237</v>
      </c>
      <c r="BG189" s="35">
        <v>682</v>
      </c>
      <c r="BH189" s="6"/>
      <c r="BI189" s="6">
        <f t="shared" si="60"/>
        <v>238</v>
      </c>
      <c r="BJ189" s="6">
        <v>918</v>
      </c>
      <c r="BK189" s="6"/>
      <c r="BL189" s="6">
        <f t="shared" si="61"/>
        <v>236</v>
      </c>
      <c r="BM189" s="6">
        <v>125</v>
      </c>
      <c r="BN189" s="6">
        <v>1019</v>
      </c>
      <c r="BO189" s="6">
        <f t="shared" si="62"/>
        <v>226</v>
      </c>
      <c r="BP189" s="6">
        <v>351</v>
      </c>
      <c r="BQ189" s="6"/>
      <c r="BR189" s="35">
        <f t="shared" si="63"/>
        <v>226</v>
      </c>
      <c r="BS189" s="6"/>
      <c r="BT189" s="6"/>
      <c r="BU189" s="6"/>
      <c r="BV189" s="6">
        <v>603</v>
      </c>
      <c r="BW189" s="6"/>
      <c r="BX189" s="35">
        <f t="shared" si="64"/>
        <v>252</v>
      </c>
      <c r="BY189" s="6">
        <v>848</v>
      </c>
      <c r="BZ189" s="6"/>
      <c r="CA189" s="6">
        <f t="shared" si="65"/>
        <v>245</v>
      </c>
      <c r="CB189" s="6">
        <v>1094</v>
      </c>
      <c r="CC189" s="6"/>
      <c r="CD189" s="6">
        <f t="shared" si="66"/>
        <v>246</v>
      </c>
      <c r="CE189" s="6">
        <v>242</v>
      </c>
      <c r="CF189" s="6">
        <v>1100</v>
      </c>
      <c r="CG189" s="6">
        <f t="shared" si="67"/>
        <v>248</v>
      </c>
      <c r="CH189" s="6">
        <v>479</v>
      </c>
      <c r="CI189" s="6"/>
      <c r="CJ189" s="6">
        <f t="shared" si="68"/>
        <v>237</v>
      </c>
      <c r="CK189" s="6">
        <v>714</v>
      </c>
      <c r="CL189" s="6"/>
      <c r="CM189" s="6">
        <f t="shared" si="69"/>
        <v>235</v>
      </c>
      <c r="CN189" s="6"/>
      <c r="CO189" s="6"/>
      <c r="CP189" s="6"/>
      <c r="CQ189" s="6">
        <v>180</v>
      </c>
      <c r="CR189" s="6">
        <v>751</v>
      </c>
      <c r="CS189" s="6">
        <f t="shared" si="70"/>
        <v>217</v>
      </c>
      <c r="CT189" s="6">
        <v>424</v>
      </c>
      <c r="CU189" s="6"/>
      <c r="CV189" s="6">
        <f t="shared" si="71"/>
        <v>244</v>
      </c>
      <c r="CW189" s="6">
        <v>672</v>
      </c>
      <c r="CX189" s="6"/>
      <c r="CY189" s="6">
        <f t="shared" si="72"/>
        <v>248</v>
      </c>
      <c r="CZ189" s="6">
        <v>913</v>
      </c>
      <c r="DA189" s="6"/>
      <c r="DB189" s="6">
        <f t="shared" si="73"/>
        <v>241</v>
      </c>
      <c r="DC189" s="6">
        <v>140</v>
      </c>
      <c r="DD189" s="6">
        <v>1017</v>
      </c>
      <c r="DE189" s="6">
        <f t="shared" si="74"/>
        <v>244</v>
      </c>
      <c r="DF189" s="6">
        <v>377</v>
      </c>
      <c r="DG189" s="6"/>
      <c r="DH189" s="6">
        <f t="shared" si="75"/>
        <v>237</v>
      </c>
      <c r="DI189" s="6"/>
      <c r="DJ189" s="6"/>
      <c r="DK189" s="6"/>
      <c r="DL189" s="6">
        <v>57</v>
      </c>
      <c r="DM189" s="6">
        <v>568</v>
      </c>
      <c r="DN189" s="6">
        <f t="shared" si="76"/>
        <v>248</v>
      </c>
      <c r="DO189" s="6">
        <v>282</v>
      </c>
      <c r="DP189" s="6"/>
      <c r="DQ189" s="6">
        <f t="shared" si="77"/>
        <v>225</v>
      </c>
    </row>
    <row r="190" spans="1:121" ht="14.25" customHeight="1">
      <c r="A190" s="6">
        <v>186</v>
      </c>
      <c r="B190" s="6">
        <v>404</v>
      </c>
      <c r="C190" s="6"/>
      <c r="D190" s="6">
        <v>224</v>
      </c>
      <c r="E190" s="33" t="s">
        <v>72</v>
      </c>
      <c r="F190" s="33" t="s">
        <v>72</v>
      </c>
      <c r="G190" s="33" t="s">
        <v>72</v>
      </c>
      <c r="H190" s="33" t="s">
        <v>72</v>
      </c>
      <c r="I190" s="33" t="s">
        <v>72</v>
      </c>
      <c r="J190" s="33" t="s">
        <v>72</v>
      </c>
      <c r="K190" s="33" t="s">
        <v>72</v>
      </c>
      <c r="L190" s="33" t="s">
        <v>72</v>
      </c>
      <c r="M190" s="33" t="s">
        <v>72</v>
      </c>
      <c r="N190" s="33" t="s">
        <v>72</v>
      </c>
      <c r="O190" s="33" t="s">
        <v>72</v>
      </c>
      <c r="P190" s="33" t="s">
        <v>72</v>
      </c>
      <c r="Q190" s="33" t="s">
        <v>72</v>
      </c>
      <c r="R190" s="33" t="s">
        <v>72</v>
      </c>
      <c r="S190" s="33" t="s">
        <v>72</v>
      </c>
      <c r="T190" s="33" t="s">
        <v>72</v>
      </c>
      <c r="U190" s="33" t="s">
        <v>72</v>
      </c>
      <c r="V190" s="33" t="s">
        <v>72</v>
      </c>
      <c r="W190" s="33" t="s">
        <v>72</v>
      </c>
      <c r="X190" s="148" t="s">
        <v>72</v>
      </c>
      <c r="Y190" s="33" t="s">
        <v>72</v>
      </c>
      <c r="Z190" s="33" t="s">
        <v>72</v>
      </c>
      <c r="AA190" s="33" t="s">
        <v>72</v>
      </c>
      <c r="AB190" s="33" t="s">
        <v>72</v>
      </c>
      <c r="AC190" s="33" t="s">
        <v>72</v>
      </c>
      <c r="AD190" s="33" t="s">
        <v>72</v>
      </c>
      <c r="AE190" s="33" t="s">
        <v>72</v>
      </c>
      <c r="AF190" s="35">
        <v>674</v>
      </c>
      <c r="AG190" s="35"/>
      <c r="AH190" s="35">
        <f t="shared" si="52"/>
        <v>270</v>
      </c>
      <c r="AI190" s="35">
        <v>920</v>
      </c>
      <c r="AJ190" s="35"/>
      <c r="AK190" s="35">
        <f t="shared" si="53"/>
        <v>246</v>
      </c>
      <c r="AL190" s="6">
        <v>65</v>
      </c>
      <c r="AM190" s="6">
        <v>1100</v>
      </c>
      <c r="AN190" s="35">
        <f t="shared" si="54"/>
        <v>245</v>
      </c>
      <c r="AO190" s="6">
        <v>315</v>
      </c>
      <c r="AP190" s="6"/>
      <c r="AQ190" s="34">
        <f t="shared" si="55"/>
        <v>250</v>
      </c>
      <c r="AR190" s="35">
        <v>560</v>
      </c>
      <c r="AS190" s="35"/>
      <c r="AT190" s="35">
        <f t="shared" si="56"/>
        <v>245</v>
      </c>
      <c r="AU190" s="6">
        <v>788</v>
      </c>
      <c r="AV190" s="6"/>
      <c r="AW190" s="35">
        <f t="shared" si="57"/>
        <v>228</v>
      </c>
      <c r="AX190" s="6"/>
      <c r="AY190" s="6"/>
      <c r="AZ190" s="35"/>
      <c r="BA190" s="6">
        <v>98</v>
      </c>
      <c r="BB190" s="6">
        <v>931</v>
      </c>
      <c r="BC190" s="35">
        <f t="shared" si="58"/>
        <v>241</v>
      </c>
      <c r="BD190" s="6">
        <v>344</v>
      </c>
      <c r="BE190" s="6"/>
      <c r="BF190" s="35">
        <f t="shared" si="59"/>
        <v>246</v>
      </c>
      <c r="BG190" s="35">
        <v>99</v>
      </c>
      <c r="BH190" s="6">
        <v>491</v>
      </c>
      <c r="BI190" s="6">
        <f t="shared" si="60"/>
        <v>246</v>
      </c>
      <c r="BJ190" s="6">
        <v>350</v>
      </c>
      <c r="BK190" s="35"/>
      <c r="BL190" s="6">
        <f t="shared" si="61"/>
        <v>251</v>
      </c>
      <c r="BM190" s="6">
        <v>594</v>
      </c>
      <c r="BN190" s="6"/>
      <c r="BO190" s="6">
        <f t="shared" si="62"/>
        <v>244</v>
      </c>
      <c r="BP190" s="6">
        <v>821</v>
      </c>
      <c r="BQ190" s="6"/>
      <c r="BR190" s="35">
        <f t="shared" si="63"/>
        <v>227</v>
      </c>
      <c r="BS190" s="6"/>
      <c r="BT190" s="6"/>
      <c r="BU190" s="6"/>
      <c r="BV190" s="6">
        <v>1062</v>
      </c>
      <c r="BW190" s="6"/>
      <c r="BX190" s="35">
        <f t="shared" si="64"/>
        <v>241</v>
      </c>
      <c r="BY190" s="6">
        <v>196</v>
      </c>
      <c r="BZ190" s="35">
        <v>1100</v>
      </c>
      <c r="CA190" s="6">
        <f t="shared" si="65"/>
        <v>234</v>
      </c>
      <c r="CB190" s="6">
        <v>435</v>
      </c>
      <c r="CC190" s="6"/>
      <c r="CD190" s="6">
        <f t="shared" si="66"/>
        <v>239</v>
      </c>
      <c r="CE190" s="6">
        <v>624</v>
      </c>
      <c r="CF190" s="35"/>
      <c r="CG190" s="6">
        <f t="shared" si="67"/>
        <v>189</v>
      </c>
      <c r="CH190" s="6">
        <v>842</v>
      </c>
      <c r="CI190" s="6"/>
      <c r="CJ190" s="6">
        <f t="shared" si="68"/>
        <v>218</v>
      </c>
      <c r="CK190" s="6">
        <v>1075</v>
      </c>
      <c r="CL190" s="6"/>
      <c r="CM190" s="6">
        <f t="shared" si="69"/>
        <v>233</v>
      </c>
      <c r="CN190" s="6"/>
      <c r="CO190" s="6"/>
      <c r="CP190" s="6"/>
      <c r="CQ190" s="35">
        <v>162</v>
      </c>
      <c r="CR190" s="6">
        <v>1149</v>
      </c>
      <c r="CS190" s="6">
        <f t="shared" si="70"/>
        <v>236</v>
      </c>
      <c r="CT190" s="6">
        <v>400</v>
      </c>
      <c r="CU190" s="6"/>
      <c r="CV190" s="6">
        <f t="shared" si="71"/>
        <v>238</v>
      </c>
      <c r="CW190" s="6">
        <v>643</v>
      </c>
      <c r="CX190" s="6"/>
      <c r="CY190" s="6">
        <f t="shared" si="72"/>
        <v>243</v>
      </c>
      <c r="CZ190" s="6">
        <v>886</v>
      </c>
      <c r="DA190" s="6"/>
      <c r="DB190" s="6">
        <f t="shared" si="73"/>
        <v>243</v>
      </c>
      <c r="DC190" s="6">
        <v>17</v>
      </c>
      <c r="DD190" s="6">
        <v>1100</v>
      </c>
      <c r="DE190" s="6">
        <f t="shared" si="74"/>
        <v>231</v>
      </c>
      <c r="DF190" s="6">
        <v>249</v>
      </c>
      <c r="DG190" s="6"/>
      <c r="DH190" s="6">
        <f t="shared" si="75"/>
        <v>232</v>
      </c>
      <c r="DI190" s="6"/>
      <c r="DJ190" s="6"/>
      <c r="DK190" s="6"/>
      <c r="DL190" s="6">
        <v>490</v>
      </c>
      <c r="DM190" s="6"/>
      <c r="DN190" s="6">
        <f t="shared" si="76"/>
        <v>241</v>
      </c>
      <c r="DO190" s="6">
        <v>712</v>
      </c>
      <c r="DP190" s="6"/>
      <c r="DQ190" s="6">
        <f t="shared" si="77"/>
        <v>222</v>
      </c>
    </row>
    <row r="191" spans="1:121">
      <c r="A191" s="6">
        <v>187</v>
      </c>
      <c r="B191" s="6">
        <v>356</v>
      </c>
      <c r="C191" s="6"/>
      <c r="D191" s="6">
        <v>223</v>
      </c>
      <c r="E191" s="33" t="s">
        <v>79</v>
      </c>
      <c r="F191" s="33" t="s">
        <v>79</v>
      </c>
      <c r="G191" s="33" t="s">
        <v>79</v>
      </c>
      <c r="H191" s="148" t="s">
        <v>79</v>
      </c>
      <c r="I191" s="33" t="s">
        <v>79</v>
      </c>
      <c r="J191" s="33" t="s">
        <v>79</v>
      </c>
      <c r="K191" s="33" t="s">
        <v>79</v>
      </c>
      <c r="L191" s="33" t="s">
        <v>79</v>
      </c>
      <c r="M191" s="33" t="s">
        <v>79</v>
      </c>
      <c r="N191" s="33" t="s">
        <v>79</v>
      </c>
      <c r="O191" s="33" t="s">
        <v>79</v>
      </c>
      <c r="P191" s="33" t="s">
        <v>79</v>
      </c>
      <c r="Q191" s="33" t="s">
        <v>79</v>
      </c>
      <c r="R191" s="33" t="s">
        <v>79</v>
      </c>
      <c r="S191" s="33" t="s">
        <v>79</v>
      </c>
      <c r="T191" s="148" t="s">
        <v>72</v>
      </c>
      <c r="U191" s="33" t="s">
        <v>72</v>
      </c>
      <c r="V191" s="33" t="s">
        <v>72</v>
      </c>
      <c r="W191" s="33" t="s">
        <v>72</v>
      </c>
      <c r="X191" s="33" t="s">
        <v>72</v>
      </c>
      <c r="Y191" s="33" t="s">
        <v>72</v>
      </c>
      <c r="Z191" s="33" t="s">
        <v>72</v>
      </c>
      <c r="AA191" s="33" t="s">
        <v>72</v>
      </c>
      <c r="AB191" s="33" t="s">
        <v>72</v>
      </c>
      <c r="AC191" s="33" t="s">
        <v>72</v>
      </c>
      <c r="AD191" s="33" t="s">
        <v>72</v>
      </c>
      <c r="AE191" s="33" t="s">
        <v>72</v>
      </c>
      <c r="AF191" s="6">
        <v>615</v>
      </c>
      <c r="AG191" s="6"/>
      <c r="AH191" s="35">
        <f t="shared" si="52"/>
        <v>259</v>
      </c>
      <c r="AI191" s="35">
        <v>0</v>
      </c>
      <c r="AJ191" s="35">
        <v>799</v>
      </c>
      <c r="AK191" s="35">
        <f t="shared" si="53"/>
        <v>184</v>
      </c>
      <c r="AL191" s="6">
        <v>235</v>
      </c>
      <c r="AM191" s="6"/>
      <c r="AN191" s="35">
        <f t="shared" si="54"/>
        <v>235</v>
      </c>
      <c r="AO191" s="6">
        <v>480</v>
      </c>
      <c r="AP191" s="6"/>
      <c r="AQ191" s="34">
        <f t="shared" si="55"/>
        <v>245</v>
      </c>
      <c r="AR191" s="35">
        <v>723</v>
      </c>
      <c r="AS191" s="35"/>
      <c r="AT191" s="35">
        <f t="shared" si="56"/>
        <v>243</v>
      </c>
      <c r="AU191" s="6">
        <v>150</v>
      </c>
      <c r="AV191" s="6">
        <v>800</v>
      </c>
      <c r="AW191" s="35">
        <f t="shared" si="57"/>
        <v>227</v>
      </c>
      <c r="AX191" s="6"/>
      <c r="AY191" s="6"/>
      <c r="AZ191" s="35"/>
      <c r="BA191" s="35">
        <v>396</v>
      </c>
      <c r="BB191" s="35"/>
      <c r="BC191" s="35">
        <f t="shared" si="58"/>
        <v>246</v>
      </c>
      <c r="BD191" s="6">
        <v>637</v>
      </c>
      <c r="BE191" s="6"/>
      <c r="BF191" s="35">
        <f t="shared" si="59"/>
        <v>241</v>
      </c>
      <c r="BG191" s="35">
        <v>80</v>
      </c>
      <c r="BH191" s="6">
        <v>800</v>
      </c>
      <c r="BI191" s="6">
        <f t="shared" si="60"/>
        <v>243</v>
      </c>
      <c r="BJ191" s="6">
        <v>316</v>
      </c>
      <c r="BK191" s="6"/>
      <c r="BL191" s="6">
        <f t="shared" si="61"/>
        <v>236</v>
      </c>
      <c r="BM191" s="6">
        <v>556</v>
      </c>
      <c r="BN191" s="6"/>
      <c r="BO191" s="6">
        <f t="shared" si="62"/>
        <v>240</v>
      </c>
      <c r="BP191" s="6">
        <v>788</v>
      </c>
      <c r="BQ191" s="6"/>
      <c r="BR191" s="35">
        <f t="shared" si="63"/>
        <v>232</v>
      </c>
      <c r="BS191" s="6"/>
      <c r="BT191" s="6"/>
      <c r="BU191" s="6"/>
      <c r="BV191" s="6">
        <v>233</v>
      </c>
      <c r="BW191" s="6">
        <v>800</v>
      </c>
      <c r="BX191" s="35">
        <f t="shared" si="64"/>
        <v>245</v>
      </c>
      <c r="BY191" s="6">
        <v>473</v>
      </c>
      <c r="BZ191" s="6"/>
      <c r="CA191" s="6">
        <f t="shared" si="65"/>
        <v>240</v>
      </c>
      <c r="CB191" s="6">
        <v>204</v>
      </c>
      <c r="CC191" s="6">
        <v>476</v>
      </c>
      <c r="CD191" s="6">
        <f t="shared" si="66"/>
        <v>207</v>
      </c>
      <c r="CE191" s="6">
        <v>33</v>
      </c>
      <c r="CF191" s="6">
        <v>409</v>
      </c>
      <c r="CG191" s="6">
        <f t="shared" si="67"/>
        <v>238</v>
      </c>
      <c r="CH191" s="6">
        <v>278</v>
      </c>
      <c r="CI191" s="6"/>
      <c r="CJ191" s="6">
        <f t="shared" si="68"/>
        <v>245</v>
      </c>
      <c r="CK191" s="6">
        <v>517</v>
      </c>
      <c r="CL191" s="6"/>
      <c r="CM191" s="6">
        <f t="shared" si="69"/>
        <v>239</v>
      </c>
      <c r="CN191" s="6"/>
      <c r="CO191" s="6"/>
      <c r="CP191" s="6"/>
      <c r="CQ191" s="6">
        <v>766</v>
      </c>
      <c r="CR191" s="6"/>
      <c r="CS191" s="6">
        <f t="shared" si="70"/>
        <v>249</v>
      </c>
      <c r="CT191" s="6">
        <v>63</v>
      </c>
      <c r="CU191" s="6">
        <v>943</v>
      </c>
      <c r="CV191" s="6">
        <f t="shared" si="71"/>
        <v>240</v>
      </c>
      <c r="CW191" s="6">
        <v>303</v>
      </c>
      <c r="CX191" s="6"/>
      <c r="CY191" s="6">
        <f t="shared" si="72"/>
        <v>240</v>
      </c>
      <c r="CZ191" s="6">
        <v>550</v>
      </c>
      <c r="DA191" s="6"/>
      <c r="DB191" s="6">
        <f t="shared" si="73"/>
        <v>247</v>
      </c>
      <c r="DC191" s="6">
        <v>789</v>
      </c>
      <c r="DD191" s="6"/>
      <c r="DE191" s="6">
        <f t="shared" si="74"/>
        <v>239</v>
      </c>
      <c r="DF191" s="6">
        <v>179</v>
      </c>
      <c r="DG191" s="6">
        <v>840</v>
      </c>
      <c r="DH191" s="6">
        <f t="shared" si="75"/>
        <v>230</v>
      </c>
      <c r="DI191" s="6"/>
      <c r="DJ191" s="6"/>
      <c r="DK191" s="6"/>
      <c r="DL191" s="6">
        <v>426</v>
      </c>
      <c r="DM191" s="6"/>
      <c r="DN191" s="6">
        <f t="shared" si="76"/>
        <v>247</v>
      </c>
      <c r="DO191" s="6">
        <v>653</v>
      </c>
      <c r="DP191" s="6"/>
      <c r="DQ191" s="6">
        <f t="shared" si="77"/>
        <v>227</v>
      </c>
    </row>
    <row r="192" spans="1:121">
      <c r="A192" s="6">
        <v>188</v>
      </c>
      <c r="B192" s="6">
        <v>412</v>
      </c>
      <c r="C192" s="6"/>
      <c r="D192" s="6">
        <v>223</v>
      </c>
      <c r="E192" s="141" t="s">
        <v>79</v>
      </c>
      <c r="F192" s="141" t="s">
        <v>79</v>
      </c>
      <c r="G192" s="141" t="s">
        <v>79</v>
      </c>
      <c r="H192" s="163" t="s">
        <v>79</v>
      </c>
      <c r="I192" s="141" t="s">
        <v>79</v>
      </c>
      <c r="J192" s="141" t="s">
        <v>79</v>
      </c>
      <c r="K192" s="141" t="s">
        <v>79</v>
      </c>
      <c r="L192" s="141" t="s">
        <v>79</v>
      </c>
      <c r="M192" s="141" t="s">
        <v>79</v>
      </c>
      <c r="N192" s="141" t="s">
        <v>79</v>
      </c>
      <c r="O192" s="141" t="s">
        <v>79</v>
      </c>
      <c r="P192" s="141" t="s">
        <v>79</v>
      </c>
      <c r="Q192" s="141" t="s">
        <v>79</v>
      </c>
      <c r="R192" s="141" t="s">
        <v>79</v>
      </c>
      <c r="S192" s="141" t="s">
        <v>79</v>
      </c>
      <c r="T192" s="163" t="s">
        <v>72</v>
      </c>
      <c r="U192" s="141" t="s">
        <v>72</v>
      </c>
      <c r="V192" s="141" t="s">
        <v>72</v>
      </c>
      <c r="W192" s="141" t="s">
        <v>72</v>
      </c>
      <c r="X192" s="141" t="s">
        <v>72</v>
      </c>
      <c r="Y192" s="141" t="s">
        <v>72</v>
      </c>
      <c r="Z192" s="141" t="s">
        <v>72</v>
      </c>
      <c r="AA192" s="141" t="s">
        <v>72</v>
      </c>
      <c r="AB192" s="141" t="s">
        <v>72</v>
      </c>
      <c r="AC192" s="141" t="s">
        <v>72</v>
      </c>
      <c r="AD192" s="141" t="s">
        <v>72</v>
      </c>
      <c r="AE192" s="141" t="s">
        <v>72</v>
      </c>
      <c r="AF192" s="6">
        <v>674</v>
      </c>
      <c r="AG192" s="6"/>
      <c r="AH192" s="35">
        <f t="shared" si="52"/>
        <v>262</v>
      </c>
      <c r="AI192" s="35">
        <v>0</v>
      </c>
      <c r="AJ192" s="35">
        <v>778</v>
      </c>
      <c r="AK192" s="35">
        <f t="shared" si="53"/>
        <v>104</v>
      </c>
      <c r="AL192" s="6">
        <v>225</v>
      </c>
      <c r="AM192" s="6"/>
      <c r="AN192" s="35">
        <f t="shared" si="54"/>
        <v>225</v>
      </c>
      <c r="AO192" s="6">
        <v>471</v>
      </c>
      <c r="AP192" s="6"/>
      <c r="AQ192" s="34">
        <f t="shared" si="55"/>
        <v>246</v>
      </c>
      <c r="AR192" s="35">
        <v>717</v>
      </c>
      <c r="AS192" s="35"/>
      <c r="AT192" s="35">
        <f t="shared" si="56"/>
        <v>246</v>
      </c>
      <c r="AU192" s="6">
        <v>949</v>
      </c>
      <c r="AV192" s="6"/>
      <c r="AW192" s="35">
        <f t="shared" si="57"/>
        <v>232</v>
      </c>
      <c r="AX192" s="6"/>
      <c r="AY192" s="6"/>
      <c r="AZ192" s="35"/>
      <c r="BA192" s="35">
        <v>99</v>
      </c>
      <c r="BB192" s="35">
        <v>1100</v>
      </c>
      <c r="BC192" s="35">
        <f t="shared" si="58"/>
        <v>250</v>
      </c>
      <c r="BD192" s="6">
        <v>342</v>
      </c>
      <c r="BE192" s="6"/>
      <c r="BF192" s="35">
        <f t="shared" si="59"/>
        <v>243</v>
      </c>
      <c r="BG192" s="35">
        <v>586</v>
      </c>
      <c r="BH192" s="6"/>
      <c r="BI192" s="6">
        <f t="shared" si="60"/>
        <v>244</v>
      </c>
      <c r="BJ192" s="6">
        <v>196</v>
      </c>
      <c r="BK192" s="6">
        <v>631</v>
      </c>
      <c r="BL192" s="6">
        <f t="shared" si="61"/>
        <v>241</v>
      </c>
      <c r="BM192" s="6">
        <v>444</v>
      </c>
      <c r="BN192" s="6"/>
      <c r="BO192" s="6">
        <f t="shared" si="62"/>
        <v>248</v>
      </c>
      <c r="BP192" s="6">
        <v>676</v>
      </c>
      <c r="BQ192" s="6"/>
      <c r="BR192" s="35">
        <f t="shared" si="63"/>
        <v>232</v>
      </c>
      <c r="BS192" s="6"/>
      <c r="BT192" s="6"/>
      <c r="BU192" s="6"/>
      <c r="BV192" s="6">
        <v>178</v>
      </c>
      <c r="BW192" s="6">
        <v>744</v>
      </c>
      <c r="BX192" s="35">
        <f t="shared" si="64"/>
        <v>246</v>
      </c>
      <c r="BY192" s="6">
        <v>420</v>
      </c>
      <c r="BZ192" s="6"/>
      <c r="CA192" s="6">
        <f t="shared" si="65"/>
        <v>242</v>
      </c>
      <c r="CB192" s="6">
        <v>213</v>
      </c>
      <c r="CC192" s="6">
        <v>422</v>
      </c>
      <c r="CD192" s="6">
        <f t="shared" si="66"/>
        <v>215</v>
      </c>
      <c r="CE192" s="6">
        <v>32</v>
      </c>
      <c r="CF192" s="6">
        <v>420</v>
      </c>
      <c r="CG192" s="6">
        <f t="shared" si="67"/>
        <v>239</v>
      </c>
      <c r="CH192" s="6">
        <v>257</v>
      </c>
      <c r="CI192" s="6"/>
      <c r="CJ192" s="6">
        <f t="shared" si="68"/>
        <v>225</v>
      </c>
      <c r="CK192" s="6">
        <v>120</v>
      </c>
      <c r="CL192" s="6">
        <v>359</v>
      </c>
      <c r="CM192" s="6">
        <f t="shared" si="69"/>
        <v>222</v>
      </c>
      <c r="CN192" s="6"/>
      <c r="CO192" s="6"/>
      <c r="CP192" s="6"/>
      <c r="CQ192" s="6">
        <v>365</v>
      </c>
      <c r="CR192" s="6"/>
      <c r="CS192" s="6">
        <f t="shared" si="70"/>
        <v>245</v>
      </c>
      <c r="CT192" s="6">
        <v>24</v>
      </c>
      <c r="CU192" s="6">
        <v>575</v>
      </c>
      <c r="CV192" s="6">
        <f t="shared" si="71"/>
        <v>234</v>
      </c>
      <c r="CW192" s="6">
        <v>263</v>
      </c>
      <c r="CX192" s="6"/>
      <c r="CY192" s="6">
        <f t="shared" si="72"/>
        <v>239</v>
      </c>
      <c r="CZ192" s="6">
        <v>113</v>
      </c>
      <c r="DA192" s="6">
        <v>388</v>
      </c>
      <c r="DB192" s="6">
        <f t="shared" si="73"/>
        <v>238</v>
      </c>
      <c r="DC192" s="6">
        <v>349</v>
      </c>
      <c r="DD192" s="6"/>
      <c r="DE192" s="6">
        <f t="shared" si="74"/>
        <v>236</v>
      </c>
      <c r="DF192" s="6">
        <v>216</v>
      </c>
      <c r="DG192" s="6">
        <v>364</v>
      </c>
      <c r="DH192" s="6">
        <f t="shared" si="75"/>
        <v>231</v>
      </c>
      <c r="DI192" s="6"/>
      <c r="DJ192" s="6"/>
      <c r="DK192" s="6"/>
      <c r="DL192" s="6">
        <v>454</v>
      </c>
      <c r="DM192" s="6"/>
      <c r="DN192" s="6">
        <f t="shared" si="76"/>
        <v>238</v>
      </c>
      <c r="DO192" s="6">
        <v>679</v>
      </c>
      <c r="DP192" s="6"/>
      <c r="DQ192" s="6">
        <f t="shared" si="77"/>
        <v>225</v>
      </c>
    </row>
    <row r="193" spans="1:121">
      <c r="A193" s="6">
        <v>189</v>
      </c>
      <c r="B193" s="6">
        <v>186</v>
      </c>
      <c r="C193" s="6">
        <v>800</v>
      </c>
      <c r="D193" s="6">
        <v>221</v>
      </c>
      <c r="E193" s="33" t="s">
        <v>79</v>
      </c>
      <c r="F193" s="148" t="s">
        <v>79</v>
      </c>
      <c r="G193" s="33" t="s">
        <v>79</v>
      </c>
      <c r="H193" s="33" t="s">
        <v>79</v>
      </c>
      <c r="I193" s="33" t="s">
        <v>79</v>
      </c>
      <c r="J193" s="33" t="s">
        <v>79</v>
      </c>
      <c r="K193" s="33" t="s">
        <v>79</v>
      </c>
      <c r="L193" s="33" t="s">
        <v>79</v>
      </c>
      <c r="M193" s="33" t="s">
        <v>79</v>
      </c>
      <c r="N193" s="33" t="s">
        <v>79</v>
      </c>
      <c r="O193" s="33" t="s">
        <v>79</v>
      </c>
      <c r="P193" s="33" t="s">
        <v>79</v>
      </c>
      <c r="Q193" s="33" t="s">
        <v>79</v>
      </c>
      <c r="R193" s="33" t="s">
        <v>79</v>
      </c>
      <c r="S193" s="33" t="s">
        <v>79</v>
      </c>
      <c r="T193" s="33" t="s">
        <v>79</v>
      </c>
      <c r="U193" s="33" t="s">
        <v>79</v>
      </c>
      <c r="V193" s="33" t="s">
        <v>79</v>
      </c>
      <c r="W193" s="33" t="s">
        <v>79</v>
      </c>
      <c r="X193" s="33" t="s">
        <v>79</v>
      </c>
      <c r="Y193" s="33" t="s">
        <v>79</v>
      </c>
      <c r="Z193" s="148" t="s">
        <v>75</v>
      </c>
      <c r="AA193" s="33" t="s">
        <v>75</v>
      </c>
      <c r="AB193" s="33" t="s">
        <v>75</v>
      </c>
      <c r="AC193" s="33" t="s">
        <v>75</v>
      </c>
      <c r="AD193" s="33" t="s">
        <v>75</v>
      </c>
      <c r="AE193" s="33" t="s">
        <v>75</v>
      </c>
      <c r="AF193" s="6">
        <v>196</v>
      </c>
      <c r="AG193" s="6">
        <v>224</v>
      </c>
      <c r="AH193" s="35">
        <f t="shared" si="52"/>
        <v>234</v>
      </c>
      <c r="AI193" s="35">
        <v>446</v>
      </c>
      <c r="AJ193" s="35"/>
      <c r="AK193" s="35">
        <f t="shared" si="53"/>
        <v>250</v>
      </c>
      <c r="AL193" s="6">
        <v>696</v>
      </c>
      <c r="AM193" s="6"/>
      <c r="AN193" s="35">
        <f t="shared" si="54"/>
        <v>250</v>
      </c>
      <c r="AO193" s="6">
        <v>140</v>
      </c>
      <c r="AP193" s="6">
        <v>800</v>
      </c>
      <c r="AQ193" s="34">
        <f t="shared" si="55"/>
        <v>244</v>
      </c>
      <c r="AR193" s="35">
        <v>386</v>
      </c>
      <c r="AS193" s="35"/>
      <c r="AT193" s="35">
        <f t="shared" si="56"/>
        <v>246</v>
      </c>
      <c r="AU193" s="6">
        <v>621</v>
      </c>
      <c r="AV193" s="6"/>
      <c r="AW193" s="35">
        <f t="shared" si="57"/>
        <v>235</v>
      </c>
      <c r="AX193" s="6"/>
      <c r="AY193" s="6"/>
      <c r="AZ193" s="35"/>
      <c r="BA193" s="35">
        <v>68</v>
      </c>
      <c r="BB193" s="35">
        <v>800</v>
      </c>
      <c r="BC193" s="35">
        <f t="shared" si="58"/>
        <v>247</v>
      </c>
      <c r="BD193" s="6">
        <v>311</v>
      </c>
      <c r="BE193" s="6"/>
      <c r="BF193" s="35">
        <f t="shared" si="59"/>
        <v>243</v>
      </c>
      <c r="BG193" s="35">
        <v>559</v>
      </c>
      <c r="BH193" s="6"/>
      <c r="BI193" s="6">
        <f t="shared" si="60"/>
        <v>248</v>
      </c>
      <c r="BJ193" s="6">
        <v>9</v>
      </c>
      <c r="BK193" s="6">
        <v>800</v>
      </c>
      <c r="BL193" s="6">
        <f t="shared" si="61"/>
        <v>250</v>
      </c>
      <c r="BM193" s="6">
        <v>256</v>
      </c>
      <c r="BN193" s="6"/>
      <c r="BO193" s="6">
        <f t="shared" si="62"/>
        <v>247</v>
      </c>
      <c r="BP193" s="6">
        <v>471</v>
      </c>
      <c r="BQ193" s="6"/>
      <c r="BR193" s="35">
        <f t="shared" si="63"/>
        <v>215</v>
      </c>
      <c r="BS193" s="6"/>
      <c r="BT193" s="6"/>
      <c r="BU193" s="6"/>
      <c r="BV193" s="6">
        <v>724</v>
      </c>
      <c r="BW193" s="6"/>
      <c r="BX193" s="35">
        <f t="shared" si="64"/>
        <v>253</v>
      </c>
      <c r="BY193" s="6">
        <v>167</v>
      </c>
      <c r="BZ193" s="6">
        <v>800</v>
      </c>
      <c r="CA193" s="6">
        <f t="shared" si="65"/>
        <v>243</v>
      </c>
      <c r="CB193" s="6">
        <v>407</v>
      </c>
      <c r="CC193" s="6"/>
      <c r="CD193" s="6">
        <f t="shared" si="66"/>
        <v>240</v>
      </c>
      <c r="CE193" s="6">
        <v>645</v>
      </c>
      <c r="CF193" s="6"/>
      <c r="CG193" s="6">
        <f t="shared" si="67"/>
        <v>238</v>
      </c>
      <c r="CH193" s="6">
        <v>881</v>
      </c>
      <c r="CI193" s="6"/>
      <c r="CJ193" s="6">
        <f t="shared" si="68"/>
        <v>236</v>
      </c>
      <c r="CK193" s="6">
        <v>17</v>
      </c>
      <c r="CL193" s="6">
        <v>1100</v>
      </c>
      <c r="CM193" s="6">
        <f t="shared" si="69"/>
        <v>236</v>
      </c>
      <c r="CN193" s="6"/>
      <c r="CO193" s="6"/>
      <c r="CP193" s="6"/>
      <c r="CQ193" s="6">
        <v>262</v>
      </c>
      <c r="CR193" s="6"/>
      <c r="CS193" s="6">
        <f t="shared" si="70"/>
        <v>245</v>
      </c>
      <c r="CT193" s="6">
        <v>504</v>
      </c>
      <c r="CU193" s="6"/>
      <c r="CV193" s="6">
        <f t="shared" si="71"/>
        <v>242</v>
      </c>
      <c r="CW193" s="6">
        <v>185</v>
      </c>
      <c r="CX193" s="6">
        <v>535</v>
      </c>
      <c r="CY193" s="6">
        <f t="shared" si="72"/>
        <v>216</v>
      </c>
      <c r="CZ193" s="6">
        <v>433</v>
      </c>
      <c r="DA193" s="6"/>
      <c r="DB193" s="6">
        <f t="shared" si="73"/>
        <v>248</v>
      </c>
      <c r="DC193" s="6">
        <v>678</v>
      </c>
      <c r="DD193" s="6"/>
      <c r="DE193" s="6">
        <f t="shared" si="74"/>
        <v>245</v>
      </c>
      <c r="DF193" s="6">
        <v>912</v>
      </c>
      <c r="DG193" s="6"/>
      <c r="DH193" s="6">
        <f t="shared" si="75"/>
        <v>234</v>
      </c>
      <c r="DI193" s="6"/>
      <c r="DJ193" s="6"/>
      <c r="DK193" s="6"/>
      <c r="DL193" s="6">
        <v>61</v>
      </c>
      <c r="DM193" s="6">
        <v>1100</v>
      </c>
      <c r="DN193" s="6">
        <f t="shared" si="76"/>
        <v>249</v>
      </c>
      <c r="DO193" s="6">
        <v>290</v>
      </c>
      <c r="DP193" s="6"/>
      <c r="DQ193" s="6">
        <f t="shared" si="77"/>
        <v>229</v>
      </c>
    </row>
    <row r="194" spans="1:121">
      <c r="A194" s="6">
        <v>190</v>
      </c>
      <c r="B194" s="6">
        <v>141</v>
      </c>
      <c r="C194" s="6">
        <v>800</v>
      </c>
      <c r="D194" s="6">
        <v>215</v>
      </c>
      <c r="E194" s="33" t="s">
        <v>79</v>
      </c>
      <c r="F194" s="33" t="s">
        <v>79</v>
      </c>
      <c r="G194" s="33" t="s">
        <v>79</v>
      </c>
      <c r="H194" s="33" t="s">
        <v>79</v>
      </c>
      <c r="I194" s="33" t="s">
        <v>79</v>
      </c>
      <c r="J194" s="33" t="s">
        <v>79</v>
      </c>
      <c r="K194" s="33" t="s">
        <v>79</v>
      </c>
      <c r="L194" s="148" t="s">
        <v>72</v>
      </c>
      <c r="M194" s="33" t="s">
        <v>72</v>
      </c>
      <c r="N194" s="33" t="s">
        <v>72</v>
      </c>
      <c r="O194" s="33" t="s">
        <v>72</v>
      </c>
      <c r="P194" s="33" t="s">
        <v>72</v>
      </c>
      <c r="Q194" s="33" t="s">
        <v>72</v>
      </c>
      <c r="R194" s="33" t="s">
        <v>72</v>
      </c>
      <c r="S194" s="33" t="s">
        <v>72</v>
      </c>
      <c r="T194" s="33" t="s">
        <v>72</v>
      </c>
      <c r="U194" s="33" t="s">
        <v>72</v>
      </c>
      <c r="V194" s="33" t="s">
        <v>72</v>
      </c>
      <c r="W194" s="33" t="s">
        <v>72</v>
      </c>
      <c r="X194" s="33" t="s">
        <v>72</v>
      </c>
      <c r="Y194" s="33" t="s">
        <v>72</v>
      </c>
      <c r="Z194" s="33" t="s">
        <v>72</v>
      </c>
      <c r="AA194" s="33" t="s">
        <v>72</v>
      </c>
      <c r="AB194" s="33" t="s">
        <v>72</v>
      </c>
      <c r="AC194" s="33" t="s">
        <v>72</v>
      </c>
      <c r="AD194" s="33" t="s">
        <v>72</v>
      </c>
      <c r="AE194" s="33" t="s">
        <v>72</v>
      </c>
      <c r="AF194" s="6">
        <v>410</v>
      </c>
      <c r="AG194" s="6"/>
      <c r="AH194" s="35">
        <f t="shared" si="52"/>
        <v>269</v>
      </c>
      <c r="AI194" s="35">
        <v>659</v>
      </c>
      <c r="AJ194" s="35"/>
      <c r="AK194" s="35">
        <f t="shared" si="53"/>
        <v>249</v>
      </c>
      <c r="AL194" s="6">
        <v>108</v>
      </c>
      <c r="AM194" s="6">
        <v>800</v>
      </c>
      <c r="AN194" s="35">
        <f t="shared" si="54"/>
        <v>249</v>
      </c>
      <c r="AO194" s="6">
        <v>345</v>
      </c>
      <c r="AP194" s="6"/>
      <c r="AQ194" s="34">
        <f t="shared" si="55"/>
        <v>237</v>
      </c>
      <c r="AR194" s="35">
        <v>589</v>
      </c>
      <c r="AS194" s="35"/>
      <c r="AT194" s="35">
        <f t="shared" si="56"/>
        <v>244</v>
      </c>
      <c r="AU194" s="6">
        <v>823</v>
      </c>
      <c r="AV194" s="6"/>
      <c r="AW194" s="35">
        <f t="shared" si="57"/>
        <v>234</v>
      </c>
      <c r="AX194" s="6"/>
      <c r="AY194" s="6"/>
      <c r="AZ194" s="35"/>
      <c r="BA194" s="35">
        <v>220</v>
      </c>
      <c r="BB194" s="35">
        <v>831</v>
      </c>
      <c r="BC194" s="35">
        <f t="shared" si="58"/>
        <v>228</v>
      </c>
      <c r="BD194" s="35">
        <v>463</v>
      </c>
      <c r="BE194" s="6"/>
      <c r="BF194" s="35">
        <f t="shared" si="59"/>
        <v>243</v>
      </c>
      <c r="BG194" s="35">
        <v>713</v>
      </c>
      <c r="BH194" s="6"/>
      <c r="BI194" s="6">
        <f t="shared" si="60"/>
        <v>250</v>
      </c>
      <c r="BJ194" s="6">
        <v>963</v>
      </c>
      <c r="BK194" s="6"/>
      <c r="BL194" s="6">
        <f t="shared" si="61"/>
        <v>250</v>
      </c>
      <c r="BM194" s="6">
        <v>158</v>
      </c>
      <c r="BN194" s="6">
        <v>1053</v>
      </c>
      <c r="BO194" s="6">
        <f t="shared" si="62"/>
        <v>248</v>
      </c>
      <c r="BP194" s="6">
        <v>196</v>
      </c>
      <c r="BQ194" s="6">
        <v>198</v>
      </c>
      <c r="BR194" s="35">
        <f t="shared" si="63"/>
        <v>236</v>
      </c>
      <c r="BS194" s="6"/>
      <c r="BT194" s="6"/>
      <c r="BU194" s="6"/>
      <c r="BV194" s="35">
        <v>449</v>
      </c>
      <c r="BW194" s="6"/>
      <c r="BX194" s="35">
        <f t="shared" si="64"/>
        <v>253</v>
      </c>
      <c r="BY194" s="6">
        <v>696</v>
      </c>
      <c r="BZ194" s="6"/>
      <c r="CA194" s="6">
        <f t="shared" si="65"/>
        <v>247</v>
      </c>
      <c r="CB194" s="6">
        <v>944</v>
      </c>
      <c r="CC194" s="6"/>
      <c r="CD194" s="6">
        <f t="shared" si="66"/>
        <v>248</v>
      </c>
      <c r="CE194" s="6">
        <v>78</v>
      </c>
      <c r="CF194" s="6">
        <v>1100</v>
      </c>
      <c r="CG194" s="6">
        <f t="shared" si="67"/>
        <v>234</v>
      </c>
      <c r="CH194" s="6">
        <v>326</v>
      </c>
      <c r="CI194" s="6"/>
      <c r="CJ194" s="6">
        <f t="shared" si="68"/>
        <v>248</v>
      </c>
      <c r="CK194" s="6">
        <v>564</v>
      </c>
      <c r="CL194" s="6"/>
      <c r="CM194" s="6">
        <f t="shared" si="69"/>
        <v>238</v>
      </c>
      <c r="CN194" s="6"/>
      <c r="CO194" s="6"/>
      <c r="CP194" s="6"/>
      <c r="CQ194" s="6">
        <v>812</v>
      </c>
      <c r="CR194" s="6"/>
      <c r="CS194" s="6">
        <f t="shared" si="70"/>
        <v>248</v>
      </c>
      <c r="CT194" s="6">
        <v>1058</v>
      </c>
      <c r="CU194" s="6"/>
      <c r="CV194" s="6">
        <f t="shared" si="71"/>
        <v>246</v>
      </c>
      <c r="CW194" s="6">
        <v>203</v>
      </c>
      <c r="CX194" s="6">
        <v>1100</v>
      </c>
      <c r="CY194" s="6">
        <f t="shared" si="72"/>
        <v>245</v>
      </c>
      <c r="CZ194" s="6">
        <v>441</v>
      </c>
      <c r="DA194" s="6"/>
      <c r="DB194" s="6">
        <f t="shared" si="73"/>
        <v>238</v>
      </c>
      <c r="DC194" s="6">
        <v>690</v>
      </c>
      <c r="DD194" s="6"/>
      <c r="DE194" s="6">
        <f t="shared" si="74"/>
        <v>249</v>
      </c>
      <c r="DF194" s="6">
        <v>917</v>
      </c>
      <c r="DG194" s="6"/>
      <c r="DH194" s="6">
        <f t="shared" si="75"/>
        <v>227</v>
      </c>
      <c r="DI194" s="6"/>
      <c r="DJ194" s="6"/>
      <c r="DK194" s="6"/>
      <c r="DL194" s="6">
        <v>60</v>
      </c>
      <c r="DM194" s="6">
        <v>1100</v>
      </c>
      <c r="DN194" s="6">
        <f t="shared" si="76"/>
        <v>243</v>
      </c>
      <c r="DO194" s="6">
        <v>0</v>
      </c>
      <c r="DP194" s="6">
        <v>268</v>
      </c>
      <c r="DQ194" s="6">
        <f t="shared" si="77"/>
        <v>208</v>
      </c>
    </row>
    <row r="195" spans="1:121">
      <c r="A195" s="6">
        <v>191</v>
      </c>
      <c r="B195" s="6">
        <v>805</v>
      </c>
      <c r="C195" s="6"/>
      <c r="D195" s="6">
        <v>162</v>
      </c>
      <c r="E195" s="33" t="s">
        <v>72</v>
      </c>
      <c r="F195" s="33" t="s">
        <v>72</v>
      </c>
      <c r="G195" s="148" t="s">
        <v>72</v>
      </c>
      <c r="H195" s="33" t="s">
        <v>72</v>
      </c>
      <c r="I195" s="33" t="s">
        <v>72</v>
      </c>
      <c r="J195" s="33" t="s">
        <v>72</v>
      </c>
      <c r="K195" s="33" t="s">
        <v>72</v>
      </c>
      <c r="L195" s="33" t="s">
        <v>72</v>
      </c>
      <c r="M195" s="33" t="s">
        <v>72</v>
      </c>
      <c r="N195" s="33" t="s">
        <v>72</v>
      </c>
      <c r="O195" s="33" t="s">
        <v>72</v>
      </c>
      <c r="P195" s="33" t="s">
        <v>72</v>
      </c>
      <c r="Q195" s="33" t="s">
        <v>72</v>
      </c>
      <c r="R195" s="33" t="s">
        <v>72</v>
      </c>
      <c r="S195" s="33" t="s">
        <v>72</v>
      </c>
      <c r="T195" s="33" t="s">
        <v>72</v>
      </c>
      <c r="U195" s="33" t="s">
        <v>72</v>
      </c>
      <c r="V195" s="33" t="s">
        <v>72</v>
      </c>
      <c r="W195" s="33" t="s">
        <v>72</v>
      </c>
      <c r="X195" s="33" t="s">
        <v>72</v>
      </c>
      <c r="Y195" s="33" t="s">
        <v>72</v>
      </c>
      <c r="Z195" s="33" t="s">
        <v>72</v>
      </c>
      <c r="AA195" s="33" t="s">
        <v>72</v>
      </c>
      <c r="AB195" s="33" t="s">
        <v>72</v>
      </c>
      <c r="AC195" s="148" t="s">
        <v>72</v>
      </c>
      <c r="AD195" s="33" t="s">
        <v>72</v>
      </c>
      <c r="AE195" s="33" t="s">
        <v>72</v>
      </c>
      <c r="AF195" s="35">
        <v>995</v>
      </c>
      <c r="AG195" s="35"/>
      <c r="AH195" s="35">
        <f t="shared" si="52"/>
        <v>190</v>
      </c>
      <c r="AI195" s="35">
        <v>157</v>
      </c>
      <c r="AJ195" s="35">
        <v>1036</v>
      </c>
      <c r="AK195" s="35">
        <f t="shared" si="53"/>
        <v>198</v>
      </c>
      <c r="AL195" s="6">
        <v>371</v>
      </c>
      <c r="AM195" s="6"/>
      <c r="AN195" s="35">
        <f t="shared" si="54"/>
        <v>214</v>
      </c>
      <c r="AO195" s="6">
        <v>33</v>
      </c>
      <c r="AP195" s="6">
        <v>554</v>
      </c>
      <c r="AQ195" s="34">
        <f t="shared" si="55"/>
        <v>216</v>
      </c>
      <c r="AR195" s="35">
        <v>245</v>
      </c>
      <c r="AS195" s="35"/>
      <c r="AT195" s="35">
        <f t="shared" si="56"/>
        <v>212</v>
      </c>
      <c r="AU195" s="6">
        <v>440</v>
      </c>
      <c r="AV195" s="6"/>
      <c r="AW195" s="35">
        <f t="shared" si="57"/>
        <v>195</v>
      </c>
      <c r="AX195" s="6"/>
      <c r="AY195" s="6"/>
      <c r="AZ195" s="35"/>
      <c r="BA195" s="35">
        <v>689</v>
      </c>
      <c r="BB195" s="35"/>
      <c r="BC195" s="35">
        <f t="shared" si="58"/>
        <v>249</v>
      </c>
      <c r="BD195" s="6">
        <v>931</v>
      </c>
      <c r="BE195" s="6"/>
      <c r="BF195" s="35">
        <f t="shared" si="59"/>
        <v>242</v>
      </c>
      <c r="BG195" s="35">
        <v>76</v>
      </c>
      <c r="BH195" s="6">
        <v>1100</v>
      </c>
      <c r="BI195" s="6">
        <f t="shared" si="60"/>
        <v>245</v>
      </c>
      <c r="BJ195" s="6">
        <v>325</v>
      </c>
      <c r="BK195" s="6"/>
      <c r="BL195" s="6">
        <f t="shared" si="61"/>
        <v>249</v>
      </c>
      <c r="BM195" s="6">
        <v>29</v>
      </c>
      <c r="BN195" s="6">
        <v>522</v>
      </c>
      <c r="BO195" s="6">
        <f t="shared" si="62"/>
        <v>226</v>
      </c>
      <c r="BP195" s="6">
        <v>261</v>
      </c>
      <c r="BQ195" s="6"/>
      <c r="BR195" s="35">
        <f t="shared" si="63"/>
        <v>232</v>
      </c>
      <c r="BS195" s="6"/>
      <c r="BT195" s="6"/>
      <c r="BU195" s="6"/>
      <c r="BV195" s="35">
        <v>509</v>
      </c>
      <c r="BW195" s="6"/>
      <c r="BX195" s="35">
        <f t="shared" si="64"/>
        <v>248</v>
      </c>
      <c r="BY195" s="6">
        <v>753</v>
      </c>
      <c r="BZ195" s="6"/>
      <c r="CA195" s="6">
        <f t="shared" si="65"/>
        <v>244</v>
      </c>
      <c r="CB195" s="6">
        <v>992</v>
      </c>
      <c r="CC195" s="6"/>
      <c r="CD195" s="6">
        <f t="shared" si="66"/>
        <v>239</v>
      </c>
      <c r="CE195" s="6">
        <v>139</v>
      </c>
      <c r="CF195" s="6">
        <v>1100</v>
      </c>
      <c r="CG195" s="6">
        <f t="shared" si="67"/>
        <v>247</v>
      </c>
      <c r="CH195" s="6">
        <v>383</v>
      </c>
      <c r="CI195" s="6"/>
      <c r="CJ195" s="6">
        <f t="shared" si="68"/>
        <v>244</v>
      </c>
      <c r="CK195" s="6">
        <v>613</v>
      </c>
      <c r="CL195" s="6"/>
      <c r="CM195" s="6">
        <f t="shared" si="69"/>
        <v>230</v>
      </c>
      <c r="CN195" s="6"/>
      <c r="CO195" s="6"/>
      <c r="CP195" s="6"/>
      <c r="CQ195" s="6">
        <v>30</v>
      </c>
      <c r="CR195" s="6">
        <v>830</v>
      </c>
      <c r="CS195" s="6">
        <f t="shared" si="70"/>
        <v>247</v>
      </c>
      <c r="CT195" s="6">
        <v>270</v>
      </c>
      <c r="CU195" s="6"/>
      <c r="CV195" s="6">
        <f t="shared" si="71"/>
        <v>240</v>
      </c>
      <c r="CW195" s="6">
        <v>506</v>
      </c>
      <c r="CX195" s="6"/>
      <c r="CY195" s="6">
        <f t="shared" si="72"/>
        <v>236</v>
      </c>
      <c r="CZ195" s="6">
        <v>508</v>
      </c>
      <c r="DA195" s="6"/>
      <c r="DB195" s="6">
        <f t="shared" si="73"/>
        <v>2</v>
      </c>
      <c r="DC195" s="6">
        <v>0</v>
      </c>
      <c r="DD195" s="6">
        <v>669</v>
      </c>
      <c r="DE195" s="6">
        <f t="shared" si="74"/>
        <v>161</v>
      </c>
      <c r="DF195" s="6">
        <v>216</v>
      </c>
      <c r="DG195" s="6"/>
      <c r="DH195" s="6">
        <f t="shared" si="75"/>
        <v>216</v>
      </c>
      <c r="DI195" s="6"/>
      <c r="DJ195" s="6"/>
      <c r="DK195" s="6"/>
      <c r="DL195" s="6">
        <v>178</v>
      </c>
      <c r="DM195" s="6">
        <v>271</v>
      </c>
      <c r="DN195" s="6">
        <f t="shared" si="76"/>
        <v>233</v>
      </c>
      <c r="DO195" s="6">
        <v>392</v>
      </c>
      <c r="DP195" s="6"/>
      <c r="DQ195" s="6">
        <f t="shared" si="77"/>
        <v>214</v>
      </c>
    </row>
    <row r="196" spans="1:121">
      <c r="A196" s="6">
        <v>192</v>
      </c>
      <c r="B196" s="6">
        <v>660</v>
      </c>
      <c r="C196" s="6"/>
      <c r="D196" s="6">
        <v>215</v>
      </c>
      <c r="E196" s="33" t="s">
        <v>72</v>
      </c>
      <c r="F196" s="33" t="s">
        <v>72</v>
      </c>
      <c r="G196" s="33" t="s">
        <v>72</v>
      </c>
      <c r="H196" s="33" t="s">
        <v>72</v>
      </c>
      <c r="I196" s="33" t="s">
        <v>72</v>
      </c>
      <c r="J196" s="33" t="s">
        <v>72</v>
      </c>
      <c r="K196" s="33" t="s">
        <v>72</v>
      </c>
      <c r="L196" s="33" t="s">
        <v>72</v>
      </c>
      <c r="M196" s="33" t="s">
        <v>72</v>
      </c>
      <c r="N196" s="33" t="s">
        <v>72</v>
      </c>
      <c r="O196" s="33" t="s">
        <v>72</v>
      </c>
      <c r="P196" s="33" t="s">
        <v>72</v>
      </c>
      <c r="Q196" s="33" t="s">
        <v>72</v>
      </c>
      <c r="R196" s="33" t="s">
        <v>72</v>
      </c>
      <c r="S196" s="33" t="s">
        <v>72</v>
      </c>
      <c r="T196" s="33" t="s">
        <v>72</v>
      </c>
      <c r="U196" s="33" t="s">
        <v>72</v>
      </c>
      <c r="V196" s="33" t="s">
        <v>72</v>
      </c>
      <c r="W196" s="33" t="s">
        <v>72</v>
      </c>
      <c r="X196" s="148" t="s">
        <v>72</v>
      </c>
      <c r="Y196" s="33" t="s">
        <v>72</v>
      </c>
      <c r="Z196" s="33" t="s">
        <v>72</v>
      </c>
      <c r="AA196" s="33" t="s">
        <v>72</v>
      </c>
      <c r="AB196" s="33" t="s">
        <v>72</v>
      </c>
      <c r="AC196" s="33" t="s">
        <v>72</v>
      </c>
      <c r="AD196" s="33" t="s">
        <v>72</v>
      </c>
      <c r="AE196" s="33" t="s">
        <v>72</v>
      </c>
      <c r="AF196" s="6">
        <v>915</v>
      </c>
      <c r="AG196" s="6"/>
      <c r="AH196" s="35">
        <f t="shared" si="52"/>
        <v>255</v>
      </c>
      <c r="AI196" s="35">
        <v>51</v>
      </c>
      <c r="AJ196" s="35">
        <v>1100</v>
      </c>
      <c r="AK196" s="35">
        <f t="shared" si="53"/>
        <v>236</v>
      </c>
      <c r="AL196" s="6">
        <v>289</v>
      </c>
      <c r="AM196" s="6"/>
      <c r="AN196" s="35">
        <f t="shared" si="54"/>
        <v>238</v>
      </c>
      <c r="AO196" s="6">
        <v>528</v>
      </c>
      <c r="AP196" s="6"/>
      <c r="AQ196" s="34">
        <f t="shared" si="55"/>
        <v>239</v>
      </c>
      <c r="AR196" s="35">
        <v>756</v>
      </c>
      <c r="AS196" s="35"/>
      <c r="AT196" s="35">
        <f t="shared" si="56"/>
        <v>228</v>
      </c>
      <c r="AU196" s="6">
        <v>976</v>
      </c>
      <c r="AV196" s="6"/>
      <c r="AW196" s="35">
        <f t="shared" si="57"/>
        <v>220</v>
      </c>
      <c r="AX196" s="6"/>
      <c r="AY196" s="6"/>
      <c r="AZ196" s="35"/>
      <c r="BA196" s="35">
        <v>112</v>
      </c>
      <c r="BB196" s="35">
        <v>1100</v>
      </c>
      <c r="BC196" s="35">
        <f t="shared" si="58"/>
        <v>236</v>
      </c>
      <c r="BD196" s="6">
        <v>341</v>
      </c>
      <c r="BE196" s="6"/>
      <c r="BF196" s="35">
        <f t="shared" si="59"/>
        <v>229</v>
      </c>
      <c r="BG196" s="35">
        <v>573</v>
      </c>
      <c r="BH196" s="6"/>
      <c r="BI196" s="6">
        <f t="shared" si="60"/>
        <v>232</v>
      </c>
      <c r="BJ196" s="6">
        <v>811</v>
      </c>
      <c r="BK196" s="6"/>
      <c r="BL196" s="6">
        <f t="shared" si="61"/>
        <v>238</v>
      </c>
      <c r="BM196" s="6">
        <v>1051</v>
      </c>
      <c r="BN196" s="6"/>
      <c r="BO196" s="6">
        <f t="shared" si="62"/>
        <v>240</v>
      </c>
      <c r="BP196" s="6">
        <v>172</v>
      </c>
      <c r="BQ196" s="6">
        <v>1100</v>
      </c>
      <c r="BR196" s="35">
        <f t="shared" si="63"/>
        <v>221</v>
      </c>
      <c r="BS196" s="6"/>
      <c r="BT196" s="6"/>
      <c r="BU196" s="6"/>
      <c r="BV196" s="35">
        <v>411</v>
      </c>
      <c r="BW196" s="6"/>
      <c r="BX196" s="35">
        <f t="shared" si="64"/>
        <v>239</v>
      </c>
      <c r="BY196" s="6">
        <v>646</v>
      </c>
      <c r="BZ196" s="6"/>
      <c r="CA196" s="6">
        <f t="shared" si="65"/>
        <v>235</v>
      </c>
      <c r="CB196" s="6">
        <v>878</v>
      </c>
      <c r="CC196" s="6"/>
      <c r="CD196" s="6">
        <f t="shared" si="66"/>
        <v>232</v>
      </c>
      <c r="CE196" s="6">
        <v>15</v>
      </c>
      <c r="CF196" s="6">
        <v>1100</v>
      </c>
      <c r="CG196" s="6">
        <f t="shared" si="67"/>
        <v>237</v>
      </c>
      <c r="CH196" s="6">
        <v>251</v>
      </c>
      <c r="CI196" s="6"/>
      <c r="CJ196" s="6">
        <f t="shared" si="68"/>
        <v>236</v>
      </c>
      <c r="CK196" s="6">
        <v>0</v>
      </c>
      <c r="CL196" s="6">
        <v>396</v>
      </c>
      <c r="CM196" s="6">
        <f t="shared" si="69"/>
        <v>145</v>
      </c>
      <c r="CN196" s="6"/>
      <c r="CO196" s="6"/>
      <c r="CP196" s="6"/>
      <c r="CQ196" s="6">
        <v>221</v>
      </c>
      <c r="CR196" s="6"/>
      <c r="CS196" s="6">
        <f t="shared" si="70"/>
        <v>221</v>
      </c>
      <c r="CT196" s="6">
        <v>449</v>
      </c>
      <c r="CU196" s="6"/>
      <c r="CV196" s="6">
        <f t="shared" si="71"/>
        <v>228</v>
      </c>
      <c r="CW196" s="6">
        <v>688</v>
      </c>
      <c r="CX196" s="6"/>
      <c r="CY196" s="6">
        <f t="shared" si="72"/>
        <v>239</v>
      </c>
      <c r="CZ196" s="6">
        <v>57</v>
      </c>
      <c r="DA196" s="6">
        <v>866</v>
      </c>
      <c r="DB196" s="6">
        <f t="shared" si="73"/>
        <v>235</v>
      </c>
      <c r="DC196" s="6">
        <v>297</v>
      </c>
      <c r="DD196" s="6"/>
      <c r="DE196" s="6">
        <f t="shared" si="74"/>
        <v>240</v>
      </c>
      <c r="DF196" s="6">
        <v>524</v>
      </c>
      <c r="DG196" s="6"/>
      <c r="DH196" s="6">
        <f t="shared" si="75"/>
        <v>227</v>
      </c>
      <c r="DI196" s="6"/>
      <c r="DJ196" s="6"/>
      <c r="DK196" s="6"/>
      <c r="DL196" s="6">
        <v>764</v>
      </c>
      <c r="DM196" s="6"/>
      <c r="DN196" s="6">
        <f t="shared" si="76"/>
        <v>240</v>
      </c>
      <c r="DO196" s="6">
        <v>985</v>
      </c>
      <c r="DP196" s="6"/>
      <c r="DQ196" s="6">
        <f t="shared" si="77"/>
        <v>221</v>
      </c>
    </row>
    <row r="197" spans="1:121">
      <c r="A197" s="6">
        <v>193</v>
      </c>
      <c r="B197" s="6">
        <v>736</v>
      </c>
      <c r="C197" s="6"/>
      <c r="D197" s="6">
        <v>234</v>
      </c>
      <c r="E197" s="33" t="s">
        <v>72</v>
      </c>
      <c r="F197" s="33" t="s">
        <v>72</v>
      </c>
      <c r="G197" s="33" t="s">
        <v>72</v>
      </c>
      <c r="H197" s="33" t="s">
        <v>72</v>
      </c>
      <c r="I197" s="33" t="s">
        <v>72</v>
      </c>
      <c r="J197" s="33" t="s">
        <v>72</v>
      </c>
      <c r="K197" s="33" t="s">
        <v>72</v>
      </c>
      <c r="L197" s="33" t="s">
        <v>72</v>
      </c>
      <c r="M197" s="33" t="s">
        <v>72</v>
      </c>
      <c r="N197" s="33" t="s">
        <v>72</v>
      </c>
      <c r="O197" s="33" t="s">
        <v>72</v>
      </c>
      <c r="P197" s="33" t="s">
        <v>72</v>
      </c>
      <c r="Q197" s="33" t="s">
        <v>72</v>
      </c>
      <c r="R197" s="33" t="s">
        <v>72</v>
      </c>
      <c r="S197" s="33" t="s">
        <v>72</v>
      </c>
      <c r="T197" s="33" t="s">
        <v>72</v>
      </c>
      <c r="U197" s="33" t="s">
        <v>72</v>
      </c>
      <c r="V197" s="148" t="s">
        <v>72</v>
      </c>
      <c r="W197" s="33" t="s">
        <v>72</v>
      </c>
      <c r="X197" s="33" t="s">
        <v>72</v>
      </c>
      <c r="Y197" s="33" t="s">
        <v>72</v>
      </c>
      <c r="Z197" s="33" t="s">
        <v>72</v>
      </c>
      <c r="AA197" s="33" t="s">
        <v>72</v>
      </c>
      <c r="AB197" s="33" t="s">
        <v>72</v>
      </c>
      <c r="AC197" s="33" t="s">
        <v>72</v>
      </c>
      <c r="AD197" s="33" t="s">
        <v>72</v>
      </c>
      <c r="AE197" s="33" t="s">
        <v>72</v>
      </c>
      <c r="AF197" s="6">
        <v>1016</v>
      </c>
      <c r="AG197" s="6"/>
      <c r="AH197" s="35">
        <f t="shared" si="52"/>
        <v>280</v>
      </c>
      <c r="AI197" s="35">
        <v>175</v>
      </c>
      <c r="AJ197" s="35">
        <v>1100</v>
      </c>
      <c r="AK197" s="35">
        <f t="shared" si="53"/>
        <v>259</v>
      </c>
      <c r="AL197" s="6">
        <v>437</v>
      </c>
      <c r="AM197" s="6"/>
      <c r="AN197" s="35">
        <f t="shared" si="54"/>
        <v>262</v>
      </c>
      <c r="AO197" s="6">
        <v>693</v>
      </c>
      <c r="AP197" s="6"/>
      <c r="AQ197" s="34">
        <f t="shared" si="55"/>
        <v>256</v>
      </c>
      <c r="AR197" s="35">
        <v>954</v>
      </c>
      <c r="AS197" s="35"/>
      <c r="AT197" s="35">
        <f t="shared" si="56"/>
        <v>261</v>
      </c>
      <c r="AU197" s="6">
        <v>96</v>
      </c>
      <c r="AV197" s="6">
        <v>1100</v>
      </c>
      <c r="AW197" s="35">
        <f t="shared" si="57"/>
        <v>242</v>
      </c>
      <c r="AX197" s="6"/>
      <c r="AY197" s="6"/>
      <c r="AZ197" s="35"/>
      <c r="BA197" s="35">
        <v>350</v>
      </c>
      <c r="BB197" s="35"/>
      <c r="BC197" s="35">
        <f t="shared" si="58"/>
        <v>254</v>
      </c>
      <c r="BD197" s="6">
        <v>598</v>
      </c>
      <c r="BE197" s="6"/>
      <c r="BF197" s="35">
        <f t="shared" si="59"/>
        <v>248</v>
      </c>
      <c r="BG197" s="35">
        <v>848</v>
      </c>
      <c r="BH197" s="6"/>
      <c r="BI197" s="6">
        <f t="shared" si="60"/>
        <v>250</v>
      </c>
      <c r="BJ197" s="6">
        <v>1098</v>
      </c>
      <c r="BK197" s="6"/>
      <c r="BL197" s="6">
        <f t="shared" si="61"/>
        <v>250</v>
      </c>
      <c r="BM197" s="6">
        <v>247</v>
      </c>
      <c r="BN197" s="6">
        <v>1100</v>
      </c>
      <c r="BO197" s="6">
        <f t="shared" si="62"/>
        <v>249</v>
      </c>
      <c r="BP197" s="6">
        <v>483</v>
      </c>
      <c r="BQ197" s="6"/>
      <c r="BR197" s="35">
        <f t="shared" si="63"/>
        <v>236</v>
      </c>
      <c r="BS197" s="6"/>
      <c r="BT197" s="6"/>
      <c r="BU197" s="6"/>
      <c r="BV197" s="35">
        <v>737</v>
      </c>
      <c r="BW197" s="6"/>
      <c r="BX197" s="35">
        <f t="shared" si="64"/>
        <v>254</v>
      </c>
      <c r="BY197" s="6">
        <v>982</v>
      </c>
      <c r="BZ197" s="6"/>
      <c r="CA197" s="6">
        <f t="shared" si="65"/>
        <v>245</v>
      </c>
      <c r="CB197" s="6">
        <v>126</v>
      </c>
      <c r="CC197" s="6">
        <v>1100</v>
      </c>
      <c r="CD197" s="6">
        <f t="shared" si="66"/>
        <v>244</v>
      </c>
      <c r="CE197" s="6">
        <v>376</v>
      </c>
      <c r="CF197" s="6"/>
      <c r="CG197" s="6">
        <f t="shared" si="67"/>
        <v>250</v>
      </c>
      <c r="CH197" s="6">
        <v>156</v>
      </c>
      <c r="CI197" s="6">
        <v>420</v>
      </c>
      <c r="CJ197" s="6">
        <f t="shared" si="68"/>
        <v>200</v>
      </c>
      <c r="CK197" s="6">
        <v>387</v>
      </c>
      <c r="CL197" s="6"/>
      <c r="CM197" s="6">
        <f t="shared" si="69"/>
        <v>231</v>
      </c>
      <c r="CN197" s="6"/>
      <c r="CO197" s="6"/>
      <c r="CP197" s="6"/>
      <c r="CQ197" s="6">
        <v>639</v>
      </c>
      <c r="CR197" s="6"/>
      <c r="CS197" s="6">
        <f t="shared" si="70"/>
        <v>252</v>
      </c>
      <c r="CT197" s="6">
        <v>884</v>
      </c>
      <c r="CU197" s="6"/>
      <c r="CV197" s="6">
        <f t="shared" si="71"/>
        <v>245</v>
      </c>
      <c r="CW197" s="6">
        <v>33</v>
      </c>
      <c r="CX197" s="6">
        <v>1100</v>
      </c>
      <c r="CY197" s="6">
        <f t="shared" si="72"/>
        <v>249</v>
      </c>
      <c r="CZ197" s="6">
        <v>282</v>
      </c>
      <c r="DA197" s="6"/>
      <c r="DB197" s="6">
        <f t="shared" si="73"/>
        <v>249</v>
      </c>
      <c r="DC197" s="6">
        <v>535</v>
      </c>
      <c r="DD197" s="6"/>
      <c r="DE197" s="6">
        <f t="shared" si="74"/>
        <v>253</v>
      </c>
      <c r="DF197" s="6">
        <v>771</v>
      </c>
      <c r="DG197" s="6"/>
      <c r="DH197" s="6">
        <f t="shared" si="75"/>
        <v>236</v>
      </c>
      <c r="DI197" s="6"/>
      <c r="DJ197" s="6"/>
      <c r="DK197" s="6"/>
      <c r="DL197" s="6">
        <v>1019</v>
      </c>
      <c r="DM197" s="6"/>
      <c r="DN197" s="6">
        <f t="shared" si="76"/>
        <v>248</v>
      </c>
      <c r="DO197" s="6">
        <v>143</v>
      </c>
      <c r="DP197" s="6">
        <v>1100</v>
      </c>
      <c r="DQ197" s="6">
        <f t="shared" si="77"/>
        <v>224</v>
      </c>
    </row>
    <row r="198" spans="1:121">
      <c r="A198" s="6">
        <v>194</v>
      </c>
      <c r="B198" s="6">
        <v>312</v>
      </c>
      <c r="C198" s="6"/>
      <c r="D198" s="6">
        <v>179</v>
      </c>
      <c r="E198" s="33" t="s">
        <v>79</v>
      </c>
      <c r="F198" s="33" t="s">
        <v>79</v>
      </c>
      <c r="G198" s="33" t="s">
        <v>79</v>
      </c>
      <c r="H198" s="33" t="s">
        <v>79</v>
      </c>
      <c r="I198" s="33" t="s">
        <v>79</v>
      </c>
      <c r="J198" s="33" t="s">
        <v>79</v>
      </c>
      <c r="K198" s="33" t="s">
        <v>79</v>
      </c>
      <c r="L198" s="33" t="s">
        <v>79</v>
      </c>
      <c r="M198" s="33" t="s">
        <v>79</v>
      </c>
      <c r="N198" s="33" t="s">
        <v>79</v>
      </c>
      <c r="O198" s="33" t="s">
        <v>79</v>
      </c>
      <c r="P198" s="33" t="s">
        <v>79</v>
      </c>
      <c r="Q198" s="33" t="s">
        <v>79</v>
      </c>
      <c r="R198" s="33" t="s">
        <v>79</v>
      </c>
      <c r="S198" s="33" t="s">
        <v>79</v>
      </c>
      <c r="T198" s="33" t="s">
        <v>79</v>
      </c>
      <c r="U198" s="33" t="s">
        <v>79</v>
      </c>
      <c r="V198" s="33" t="s">
        <v>79</v>
      </c>
      <c r="W198" s="33" t="s">
        <v>79</v>
      </c>
      <c r="X198" s="33" t="s">
        <v>79</v>
      </c>
      <c r="Y198" s="33" t="s">
        <v>79</v>
      </c>
      <c r="Z198" s="33" t="s">
        <v>79</v>
      </c>
      <c r="AA198" s="33" t="s">
        <v>79</v>
      </c>
      <c r="AB198" s="33" t="s">
        <v>79</v>
      </c>
      <c r="AC198" s="148" t="s">
        <v>72</v>
      </c>
      <c r="AD198" s="33" t="s">
        <v>72</v>
      </c>
      <c r="AE198" s="33" t="s">
        <v>72</v>
      </c>
      <c r="AF198" s="6">
        <v>31</v>
      </c>
      <c r="AG198" s="6">
        <v>486</v>
      </c>
      <c r="AH198" s="35">
        <f t="shared" ref="AH198:AH256" si="78">AG198+AF198-B198</f>
        <v>205</v>
      </c>
      <c r="AI198" s="35">
        <v>236</v>
      </c>
      <c r="AJ198" s="35"/>
      <c r="AK198" s="35">
        <f t="shared" ref="AK198:AK256" si="79">AJ198+AI198-AF198</f>
        <v>205</v>
      </c>
      <c r="AL198" s="6">
        <v>445</v>
      </c>
      <c r="AM198" s="6"/>
      <c r="AN198" s="35">
        <f t="shared" ref="AN198:AN256" si="80">AM198+AL198-AI198</f>
        <v>209</v>
      </c>
      <c r="AO198" s="6">
        <v>650</v>
      </c>
      <c r="AP198" s="6"/>
      <c r="AQ198" s="34">
        <f t="shared" ref="AQ198:AQ256" si="81">AP198+AO198-AL198</f>
        <v>205</v>
      </c>
      <c r="AR198" s="35">
        <v>857</v>
      </c>
      <c r="AS198" s="35"/>
      <c r="AT198" s="35">
        <f t="shared" ref="AT198:AT256" si="82">AS198+AR198-AO198</f>
        <v>207</v>
      </c>
      <c r="AU198" s="6">
        <v>1053</v>
      </c>
      <c r="AV198" s="6"/>
      <c r="AW198" s="35">
        <f t="shared" ref="AW198:AW256" si="83">AV198+AU198-AR198</f>
        <v>196</v>
      </c>
      <c r="AX198" s="6"/>
      <c r="AY198" s="6"/>
      <c r="AZ198" s="35"/>
      <c r="BA198" s="35">
        <v>167</v>
      </c>
      <c r="BB198" s="35">
        <v>1100</v>
      </c>
      <c r="BC198" s="35">
        <f t="shared" ref="BC198:BC256" si="84">BB198+BA198-AU198</f>
        <v>214</v>
      </c>
      <c r="BD198" s="6">
        <v>374</v>
      </c>
      <c r="BE198" s="6"/>
      <c r="BF198" s="35">
        <f t="shared" ref="BF198:BF256" si="85">BE198+BD198-BA198</f>
        <v>207</v>
      </c>
      <c r="BG198" s="35">
        <v>584</v>
      </c>
      <c r="BH198" s="6"/>
      <c r="BI198" s="6">
        <f t="shared" ref="BI198:BI256" si="86">BH198+BG198-BD198</f>
        <v>210</v>
      </c>
      <c r="BJ198" s="6">
        <v>797</v>
      </c>
      <c r="BK198" s="6"/>
      <c r="BL198" s="6">
        <f t="shared" ref="BL198:BL256" si="87">BK198+BJ198-BG198</f>
        <v>213</v>
      </c>
      <c r="BM198" s="6">
        <v>35</v>
      </c>
      <c r="BN198" s="35">
        <v>971</v>
      </c>
      <c r="BO198" s="6">
        <f t="shared" ref="BO198:BO256" si="88">BN198+BM198-BJ198</f>
        <v>209</v>
      </c>
      <c r="BP198" s="6">
        <v>244</v>
      </c>
      <c r="BQ198" s="6"/>
      <c r="BR198" s="35">
        <f t="shared" ref="BR198:BR256" si="89">BQ198+BP198-BM198</f>
        <v>209</v>
      </c>
      <c r="BS198" s="6"/>
      <c r="BT198" s="6"/>
      <c r="BU198" s="6"/>
      <c r="BV198" s="35">
        <v>470</v>
      </c>
      <c r="BW198" s="6"/>
      <c r="BX198" s="35">
        <f t="shared" ref="BX198:BX256" si="90">BW198+BV198-BP198</f>
        <v>226</v>
      </c>
      <c r="BY198" s="6">
        <v>702</v>
      </c>
      <c r="BZ198" s="6"/>
      <c r="CA198" s="6">
        <f t="shared" ref="CA198:CA256" si="91">BZ198+BY198-BV198</f>
        <v>232</v>
      </c>
      <c r="CB198" s="6">
        <v>929</v>
      </c>
      <c r="CC198" s="6"/>
      <c r="CD198" s="6">
        <f t="shared" ref="CD198:CD256" si="92">CC198+CB198-BY198</f>
        <v>227</v>
      </c>
      <c r="CE198" s="6">
        <v>62</v>
      </c>
      <c r="CF198" s="6">
        <v>1100</v>
      </c>
      <c r="CG198" s="6">
        <f t="shared" ref="CG198:CG256" si="93">CF198+CE198-CB198</f>
        <v>233</v>
      </c>
      <c r="CH198" s="6">
        <v>288</v>
      </c>
      <c r="CI198" s="6"/>
      <c r="CJ198" s="6">
        <f t="shared" ref="CJ198:CJ256" si="94">CI198+CH198-CE198</f>
        <v>226</v>
      </c>
      <c r="CK198" s="6">
        <v>513</v>
      </c>
      <c r="CL198" s="6"/>
      <c r="CM198" s="6">
        <f t="shared" ref="CM198:CM256" si="95">CL198+CK198-CH198</f>
        <v>225</v>
      </c>
      <c r="CN198" s="6"/>
      <c r="CO198" s="6"/>
      <c r="CP198" s="6"/>
      <c r="CQ198" s="6">
        <v>597</v>
      </c>
      <c r="CR198" s="6"/>
      <c r="CS198" s="6">
        <f t="shared" ref="CS198:CS256" si="96">CR198+CQ198-CK198</f>
        <v>84</v>
      </c>
      <c r="CT198" s="6">
        <v>0</v>
      </c>
      <c r="CU198" s="6">
        <v>597</v>
      </c>
      <c r="CV198" s="6">
        <f t="shared" ref="CV198:CV256" si="97">CU198+CT198-CQ198</f>
        <v>0</v>
      </c>
      <c r="CW198" s="6">
        <v>1</v>
      </c>
      <c r="CX198" s="6"/>
      <c r="CY198" s="6">
        <f t="shared" ref="CY198:CY256" si="98">CX198+CW198-CT198</f>
        <v>1</v>
      </c>
      <c r="CZ198" s="6">
        <v>234</v>
      </c>
      <c r="DA198" s="6"/>
      <c r="DB198" s="6">
        <f t="shared" ref="DB198:DB256" si="99">DA198+CZ198-CW198</f>
        <v>233</v>
      </c>
      <c r="DC198" s="6">
        <v>468</v>
      </c>
      <c r="DD198" s="6"/>
      <c r="DE198" s="6">
        <f t="shared" ref="DE198:DE256" si="100">DD198+DC198-CZ198</f>
        <v>234</v>
      </c>
      <c r="DF198" s="6">
        <v>3</v>
      </c>
      <c r="DG198" s="6">
        <v>529</v>
      </c>
      <c r="DH198" s="6">
        <f t="shared" ref="DH198:DH220" si="101">DG198+DF198-DC198</f>
        <v>64</v>
      </c>
      <c r="DI198" s="6"/>
      <c r="DJ198" s="6"/>
      <c r="DK198" s="6"/>
      <c r="DL198" s="6">
        <v>240</v>
      </c>
      <c r="DM198" s="6"/>
      <c r="DN198" s="6">
        <f t="shared" ref="DN198:DN220" si="102">DM198+DL198-DF198</f>
        <v>237</v>
      </c>
      <c r="DO198" s="6">
        <v>467</v>
      </c>
      <c r="DP198" s="6"/>
      <c r="DQ198" s="6">
        <f t="shared" ref="DQ198:DQ220" si="103">DP198+DO198-DL198</f>
        <v>227</v>
      </c>
    </row>
    <row r="199" spans="1:121">
      <c r="A199" s="6">
        <v>195</v>
      </c>
      <c r="B199" s="6">
        <v>626</v>
      </c>
      <c r="C199" s="6"/>
      <c r="D199" s="6">
        <v>228</v>
      </c>
      <c r="E199" s="33" t="s">
        <v>79</v>
      </c>
      <c r="F199" s="33" t="s">
        <v>79</v>
      </c>
      <c r="G199" s="33" t="s">
        <v>79</v>
      </c>
      <c r="H199" s="33" t="s">
        <v>79</v>
      </c>
      <c r="I199" s="33" t="s">
        <v>79</v>
      </c>
      <c r="J199" s="148" t="s">
        <v>72</v>
      </c>
      <c r="K199" s="33" t="s">
        <v>72</v>
      </c>
      <c r="L199" s="33" t="s">
        <v>72</v>
      </c>
      <c r="M199" s="33" t="s">
        <v>72</v>
      </c>
      <c r="N199" s="33" t="s">
        <v>72</v>
      </c>
      <c r="O199" s="33" t="s">
        <v>72</v>
      </c>
      <c r="P199" s="33" t="s">
        <v>72</v>
      </c>
      <c r="Q199" s="33" t="s">
        <v>72</v>
      </c>
      <c r="R199" s="33" t="s">
        <v>72</v>
      </c>
      <c r="S199" s="33" t="s">
        <v>72</v>
      </c>
      <c r="T199" s="33" t="s">
        <v>72</v>
      </c>
      <c r="U199" s="33" t="s">
        <v>72</v>
      </c>
      <c r="V199" s="33" t="s">
        <v>72</v>
      </c>
      <c r="W199" s="33" t="s">
        <v>72</v>
      </c>
      <c r="X199" s="33" t="s">
        <v>72</v>
      </c>
      <c r="Y199" s="33" t="s">
        <v>72</v>
      </c>
      <c r="Z199" s="33" t="s">
        <v>72</v>
      </c>
      <c r="AA199" s="33" t="s">
        <v>72</v>
      </c>
      <c r="AB199" s="33" t="s">
        <v>72</v>
      </c>
      <c r="AC199" s="33" t="s">
        <v>72</v>
      </c>
      <c r="AD199" s="148" t="s">
        <v>72</v>
      </c>
      <c r="AE199" s="33" t="s">
        <v>72</v>
      </c>
      <c r="AF199" s="35">
        <v>94</v>
      </c>
      <c r="AG199" s="35">
        <v>800</v>
      </c>
      <c r="AH199" s="35">
        <f t="shared" si="78"/>
        <v>268</v>
      </c>
      <c r="AI199" s="35">
        <v>342</v>
      </c>
      <c r="AJ199" s="35"/>
      <c r="AK199" s="35">
        <f t="shared" si="79"/>
        <v>248</v>
      </c>
      <c r="AL199" s="35">
        <v>591</v>
      </c>
      <c r="AM199" s="35"/>
      <c r="AN199" s="35">
        <f t="shared" si="80"/>
        <v>249</v>
      </c>
      <c r="AO199" s="35">
        <v>0</v>
      </c>
      <c r="AP199" s="35">
        <v>802</v>
      </c>
      <c r="AQ199" s="34">
        <f t="shared" si="81"/>
        <v>211</v>
      </c>
      <c r="AR199" s="35">
        <v>220</v>
      </c>
      <c r="AS199" s="35"/>
      <c r="AT199" s="35">
        <f t="shared" si="82"/>
        <v>220</v>
      </c>
      <c r="AU199" s="6">
        <v>451</v>
      </c>
      <c r="AV199" s="6"/>
      <c r="AW199" s="35">
        <f t="shared" si="83"/>
        <v>231</v>
      </c>
      <c r="AX199" s="6"/>
      <c r="AY199" s="6"/>
      <c r="AZ199" s="35"/>
      <c r="BA199" s="6">
        <v>702</v>
      </c>
      <c r="BB199" s="6"/>
      <c r="BC199" s="35">
        <f t="shared" si="84"/>
        <v>251</v>
      </c>
      <c r="BD199" s="6">
        <v>948</v>
      </c>
      <c r="BE199" s="6"/>
      <c r="BF199" s="35">
        <f t="shared" si="85"/>
        <v>246</v>
      </c>
      <c r="BG199" s="35">
        <v>95</v>
      </c>
      <c r="BH199" s="6">
        <v>1100</v>
      </c>
      <c r="BI199" s="6">
        <f t="shared" si="86"/>
        <v>247</v>
      </c>
      <c r="BJ199" s="6">
        <v>345</v>
      </c>
      <c r="BK199" s="35"/>
      <c r="BL199" s="6">
        <f t="shared" si="87"/>
        <v>250</v>
      </c>
      <c r="BM199" s="6">
        <v>597</v>
      </c>
      <c r="BN199" s="35"/>
      <c r="BO199" s="6">
        <f t="shared" si="88"/>
        <v>252</v>
      </c>
      <c r="BP199" s="6">
        <v>824</v>
      </c>
      <c r="BQ199" s="6"/>
      <c r="BR199" s="35">
        <f t="shared" si="89"/>
        <v>227</v>
      </c>
      <c r="BS199" s="35"/>
      <c r="BT199" s="6"/>
      <c r="BU199" s="6"/>
      <c r="BV199" s="35">
        <v>1064</v>
      </c>
      <c r="BW199" s="6"/>
      <c r="BX199" s="35">
        <f t="shared" si="90"/>
        <v>240</v>
      </c>
      <c r="BY199" s="6">
        <v>209</v>
      </c>
      <c r="BZ199" s="35">
        <v>1100</v>
      </c>
      <c r="CA199" s="6">
        <f t="shared" si="91"/>
        <v>245</v>
      </c>
      <c r="CB199" s="6">
        <v>453</v>
      </c>
      <c r="CC199" s="6"/>
      <c r="CD199" s="6">
        <f t="shared" si="92"/>
        <v>244</v>
      </c>
      <c r="CE199" s="6">
        <v>700</v>
      </c>
      <c r="CF199" s="35"/>
      <c r="CG199" s="6">
        <f t="shared" si="93"/>
        <v>247</v>
      </c>
      <c r="CH199" s="6">
        <v>203</v>
      </c>
      <c r="CI199" s="6">
        <v>721</v>
      </c>
      <c r="CJ199" s="6">
        <f t="shared" si="94"/>
        <v>224</v>
      </c>
      <c r="CK199" s="6">
        <v>432</v>
      </c>
      <c r="CL199" s="6"/>
      <c r="CM199" s="6">
        <f t="shared" si="95"/>
        <v>229</v>
      </c>
      <c r="CN199" s="6"/>
      <c r="CO199" s="6"/>
      <c r="CP199" s="6"/>
      <c r="CQ199" s="6">
        <v>672</v>
      </c>
      <c r="CR199" s="35"/>
      <c r="CS199" s="6">
        <f t="shared" si="96"/>
        <v>240</v>
      </c>
      <c r="CT199" s="6">
        <v>913</v>
      </c>
      <c r="CU199" s="6"/>
      <c r="CV199" s="6">
        <f t="shared" si="97"/>
        <v>241</v>
      </c>
      <c r="CW199" s="6">
        <v>55</v>
      </c>
      <c r="CX199" s="6">
        <v>1100</v>
      </c>
      <c r="CY199" s="6">
        <f t="shared" si="98"/>
        <v>242</v>
      </c>
      <c r="CZ199" s="6">
        <v>297</v>
      </c>
      <c r="DA199" s="6"/>
      <c r="DB199" s="6">
        <f t="shared" si="99"/>
        <v>242</v>
      </c>
      <c r="DC199" s="6">
        <v>526</v>
      </c>
      <c r="DD199" s="6"/>
      <c r="DE199" s="6">
        <f t="shared" si="100"/>
        <v>229</v>
      </c>
      <c r="DF199" s="6">
        <v>0</v>
      </c>
      <c r="DG199" s="6">
        <v>754</v>
      </c>
      <c r="DH199" s="6">
        <f t="shared" si="101"/>
        <v>228</v>
      </c>
      <c r="DI199" s="6"/>
      <c r="DJ199" s="6"/>
      <c r="DK199" s="6"/>
      <c r="DL199" s="6">
        <v>232</v>
      </c>
      <c r="DM199" s="6"/>
      <c r="DN199" s="6">
        <f t="shared" si="102"/>
        <v>232</v>
      </c>
      <c r="DO199" s="6">
        <v>461</v>
      </c>
      <c r="DP199" s="6"/>
      <c r="DQ199" s="6">
        <f t="shared" si="103"/>
        <v>229</v>
      </c>
    </row>
    <row r="200" spans="1:121">
      <c r="A200" s="6">
        <v>196</v>
      </c>
      <c r="B200" s="6">
        <v>70</v>
      </c>
      <c r="C200" s="6">
        <v>800</v>
      </c>
      <c r="D200" s="6">
        <v>227</v>
      </c>
      <c r="E200" s="33" t="s">
        <v>79</v>
      </c>
      <c r="F200" s="33" t="s">
        <v>79</v>
      </c>
      <c r="G200" s="33" t="s">
        <v>79</v>
      </c>
      <c r="H200" s="33" t="s">
        <v>79</v>
      </c>
      <c r="I200" s="33" t="s">
        <v>79</v>
      </c>
      <c r="J200" s="33" t="s">
        <v>79</v>
      </c>
      <c r="K200" s="33" t="s">
        <v>79</v>
      </c>
      <c r="L200" s="33" t="s">
        <v>79</v>
      </c>
      <c r="M200" s="148" t="s">
        <v>72</v>
      </c>
      <c r="N200" s="33" t="s">
        <v>72</v>
      </c>
      <c r="O200" s="33" t="s">
        <v>72</v>
      </c>
      <c r="P200" s="33" t="s">
        <v>72</v>
      </c>
      <c r="Q200" s="33" t="s">
        <v>72</v>
      </c>
      <c r="R200" s="33" t="s">
        <v>72</v>
      </c>
      <c r="S200" s="33" t="s">
        <v>72</v>
      </c>
      <c r="T200" s="33" t="s">
        <v>72</v>
      </c>
      <c r="U200" s="33" t="s">
        <v>72</v>
      </c>
      <c r="V200" s="33" t="s">
        <v>72</v>
      </c>
      <c r="W200" s="33" t="s">
        <v>72</v>
      </c>
      <c r="X200" s="33" t="s">
        <v>72</v>
      </c>
      <c r="Y200" s="33" t="s">
        <v>72</v>
      </c>
      <c r="Z200" s="33" t="s">
        <v>72</v>
      </c>
      <c r="AA200" s="33" t="s">
        <v>72</v>
      </c>
      <c r="AB200" s="33" t="s">
        <v>72</v>
      </c>
      <c r="AC200" s="33" t="s">
        <v>72</v>
      </c>
      <c r="AD200" s="33" t="s">
        <v>72</v>
      </c>
      <c r="AE200" s="33" t="s">
        <v>72</v>
      </c>
      <c r="AF200" s="6">
        <v>337</v>
      </c>
      <c r="AG200" s="6"/>
      <c r="AH200" s="35">
        <f t="shared" si="78"/>
        <v>267</v>
      </c>
      <c r="AI200" s="35">
        <v>585</v>
      </c>
      <c r="AJ200" s="35"/>
      <c r="AK200" s="35">
        <f t="shared" si="79"/>
        <v>248</v>
      </c>
      <c r="AL200" s="6">
        <v>33</v>
      </c>
      <c r="AM200" s="6">
        <v>800</v>
      </c>
      <c r="AN200" s="35">
        <f t="shared" si="80"/>
        <v>248</v>
      </c>
      <c r="AO200" s="35">
        <v>261</v>
      </c>
      <c r="AP200" s="6"/>
      <c r="AQ200" s="34">
        <f t="shared" si="81"/>
        <v>228</v>
      </c>
      <c r="AR200" s="35">
        <v>512</v>
      </c>
      <c r="AS200" s="35"/>
      <c r="AT200" s="35">
        <f t="shared" si="82"/>
        <v>251</v>
      </c>
      <c r="AU200" s="6">
        <v>697</v>
      </c>
      <c r="AV200" s="6"/>
      <c r="AW200" s="35">
        <f t="shared" si="83"/>
        <v>185</v>
      </c>
      <c r="AX200" s="6"/>
      <c r="AY200" s="6"/>
      <c r="AZ200" s="35"/>
      <c r="BA200" s="35">
        <v>0</v>
      </c>
      <c r="BB200" s="35">
        <v>921</v>
      </c>
      <c r="BC200" s="35">
        <f t="shared" si="84"/>
        <v>224</v>
      </c>
      <c r="BD200" s="6">
        <v>226</v>
      </c>
      <c r="BE200" s="6"/>
      <c r="BF200" s="35">
        <f t="shared" si="85"/>
        <v>226</v>
      </c>
      <c r="BG200" s="35">
        <v>227</v>
      </c>
      <c r="BH200" s="6">
        <v>243</v>
      </c>
      <c r="BI200" s="6">
        <f t="shared" si="86"/>
        <v>244</v>
      </c>
      <c r="BJ200" s="6">
        <v>467</v>
      </c>
      <c r="BK200" s="6"/>
      <c r="BL200" s="6">
        <f t="shared" si="87"/>
        <v>240</v>
      </c>
      <c r="BM200" s="6">
        <v>13</v>
      </c>
      <c r="BN200" s="35">
        <v>701</v>
      </c>
      <c r="BO200" s="6">
        <f t="shared" si="88"/>
        <v>247</v>
      </c>
      <c r="BP200" s="6">
        <v>3</v>
      </c>
      <c r="BQ200" s="6">
        <v>241</v>
      </c>
      <c r="BR200" s="35">
        <f t="shared" si="89"/>
        <v>231</v>
      </c>
      <c r="BS200" s="35"/>
      <c r="BT200" s="6"/>
      <c r="BU200" s="6"/>
      <c r="BV200" s="35">
        <v>254</v>
      </c>
      <c r="BW200" s="6"/>
      <c r="BX200" s="35">
        <f t="shared" si="90"/>
        <v>251</v>
      </c>
      <c r="BY200" s="6">
        <v>95</v>
      </c>
      <c r="BZ200" s="6">
        <v>403</v>
      </c>
      <c r="CA200" s="6">
        <f t="shared" si="91"/>
        <v>244</v>
      </c>
      <c r="CB200" s="6">
        <v>342</v>
      </c>
      <c r="CC200" s="6"/>
      <c r="CD200" s="6">
        <f t="shared" si="92"/>
        <v>247</v>
      </c>
      <c r="CE200" s="6">
        <v>596</v>
      </c>
      <c r="CF200" s="6"/>
      <c r="CG200" s="6">
        <f t="shared" si="93"/>
        <v>254</v>
      </c>
      <c r="CH200" s="6">
        <v>842</v>
      </c>
      <c r="CI200" s="6"/>
      <c r="CJ200" s="6">
        <f t="shared" si="94"/>
        <v>246</v>
      </c>
      <c r="CK200" s="6">
        <v>1085</v>
      </c>
      <c r="CL200" s="6"/>
      <c r="CM200" s="6">
        <f t="shared" si="95"/>
        <v>243</v>
      </c>
      <c r="CN200" s="6"/>
      <c r="CO200" s="6"/>
      <c r="CP200" s="6"/>
      <c r="CQ200" s="6">
        <v>237</v>
      </c>
      <c r="CR200" s="6">
        <v>1100</v>
      </c>
      <c r="CS200" s="6">
        <f t="shared" si="96"/>
        <v>252</v>
      </c>
      <c r="CT200" s="6">
        <v>486</v>
      </c>
      <c r="CU200" s="6"/>
      <c r="CV200" s="6">
        <f t="shared" si="97"/>
        <v>249</v>
      </c>
      <c r="CW200" s="6">
        <v>155</v>
      </c>
      <c r="CX200" s="6">
        <v>577</v>
      </c>
      <c r="CY200" s="6">
        <f t="shared" si="98"/>
        <v>246</v>
      </c>
      <c r="CZ200" s="6">
        <v>179</v>
      </c>
      <c r="DA200" s="6"/>
      <c r="DB200" s="6">
        <f t="shared" si="99"/>
        <v>24</v>
      </c>
      <c r="DC200" s="6">
        <v>184</v>
      </c>
      <c r="DD200" s="6">
        <v>201</v>
      </c>
      <c r="DE200" s="6">
        <f t="shared" si="100"/>
        <v>206</v>
      </c>
      <c r="DF200" s="6">
        <v>408</v>
      </c>
      <c r="DG200" s="6"/>
      <c r="DH200" s="6">
        <f t="shared" si="101"/>
        <v>224</v>
      </c>
      <c r="DI200" s="6"/>
      <c r="DJ200" s="6"/>
      <c r="DK200" s="6"/>
      <c r="DL200" s="6">
        <v>93</v>
      </c>
      <c r="DM200" s="6">
        <v>565</v>
      </c>
      <c r="DN200" s="6">
        <f t="shared" si="102"/>
        <v>250</v>
      </c>
      <c r="DO200" s="6">
        <v>77</v>
      </c>
      <c r="DP200" s="6">
        <v>203</v>
      </c>
      <c r="DQ200" s="6">
        <f t="shared" si="103"/>
        <v>187</v>
      </c>
    </row>
    <row r="201" spans="1:121">
      <c r="A201" s="6">
        <v>197</v>
      </c>
      <c r="B201" s="6">
        <v>204</v>
      </c>
      <c r="C201" s="10"/>
      <c r="D201" s="6">
        <v>204</v>
      </c>
      <c r="E201" s="148" t="s">
        <v>72</v>
      </c>
      <c r="F201" s="33" t="s">
        <v>72</v>
      </c>
      <c r="G201" s="33" t="s">
        <v>72</v>
      </c>
      <c r="H201" s="33" t="s">
        <v>72</v>
      </c>
      <c r="I201" s="33" t="s">
        <v>72</v>
      </c>
      <c r="J201" s="33" t="s">
        <v>72</v>
      </c>
      <c r="K201" s="33" t="s">
        <v>72</v>
      </c>
      <c r="L201" s="33" t="s">
        <v>72</v>
      </c>
      <c r="M201" s="33" t="s">
        <v>72</v>
      </c>
      <c r="N201" s="33" t="s">
        <v>72</v>
      </c>
      <c r="O201" s="33" t="s">
        <v>72</v>
      </c>
      <c r="P201" s="33" t="s">
        <v>72</v>
      </c>
      <c r="Q201" s="33" t="s">
        <v>72</v>
      </c>
      <c r="R201" s="33" t="s">
        <v>72</v>
      </c>
      <c r="S201" s="33" t="s">
        <v>72</v>
      </c>
      <c r="T201" s="33" t="s">
        <v>72</v>
      </c>
      <c r="U201" s="33" t="s">
        <v>72</v>
      </c>
      <c r="V201" s="33" t="s">
        <v>72</v>
      </c>
      <c r="W201" s="33" t="s">
        <v>72</v>
      </c>
      <c r="X201" s="33" t="s">
        <v>72</v>
      </c>
      <c r="Y201" s="148" t="s">
        <v>72</v>
      </c>
      <c r="Z201" s="33" t="s">
        <v>72</v>
      </c>
      <c r="AA201" s="33" t="s">
        <v>72</v>
      </c>
      <c r="AB201" s="33" t="s">
        <v>72</v>
      </c>
      <c r="AC201" s="33" t="s">
        <v>72</v>
      </c>
      <c r="AD201" s="33" t="s">
        <v>72</v>
      </c>
      <c r="AE201" s="33" t="s">
        <v>72</v>
      </c>
      <c r="AF201" s="6">
        <v>462</v>
      </c>
      <c r="AG201" s="6"/>
      <c r="AH201" s="35">
        <f t="shared" si="78"/>
        <v>258</v>
      </c>
      <c r="AI201" s="35">
        <v>710</v>
      </c>
      <c r="AJ201" s="35"/>
      <c r="AK201" s="35">
        <f t="shared" si="79"/>
        <v>248</v>
      </c>
      <c r="AL201" s="6">
        <v>67</v>
      </c>
      <c r="AM201" s="6">
        <v>890</v>
      </c>
      <c r="AN201" s="35">
        <f t="shared" si="80"/>
        <v>247</v>
      </c>
      <c r="AO201" s="6">
        <v>314</v>
      </c>
      <c r="AP201" s="6"/>
      <c r="AQ201" s="34">
        <f t="shared" si="81"/>
        <v>247</v>
      </c>
      <c r="AR201" s="35">
        <v>561</v>
      </c>
      <c r="AS201" s="35"/>
      <c r="AT201" s="35">
        <f t="shared" si="82"/>
        <v>247</v>
      </c>
      <c r="AU201" s="6">
        <v>217</v>
      </c>
      <c r="AV201" s="6">
        <v>574</v>
      </c>
      <c r="AW201" s="35">
        <f t="shared" si="83"/>
        <v>230</v>
      </c>
      <c r="AX201" s="6"/>
      <c r="AY201" s="6"/>
      <c r="AZ201" s="35"/>
      <c r="BA201" s="35">
        <v>470</v>
      </c>
      <c r="BB201" s="35"/>
      <c r="BC201" s="35">
        <f t="shared" si="84"/>
        <v>253</v>
      </c>
      <c r="BD201" s="6">
        <v>716</v>
      </c>
      <c r="BE201" s="6"/>
      <c r="BF201" s="35">
        <f t="shared" si="85"/>
        <v>246</v>
      </c>
      <c r="BG201" s="35">
        <v>130</v>
      </c>
      <c r="BH201" s="6">
        <v>835</v>
      </c>
      <c r="BI201" s="6">
        <f t="shared" si="86"/>
        <v>249</v>
      </c>
      <c r="BJ201" s="6">
        <v>374</v>
      </c>
      <c r="BK201" s="6"/>
      <c r="BL201" s="6">
        <f t="shared" si="87"/>
        <v>244</v>
      </c>
      <c r="BM201" s="6">
        <v>623</v>
      </c>
      <c r="BN201" s="35"/>
      <c r="BO201" s="6">
        <f t="shared" si="88"/>
        <v>249</v>
      </c>
      <c r="BP201" s="6">
        <v>855</v>
      </c>
      <c r="BQ201" s="6"/>
      <c r="BR201" s="35">
        <f t="shared" si="89"/>
        <v>232</v>
      </c>
      <c r="BS201" s="35"/>
      <c r="BT201" s="6"/>
      <c r="BU201" s="6"/>
      <c r="BV201" s="35">
        <v>7</v>
      </c>
      <c r="BW201" s="6">
        <v>1100</v>
      </c>
      <c r="BX201" s="35">
        <f t="shared" si="90"/>
        <v>252</v>
      </c>
      <c r="BY201" s="6">
        <v>251</v>
      </c>
      <c r="BZ201" s="6"/>
      <c r="CA201" s="6">
        <f t="shared" si="91"/>
        <v>244</v>
      </c>
      <c r="CB201" s="6">
        <v>497</v>
      </c>
      <c r="CC201" s="6"/>
      <c r="CD201" s="6">
        <f t="shared" si="92"/>
        <v>246</v>
      </c>
      <c r="CE201" s="6">
        <v>746</v>
      </c>
      <c r="CF201" s="6"/>
      <c r="CG201" s="6">
        <f t="shared" si="93"/>
        <v>249</v>
      </c>
      <c r="CH201" s="6">
        <v>12</v>
      </c>
      <c r="CI201" s="6">
        <v>977</v>
      </c>
      <c r="CJ201" s="6">
        <f t="shared" si="94"/>
        <v>243</v>
      </c>
      <c r="CK201" s="6">
        <v>245</v>
      </c>
      <c r="CL201" s="6"/>
      <c r="CM201" s="6">
        <f t="shared" si="95"/>
        <v>233</v>
      </c>
      <c r="CN201" s="6"/>
      <c r="CO201" s="6"/>
      <c r="CP201" s="6"/>
      <c r="CQ201" s="6">
        <v>0</v>
      </c>
      <c r="CR201" s="6">
        <v>435</v>
      </c>
      <c r="CS201" s="6">
        <f t="shared" si="96"/>
        <v>190</v>
      </c>
      <c r="CT201" s="6">
        <v>228</v>
      </c>
      <c r="CU201" s="6"/>
      <c r="CV201" s="6">
        <f t="shared" si="97"/>
        <v>228</v>
      </c>
      <c r="CW201" s="6">
        <v>473</v>
      </c>
      <c r="CX201" s="6"/>
      <c r="CY201" s="6">
        <f t="shared" si="98"/>
        <v>245</v>
      </c>
      <c r="CZ201" s="6">
        <v>109</v>
      </c>
      <c r="DA201" s="6">
        <v>610</v>
      </c>
      <c r="DB201" s="6">
        <f t="shared" si="99"/>
        <v>246</v>
      </c>
      <c r="DC201" s="6">
        <v>353</v>
      </c>
      <c r="DD201" s="6"/>
      <c r="DE201" s="6">
        <f t="shared" si="100"/>
        <v>244</v>
      </c>
      <c r="DF201" s="6">
        <v>588</v>
      </c>
      <c r="DG201" s="10"/>
      <c r="DH201" s="6">
        <f t="shared" si="101"/>
        <v>235</v>
      </c>
      <c r="DI201" s="6"/>
      <c r="DJ201" s="10"/>
      <c r="DK201" s="6"/>
      <c r="DL201" s="6">
        <v>834</v>
      </c>
      <c r="DM201" s="10"/>
      <c r="DN201" s="6">
        <f t="shared" si="102"/>
        <v>246</v>
      </c>
      <c r="DO201" s="6">
        <v>1062</v>
      </c>
      <c r="DP201" s="10"/>
      <c r="DQ201" s="6">
        <f t="shared" si="103"/>
        <v>228</v>
      </c>
    </row>
    <row r="202" spans="1:121">
      <c r="A202" s="6">
        <v>198</v>
      </c>
      <c r="B202" s="6">
        <v>254</v>
      </c>
      <c r="C202" s="10"/>
      <c r="D202" s="6">
        <v>216</v>
      </c>
      <c r="E202" s="33" t="s">
        <v>79</v>
      </c>
      <c r="F202" s="33" t="s">
        <v>79</v>
      </c>
      <c r="G202" s="33" t="s">
        <v>79</v>
      </c>
      <c r="H202" s="148" t="s">
        <v>79</v>
      </c>
      <c r="I202" s="33" t="s">
        <v>79</v>
      </c>
      <c r="J202" s="33" t="s">
        <v>79</v>
      </c>
      <c r="K202" s="33" t="s">
        <v>79</v>
      </c>
      <c r="L202" s="33" t="s">
        <v>79</v>
      </c>
      <c r="M202" s="33" t="s">
        <v>79</v>
      </c>
      <c r="N202" s="33" t="s">
        <v>79</v>
      </c>
      <c r="O202" s="33" t="s">
        <v>79</v>
      </c>
      <c r="P202" s="33" t="s">
        <v>79</v>
      </c>
      <c r="Q202" s="33" t="s">
        <v>79</v>
      </c>
      <c r="R202" s="33" t="s">
        <v>79</v>
      </c>
      <c r="S202" s="148" t="s">
        <v>72</v>
      </c>
      <c r="T202" s="33" t="s">
        <v>72</v>
      </c>
      <c r="U202" s="33" t="s">
        <v>72</v>
      </c>
      <c r="V202" s="33" t="s">
        <v>72</v>
      </c>
      <c r="W202" s="33" t="s">
        <v>72</v>
      </c>
      <c r="X202" s="33" t="s">
        <v>72</v>
      </c>
      <c r="Y202" s="33" t="s">
        <v>72</v>
      </c>
      <c r="Z202" s="33" t="s">
        <v>72</v>
      </c>
      <c r="AA202" s="33" t="s">
        <v>72</v>
      </c>
      <c r="AB202" s="33" t="s">
        <v>72</v>
      </c>
      <c r="AC202" s="33" t="s">
        <v>72</v>
      </c>
      <c r="AD202" s="33" t="s">
        <v>72</v>
      </c>
      <c r="AE202" s="33" t="s">
        <v>72</v>
      </c>
      <c r="AF202" s="6">
        <v>520</v>
      </c>
      <c r="AG202" s="6"/>
      <c r="AH202" s="35">
        <f t="shared" si="78"/>
        <v>266</v>
      </c>
      <c r="AI202" s="35">
        <v>772</v>
      </c>
      <c r="AJ202" s="35"/>
      <c r="AK202" s="35">
        <f t="shared" si="79"/>
        <v>252</v>
      </c>
      <c r="AL202" s="6">
        <v>187</v>
      </c>
      <c r="AM202" s="6">
        <v>812</v>
      </c>
      <c r="AN202" s="35">
        <f t="shared" si="80"/>
        <v>227</v>
      </c>
      <c r="AO202" s="6">
        <v>443</v>
      </c>
      <c r="AP202" s="6"/>
      <c r="AQ202" s="34">
        <f t="shared" si="81"/>
        <v>256</v>
      </c>
      <c r="AR202" s="35">
        <v>40</v>
      </c>
      <c r="AS202" s="35">
        <v>647</v>
      </c>
      <c r="AT202" s="35">
        <f t="shared" si="82"/>
        <v>244</v>
      </c>
      <c r="AU202" s="6">
        <v>272</v>
      </c>
      <c r="AV202" s="6"/>
      <c r="AW202" s="35">
        <f t="shared" si="83"/>
        <v>232</v>
      </c>
      <c r="AX202" s="6"/>
      <c r="AY202" s="6"/>
      <c r="AZ202" s="35"/>
      <c r="BA202" s="35">
        <v>520</v>
      </c>
      <c r="BB202" s="35"/>
      <c r="BC202" s="35">
        <f t="shared" si="84"/>
        <v>248</v>
      </c>
      <c r="BD202" s="6">
        <v>762</v>
      </c>
      <c r="BE202" s="6"/>
      <c r="BF202" s="35">
        <f t="shared" si="85"/>
        <v>242</v>
      </c>
      <c r="BG202" s="35">
        <v>203</v>
      </c>
      <c r="BH202" s="6">
        <v>800</v>
      </c>
      <c r="BI202" s="6">
        <f t="shared" si="86"/>
        <v>241</v>
      </c>
      <c r="BJ202" s="6">
        <v>444</v>
      </c>
      <c r="BK202" s="6"/>
      <c r="BL202" s="6">
        <f t="shared" si="87"/>
        <v>241</v>
      </c>
      <c r="BM202" s="6">
        <v>693</v>
      </c>
      <c r="BN202" s="35"/>
      <c r="BO202" s="6">
        <f t="shared" si="88"/>
        <v>249</v>
      </c>
      <c r="BP202" s="6">
        <v>182</v>
      </c>
      <c r="BQ202" s="6">
        <v>705</v>
      </c>
      <c r="BR202" s="35">
        <f t="shared" si="89"/>
        <v>194</v>
      </c>
      <c r="BS202" s="35"/>
      <c r="BT202" s="6"/>
      <c r="BU202" s="6"/>
      <c r="BV202" s="35">
        <v>429</v>
      </c>
      <c r="BW202" s="6"/>
      <c r="BX202" s="35">
        <f t="shared" si="90"/>
        <v>247</v>
      </c>
      <c r="BY202" s="6">
        <f>34</f>
        <v>34</v>
      </c>
      <c r="BZ202" s="6">
        <f>477+147</f>
        <v>624</v>
      </c>
      <c r="CA202" s="6">
        <f t="shared" si="91"/>
        <v>229</v>
      </c>
      <c r="CB202" s="6">
        <v>52</v>
      </c>
      <c r="CC202" s="6">
        <v>220</v>
      </c>
      <c r="CD202" s="6">
        <f t="shared" si="92"/>
        <v>238</v>
      </c>
      <c r="CE202" s="6">
        <v>294</v>
      </c>
      <c r="CF202" s="6"/>
      <c r="CG202" s="6">
        <f t="shared" si="93"/>
        <v>242</v>
      </c>
      <c r="CH202" s="6">
        <v>540</v>
      </c>
      <c r="CI202" s="6"/>
      <c r="CJ202" s="6">
        <f t="shared" si="94"/>
        <v>246</v>
      </c>
      <c r="CK202" s="6">
        <v>185</v>
      </c>
      <c r="CL202" s="6">
        <v>595</v>
      </c>
      <c r="CM202" s="6">
        <f t="shared" si="95"/>
        <v>240</v>
      </c>
      <c r="CN202" s="6"/>
      <c r="CO202" s="6"/>
      <c r="CP202" s="6"/>
      <c r="CQ202" s="6">
        <v>433</v>
      </c>
      <c r="CR202" s="6"/>
      <c r="CS202" s="6">
        <f t="shared" si="96"/>
        <v>248</v>
      </c>
      <c r="CT202" s="6">
        <v>678</v>
      </c>
      <c r="CU202" s="6"/>
      <c r="CV202" s="6">
        <f t="shared" si="97"/>
        <v>245</v>
      </c>
      <c r="CW202" s="6">
        <v>918</v>
      </c>
      <c r="CX202" s="6"/>
      <c r="CY202" s="6">
        <f t="shared" si="98"/>
        <v>240</v>
      </c>
      <c r="CZ202" s="6">
        <v>64</v>
      </c>
      <c r="DA202" s="6">
        <v>1100</v>
      </c>
      <c r="DB202" s="6">
        <f t="shared" si="99"/>
        <v>246</v>
      </c>
      <c r="DC202" s="6">
        <v>315</v>
      </c>
      <c r="DD202" s="6"/>
      <c r="DE202" s="6">
        <f t="shared" si="100"/>
        <v>251</v>
      </c>
      <c r="DF202" s="6">
        <v>550</v>
      </c>
      <c r="DG202" s="10"/>
      <c r="DH202" s="6">
        <f t="shared" si="101"/>
        <v>235</v>
      </c>
      <c r="DI202" s="6"/>
      <c r="DJ202" s="10"/>
      <c r="DK202" s="6"/>
      <c r="DL202" s="6">
        <v>790</v>
      </c>
      <c r="DM202" s="10"/>
      <c r="DN202" s="6">
        <f t="shared" si="102"/>
        <v>240</v>
      </c>
      <c r="DO202" s="6">
        <v>1020</v>
      </c>
      <c r="DP202" s="10"/>
      <c r="DQ202" s="6">
        <f t="shared" si="103"/>
        <v>230</v>
      </c>
    </row>
    <row r="203" spans="1:121">
      <c r="A203" s="6">
        <v>199</v>
      </c>
      <c r="B203" s="6">
        <v>133</v>
      </c>
      <c r="C203" s="10">
        <v>1100</v>
      </c>
      <c r="D203" s="6">
        <v>231</v>
      </c>
      <c r="E203" s="33" t="s">
        <v>75</v>
      </c>
      <c r="F203" s="33" t="s">
        <v>75</v>
      </c>
      <c r="G203" s="33" t="s">
        <v>75</v>
      </c>
      <c r="H203" s="33" t="s">
        <v>75</v>
      </c>
      <c r="I203" s="33" t="s">
        <v>75</v>
      </c>
      <c r="J203" s="33" t="s">
        <v>75</v>
      </c>
      <c r="K203" s="33" t="s">
        <v>75</v>
      </c>
      <c r="L203" s="33" t="s">
        <v>75</v>
      </c>
      <c r="M203" s="33" t="s">
        <v>75</v>
      </c>
      <c r="N203" s="33" t="s">
        <v>75</v>
      </c>
      <c r="O203" s="33" t="s">
        <v>75</v>
      </c>
      <c r="P203" s="33" t="s">
        <v>75</v>
      </c>
      <c r="Q203" s="33" t="s">
        <v>75</v>
      </c>
      <c r="R203" s="33" t="s">
        <v>75</v>
      </c>
      <c r="S203" s="33" t="s">
        <v>75</v>
      </c>
      <c r="T203" s="33" t="s">
        <v>75</v>
      </c>
      <c r="U203" s="148" t="s">
        <v>75</v>
      </c>
      <c r="V203" s="33" t="s">
        <v>75</v>
      </c>
      <c r="W203" s="33" t="s">
        <v>75</v>
      </c>
      <c r="X203" s="33" t="s">
        <v>75</v>
      </c>
      <c r="Y203" s="33" t="s">
        <v>75</v>
      </c>
      <c r="Z203" s="33" t="s">
        <v>75</v>
      </c>
      <c r="AA203" s="33" t="s">
        <v>75</v>
      </c>
      <c r="AB203" s="33" t="s">
        <v>75</v>
      </c>
      <c r="AC203" s="33" t="s">
        <v>75</v>
      </c>
      <c r="AD203" s="33" t="s">
        <v>75</v>
      </c>
      <c r="AE203" s="33" t="s">
        <v>75</v>
      </c>
      <c r="AF203" s="6">
        <v>405</v>
      </c>
      <c r="AG203" s="6"/>
      <c r="AH203" s="35">
        <f t="shared" si="78"/>
        <v>272</v>
      </c>
      <c r="AI203" s="35">
        <v>652</v>
      </c>
      <c r="AJ203" s="35"/>
      <c r="AK203" s="35">
        <f t="shared" si="79"/>
        <v>247</v>
      </c>
      <c r="AL203" s="6">
        <v>908</v>
      </c>
      <c r="AM203" s="6"/>
      <c r="AN203" s="35">
        <f t="shared" si="80"/>
        <v>256</v>
      </c>
      <c r="AO203" s="6">
        <v>61</v>
      </c>
      <c r="AP203" s="6">
        <v>1100</v>
      </c>
      <c r="AQ203" s="34">
        <f t="shared" si="81"/>
        <v>253</v>
      </c>
      <c r="AR203" s="35">
        <v>315</v>
      </c>
      <c r="AS203" s="35"/>
      <c r="AT203" s="35">
        <f t="shared" si="82"/>
        <v>254</v>
      </c>
      <c r="AU203" s="6">
        <v>552</v>
      </c>
      <c r="AV203" s="6"/>
      <c r="AW203" s="35">
        <f t="shared" si="83"/>
        <v>237</v>
      </c>
      <c r="AX203" s="6"/>
      <c r="AY203" s="6"/>
      <c r="AZ203" s="35"/>
      <c r="BA203" s="35">
        <v>806</v>
      </c>
      <c r="BB203" s="35"/>
      <c r="BC203" s="35">
        <f t="shared" si="84"/>
        <v>254</v>
      </c>
      <c r="BD203" s="6">
        <v>1052</v>
      </c>
      <c r="BE203" s="6"/>
      <c r="BF203" s="35">
        <f t="shared" si="85"/>
        <v>246</v>
      </c>
      <c r="BG203" s="35">
        <v>203</v>
      </c>
      <c r="BH203" s="6">
        <v>1100</v>
      </c>
      <c r="BI203" s="6">
        <f t="shared" si="86"/>
        <v>251</v>
      </c>
      <c r="BJ203" s="6">
        <v>454</v>
      </c>
      <c r="BK203" s="6"/>
      <c r="BL203" s="6">
        <f t="shared" si="87"/>
        <v>251</v>
      </c>
      <c r="BM203" s="6">
        <v>706</v>
      </c>
      <c r="BN203" s="35"/>
      <c r="BO203" s="6">
        <f t="shared" si="88"/>
        <v>252</v>
      </c>
      <c r="BP203" s="6">
        <v>945</v>
      </c>
      <c r="BQ203" s="6"/>
      <c r="BR203" s="35">
        <f t="shared" si="89"/>
        <v>239</v>
      </c>
      <c r="BS203" s="35"/>
      <c r="BT203" s="6"/>
      <c r="BU203" s="6"/>
      <c r="BV203" s="35">
        <v>98</v>
      </c>
      <c r="BW203" s="6">
        <v>1100</v>
      </c>
      <c r="BX203" s="35">
        <f t="shared" si="90"/>
        <v>253</v>
      </c>
      <c r="BY203" s="6">
        <v>342</v>
      </c>
      <c r="BZ203" s="6"/>
      <c r="CA203" s="6">
        <f t="shared" si="91"/>
        <v>244</v>
      </c>
      <c r="CB203" s="6">
        <v>0</v>
      </c>
      <c r="CC203" s="6">
        <v>440</v>
      </c>
      <c r="CD203" s="6">
        <f t="shared" si="92"/>
        <v>98</v>
      </c>
      <c r="CE203" s="6">
        <v>245</v>
      </c>
      <c r="CF203" s="6"/>
      <c r="CG203" s="6">
        <f t="shared" si="93"/>
        <v>245</v>
      </c>
      <c r="CH203" s="6">
        <v>479</v>
      </c>
      <c r="CI203" s="6"/>
      <c r="CJ203" s="6">
        <f t="shared" si="94"/>
        <v>234</v>
      </c>
      <c r="CK203" s="6">
        <v>722</v>
      </c>
      <c r="CL203" s="6"/>
      <c r="CM203" s="6">
        <f t="shared" si="95"/>
        <v>243</v>
      </c>
      <c r="CN203" s="6"/>
      <c r="CO203" s="6"/>
      <c r="CP203" s="6"/>
      <c r="CQ203" s="6">
        <v>975</v>
      </c>
      <c r="CR203" s="6"/>
      <c r="CS203" s="6">
        <f t="shared" si="96"/>
        <v>253</v>
      </c>
      <c r="CT203" s="6">
        <v>121</v>
      </c>
      <c r="CU203" s="6">
        <v>1100</v>
      </c>
      <c r="CV203" s="6">
        <f t="shared" si="97"/>
        <v>246</v>
      </c>
      <c r="CW203" s="6">
        <v>372</v>
      </c>
      <c r="CX203" s="6"/>
      <c r="CY203" s="6">
        <f t="shared" si="98"/>
        <v>251</v>
      </c>
      <c r="CZ203" s="6">
        <v>623</v>
      </c>
      <c r="DA203" s="6"/>
      <c r="DB203" s="6">
        <f t="shared" si="99"/>
        <v>251</v>
      </c>
      <c r="DC203" s="6">
        <v>876</v>
      </c>
      <c r="DD203" s="6"/>
      <c r="DE203" s="6">
        <f t="shared" si="100"/>
        <v>253</v>
      </c>
      <c r="DF203" s="6">
        <v>14</v>
      </c>
      <c r="DG203" s="10">
        <v>1100</v>
      </c>
      <c r="DH203" s="6">
        <f t="shared" si="101"/>
        <v>238</v>
      </c>
      <c r="DI203" s="6"/>
      <c r="DJ203" s="10"/>
      <c r="DK203" s="6"/>
      <c r="DL203" s="6">
        <v>267</v>
      </c>
      <c r="DM203" s="10"/>
      <c r="DN203" s="6">
        <f t="shared" si="102"/>
        <v>253</v>
      </c>
      <c r="DO203" s="6">
        <v>499</v>
      </c>
      <c r="DP203" s="10"/>
      <c r="DQ203" s="6">
        <f t="shared" si="103"/>
        <v>232</v>
      </c>
    </row>
    <row r="204" spans="1:121">
      <c r="A204" s="6">
        <v>200</v>
      </c>
      <c r="B204" s="6">
        <v>476</v>
      </c>
      <c r="C204" s="10"/>
      <c r="D204" s="6">
        <v>232</v>
      </c>
      <c r="E204" s="33" t="s">
        <v>72</v>
      </c>
      <c r="F204" s="33" t="s">
        <v>72</v>
      </c>
      <c r="G204" s="33" t="s">
        <v>72</v>
      </c>
      <c r="H204" s="33" t="s">
        <v>72</v>
      </c>
      <c r="I204" s="33" t="s">
        <v>72</v>
      </c>
      <c r="J204" s="33" t="s">
        <v>72</v>
      </c>
      <c r="K204" s="33" t="s">
        <v>72</v>
      </c>
      <c r="L204" s="33" t="s">
        <v>72</v>
      </c>
      <c r="M204" s="33" t="s">
        <v>72</v>
      </c>
      <c r="N204" s="33" t="s">
        <v>72</v>
      </c>
      <c r="O204" s="33" t="s">
        <v>72</v>
      </c>
      <c r="P204" s="33" t="s">
        <v>72</v>
      </c>
      <c r="Q204" s="33" t="s">
        <v>72</v>
      </c>
      <c r="R204" s="33" t="s">
        <v>72</v>
      </c>
      <c r="S204" s="33" t="s">
        <v>72</v>
      </c>
      <c r="T204" s="33" t="s">
        <v>72</v>
      </c>
      <c r="U204" s="33" t="s">
        <v>72</v>
      </c>
      <c r="V204" s="33" t="s">
        <v>72</v>
      </c>
      <c r="W204" s="33" t="s">
        <v>72</v>
      </c>
      <c r="X204" s="148" t="s">
        <v>72</v>
      </c>
      <c r="Y204" s="33" t="s">
        <v>72</v>
      </c>
      <c r="Z204" s="33" t="s">
        <v>72</v>
      </c>
      <c r="AA204" s="33" t="s">
        <v>72</v>
      </c>
      <c r="AB204" s="33" t="s">
        <v>72</v>
      </c>
      <c r="AC204" s="33" t="s">
        <v>72</v>
      </c>
      <c r="AD204" s="33" t="s">
        <v>72</v>
      </c>
      <c r="AE204" s="33" t="s">
        <v>72</v>
      </c>
      <c r="AF204" s="6">
        <v>751</v>
      </c>
      <c r="AG204" s="6"/>
      <c r="AH204" s="35">
        <f t="shared" si="78"/>
        <v>275</v>
      </c>
      <c r="AI204" s="35">
        <v>1002</v>
      </c>
      <c r="AJ204" s="35"/>
      <c r="AK204" s="35">
        <f t="shared" si="79"/>
        <v>251</v>
      </c>
      <c r="AL204" s="6">
        <v>148</v>
      </c>
      <c r="AM204" s="6">
        <v>1100</v>
      </c>
      <c r="AN204" s="35">
        <f t="shared" si="80"/>
        <v>246</v>
      </c>
      <c r="AO204" s="6">
        <v>406</v>
      </c>
      <c r="AP204" s="6"/>
      <c r="AQ204" s="34">
        <f t="shared" si="81"/>
        <v>258</v>
      </c>
      <c r="AR204" s="35">
        <v>662</v>
      </c>
      <c r="AS204" s="35"/>
      <c r="AT204" s="35">
        <f t="shared" si="82"/>
        <v>256</v>
      </c>
      <c r="AU204" s="6">
        <v>896</v>
      </c>
      <c r="AV204" s="6"/>
      <c r="AW204" s="35">
        <f t="shared" si="83"/>
        <v>234</v>
      </c>
      <c r="AX204" s="6"/>
      <c r="AY204" s="6"/>
      <c r="AZ204" s="35"/>
      <c r="BA204" s="35">
        <v>44</v>
      </c>
      <c r="BB204" s="35">
        <v>1100</v>
      </c>
      <c r="BC204" s="35">
        <f t="shared" si="84"/>
        <v>248</v>
      </c>
      <c r="BD204" s="6">
        <v>281</v>
      </c>
      <c r="BE204" s="6"/>
      <c r="BF204" s="35">
        <f t="shared" si="85"/>
        <v>237</v>
      </c>
      <c r="BG204" s="35">
        <v>533</v>
      </c>
      <c r="BH204" s="6"/>
      <c r="BI204" s="6">
        <f t="shared" si="86"/>
        <v>252</v>
      </c>
      <c r="BJ204" s="6">
        <v>1</v>
      </c>
      <c r="BK204" s="6">
        <v>772</v>
      </c>
      <c r="BL204" s="6">
        <f t="shared" si="87"/>
        <v>240</v>
      </c>
      <c r="BM204" s="35">
        <v>237</v>
      </c>
      <c r="BN204" s="35"/>
      <c r="BO204" s="6">
        <f t="shared" si="88"/>
        <v>236</v>
      </c>
      <c r="BP204" s="6">
        <v>158</v>
      </c>
      <c r="BQ204" s="6">
        <v>311</v>
      </c>
      <c r="BR204" s="35">
        <f t="shared" si="89"/>
        <v>232</v>
      </c>
      <c r="BS204" s="35"/>
      <c r="BT204" s="6"/>
      <c r="BU204" s="6"/>
      <c r="BV204" s="35">
        <v>393</v>
      </c>
      <c r="BW204" s="6"/>
      <c r="BX204" s="35">
        <f t="shared" si="90"/>
        <v>235</v>
      </c>
      <c r="BY204" s="6">
        <v>623</v>
      </c>
      <c r="BZ204" s="6"/>
      <c r="CA204" s="6">
        <f t="shared" si="91"/>
        <v>230</v>
      </c>
      <c r="CB204" s="6">
        <v>855</v>
      </c>
      <c r="CC204" s="6"/>
      <c r="CD204" s="6">
        <f t="shared" si="92"/>
        <v>232</v>
      </c>
      <c r="CE204" s="6">
        <v>1096</v>
      </c>
      <c r="CF204" s="6"/>
      <c r="CG204" s="6">
        <f t="shared" si="93"/>
        <v>241</v>
      </c>
      <c r="CH204" s="6">
        <v>232</v>
      </c>
      <c r="CI204" s="6">
        <v>1100</v>
      </c>
      <c r="CJ204" s="6">
        <f t="shared" si="94"/>
        <v>236</v>
      </c>
      <c r="CK204" s="6">
        <v>0</v>
      </c>
      <c r="CL204" s="6">
        <v>398</v>
      </c>
      <c r="CM204" s="6">
        <f t="shared" si="95"/>
        <v>166</v>
      </c>
      <c r="CN204" s="6"/>
      <c r="CO204" s="6"/>
      <c r="CP204" s="6"/>
      <c r="CQ204" s="6">
        <v>224</v>
      </c>
      <c r="CR204" s="6"/>
      <c r="CS204" s="6">
        <f t="shared" si="96"/>
        <v>224</v>
      </c>
      <c r="CT204" s="6">
        <v>457</v>
      </c>
      <c r="CU204" s="6"/>
      <c r="CV204" s="6">
        <f t="shared" si="97"/>
        <v>233</v>
      </c>
      <c r="CW204" s="6">
        <v>696</v>
      </c>
      <c r="CX204" s="6"/>
      <c r="CY204" s="6">
        <f t="shared" si="98"/>
        <v>239</v>
      </c>
      <c r="CZ204" s="6">
        <v>935</v>
      </c>
      <c r="DA204" s="6"/>
      <c r="DB204" s="6">
        <f t="shared" si="99"/>
        <v>239</v>
      </c>
      <c r="DC204" s="6">
        <v>67</v>
      </c>
      <c r="DD204" s="6">
        <v>1100</v>
      </c>
      <c r="DE204" s="6">
        <f t="shared" si="100"/>
        <v>232</v>
      </c>
      <c r="DF204" s="6">
        <v>302</v>
      </c>
      <c r="DG204" s="10"/>
      <c r="DH204" s="6">
        <f t="shared" si="101"/>
        <v>235</v>
      </c>
      <c r="DI204" s="6"/>
      <c r="DJ204" s="10"/>
      <c r="DK204" s="6"/>
      <c r="DL204" s="6">
        <v>552</v>
      </c>
      <c r="DM204" s="10"/>
      <c r="DN204" s="6">
        <f t="shared" si="102"/>
        <v>250</v>
      </c>
      <c r="DO204" s="6">
        <v>777</v>
      </c>
      <c r="DP204" s="10"/>
      <c r="DQ204" s="6">
        <f t="shared" si="103"/>
        <v>225</v>
      </c>
    </row>
    <row r="205" spans="1:121">
      <c r="A205" s="6">
        <v>201</v>
      </c>
      <c r="B205" s="6">
        <v>454</v>
      </c>
      <c r="C205" s="10"/>
      <c r="D205" s="6">
        <v>224</v>
      </c>
      <c r="E205" s="141" t="s">
        <v>79</v>
      </c>
      <c r="F205" s="141" t="s">
        <v>79</v>
      </c>
      <c r="G205" s="141" t="s">
        <v>79</v>
      </c>
      <c r="H205" s="141" t="s">
        <v>79</v>
      </c>
      <c r="I205" s="141" t="s">
        <v>79</v>
      </c>
      <c r="J205" s="141" t="s">
        <v>79</v>
      </c>
      <c r="K205" s="163" t="s">
        <v>72</v>
      </c>
      <c r="L205" s="141" t="s">
        <v>72</v>
      </c>
      <c r="M205" s="141" t="s">
        <v>72</v>
      </c>
      <c r="N205" s="141" t="s">
        <v>72</v>
      </c>
      <c r="O205" s="141" t="s">
        <v>72</v>
      </c>
      <c r="P205" s="141" t="s">
        <v>72</v>
      </c>
      <c r="Q205" s="141" t="s">
        <v>72</v>
      </c>
      <c r="R205" s="141" t="s">
        <v>72</v>
      </c>
      <c r="S205" s="141" t="s">
        <v>72</v>
      </c>
      <c r="T205" s="141" t="s">
        <v>72</v>
      </c>
      <c r="U205" s="141" t="s">
        <v>72</v>
      </c>
      <c r="V205" s="141" t="s">
        <v>72</v>
      </c>
      <c r="W205" s="141" t="s">
        <v>72</v>
      </c>
      <c r="X205" s="141" t="s">
        <v>72</v>
      </c>
      <c r="Y205" s="141" t="s">
        <v>72</v>
      </c>
      <c r="Z205" s="141" t="s">
        <v>72</v>
      </c>
      <c r="AA205" s="141" t="s">
        <v>72</v>
      </c>
      <c r="AB205" s="141" t="s">
        <v>72</v>
      </c>
      <c r="AC205" s="141" t="s">
        <v>72</v>
      </c>
      <c r="AD205" s="141" t="s">
        <v>72</v>
      </c>
      <c r="AE205" s="163" t="s">
        <v>72</v>
      </c>
      <c r="AF205" s="6">
        <v>721</v>
      </c>
      <c r="AG205" s="6"/>
      <c r="AH205" s="35">
        <f t="shared" si="78"/>
        <v>267</v>
      </c>
      <c r="AI205" s="35">
        <v>170</v>
      </c>
      <c r="AJ205" s="35">
        <v>800</v>
      </c>
      <c r="AK205" s="35">
        <f t="shared" si="79"/>
        <v>249</v>
      </c>
      <c r="AL205" s="6">
        <v>420</v>
      </c>
      <c r="AM205" s="6"/>
      <c r="AN205" s="35">
        <f t="shared" si="80"/>
        <v>250</v>
      </c>
      <c r="AO205" s="6">
        <v>669</v>
      </c>
      <c r="AP205" s="6"/>
      <c r="AQ205" s="34">
        <f t="shared" si="81"/>
        <v>249</v>
      </c>
      <c r="AR205" s="35">
        <v>0</v>
      </c>
      <c r="AS205" s="35">
        <v>767</v>
      </c>
      <c r="AT205" s="35">
        <f t="shared" si="82"/>
        <v>98</v>
      </c>
      <c r="AU205" s="6">
        <v>207</v>
      </c>
      <c r="AV205" s="6"/>
      <c r="AW205" s="35">
        <f t="shared" si="83"/>
        <v>207</v>
      </c>
      <c r="AX205" s="6"/>
      <c r="AY205" s="6"/>
      <c r="AZ205" s="35"/>
      <c r="BA205" s="35">
        <v>448</v>
      </c>
      <c r="BB205" s="35"/>
      <c r="BC205" s="35">
        <f t="shared" si="84"/>
        <v>241</v>
      </c>
      <c r="BD205" s="6">
        <v>685</v>
      </c>
      <c r="BE205" s="6"/>
      <c r="BF205" s="35">
        <f t="shared" si="85"/>
        <v>237</v>
      </c>
      <c r="BG205" s="35">
        <v>128</v>
      </c>
      <c r="BH205" s="6">
        <v>800</v>
      </c>
      <c r="BI205" s="6">
        <f t="shared" si="86"/>
        <v>243</v>
      </c>
      <c r="BJ205" s="6">
        <v>374</v>
      </c>
      <c r="BK205" s="6"/>
      <c r="BL205" s="6">
        <f t="shared" si="87"/>
        <v>246</v>
      </c>
      <c r="BM205" s="35">
        <v>618</v>
      </c>
      <c r="BN205" s="35"/>
      <c r="BO205" s="6">
        <f t="shared" si="88"/>
        <v>244</v>
      </c>
      <c r="BP205" s="35">
        <v>854</v>
      </c>
      <c r="BQ205" s="35"/>
      <c r="BR205" s="35">
        <f t="shared" si="89"/>
        <v>236</v>
      </c>
      <c r="BS205" s="35"/>
      <c r="BT205" s="35"/>
      <c r="BU205" s="6"/>
      <c r="BV205" s="35">
        <v>1</v>
      </c>
      <c r="BW205" s="35">
        <v>1100</v>
      </c>
      <c r="BX205" s="35">
        <f t="shared" si="90"/>
        <v>247</v>
      </c>
      <c r="BY205" s="35">
        <v>243</v>
      </c>
      <c r="BZ205" s="6"/>
      <c r="CA205" s="6">
        <f t="shared" si="91"/>
        <v>242</v>
      </c>
      <c r="CB205" s="6">
        <v>479</v>
      </c>
      <c r="CC205" s="6"/>
      <c r="CD205" s="6">
        <f t="shared" si="92"/>
        <v>236</v>
      </c>
      <c r="CE205" s="6">
        <v>730</v>
      </c>
      <c r="CF205" s="6"/>
      <c r="CG205" s="6">
        <f t="shared" si="93"/>
        <v>251</v>
      </c>
      <c r="CH205" s="6">
        <v>215</v>
      </c>
      <c r="CI205" s="6">
        <v>737</v>
      </c>
      <c r="CJ205" s="6">
        <f t="shared" si="94"/>
        <v>222</v>
      </c>
      <c r="CK205" s="6">
        <v>449</v>
      </c>
      <c r="CL205" s="6"/>
      <c r="CM205" s="6">
        <f t="shared" si="95"/>
        <v>234</v>
      </c>
      <c r="CN205" s="6"/>
      <c r="CO205" s="6"/>
      <c r="CP205" s="6"/>
      <c r="CQ205" s="6">
        <v>695</v>
      </c>
      <c r="CR205" s="6"/>
      <c r="CS205" s="6">
        <f t="shared" si="96"/>
        <v>246</v>
      </c>
      <c r="CT205" s="6">
        <v>935</v>
      </c>
      <c r="CU205" s="6"/>
      <c r="CV205" s="6">
        <f t="shared" si="97"/>
        <v>240</v>
      </c>
      <c r="CW205" s="6">
        <v>79</v>
      </c>
      <c r="CX205" s="6">
        <v>1100</v>
      </c>
      <c r="CY205" s="6">
        <f t="shared" si="98"/>
        <v>244</v>
      </c>
      <c r="CZ205" s="6">
        <v>328</v>
      </c>
      <c r="DA205" s="6"/>
      <c r="DB205" s="6">
        <f t="shared" si="99"/>
        <v>249</v>
      </c>
      <c r="DC205" s="6">
        <v>567</v>
      </c>
      <c r="DD205" s="6"/>
      <c r="DE205" s="6">
        <f t="shared" si="100"/>
        <v>239</v>
      </c>
      <c r="DF205" s="6">
        <v>792</v>
      </c>
      <c r="DG205" s="10"/>
      <c r="DH205" s="6">
        <f t="shared" si="101"/>
        <v>225</v>
      </c>
      <c r="DI205" s="6"/>
      <c r="DJ205" s="10"/>
      <c r="DK205" s="6"/>
      <c r="DL205" s="6">
        <v>1023</v>
      </c>
      <c r="DM205" s="10"/>
      <c r="DN205" s="6">
        <f t="shared" si="102"/>
        <v>231</v>
      </c>
      <c r="DO205" s="6">
        <v>156</v>
      </c>
      <c r="DP205" s="10">
        <v>1059</v>
      </c>
      <c r="DQ205" s="6">
        <f t="shared" si="103"/>
        <v>192</v>
      </c>
    </row>
    <row r="206" spans="1:121">
      <c r="A206" s="6">
        <v>202</v>
      </c>
      <c r="B206" s="6">
        <v>744</v>
      </c>
      <c r="C206" s="10"/>
      <c r="D206" s="6">
        <v>237</v>
      </c>
      <c r="E206" s="141" t="s">
        <v>72</v>
      </c>
      <c r="F206" s="141" t="s">
        <v>72</v>
      </c>
      <c r="G206" s="141" t="s">
        <v>72</v>
      </c>
      <c r="H206" s="141" t="s">
        <v>72</v>
      </c>
      <c r="I206" s="141" t="s">
        <v>72</v>
      </c>
      <c r="J206" s="141" t="s">
        <v>72</v>
      </c>
      <c r="K206" s="141" t="s">
        <v>72</v>
      </c>
      <c r="L206" s="141" t="s">
        <v>72</v>
      </c>
      <c r="M206" s="141" t="s">
        <v>72</v>
      </c>
      <c r="N206" s="141" t="s">
        <v>72</v>
      </c>
      <c r="O206" s="141" t="s">
        <v>72</v>
      </c>
      <c r="P206" s="141" t="s">
        <v>72</v>
      </c>
      <c r="Q206" s="141" t="s">
        <v>72</v>
      </c>
      <c r="R206" s="141" t="s">
        <v>72</v>
      </c>
      <c r="S206" s="141" t="s">
        <v>72</v>
      </c>
      <c r="T206" s="141" t="s">
        <v>72</v>
      </c>
      <c r="U206" s="141" t="s">
        <v>72</v>
      </c>
      <c r="V206" s="163" t="s">
        <v>72</v>
      </c>
      <c r="W206" s="141" t="s">
        <v>72</v>
      </c>
      <c r="X206" s="141" t="s">
        <v>72</v>
      </c>
      <c r="Y206" s="141" t="s">
        <v>72</v>
      </c>
      <c r="Z206" s="141" t="s">
        <v>72</v>
      </c>
      <c r="AA206" s="141" t="s">
        <v>72</v>
      </c>
      <c r="AB206" s="141" t="s">
        <v>72</v>
      </c>
      <c r="AC206" s="141" t="s">
        <v>72</v>
      </c>
      <c r="AD206" s="141" t="s">
        <v>72</v>
      </c>
      <c r="AE206" s="141" t="s">
        <v>72</v>
      </c>
      <c r="AF206" s="6">
        <v>1020</v>
      </c>
      <c r="AG206" s="6"/>
      <c r="AH206" s="35">
        <f t="shared" si="78"/>
        <v>276</v>
      </c>
      <c r="AI206" s="35">
        <v>174</v>
      </c>
      <c r="AJ206" s="35">
        <v>1100</v>
      </c>
      <c r="AK206" s="35">
        <f t="shared" si="79"/>
        <v>254</v>
      </c>
      <c r="AL206" s="6">
        <v>430</v>
      </c>
      <c r="AM206" s="6"/>
      <c r="AN206" s="35">
        <f t="shared" si="80"/>
        <v>256</v>
      </c>
      <c r="AO206" s="6">
        <v>688</v>
      </c>
      <c r="AP206" s="6"/>
      <c r="AQ206" s="34">
        <f t="shared" si="81"/>
        <v>258</v>
      </c>
      <c r="AR206" s="35">
        <v>943</v>
      </c>
      <c r="AS206" s="35"/>
      <c r="AT206" s="35">
        <f t="shared" si="82"/>
        <v>255</v>
      </c>
      <c r="AU206" s="6">
        <v>91</v>
      </c>
      <c r="AV206" s="6">
        <v>1088</v>
      </c>
      <c r="AW206" s="35">
        <f t="shared" si="83"/>
        <v>236</v>
      </c>
      <c r="AX206" s="6"/>
      <c r="AY206" s="6"/>
      <c r="AZ206" s="35"/>
      <c r="BA206" s="35">
        <v>345</v>
      </c>
      <c r="BB206" s="35"/>
      <c r="BC206" s="35">
        <f t="shared" si="84"/>
        <v>254</v>
      </c>
      <c r="BD206" s="35">
        <v>591</v>
      </c>
      <c r="BE206" s="6"/>
      <c r="BF206" s="35">
        <f t="shared" si="85"/>
        <v>246</v>
      </c>
      <c r="BG206" s="6">
        <v>842</v>
      </c>
      <c r="BH206" s="6"/>
      <c r="BI206" s="6">
        <f t="shared" si="86"/>
        <v>251</v>
      </c>
      <c r="BJ206" s="6">
        <v>1092</v>
      </c>
      <c r="BK206" s="6"/>
      <c r="BL206" s="6">
        <f t="shared" si="87"/>
        <v>250</v>
      </c>
      <c r="BM206" s="35">
        <v>242</v>
      </c>
      <c r="BN206" s="35">
        <v>1100</v>
      </c>
      <c r="BO206" s="6">
        <f t="shared" si="88"/>
        <v>250</v>
      </c>
      <c r="BP206" s="35">
        <v>479</v>
      </c>
      <c r="BQ206" s="35"/>
      <c r="BR206" s="35">
        <f t="shared" si="89"/>
        <v>237</v>
      </c>
      <c r="BS206" s="35"/>
      <c r="BT206" s="35"/>
      <c r="BU206" s="6"/>
      <c r="BV206" s="35">
        <v>727</v>
      </c>
      <c r="BW206" s="35"/>
      <c r="BX206" s="35">
        <f t="shared" si="90"/>
        <v>248</v>
      </c>
      <c r="BY206" s="35">
        <v>973</v>
      </c>
      <c r="BZ206" s="6"/>
      <c r="CA206" s="6">
        <f t="shared" si="91"/>
        <v>246</v>
      </c>
      <c r="CB206" s="6">
        <v>121</v>
      </c>
      <c r="CC206" s="6">
        <v>1100</v>
      </c>
      <c r="CD206" s="6">
        <f t="shared" si="92"/>
        <v>248</v>
      </c>
      <c r="CE206" s="6">
        <v>343</v>
      </c>
      <c r="CF206" s="6"/>
      <c r="CG206" s="6">
        <f t="shared" si="93"/>
        <v>222</v>
      </c>
      <c r="CH206" s="6">
        <v>169</v>
      </c>
      <c r="CI206" s="6">
        <v>415</v>
      </c>
      <c r="CJ206" s="6">
        <f t="shared" si="94"/>
        <v>241</v>
      </c>
      <c r="CK206" s="6">
        <v>384</v>
      </c>
      <c r="CL206" s="6"/>
      <c r="CM206" s="6">
        <f t="shared" si="95"/>
        <v>215</v>
      </c>
      <c r="CN206" s="6"/>
      <c r="CO206" s="6"/>
      <c r="CP206" s="6"/>
      <c r="CQ206" s="6">
        <v>631</v>
      </c>
      <c r="CR206" s="6"/>
      <c r="CS206" s="6">
        <f t="shared" si="96"/>
        <v>247</v>
      </c>
      <c r="CT206" s="6">
        <v>876</v>
      </c>
      <c r="CU206" s="6"/>
      <c r="CV206" s="6">
        <f t="shared" si="97"/>
        <v>245</v>
      </c>
      <c r="CW206" s="6">
        <v>14</v>
      </c>
      <c r="CX206" s="6">
        <v>1100</v>
      </c>
      <c r="CY206" s="6">
        <f t="shared" si="98"/>
        <v>238</v>
      </c>
      <c r="CZ206" s="6">
        <v>262</v>
      </c>
      <c r="DA206" s="6"/>
      <c r="DB206" s="6">
        <f t="shared" si="99"/>
        <v>248</v>
      </c>
      <c r="DC206" s="6">
        <v>508</v>
      </c>
      <c r="DD206" s="6"/>
      <c r="DE206" s="6">
        <f t="shared" si="100"/>
        <v>246</v>
      </c>
      <c r="DF206" s="6">
        <v>160</v>
      </c>
      <c r="DG206" s="10">
        <v>578</v>
      </c>
      <c r="DH206" s="6">
        <f t="shared" si="101"/>
        <v>230</v>
      </c>
      <c r="DI206" s="6"/>
      <c r="DJ206" s="10"/>
      <c r="DK206" s="6"/>
      <c r="DL206" s="6">
        <v>410</v>
      </c>
      <c r="DM206" s="10"/>
      <c r="DN206" s="6">
        <f t="shared" si="102"/>
        <v>250</v>
      </c>
      <c r="DO206" s="6">
        <v>637</v>
      </c>
      <c r="DP206" s="10"/>
      <c r="DQ206" s="6">
        <f t="shared" si="103"/>
        <v>227</v>
      </c>
    </row>
    <row r="207" spans="1:121">
      <c r="A207" s="6">
        <v>203</v>
      </c>
      <c r="B207" s="6">
        <v>526</v>
      </c>
      <c r="C207" s="10"/>
      <c r="D207" s="6">
        <v>232</v>
      </c>
      <c r="E207" s="141" t="s">
        <v>75</v>
      </c>
      <c r="F207" s="141" t="s">
        <v>75</v>
      </c>
      <c r="G207" s="141" t="s">
        <v>75</v>
      </c>
      <c r="H207" s="141" t="s">
        <v>75</v>
      </c>
      <c r="I207" s="141" t="s">
        <v>75</v>
      </c>
      <c r="J207" s="141" t="s">
        <v>75</v>
      </c>
      <c r="K207" s="163" t="s">
        <v>75</v>
      </c>
      <c r="L207" s="141" t="s">
        <v>75</v>
      </c>
      <c r="M207" s="141" t="s">
        <v>75</v>
      </c>
      <c r="N207" s="141" t="s">
        <v>75</v>
      </c>
      <c r="O207" s="141" t="s">
        <v>75</v>
      </c>
      <c r="P207" s="141" t="s">
        <v>75</v>
      </c>
      <c r="Q207" s="141" t="s">
        <v>75</v>
      </c>
      <c r="R207" s="141" t="s">
        <v>75</v>
      </c>
      <c r="S207" s="141" t="s">
        <v>75</v>
      </c>
      <c r="T207" s="141" t="s">
        <v>75</v>
      </c>
      <c r="U207" s="141" t="s">
        <v>75</v>
      </c>
      <c r="V207" s="141" t="s">
        <v>75</v>
      </c>
      <c r="W207" s="141" t="s">
        <v>75</v>
      </c>
      <c r="X207" s="141" t="s">
        <v>75</v>
      </c>
      <c r="Y207" s="141" t="s">
        <v>75</v>
      </c>
      <c r="Z207" s="141" t="s">
        <v>75</v>
      </c>
      <c r="AA207" s="141" t="s">
        <v>75</v>
      </c>
      <c r="AB207" s="141" t="s">
        <v>75</v>
      </c>
      <c r="AC207" s="141" t="s">
        <v>75</v>
      </c>
      <c r="AD207" s="163" t="s">
        <v>75</v>
      </c>
      <c r="AE207" s="141" t="s">
        <v>75</v>
      </c>
      <c r="AF207" s="6">
        <v>800</v>
      </c>
      <c r="AG207" s="6"/>
      <c r="AH207" s="35">
        <f t="shared" si="78"/>
        <v>274</v>
      </c>
      <c r="AI207" s="35">
        <v>1055</v>
      </c>
      <c r="AJ207" s="35"/>
      <c r="AK207" s="35">
        <f t="shared" si="79"/>
        <v>255</v>
      </c>
      <c r="AL207" s="6">
        <v>210</v>
      </c>
      <c r="AM207" s="6">
        <v>1100</v>
      </c>
      <c r="AN207" s="35">
        <f t="shared" si="80"/>
        <v>255</v>
      </c>
      <c r="AO207" s="6">
        <v>466</v>
      </c>
      <c r="AP207" s="6"/>
      <c r="AQ207" s="34">
        <f t="shared" si="81"/>
        <v>256</v>
      </c>
      <c r="AR207" s="35">
        <v>0</v>
      </c>
      <c r="AS207" s="35">
        <v>721</v>
      </c>
      <c r="AT207" s="35">
        <f t="shared" si="82"/>
        <v>255</v>
      </c>
      <c r="AU207" s="6">
        <v>222</v>
      </c>
      <c r="AV207" s="6"/>
      <c r="AW207" s="35">
        <f t="shared" si="83"/>
        <v>222</v>
      </c>
      <c r="AX207" s="6"/>
      <c r="AY207" s="6"/>
      <c r="AZ207" s="35"/>
      <c r="BA207" s="35">
        <v>472</v>
      </c>
      <c r="BB207" s="35"/>
      <c r="BC207" s="35">
        <f t="shared" si="84"/>
        <v>250</v>
      </c>
      <c r="BD207" s="35">
        <v>719</v>
      </c>
      <c r="BE207" s="6"/>
      <c r="BF207" s="35">
        <f t="shared" si="85"/>
        <v>247</v>
      </c>
      <c r="BG207" s="6">
        <v>966</v>
      </c>
      <c r="BH207" s="6"/>
      <c r="BI207" s="6">
        <f t="shared" si="86"/>
        <v>247</v>
      </c>
      <c r="BJ207" s="6">
        <v>118</v>
      </c>
      <c r="BK207" s="6">
        <v>1100</v>
      </c>
      <c r="BL207" s="6">
        <f t="shared" si="87"/>
        <v>252</v>
      </c>
      <c r="BM207" s="35">
        <v>371</v>
      </c>
      <c r="BN207" s="35"/>
      <c r="BO207" s="6">
        <f t="shared" si="88"/>
        <v>253</v>
      </c>
      <c r="BP207" s="35">
        <v>612</v>
      </c>
      <c r="BQ207" s="35"/>
      <c r="BR207" s="35">
        <f t="shared" si="89"/>
        <v>241</v>
      </c>
      <c r="BS207" s="35"/>
      <c r="BT207" s="35"/>
      <c r="BU207" s="6"/>
      <c r="BV207" s="35">
        <v>864</v>
      </c>
      <c r="BW207" s="35"/>
      <c r="BX207" s="35">
        <f t="shared" si="90"/>
        <v>252</v>
      </c>
      <c r="BY207" s="35">
        <v>13</v>
      </c>
      <c r="BZ207" s="6">
        <v>1100</v>
      </c>
      <c r="CA207" s="6">
        <f t="shared" si="91"/>
        <v>249</v>
      </c>
      <c r="CB207" s="6">
        <v>267</v>
      </c>
      <c r="CC207" s="6"/>
      <c r="CD207" s="6">
        <f t="shared" si="92"/>
        <v>254</v>
      </c>
      <c r="CE207" s="6">
        <v>524</v>
      </c>
      <c r="CF207" s="6"/>
      <c r="CG207" s="6">
        <f t="shared" si="93"/>
        <v>257</v>
      </c>
      <c r="CH207" s="6">
        <v>778</v>
      </c>
      <c r="CI207" s="6"/>
      <c r="CJ207" s="6">
        <f t="shared" si="94"/>
        <v>254</v>
      </c>
      <c r="CK207" s="6">
        <v>1024</v>
      </c>
      <c r="CL207" s="6"/>
      <c r="CM207" s="6">
        <f t="shared" si="95"/>
        <v>246</v>
      </c>
      <c r="CN207" s="6"/>
      <c r="CO207" s="6"/>
      <c r="CP207" s="6"/>
      <c r="CQ207" s="6">
        <v>177</v>
      </c>
      <c r="CR207" s="6">
        <v>1100</v>
      </c>
      <c r="CS207" s="6">
        <f t="shared" si="96"/>
        <v>253</v>
      </c>
      <c r="CT207" s="6">
        <v>431</v>
      </c>
      <c r="CU207" s="6"/>
      <c r="CV207" s="6">
        <f t="shared" si="97"/>
        <v>254</v>
      </c>
      <c r="CW207" s="6">
        <v>686</v>
      </c>
      <c r="CX207" s="6"/>
      <c r="CY207" s="6">
        <f t="shared" si="98"/>
        <v>255</v>
      </c>
      <c r="CZ207" s="6">
        <v>943</v>
      </c>
      <c r="DA207" s="6"/>
      <c r="DB207" s="6">
        <f t="shared" si="99"/>
        <v>257</v>
      </c>
      <c r="DC207" s="6">
        <v>94</v>
      </c>
      <c r="DD207" s="6">
        <v>1100</v>
      </c>
      <c r="DE207" s="6">
        <f t="shared" si="100"/>
        <v>251</v>
      </c>
      <c r="DF207" s="6">
        <v>337</v>
      </c>
      <c r="DG207" s="10"/>
      <c r="DH207" s="6">
        <f t="shared" si="101"/>
        <v>243</v>
      </c>
      <c r="DI207" s="6"/>
      <c r="DJ207" s="10"/>
      <c r="DK207" s="6"/>
      <c r="DL207" s="6">
        <v>173</v>
      </c>
      <c r="DM207" s="10">
        <v>412</v>
      </c>
      <c r="DN207" s="6">
        <f t="shared" si="102"/>
        <v>248</v>
      </c>
      <c r="DO207" s="6">
        <v>408</v>
      </c>
      <c r="DP207" s="10"/>
      <c r="DQ207" s="6">
        <f t="shared" si="103"/>
        <v>235</v>
      </c>
    </row>
    <row r="208" spans="1:121">
      <c r="A208" s="6">
        <v>204</v>
      </c>
      <c r="B208" s="6">
        <v>80</v>
      </c>
      <c r="C208" s="10">
        <v>800</v>
      </c>
      <c r="D208" s="6">
        <v>225</v>
      </c>
      <c r="E208" s="141" t="s">
        <v>79</v>
      </c>
      <c r="F208" s="141" t="s">
        <v>79</v>
      </c>
      <c r="G208" s="141" t="s">
        <v>79</v>
      </c>
      <c r="H208" s="141" t="s">
        <v>79</v>
      </c>
      <c r="I208" s="163" t="s">
        <v>79</v>
      </c>
      <c r="J208" s="141" t="s">
        <v>79</v>
      </c>
      <c r="K208" s="141" t="s">
        <v>79</v>
      </c>
      <c r="L208" s="141" t="s">
        <v>79</v>
      </c>
      <c r="M208" s="141" t="s">
        <v>79</v>
      </c>
      <c r="N208" s="141" t="s">
        <v>79</v>
      </c>
      <c r="O208" s="141" t="s">
        <v>79</v>
      </c>
      <c r="P208" s="141" t="s">
        <v>79</v>
      </c>
      <c r="Q208" s="141" t="s">
        <v>79</v>
      </c>
      <c r="R208" s="141" t="s">
        <v>79</v>
      </c>
      <c r="S208" s="163" t="s">
        <v>72</v>
      </c>
      <c r="T208" s="141" t="s">
        <v>72</v>
      </c>
      <c r="U208" s="141" t="s">
        <v>72</v>
      </c>
      <c r="V208" s="141" t="s">
        <v>72</v>
      </c>
      <c r="W208" s="141" t="s">
        <v>72</v>
      </c>
      <c r="X208" s="141" t="s">
        <v>72</v>
      </c>
      <c r="Y208" s="141" t="s">
        <v>72</v>
      </c>
      <c r="Z208" s="141" t="s">
        <v>72</v>
      </c>
      <c r="AA208" s="141" t="s">
        <v>72</v>
      </c>
      <c r="AB208" s="141" t="s">
        <v>72</v>
      </c>
      <c r="AC208" s="141" t="s">
        <v>72</v>
      </c>
      <c r="AD208" s="141" t="s">
        <v>72</v>
      </c>
      <c r="AE208" s="141" t="s">
        <v>72</v>
      </c>
      <c r="AF208" s="6">
        <v>354</v>
      </c>
      <c r="AG208" s="6"/>
      <c r="AH208" s="35">
        <f t="shared" si="78"/>
        <v>274</v>
      </c>
      <c r="AI208" s="35">
        <v>610</v>
      </c>
      <c r="AJ208" s="35"/>
      <c r="AK208" s="35">
        <f t="shared" si="79"/>
        <v>256</v>
      </c>
      <c r="AL208" s="6">
        <v>0</v>
      </c>
      <c r="AM208" s="6">
        <v>820</v>
      </c>
      <c r="AN208" s="35">
        <f t="shared" si="80"/>
        <v>210</v>
      </c>
      <c r="AO208" s="6">
        <v>250</v>
      </c>
      <c r="AP208" s="6"/>
      <c r="AQ208" s="34">
        <f t="shared" si="81"/>
        <v>250</v>
      </c>
      <c r="AR208" s="35">
        <v>509</v>
      </c>
      <c r="AS208" s="35"/>
      <c r="AT208" s="35">
        <f t="shared" si="82"/>
        <v>259</v>
      </c>
      <c r="AU208" s="6">
        <v>749</v>
      </c>
      <c r="AV208" s="6"/>
      <c r="AW208" s="35">
        <f t="shared" si="83"/>
        <v>240</v>
      </c>
      <c r="AX208" s="6"/>
      <c r="AY208" s="6"/>
      <c r="AZ208" s="35"/>
      <c r="BA208" s="35">
        <v>1004</v>
      </c>
      <c r="BB208" s="35"/>
      <c r="BC208" s="35">
        <f t="shared" si="84"/>
        <v>255</v>
      </c>
      <c r="BD208" s="35">
        <v>150</v>
      </c>
      <c r="BE208" s="6">
        <v>1100</v>
      </c>
      <c r="BF208" s="35">
        <f t="shared" si="85"/>
        <v>246</v>
      </c>
      <c r="BG208" s="6">
        <v>401</v>
      </c>
      <c r="BH208" s="6"/>
      <c r="BI208" s="6">
        <f t="shared" si="86"/>
        <v>251</v>
      </c>
      <c r="BJ208" s="6">
        <v>653</v>
      </c>
      <c r="BK208" s="6"/>
      <c r="BL208" s="6">
        <f t="shared" si="87"/>
        <v>252</v>
      </c>
      <c r="BM208" s="35">
        <v>105</v>
      </c>
      <c r="BN208" s="35">
        <v>800</v>
      </c>
      <c r="BO208" s="6">
        <f t="shared" si="88"/>
        <v>252</v>
      </c>
      <c r="BP208" s="35">
        <v>344</v>
      </c>
      <c r="BQ208" s="35"/>
      <c r="BR208" s="35">
        <f t="shared" si="89"/>
        <v>239</v>
      </c>
      <c r="BS208" s="35"/>
      <c r="BT208" s="35"/>
      <c r="BU208" s="6"/>
      <c r="BV208" s="35">
        <v>597</v>
      </c>
      <c r="BW208" s="35"/>
      <c r="BX208" s="35">
        <f t="shared" si="90"/>
        <v>253</v>
      </c>
      <c r="BY208" s="35">
        <v>179</v>
      </c>
      <c r="BZ208" s="6">
        <v>644</v>
      </c>
      <c r="CA208" s="6">
        <f t="shared" si="91"/>
        <v>226</v>
      </c>
      <c r="CB208" s="35">
        <v>428</v>
      </c>
      <c r="CC208" s="6"/>
      <c r="CD208" s="6">
        <f t="shared" si="92"/>
        <v>249</v>
      </c>
      <c r="CE208" s="6">
        <v>677</v>
      </c>
      <c r="CF208" s="6"/>
      <c r="CG208" s="6">
        <f t="shared" si="93"/>
        <v>249</v>
      </c>
      <c r="CH208" s="6">
        <v>921</v>
      </c>
      <c r="CI208" s="6"/>
      <c r="CJ208" s="6">
        <f t="shared" si="94"/>
        <v>244</v>
      </c>
      <c r="CK208" s="6">
        <v>60</v>
      </c>
      <c r="CL208" s="6">
        <v>1100</v>
      </c>
      <c r="CM208" s="6">
        <f t="shared" si="95"/>
        <v>239</v>
      </c>
      <c r="CN208" s="6"/>
      <c r="CO208" s="6"/>
      <c r="CP208" s="6"/>
      <c r="CQ208" s="6">
        <v>310</v>
      </c>
      <c r="CR208" s="6"/>
      <c r="CS208" s="6">
        <f t="shared" si="96"/>
        <v>250</v>
      </c>
      <c r="CT208" s="6">
        <v>553</v>
      </c>
      <c r="CU208" s="6"/>
      <c r="CV208" s="6">
        <f t="shared" si="97"/>
        <v>243</v>
      </c>
      <c r="CW208" s="6">
        <v>169</v>
      </c>
      <c r="CX208" s="6">
        <v>632</v>
      </c>
      <c r="CY208" s="6">
        <f t="shared" si="98"/>
        <v>248</v>
      </c>
      <c r="CZ208" s="6">
        <v>416</v>
      </c>
      <c r="DA208" s="6"/>
      <c r="DB208" s="6">
        <f t="shared" si="99"/>
        <v>247</v>
      </c>
      <c r="DC208" s="6">
        <v>665</v>
      </c>
      <c r="DD208" s="6"/>
      <c r="DE208" s="6">
        <f t="shared" si="100"/>
        <v>249</v>
      </c>
      <c r="DF208" s="6">
        <v>900</v>
      </c>
      <c r="DG208" s="10"/>
      <c r="DH208" s="6">
        <f t="shared" si="101"/>
        <v>235</v>
      </c>
      <c r="DI208" s="6"/>
      <c r="DJ208" s="10"/>
      <c r="DK208" s="6"/>
      <c r="DL208" s="6">
        <v>132</v>
      </c>
      <c r="DM208" s="10">
        <v>1016</v>
      </c>
      <c r="DN208" s="6">
        <f t="shared" si="102"/>
        <v>248</v>
      </c>
      <c r="DO208" s="6">
        <v>363</v>
      </c>
      <c r="DP208" s="10"/>
      <c r="DQ208" s="6">
        <f t="shared" si="103"/>
        <v>231</v>
      </c>
    </row>
    <row r="209" spans="1:121">
      <c r="A209" s="6">
        <v>205</v>
      </c>
      <c r="B209" s="6">
        <v>745</v>
      </c>
      <c r="C209" s="10"/>
      <c r="D209" s="6">
        <v>230</v>
      </c>
      <c r="E209" s="141" t="s">
        <v>72</v>
      </c>
      <c r="F209" s="141" t="s">
        <v>72</v>
      </c>
      <c r="G209" s="141" t="s">
        <v>72</v>
      </c>
      <c r="H209" s="141" t="s">
        <v>72</v>
      </c>
      <c r="I209" s="141" t="s">
        <v>72</v>
      </c>
      <c r="J209" s="141" t="s">
        <v>72</v>
      </c>
      <c r="K209" s="141" t="s">
        <v>72</v>
      </c>
      <c r="L209" s="141" t="s">
        <v>72</v>
      </c>
      <c r="M209" s="141" t="s">
        <v>72</v>
      </c>
      <c r="N209" s="141" t="s">
        <v>72</v>
      </c>
      <c r="O209" s="141" t="s">
        <v>72</v>
      </c>
      <c r="P209" s="141" t="s">
        <v>72</v>
      </c>
      <c r="Q209" s="141" t="s">
        <v>72</v>
      </c>
      <c r="R209" s="141" t="s">
        <v>72</v>
      </c>
      <c r="S209" s="141" t="s">
        <v>72</v>
      </c>
      <c r="T209" s="141" t="s">
        <v>72</v>
      </c>
      <c r="U209" s="141" t="s">
        <v>72</v>
      </c>
      <c r="V209" s="163" t="s">
        <v>72</v>
      </c>
      <c r="W209" s="141" t="s">
        <v>72</v>
      </c>
      <c r="X209" s="141" t="s">
        <v>72</v>
      </c>
      <c r="Y209" s="141" t="s">
        <v>72</v>
      </c>
      <c r="Z209" s="141" t="s">
        <v>72</v>
      </c>
      <c r="AA209" s="141" t="s">
        <v>72</v>
      </c>
      <c r="AB209" s="141" t="s">
        <v>72</v>
      </c>
      <c r="AC209" s="141" t="s">
        <v>72</v>
      </c>
      <c r="AD209" s="141" t="s">
        <v>72</v>
      </c>
      <c r="AE209" s="141" t="s">
        <v>72</v>
      </c>
      <c r="AF209" s="6">
        <v>1014</v>
      </c>
      <c r="AG209" s="6"/>
      <c r="AH209" s="35">
        <f t="shared" si="78"/>
        <v>269</v>
      </c>
      <c r="AI209" s="35">
        <v>164</v>
      </c>
      <c r="AJ209" s="35">
        <v>1100</v>
      </c>
      <c r="AK209" s="35">
        <f t="shared" si="79"/>
        <v>250</v>
      </c>
      <c r="AL209" s="6">
        <v>410</v>
      </c>
      <c r="AM209" s="6"/>
      <c r="AN209" s="35">
        <f t="shared" si="80"/>
        <v>246</v>
      </c>
      <c r="AO209" s="6">
        <v>660</v>
      </c>
      <c r="AP209" s="6"/>
      <c r="AQ209" s="34">
        <f t="shared" si="81"/>
        <v>250</v>
      </c>
      <c r="AR209" s="35">
        <v>23</v>
      </c>
      <c r="AS209" s="35">
        <v>880</v>
      </c>
      <c r="AT209" s="35">
        <f t="shared" si="82"/>
        <v>243</v>
      </c>
      <c r="AU209" s="6">
        <v>260</v>
      </c>
      <c r="AV209" s="6"/>
      <c r="AW209" s="35">
        <f t="shared" si="83"/>
        <v>237</v>
      </c>
      <c r="AX209" s="6"/>
      <c r="AY209" s="6"/>
      <c r="AZ209" s="35"/>
      <c r="BA209" s="35">
        <v>511</v>
      </c>
      <c r="BB209" s="35"/>
      <c r="BC209" s="35">
        <f t="shared" si="84"/>
        <v>251</v>
      </c>
      <c r="BD209" s="35">
        <v>752</v>
      </c>
      <c r="BE209" s="6"/>
      <c r="BF209" s="35">
        <f t="shared" si="85"/>
        <v>241</v>
      </c>
      <c r="BG209" s="6">
        <v>1001</v>
      </c>
      <c r="BH209" s="6"/>
      <c r="BI209" s="6">
        <f t="shared" si="86"/>
        <v>249</v>
      </c>
      <c r="BJ209" s="6">
        <v>145</v>
      </c>
      <c r="BK209" s="6">
        <v>1100</v>
      </c>
      <c r="BL209" s="6">
        <f t="shared" si="87"/>
        <v>244</v>
      </c>
      <c r="BM209" s="35">
        <v>393</v>
      </c>
      <c r="BN209" s="35"/>
      <c r="BO209" s="6">
        <f t="shared" si="88"/>
        <v>248</v>
      </c>
      <c r="BP209" s="35">
        <v>631</v>
      </c>
      <c r="BQ209" s="35"/>
      <c r="BR209" s="35">
        <f t="shared" si="89"/>
        <v>238</v>
      </c>
      <c r="BS209" s="35"/>
      <c r="BT209" s="35"/>
      <c r="BU209" s="6"/>
      <c r="BV209" s="35">
        <v>881</v>
      </c>
      <c r="BW209" s="35"/>
      <c r="BX209" s="35">
        <f t="shared" si="90"/>
        <v>250</v>
      </c>
      <c r="BY209" s="35">
        <v>27</v>
      </c>
      <c r="BZ209" s="6">
        <v>1100</v>
      </c>
      <c r="CA209" s="6">
        <f t="shared" si="91"/>
        <v>246</v>
      </c>
      <c r="CB209" s="6">
        <v>278</v>
      </c>
      <c r="CC209" s="6"/>
      <c r="CD209" s="6">
        <f t="shared" si="92"/>
        <v>251</v>
      </c>
      <c r="CE209" s="6">
        <v>518</v>
      </c>
      <c r="CF209" s="6"/>
      <c r="CG209" s="6">
        <f t="shared" si="93"/>
        <v>240</v>
      </c>
      <c r="CH209" s="6">
        <v>167</v>
      </c>
      <c r="CI209" s="6">
        <v>590</v>
      </c>
      <c r="CJ209" s="6">
        <f t="shared" si="94"/>
        <v>239</v>
      </c>
      <c r="CK209" s="6">
        <v>398</v>
      </c>
      <c r="CL209" s="6"/>
      <c r="CM209" s="6">
        <f t="shared" si="95"/>
        <v>231</v>
      </c>
      <c r="CN209" s="6"/>
      <c r="CO209" s="6"/>
      <c r="CP209" s="6"/>
      <c r="CQ209" s="6">
        <v>650</v>
      </c>
      <c r="CR209" s="6"/>
      <c r="CS209" s="6">
        <f t="shared" si="96"/>
        <v>252</v>
      </c>
      <c r="CT209" s="6">
        <v>897</v>
      </c>
      <c r="CU209" s="6"/>
      <c r="CV209" s="6">
        <f t="shared" si="97"/>
        <v>247</v>
      </c>
      <c r="CW209" s="6">
        <v>43</v>
      </c>
      <c r="CX209" s="6">
        <v>1100</v>
      </c>
      <c r="CY209" s="6">
        <f t="shared" si="98"/>
        <v>246</v>
      </c>
      <c r="CZ209" s="6">
        <v>284</v>
      </c>
      <c r="DA209" s="6"/>
      <c r="DB209" s="6">
        <f t="shared" si="99"/>
        <v>241</v>
      </c>
      <c r="DC209" s="6">
        <v>528</v>
      </c>
      <c r="DD209" s="6"/>
      <c r="DE209" s="6">
        <f t="shared" si="100"/>
        <v>244</v>
      </c>
      <c r="DF209" s="6">
        <v>763</v>
      </c>
      <c r="DG209" s="10"/>
      <c r="DH209" s="6">
        <f t="shared" si="101"/>
        <v>235</v>
      </c>
      <c r="DI209" s="6"/>
      <c r="DJ209" s="10"/>
      <c r="DK209" s="6"/>
      <c r="DL209" s="6">
        <v>1012</v>
      </c>
      <c r="DM209" s="10"/>
      <c r="DN209" s="6">
        <f t="shared" si="102"/>
        <v>249</v>
      </c>
      <c r="DO209" s="6">
        <v>139</v>
      </c>
      <c r="DP209" s="10">
        <v>1100</v>
      </c>
      <c r="DQ209" s="6">
        <f t="shared" si="103"/>
        <v>227</v>
      </c>
    </row>
    <row r="210" spans="1:121">
      <c r="A210" s="6">
        <v>206</v>
      </c>
      <c r="B210" s="6">
        <v>673</v>
      </c>
      <c r="C210" s="10"/>
      <c r="D210" s="6">
        <v>231</v>
      </c>
      <c r="E210" s="141" t="s">
        <v>72</v>
      </c>
      <c r="F210" s="141" t="s">
        <v>72</v>
      </c>
      <c r="G210" s="141" t="s">
        <v>72</v>
      </c>
      <c r="H210" s="141" t="s">
        <v>72</v>
      </c>
      <c r="I210" s="141" t="s">
        <v>72</v>
      </c>
      <c r="J210" s="141" t="s">
        <v>72</v>
      </c>
      <c r="K210" s="141" t="s">
        <v>72</v>
      </c>
      <c r="L210" s="141" t="s">
        <v>72</v>
      </c>
      <c r="M210" s="141" t="s">
        <v>72</v>
      </c>
      <c r="N210" s="141" t="s">
        <v>72</v>
      </c>
      <c r="O210" s="141" t="s">
        <v>72</v>
      </c>
      <c r="P210" s="141" t="s">
        <v>72</v>
      </c>
      <c r="Q210" s="141" t="s">
        <v>72</v>
      </c>
      <c r="R210" s="141" t="s">
        <v>72</v>
      </c>
      <c r="S210" s="141" t="s">
        <v>72</v>
      </c>
      <c r="T210" s="141" t="s">
        <v>72</v>
      </c>
      <c r="U210" s="141" t="s">
        <v>72</v>
      </c>
      <c r="V210" s="141" t="s">
        <v>72</v>
      </c>
      <c r="W210" s="163" t="s">
        <v>72</v>
      </c>
      <c r="X210" s="141" t="s">
        <v>72</v>
      </c>
      <c r="Y210" s="141" t="s">
        <v>72</v>
      </c>
      <c r="Z210" s="141" t="s">
        <v>72</v>
      </c>
      <c r="AA210" s="141" t="s">
        <v>72</v>
      </c>
      <c r="AB210" s="141" t="s">
        <v>72</v>
      </c>
      <c r="AC210" s="141" t="s">
        <v>72</v>
      </c>
      <c r="AD210" s="141" t="s">
        <v>72</v>
      </c>
      <c r="AE210" s="141" t="s">
        <v>72</v>
      </c>
      <c r="AF210" s="6">
        <v>204</v>
      </c>
      <c r="AG210" s="6">
        <v>738</v>
      </c>
      <c r="AH210" s="35">
        <f t="shared" si="78"/>
        <v>269</v>
      </c>
      <c r="AI210" s="35">
        <v>8</v>
      </c>
      <c r="AJ210" s="35">
        <v>438</v>
      </c>
      <c r="AK210" s="35">
        <f t="shared" si="79"/>
        <v>242</v>
      </c>
      <c r="AL210" s="6">
        <v>258</v>
      </c>
      <c r="AM210" s="6"/>
      <c r="AN210" s="35">
        <f t="shared" si="80"/>
        <v>250</v>
      </c>
      <c r="AO210" s="6">
        <v>94</v>
      </c>
      <c r="AP210" s="6">
        <v>405</v>
      </c>
      <c r="AQ210" s="34">
        <f t="shared" si="81"/>
        <v>241</v>
      </c>
      <c r="AR210" s="35">
        <v>341</v>
      </c>
      <c r="AS210" s="35"/>
      <c r="AT210" s="35">
        <f t="shared" si="82"/>
        <v>247</v>
      </c>
      <c r="AU210" s="6">
        <v>97</v>
      </c>
      <c r="AV210" s="6">
        <v>473</v>
      </c>
      <c r="AW210" s="35">
        <f t="shared" si="83"/>
        <v>229</v>
      </c>
      <c r="AX210" s="6"/>
      <c r="AY210" s="6"/>
      <c r="AZ210" s="35"/>
      <c r="BA210" s="35">
        <v>340</v>
      </c>
      <c r="BB210" s="35"/>
      <c r="BC210" s="35">
        <f t="shared" si="84"/>
        <v>243</v>
      </c>
      <c r="BD210" s="35">
        <v>588</v>
      </c>
      <c r="BE210" s="6"/>
      <c r="BF210" s="35">
        <f t="shared" si="85"/>
        <v>248</v>
      </c>
      <c r="BG210" s="6">
        <v>4</v>
      </c>
      <c r="BH210" s="6">
        <v>831</v>
      </c>
      <c r="BI210" s="6">
        <f t="shared" si="86"/>
        <v>247</v>
      </c>
      <c r="BJ210" s="6">
        <v>237</v>
      </c>
      <c r="BK210" s="6"/>
      <c r="BL210" s="6">
        <f t="shared" si="87"/>
        <v>233</v>
      </c>
      <c r="BM210" s="35">
        <v>487</v>
      </c>
      <c r="BN210" s="35"/>
      <c r="BO210" s="6">
        <f t="shared" si="88"/>
        <v>250</v>
      </c>
      <c r="BP210" s="35">
        <v>14</v>
      </c>
      <c r="BQ210" s="35">
        <v>709</v>
      </c>
      <c r="BR210" s="35">
        <f t="shared" si="89"/>
        <v>236</v>
      </c>
      <c r="BS210" s="35"/>
      <c r="BT210" s="35"/>
      <c r="BU210" s="6"/>
      <c r="BV210" s="35">
        <v>58</v>
      </c>
      <c r="BW210" s="35">
        <v>203</v>
      </c>
      <c r="BX210" s="35">
        <f t="shared" si="90"/>
        <v>247</v>
      </c>
      <c r="BY210" s="35">
        <v>300</v>
      </c>
      <c r="BZ210" s="6"/>
      <c r="CA210" s="6">
        <f t="shared" si="91"/>
        <v>242</v>
      </c>
      <c r="CB210" s="6">
        <v>548</v>
      </c>
      <c r="CC210" s="6"/>
      <c r="CD210" s="6">
        <f t="shared" si="92"/>
        <v>248</v>
      </c>
      <c r="CE210" s="6">
        <v>220</v>
      </c>
      <c r="CF210" s="6">
        <v>578</v>
      </c>
      <c r="CG210" s="6">
        <f t="shared" si="93"/>
        <v>250</v>
      </c>
      <c r="CH210" s="6">
        <v>0</v>
      </c>
      <c r="CI210" s="6">
        <v>408</v>
      </c>
      <c r="CJ210" s="6">
        <f t="shared" si="94"/>
        <v>188</v>
      </c>
      <c r="CK210" s="6">
        <v>237</v>
      </c>
      <c r="CL210" s="6"/>
      <c r="CM210" s="6">
        <f t="shared" si="95"/>
        <v>237</v>
      </c>
      <c r="CN210" s="6"/>
      <c r="CO210" s="6"/>
      <c r="CP210" s="6"/>
      <c r="CQ210" s="6">
        <v>492</v>
      </c>
      <c r="CR210" s="6"/>
      <c r="CS210" s="6">
        <f t="shared" si="96"/>
        <v>255</v>
      </c>
      <c r="CT210" s="6">
        <v>732</v>
      </c>
      <c r="CU210" s="6"/>
      <c r="CV210" s="6">
        <f t="shared" si="97"/>
        <v>240</v>
      </c>
      <c r="CW210" s="6">
        <v>981</v>
      </c>
      <c r="CX210" s="6"/>
      <c r="CY210" s="6">
        <f t="shared" si="98"/>
        <v>249</v>
      </c>
      <c r="CZ210" s="6">
        <v>126</v>
      </c>
      <c r="DA210" s="6">
        <v>1100</v>
      </c>
      <c r="DB210" s="6">
        <f t="shared" si="99"/>
        <v>245</v>
      </c>
      <c r="DC210" s="6">
        <v>362</v>
      </c>
      <c r="DD210" s="6"/>
      <c r="DE210" s="6">
        <f t="shared" si="100"/>
        <v>236</v>
      </c>
      <c r="DF210" s="6">
        <v>593</v>
      </c>
      <c r="DG210" s="10"/>
      <c r="DH210" s="6">
        <f t="shared" si="101"/>
        <v>231</v>
      </c>
      <c r="DI210" s="6"/>
      <c r="DJ210" s="10"/>
      <c r="DK210" s="6"/>
      <c r="DL210" s="6">
        <v>830</v>
      </c>
      <c r="DM210" s="10"/>
      <c r="DN210" s="6">
        <f t="shared" si="102"/>
        <v>237</v>
      </c>
      <c r="DO210" s="6">
        <v>1039</v>
      </c>
      <c r="DP210" s="10"/>
      <c r="DQ210" s="6">
        <f t="shared" si="103"/>
        <v>209</v>
      </c>
    </row>
    <row r="211" spans="1:121">
      <c r="A211" s="6">
        <v>207</v>
      </c>
      <c r="B211" s="6">
        <v>272</v>
      </c>
      <c r="C211" s="10"/>
      <c r="D211" s="6">
        <v>233</v>
      </c>
      <c r="E211" s="141" t="s">
        <v>75</v>
      </c>
      <c r="F211" s="141" t="s">
        <v>75</v>
      </c>
      <c r="G211" s="141" t="s">
        <v>75</v>
      </c>
      <c r="H211" s="141" t="s">
        <v>75</v>
      </c>
      <c r="I211" s="141" t="s">
        <v>75</v>
      </c>
      <c r="J211" s="141" t="s">
        <v>75</v>
      </c>
      <c r="K211" s="163" t="s">
        <v>75</v>
      </c>
      <c r="L211" s="141" t="s">
        <v>75</v>
      </c>
      <c r="M211" s="141" t="s">
        <v>75</v>
      </c>
      <c r="N211" s="141" t="s">
        <v>75</v>
      </c>
      <c r="O211" s="141" t="s">
        <v>75</v>
      </c>
      <c r="P211" s="141" t="s">
        <v>75</v>
      </c>
      <c r="Q211" s="141" t="s">
        <v>75</v>
      </c>
      <c r="R211" s="141" t="s">
        <v>75</v>
      </c>
      <c r="S211" s="141" t="s">
        <v>75</v>
      </c>
      <c r="T211" s="141" t="s">
        <v>75</v>
      </c>
      <c r="U211" s="141" t="s">
        <v>75</v>
      </c>
      <c r="V211" s="141" t="s">
        <v>75</v>
      </c>
      <c r="W211" s="141" t="s">
        <v>75</v>
      </c>
      <c r="X211" s="141" t="s">
        <v>75</v>
      </c>
      <c r="Y211" s="141" t="s">
        <v>75</v>
      </c>
      <c r="Z211" s="141" t="s">
        <v>75</v>
      </c>
      <c r="AA211" s="141" t="s">
        <v>75</v>
      </c>
      <c r="AB211" s="141" t="s">
        <v>75</v>
      </c>
      <c r="AC211" s="141" t="s">
        <v>75</v>
      </c>
      <c r="AD211" s="141" t="s">
        <v>75</v>
      </c>
      <c r="AE211" s="163" t="s">
        <v>75</v>
      </c>
      <c r="AF211" s="6">
        <v>545</v>
      </c>
      <c r="AG211" s="6"/>
      <c r="AH211" s="35">
        <f t="shared" si="78"/>
        <v>273</v>
      </c>
      <c r="AI211" s="35">
        <v>798</v>
      </c>
      <c r="AJ211" s="35"/>
      <c r="AK211" s="35">
        <f t="shared" si="79"/>
        <v>253</v>
      </c>
      <c r="AL211" s="6">
        <v>1054</v>
      </c>
      <c r="AM211" s="6"/>
      <c r="AN211" s="35">
        <f t="shared" si="80"/>
        <v>256</v>
      </c>
      <c r="AO211" s="6">
        <v>208</v>
      </c>
      <c r="AP211" s="6">
        <v>1100</v>
      </c>
      <c r="AQ211" s="34">
        <f t="shared" si="81"/>
        <v>254</v>
      </c>
      <c r="AR211" s="35">
        <v>0</v>
      </c>
      <c r="AS211" s="35">
        <v>396</v>
      </c>
      <c r="AT211" s="35">
        <f t="shared" si="82"/>
        <v>188</v>
      </c>
      <c r="AU211" s="6">
        <v>230</v>
      </c>
      <c r="AV211" s="6"/>
      <c r="AW211" s="35">
        <f t="shared" si="83"/>
        <v>230</v>
      </c>
      <c r="AX211" s="6"/>
      <c r="AY211" s="6"/>
      <c r="AZ211" s="35"/>
      <c r="BA211" s="35">
        <v>488</v>
      </c>
      <c r="BB211" s="35"/>
      <c r="BC211" s="35">
        <f t="shared" si="84"/>
        <v>258</v>
      </c>
      <c r="BD211" s="35">
        <v>740</v>
      </c>
      <c r="BE211" s="6"/>
      <c r="BF211" s="35">
        <f t="shared" si="85"/>
        <v>252</v>
      </c>
      <c r="BG211" s="6">
        <v>993</v>
      </c>
      <c r="BH211" s="6"/>
      <c r="BI211" s="6">
        <f t="shared" si="86"/>
        <v>253</v>
      </c>
      <c r="BJ211" s="6">
        <v>134</v>
      </c>
      <c r="BK211" s="6">
        <v>1100</v>
      </c>
      <c r="BL211" s="6">
        <f t="shared" si="87"/>
        <v>241</v>
      </c>
      <c r="BM211" s="35">
        <v>390</v>
      </c>
      <c r="BN211" s="35"/>
      <c r="BO211" s="6">
        <f t="shared" si="88"/>
        <v>256</v>
      </c>
      <c r="BP211" s="35">
        <v>633</v>
      </c>
      <c r="BQ211" s="35"/>
      <c r="BR211" s="35">
        <f t="shared" si="89"/>
        <v>243</v>
      </c>
      <c r="BS211" s="35"/>
      <c r="BT211" s="35"/>
      <c r="BU211" s="6"/>
      <c r="BV211" s="35">
        <v>890</v>
      </c>
      <c r="BW211" s="35"/>
      <c r="BX211" s="35">
        <f t="shared" si="90"/>
        <v>257</v>
      </c>
      <c r="BY211" s="35">
        <v>37</v>
      </c>
      <c r="BZ211" s="6">
        <v>1100</v>
      </c>
      <c r="CA211" s="6">
        <f t="shared" si="91"/>
        <v>247</v>
      </c>
      <c r="CB211" s="6">
        <v>279</v>
      </c>
      <c r="CC211" s="6"/>
      <c r="CD211" s="6">
        <f t="shared" si="92"/>
        <v>242</v>
      </c>
      <c r="CE211" s="6">
        <v>534</v>
      </c>
      <c r="CF211" s="6"/>
      <c r="CG211" s="6">
        <f t="shared" si="93"/>
        <v>255</v>
      </c>
      <c r="CH211" s="6">
        <v>786</v>
      </c>
      <c r="CI211" s="6"/>
      <c r="CJ211" s="6">
        <f t="shared" si="94"/>
        <v>252</v>
      </c>
      <c r="CK211" s="6">
        <v>1036</v>
      </c>
      <c r="CL211" s="6"/>
      <c r="CM211" s="6">
        <f t="shared" si="95"/>
        <v>250</v>
      </c>
      <c r="CN211" s="6"/>
      <c r="CO211" s="6"/>
      <c r="CP211" s="6"/>
      <c r="CQ211" s="6">
        <v>195</v>
      </c>
      <c r="CR211" s="6">
        <v>1100</v>
      </c>
      <c r="CS211" s="6">
        <f t="shared" si="96"/>
        <v>259</v>
      </c>
      <c r="CT211" s="6">
        <v>449</v>
      </c>
      <c r="CU211" s="6"/>
      <c r="CV211" s="6">
        <f t="shared" si="97"/>
        <v>254</v>
      </c>
      <c r="CW211" s="6">
        <v>704</v>
      </c>
      <c r="CX211" s="6"/>
      <c r="CY211" s="6">
        <f t="shared" si="98"/>
        <v>255</v>
      </c>
      <c r="CZ211" s="6">
        <v>959</v>
      </c>
      <c r="DA211" s="6"/>
      <c r="DB211" s="6">
        <f t="shared" si="99"/>
        <v>255</v>
      </c>
      <c r="DC211" s="6">
        <v>118</v>
      </c>
      <c r="DD211" s="6">
        <v>1100</v>
      </c>
      <c r="DE211" s="6">
        <f t="shared" si="100"/>
        <v>259</v>
      </c>
      <c r="DF211" s="6">
        <v>362</v>
      </c>
      <c r="DG211" s="10"/>
      <c r="DH211" s="6">
        <f t="shared" si="101"/>
        <v>244</v>
      </c>
      <c r="DI211" s="6"/>
      <c r="DJ211" s="10"/>
      <c r="DK211" s="6"/>
      <c r="DL211" s="6">
        <v>618</v>
      </c>
      <c r="DM211" s="10"/>
      <c r="DN211" s="6">
        <f t="shared" si="102"/>
        <v>256</v>
      </c>
      <c r="DO211" s="6">
        <v>182</v>
      </c>
      <c r="DP211" s="10">
        <v>660</v>
      </c>
      <c r="DQ211" s="6">
        <f t="shared" si="103"/>
        <v>224</v>
      </c>
    </row>
    <row r="212" spans="1:121">
      <c r="A212" s="6">
        <v>208</v>
      </c>
      <c r="B212" s="6">
        <v>738</v>
      </c>
      <c r="C212" s="10"/>
      <c r="D212" s="6">
        <v>230</v>
      </c>
      <c r="E212" s="141" t="s">
        <v>72</v>
      </c>
      <c r="F212" s="141" t="s">
        <v>72</v>
      </c>
      <c r="G212" s="141" t="s">
        <v>72</v>
      </c>
      <c r="H212" s="141" t="s">
        <v>72</v>
      </c>
      <c r="I212" s="141" t="s">
        <v>72</v>
      </c>
      <c r="J212" s="141" t="s">
        <v>72</v>
      </c>
      <c r="K212" s="141" t="s">
        <v>72</v>
      </c>
      <c r="L212" s="141" t="s">
        <v>72</v>
      </c>
      <c r="M212" s="141" t="s">
        <v>72</v>
      </c>
      <c r="N212" s="141" t="s">
        <v>72</v>
      </c>
      <c r="O212" s="141" t="s">
        <v>72</v>
      </c>
      <c r="P212" s="141" t="s">
        <v>72</v>
      </c>
      <c r="Q212" s="141" t="s">
        <v>72</v>
      </c>
      <c r="R212" s="141" t="s">
        <v>72</v>
      </c>
      <c r="S212" s="141" t="s">
        <v>72</v>
      </c>
      <c r="T212" s="141" t="s">
        <v>72</v>
      </c>
      <c r="U212" s="141" t="s">
        <v>72</v>
      </c>
      <c r="V212" s="163" t="s">
        <v>72</v>
      </c>
      <c r="W212" s="141" t="s">
        <v>72</v>
      </c>
      <c r="X212" s="141" t="s">
        <v>72</v>
      </c>
      <c r="Y212" s="141" t="s">
        <v>72</v>
      </c>
      <c r="Z212" s="141" t="s">
        <v>72</v>
      </c>
      <c r="AA212" s="141" t="s">
        <v>72</v>
      </c>
      <c r="AB212" s="141" t="s">
        <v>72</v>
      </c>
      <c r="AC212" s="141" t="s">
        <v>72</v>
      </c>
      <c r="AD212" s="141" t="s">
        <v>72</v>
      </c>
      <c r="AE212" s="141" t="s">
        <v>72</v>
      </c>
      <c r="AF212" s="6">
        <v>1012</v>
      </c>
      <c r="AG212" s="6"/>
      <c r="AH212" s="35">
        <f t="shared" si="78"/>
        <v>274</v>
      </c>
      <c r="AI212" s="35">
        <v>167</v>
      </c>
      <c r="AJ212" s="35">
        <v>1100</v>
      </c>
      <c r="AK212" s="35">
        <f t="shared" si="79"/>
        <v>255</v>
      </c>
      <c r="AL212" s="6">
        <v>424</v>
      </c>
      <c r="AM212" s="6"/>
      <c r="AN212" s="35">
        <f t="shared" si="80"/>
        <v>257</v>
      </c>
      <c r="AO212" s="6">
        <v>681</v>
      </c>
      <c r="AP212" s="6"/>
      <c r="AQ212" s="34">
        <f t="shared" si="81"/>
        <v>257</v>
      </c>
      <c r="AR212" s="35">
        <v>939</v>
      </c>
      <c r="AS212" s="35"/>
      <c r="AT212" s="35">
        <f t="shared" si="82"/>
        <v>258</v>
      </c>
      <c r="AU212" s="6">
        <v>67</v>
      </c>
      <c r="AV212" s="6">
        <v>1100</v>
      </c>
      <c r="AW212" s="35">
        <f t="shared" si="83"/>
        <v>228</v>
      </c>
      <c r="AX212" s="6"/>
      <c r="AY212" s="6"/>
      <c r="AZ212" s="35"/>
      <c r="BA212" s="35">
        <v>314</v>
      </c>
      <c r="BB212" s="35"/>
      <c r="BC212" s="35">
        <f t="shared" si="84"/>
        <v>247</v>
      </c>
      <c r="BD212" s="35">
        <v>560</v>
      </c>
      <c r="BE212" s="6"/>
      <c r="BF212" s="35">
        <f t="shared" si="85"/>
        <v>246</v>
      </c>
      <c r="BG212" s="6">
        <v>100</v>
      </c>
      <c r="BH212" s="6">
        <v>707</v>
      </c>
      <c r="BI212" s="6">
        <f t="shared" si="86"/>
        <v>247</v>
      </c>
      <c r="BJ212" s="6">
        <v>345</v>
      </c>
      <c r="BK212" s="6"/>
      <c r="BL212" s="6">
        <f t="shared" si="87"/>
        <v>245</v>
      </c>
      <c r="BM212" s="35">
        <v>600</v>
      </c>
      <c r="BN212" s="35"/>
      <c r="BO212" s="6">
        <f t="shared" si="88"/>
        <v>255</v>
      </c>
      <c r="BP212" s="35">
        <v>841</v>
      </c>
      <c r="BQ212" s="35"/>
      <c r="BR212" s="35">
        <f t="shared" si="89"/>
        <v>241</v>
      </c>
      <c r="BS212" s="35"/>
      <c r="BT212" s="35"/>
      <c r="BU212" s="6"/>
      <c r="BV212" s="35">
        <v>1096</v>
      </c>
      <c r="BW212" s="35"/>
      <c r="BX212" s="35">
        <f t="shared" si="90"/>
        <v>255</v>
      </c>
      <c r="BY212" s="35">
        <v>247</v>
      </c>
      <c r="BZ212" s="6">
        <v>1100</v>
      </c>
      <c r="CA212" s="6">
        <f t="shared" si="91"/>
        <v>251</v>
      </c>
      <c r="CB212" s="6">
        <v>500</v>
      </c>
      <c r="CC212" s="6"/>
      <c r="CD212" s="6">
        <f t="shared" si="92"/>
        <v>253</v>
      </c>
      <c r="CE212" s="6">
        <v>755</v>
      </c>
      <c r="CF212" s="6"/>
      <c r="CG212" s="6">
        <f t="shared" si="93"/>
        <v>255</v>
      </c>
      <c r="CH212" s="6">
        <v>169</v>
      </c>
      <c r="CI212" s="6">
        <v>790</v>
      </c>
      <c r="CJ212" s="6">
        <f t="shared" si="94"/>
        <v>204</v>
      </c>
      <c r="CK212" s="6">
        <v>408</v>
      </c>
      <c r="CL212" s="6"/>
      <c r="CM212" s="6">
        <f t="shared" si="95"/>
        <v>239</v>
      </c>
      <c r="CN212" s="6"/>
      <c r="CO212" s="6"/>
      <c r="CP212" s="6"/>
      <c r="CQ212" s="6">
        <v>659</v>
      </c>
      <c r="CR212" s="6"/>
      <c r="CS212" s="6">
        <f t="shared" si="96"/>
        <v>251</v>
      </c>
      <c r="CT212" s="6">
        <v>907</v>
      </c>
      <c r="CU212" s="35"/>
      <c r="CV212" s="6">
        <f t="shared" si="97"/>
        <v>248</v>
      </c>
      <c r="CW212" s="6">
        <v>53</v>
      </c>
      <c r="CX212" s="6">
        <v>1100</v>
      </c>
      <c r="CY212" s="6">
        <f t="shared" si="98"/>
        <v>246</v>
      </c>
      <c r="CZ212" s="6">
        <v>303</v>
      </c>
      <c r="DA212" s="6"/>
      <c r="DB212" s="6">
        <f t="shared" si="99"/>
        <v>250</v>
      </c>
      <c r="DC212" s="6">
        <v>552</v>
      </c>
      <c r="DD212" s="6"/>
      <c r="DE212" s="6">
        <f t="shared" si="100"/>
        <v>249</v>
      </c>
      <c r="DF212" s="6">
        <v>793</v>
      </c>
      <c r="DG212" s="10"/>
      <c r="DH212" s="6">
        <f t="shared" si="101"/>
        <v>241</v>
      </c>
      <c r="DI212" s="6"/>
      <c r="DJ212" s="10"/>
      <c r="DK212" s="6"/>
      <c r="DL212" s="6">
        <v>1044</v>
      </c>
      <c r="DM212" s="10"/>
      <c r="DN212" s="6">
        <f t="shared" si="102"/>
        <v>251</v>
      </c>
      <c r="DO212" s="6">
        <v>178</v>
      </c>
      <c r="DP212" s="10">
        <v>1100</v>
      </c>
      <c r="DQ212" s="6">
        <f t="shared" si="103"/>
        <v>234</v>
      </c>
    </row>
    <row r="213" spans="1:121" ht="15.75" customHeight="1">
      <c r="A213" s="6">
        <v>209</v>
      </c>
      <c r="B213" s="6">
        <v>132</v>
      </c>
      <c r="C213" s="10">
        <v>800</v>
      </c>
      <c r="D213" s="6">
        <v>219</v>
      </c>
      <c r="E213" s="141" t="s">
        <v>79</v>
      </c>
      <c r="F213" s="141" t="s">
        <v>79</v>
      </c>
      <c r="G213" s="163" t="s">
        <v>79</v>
      </c>
      <c r="H213" s="141" t="s">
        <v>79</v>
      </c>
      <c r="I213" s="141" t="s">
        <v>79</v>
      </c>
      <c r="J213" s="141" t="s">
        <v>79</v>
      </c>
      <c r="K213" s="141" t="s">
        <v>79</v>
      </c>
      <c r="L213" s="141" t="s">
        <v>79</v>
      </c>
      <c r="M213" s="141" t="s">
        <v>79</v>
      </c>
      <c r="N213" s="141" t="s">
        <v>79</v>
      </c>
      <c r="O213" s="141" t="s">
        <v>79</v>
      </c>
      <c r="P213" s="141" t="s">
        <v>79</v>
      </c>
      <c r="Q213" s="141" t="s">
        <v>79</v>
      </c>
      <c r="R213" s="141" t="s">
        <v>79</v>
      </c>
      <c r="S213" s="141" t="s">
        <v>79</v>
      </c>
      <c r="T213" s="141" t="s">
        <v>79</v>
      </c>
      <c r="U213" s="141" t="s">
        <v>79</v>
      </c>
      <c r="V213" s="141" t="s">
        <v>79</v>
      </c>
      <c r="W213" s="141" t="s">
        <v>79</v>
      </c>
      <c r="X213" s="141" t="s">
        <v>79</v>
      </c>
      <c r="Y213" s="141" t="s">
        <v>79</v>
      </c>
      <c r="Z213" s="163" t="s">
        <v>75</v>
      </c>
      <c r="AA213" s="141" t="s">
        <v>75</v>
      </c>
      <c r="AB213" s="141" t="s">
        <v>75</v>
      </c>
      <c r="AC213" s="141" t="s">
        <v>75</v>
      </c>
      <c r="AD213" s="141" t="s">
        <v>75</v>
      </c>
      <c r="AE213" s="141" t="s">
        <v>75</v>
      </c>
      <c r="AF213" s="6">
        <v>0</v>
      </c>
      <c r="AG213" s="6">
        <v>391</v>
      </c>
      <c r="AH213" s="35">
        <f t="shared" si="78"/>
        <v>259</v>
      </c>
      <c r="AI213" s="35">
        <v>230</v>
      </c>
      <c r="AJ213" s="35"/>
      <c r="AK213" s="35">
        <f t="shared" si="79"/>
        <v>230</v>
      </c>
      <c r="AL213" s="6">
        <v>485</v>
      </c>
      <c r="AM213" s="6"/>
      <c r="AN213" s="35">
        <f t="shared" si="80"/>
        <v>255</v>
      </c>
      <c r="AO213" s="6">
        <v>736</v>
      </c>
      <c r="AP213" s="6"/>
      <c r="AQ213" s="34">
        <f t="shared" si="81"/>
        <v>251</v>
      </c>
      <c r="AR213" s="35">
        <v>190</v>
      </c>
      <c r="AS213" s="35">
        <v>800</v>
      </c>
      <c r="AT213" s="35">
        <f t="shared" si="82"/>
        <v>254</v>
      </c>
      <c r="AU213" s="6">
        <v>429</v>
      </c>
      <c r="AV213" s="6"/>
      <c r="AW213" s="35">
        <f t="shared" si="83"/>
        <v>239</v>
      </c>
      <c r="AX213" s="6"/>
      <c r="AY213" s="6"/>
      <c r="AZ213" s="35"/>
      <c r="BA213" s="35">
        <v>689</v>
      </c>
      <c r="BB213" s="35"/>
      <c r="BC213" s="35">
        <f t="shared" si="84"/>
        <v>260</v>
      </c>
      <c r="BD213" s="35">
        <v>138</v>
      </c>
      <c r="BE213" s="6">
        <v>800</v>
      </c>
      <c r="BF213" s="35">
        <f t="shared" si="85"/>
        <v>249</v>
      </c>
      <c r="BG213" s="6">
        <v>391</v>
      </c>
      <c r="BH213" s="6"/>
      <c r="BI213" s="6">
        <f t="shared" si="86"/>
        <v>253</v>
      </c>
      <c r="BJ213" s="6">
        <v>650</v>
      </c>
      <c r="BK213" s="6"/>
      <c r="BL213" s="6">
        <f t="shared" si="87"/>
        <v>259</v>
      </c>
      <c r="BM213" s="35">
        <v>237</v>
      </c>
      <c r="BN213" s="35">
        <v>667</v>
      </c>
      <c r="BO213" s="6">
        <f t="shared" si="88"/>
        <v>254</v>
      </c>
      <c r="BP213" s="35">
        <v>479</v>
      </c>
      <c r="BQ213" s="35"/>
      <c r="BR213" s="35">
        <f t="shared" si="89"/>
        <v>242</v>
      </c>
      <c r="BS213" s="35"/>
      <c r="BT213" s="35"/>
      <c r="BU213" s="6"/>
      <c r="BV213" s="35">
        <v>730</v>
      </c>
      <c r="BW213" s="35"/>
      <c r="BX213" s="35">
        <f t="shared" si="90"/>
        <v>251</v>
      </c>
      <c r="BY213" s="35">
        <v>224</v>
      </c>
      <c r="BZ213" s="6">
        <v>754</v>
      </c>
      <c r="CA213" s="6">
        <f t="shared" si="91"/>
        <v>248</v>
      </c>
      <c r="CB213" s="6">
        <v>474</v>
      </c>
      <c r="CC213" s="6"/>
      <c r="CD213" s="6">
        <f t="shared" si="92"/>
        <v>250</v>
      </c>
      <c r="CE213" s="6">
        <v>728</v>
      </c>
      <c r="CF213" s="6"/>
      <c r="CG213" s="6">
        <f t="shared" si="93"/>
        <v>254</v>
      </c>
      <c r="CH213" s="6">
        <v>981</v>
      </c>
      <c r="CI213" s="6"/>
      <c r="CJ213" s="6">
        <f t="shared" si="94"/>
        <v>253</v>
      </c>
      <c r="CK213" s="6">
        <v>120</v>
      </c>
      <c r="CL213" s="6">
        <v>1100</v>
      </c>
      <c r="CM213" s="6">
        <f t="shared" si="95"/>
        <v>239</v>
      </c>
      <c r="CN213" s="6"/>
      <c r="CO213" s="6"/>
      <c r="CP213" s="6"/>
      <c r="CQ213" s="6">
        <v>376</v>
      </c>
      <c r="CR213" s="6"/>
      <c r="CS213" s="6">
        <f t="shared" si="96"/>
        <v>256</v>
      </c>
      <c r="CT213" s="6">
        <v>630</v>
      </c>
      <c r="CU213" s="6"/>
      <c r="CV213" s="6">
        <f t="shared" si="97"/>
        <v>254</v>
      </c>
      <c r="CW213" s="6">
        <v>183</v>
      </c>
      <c r="CX213" s="6">
        <v>693</v>
      </c>
      <c r="CY213" s="6">
        <f t="shared" si="98"/>
        <v>246</v>
      </c>
      <c r="CZ213" s="6">
        <v>443</v>
      </c>
      <c r="DA213" s="6"/>
      <c r="DB213" s="6">
        <f t="shared" si="99"/>
        <v>260</v>
      </c>
      <c r="DC213" s="6">
        <v>702</v>
      </c>
      <c r="DD213" s="6"/>
      <c r="DE213" s="6">
        <f t="shared" si="100"/>
        <v>259</v>
      </c>
      <c r="DF213" s="6">
        <v>949</v>
      </c>
      <c r="DG213" s="10"/>
      <c r="DH213" s="6">
        <f t="shared" si="101"/>
        <v>247</v>
      </c>
      <c r="DI213" s="6"/>
      <c r="DJ213" s="10"/>
      <c r="DK213" s="6"/>
      <c r="DL213" s="6">
        <v>108</v>
      </c>
      <c r="DM213" s="10">
        <v>1100</v>
      </c>
      <c r="DN213" s="6">
        <f t="shared" si="102"/>
        <v>259</v>
      </c>
      <c r="DO213" s="6">
        <v>347</v>
      </c>
      <c r="DP213" s="10"/>
      <c r="DQ213" s="6">
        <f t="shared" si="103"/>
        <v>239</v>
      </c>
    </row>
    <row r="214" spans="1:121">
      <c r="A214" s="6">
        <v>210</v>
      </c>
      <c r="B214" s="6">
        <v>790</v>
      </c>
      <c r="C214" s="10"/>
      <c r="D214" s="6">
        <v>226</v>
      </c>
      <c r="E214" s="141" t="s">
        <v>79</v>
      </c>
      <c r="F214" s="141" t="s">
        <v>79</v>
      </c>
      <c r="G214" s="141" t="s">
        <v>79</v>
      </c>
      <c r="H214" s="141" t="s">
        <v>79</v>
      </c>
      <c r="I214" s="163" t="s">
        <v>79</v>
      </c>
      <c r="J214" s="141" t="s">
        <v>79</v>
      </c>
      <c r="K214" s="141" t="s">
        <v>79</v>
      </c>
      <c r="L214" s="141" t="s">
        <v>79</v>
      </c>
      <c r="M214" s="141" t="s">
        <v>79</v>
      </c>
      <c r="N214" s="141" t="s">
        <v>79</v>
      </c>
      <c r="O214" s="141" t="s">
        <v>79</v>
      </c>
      <c r="P214" s="141" t="s">
        <v>79</v>
      </c>
      <c r="Q214" s="141" t="s">
        <v>79</v>
      </c>
      <c r="R214" s="141" t="s">
        <v>79</v>
      </c>
      <c r="S214" s="141" t="s">
        <v>79</v>
      </c>
      <c r="T214" s="163" t="s">
        <v>72</v>
      </c>
      <c r="U214" s="141" t="s">
        <v>72</v>
      </c>
      <c r="V214" s="141" t="s">
        <v>72</v>
      </c>
      <c r="W214" s="141" t="s">
        <v>72</v>
      </c>
      <c r="X214" s="141" t="s">
        <v>72</v>
      </c>
      <c r="Y214" s="141" t="s">
        <v>72</v>
      </c>
      <c r="Z214" s="141" t="s">
        <v>72</v>
      </c>
      <c r="AA214" s="141" t="s">
        <v>72</v>
      </c>
      <c r="AB214" s="141" t="s">
        <v>72</v>
      </c>
      <c r="AC214" s="141" t="s">
        <v>72</v>
      </c>
      <c r="AD214" s="141" t="s">
        <v>72</v>
      </c>
      <c r="AE214" s="141" t="s">
        <v>72</v>
      </c>
      <c r="AF214" s="6">
        <v>259</v>
      </c>
      <c r="AG214" s="6">
        <v>803</v>
      </c>
      <c r="AH214" s="35">
        <f t="shared" si="78"/>
        <v>272</v>
      </c>
      <c r="AI214" s="35">
        <v>512</v>
      </c>
      <c r="AJ214" s="35"/>
      <c r="AK214" s="35">
        <f t="shared" si="79"/>
        <v>253</v>
      </c>
      <c r="AL214" s="6">
        <v>764</v>
      </c>
      <c r="AM214" s="6"/>
      <c r="AN214" s="35">
        <f t="shared" si="80"/>
        <v>252</v>
      </c>
      <c r="AO214" s="6">
        <v>173</v>
      </c>
      <c r="AP214" s="6">
        <v>828</v>
      </c>
      <c r="AQ214" s="34">
        <f t="shared" si="81"/>
        <v>237</v>
      </c>
      <c r="AR214" s="35">
        <v>426</v>
      </c>
      <c r="AS214" s="35"/>
      <c r="AT214" s="35">
        <f t="shared" si="82"/>
        <v>253</v>
      </c>
      <c r="AU214" s="6">
        <v>662</v>
      </c>
      <c r="AV214" s="6"/>
      <c r="AW214" s="35">
        <f t="shared" si="83"/>
        <v>236</v>
      </c>
      <c r="AX214" s="35"/>
      <c r="AY214" s="6"/>
      <c r="AZ214" s="35"/>
      <c r="BA214" s="35">
        <v>918</v>
      </c>
      <c r="BB214" s="35"/>
      <c r="BC214" s="35">
        <f t="shared" si="84"/>
        <v>256</v>
      </c>
      <c r="BD214" s="35">
        <v>68</v>
      </c>
      <c r="BE214" s="6">
        <v>1100</v>
      </c>
      <c r="BF214" s="35">
        <f t="shared" si="85"/>
        <v>250</v>
      </c>
      <c r="BG214" s="6">
        <v>320</v>
      </c>
      <c r="BH214" s="6"/>
      <c r="BI214" s="6">
        <f t="shared" si="86"/>
        <v>252</v>
      </c>
      <c r="BJ214" s="6">
        <v>29</v>
      </c>
      <c r="BK214" s="6">
        <v>542</v>
      </c>
      <c r="BL214" s="6">
        <f t="shared" si="87"/>
        <v>251</v>
      </c>
      <c r="BM214" s="35">
        <v>283</v>
      </c>
      <c r="BN214" s="35"/>
      <c r="BO214" s="6">
        <f t="shared" si="88"/>
        <v>254</v>
      </c>
      <c r="BP214" s="35">
        <v>520</v>
      </c>
      <c r="BQ214" s="35"/>
      <c r="BR214" s="35">
        <f t="shared" si="89"/>
        <v>237</v>
      </c>
      <c r="BS214" s="35"/>
      <c r="BT214" s="35"/>
      <c r="BU214" s="6"/>
      <c r="BV214" s="35">
        <v>250</v>
      </c>
      <c r="BW214" s="35">
        <v>522</v>
      </c>
      <c r="BX214" s="35">
        <f t="shared" si="90"/>
        <v>252</v>
      </c>
      <c r="BY214" s="35">
        <v>498</v>
      </c>
      <c r="BZ214" s="6"/>
      <c r="CA214" s="6">
        <f t="shared" si="91"/>
        <v>248</v>
      </c>
      <c r="CB214" s="6">
        <v>233</v>
      </c>
      <c r="CC214" s="6">
        <v>499</v>
      </c>
      <c r="CD214" s="6">
        <f t="shared" si="92"/>
        <v>234</v>
      </c>
      <c r="CE214" s="6">
        <v>485</v>
      </c>
      <c r="CF214" s="6"/>
      <c r="CG214" s="6">
        <f t="shared" si="93"/>
        <v>252</v>
      </c>
      <c r="CH214" s="6">
        <v>736</v>
      </c>
      <c r="CI214" s="6"/>
      <c r="CJ214" s="6">
        <f t="shared" si="94"/>
        <v>251</v>
      </c>
      <c r="CK214" s="6">
        <v>982</v>
      </c>
      <c r="CL214" s="6"/>
      <c r="CM214" s="6">
        <f t="shared" si="95"/>
        <v>246</v>
      </c>
      <c r="CN214" s="6"/>
      <c r="CO214" s="6"/>
      <c r="CP214" s="6"/>
      <c r="CQ214" s="6">
        <v>138</v>
      </c>
      <c r="CR214" s="6">
        <v>1100</v>
      </c>
      <c r="CS214" s="6">
        <f t="shared" si="96"/>
        <v>256</v>
      </c>
      <c r="CT214" s="6">
        <v>390</v>
      </c>
      <c r="CU214" s="6"/>
      <c r="CV214" s="6">
        <f t="shared" si="97"/>
        <v>252</v>
      </c>
      <c r="CW214" s="6">
        <v>640</v>
      </c>
      <c r="CX214" s="6"/>
      <c r="CY214" s="6">
        <f t="shared" si="98"/>
        <v>250</v>
      </c>
      <c r="CZ214" s="6">
        <v>891</v>
      </c>
      <c r="DA214" s="6"/>
      <c r="DB214" s="6">
        <f t="shared" si="99"/>
        <v>251</v>
      </c>
      <c r="DC214" s="6">
        <v>44</v>
      </c>
      <c r="DD214" s="6">
        <v>1100</v>
      </c>
      <c r="DE214" s="6">
        <f t="shared" si="100"/>
        <v>253</v>
      </c>
      <c r="DF214" s="6">
        <v>283</v>
      </c>
      <c r="DG214" s="10"/>
      <c r="DH214" s="6">
        <f t="shared" si="101"/>
        <v>239</v>
      </c>
      <c r="DI214" s="6"/>
      <c r="DJ214" s="10"/>
      <c r="DK214" s="6"/>
      <c r="DL214" s="6">
        <v>537</v>
      </c>
      <c r="DM214" s="10"/>
      <c r="DN214" s="6">
        <f t="shared" si="102"/>
        <v>254</v>
      </c>
      <c r="DO214" s="6">
        <v>772</v>
      </c>
      <c r="DP214" s="10"/>
      <c r="DQ214" s="6">
        <f t="shared" si="103"/>
        <v>235</v>
      </c>
    </row>
    <row r="215" spans="1:121">
      <c r="A215" s="6">
        <v>211</v>
      </c>
      <c r="B215" s="6">
        <v>734</v>
      </c>
      <c r="C215" s="10"/>
      <c r="D215" s="6">
        <v>227</v>
      </c>
      <c r="E215" s="141" t="s">
        <v>75</v>
      </c>
      <c r="F215" s="141" t="s">
        <v>75</v>
      </c>
      <c r="G215" s="141" t="s">
        <v>75</v>
      </c>
      <c r="H215" s="141" t="s">
        <v>75</v>
      </c>
      <c r="I215" s="141" t="s">
        <v>75</v>
      </c>
      <c r="J215" s="141" t="s">
        <v>75</v>
      </c>
      <c r="K215" s="141" t="s">
        <v>75</v>
      </c>
      <c r="L215" s="141" t="s">
        <v>75</v>
      </c>
      <c r="M215" s="141" t="s">
        <v>75</v>
      </c>
      <c r="N215" s="141" t="s">
        <v>75</v>
      </c>
      <c r="O215" s="141" t="s">
        <v>75</v>
      </c>
      <c r="P215" s="141" t="s">
        <v>75</v>
      </c>
      <c r="Q215" s="141" t="s">
        <v>75</v>
      </c>
      <c r="R215" s="141" t="s">
        <v>75</v>
      </c>
      <c r="S215" s="141" t="s">
        <v>75</v>
      </c>
      <c r="T215" s="141" t="s">
        <v>75</v>
      </c>
      <c r="U215" s="141" t="s">
        <v>75</v>
      </c>
      <c r="V215" s="163" t="s">
        <v>75</v>
      </c>
      <c r="W215" s="141" t="s">
        <v>75</v>
      </c>
      <c r="X215" s="141" t="s">
        <v>75</v>
      </c>
      <c r="Y215" s="141" t="s">
        <v>75</v>
      </c>
      <c r="Z215" s="141" t="s">
        <v>75</v>
      </c>
      <c r="AA215" s="141" t="s">
        <v>75</v>
      </c>
      <c r="AB215" s="141" t="s">
        <v>75</v>
      </c>
      <c r="AC215" s="141" t="s">
        <v>75</v>
      </c>
      <c r="AD215" s="141" t="s">
        <v>75</v>
      </c>
      <c r="AE215" s="141" t="s">
        <v>75</v>
      </c>
      <c r="AF215" s="6">
        <v>1005</v>
      </c>
      <c r="AG215" s="6"/>
      <c r="AH215" s="35">
        <f t="shared" si="78"/>
        <v>271</v>
      </c>
      <c r="AI215" s="35">
        <v>158</v>
      </c>
      <c r="AJ215" s="35">
        <v>1100</v>
      </c>
      <c r="AK215" s="35">
        <f t="shared" si="79"/>
        <v>253</v>
      </c>
      <c r="AL215" s="6">
        <v>413</v>
      </c>
      <c r="AM215" s="6"/>
      <c r="AN215" s="35">
        <f t="shared" si="80"/>
        <v>255</v>
      </c>
      <c r="AO215" s="6">
        <v>665</v>
      </c>
      <c r="AP215" s="6"/>
      <c r="AQ215" s="34">
        <f t="shared" si="81"/>
        <v>252</v>
      </c>
      <c r="AR215" s="35">
        <v>68</v>
      </c>
      <c r="AS215" s="35">
        <v>841</v>
      </c>
      <c r="AT215" s="35">
        <f t="shared" si="82"/>
        <v>244</v>
      </c>
      <c r="AU215" s="6">
        <v>303</v>
      </c>
      <c r="AV215" s="6"/>
      <c r="AW215" s="35">
        <f t="shared" si="83"/>
        <v>235</v>
      </c>
      <c r="AX215" s="6"/>
      <c r="AY215" s="6"/>
      <c r="AZ215" s="35"/>
      <c r="BA215" s="35">
        <v>562</v>
      </c>
      <c r="BB215" s="35"/>
      <c r="BC215" s="35">
        <f t="shared" si="84"/>
        <v>259</v>
      </c>
      <c r="BD215" s="35">
        <v>814</v>
      </c>
      <c r="BE215" s="6"/>
      <c r="BF215" s="35">
        <f t="shared" si="85"/>
        <v>252</v>
      </c>
      <c r="BG215" s="6">
        <v>1070</v>
      </c>
      <c r="BH215" s="6"/>
      <c r="BI215" s="6">
        <f t="shared" si="86"/>
        <v>256</v>
      </c>
      <c r="BJ215" s="6">
        <v>223</v>
      </c>
      <c r="BK215" s="6">
        <v>1100</v>
      </c>
      <c r="BL215" s="6">
        <f t="shared" si="87"/>
        <v>253</v>
      </c>
      <c r="BM215" s="35">
        <v>480</v>
      </c>
      <c r="BN215" s="35"/>
      <c r="BO215" s="6">
        <f t="shared" si="88"/>
        <v>257</v>
      </c>
      <c r="BP215" s="35">
        <v>725</v>
      </c>
      <c r="BQ215" s="35"/>
      <c r="BR215" s="35">
        <f t="shared" si="89"/>
        <v>245</v>
      </c>
      <c r="BS215" s="35"/>
      <c r="BT215" s="35"/>
      <c r="BU215" s="6"/>
      <c r="BV215" s="35">
        <v>982</v>
      </c>
      <c r="BW215" s="35"/>
      <c r="BX215" s="35">
        <f t="shared" si="90"/>
        <v>257</v>
      </c>
      <c r="BY215" s="35">
        <v>129</v>
      </c>
      <c r="BZ215" s="6">
        <v>1100</v>
      </c>
      <c r="CA215" s="6">
        <f t="shared" si="91"/>
        <v>247</v>
      </c>
      <c r="CB215" s="6">
        <v>381</v>
      </c>
      <c r="CC215" s="6"/>
      <c r="CD215" s="6">
        <f t="shared" si="92"/>
        <v>252</v>
      </c>
      <c r="CE215" s="6">
        <v>635</v>
      </c>
      <c r="CF215" s="6"/>
      <c r="CG215" s="6">
        <f t="shared" si="93"/>
        <v>254</v>
      </c>
      <c r="CH215" s="6">
        <v>202</v>
      </c>
      <c r="CI215" s="6">
        <v>662</v>
      </c>
      <c r="CJ215" s="6">
        <f t="shared" si="94"/>
        <v>229</v>
      </c>
      <c r="CK215" s="6">
        <v>449</v>
      </c>
      <c r="CL215" s="6"/>
      <c r="CM215" s="6">
        <f t="shared" si="95"/>
        <v>247</v>
      </c>
      <c r="CN215" s="6"/>
      <c r="CO215" s="6"/>
      <c r="CP215" s="6"/>
      <c r="CQ215" s="6">
        <v>705</v>
      </c>
      <c r="CR215" s="6"/>
      <c r="CS215" s="6">
        <f t="shared" si="96"/>
        <v>256</v>
      </c>
      <c r="CT215" s="6">
        <v>957</v>
      </c>
      <c r="CU215" s="35"/>
      <c r="CV215" s="6">
        <f t="shared" si="97"/>
        <v>252</v>
      </c>
      <c r="CW215" s="6">
        <v>111</v>
      </c>
      <c r="CX215" s="6">
        <v>1100</v>
      </c>
      <c r="CY215" s="6">
        <f t="shared" si="98"/>
        <v>254</v>
      </c>
      <c r="CZ215" s="6">
        <v>365</v>
      </c>
      <c r="DA215" s="6"/>
      <c r="DB215" s="6">
        <f t="shared" si="99"/>
        <v>254</v>
      </c>
      <c r="DC215" s="6">
        <v>619</v>
      </c>
      <c r="DD215" s="6"/>
      <c r="DE215" s="6">
        <f t="shared" si="100"/>
        <v>254</v>
      </c>
      <c r="DF215" s="6">
        <v>862</v>
      </c>
      <c r="DG215" s="10"/>
      <c r="DH215" s="6">
        <f t="shared" si="101"/>
        <v>243</v>
      </c>
      <c r="DI215" s="6"/>
      <c r="DJ215" s="10"/>
      <c r="DK215" s="6"/>
      <c r="DL215" s="6">
        <v>17</v>
      </c>
      <c r="DM215" s="10">
        <v>1100</v>
      </c>
      <c r="DN215" s="6">
        <f t="shared" si="102"/>
        <v>255</v>
      </c>
      <c r="DO215" s="6">
        <v>247</v>
      </c>
      <c r="DP215" s="10"/>
      <c r="DQ215" s="6">
        <f t="shared" si="103"/>
        <v>230</v>
      </c>
    </row>
    <row r="216" spans="1:121">
      <c r="A216" s="6">
        <v>212</v>
      </c>
      <c r="B216" s="6">
        <v>85</v>
      </c>
      <c r="C216" s="10">
        <v>800</v>
      </c>
      <c r="D216" s="6">
        <v>226</v>
      </c>
      <c r="E216" s="141" t="s">
        <v>79</v>
      </c>
      <c r="F216" s="141" t="s">
        <v>79</v>
      </c>
      <c r="G216" s="163" t="s">
        <v>79</v>
      </c>
      <c r="H216" s="141" t="s">
        <v>79</v>
      </c>
      <c r="I216" s="141" t="s">
        <v>79</v>
      </c>
      <c r="J216" s="141" t="s">
        <v>79</v>
      </c>
      <c r="K216" s="141" t="s">
        <v>79</v>
      </c>
      <c r="L216" s="141" t="s">
        <v>79</v>
      </c>
      <c r="M216" s="141" t="s">
        <v>79</v>
      </c>
      <c r="N216" s="141" t="s">
        <v>79</v>
      </c>
      <c r="O216" s="141" t="s">
        <v>79</v>
      </c>
      <c r="P216" s="141" t="s">
        <v>79</v>
      </c>
      <c r="Q216" s="141" t="s">
        <v>79</v>
      </c>
      <c r="R216" s="141" t="s">
        <v>79</v>
      </c>
      <c r="S216" s="141" t="s">
        <v>79</v>
      </c>
      <c r="T216" s="141" t="s">
        <v>79</v>
      </c>
      <c r="U216" s="141" t="s">
        <v>79</v>
      </c>
      <c r="V216" s="141" t="s">
        <v>79</v>
      </c>
      <c r="W216" s="141" t="s">
        <v>79</v>
      </c>
      <c r="X216" s="141" t="s">
        <v>79</v>
      </c>
      <c r="Y216" s="141" t="s">
        <v>79</v>
      </c>
      <c r="Z216" s="141" t="s">
        <v>79</v>
      </c>
      <c r="AA216" s="163" t="s">
        <v>75</v>
      </c>
      <c r="AB216" s="141" t="s">
        <v>75</v>
      </c>
      <c r="AC216" s="141" t="s">
        <v>75</v>
      </c>
      <c r="AD216" s="141" t="s">
        <v>75</v>
      </c>
      <c r="AE216" s="141" t="s">
        <v>75</v>
      </c>
      <c r="AF216" s="6">
        <v>349</v>
      </c>
      <c r="AG216" s="6"/>
      <c r="AH216" s="35">
        <f t="shared" si="78"/>
        <v>264</v>
      </c>
      <c r="AI216" s="35">
        <v>225</v>
      </c>
      <c r="AJ216" s="35">
        <v>354</v>
      </c>
      <c r="AK216" s="35">
        <f t="shared" si="79"/>
        <v>230</v>
      </c>
      <c r="AL216" s="6">
        <v>476</v>
      </c>
      <c r="AM216" s="6"/>
      <c r="AN216" s="35">
        <f t="shared" si="80"/>
        <v>251</v>
      </c>
      <c r="AO216" s="6">
        <v>724</v>
      </c>
      <c r="AP216" s="35"/>
      <c r="AQ216" s="34">
        <f t="shared" si="81"/>
        <v>248</v>
      </c>
      <c r="AR216" s="35">
        <v>176</v>
      </c>
      <c r="AS216" s="35">
        <v>800</v>
      </c>
      <c r="AT216" s="35">
        <f t="shared" si="82"/>
        <v>252</v>
      </c>
      <c r="AU216" s="35">
        <v>408</v>
      </c>
      <c r="AV216" s="6"/>
      <c r="AW216" s="35">
        <f t="shared" si="83"/>
        <v>232</v>
      </c>
      <c r="AX216" s="6"/>
      <c r="AY216" s="6"/>
      <c r="AZ216" s="35"/>
      <c r="BA216" s="35">
        <v>661</v>
      </c>
      <c r="BB216" s="35"/>
      <c r="BC216" s="35">
        <f t="shared" si="84"/>
        <v>253</v>
      </c>
      <c r="BD216" s="35">
        <v>108</v>
      </c>
      <c r="BE216" s="6">
        <v>800</v>
      </c>
      <c r="BF216" s="35">
        <f t="shared" si="85"/>
        <v>247</v>
      </c>
      <c r="BG216" s="6">
        <v>349</v>
      </c>
      <c r="BH216" s="6"/>
      <c r="BI216" s="6">
        <f t="shared" si="86"/>
        <v>241</v>
      </c>
      <c r="BJ216" s="6">
        <v>600</v>
      </c>
      <c r="BK216" s="6"/>
      <c r="BL216" s="6">
        <f t="shared" si="87"/>
        <v>251</v>
      </c>
      <c r="BM216" s="35">
        <v>52</v>
      </c>
      <c r="BN216" s="35">
        <v>800</v>
      </c>
      <c r="BO216" s="6">
        <f t="shared" si="88"/>
        <v>252</v>
      </c>
      <c r="BP216" s="35">
        <v>279</v>
      </c>
      <c r="BQ216" s="35"/>
      <c r="BR216" s="35">
        <f t="shared" si="89"/>
        <v>227</v>
      </c>
      <c r="BS216" s="35"/>
      <c r="BT216" s="35"/>
      <c r="BU216" s="6"/>
      <c r="BV216" s="35">
        <v>533</v>
      </c>
      <c r="BW216" s="35"/>
      <c r="BX216" s="35">
        <f t="shared" si="90"/>
        <v>254</v>
      </c>
      <c r="BY216" s="35">
        <v>780</v>
      </c>
      <c r="BZ216" s="6"/>
      <c r="CA216" s="6">
        <f t="shared" si="91"/>
        <v>247</v>
      </c>
      <c r="CB216" s="6">
        <v>1027</v>
      </c>
      <c r="CC216" s="6"/>
      <c r="CD216" s="6">
        <f t="shared" si="92"/>
        <v>247</v>
      </c>
      <c r="CE216" s="6">
        <v>175</v>
      </c>
      <c r="CF216" s="6">
        <v>1100</v>
      </c>
      <c r="CG216" s="6">
        <f t="shared" si="93"/>
        <v>248</v>
      </c>
      <c r="CH216" s="6">
        <v>426</v>
      </c>
      <c r="CI216" s="6"/>
      <c r="CJ216" s="6">
        <f t="shared" si="94"/>
        <v>251</v>
      </c>
      <c r="CK216" s="6">
        <v>669</v>
      </c>
      <c r="CL216" s="6"/>
      <c r="CM216" s="6">
        <f t="shared" si="95"/>
        <v>243</v>
      </c>
      <c r="CN216" s="6"/>
      <c r="CO216" s="6"/>
      <c r="CP216" s="6"/>
      <c r="CQ216" s="6">
        <v>920</v>
      </c>
      <c r="CR216" s="6"/>
      <c r="CS216" s="6">
        <f t="shared" si="96"/>
        <v>251</v>
      </c>
      <c r="CT216" s="6">
        <v>65</v>
      </c>
      <c r="CU216" s="6">
        <v>1100</v>
      </c>
      <c r="CV216" s="6">
        <f t="shared" si="97"/>
        <v>245</v>
      </c>
      <c r="CW216" s="6">
        <v>0</v>
      </c>
      <c r="CX216" s="6">
        <v>207</v>
      </c>
      <c r="CY216" s="6">
        <f t="shared" si="98"/>
        <v>142</v>
      </c>
      <c r="CZ216" s="6">
        <v>243</v>
      </c>
      <c r="DA216" s="6"/>
      <c r="DB216" s="6">
        <f t="shared" si="99"/>
        <v>243</v>
      </c>
      <c r="DC216" s="6">
        <v>494</v>
      </c>
      <c r="DD216" s="6"/>
      <c r="DE216" s="6">
        <f t="shared" si="100"/>
        <v>251</v>
      </c>
      <c r="DF216" s="6">
        <v>733</v>
      </c>
      <c r="DG216" s="10"/>
      <c r="DH216" s="6">
        <f t="shared" si="101"/>
        <v>239</v>
      </c>
      <c r="DI216" s="6"/>
      <c r="DJ216" s="10"/>
      <c r="DK216" s="6"/>
      <c r="DL216" s="6">
        <v>983</v>
      </c>
      <c r="DM216" s="10"/>
      <c r="DN216" s="6">
        <f t="shared" si="102"/>
        <v>250</v>
      </c>
      <c r="DO216" s="6">
        <v>118</v>
      </c>
      <c r="DP216" s="10">
        <v>1100</v>
      </c>
      <c r="DQ216" s="6">
        <f t="shared" si="103"/>
        <v>235</v>
      </c>
    </row>
    <row r="217" spans="1:121">
      <c r="A217" s="151">
        <v>213</v>
      </c>
      <c r="B217" s="6">
        <v>139</v>
      </c>
      <c r="C217" s="10">
        <v>1100</v>
      </c>
      <c r="D217" s="6">
        <v>230</v>
      </c>
      <c r="E217" s="141" t="s">
        <v>79</v>
      </c>
      <c r="F217" s="141" t="s">
        <v>79</v>
      </c>
      <c r="G217" s="141" t="s">
        <v>79</v>
      </c>
      <c r="H217" s="141" t="s">
        <v>79</v>
      </c>
      <c r="I217" s="141" t="s">
        <v>79</v>
      </c>
      <c r="J217" s="163" t="s">
        <v>79</v>
      </c>
      <c r="K217" s="141" t="s">
        <v>79</v>
      </c>
      <c r="L217" s="141" t="s">
        <v>79</v>
      </c>
      <c r="M217" s="141" t="s">
        <v>79</v>
      </c>
      <c r="N217" s="141" t="s">
        <v>79</v>
      </c>
      <c r="O217" s="141" t="s">
        <v>79</v>
      </c>
      <c r="P217" s="141" t="s">
        <v>79</v>
      </c>
      <c r="Q217" s="141" t="s">
        <v>79</v>
      </c>
      <c r="R217" s="141" t="s">
        <v>79</v>
      </c>
      <c r="S217" s="163" t="s">
        <v>72</v>
      </c>
      <c r="T217" s="141" t="s">
        <v>72</v>
      </c>
      <c r="U217" s="141" t="s">
        <v>72</v>
      </c>
      <c r="V217" s="141" t="s">
        <v>72</v>
      </c>
      <c r="W217" s="141" t="s">
        <v>72</v>
      </c>
      <c r="X217" s="141" t="s">
        <v>72</v>
      </c>
      <c r="Y217" s="141" t="s">
        <v>72</v>
      </c>
      <c r="Z217" s="141" t="s">
        <v>72</v>
      </c>
      <c r="AA217" s="141" t="s">
        <v>72</v>
      </c>
      <c r="AB217" s="141" t="s">
        <v>72</v>
      </c>
      <c r="AC217" s="141" t="s">
        <v>72</v>
      </c>
      <c r="AD217" s="141" t="s">
        <v>72</v>
      </c>
      <c r="AE217" s="141" t="s">
        <v>72</v>
      </c>
      <c r="AF217" s="6">
        <v>410</v>
      </c>
      <c r="AG217" s="6"/>
      <c r="AH217" s="35">
        <f t="shared" si="78"/>
        <v>271</v>
      </c>
      <c r="AI217" s="35">
        <v>661</v>
      </c>
      <c r="AJ217" s="35"/>
      <c r="AK217" s="35">
        <f t="shared" si="79"/>
        <v>251</v>
      </c>
      <c r="AL217" s="6">
        <v>913</v>
      </c>
      <c r="AM217" s="6"/>
      <c r="AN217" s="35">
        <f t="shared" si="80"/>
        <v>252</v>
      </c>
      <c r="AO217" s="6">
        <v>0</v>
      </c>
      <c r="AP217" s="6">
        <v>1034</v>
      </c>
      <c r="AQ217" s="34">
        <f t="shared" si="81"/>
        <v>121</v>
      </c>
      <c r="AR217" s="35">
        <v>246</v>
      </c>
      <c r="AS217" s="35"/>
      <c r="AT217" s="35">
        <f t="shared" si="82"/>
        <v>246</v>
      </c>
      <c r="AU217" s="6">
        <v>108</v>
      </c>
      <c r="AV217" s="6">
        <v>372</v>
      </c>
      <c r="AW217" s="35">
        <f t="shared" si="83"/>
        <v>234</v>
      </c>
      <c r="AX217" s="6"/>
      <c r="AY217" s="6"/>
      <c r="AZ217" s="35"/>
      <c r="BA217" s="35">
        <v>365</v>
      </c>
      <c r="BB217" s="35"/>
      <c r="BC217" s="35">
        <f t="shared" si="84"/>
        <v>257</v>
      </c>
      <c r="BD217" s="35">
        <v>611</v>
      </c>
      <c r="BE217" s="6"/>
      <c r="BF217" s="35">
        <f t="shared" si="85"/>
        <v>246</v>
      </c>
      <c r="BG217" s="6">
        <v>865</v>
      </c>
      <c r="BH217" s="6"/>
      <c r="BI217" s="6">
        <f t="shared" si="86"/>
        <v>254</v>
      </c>
      <c r="BJ217" s="6">
        <v>20</v>
      </c>
      <c r="BK217" s="6">
        <v>1100</v>
      </c>
      <c r="BL217" s="6">
        <f t="shared" si="87"/>
        <v>255</v>
      </c>
      <c r="BM217" s="35">
        <v>276</v>
      </c>
      <c r="BN217" s="35"/>
      <c r="BO217" s="6">
        <f t="shared" si="88"/>
        <v>256</v>
      </c>
      <c r="BP217" s="35">
        <v>518</v>
      </c>
      <c r="BQ217" s="35"/>
      <c r="BR217" s="35">
        <f t="shared" si="89"/>
        <v>242</v>
      </c>
      <c r="BS217" s="35"/>
      <c r="BT217" s="35"/>
      <c r="BU217" s="6"/>
      <c r="BV217" s="35">
        <v>764</v>
      </c>
      <c r="BW217" s="35"/>
      <c r="BX217" s="35">
        <f t="shared" si="90"/>
        <v>246</v>
      </c>
      <c r="BY217" s="35">
        <v>181</v>
      </c>
      <c r="BZ217" s="6">
        <v>811</v>
      </c>
      <c r="CA217" s="6">
        <f t="shared" si="91"/>
        <v>228</v>
      </c>
      <c r="CB217" s="35">
        <v>434</v>
      </c>
      <c r="CC217" s="6"/>
      <c r="CD217" s="6">
        <f t="shared" si="92"/>
        <v>253</v>
      </c>
      <c r="CE217" s="6">
        <v>691</v>
      </c>
      <c r="CF217" s="6"/>
      <c r="CG217" s="6">
        <f t="shared" si="93"/>
        <v>257</v>
      </c>
      <c r="CH217" s="6">
        <v>941</v>
      </c>
      <c r="CI217" s="6"/>
      <c r="CJ217" s="6">
        <f t="shared" si="94"/>
        <v>250</v>
      </c>
      <c r="CK217" s="6">
        <v>86</v>
      </c>
      <c r="CL217" s="6">
        <v>1100</v>
      </c>
      <c r="CM217" s="6">
        <f t="shared" si="95"/>
        <v>245</v>
      </c>
      <c r="CN217" s="6"/>
      <c r="CO217" s="6"/>
      <c r="CP217" s="6"/>
      <c r="CQ217" s="6">
        <v>345</v>
      </c>
      <c r="CR217" s="6"/>
      <c r="CS217" s="6">
        <f t="shared" si="96"/>
        <v>259</v>
      </c>
      <c r="CT217" s="6">
        <v>601</v>
      </c>
      <c r="CU217" s="6"/>
      <c r="CV217" s="6">
        <f t="shared" si="97"/>
        <v>256</v>
      </c>
      <c r="CW217" s="6">
        <v>850</v>
      </c>
      <c r="CX217" s="6"/>
      <c r="CY217" s="6">
        <f t="shared" si="98"/>
        <v>249</v>
      </c>
      <c r="CZ217" s="6">
        <v>8</v>
      </c>
      <c r="DA217" s="6">
        <v>1100</v>
      </c>
      <c r="DB217" s="6">
        <f t="shared" si="99"/>
        <v>258</v>
      </c>
      <c r="DC217" s="6">
        <v>263</v>
      </c>
      <c r="DD217" s="6"/>
      <c r="DE217" s="6">
        <f t="shared" si="100"/>
        <v>255</v>
      </c>
      <c r="DF217" s="6">
        <v>505</v>
      </c>
      <c r="DG217" s="10"/>
      <c r="DH217" s="6">
        <f t="shared" si="101"/>
        <v>242</v>
      </c>
      <c r="DI217" s="6"/>
      <c r="DJ217" s="10"/>
      <c r="DK217" s="6"/>
      <c r="DL217" s="6">
        <v>758</v>
      </c>
      <c r="DM217" s="10"/>
      <c r="DN217" s="6">
        <f t="shared" si="102"/>
        <v>253</v>
      </c>
      <c r="DO217" s="6">
        <v>988</v>
      </c>
      <c r="DP217" s="10"/>
      <c r="DQ217" s="6">
        <f t="shared" si="103"/>
        <v>230</v>
      </c>
    </row>
    <row r="218" spans="1:121">
      <c r="A218" s="6">
        <v>214</v>
      </c>
      <c r="B218" s="6">
        <v>152</v>
      </c>
      <c r="C218" s="10">
        <v>800</v>
      </c>
      <c r="D218" s="6">
        <v>228</v>
      </c>
      <c r="E218" s="141" t="s">
        <v>79</v>
      </c>
      <c r="F218" s="141" t="s">
        <v>79</v>
      </c>
      <c r="G218" s="163" t="s">
        <v>79</v>
      </c>
      <c r="H218" s="141" t="s">
        <v>79</v>
      </c>
      <c r="I218" s="141" t="s">
        <v>79</v>
      </c>
      <c r="J218" s="141" t="s">
        <v>79</v>
      </c>
      <c r="K218" s="141" t="s">
        <v>79</v>
      </c>
      <c r="L218" s="141" t="s">
        <v>79</v>
      </c>
      <c r="M218" s="141" t="s">
        <v>79</v>
      </c>
      <c r="N218" s="141" t="s">
        <v>79</v>
      </c>
      <c r="O218" s="141" t="s">
        <v>79</v>
      </c>
      <c r="P218" s="141" t="s">
        <v>79</v>
      </c>
      <c r="Q218" s="141" t="s">
        <v>79</v>
      </c>
      <c r="R218" s="141" t="s">
        <v>79</v>
      </c>
      <c r="S218" s="141" t="s">
        <v>79</v>
      </c>
      <c r="T218" s="141" t="s">
        <v>79</v>
      </c>
      <c r="U218" s="141" t="s">
        <v>79</v>
      </c>
      <c r="V218" s="141" t="s">
        <v>79</v>
      </c>
      <c r="W218" s="141" t="s">
        <v>79</v>
      </c>
      <c r="X218" s="141" t="s">
        <v>79</v>
      </c>
      <c r="Y218" s="141" t="s">
        <v>79</v>
      </c>
      <c r="Z218" s="141" t="s">
        <v>79</v>
      </c>
      <c r="AA218" s="163" t="s">
        <v>75</v>
      </c>
      <c r="AB218" s="141" t="s">
        <v>75</v>
      </c>
      <c r="AC218" s="141" t="s">
        <v>75</v>
      </c>
      <c r="AD218" s="141" t="s">
        <v>75</v>
      </c>
      <c r="AE218" s="141" t="s">
        <v>75</v>
      </c>
      <c r="AF218" s="6">
        <v>0</v>
      </c>
      <c r="AG218" s="6">
        <v>340</v>
      </c>
      <c r="AH218" s="35">
        <f t="shared" si="78"/>
        <v>188</v>
      </c>
      <c r="AI218" s="35">
        <v>230</v>
      </c>
      <c r="AJ218" s="35"/>
      <c r="AK218" s="35">
        <f t="shared" si="79"/>
        <v>230</v>
      </c>
      <c r="AL218" s="6">
        <v>476</v>
      </c>
      <c r="AM218" s="6"/>
      <c r="AN218" s="35">
        <f t="shared" si="80"/>
        <v>246</v>
      </c>
      <c r="AO218" s="6">
        <v>727</v>
      </c>
      <c r="AP218" s="6"/>
      <c r="AQ218" s="34">
        <f t="shared" si="81"/>
        <v>251</v>
      </c>
      <c r="AR218" s="35">
        <v>182</v>
      </c>
      <c r="AS218" s="35">
        <v>800</v>
      </c>
      <c r="AT218" s="35">
        <f t="shared" si="82"/>
        <v>255</v>
      </c>
      <c r="AU218" s="6">
        <v>419</v>
      </c>
      <c r="AV218" s="6"/>
      <c r="AW218" s="35">
        <f t="shared" si="83"/>
        <v>237</v>
      </c>
      <c r="AX218" s="6"/>
      <c r="AY218" s="6"/>
      <c r="AZ218" s="35"/>
      <c r="BA218" s="35">
        <v>670</v>
      </c>
      <c r="BB218" s="35"/>
      <c r="BC218" s="35">
        <f t="shared" si="84"/>
        <v>251</v>
      </c>
      <c r="BD218" s="35">
        <v>118</v>
      </c>
      <c r="BE218" s="6">
        <v>800</v>
      </c>
      <c r="BF218" s="35">
        <f t="shared" si="85"/>
        <v>248</v>
      </c>
      <c r="BG218" s="6">
        <v>370</v>
      </c>
      <c r="BH218" s="6"/>
      <c r="BI218" s="6">
        <f t="shared" si="86"/>
        <v>252</v>
      </c>
      <c r="BJ218" s="6">
        <v>622</v>
      </c>
      <c r="BK218" s="6"/>
      <c r="BL218" s="6">
        <f t="shared" si="87"/>
        <v>252</v>
      </c>
      <c r="BM218" s="35">
        <v>77</v>
      </c>
      <c r="BN218" s="35">
        <v>800</v>
      </c>
      <c r="BO218" s="6">
        <f t="shared" si="88"/>
        <v>255</v>
      </c>
      <c r="BP218" s="35">
        <v>320</v>
      </c>
      <c r="BQ218" s="35"/>
      <c r="BR218" s="35">
        <f t="shared" si="89"/>
        <v>243</v>
      </c>
      <c r="BS218" s="35"/>
      <c r="BT218" s="35"/>
      <c r="BU218" s="6"/>
      <c r="BV218" s="35">
        <v>575</v>
      </c>
      <c r="BW218" s="35"/>
      <c r="BX218" s="35">
        <f t="shared" si="90"/>
        <v>255</v>
      </c>
      <c r="BY218" s="35">
        <v>825</v>
      </c>
      <c r="BZ218" s="6"/>
      <c r="CA218" s="6">
        <f t="shared" si="91"/>
        <v>250</v>
      </c>
      <c r="CB218" s="6">
        <v>1056</v>
      </c>
      <c r="CC218" s="6"/>
      <c r="CD218" s="6">
        <f t="shared" si="92"/>
        <v>231</v>
      </c>
      <c r="CE218" s="6">
        <v>216</v>
      </c>
      <c r="CF218" s="6">
        <v>1091</v>
      </c>
      <c r="CG218" s="6">
        <f t="shared" si="93"/>
        <v>251</v>
      </c>
      <c r="CH218" s="6">
        <v>400</v>
      </c>
      <c r="CI218" s="6"/>
      <c r="CJ218" s="6">
        <f t="shared" si="94"/>
        <v>184</v>
      </c>
      <c r="CK218" s="6">
        <v>640</v>
      </c>
      <c r="CL218" s="6"/>
      <c r="CM218" s="6">
        <f t="shared" si="95"/>
        <v>240</v>
      </c>
      <c r="CN218" s="6"/>
      <c r="CO218" s="6"/>
      <c r="CP218" s="6"/>
      <c r="CQ218" s="6">
        <v>883</v>
      </c>
      <c r="CR218" s="6"/>
      <c r="CS218" s="6">
        <f t="shared" si="96"/>
        <v>243</v>
      </c>
      <c r="CT218" s="6">
        <v>30</v>
      </c>
      <c r="CU218" s="6">
        <v>1100</v>
      </c>
      <c r="CV218" s="6">
        <f t="shared" si="97"/>
        <v>247</v>
      </c>
      <c r="CW218" s="6">
        <v>0</v>
      </c>
      <c r="CX218" s="6">
        <v>233</v>
      </c>
      <c r="CY218" s="6">
        <f t="shared" si="98"/>
        <v>203</v>
      </c>
      <c r="CZ218" s="6">
        <v>224</v>
      </c>
      <c r="DA218" s="6"/>
      <c r="DB218" s="6">
        <f t="shared" si="99"/>
        <v>224</v>
      </c>
      <c r="DC218" s="6">
        <v>479</v>
      </c>
      <c r="DD218" s="6"/>
      <c r="DE218" s="6">
        <f t="shared" si="100"/>
        <v>255</v>
      </c>
      <c r="DF218" s="6">
        <v>720</v>
      </c>
      <c r="DG218" s="10"/>
      <c r="DH218" s="6">
        <f t="shared" si="101"/>
        <v>241</v>
      </c>
      <c r="DI218" s="6"/>
      <c r="DJ218" s="10"/>
      <c r="DK218" s="6"/>
      <c r="DL218" s="6">
        <v>978</v>
      </c>
      <c r="DM218" s="10"/>
      <c r="DN218" s="6">
        <f t="shared" si="102"/>
        <v>258</v>
      </c>
      <c r="DO218" s="6">
        <v>114</v>
      </c>
      <c r="DP218" s="10">
        <v>1100</v>
      </c>
      <c r="DQ218" s="6">
        <f t="shared" si="103"/>
        <v>236</v>
      </c>
    </row>
    <row r="219" spans="1:121">
      <c r="A219" s="6">
        <v>215</v>
      </c>
      <c r="B219" s="6">
        <v>437</v>
      </c>
      <c r="C219" s="10"/>
      <c r="D219" s="6">
        <v>229</v>
      </c>
      <c r="E219" s="141" t="s">
        <v>72</v>
      </c>
      <c r="F219" s="141" t="s">
        <v>72</v>
      </c>
      <c r="G219" s="141" t="s">
        <v>72</v>
      </c>
      <c r="H219" s="141" t="s">
        <v>72</v>
      </c>
      <c r="I219" s="141" t="s">
        <v>72</v>
      </c>
      <c r="J219" s="141" t="s">
        <v>72</v>
      </c>
      <c r="K219" s="141" t="s">
        <v>72</v>
      </c>
      <c r="L219" s="141" t="s">
        <v>72</v>
      </c>
      <c r="M219" s="141" t="s">
        <v>72</v>
      </c>
      <c r="N219" s="141" t="s">
        <v>72</v>
      </c>
      <c r="O219" s="141" t="s">
        <v>72</v>
      </c>
      <c r="P219" s="141" t="s">
        <v>72</v>
      </c>
      <c r="Q219" s="141" t="s">
        <v>72</v>
      </c>
      <c r="R219" s="141" t="s">
        <v>72</v>
      </c>
      <c r="S219" s="141" t="s">
        <v>72</v>
      </c>
      <c r="T219" s="163" t="s">
        <v>72</v>
      </c>
      <c r="U219" s="141" t="s">
        <v>72</v>
      </c>
      <c r="V219" s="141" t="s">
        <v>72</v>
      </c>
      <c r="W219" s="141" t="s">
        <v>72</v>
      </c>
      <c r="X219" s="141" t="s">
        <v>72</v>
      </c>
      <c r="Y219" s="141" t="s">
        <v>72</v>
      </c>
      <c r="Z219" s="141" t="s">
        <v>72</v>
      </c>
      <c r="AA219" s="141" t="s">
        <v>72</v>
      </c>
      <c r="AB219" s="141" t="s">
        <v>72</v>
      </c>
      <c r="AC219" s="141" t="s">
        <v>72</v>
      </c>
      <c r="AD219" s="141" t="s">
        <v>72</v>
      </c>
      <c r="AE219" s="141" t="s">
        <v>72</v>
      </c>
      <c r="AF219" s="6">
        <v>706</v>
      </c>
      <c r="AG219" s="6"/>
      <c r="AH219" s="35">
        <f t="shared" si="78"/>
        <v>269</v>
      </c>
      <c r="AI219" s="35">
        <v>957</v>
      </c>
      <c r="AJ219" s="35"/>
      <c r="AK219" s="35">
        <f t="shared" si="79"/>
        <v>251</v>
      </c>
      <c r="AL219" s="6">
        <v>205</v>
      </c>
      <c r="AM219" s="6">
        <v>1005</v>
      </c>
      <c r="AN219" s="35">
        <f t="shared" si="80"/>
        <v>253</v>
      </c>
      <c r="AO219" s="6">
        <v>460</v>
      </c>
      <c r="AP219" s="6"/>
      <c r="AQ219" s="34">
        <f t="shared" si="81"/>
        <v>255</v>
      </c>
      <c r="AR219" s="35">
        <v>713</v>
      </c>
      <c r="AS219" s="35"/>
      <c r="AT219" s="35">
        <f t="shared" si="82"/>
        <v>253</v>
      </c>
      <c r="AU219" s="6">
        <v>947</v>
      </c>
      <c r="AV219" s="6"/>
      <c r="AW219" s="35">
        <f t="shared" si="83"/>
        <v>234</v>
      </c>
      <c r="AX219" s="6"/>
      <c r="AY219" s="6"/>
      <c r="AZ219" s="35"/>
      <c r="BA219" s="35">
        <v>100</v>
      </c>
      <c r="BB219" s="35">
        <v>1100</v>
      </c>
      <c r="BC219" s="35">
        <f t="shared" si="84"/>
        <v>253</v>
      </c>
      <c r="BD219" s="35">
        <v>346</v>
      </c>
      <c r="BE219" s="6"/>
      <c r="BF219" s="35">
        <f t="shared" si="85"/>
        <v>246</v>
      </c>
      <c r="BG219" s="6">
        <v>598</v>
      </c>
      <c r="BH219" s="6"/>
      <c r="BI219" s="6">
        <f t="shared" si="86"/>
        <v>252</v>
      </c>
      <c r="BJ219" s="6">
        <v>848</v>
      </c>
      <c r="BK219" s="6"/>
      <c r="BL219" s="6">
        <f t="shared" si="87"/>
        <v>250</v>
      </c>
      <c r="BM219" s="35">
        <v>1097</v>
      </c>
      <c r="BN219" s="35"/>
      <c r="BO219" s="6">
        <f t="shared" si="88"/>
        <v>249</v>
      </c>
      <c r="BP219" s="35">
        <v>238</v>
      </c>
      <c r="BQ219" s="35">
        <v>1100</v>
      </c>
      <c r="BR219" s="35">
        <f t="shared" si="89"/>
        <v>241</v>
      </c>
      <c r="BS219" s="35"/>
      <c r="BT219" s="35"/>
      <c r="BU219" s="6"/>
      <c r="BV219" s="35">
        <v>495</v>
      </c>
      <c r="BW219" s="35"/>
      <c r="BX219" s="35">
        <f t="shared" si="90"/>
        <v>257</v>
      </c>
      <c r="BY219" s="35">
        <v>747</v>
      </c>
      <c r="BZ219" s="6"/>
      <c r="CA219" s="6">
        <f t="shared" si="91"/>
        <v>252</v>
      </c>
      <c r="CB219" s="6">
        <v>187</v>
      </c>
      <c r="CC219" s="6">
        <v>779</v>
      </c>
      <c r="CD219" s="6">
        <f t="shared" si="92"/>
        <v>219</v>
      </c>
      <c r="CE219" s="6">
        <v>427</v>
      </c>
      <c r="CF219" s="6"/>
      <c r="CG219" s="6">
        <f t="shared" si="93"/>
        <v>240</v>
      </c>
      <c r="CH219" s="6">
        <v>13</v>
      </c>
      <c r="CI219" s="6">
        <v>663</v>
      </c>
      <c r="CJ219" s="6">
        <f t="shared" si="94"/>
        <v>249</v>
      </c>
      <c r="CK219" s="6">
        <v>259</v>
      </c>
      <c r="CL219" s="6"/>
      <c r="CM219" s="6">
        <f t="shared" si="95"/>
        <v>246</v>
      </c>
      <c r="CN219" s="6"/>
      <c r="CO219" s="6"/>
      <c r="CP219" s="6"/>
      <c r="CQ219" s="6">
        <v>514</v>
      </c>
      <c r="CR219" s="6"/>
      <c r="CS219" s="6">
        <f t="shared" si="96"/>
        <v>255</v>
      </c>
      <c r="CT219" s="6">
        <v>767</v>
      </c>
      <c r="CU219" s="6"/>
      <c r="CV219" s="6">
        <f t="shared" si="97"/>
        <v>253</v>
      </c>
      <c r="CW219" s="6">
        <v>1018</v>
      </c>
      <c r="CX219" s="6"/>
      <c r="CY219" s="6">
        <f t="shared" si="98"/>
        <v>251</v>
      </c>
      <c r="CZ219" s="6">
        <v>165</v>
      </c>
      <c r="DA219" s="6">
        <v>1100</v>
      </c>
      <c r="DB219" s="6">
        <f t="shared" si="99"/>
        <v>247</v>
      </c>
      <c r="DC219" s="6">
        <v>417</v>
      </c>
      <c r="DD219" s="6"/>
      <c r="DE219" s="6">
        <f t="shared" si="100"/>
        <v>252</v>
      </c>
      <c r="DF219" s="6">
        <v>650</v>
      </c>
      <c r="DG219" s="10"/>
      <c r="DH219" s="6">
        <f t="shared" si="101"/>
        <v>233</v>
      </c>
      <c r="DI219" s="6"/>
      <c r="DJ219" s="10"/>
      <c r="DK219" s="6"/>
      <c r="DL219" s="6">
        <v>897</v>
      </c>
      <c r="DM219" s="10"/>
      <c r="DN219" s="6">
        <f t="shared" si="102"/>
        <v>247</v>
      </c>
      <c r="DO219" s="6">
        <v>31</v>
      </c>
      <c r="DP219" s="10">
        <v>1100</v>
      </c>
      <c r="DQ219" s="6">
        <f t="shared" si="103"/>
        <v>234</v>
      </c>
    </row>
    <row r="220" spans="1:121">
      <c r="A220" s="6">
        <v>216</v>
      </c>
      <c r="B220" s="6">
        <v>730</v>
      </c>
      <c r="C220" s="10"/>
      <c r="D220" s="6">
        <v>229</v>
      </c>
      <c r="E220" s="141" t="s">
        <v>79</v>
      </c>
      <c r="F220" s="141" t="s">
        <v>79</v>
      </c>
      <c r="G220" s="141" t="s">
        <v>79</v>
      </c>
      <c r="H220" s="141" t="s">
        <v>79</v>
      </c>
      <c r="I220" s="141" t="s">
        <v>79</v>
      </c>
      <c r="J220" s="141" t="s">
        <v>79</v>
      </c>
      <c r="K220" s="141" t="s">
        <v>79</v>
      </c>
      <c r="L220" s="141" t="s">
        <v>79</v>
      </c>
      <c r="M220" s="141" t="s">
        <v>79</v>
      </c>
      <c r="N220" s="163" t="s">
        <v>75</v>
      </c>
      <c r="O220" s="141" t="s">
        <v>75</v>
      </c>
      <c r="P220" s="141" t="s">
        <v>75</v>
      </c>
      <c r="Q220" s="141" t="s">
        <v>75</v>
      </c>
      <c r="R220" s="141" t="s">
        <v>75</v>
      </c>
      <c r="S220" s="141" t="s">
        <v>75</v>
      </c>
      <c r="T220" s="141" t="s">
        <v>75</v>
      </c>
      <c r="U220" s="141" t="s">
        <v>75</v>
      </c>
      <c r="V220" s="141" t="s">
        <v>75</v>
      </c>
      <c r="W220" s="141" t="s">
        <v>75</v>
      </c>
      <c r="X220" s="141" t="s">
        <v>75</v>
      </c>
      <c r="Y220" s="141" t="s">
        <v>75</v>
      </c>
      <c r="Z220" s="163" t="s">
        <v>75</v>
      </c>
      <c r="AA220" s="141" t="s">
        <v>75</v>
      </c>
      <c r="AB220" s="141" t="s">
        <v>75</v>
      </c>
      <c r="AC220" s="141" t="s">
        <v>75</v>
      </c>
      <c r="AD220" s="141" t="s">
        <v>75</v>
      </c>
      <c r="AE220" s="141" t="s">
        <v>75</v>
      </c>
      <c r="AF220" s="6">
        <v>197</v>
      </c>
      <c r="AG220" s="6">
        <v>800</v>
      </c>
      <c r="AH220" s="35">
        <f t="shared" si="78"/>
        <v>267</v>
      </c>
      <c r="AI220" s="35">
        <v>450</v>
      </c>
      <c r="AJ220" s="35"/>
      <c r="AK220" s="35">
        <f t="shared" si="79"/>
        <v>253</v>
      </c>
      <c r="AL220" s="6">
        <v>702</v>
      </c>
      <c r="AM220" s="6"/>
      <c r="AN220" s="35">
        <f t="shared" si="80"/>
        <v>252</v>
      </c>
      <c r="AO220" s="6">
        <v>150</v>
      </c>
      <c r="AP220" s="6">
        <v>800</v>
      </c>
      <c r="AQ220" s="34">
        <f t="shared" si="81"/>
        <v>248</v>
      </c>
      <c r="AR220" s="35">
        <v>403</v>
      </c>
      <c r="AS220" s="35"/>
      <c r="AT220" s="35">
        <f t="shared" si="82"/>
        <v>253</v>
      </c>
      <c r="AU220" s="6">
        <v>642</v>
      </c>
      <c r="AV220" s="6"/>
      <c r="AW220" s="35">
        <f t="shared" si="83"/>
        <v>239</v>
      </c>
      <c r="AX220" s="6"/>
      <c r="AY220" s="6"/>
      <c r="AZ220" s="35"/>
      <c r="BA220" s="35">
        <v>96</v>
      </c>
      <c r="BB220" s="35">
        <v>800</v>
      </c>
      <c r="BC220" s="35">
        <f t="shared" si="84"/>
        <v>254</v>
      </c>
      <c r="BD220" s="35">
        <v>342</v>
      </c>
      <c r="BE220" s="6"/>
      <c r="BF220" s="35">
        <f t="shared" si="85"/>
        <v>246</v>
      </c>
      <c r="BG220" s="6">
        <v>201</v>
      </c>
      <c r="BH220" s="35">
        <v>366</v>
      </c>
      <c r="BI220" s="6">
        <f t="shared" si="86"/>
        <v>225</v>
      </c>
      <c r="BJ220" s="35">
        <v>457</v>
      </c>
      <c r="BK220" s="35"/>
      <c r="BL220" s="6">
        <f t="shared" si="87"/>
        <v>256</v>
      </c>
      <c r="BM220" s="35">
        <v>711</v>
      </c>
      <c r="BN220" s="35"/>
      <c r="BO220" s="6">
        <f t="shared" si="88"/>
        <v>254</v>
      </c>
      <c r="BP220" s="35">
        <v>955</v>
      </c>
      <c r="BQ220" s="35"/>
      <c r="BR220" s="35">
        <f t="shared" si="89"/>
        <v>244</v>
      </c>
      <c r="BS220" s="35"/>
      <c r="BT220" s="35"/>
      <c r="BU220" s="6"/>
      <c r="BV220" s="35">
        <v>114</v>
      </c>
      <c r="BW220" s="35">
        <v>1100</v>
      </c>
      <c r="BX220" s="35">
        <f t="shared" si="90"/>
        <v>259</v>
      </c>
      <c r="BY220" s="35">
        <v>366</v>
      </c>
      <c r="BZ220" s="6"/>
      <c r="CA220" s="6">
        <f t="shared" si="91"/>
        <v>252</v>
      </c>
      <c r="CB220" s="6">
        <v>614</v>
      </c>
      <c r="CC220" s="6"/>
      <c r="CD220" s="6">
        <f t="shared" si="92"/>
        <v>248</v>
      </c>
      <c r="CE220" s="6">
        <v>870</v>
      </c>
      <c r="CF220" s="6"/>
      <c r="CG220" s="6">
        <f t="shared" si="93"/>
        <v>256</v>
      </c>
      <c r="CH220" s="6">
        <v>20</v>
      </c>
      <c r="CI220" s="6">
        <v>1100</v>
      </c>
      <c r="CJ220" s="6">
        <f t="shared" si="94"/>
        <v>250</v>
      </c>
      <c r="CK220" s="6">
        <v>266</v>
      </c>
      <c r="CL220" s="6"/>
      <c r="CM220" s="6">
        <f t="shared" si="95"/>
        <v>246</v>
      </c>
      <c r="CN220" s="6"/>
      <c r="CO220" s="6"/>
      <c r="CP220" s="6"/>
      <c r="CQ220" s="6">
        <v>520</v>
      </c>
      <c r="CR220" s="6"/>
      <c r="CS220" s="6">
        <f t="shared" si="96"/>
        <v>254</v>
      </c>
      <c r="CT220" s="6">
        <v>771</v>
      </c>
      <c r="CU220" s="6"/>
      <c r="CV220" s="6">
        <f t="shared" si="97"/>
        <v>251</v>
      </c>
      <c r="CW220" s="6">
        <v>194</v>
      </c>
      <c r="CX220" s="6">
        <v>816</v>
      </c>
      <c r="CY220" s="6">
        <f t="shared" si="98"/>
        <v>239</v>
      </c>
      <c r="CZ220" s="6">
        <v>449</v>
      </c>
      <c r="DA220" s="6"/>
      <c r="DB220" s="6">
        <f t="shared" si="99"/>
        <v>255</v>
      </c>
      <c r="DC220" s="6">
        <v>705</v>
      </c>
      <c r="DD220" s="6"/>
      <c r="DE220" s="6">
        <f t="shared" si="100"/>
        <v>256</v>
      </c>
      <c r="DF220" s="6">
        <v>944</v>
      </c>
      <c r="DG220" s="10"/>
      <c r="DH220" s="6">
        <f t="shared" si="101"/>
        <v>239</v>
      </c>
      <c r="DI220" s="6"/>
      <c r="DJ220" s="10"/>
      <c r="DK220" s="6"/>
      <c r="DL220" s="6">
        <v>101</v>
      </c>
      <c r="DM220" s="10">
        <v>1100</v>
      </c>
      <c r="DN220" s="6">
        <f t="shared" si="102"/>
        <v>257</v>
      </c>
      <c r="DO220" s="6">
        <v>337</v>
      </c>
      <c r="DP220" s="10"/>
      <c r="DQ220" s="6">
        <f t="shared" si="103"/>
        <v>236</v>
      </c>
    </row>
    <row r="221" spans="1:121">
      <c r="A221" s="6">
        <v>217</v>
      </c>
      <c r="B221" s="6">
        <v>0</v>
      </c>
      <c r="C221" s="10"/>
      <c r="D221" s="6">
        <v>0</v>
      </c>
      <c r="E221" s="33" t="s">
        <v>72</v>
      </c>
      <c r="F221" s="33" t="s">
        <v>72</v>
      </c>
      <c r="G221" s="33" t="s">
        <v>72</v>
      </c>
      <c r="H221" s="33" t="s">
        <v>72</v>
      </c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6">
        <v>0</v>
      </c>
      <c r="AG221" s="6"/>
      <c r="AH221" s="35">
        <f t="shared" si="78"/>
        <v>0</v>
      </c>
      <c r="AI221" s="35">
        <v>0</v>
      </c>
      <c r="AJ221" s="35"/>
      <c r="AK221" s="35">
        <f t="shared" si="79"/>
        <v>0</v>
      </c>
      <c r="AL221" s="6">
        <v>0</v>
      </c>
      <c r="AM221" s="6"/>
      <c r="AN221" s="35">
        <f t="shared" si="80"/>
        <v>0</v>
      </c>
      <c r="AO221" s="6">
        <v>0</v>
      </c>
      <c r="AP221" s="6"/>
      <c r="AQ221" s="34">
        <f t="shared" si="81"/>
        <v>0</v>
      </c>
      <c r="AR221" s="35">
        <v>0</v>
      </c>
      <c r="AS221" s="35"/>
      <c r="AT221" s="35">
        <f t="shared" si="82"/>
        <v>0</v>
      </c>
      <c r="AU221" s="35">
        <v>0</v>
      </c>
      <c r="AV221" s="35"/>
      <c r="AW221" s="35">
        <f t="shared" si="83"/>
        <v>0</v>
      </c>
      <c r="AX221" s="6"/>
      <c r="AY221" s="6"/>
      <c r="AZ221" s="35"/>
      <c r="BA221" s="35"/>
      <c r="BB221" s="35"/>
      <c r="BC221" s="35"/>
      <c r="BD221" s="35"/>
      <c r="BE221" s="6"/>
      <c r="BF221" s="35"/>
      <c r="BG221" s="6"/>
      <c r="BH221" s="35"/>
      <c r="BI221" s="6">
        <f t="shared" si="86"/>
        <v>0</v>
      </c>
      <c r="BJ221" s="35"/>
      <c r="BK221" s="35"/>
      <c r="BL221" s="6"/>
      <c r="BM221" s="35"/>
      <c r="BN221" s="35"/>
      <c r="BO221" s="6"/>
      <c r="BP221" s="35"/>
      <c r="BQ221" s="35"/>
      <c r="BR221" s="35"/>
      <c r="BS221" s="35"/>
      <c r="BT221" s="35"/>
      <c r="BU221" s="6"/>
      <c r="BV221" s="35"/>
      <c r="BW221" s="35"/>
      <c r="BX221" s="35"/>
      <c r="BY221" s="35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10"/>
      <c r="DH221" s="6"/>
      <c r="DI221" s="6"/>
      <c r="DJ221" s="10"/>
      <c r="DK221" s="6"/>
      <c r="DL221" s="6"/>
      <c r="DM221" s="10"/>
      <c r="DN221" s="6"/>
      <c r="DO221" s="6"/>
      <c r="DP221" s="10"/>
      <c r="DQ221" s="6"/>
    </row>
    <row r="222" spans="1:121">
      <c r="A222" s="6">
        <v>218</v>
      </c>
      <c r="B222" s="6">
        <v>0</v>
      </c>
      <c r="C222" s="10"/>
      <c r="D222" s="6">
        <v>0</v>
      </c>
      <c r="E222" s="33" t="s">
        <v>200</v>
      </c>
      <c r="F222" s="33" t="s">
        <v>200</v>
      </c>
      <c r="G222" s="33" t="s">
        <v>200</v>
      </c>
      <c r="H222" s="33" t="s">
        <v>200</v>
      </c>
      <c r="I222" s="33" t="s">
        <v>200</v>
      </c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6">
        <v>0</v>
      </c>
      <c r="AG222" s="6"/>
      <c r="AH222" s="35">
        <f t="shared" si="78"/>
        <v>0</v>
      </c>
      <c r="AI222" s="35">
        <v>0</v>
      </c>
      <c r="AJ222" s="35"/>
      <c r="AK222" s="35">
        <f t="shared" si="79"/>
        <v>0</v>
      </c>
      <c r="AL222" s="6">
        <v>0</v>
      </c>
      <c r="AM222" s="6"/>
      <c r="AN222" s="35">
        <f t="shared" si="80"/>
        <v>0</v>
      </c>
      <c r="AO222" s="6">
        <v>0</v>
      </c>
      <c r="AP222" s="6"/>
      <c r="AQ222" s="34">
        <f t="shared" si="81"/>
        <v>0</v>
      </c>
      <c r="AR222" s="35">
        <v>0</v>
      </c>
      <c r="AS222" s="35"/>
      <c r="AT222" s="35">
        <f t="shared" si="82"/>
        <v>0</v>
      </c>
      <c r="AU222" s="35">
        <v>0</v>
      </c>
      <c r="AV222" s="6"/>
      <c r="AW222" s="35">
        <f t="shared" si="83"/>
        <v>0</v>
      </c>
      <c r="AX222" s="6"/>
      <c r="AY222" s="6"/>
      <c r="AZ222" s="35"/>
      <c r="BA222" s="35"/>
      <c r="BB222" s="35"/>
      <c r="BC222" s="35"/>
      <c r="BD222" s="35"/>
      <c r="BE222" s="6"/>
      <c r="BF222" s="35"/>
      <c r="BG222" s="6"/>
      <c r="BH222" s="35"/>
      <c r="BI222" s="6">
        <f t="shared" si="86"/>
        <v>0</v>
      </c>
      <c r="BJ222" s="35"/>
      <c r="BK222" s="35"/>
      <c r="BL222" s="6"/>
      <c r="BM222" s="35"/>
      <c r="BN222" s="35"/>
      <c r="BO222" s="6"/>
      <c r="BP222" s="35"/>
      <c r="BQ222" s="35"/>
      <c r="BR222" s="35"/>
      <c r="BS222" s="35"/>
      <c r="BT222" s="35"/>
      <c r="BU222" s="6"/>
      <c r="BV222" s="35"/>
      <c r="BW222" s="35"/>
      <c r="BX222" s="35"/>
      <c r="BY222" s="35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10"/>
      <c r="DH222" s="6"/>
      <c r="DI222" s="6"/>
      <c r="DJ222" s="10"/>
      <c r="DK222" s="6"/>
      <c r="DL222" s="6"/>
      <c r="DM222" s="10"/>
      <c r="DN222" s="6"/>
      <c r="DO222" s="6"/>
      <c r="DP222" s="10"/>
      <c r="DQ222" s="6"/>
    </row>
    <row r="223" spans="1:121">
      <c r="A223" s="6">
        <v>219</v>
      </c>
      <c r="B223" s="6">
        <v>0</v>
      </c>
      <c r="C223" s="10"/>
      <c r="D223" s="6">
        <v>0</v>
      </c>
      <c r="E223" s="33" t="s">
        <v>79</v>
      </c>
      <c r="F223" s="33" t="s">
        <v>79</v>
      </c>
      <c r="G223" s="33" t="s">
        <v>79</v>
      </c>
      <c r="H223" s="33" t="s">
        <v>79</v>
      </c>
      <c r="I223" s="33" t="s">
        <v>79</v>
      </c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6">
        <v>0</v>
      </c>
      <c r="AG223" s="6"/>
      <c r="AH223" s="35">
        <f t="shared" si="78"/>
        <v>0</v>
      </c>
      <c r="AI223" s="35">
        <v>0</v>
      </c>
      <c r="AJ223" s="35"/>
      <c r="AK223" s="35">
        <f t="shared" si="79"/>
        <v>0</v>
      </c>
      <c r="AL223" s="6">
        <v>0</v>
      </c>
      <c r="AM223" s="6"/>
      <c r="AN223" s="35">
        <f t="shared" si="80"/>
        <v>0</v>
      </c>
      <c r="AO223" s="6">
        <v>0</v>
      </c>
      <c r="AP223" s="6"/>
      <c r="AQ223" s="34">
        <f t="shared" si="81"/>
        <v>0</v>
      </c>
      <c r="AR223" s="35">
        <v>0</v>
      </c>
      <c r="AS223" s="35"/>
      <c r="AT223" s="35">
        <f t="shared" si="82"/>
        <v>0</v>
      </c>
      <c r="AU223" s="6">
        <v>0</v>
      </c>
      <c r="AV223" s="6"/>
      <c r="AW223" s="35">
        <f t="shared" si="83"/>
        <v>0</v>
      </c>
      <c r="AX223" s="6"/>
      <c r="AY223" s="6"/>
      <c r="AZ223" s="35"/>
      <c r="BA223" s="35"/>
      <c r="BB223" s="35"/>
      <c r="BC223" s="35"/>
      <c r="BD223" s="35"/>
      <c r="BE223" s="6"/>
      <c r="BF223" s="35"/>
      <c r="BG223" s="6"/>
      <c r="BH223" s="35"/>
      <c r="BI223" s="6">
        <f t="shared" si="86"/>
        <v>0</v>
      </c>
      <c r="BJ223" s="35"/>
      <c r="BK223" s="35"/>
      <c r="BL223" s="6"/>
      <c r="BM223" s="35"/>
      <c r="BN223" s="35"/>
      <c r="BO223" s="6"/>
      <c r="BP223" s="35"/>
      <c r="BQ223" s="35"/>
      <c r="BR223" s="35"/>
      <c r="BS223" s="35"/>
      <c r="BT223" s="35"/>
      <c r="BU223" s="6"/>
      <c r="BV223" s="35"/>
      <c r="BW223" s="35"/>
      <c r="BX223" s="35"/>
      <c r="BY223" s="35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10"/>
      <c r="DH223" s="6"/>
      <c r="DI223" s="6"/>
      <c r="DJ223" s="10"/>
      <c r="DK223" s="6"/>
      <c r="DL223" s="6"/>
      <c r="DM223" s="10"/>
      <c r="DN223" s="6"/>
      <c r="DO223" s="6"/>
      <c r="DP223" s="10"/>
      <c r="DQ223" s="6"/>
    </row>
    <row r="224" spans="1:121">
      <c r="A224" s="6">
        <v>220</v>
      </c>
      <c r="B224" s="6">
        <v>0</v>
      </c>
      <c r="C224" s="10"/>
      <c r="D224" s="6">
        <v>0</v>
      </c>
      <c r="E224" s="141" t="s">
        <v>75</v>
      </c>
      <c r="F224" s="141" t="s">
        <v>75</v>
      </c>
      <c r="G224" s="141" t="s">
        <v>75</v>
      </c>
      <c r="H224" s="141" t="s">
        <v>75</v>
      </c>
      <c r="I224" s="141" t="s">
        <v>75</v>
      </c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  <c r="AE224" s="141"/>
      <c r="AF224" s="6">
        <v>0</v>
      </c>
      <c r="AG224" s="6"/>
      <c r="AH224" s="35">
        <f t="shared" si="78"/>
        <v>0</v>
      </c>
      <c r="AI224" s="35">
        <v>0</v>
      </c>
      <c r="AJ224" s="35"/>
      <c r="AK224" s="35">
        <f t="shared" si="79"/>
        <v>0</v>
      </c>
      <c r="AL224" s="6">
        <v>0</v>
      </c>
      <c r="AM224" s="6"/>
      <c r="AN224" s="35">
        <f t="shared" si="80"/>
        <v>0</v>
      </c>
      <c r="AO224" s="6">
        <v>0</v>
      </c>
      <c r="AP224" s="6"/>
      <c r="AQ224" s="34">
        <f t="shared" si="81"/>
        <v>0</v>
      </c>
      <c r="AR224" s="35">
        <v>0</v>
      </c>
      <c r="AS224" s="35"/>
      <c r="AT224" s="35">
        <f t="shared" si="82"/>
        <v>0</v>
      </c>
      <c r="AU224" s="6">
        <v>0</v>
      </c>
      <c r="AV224" s="6"/>
      <c r="AW224" s="35">
        <f t="shared" si="83"/>
        <v>0</v>
      </c>
      <c r="AX224" s="6"/>
      <c r="AY224" s="6"/>
      <c r="AZ224" s="35"/>
      <c r="BA224" s="35"/>
      <c r="BB224" s="35"/>
      <c r="BC224" s="35"/>
      <c r="BD224" s="35"/>
      <c r="BE224" s="6"/>
      <c r="BF224" s="35"/>
      <c r="BG224" s="6"/>
      <c r="BH224" s="35"/>
      <c r="BI224" s="6">
        <f t="shared" si="86"/>
        <v>0</v>
      </c>
      <c r="BJ224" s="35"/>
      <c r="BK224" s="35"/>
      <c r="BL224" s="6"/>
      <c r="BM224" s="35"/>
      <c r="BN224" s="35"/>
      <c r="BO224" s="6"/>
      <c r="BP224" s="35"/>
      <c r="BQ224" s="35"/>
      <c r="BR224" s="35"/>
      <c r="BS224" s="35"/>
      <c r="BT224" s="35"/>
      <c r="BU224" s="6"/>
      <c r="BV224" s="35"/>
      <c r="BW224" s="35"/>
      <c r="BX224" s="35"/>
      <c r="BY224" s="35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10"/>
      <c r="DH224" s="6"/>
      <c r="DI224" s="6"/>
      <c r="DJ224" s="10"/>
      <c r="DK224" s="6"/>
      <c r="DL224" s="6"/>
      <c r="DM224" s="10"/>
      <c r="DN224" s="6"/>
      <c r="DO224" s="6"/>
      <c r="DP224" s="10"/>
      <c r="DQ224" s="6"/>
    </row>
    <row r="225" spans="1:121">
      <c r="A225" s="6">
        <v>221</v>
      </c>
      <c r="B225" s="6">
        <v>0</v>
      </c>
      <c r="C225" s="10"/>
      <c r="D225" s="6">
        <v>0</v>
      </c>
      <c r="E225" s="33" t="s">
        <v>75</v>
      </c>
      <c r="F225" s="33" t="s">
        <v>75</v>
      </c>
      <c r="G225" s="33" t="s">
        <v>75</v>
      </c>
      <c r="H225" s="33" t="s">
        <v>75</v>
      </c>
      <c r="I225" s="33" t="s">
        <v>75</v>
      </c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6">
        <v>0</v>
      </c>
      <c r="AG225" s="6"/>
      <c r="AH225" s="35">
        <f t="shared" si="78"/>
        <v>0</v>
      </c>
      <c r="AI225" s="35">
        <v>0</v>
      </c>
      <c r="AJ225" s="35"/>
      <c r="AK225" s="35">
        <f t="shared" si="79"/>
        <v>0</v>
      </c>
      <c r="AL225" s="6">
        <v>0</v>
      </c>
      <c r="AM225" s="6"/>
      <c r="AN225" s="35">
        <f t="shared" si="80"/>
        <v>0</v>
      </c>
      <c r="AO225" s="6">
        <v>0</v>
      </c>
      <c r="AP225" s="6"/>
      <c r="AQ225" s="34">
        <f t="shared" si="81"/>
        <v>0</v>
      </c>
      <c r="AR225" s="35">
        <v>0</v>
      </c>
      <c r="AS225" s="35"/>
      <c r="AT225" s="35">
        <f t="shared" si="82"/>
        <v>0</v>
      </c>
      <c r="AU225" s="6">
        <v>0</v>
      </c>
      <c r="AV225" s="6"/>
      <c r="AW225" s="35">
        <f t="shared" si="83"/>
        <v>0</v>
      </c>
      <c r="AX225" s="6"/>
      <c r="AY225" s="6"/>
      <c r="AZ225" s="35"/>
      <c r="BA225" s="35"/>
      <c r="BB225" s="35"/>
      <c r="BC225" s="35"/>
      <c r="BD225" s="35"/>
      <c r="BE225" s="6"/>
      <c r="BF225" s="35"/>
      <c r="BG225" s="6"/>
      <c r="BH225" s="35"/>
      <c r="BI225" s="6">
        <f t="shared" si="86"/>
        <v>0</v>
      </c>
      <c r="BJ225" s="35"/>
      <c r="BK225" s="35"/>
      <c r="BL225" s="6"/>
      <c r="BM225" s="35"/>
      <c r="BN225" s="35"/>
      <c r="BO225" s="6"/>
      <c r="BP225" s="35"/>
      <c r="BQ225" s="35"/>
      <c r="BR225" s="35"/>
      <c r="BS225" s="35"/>
      <c r="BT225" s="35"/>
      <c r="BU225" s="6"/>
      <c r="BV225" s="6"/>
      <c r="BW225" s="35"/>
      <c r="BX225" s="35"/>
      <c r="BY225" s="35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10"/>
      <c r="DH225" s="6"/>
      <c r="DI225" s="6"/>
      <c r="DJ225" s="10"/>
      <c r="DK225" s="6"/>
      <c r="DL225" s="6"/>
      <c r="DM225" s="10"/>
      <c r="DN225" s="6"/>
      <c r="DO225" s="6"/>
      <c r="DP225" s="10"/>
      <c r="DQ225" s="6"/>
    </row>
    <row r="226" spans="1:121">
      <c r="A226" s="6">
        <v>222</v>
      </c>
      <c r="B226" s="6">
        <v>0</v>
      </c>
      <c r="C226" s="10"/>
      <c r="D226" s="6">
        <v>0</v>
      </c>
      <c r="E226" s="33" t="s">
        <v>79</v>
      </c>
      <c r="F226" s="33" t="s">
        <v>79</v>
      </c>
      <c r="G226" s="33" t="s">
        <v>79</v>
      </c>
      <c r="H226" s="33" t="s">
        <v>79</v>
      </c>
      <c r="I226" s="33" t="s">
        <v>79</v>
      </c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6">
        <v>0</v>
      </c>
      <c r="AG226" s="6"/>
      <c r="AH226" s="35">
        <f t="shared" si="78"/>
        <v>0</v>
      </c>
      <c r="AI226" s="35">
        <v>0</v>
      </c>
      <c r="AJ226" s="35"/>
      <c r="AK226" s="35">
        <f t="shared" si="79"/>
        <v>0</v>
      </c>
      <c r="AL226" s="6">
        <v>0</v>
      </c>
      <c r="AM226" s="6"/>
      <c r="AN226" s="35">
        <f t="shared" si="80"/>
        <v>0</v>
      </c>
      <c r="AO226" s="6">
        <v>0</v>
      </c>
      <c r="AP226" s="35"/>
      <c r="AQ226" s="34">
        <f t="shared" si="81"/>
        <v>0</v>
      </c>
      <c r="AR226" s="35">
        <v>0</v>
      </c>
      <c r="AS226" s="35"/>
      <c r="AT226" s="35">
        <f t="shared" si="82"/>
        <v>0</v>
      </c>
      <c r="AU226" s="6">
        <v>0</v>
      </c>
      <c r="AV226" s="6"/>
      <c r="AW226" s="35">
        <f t="shared" si="83"/>
        <v>0</v>
      </c>
      <c r="AX226" s="6"/>
      <c r="AY226" s="6"/>
      <c r="AZ226" s="35"/>
      <c r="BA226" s="35"/>
      <c r="BB226" s="35"/>
      <c r="BC226" s="35"/>
      <c r="BD226" s="35"/>
      <c r="BE226" s="6"/>
      <c r="BF226" s="35"/>
      <c r="BG226" s="6"/>
      <c r="BH226" s="35"/>
      <c r="BI226" s="6">
        <f t="shared" si="86"/>
        <v>0</v>
      </c>
      <c r="BJ226" s="35"/>
      <c r="BK226" s="35"/>
      <c r="BL226" s="6"/>
      <c r="BM226" s="35"/>
      <c r="BN226" s="35"/>
      <c r="BO226" s="6"/>
      <c r="BP226" s="35"/>
      <c r="BQ226" s="35"/>
      <c r="BR226" s="35"/>
      <c r="BS226" s="35"/>
      <c r="BT226" s="35"/>
      <c r="BU226" s="6"/>
      <c r="BV226" s="6"/>
      <c r="BW226" s="35"/>
      <c r="BX226" s="35"/>
      <c r="BY226" s="35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10"/>
      <c r="DH226" s="6"/>
      <c r="DI226" s="6"/>
      <c r="DJ226" s="10"/>
      <c r="DK226" s="6"/>
      <c r="DL226" s="6"/>
      <c r="DM226" s="10"/>
      <c r="DN226" s="6"/>
      <c r="DO226" s="6"/>
      <c r="DP226" s="10"/>
      <c r="DQ226" s="6"/>
    </row>
    <row r="227" spans="1:121">
      <c r="A227" s="6">
        <v>223</v>
      </c>
      <c r="B227" s="6">
        <v>110</v>
      </c>
      <c r="C227" s="10">
        <v>1100</v>
      </c>
      <c r="D227" s="6">
        <v>235</v>
      </c>
      <c r="E227" s="141" t="s">
        <v>72</v>
      </c>
      <c r="F227" s="141" t="s">
        <v>72</v>
      </c>
      <c r="G227" s="141" t="s">
        <v>72</v>
      </c>
      <c r="H227" s="141" t="s">
        <v>72</v>
      </c>
      <c r="I227" s="141" t="s">
        <v>72</v>
      </c>
      <c r="J227" s="141" t="s">
        <v>72</v>
      </c>
      <c r="K227" s="141" t="s">
        <v>72</v>
      </c>
      <c r="L227" s="141" t="s">
        <v>72</v>
      </c>
      <c r="M227" s="141" t="s">
        <v>72</v>
      </c>
      <c r="N227" s="141" t="s">
        <v>72</v>
      </c>
      <c r="O227" s="141" t="s">
        <v>72</v>
      </c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6">
        <v>381</v>
      </c>
      <c r="AG227" s="6"/>
      <c r="AH227" s="35">
        <f t="shared" si="78"/>
        <v>271</v>
      </c>
      <c r="AI227" s="35">
        <v>128</v>
      </c>
      <c r="AJ227" s="35">
        <v>508</v>
      </c>
      <c r="AK227" s="35">
        <f t="shared" si="79"/>
        <v>255</v>
      </c>
      <c r="AL227" s="6">
        <v>382</v>
      </c>
      <c r="AM227" s="6"/>
      <c r="AN227" s="35">
        <f t="shared" si="80"/>
        <v>254</v>
      </c>
      <c r="AO227" s="6">
        <v>615</v>
      </c>
      <c r="AP227" s="6"/>
      <c r="AQ227" s="34">
        <f t="shared" si="81"/>
        <v>233</v>
      </c>
      <c r="AR227" s="35">
        <v>855</v>
      </c>
      <c r="AS227" s="35"/>
      <c r="AT227" s="35">
        <f t="shared" si="82"/>
        <v>240</v>
      </c>
      <c r="AU227" s="6">
        <v>1090</v>
      </c>
      <c r="AV227" s="6"/>
      <c r="AW227" s="35">
        <f t="shared" si="83"/>
        <v>235</v>
      </c>
      <c r="AX227" s="6"/>
      <c r="AY227" s="6"/>
      <c r="AZ227" s="35"/>
      <c r="BA227" s="35">
        <v>240</v>
      </c>
      <c r="BB227" s="35">
        <v>1100</v>
      </c>
      <c r="BC227" s="35">
        <f t="shared" si="84"/>
        <v>250</v>
      </c>
      <c r="BD227" s="35">
        <v>459</v>
      </c>
      <c r="BE227" s="6"/>
      <c r="BF227" s="35">
        <f t="shared" si="85"/>
        <v>219</v>
      </c>
      <c r="BG227" s="6">
        <v>0</v>
      </c>
      <c r="BH227" s="35">
        <v>510</v>
      </c>
      <c r="BI227" s="6">
        <f t="shared" si="86"/>
        <v>51</v>
      </c>
      <c r="BJ227" s="35"/>
      <c r="BK227" s="35"/>
      <c r="BL227" s="6"/>
      <c r="BM227" s="35"/>
      <c r="BN227" s="35"/>
      <c r="BO227" s="6"/>
      <c r="BP227" s="35"/>
      <c r="BQ227" s="35"/>
      <c r="BR227" s="35"/>
      <c r="BS227" s="35"/>
      <c r="BT227" s="35"/>
      <c r="BU227" s="6"/>
      <c r="BV227" s="6"/>
      <c r="BW227" s="35"/>
      <c r="BX227" s="35"/>
      <c r="BY227" s="35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10"/>
      <c r="DH227" s="6"/>
      <c r="DI227" s="6"/>
      <c r="DJ227" s="10"/>
      <c r="DK227" s="6"/>
      <c r="DL227" s="6"/>
      <c r="DM227" s="10"/>
      <c r="DN227" s="6"/>
      <c r="DO227" s="6"/>
      <c r="DP227" s="10"/>
      <c r="DQ227" s="6"/>
    </row>
    <row r="228" spans="1:121">
      <c r="A228" s="6">
        <v>224</v>
      </c>
      <c r="B228" s="6">
        <v>582</v>
      </c>
      <c r="C228" s="10"/>
      <c r="D228" s="6">
        <v>235</v>
      </c>
      <c r="E228" s="33" t="s">
        <v>72</v>
      </c>
      <c r="F228" s="33" t="s">
        <v>72</v>
      </c>
      <c r="G228" s="33" t="s">
        <v>72</v>
      </c>
      <c r="H228" s="33" t="s">
        <v>72</v>
      </c>
      <c r="I228" s="33" t="s">
        <v>72</v>
      </c>
      <c r="J228" s="33" t="s">
        <v>72</v>
      </c>
      <c r="K228" s="33" t="s">
        <v>72</v>
      </c>
      <c r="L228" s="33" t="s">
        <v>72</v>
      </c>
      <c r="M228" s="33" t="s">
        <v>72</v>
      </c>
      <c r="N228" s="33" t="s">
        <v>72</v>
      </c>
      <c r="O228" s="33" t="s">
        <v>72</v>
      </c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6">
        <v>851</v>
      </c>
      <c r="AG228" s="6"/>
      <c r="AH228" s="35">
        <f t="shared" si="78"/>
        <v>269</v>
      </c>
      <c r="AI228" s="35">
        <v>3</v>
      </c>
      <c r="AJ228" s="35">
        <v>1100</v>
      </c>
      <c r="AK228" s="35">
        <f t="shared" si="79"/>
        <v>252</v>
      </c>
      <c r="AL228" s="6">
        <v>261</v>
      </c>
      <c r="AM228" s="6"/>
      <c r="AN228" s="35">
        <f t="shared" si="80"/>
        <v>258</v>
      </c>
      <c r="AO228" s="6">
        <v>512</v>
      </c>
      <c r="AP228" s="6"/>
      <c r="AQ228" s="34">
        <f t="shared" si="81"/>
        <v>251</v>
      </c>
      <c r="AR228" s="35">
        <v>109</v>
      </c>
      <c r="AS228" s="35">
        <v>658</v>
      </c>
      <c r="AT228" s="35">
        <f t="shared" si="82"/>
        <v>255</v>
      </c>
      <c r="AU228" s="6">
        <v>333</v>
      </c>
      <c r="AV228" s="6"/>
      <c r="AW228" s="35">
        <f t="shared" si="83"/>
        <v>224</v>
      </c>
      <c r="AX228" s="6"/>
      <c r="AY228" s="6"/>
      <c r="AZ228" s="35"/>
      <c r="BA228" s="35">
        <v>592</v>
      </c>
      <c r="BB228" s="35"/>
      <c r="BC228" s="35">
        <f t="shared" si="84"/>
        <v>259</v>
      </c>
      <c r="BD228" s="35">
        <v>0</v>
      </c>
      <c r="BE228" s="6">
        <v>787</v>
      </c>
      <c r="BF228" s="35">
        <f t="shared" si="85"/>
        <v>195</v>
      </c>
      <c r="BG228" s="6">
        <v>0</v>
      </c>
      <c r="BH228" s="35"/>
      <c r="BI228" s="6">
        <f t="shared" si="86"/>
        <v>0</v>
      </c>
      <c r="BJ228" s="35"/>
      <c r="BK228" s="35"/>
      <c r="BL228" s="6"/>
      <c r="BM228" s="35"/>
      <c r="BN228" s="35"/>
      <c r="BO228" s="6"/>
      <c r="BP228" s="35"/>
      <c r="BQ228" s="35"/>
      <c r="BR228" s="35"/>
      <c r="BS228" s="35"/>
      <c r="BT228" s="35"/>
      <c r="BU228" s="6"/>
      <c r="BV228" s="6"/>
      <c r="BW228" s="35"/>
      <c r="BX228" s="35"/>
      <c r="BY228" s="35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10"/>
      <c r="DH228" s="6"/>
      <c r="DI228" s="6"/>
      <c r="DJ228" s="10"/>
      <c r="DK228" s="6"/>
      <c r="DL228" s="6"/>
      <c r="DM228" s="10"/>
      <c r="DN228" s="6"/>
      <c r="DO228" s="6"/>
      <c r="DP228" s="10"/>
      <c r="DQ228" s="6"/>
    </row>
    <row r="229" spans="1:121">
      <c r="A229" s="6">
        <v>225</v>
      </c>
      <c r="B229" s="6">
        <v>748</v>
      </c>
      <c r="C229" s="10"/>
      <c r="D229" s="6">
        <v>229</v>
      </c>
      <c r="E229" s="141" t="s">
        <v>72</v>
      </c>
      <c r="F229" s="141" t="s">
        <v>72</v>
      </c>
      <c r="G229" s="141" t="s">
        <v>72</v>
      </c>
      <c r="H229" s="141" t="s">
        <v>72</v>
      </c>
      <c r="I229" s="141" t="s">
        <v>72</v>
      </c>
      <c r="J229" s="141" t="s">
        <v>72</v>
      </c>
      <c r="K229" s="141" t="s">
        <v>72</v>
      </c>
      <c r="L229" s="141" t="s">
        <v>72</v>
      </c>
      <c r="M229" s="141" t="s">
        <v>72</v>
      </c>
      <c r="N229" s="141" t="s">
        <v>72</v>
      </c>
      <c r="O229" s="141" t="s">
        <v>72</v>
      </c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6">
        <v>139</v>
      </c>
      <c r="AG229" s="6">
        <v>874</v>
      </c>
      <c r="AH229" s="35">
        <f t="shared" si="78"/>
        <v>265</v>
      </c>
      <c r="AI229" s="35">
        <v>383</v>
      </c>
      <c r="AJ229" s="35"/>
      <c r="AK229" s="35">
        <f t="shared" si="79"/>
        <v>244</v>
      </c>
      <c r="AL229" s="6">
        <v>635</v>
      </c>
      <c r="AM229" s="6"/>
      <c r="AN229" s="35">
        <f t="shared" si="80"/>
        <v>252</v>
      </c>
      <c r="AO229" s="6">
        <v>886</v>
      </c>
      <c r="AP229" s="6"/>
      <c r="AQ229" s="34">
        <f t="shared" si="81"/>
        <v>251</v>
      </c>
      <c r="AR229" s="35">
        <v>38</v>
      </c>
      <c r="AS229" s="35">
        <v>1100</v>
      </c>
      <c r="AT229" s="35">
        <f t="shared" si="82"/>
        <v>252</v>
      </c>
      <c r="AU229" s="6">
        <v>0</v>
      </c>
      <c r="AV229" s="6">
        <v>266</v>
      </c>
      <c r="AW229" s="35">
        <f t="shared" si="83"/>
        <v>228</v>
      </c>
      <c r="AX229" s="6"/>
      <c r="AY229" s="6"/>
      <c r="AZ229" s="35"/>
      <c r="BA229" s="35">
        <v>0</v>
      </c>
      <c r="BB229" s="35"/>
      <c r="BC229" s="35">
        <f t="shared" si="84"/>
        <v>0</v>
      </c>
      <c r="BD229" s="35">
        <v>0</v>
      </c>
      <c r="BE229" s="6"/>
      <c r="BF229" s="35">
        <f t="shared" si="85"/>
        <v>0</v>
      </c>
      <c r="BG229" s="6">
        <v>0</v>
      </c>
      <c r="BH229" s="35"/>
      <c r="BI229" s="6">
        <f t="shared" si="86"/>
        <v>0</v>
      </c>
      <c r="BJ229" s="35"/>
      <c r="BK229" s="35"/>
      <c r="BL229" s="6"/>
      <c r="BM229" s="35"/>
      <c r="BN229" s="35"/>
      <c r="BO229" s="6"/>
      <c r="BP229" s="35"/>
      <c r="BQ229" s="35"/>
      <c r="BR229" s="35"/>
      <c r="BS229" s="35"/>
      <c r="BT229" s="35"/>
      <c r="BU229" s="6"/>
      <c r="BV229" s="6"/>
      <c r="BW229" s="35"/>
      <c r="BX229" s="35"/>
      <c r="BY229" s="35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10"/>
      <c r="DH229" s="6"/>
      <c r="DI229" s="6"/>
      <c r="DJ229" s="10"/>
      <c r="DK229" s="6"/>
      <c r="DL229" s="6"/>
      <c r="DM229" s="10"/>
      <c r="DN229" s="6"/>
      <c r="DO229" s="6"/>
      <c r="DP229" s="10"/>
      <c r="DQ229" s="6"/>
    </row>
    <row r="230" spans="1:121">
      <c r="A230" s="6">
        <v>226</v>
      </c>
      <c r="B230" s="6">
        <v>684</v>
      </c>
      <c r="C230" s="10"/>
      <c r="D230" s="6">
        <v>234</v>
      </c>
      <c r="E230" s="141" t="s">
        <v>72</v>
      </c>
      <c r="F230" s="141" t="s">
        <v>72</v>
      </c>
      <c r="G230" s="141" t="s">
        <v>72</v>
      </c>
      <c r="H230" s="141" t="s">
        <v>72</v>
      </c>
      <c r="I230" s="141" t="s">
        <v>72</v>
      </c>
      <c r="J230" s="141" t="s">
        <v>72</v>
      </c>
      <c r="K230" s="141" t="s">
        <v>72</v>
      </c>
      <c r="L230" s="141" t="s">
        <v>72</v>
      </c>
      <c r="M230" s="141" t="s">
        <v>72</v>
      </c>
      <c r="N230" s="141" t="s">
        <v>72</v>
      </c>
      <c r="O230" s="141" t="s">
        <v>72</v>
      </c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  <c r="AE230" s="141"/>
      <c r="AF230" s="6">
        <v>957</v>
      </c>
      <c r="AG230" s="6"/>
      <c r="AH230" s="35">
        <f t="shared" si="78"/>
        <v>273</v>
      </c>
      <c r="AI230" s="35">
        <v>114</v>
      </c>
      <c r="AJ230" s="35">
        <v>1100</v>
      </c>
      <c r="AK230" s="35">
        <f t="shared" si="79"/>
        <v>257</v>
      </c>
      <c r="AL230" s="6">
        <v>373</v>
      </c>
      <c r="AM230" s="6"/>
      <c r="AN230" s="35">
        <f t="shared" si="80"/>
        <v>259</v>
      </c>
      <c r="AO230" s="6">
        <v>628</v>
      </c>
      <c r="AP230" s="6"/>
      <c r="AQ230" s="34">
        <f t="shared" si="81"/>
        <v>255</v>
      </c>
      <c r="AR230" s="35">
        <v>174</v>
      </c>
      <c r="AS230" s="35">
        <v>708</v>
      </c>
      <c r="AT230" s="35">
        <f t="shared" si="82"/>
        <v>254</v>
      </c>
      <c r="AU230" s="6">
        <v>0</v>
      </c>
      <c r="AV230" s="6">
        <v>384</v>
      </c>
      <c r="AW230" s="35">
        <f t="shared" si="83"/>
        <v>210</v>
      </c>
      <c r="AX230" s="6"/>
      <c r="AY230" s="6"/>
      <c r="AZ230" s="35"/>
      <c r="BA230" s="35">
        <v>0</v>
      </c>
      <c r="BB230" s="35"/>
      <c r="BC230" s="35">
        <f t="shared" si="84"/>
        <v>0</v>
      </c>
      <c r="BD230" s="35">
        <v>0</v>
      </c>
      <c r="BE230" s="6"/>
      <c r="BF230" s="35">
        <f t="shared" si="85"/>
        <v>0</v>
      </c>
      <c r="BG230" s="6">
        <v>0</v>
      </c>
      <c r="BH230" s="35"/>
      <c r="BI230" s="6">
        <f t="shared" si="86"/>
        <v>0</v>
      </c>
      <c r="BJ230" s="35"/>
      <c r="BK230" s="35"/>
      <c r="BL230" s="6"/>
      <c r="BM230" s="35"/>
      <c r="BN230" s="35"/>
      <c r="BO230" s="6"/>
      <c r="BP230" s="35"/>
      <c r="BQ230" s="35"/>
      <c r="BR230" s="35"/>
      <c r="BS230" s="35"/>
      <c r="BT230" s="35"/>
      <c r="BU230" s="6"/>
      <c r="BV230" s="6"/>
      <c r="BW230" s="35"/>
      <c r="BX230" s="35"/>
      <c r="BY230" s="35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10"/>
      <c r="DH230" s="6"/>
      <c r="DI230" s="6"/>
      <c r="DJ230" s="10"/>
      <c r="DK230" s="6"/>
      <c r="DL230" s="6"/>
      <c r="DM230" s="10"/>
      <c r="DN230" s="6"/>
      <c r="DO230" s="6"/>
      <c r="DP230" s="10"/>
      <c r="DQ230" s="6"/>
    </row>
    <row r="231" spans="1:121">
      <c r="A231" s="151">
        <v>227</v>
      </c>
      <c r="B231" s="6">
        <v>12</v>
      </c>
      <c r="C231" s="10">
        <v>1100</v>
      </c>
      <c r="D231" s="6">
        <v>231</v>
      </c>
      <c r="E231" s="141" t="s">
        <v>72</v>
      </c>
      <c r="F231" s="141" t="s">
        <v>72</v>
      </c>
      <c r="G231" s="141" t="s">
        <v>72</v>
      </c>
      <c r="H231" s="141" t="s">
        <v>72</v>
      </c>
      <c r="I231" s="141" t="s">
        <v>72</v>
      </c>
      <c r="J231" s="141" t="s">
        <v>72</v>
      </c>
      <c r="K231" s="141" t="s">
        <v>72</v>
      </c>
      <c r="L231" s="141" t="s">
        <v>72</v>
      </c>
      <c r="M231" s="141" t="s">
        <v>72</v>
      </c>
      <c r="N231" s="141" t="s">
        <v>72</v>
      </c>
      <c r="O231" s="141" t="s">
        <v>72</v>
      </c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/>
      <c r="AE231" s="141"/>
      <c r="AF231" s="6">
        <v>278</v>
      </c>
      <c r="AG231" s="6"/>
      <c r="AH231" s="35">
        <f t="shared" si="78"/>
        <v>266</v>
      </c>
      <c r="AI231" s="35">
        <v>526</v>
      </c>
      <c r="AJ231" s="35"/>
      <c r="AK231" s="35">
        <f t="shared" si="79"/>
        <v>248</v>
      </c>
      <c r="AL231" s="6">
        <v>779</v>
      </c>
      <c r="AM231" s="6"/>
      <c r="AN231" s="35">
        <f t="shared" si="80"/>
        <v>253</v>
      </c>
      <c r="AO231" s="6">
        <v>1029</v>
      </c>
      <c r="AP231" s="6"/>
      <c r="AQ231" s="34">
        <f t="shared" si="81"/>
        <v>250</v>
      </c>
      <c r="AR231" s="35">
        <v>184</v>
      </c>
      <c r="AS231" s="35">
        <v>1100</v>
      </c>
      <c r="AT231" s="35">
        <f t="shared" si="82"/>
        <v>255</v>
      </c>
      <c r="AU231" s="6">
        <v>0</v>
      </c>
      <c r="AV231" s="6">
        <v>364</v>
      </c>
      <c r="AW231" s="35">
        <f t="shared" si="83"/>
        <v>180</v>
      </c>
      <c r="AX231" s="6"/>
      <c r="AY231" s="6"/>
      <c r="AZ231" s="35"/>
      <c r="BA231" s="35">
        <v>0</v>
      </c>
      <c r="BB231" s="35"/>
      <c r="BC231" s="35">
        <f t="shared" si="84"/>
        <v>0</v>
      </c>
      <c r="BD231" s="35">
        <v>0</v>
      </c>
      <c r="BE231" s="6"/>
      <c r="BF231" s="35">
        <f t="shared" si="85"/>
        <v>0</v>
      </c>
      <c r="BG231" s="6">
        <v>0</v>
      </c>
      <c r="BH231" s="35"/>
      <c r="BI231" s="6">
        <f t="shared" si="86"/>
        <v>0</v>
      </c>
      <c r="BJ231" s="35"/>
      <c r="BK231" s="35"/>
      <c r="BL231" s="6"/>
      <c r="BM231" s="35"/>
      <c r="BN231" s="35"/>
      <c r="BO231" s="6"/>
      <c r="BP231" s="35"/>
      <c r="BQ231" s="35"/>
      <c r="BR231" s="35"/>
      <c r="BS231" s="35"/>
      <c r="BT231" s="35"/>
      <c r="BU231" s="6"/>
      <c r="BV231" s="6"/>
      <c r="BW231" s="35"/>
      <c r="BX231" s="35"/>
      <c r="BY231" s="35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10"/>
      <c r="DH231" s="6"/>
      <c r="DI231" s="6"/>
      <c r="DJ231" s="10"/>
      <c r="DK231" s="6"/>
      <c r="DL231" s="6"/>
      <c r="DM231" s="10"/>
      <c r="DN231" s="6"/>
      <c r="DO231" s="6"/>
      <c r="DP231" s="10"/>
      <c r="DQ231" s="6"/>
    </row>
    <row r="232" spans="1:121">
      <c r="A232" s="151">
        <v>228</v>
      </c>
      <c r="B232" s="6">
        <v>7</v>
      </c>
      <c r="C232" s="10">
        <v>727</v>
      </c>
      <c r="D232" s="6">
        <v>222</v>
      </c>
      <c r="E232" s="141" t="s">
        <v>72</v>
      </c>
      <c r="F232" s="141" t="s">
        <v>72</v>
      </c>
      <c r="G232" s="141" t="s">
        <v>72</v>
      </c>
      <c r="H232" s="141" t="s">
        <v>72</v>
      </c>
      <c r="I232" s="141" t="s">
        <v>72</v>
      </c>
      <c r="J232" s="141" t="s">
        <v>72</v>
      </c>
      <c r="K232" s="141" t="s">
        <v>72</v>
      </c>
      <c r="L232" s="141" t="s">
        <v>72</v>
      </c>
      <c r="M232" s="141" t="s">
        <v>72</v>
      </c>
      <c r="N232" s="141" t="s">
        <v>72</v>
      </c>
      <c r="O232" s="141" t="s">
        <v>72</v>
      </c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  <c r="AE232" s="141"/>
      <c r="AF232" s="6">
        <v>272</v>
      </c>
      <c r="AG232" s="6"/>
      <c r="AH232" s="35">
        <f t="shared" si="78"/>
        <v>265</v>
      </c>
      <c r="AI232" s="35">
        <v>519</v>
      </c>
      <c r="AJ232" s="35"/>
      <c r="AK232" s="35">
        <f t="shared" si="79"/>
        <v>247</v>
      </c>
      <c r="AL232" s="6">
        <v>774</v>
      </c>
      <c r="AM232" s="6"/>
      <c r="AN232" s="35">
        <f t="shared" si="80"/>
        <v>255</v>
      </c>
      <c r="AO232" s="6">
        <v>152</v>
      </c>
      <c r="AP232" s="6">
        <v>870</v>
      </c>
      <c r="AQ232" s="34">
        <f t="shared" si="81"/>
        <v>248</v>
      </c>
      <c r="AR232" s="35">
        <v>403</v>
      </c>
      <c r="AS232" s="35"/>
      <c r="AT232" s="35">
        <f t="shared" si="82"/>
        <v>251</v>
      </c>
      <c r="AU232" s="6">
        <v>0</v>
      </c>
      <c r="AV232" s="35">
        <v>576</v>
      </c>
      <c r="AW232" s="35">
        <f t="shared" si="83"/>
        <v>173</v>
      </c>
      <c r="AX232" s="6"/>
      <c r="AY232" s="6"/>
      <c r="AZ232" s="35"/>
      <c r="BA232" s="35">
        <v>0</v>
      </c>
      <c r="BB232" s="35"/>
      <c r="BC232" s="35">
        <f t="shared" si="84"/>
        <v>0</v>
      </c>
      <c r="BD232" s="35">
        <v>0</v>
      </c>
      <c r="BE232" s="6"/>
      <c r="BF232" s="35">
        <f t="shared" si="85"/>
        <v>0</v>
      </c>
      <c r="BG232" s="6">
        <v>0</v>
      </c>
      <c r="BH232" s="35"/>
      <c r="BI232" s="6">
        <f t="shared" si="86"/>
        <v>0</v>
      </c>
      <c r="BJ232" s="35"/>
      <c r="BK232" s="35"/>
      <c r="BL232" s="6"/>
      <c r="BM232" s="35"/>
      <c r="BN232" s="35"/>
      <c r="BO232" s="6"/>
      <c r="BP232" s="35"/>
      <c r="BQ232" s="35"/>
      <c r="BR232" s="35"/>
      <c r="BS232" s="35"/>
      <c r="BT232" s="35"/>
      <c r="BU232" s="6"/>
      <c r="BV232" s="6"/>
      <c r="BW232" s="35"/>
      <c r="BX232" s="35"/>
      <c r="BY232" s="35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10"/>
      <c r="DH232" s="6"/>
      <c r="DI232" s="6"/>
      <c r="DJ232" s="10"/>
      <c r="DK232" s="6"/>
      <c r="DL232" s="6"/>
      <c r="DM232" s="10"/>
      <c r="DN232" s="6"/>
      <c r="DO232" s="6"/>
      <c r="DP232" s="10"/>
      <c r="DQ232" s="6"/>
    </row>
    <row r="233" spans="1:121">
      <c r="A233" s="151">
        <v>229</v>
      </c>
      <c r="B233" s="6">
        <v>734</v>
      </c>
      <c r="C233" s="10"/>
      <c r="D233" s="6">
        <v>224</v>
      </c>
      <c r="E233" s="33" t="s">
        <v>72</v>
      </c>
      <c r="F233" s="33" t="s">
        <v>72</v>
      </c>
      <c r="G233" s="33" t="s">
        <v>72</v>
      </c>
      <c r="H233" s="33" t="s">
        <v>72</v>
      </c>
      <c r="I233" s="33" t="s">
        <v>72</v>
      </c>
      <c r="J233" s="33" t="s">
        <v>72</v>
      </c>
      <c r="K233" s="33" t="s">
        <v>72</v>
      </c>
      <c r="L233" s="33" t="s">
        <v>72</v>
      </c>
      <c r="M233" s="33" t="s">
        <v>72</v>
      </c>
      <c r="N233" s="33" t="s">
        <v>72</v>
      </c>
      <c r="O233" s="33" t="s">
        <v>72</v>
      </c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6">
        <v>991</v>
      </c>
      <c r="AG233" s="6"/>
      <c r="AH233" s="35">
        <f t="shared" si="78"/>
        <v>257</v>
      </c>
      <c r="AI233" s="35">
        <v>137</v>
      </c>
      <c r="AJ233" s="35">
        <v>1100</v>
      </c>
      <c r="AK233" s="35">
        <f t="shared" si="79"/>
        <v>246</v>
      </c>
      <c r="AL233" s="6">
        <v>377</v>
      </c>
      <c r="AM233" s="6"/>
      <c r="AN233" s="35">
        <f t="shared" si="80"/>
        <v>240</v>
      </c>
      <c r="AO233" s="6">
        <v>627</v>
      </c>
      <c r="AP233" s="6"/>
      <c r="AQ233" s="34">
        <f t="shared" si="81"/>
        <v>250</v>
      </c>
      <c r="AR233" s="35">
        <v>880</v>
      </c>
      <c r="AS233" s="35"/>
      <c r="AT233" s="35">
        <f t="shared" si="82"/>
        <v>253</v>
      </c>
      <c r="AU233" s="6">
        <v>87</v>
      </c>
      <c r="AV233" s="6">
        <v>1025</v>
      </c>
      <c r="AW233" s="35">
        <f t="shared" si="83"/>
        <v>232</v>
      </c>
      <c r="AX233" s="6"/>
      <c r="AY233" s="6"/>
      <c r="AZ233" s="35"/>
      <c r="BA233" s="35">
        <v>0</v>
      </c>
      <c r="BB233" s="35">
        <v>190</v>
      </c>
      <c r="BC233" s="35">
        <f t="shared" si="84"/>
        <v>103</v>
      </c>
      <c r="BD233" s="35">
        <v>0</v>
      </c>
      <c r="BE233" s="6"/>
      <c r="BF233" s="35">
        <f t="shared" si="85"/>
        <v>0</v>
      </c>
      <c r="BG233" s="6">
        <v>0</v>
      </c>
      <c r="BH233" s="35"/>
      <c r="BI233" s="6">
        <f t="shared" si="86"/>
        <v>0</v>
      </c>
      <c r="BJ233" s="35"/>
      <c r="BK233" s="35"/>
      <c r="BL233" s="6"/>
      <c r="BM233" s="35"/>
      <c r="BN233" s="35"/>
      <c r="BO233" s="6"/>
      <c r="BP233" s="35"/>
      <c r="BQ233" s="35"/>
      <c r="BR233" s="35"/>
      <c r="BS233" s="35"/>
      <c r="BT233" s="35"/>
      <c r="BU233" s="6"/>
      <c r="BV233" s="6"/>
      <c r="BW233" s="35"/>
      <c r="BX233" s="35"/>
      <c r="BY233" s="35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10"/>
      <c r="DH233" s="6"/>
      <c r="DI233" s="6"/>
      <c r="DJ233" s="10"/>
      <c r="DK233" s="6"/>
      <c r="DL233" s="6"/>
      <c r="DM233" s="10"/>
      <c r="DN233" s="6"/>
      <c r="DO233" s="6"/>
      <c r="DP233" s="10"/>
      <c r="DQ233" s="6"/>
    </row>
    <row r="234" spans="1:121">
      <c r="A234" s="151">
        <v>230</v>
      </c>
      <c r="B234" s="6">
        <v>708</v>
      </c>
      <c r="C234" s="10"/>
      <c r="D234" s="6">
        <v>235</v>
      </c>
      <c r="E234" s="141" t="s">
        <v>72</v>
      </c>
      <c r="F234" s="141" t="s">
        <v>72</v>
      </c>
      <c r="G234" s="141" t="s">
        <v>72</v>
      </c>
      <c r="H234" s="141" t="s">
        <v>72</v>
      </c>
      <c r="I234" s="141" t="s">
        <v>72</v>
      </c>
      <c r="J234" s="141" t="s">
        <v>72</v>
      </c>
      <c r="K234" s="141" t="s">
        <v>72</v>
      </c>
      <c r="L234" s="141" t="s">
        <v>72</v>
      </c>
      <c r="M234" s="141" t="s">
        <v>72</v>
      </c>
      <c r="N234" s="141" t="s">
        <v>72</v>
      </c>
      <c r="O234" s="141" t="s">
        <v>72</v>
      </c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  <c r="AE234" s="141"/>
      <c r="AF234" s="6">
        <v>978</v>
      </c>
      <c r="AG234" s="6"/>
      <c r="AH234" s="35">
        <f t="shared" si="78"/>
        <v>270</v>
      </c>
      <c r="AI234" s="35">
        <v>124</v>
      </c>
      <c r="AJ234" s="35">
        <v>1100</v>
      </c>
      <c r="AK234" s="35">
        <f t="shared" si="79"/>
        <v>246</v>
      </c>
      <c r="AL234" s="6">
        <v>378</v>
      </c>
      <c r="AM234" s="6"/>
      <c r="AN234" s="35">
        <f t="shared" si="80"/>
        <v>254</v>
      </c>
      <c r="AO234" s="6">
        <v>632</v>
      </c>
      <c r="AP234" s="6"/>
      <c r="AQ234" s="34">
        <f t="shared" si="81"/>
        <v>254</v>
      </c>
      <c r="AR234" s="35">
        <v>880</v>
      </c>
      <c r="AS234" s="35"/>
      <c r="AT234" s="35">
        <f t="shared" si="82"/>
        <v>248</v>
      </c>
      <c r="AU234" s="6">
        <v>0</v>
      </c>
      <c r="AV234" s="6">
        <v>1025</v>
      </c>
      <c r="AW234" s="35">
        <f t="shared" si="83"/>
        <v>145</v>
      </c>
      <c r="AX234" s="6"/>
      <c r="AY234" s="6"/>
      <c r="AZ234" s="35"/>
      <c r="BA234" s="35">
        <v>0</v>
      </c>
      <c r="BB234" s="35"/>
      <c r="BC234" s="35">
        <f t="shared" si="84"/>
        <v>0</v>
      </c>
      <c r="BD234" s="35">
        <v>0</v>
      </c>
      <c r="BE234" s="6"/>
      <c r="BF234" s="35">
        <f t="shared" si="85"/>
        <v>0</v>
      </c>
      <c r="BG234" s="6">
        <v>0</v>
      </c>
      <c r="BH234" s="35"/>
      <c r="BI234" s="6">
        <f t="shared" si="86"/>
        <v>0</v>
      </c>
      <c r="BJ234" s="35"/>
      <c r="BK234" s="35"/>
      <c r="BL234" s="6"/>
      <c r="BM234" s="35"/>
      <c r="BN234" s="35"/>
      <c r="BO234" s="6"/>
      <c r="BP234" s="35"/>
      <c r="BQ234" s="35"/>
      <c r="BR234" s="35"/>
      <c r="BS234" s="35"/>
      <c r="BT234" s="35"/>
      <c r="BU234" s="6"/>
      <c r="BV234" s="6"/>
      <c r="BW234" s="35"/>
      <c r="BX234" s="35"/>
      <c r="BY234" s="35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10"/>
      <c r="DH234" s="6"/>
      <c r="DI234" s="6"/>
      <c r="DJ234" s="10"/>
      <c r="DK234" s="6"/>
      <c r="DL234" s="6"/>
      <c r="DM234" s="10"/>
      <c r="DN234" s="6"/>
      <c r="DO234" s="6"/>
      <c r="DP234" s="10"/>
      <c r="DQ234" s="6"/>
    </row>
    <row r="235" spans="1:121">
      <c r="A235" s="151">
        <v>231</v>
      </c>
      <c r="B235" s="6">
        <v>267</v>
      </c>
      <c r="C235" s="10"/>
      <c r="D235" s="6">
        <v>228</v>
      </c>
      <c r="E235" s="141" t="s">
        <v>72</v>
      </c>
      <c r="F235" s="141" t="s">
        <v>72</v>
      </c>
      <c r="G235" s="141" t="s">
        <v>72</v>
      </c>
      <c r="H235" s="141" t="s">
        <v>72</v>
      </c>
      <c r="I235" s="141" t="s">
        <v>72</v>
      </c>
      <c r="J235" s="141" t="s">
        <v>72</v>
      </c>
      <c r="K235" s="141" t="s">
        <v>72</v>
      </c>
      <c r="L235" s="141" t="s">
        <v>72</v>
      </c>
      <c r="M235" s="141" t="s">
        <v>72</v>
      </c>
      <c r="N235" s="141" t="s">
        <v>72</v>
      </c>
      <c r="O235" s="141" t="s">
        <v>72</v>
      </c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6">
        <v>530</v>
      </c>
      <c r="AG235" s="6"/>
      <c r="AH235" s="35">
        <f t="shared" si="78"/>
        <v>263</v>
      </c>
      <c r="AI235" s="35">
        <v>778</v>
      </c>
      <c r="AJ235" s="35"/>
      <c r="AK235" s="35">
        <f t="shared" si="79"/>
        <v>248</v>
      </c>
      <c r="AL235" s="6">
        <v>1029</v>
      </c>
      <c r="AM235" s="6"/>
      <c r="AN235" s="35">
        <f t="shared" si="80"/>
        <v>251</v>
      </c>
      <c r="AO235" s="6">
        <v>172</v>
      </c>
      <c r="AP235" s="6">
        <v>1100</v>
      </c>
      <c r="AQ235" s="34">
        <f t="shared" si="81"/>
        <v>243</v>
      </c>
      <c r="AR235" s="35">
        <v>416</v>
      </c>
      <c r="AS235" s="35"/>
      <c r="AT235" s="35">
        <f t="shared" si="82"/>
        <v>244</v>
      </c>
      <c r="AU235" s="6">
        <v>0</v>
      </c>
      <c r="AV235" s="6">
        <v>623</v>
      </c>
      <c r="AW235" s="35">
        <f t="shared" si="83"/>
        <v>207</v>
      </c>
      <c r="AX235" s="6"/>
      <c r="AY235" s="6"/>
      <c r="AZ235" s="35"/>
      <c r="BA235" s="35">
        <v>0</v>
      </c>
      <c r="BB235" s="35"/>
      <c r="BC235" s="35">
        <f t="shared" si="84"/>
        <v>0</v>
      </c>
      <c r="BD235" s="35">
        <v>0</v>
      </c>
      <c r="BE235" s="6"/>
      <c r="BF235" s="35">
        <f t="shared" si="85"/>
        <v>0</v>
      </c>
      <c r="BG235" s="6">
        <v>0</v>
      </c>
      <c r="BH235" s="35"/>
      <c r="BI235" s="6">
        <f t="shared" si="86"/>
        <v>0</v>
      </c>
      <c r="BJ235" s="35"/>
      <c r="BK235" s="35"/>
      <c r="BL235" s="6"/>
      <c r="BM235" s="35"/>
      <c r="BN235" s="35"/>
      <c r="BO235" s="6"/>
      <c r="BP235" s="35"/>
      <c r="BQ235" s="35"/>
      <c r="BR235" s="35"/>
      <c r="BS235" s="35"/>
      <c r="BT235" s="35"/>
      <c r="BU235" s="6"/>
      <c r="BV235" s="6"/>
      <c r="BW235" s="35"/>
      <c r="BX235" s="35"/>
      <c r="BY235" s="35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10"/>
      <c r="DH235" s="6"/>
      <c r="DI235" s="6"/>
      <c r="DJ235" s="10"/>
      <c r="DK235" s="6"/>
      <c r="DL235" s="6"/>
      <c r="DM235" s="10"/>
      <c r="DN235" s="6"/>
      <c r="DO235" s="6"/>
      <c r="DP235" s="10"/>
      <c r="DQ235" s="6"/>
    </row>
    <row r="236" spans="1:121">
      <c r="A236" s="151">
        <v>232</v>
      </c>
      <c r="B236" s="6">
        <v>693</v>
      </c>
      <c r="C236" s="10"/>
      <c r="D236" s="6">
        <v>232</v>
      </c>
      <c r="E236" s="33" t="s">
        <v>72</v>
      </c>
      <c r="F236" s="33" t="s">
        <v>72</v>
      </c>
      <c r="G236" s="33" t="s">
        <v>72</v>
      </c>
      <c r="H236" s="33" t="s">
        <v>72</v>
      </c>
      <c r="I236" s="33" t="s">
        <v>72</v>
      </c>
      <c r="J236" s="33" t="s">
        <v>72</v>
      </c>
      <c r="K236" s="33" t="s">
        <v>72</v>
      </c>
      <c r="L236" s="33" t="s">
        <v>72</v>
      </c>
      <c r="M236" s="33" t="s">
        <v>72</v>
      </c>
      <c r="N236" s="33" t="s">
        <v>72</v>
      </c>
      <c r="O236" s="33" t="s">
        <v>72</v>
      </c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6">
        <v>139</v>
      </c>
      <c r="AG236" s="6">
        <v>818</v>
      </c>
      <c r="AH236" s="35">
        <f t="shared" si="78"/>
        <v>264</v>
      </c>
      <c r="AI236" s="35">
        <v>393</v>
      </c>
      <c r="AJ236" s="35"/>
      <c r="AK236" s="35">
        <f t="shared" si="79"/>
        <v>254</v>
      </c>
      <c r="AL236" s="6">
        <v>647</v>
      </c>
      <c r="AM236" s="6"/>
      <c r="AN236" s="35">
        <f t="shared" si="80"/>
        <v>254</v>
      </c>
      <c r="AO236" s="6">
        <v>900</v>
      </c>
      <c r="AP236" s="6"/>
      <c r="AQ236" s="34">
        <f t="shared" si="81"/>
        <v>253</v>
      </c>
      <c r="AR236" s="35">
        <v>96</v>
      </c>
      <c r="AS236" s="35">
        <v>1043</v>
      </c>
      <c r="AT236" s="35">
        <f t="shared" si="82"/>
        <v>239</v>
      </c>
      <c r="AU236" s="6">
        <v>329</v>
      </c>
      <c r="AV236" s="35"/>
      <c r="AW236" s="35">
        <f t="shared" si="83"/>
        <v>233</v>
      </c>
      <c r="AX236" s="6"/>
      <c r="AY236" s="6"/>
      <c r="AZ236" s="35"/>
      <c r="BA236" s="35">
        <v>0</v>
      </c>
      <c r="BB236" s="35">
        <v>339</v>
      </c>
      <c r="BC236" s="35">
        <f t="shared" si="84"/>
        <v>10</v>
      </c>
      <c r="BD236" s="35">
        <v>0</v>
      </c>
      <c r="BE236" s="6"/>
      <c r="BF236" s="35">
        <f t="shared" si="85"/>
        <v>0</v>
      </c>
      <c r="BG236" s="6">
        <v>0</v>
      </c>
      <c r="BH236" s="35"/>
      <c r="BI236" s="6">
        <f t="shared" si="86"/>
        <v>0</v>
      </c>
      <c r="BJ236" s="35"/>
      <c r="BK236" s="35"/>
      <c r="BL236" s="6"/>
      <c r="BM236" s="35"/>
      <c r="BN236" s="35"/>
      <c r="BO236" s="6"/>
      <c r="BP236" s="35"/>
      <c r="BQ236" s="35"/>
      <c r="BR236" s="35"/>
      <c r="BS236" s="35"/>
      <c r="BT236" s="35"/>
      <c r="BU236" s="6"/>
      <c r="BV236" s="6"/>
      <c r="BW236" s="35"/>
      <c r="BX236" s="35"/>
      <c r="BY236" s="35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10"/>
      <c r="DH236" s="6"/>
      <c r="DI236" s="6"/>
      <c r="DJ236" s="10"/>
      <c r="DK236" s="6"/>
      <c r="DL236" s="6"/>
      <c r="DM236" s="10"/>
      <c r="DN236" s="6"/>
      <c r="DO236" s="6"/>
      <c r="DP236" s="10"/>
      <c r="DQ236" s="6"/>
    </row>
    <row r="237" spans="1:121">
      <c r="A237" s="151">
        <v>233</v>
      </c>
      <c r="B237" s="6">
        <v>45</v>
      </c>
      <c r="C237" s="10">
        <v>800</v>
      </c>
      <c r="D237" s="6">
        <v>237</v>
      </c>
      <c r="E237" s="141" t="s">
        <v>79</v>
      </c>
      <c r="F237" s="141" t="s">
        <v>79</v>
      </c>
      <c r="G237" s="141" t="s">
        <v>79</v>
      </c>
      <c r="H237" s="141" t="s">
        <v>79</v>
      </c>
      <c r="I237" s="141" t="s">
        <v>79</v>
      </c>
      <c r="J237" s="141" t="s">
        <v>79</v>
      </c>
      <c r="K237" s="141" t="s">
        <v>79</v>
      </c>
      <c r="L237" s="141" t="s">
        <v>79</v>
      </c>
      <c r="M237" s="141" t="s">
        <v>79</v>
      </c>
      <c r="N237" s="141" t="s">
        <v>79</v>
      </c>
      <c r="O237" s="141" t="s">
        <v>79</v>
      </c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6">
        <v>319</v>
      </c>
      <c r="AG237" s="6"/>
      <c r="AH237" s="35">
        <f t="shared" si="78"/>
        <v>274</v>
      </c>
      <c r="AI237" s="35">
        <v>576</v>
      </c>
      <c r="AJ237" s="35"/>
      <c r="AK237" s="35">
        <f t="shared" si="79"/>
        <v>257</v>
      </c>
      <c r="AL237" s="6">
        <v>0</v>
      </c>
      <c r="AM237" s="6">
        <v>795</v>
      </c>
      <c r="AN237" s="35">
        <f t="shared" si="80"/>
        <v>219</v>
      </c>
      <c r="AO237" s="6">
        <v>0</v>
      </c>
      <c r="AP237" s="6"/>
      <c r="AQ237" s="34">
        <f t="shared" si="81"/>
        <v>0</v>
      </c>
      <c r="AR237" s="35">
        <v>0</v>
      </c>
      <c r="AS237" s="35"/>
      <c r="AT237" s="35">
        <f t="shared" si="82"/>
        <v>0</v>
      </c>
      <c r="AU237" s="6">
        <v>0</v>
      </c>
      <c r="AV237" s="6"/>
      <c r="AW237" s="35">
        <f t="shared" si="83"/>
        <v>0</v>
      </c>
      <c r="AX237" s="6"/>
      <c r="AY237" s="6"/>
      <c r="AZ237" s="35"/>
      <c r="BA237" s="35">
        <v>0</v>
      </c>
      <c r="BB237" s="35"/>
      <c r="BC237" s="35">
        <f t="shared" si="84"/>
        <v>0</v>
      </c>
      <c r="BD237" s="35">
        <v>0</v>
      </c>
      <c r="BE237" s="6"/>
      <c r="BF237" s="35">
        <f t="shared" si="85"/>
        <v>0</v>
      </c>
      <c r="BG237" s="6"/>
      <c r="BH237" s="35"/>
      <c r="BI237" s="6"/>
      <c r="BJ237" s="35"/>
      <c r="BK237" s="35"/>
      <c r="BL237" s="6"/>
      <c r="BM237" s="35"/>
      <c r="BN237" s="35"/>
      <c r="BO237" s="6"/>
      <c r="BP237" s="35"/>
      <c r="BQ237" s="35"/>
      <c r="BR237" s="35"/>
      <c r="BS237" s="35"/>
      <c r="BT237" s="35"/>
      <c r="BU237" s="6"/>
      <c r="BV237" s="6"/>
      <c r="BW237" s="35"/>
      <c r="BX237" s="35"/>
      <c r="BY237" s="35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10"/>
      <c r="DH237" s="6"/>
      <c r="DI237" s="6"/>
      <c r="DJ237" s="10"/>
      <c r="DK237" s="6"/>
      <c r="DL237" s="6"/>
      <c r="DM237" s="10"/>
      <c r="DN237" s="6"/>
      <c r="DO237" s="6"/>
      <c r="DP237" s="10"/>
      <c r="DQ237" s="6"/>
    </row>
    <row r="238" spans="1:121">
      <c r="A238" s="151">
        <v>234</v>
      </c>
      <c r="B238" s="6">
        <v>259</v>
      </c>
      <c r="C238" s="10"/>
      <c r="D238" s="6">
        <v>230</v>
      </c>
      <c r="E238" s="33" t="s">
        <v>79</v>
      </c>
      <c r="F238" s="33" t="s">
        <v>79</v>
      </c>
      <c r="G238" s="33" t="s">
        <v>79</v>
      </c>
      <c r="H238" s="33" t="s">
        <v>79</v>
      </c>
      <c r="I238" s="33" t="s">
        <v>79</v>
      </c>
      <c r="J238" s="33" t="s">
        <v>79</v>
      </c>
      <c r="K238" s="33" t="s">
        <v>79</v>
      </c>
      <c r="L238" s="33" t="s">
        <v>79</v>
      </c>
      <c r="M238" s="33" t="s">
        <v>79</v>
      </c>
      <c r="N238" s="33" t="s">
        <v>79</v>
      </c>
      <c r="O238" s="33" t="s">
        <v>79</v>
      </c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6">
        <v>528</v>
      </c>
      <c r="AG238" s="6"/>
      <c r="AH238" s="35">
        <f t="shared" si="78"/>
        <v>269</v>
      </c>
      <c r="AI238" s="35">
        <v>781</v>
      </c>
      <c r="AJ238" s="35"/>
      <c r="AK238" s="35">
        <f t="shared" si="79"/>
        <v>253</v>
      </c>
      <c r="AL238" s="6">
        <v>237</v>
      </c>
      <c r="AM238" s="6">
        <v>800</v>
      </c>
      <c r="AN238" s="35">
        <f t="shared" si="80"/>
        <v>256</v>
      </c>
      <c r="AO238" s="6">
        <v>490</v>
      </c>
      <c r="AP238" s="6"/>
      <c r="AQ238" s="34">
        <f t="shared" si="81"/>
        <v>253</v>
      </c>
      <c r="AR238" s="35">
        <v>744</v>
      </c>
      <c r="AS238" s="35"/>
      <c r="AT238" s="35">
        <f t="shared" si="82"/>
        <v>254</v>
      </c>
      <c r="AU238" s="35">
        <v>181</v>
      </c>
      <c r="AV238" s="6">
        <v>800</v>
      </c>
      <c r="AW238" s="35">
        <f t="shared" si="83"/>
        <v>237</v>
      </c>
      <c r="AX238" s="6"/>
      <c r="AY238" s="6"/>
      <c r="AZ238" s="35"/>
      <c r="BA238" s="35">
        <v>430</v>
      </c>
      <c r="BB238" s="35"/>
      <c r="BC238" s="35">
        <f t="shared" si="84"/>
        <v>249</v>
      </c>
      <c r="BD238" s="35">
        <v>0</v>
      </c>
      <c r="BE238" s="6">
        <v>637</v>
      </c>
      <c r="BF238" s="35">
        <f t="shared" si="85"/>
        <v>207</v>
      </c>
      <c r="BG238" s="6"/>
      <c r="BH238" s="35"/>
      <c r="BI238" s="6"/>
      <c r="BJ238" s="35"/>
      <c r="BK238" s="35"/>
      <c r="BL238" s="6"/>
      <c r="BM238" s="35"/>
      <c r="BN238" s="35"/>
      <c r="BO238" s="6"/>
      <c r="BP238" s="35"/>
      <c r="BQ238" s="35"/>
      <c r="BR238" s="35"/>
      <c r="BS238" s="35"/>
      <c r="BT238" s="35"/>
      <c r="BU238" s="6"/>
      <c r="BV238" s="6"/>
      <c r="BW238" s="35"/>
      <c r="BX238" s="35"/>
      <c r="BY238" s="35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10"/>
      <c r="DH238" s="6"/>
      <c r="DI238" s="6"/>
      <c r="DJ238" s="10"/>
      <c r="DK238" s="6"/>
      <c r="DL238" s="6"/>
      <c r="DM238" s="10"/>
      <c r="DN238" s="6"/>
      <c r="DO238" s="6"/>
      <c r="DP238" s="10"/>
      <c r="DQ238" s="6"/>
    </row>
    <row r="239" spans="1:121">
      <c r="A239" s="151">
        <v>235</v>
      </c>
      <c r="B239" s="6">
        <v>693</v>
      </c>
      <c r="C239" s="10"/>
      <c r="D239" s="6">
        <v>235</v>
      </c>
      <c r="E239" s="141" t="s">
        <v>79</v>
      </c>
      <c r="F239" s="141" t="s">
        <v>79</v>
      </c>
      <c r="G239" s="141" t="s">
        <v>79</v>
      </c>
      <c r="H239" s="141" t="s">
        <v>79</v>
      </c>
      <c r="I239" s="141" t="s">
        <v>79</v>
      </c>
      <c r="J239" s="141" t="s">
        <v>79</v>
      </c>
      <c r="K239" s="141" t="s">
        <v>79</v>
      </c>
      <c r="L239" s="141" t="s">
        <v>79</v>
      </c>
      <c r="M239" s="141" t="s">
        <v>79</v>
      </c>
      <c r="N239" s="141" t="s">
        <v>79</v>
      </c>
      <c r="O239" s="141" t="s">
        <v>79</v>
      </c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6">
        <v>0</v>
      </c>
      <c r="AG239" s="6">
        <v>857</v>
      </c>
      <c r="AH239" s="35">
        <f t="shared" si="78"/>
        <v>164</v>
      </c>
      <c r="AI239" s="35">
        <v>0</v>
      </c>
      <c r="AJ239" s="35"/>
      <c r="AK239" s="35">
        <f t="shared" si="79"/>
        <v>0</v>
      </c>
      <c r="AL239" s="6">
        <v>0</v>
      </c>
      <c r="AM239" s="6"/>
      <c r="AN239" s="35">
        <f t="shared" si="80"/>
        <v>0</v>
      </c>
      <c r="AO239" s="6">
        <v>0</v>
      </c>
      <c r="AP239" s="6"/>
      <c r="AQ239" s="34">
        <f t="shared" si="81"/>
        <v>0</v>
      </c>
      <c r="AR239" s="35">
        <v>0</v>
      </c>
      <c r="AS239" s="35"/>
      <c r="AT239" s="35">
        <f t="shared" si="82"/>
        <v>0</v>
      </c>
      <c r="AU239" s="6">
        <v>0</v>
      </c>
      <c r="AV239" s="6"/>
      <c r="AW239" s="35">
        <f t="shared" si="83"/>
        <v>0</v>
      </c>
      <c r="AX239" s="6"/>
      <c r="AY239" s="6"/>
      <c r="AZ239" s="35"/>
      <c r="BA239" s="35">
        <v>0</v>
      </c>
      <c r="BB239" s="35"/>
      <c r="BC239" s="35">
        <f t="shared" si="84"/>
        <v>0</v>
      </c>
      <c r="BD239" s="35">
        <v>0</v>
      </c>
      <c r="BE239" s="6"/>
      <c r="BF239" s="35">
        <f t="shared" si="85"/>
        <v>0</v>
      </c>
      <c r="BG239" s="6"/>
      <c r="BH239" s="6"/>
      <c r="BI239" s="6"/>
      <c r="BJ239" s="6"/>
      <c r="BK239" s="6"/>
      <c r="BL239" s="6"/>
      <c r="BM239" s="35"/>
      <c r="BN239" s="35"/>
      <c r="BO239" s="6"/>
      <c r="BP239" s="35"/>
      <c r="BQ239" s="35"/>
      <c r="BR239" s="35"/>
      <c r="BS239" s="35"/>
      <c r="BT239" s="35"/>
      <c r="BU239" s="6"/>
      <c r="BV239" s="35"/>
      <c r="BW239" s="35"/>
      <c r="BX239" s="35"/>
      <c r="BY239" s="35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10"/>
      <c r="DH239" s="6"/>
      <c r="DI239" s="6"/>
      <c r="DJ239" s="10"/>
      <c r="DK239" s="6"/>
      <c r="DL239" s="6"/>
      <c r="DM239" s="10"/>
      <c r="DN239" s="6"/>
      <c r="DO239" s="6"/>
      <c r="DP239" s="10"/>
      <c r="DQ239" s="6"/>
    </row>
    <row r="240" spans="1:121">
      <c r="A240" s="151">
        <v>236</v>
      </c>
      <c r="B240" s="6">
        <v>531</v>
      </c>
      <c r="C240" s="10"/>
      <c r="D240" s="6">
        <v>233</v>
      </c>
      <c r="E240" s="141" t="s">
        <v>79</v>
      </c>
      <c r="F240" s="141" t="s">
        <v>79</v>
      </c>
      <c r="G240" s="141" t="s">
        <v>79</v>
      </c>
      <c r="H240" s="141" t="s">
        <v>79</v>
      </c>
      <c r="I240" s="141" t="s">
        <v>79</v>
      </c>
      <c r="J240" s="141" t="s">
        <v>79</v>
      </c>
      <c r="K240" s="141" t="s">
        <v>79</v>
      </c>
      <c r="L240" s="141" t="s">
        <v>79</v>
      </c>
      <c r="M240" s="141" t="s">
        <v>79</v>
      </c>
      <c r="N240" s="141" t="s">
        <v>79</v>
      </c>
      <c r="O240" s="141" t="s">
        <v>79</v>
      </c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  <c r="AE240" s="141"/>
      <c r="AF240" s="6">
        <v>802</v>
      </c>
      <c r="AG240" s="6"/>
      <c r="AH240" s="35">
        <f t="shared" si="78"/>
        <v>271</v>
      </c>
      <c r="AI240" s="35">
        <v>0</v>
      </c>
      <c r="AJ240" s="35">
        <v>938</v>
      </c>
      <c r="AK240" s="35">
        <f t="shared" si="79"/>
        <v>136</v>
      </c>
      <c r="AL240" s="6">
        <v>0</v>
      </c>
      <c r="AM240" s="6"/>
      <c r="AN240" s="35">
        <f t="shared" si="80"/>
        <v>0</v>
      </c>
      <c r="AO240" s="6">
        <v>0</v>
      </c>
      <c r="AP240" s="6"/>
      <c r="AQ240" s="34">
        <f t="shared" si="81"/>
        <v>0</v>
      </c>
      <c r="AR240" s="35">
        <v>0</v>
      </c>
      <c r="AS240" s="35"/>
      <c r="AT240" s="35">
        <f t="shared" si="82"/>
        <v>0</v>
      </c>
      <c r="AU240" s="6">
        <v>0</v>
      </c>
      <c r="AV240" s="6"/>
      <c r="AW240" s="35">
        <f t="shared" si="83"/>
        <v>0</v>
      </c>
      <c r="AX240" s="6"/>
      <c r="AY240" s="6"/>
      <c r="AZ240" s="35"/>
      <c r="BA240" s="35">
        <v>0</v>
      </c>
      <c r="BB240" s="35"/>
      <c r="BC240" s="35">
        <f t="shared" si="84"/>
        <v>0</v>
      </c>
      <c r="BD240" s="35">
        <v>0</v>
      </c>
      <c r="BE240" s="6"/>
      <c r="BF240" s="35">
        <f t="shared" si="85"/>
        <v>0</v>
      </c>
      <c r="BG240" s="6"/>
      <c r="BH240" s="6"/>
      <c r="BI240" s="6"/>
      <c r="BJ240" s="6"/>
      <c r="BK240" s="6"/>
      <c r="BL240" s="6"/>
      <c r="BM240" s="35"/>
      <c r="BN240" s="35"/>
      <c r="BO240" s="6"/>
      <c r="BP240" s="35"/>
      <c r="BQ240" s="35"/>
      <c r="BR240" s="35"/>
      <c r="BS240" s="35"/>
      <c r="BT240" s="35"/>
      <c r="BU240" s="6"/>
      <c r="BV240" s="35"/>
      <c r="BW240" s="35"/>
      <c r="BX240" s="35"/>
      <c r="BY240" s="35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10"/>
      <c r="DH240" s="6"/>
      <c r="DI240" s="6"/>
      <c r="DJ240" s="10"/>
      <c r="DK240" s="6"/>
      <c r="DL240" s="6"/>
      <c r="DM240" s="10"/>
      <c r="DN240" s="6"/>
      <c r="DO240" s="6"/>
      <c r="DP240" s="10"/>
      <c r="DQ240" s="6"/>
    </row>
    <row r="241" spans="1:121">
      <c r="A241" s="151">
        <v>237</v>
      </c>
      <c r="B241" s="6">
        <v>441</v>
      </c>
      <c r="C241" s="10"/>
      <c r="D241" s="6">
        <v>231</v>
      </c>
      <c r="E241" s="141" t="s">
        <v>79</v>
      </c>
      <c r="F241" s="141" t="s">
        <v>79</v>
      </c>
      <c r="G241" s="141" t="s">
        <v>79</v>
      </c>
      <c r="H241" s="141" t="s">
        <v>79</v>
      </c>
      <c r="I241" s="141" t="s">
        <v>79</v>
      </c>
      <c r="J241" s="141" t="s">
        <v>79</v>
      </c>
      <c r="K241" s="141" t="s">
        <v>79</v>
      </c>
      <c r="L241" s="141" t="s">
        <v>79</v>
      </c>
      <c r="M241" s="141" t="s">
        <v>79</v>
      </c>
      <c r="N241" s="141" t="s">
        <v>79</v>
      </c>
      <c r="O241" s="141" t="s">
        <v>79</v>
      </c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6">
        <v>709</v>
      </c>
      <c r="AG241" s="6"/>
      <c r="AH241" s="35">
        <f t="shared" si="78"/>
        <v>268</v>
      </c>
      <c r="AI241" s="35">
        <v>0</v>
      </c>
      <c r="AJ241" s="35">
        <v>729</v>
      </c>
      <c r="AK241" s="35">
        <f t="shared" si="79"/>
        <v>20</v>
      </c>
      <c r="AL241" s="6">
        <v>0</v>
      </c>
      <c r="AM241" s="6"/>
      <c r="AN241" s="35">
        <f t="shared" si="80"/>
        <v>0</v>
      </c>
      <c r="AO241" s="6">
        <v>0</v>
      </c>
      <c r="AP241" s="6"/>
      <c r="AQ241" s="34">
        <f t="shared" si="81"/>
        <v>0</v>
      </c>
      <c r="AR241" s="35">
        <v>0</v>
      </c>
      <c r="AS241" s="35"/>
      <c r="AT241" s="35">
        <f t="shared" si="82"/>
        <v>0</v>
      </c>
      <c r="AU241" s="6">
        <v>0</v>
      </c>
      <c r="AV241" s="6"/>
      <c r="AW241" s="35">
        <f t="shared" si="83"/>
        <v>0</v>
      </c>
      <c r="AX241" s="6"/>
      <c r="AY241" s="6"/>
      <c r="AZ241" s="35"/>
      <c r="BA241" s="35">
        <v>0</v>
      </c>
      <c r="BB241" s="35"/>
      <c r="BC241" s="35">
        <f t="shared" si="84"/>
        <v>0</v>
      </c>
      <c r="BD241" s="35">
        <v>0</v>
      </c>
      <c r="BE241" s="6"/>
      <c r="BF241" s="35">
        <f t="shared" si="85"/>
        <v>0</v>
      </c>
      <c r="BG241" s="6"/>
      <c r="BH241" s="6"/>
      <c r="BI241" s="6"/>
      <c r="BJ241" s="6"/>
      <c r="BK241" s="6"/>
      <c r="BL241" s="6"/>
      <c r="BM241" s="35"/>
      <c r="BN241" s="35"/>
      <c r="BO241" s="6"/>
      <c r="BP241" s="35"/>
      <c r="BQ241" s="35"/>
      <c r="BR241" s="35"/>
      <c r="BS241" s="35"/>
      <c r="BT241" s="35"/>
      <c r="BU241" s="6"/>
      <c r="BV241" s="35"/>
      <c r="BW241" s="35"/>
      <c r="BX241" s="35"/>
      <c r="BY241" s="35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10"/>
      <c r="DH241" s="6"/>
      <c r="DI241" s="6"/>
      <c r="DJ241" s="10"/>
      <c r="DK241" s="6"/>
      <c r="DL241" s="6"/>
      <c r="DM241" s="10"/>
      <c r="DN241" s="6"/>
      <c r="DO241" s="6"/>
      <c r="DP241" s="10"/>
      <c r="DQ241" s="6"/>
    </row>
    <row r="242" spans="1:121">
      <c r="A242" s="151">
        <v>238</v>
      </c>
      <c r="B242" s="6">
        <v>437</v>
      </c>
      <c r="C242" s="10"/>
      <c r="D242" s="6">
        <v>231</v>
      </c>
      <c r="E242" s="141" t="s">
        <v>79</v>
      </c>
      <c r="F242" s="141" t="s">
        <v>79</v>
      </c>
      <c r="G242" s="141" t="s">
        <v>79</v>
      </c>
      <c r="H242" s="141" t="s">
        <v>79</v>
      </c>
      <c r="I242" s="141" t="s">
        <v>79</v>
      </c>
      <c r="J242" s="141" t="s">
        <v>79</v>
      </c>
      <c r="K242" s="141" t="s">
        <v>79</v>
      </c>
      <c r="L242" s="141" t="s">
        <v>79</v>
      </c>
      <c r="M242" s="141" t="s">
        <v>79</v>
      </c>
      <c r="N242" s="141" t="s">
        <v>79</v>
      </c>
      <c r="O242" s="141" t="s">
        <v>79</v>
      </c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  <c r="AE242" s="141"/>
      <c r="AF242" s="6">
        <v>707</v>
      </c>
      <c r="AG242" s="6"/>
      <c r="AH242" s="35">
        <f t="shared" si="78"/>
        <v>270</v>
      </c>
      <c r="AI242" s="35">
        <v>0</v>
      </c>
      <c r="AJ242" s="35">
        <v>793</v>
      </c>
      <c r="AK242" s="35">
        <f t="shared" si="79"/>
        <v>86</v>
      </c>
      <c r="AL242" s="6">
        <v>0</v>
      </c>
      <c r="AM242" s="6"/>
      <c r="AN242" s="35">
        <f t="shared" si="80"/>
        <v>0</v>
      </c>
      <c r="AO242" s="6">
        <v>0</v>
      </c>
      <c r="AP242" s="6"/>
      <c r="AQ242" s="34">
        <f t="shared" si="81"/>
        <v>0</v>
      </c>
      <c r="AR242" s="35">
        <v>0</v>
      </c>
      <c r="AS242" s="35"/>
      <c r="AT242" s="35">
        <f t="shared" si="82"/>
        <v>0</v>
      </c>
      <c r="AU242" s="6">
        <v>0</v>
      </c>
      <c r="AV242" s="6"/>
      <c r="AW242" s="35">
        <f t="shared" si="83"/>
        <v>0</v>
      </c>
      <c r="AX242" s="6"/>
      <c r="AY242" s="6"/>
      <c r="AZ242" s="35"/>
      <c r="BA242" s="35">
        <v>0</v>
      </c>
      <c r="BB242" s="35"/>
      <c r="BC242" s="35">
        <f t="shared" si="84"/>
        <v>0</v>
      </c>
      <c r="BD242" s="35">
        <v>0</v>
      </c>
      <c r="BE242" s="6"/>
      <c r="BF242" s="35">
        <f t="shared" si="85"/>
        <v>0</v>
      </c>
      <c r="BG242" s="6"/>
      <c r="BH242" s="6"/>
      <c r="BI242" s="6"/>
      <c r="BJ242" s="6"/>
      <c r="BK242" s="6"/>
      <c r="BL242" s="6"/>
      <c r="BM242" s="35"/>
      <c r="BN242" s="35"/>
      <c r="BO242" s="6"/>
      <c r="BP242" s="35"/>
      <c r="BQ242" s="35"/>
      <c r="BR242" s="35"/>
      <c r="BS242" s="35"/>
      <c r="BT242" s="35"/>
      <c r="BU242" s="6"/>
      <c r="BV242" s="35"/>
      <c r="BW242" s="35"/>
      <c r="BX242" s="35"/>
      <c r="BY242" s="35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10"/>
      <c r="DH242" s="6"/>
      <c r="DI242" s="6"/>
      <c r="DJ242" s="10"/>
      <c r="DK242" s="6"/>
      <c r="DL242" s="6"/>
      <c r="DM242" s="10"/>
      <c r="DN242" s="6"/>
      <c r="DO242" s="6"/>
      <c r="DP242" s="10"/>
      <c r="DQ242" s="6"/>
    </row>
    <row r="243" spans="1:121">
      <c r="A243" s="151">
        <v>239</v>
      </c>
      <c r="B243" s="6">
        <v>432</v>
      </c>
      <c r="C243" s="10"/>
      <c r="D243" s="6">
        <v>234</v>
      </c>
      <c r="E243" s="141" t="s">
        <v>75</v>
      </c>
      <c r="F243" s="141" t="s">
        <v>75</v>
      </c>
      <c r="G243" s="141" t="s">
        <v>75</v>
      </c>
      <c r="H243" s="141" t="s">
        <v>75</v>
      </c>
      <c r="I243" s="141" t="s">
        <v>75</v>
      </c>
      <c r="J243" s="141" t="s">
        <v>75</v>
      </c>
      <c r="K243" s="141" t="s">
        <v>75</v>
      </c>
      <c r="L243" s="141" t="s">
        <v>75</v>
      </c>
      <c r="M243" s="141" t="s">
        <v>75</v>
      </c>
      <c r="N243" s="141" t="s">
        <v>75</v>
      </c>
      <c r="O243" s="141" t="s">
        <v>75</v>
      </c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/>
      <c r="AE243" s="141"/>
      <c r="AF243" s="6">
        <v>0</v>
      </c>
      <c r="AG243" s="6">
        <v>697</v>
      </c>
      <c r="AH243" s="35">
        <f t="shared" si="78"/>
        <v>265</v>
      </c>
      <c r="AI243" s="35">
        <v>0</v>
      </c>
      <c r="AJ243" s="35"/>
      <c r="AK243" s="35">
        <f t="shared" si="79"/>
        <v>0</v>
      </c>
      <c r="AL243" s="6">
        <v>0</v>
      </c>
      <c r="AM243" s="6"/>
      <c r="AN243" s="35">
        <f t="shared" si="80"/>
        <v>0</v>
      </c>
      <c r="AO243" s="6">
        <v>0</v>
      </c>
      <c r="AP243" s="6"/>
      <c r="AQ243" s="34">
        <f t="shared" si="81"/>
        <v>0</v>
      </c>
      <c r="AR243" s="35">
        <v>0</v>
      </c>
      <c r="AS243" s="35"/>
      <c r="AT243" s="35">
        <f t="shared" si="82"/>
        <v>0</v>
      </c>
      <c r="AU243" s="6">
        <v>0</v>
      </c>
      <c r="AV243" s="6"/>
      <c r="AW243" s="35">
        <f t="shared" si="83"/>
        <v>0</v>
      </c>
      <c r="AX243" s="6"/>
      <c r="AY243" s="6"/>
      <c r="AZ243" s="35"/>
      <c r="BA243" s="35">
        <v>0</v>
      </c>
      <c r="BB243" s="35"/>
      <c r="BC243" s="35">
        <f t="shared" si="84"/>
        <v>0</v>
      </c>
      <c r="BD243" s="35">
        <v>0</v>
      </c>
      <c r="BE243" s="6"/>
      <c r="BF243" s="35">
        <f t="shared" si="85"/>
        <v>0</v>
      </c>
      <c r="BG243" s="6">
        <v>0</v>
      </c>
      <c r="BH243" s="6"/>
      <c r="BI243" s="6">
        <f t="shared" si="86"/>
        <v>0</v>
      </c>
      <c r="BJ243" s="6"/>
      <c r="BK243" s="6"/>
      <c r="BL243" s="6"/>
      <c r="BM243" s="35"/>
      <c r="BN243" s="35"/>
      <c r="BO243" s="6"/>
      <c r="BP243" s="35"/>
      <c r="BQ243" s="35"/>
      <c r="BR243" s="35"/>
      <c r="BS243" s="35"/>
      <c r="BT243" s="35"/>
      <c r="BU243" s="6"/>
      <c r="BV243" s="6"/>
      <c r="BW243" s="35"/>
      <c r="BX243" s="35"/>
      <c r="BY243" s="35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10"/>
      <c r="DH243" s="6"/>
      <c r="DI243" s="6"/>
      <c r="DJ243" s="10"/>
      <c r="DK243" s="6"/>
      <c r="DL243" s="6"/>
      <c r="DM243" s="10"/>
      <c r="DN243" s="6"/>
      <c r="DO243" s="6"/>
      <c r="DP243" s="10"/>
      <c r="DQ243" s="6"/>
    </row>
    <row r="244" spans="1:121">
      <c r="A244" s="151">
        <v>240</v>
      </c>
      <c r="B244" s="6">
        <v>0</v>
      </c>
      <c r="C244" s="10">
        <v>328</v>
      </c>
      <c r="D244" s="6">
        <v>134</v>
      </c>
      <c r="E244" s="141" t="s">
        <v>75</v>
      </c>
      <c r="F244" s="141" t="s">
        <v>75</v>
      </c>
      <c r="G244" s="141" t="s">
        <v>75</v>
      </c>
      <c r="H244" s="141" t="s">
        <v>75</v>
      </c>
      <c r="I244" s="141" t="s">
        <v>75</v>
      </c>
      <c r="J244" s="141" t="s">
        <v>75</v>
      </c>
      <c r="K244" s="141" t="s">
        <v>75</v>
      </c>
      <c r="L244" s="141" t="s">
        <v>75</v>
      </c>
      <c r="M244" s="141" t="s">
        <v>75</v>
      </c>
      <c r="N244" s="141" t="s">
        <v>75</v>
      </c>
      <c r="O244" s="141" t="s">
        <v>75</v>
      </c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6">
        <v>0</v>
      </c>
      <c r="AG244" s="6"/>
      <c r="AH244" s="35">
        <f t="shared" si="78"/>
        <v>0</v>
      </c>
      <c r="AI244" s="35">
        <v>0</v>
      </c>
      <c r="AJ244" s="35"/>
      <c r="AK244" s="35">
        <f t="shared" si="79"/>
        <v>0</v>
      </c>
      <c r="AL244" s="6">
        <v>0</v>
      </c>
      <c r="AM244" s="6"/>
      <c r="AN244" s="35">
        <f t="shared" si="80"/>
        <v>0</v>
      </c>
      <c r="AO244" s="6">
        <v>0</v>
      </c>
      <c r="AP244" s="6"/>
      <c r="AQ244" s="34">
        <f t="shared" si="81"/>
        <v>0</v>
      </c>
      <c r="AR244" s="35">
        <v>0</v>
      </c>
      <c r="AS244" s="35"/>
      <c r="AT244" s="35">
        <f t="shared" si="82"/>
        <v>0</v>
      </c>
      <c r="AU244" s="6">
        <v>0</v>
      </c>
      <c r="AV244" s="6"/>
      <c r="AW244" s="35">
        <f t="shared" si="83"/>
        <v>0</v>
      </c>
      <c r="AX244" s="6"/>
      <c r="AY244" s="6"/>
      <c r="AZ244" s="35"/>
      <c r="BA244" s="35">
        <v>0</v>
      </c>
      <c r="BB244" s="35"/>
      <c r="BC244" s="35">
        <f t="shared" si="84"/>
        <v>0</v>
      </c>
      <c r="BD244" s="35">
        <v>0</v>
      </c>
      <c r="BE244" s="6"/>
      <c r="BF244" s="35">
        <f t="shared" si="85"/>
        <v>0</v>
      </c>
      <c r="BG244" s="6">
        <v>0</v>
      </c>
      <c r="BH244" s="6"/>
      <c r="BI244" s="6">
        <f t="shared" si="86"/>
        <v>0</v>
      </c>
      <c r="BJ244" s="6"/>
      <c r="BK244" s="6"/>
      <c r="BL244" s="6"/>
      <c r="BM244" s="35"/>
      <c r="BN244" s="35"/>
      <c r="BO244" s="6"/>
      <c r="BP244" s="35"/>
      <c r="BQ244" s="35"/>
      <c r="BR244" s="35"/>
      <c r="BS244" s="35"/>
      <c r="BT244" s="35"/>
      <c r="BU244" s="6"/>
      <c r="BV244" s="6"/>
      <c r="BW244" s="35"/>
      <c r="BX244" s="35"/>
      <c r="BY244" s="35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10"/>
      <c r="DH244" s="6"/>
      <c r="DI244" s="6"/>
      <c r="DJ244" s="10"/>
      <c r="DK244" s="6"/>
      <c r="DL244" s="6"/>
      <c r="DM244" s="10"/>
      <c r="DN244" s="6"/>
      <c r="DO244" s="6"/>
      <c r="DP244" s="10"/>
      <c r="DQ244" s="6"/>
    </row>
    <row r="245" spans="1:121">
      <c r="A245" s="151">
        <v>241</v>
      </c>
      <c r="B245" s="6">
        <v>423</v>
      </c>
      <c r="C245" s="10"/>
      <c r="D245" s="6">
        <v>231</v>
      </c>
      <c r="E245" s="141" t="s">
        <v>75</v>
      </c>
      <c r="F245" s="141" t="s">
        <v>75</v>
      </c>
      <c r="G245" s="141" t="s">
        <v>75</v>
      </c>
      <c r="H245" s="141" t="s">
        <v>75</v>
      </c>
      <c r="I245" s="141" t="s">
        <v>75</v>
      </c>
      <c r="J245" s="141" t="s">
        <v>75</v>
      </c>
      <c r="K245" s="141" t="s">
        <v>75</v>
      </c>
      <c r="L245" s="141" t="s">
        <v>75</v>
      </c>
      <c r="M245" s="141" t="s">
        <v>75</v>
      </c>
      <c r="N245" s="141" t="s">
        <v>75</v>
      </c>
      <c r="O245" s="141" t="s">
        <v>75</v>
      </c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6">
        <v>0</v>
      </c>
      <c r="AG245" s="6">
        <v>423</v>
      </c>
      <c r="AH245" s="35">
        <f t="shared" si="78"/>
        <v>0</v>
      </c>
      <c r="AI245" s="35">
        <v>0</v>
      </c>
      <c r="AJ245" s="35"/>
      <c r="AK245" s="35">
        <f t="shared" si="79"/>
        <v>0</v>
      </c>
      <c r="AL245" s="6">
        <v>0</v>
      </c>
      <c r="AM245" s="6"/>
      <c r="AN245" s="35">
        <f t="shared" si="80"/>
        <v>0</v>
      </c>
      <c r="AO245" s="6">
        <v>0</v>
      </c>
      <c r="AP245" s="6"/>
      <c r="AQ245" s="34">
        <f t="shared" si="81"/>
        <v>0</v>
      </c>
      <c r="AR245" s="35">
        <v>0</v>
      </c>
      <c r="AS245" s="35"/>
      <c r="AT245" s="35">
        <f t="shared" si="82"/>
        <v>0</v>
      </c>
      <c r="AU245" s="6">
        <v>0</v>
      </c>
      <c r="AV245" s="6"/>
      <c r="AW245" s="35">
        <f t="shared" si="83"/>
        <v>0</v>
      </c>
      <c r="AX245" s="6"/>
      <c r="AY245" s="6"/>
      <c r="AZ245" s="35"/>
      <c r="BA245" s="35">
        <v>0</v>
      </c>
      <c r="BB245" s="35"/>
      <c r="BC245" s="35">
        <f t="shared" si="84"/>
        <v>0</v>
      </c>
      <c r="BD245" s="35">
        <v>0</v>
      </c>
      <c r="BE245" s="6"/>
      <c r="BF245" s="35">
        <f t="shared" si="85"/>
        <v>0</v>
      </c>
      <c r="BG245" s="6">
        <v>0</v>
      </c>
      <c r="BH245" s="6"/>
      <c r="BI245" s="6">
        <f t="shared" si="86"/>
        <v>0</v>
      </c>
      <c r="BJ245" s="6"/>
      <c r="BK245" s="6"/>
      <c r="BL245" s="6"/>
      <c r="BM245" s="35"/>
      <c r="BN245" s="35"/>
      <c r="BO245" s="6"/>
      <c r="BP245" s="35"/>
      <c r="BQ245" s="35"/>
      <c r="BR245" s="35"/>
      <c r="BS245" s="35"/>
      <c r="BT245" s="35"/>
      <c r="BU245" s="6"/>
      <c r="BV245" s="6"/>
      <c r="BW245" s="35"/>
      <c r="BX245" s="35"/>
      <c r="BY245" s="35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10"/>
      <c r="DH245" s="6"/>
      <c r="DI245" s="6"/>
      <c r="DJ245" s="10"/>
      <c r="DK245" s="6"/>
      <c r="DL245" s="6"/>
      <c r="DM245" s="10"/>
      <c r="DN245" s="6"/>
      <c r="DO245" s="6"/>
      <c r="DP245" s="10"/>
      <c r="DQ245" s="6"/>
    </row>
    <row r="246" spans="1:121">
      <c r="A246" s="151">
        <v>242</v>
      </c>
      <c r="B246" s="6">
        <v>428</v>
      </c>
      <c r="C246" s="10"/>
      <c r="D246" s="6">
        <v>228</v>
      </c>
      <c r="E246" s="141" t="s">
        <v>75</v>
      </c>
      <c r="F246" s="163" t="s">
        <v>75</v>
      </c>
      <c r="G246" s="141" t="s">
        <v>75</v>
      </c>
      <c r="H246" s="141" t="s">
        <v>75</v>
      </c>
      <c r="I246" s="141" t="s">
        <v>75</v>
      </c>
      <c r="J246" s="141" t="s">
        <v>75</v>
      </c>
      <c r="K246" s="141" t="s">
        <v>75</v>
      </c>
      <c r="L246" s="141" t="s">
        <v>75</v>
      </c>
      <c r="M246" s="141" t="s">
        <v>75</v>
      </c>
      <c r="N246" s="141" t="s">
        <v>75</v>
      </c>
      <c r="O246" s="141" t="s">
        <v>75</v>
      </c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  <c r="AF246" s="6">
        <v>251</v>
      </c>
      <c r="AG246" s="6">
        <v>435</v>
      </c>
      <c r="AH246" s="35">
        <f t="shared" si="78"/>
        <v>258</v>
      </c>
      <c r="AI246" s="35">
        <v>503</v>
      </c>
      <c r="AJ246" s="35"/>
      <c r="AK246" s="35">
        <f t="shared" si="79"/>
        <v>252</v>
      </c>
      <c r="AL246" s="6">
        <v>760</v>
      </c>
      <c r="AM246" s="6"/>
      <c r="AN246" s="35">
        <f t="shared" si="80"/>
        <v>257</v>
      </c>
      <c r="AO246" s="6">
        <v>1016</v>
      </c>
      <c r="AP246" s="6"/>
      <c r="AQ246" s="34">
        <f t="shared" si="81"/>
        <v>256</v>
      </c>
      <c r="AR246" s="35">
        <v>175</v>
      </c>
      <c r="AS246" s="35">
        <v>1100</v>
      </c>
      <c r="AT246" s="35">
        <f t="shared" si="82"/>
        <v>259</v>
      </c>
      <c r="AU246" s="6">
        <v>420</v>
      </c>
      <c r="AV246" s="6"/>
      <c r="AW246" s="35">
        <f t="shared" si="83"/>
        <v>245</v>
      </c>
      <c r="AX246" s="6"/>
      <c r="AY246" s="6"/>
      <c r="AZ246" s="35"/>
      <c r="BA246" s="35">
        <v>681</v>
      </c>
      <c r="BB246" s="35"/>
      <c r="BC246" s="35">
        <f t="shared" si="84"/>
        <v>261</v>
      </c>
      <c r="BD246" s="35">
        <v>937</v>
      </c>
      <c r="BE246" s="6"/>
      <c r="BF246" s="35">
        <f t="shared" si="85"/>
        <v>256</v>
      </c>
      <c r="BG246" s="6">
        <v>0</v>
      </c>
      <c r="BH246" s="6">
        <v>962</v>
      </c>
      <c r="BI246" s="6">
        <f t="shared" si="86"/>
        <v>25</v>
      </c>
      <c r="BJ246" s="6"/>
      <c r="BK246" s="6"/>
      <c r="BL246" s="6"/>
      <c r="BM246" s="35"/>
      <c r="BN246" s="35"/>
      <c r="BO246" s="6"/>
      <c r="BP246" s="35"/>
      <c r="BQ246" s="35"/>
      <c r="BR246" s="35"/>
      <c r="BS246" s="35"/>
      <c r="BT246" s="35"/>
      <c r="BU246" s="6"/>
      <c r="BV246" s="6"/>
      <c r="BW246" s="35"/>
      <c r="BX246" s="35"/>
      <c r="BY246" s="35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10"/>
      <c r="DH246" s="6"/>
      <c r="DI246" s="6"/>
      <c r="DJ246" s="10"/>
      <c r="DK246" s="6"/>
      <c r="DL246" s="6"/>
      <c r="DM246" s="10"/>
      <c r="DN246" s="6"/>
      <c r="DO246" s="6"/>
      <c r="DP246" s="10"/>
      <c r="DQ246" s="6"/>
    </row>
    <row r="247" spans="1:121">
      <c r="A247" s="151">
        <v>243</v>
      </c>
      <c r="B247" s="6">
        <v>429</v>
      </c>
      <c r="C247" s="10"/>
      <c r="D247" s="6">
        <v>229</v>
      </c>
      <c r="E247" s="141" t="s">
        <v>79</v>
      </c>
      <c r="F247" s="141" t="s">
        <v>79</v>
      </c>
      <c r="G247" s="141" t="s">
        <v>79</v>
      </c>
      <c r="H247" s="141" t="s">
        <v>79</v>
      </c>
      <c r="I247" s="141" t="s">
        <v>79</v>
      </c>
      <c r="J247" s="141" t="s">
        <v>79</v>
      </c>
      <c r="K247" s="141" t="s">
        <v>79</v>
      </c>
      <c r="L247" s="141" t="s">
        <v>79</v>
      </c>
      <c r="M247" s="141" t="s">
        <v>79</v>
      </c>
      <c r="N247" s="141" t="s">
        <v>79</v>
      </c>
      <c r="O247" s="141" t="s">
        <v>79</v>
      </c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6">
        <v>694</v>
      </c>
      <c r="AG247" s="6"/>
      <c r="AH247" s="35">
        <f t="shared" si="78"/>
        <v>265</v>
      </c>
      <c r="AI247" s="35">
        <v>0</v>
      </c>
      <c r="AJ247" s="35">
        <v>833</v>
      </c>
      <c r="AK247" s="35">
        <f t="shared" si="79"/>
        <v>139</v>
      </c>
      <c r="AL247" s="6">
        <v>0</v>
      </c>
      <c r="AM247" s="6"/>
      <c r="AN247" s="35">
        <f t="shared" si="80"/>
        <v>0</v>
      </c>
      <c r="AO247" s="6">
        <v>0</v>
      </c>
      <c r="AP247" s="6"/>
      <c r="AQ247" s="34">
        <f t="shared" si="81"/>
        <v>0</v>
      </c>
      <c r="AR247" s="35">
        <v>0</v>
      </c>
      <c r="AS247" s="35"/>
      <c r="AT247" s="35">
        <f t="shared" si="82"/>
        <v>0</v>
      </c>
      <c r="AU247" s="6">
        <v>0</v>
      </c>
      <c r="AV247" s="6"/>
      <c r="AW247" s="35">
        <f t="shared" si="83"/>
        <v>0</v>
      </c>
      <c r="AX247" s="6"/>
      <c r="AY247" s="6"/>
      <c r="AZ247" s="35"/>
      <c r="BA247" s="35">
        <v>0</v>
      </c>
      <c r="BB247" s="35"/>
      <c r="BC247" s="35">
        <f t="shared" si="84"/>
        <v>0</v>
      </c>
      <c r="BD247" s="35">
        <v>0</v>
      </c>
      <c r="BE247" s="6"/>
      <c r="BF247" s="35">
        <f t="shared" si="85"/>
        <v>0</v>
      </c>
      <c r="BG247" s="6"/>
      <c r="BH247" s="6"/>
      <c r="BI247" s="6"/>
      <c r="BJ247" s="6"/>
      <c r="BK247" s="6"/>
      <c r="BL247" s="6"/>
      <c r="BM247" s="35"/>
      <c r="BN247" s="35"/>
      <c r="BO247" s="6"/>
      <c r="BP247" s="35"/>
      <c r="BQ247" s="35"/>
      <c r="BR247" s="35"/>
      <c r="BS247" s="35"/>
      <c r="BT247" s="35"/>
      <c r="BU247" s="6"/>
      <c r="BV247" s="6"/>
      <c r="BW247" s="35"/>
      <c r="BX247" s="35"/>
      <c r="BY247" s="35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10"/>
      <c r="DH247" s="6"/>
      <c r="DI247" s="6"/>
      <c r="DJ247" s="10"/>
      <c r="DK247" s="6"/>
      <c r="DL247" s="6"/>
      <c r="DM247" s="10"/>
      <c r="DN247" s="6"/>
      <c r="DO247" s="6"/>
      <c r="DP247" s="10"/>
      <c r="DQ247" s="6"/>
    </row>
    <row r="248" spans="1:121">
      <c r="A248" s="151">
        <v>244</v>
      </c>
      <c r="B248" s="6">
        <v>411</v>
      </c>
      <c r="C248" s="10"/>
      <c r="D248" s="6">
        <v>227</v>
      </c>
      <c r="E248" s="141" t="s">
        <v>75</v>
      </c>
      <c r="F248" s="141" t="s">
        <v>75</v>
      </c>
      <c r="G248" s="141" t="s">
        <v>75</v>
      </c>
      <c r="H248" s="141" t="s">
        <v>75</v>
      </c>
      <c r="I248" s="141" t="s">
        <v>75</v>
      </c>
      <c r="J248" s="141" t="s">
        <v>75</v>
      </c>
      <c r="K248" s="141" t="s">
        <v>75</v>
      </c>
      <c r="L248" s="141" t="s">
        <v>75</v>
      </c>
      <c r="M248" s="141" t="s">
        <v>75</v>
      </c>
      <c r="N248" s="141" t="s">
        <v>75</v>
      </c>
      <c r="O248" s="141" t="s">
        <v>75</v>
      </c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  <c r="AF248" s="6">
        <v>679</v>
      </c>
      <c r="AG248" s="6"/>
      <c r="AH248" s="35">
        <f t="shared" si="78"/>
        <v>268</v>
      </c>
      <c r="AI248" s="35">
        <v>929</v>
      </c>
      <c r="AJ248" s="35"/>
      <c r="AK248" s="35">
        <f t="shared" si="79"/>
        <v>250</v>
      </c>
      <c r="AL248" s="35">
        <v>71</v>
      </c>
      <c r="AM248" s="6">
        <v>1100</v>
      </c>
      <c r="AN248" s="35">
        <f t="shared" si="80"/>
        <v>242</v>
      </c>
      <c r="AO248" s="6">
        <v>323</v>
      </c>
      <c r="AP248" s="6"/>
      <c r="AQ248" s="34">
        <f t="shared" si="81"/>
        <v>252</v>
      </c>
      <c r="AR248" s="35">
        <v>573</v>
      </c>
      <c r="AS248" s="35"/>
      <c r="AT248" s="35">
        <f t="shared" si="82"/>
        <v>250</v>
      </c>
      <c r="AU248" s="6">
        <v>807</v>
      </c>
      <c r="AV248" s="6"/>
      <c r="AW248" s="35">
        <f t="shared" si="83"/>
        <v>234</v>
      </c>
      <c r="AX248" s="6"/>
      <c r="AY248" s="6"/>
      <c r="AZ248" s="35"/>
      <c r="BA248" s="35">
        <v>0</v>
      </c>
      <c r="BB248" s="35">
        <v>937</v>
      </c>
      <c r="BC248" s="35">
        <f t="shared" si="84"/>
        <v>130</v>
      </c>
      <c r="BD248" s="35">
        <v>0</v>
      </c>
      <c r="BE248" s="6"/>
      <c r="BF248" s="35">
        <f t="shared" si="85"/>
        <v>0</v>
      </c>
      <c r="BG248" s="6">
        <v>0</v>
      </c>
      <c r="BH248" s="6"/>
      <c r="BI248" s="6">
        <f t="shared" si="86"/>
        <v>0</v>
      </c>
      <c r="BJ248" s="6"/>
      <c r="BK248" s="35"/>
      <c r="BL248" s="6"/>
      <c r="BM248" s="35"/>
      <c r="BN248" s="35"/>
      <c r="BO248" s="6"/>
      <c r="BP248" s="35"/>
      <c r="BQ248" s="35"/>
      <c r="BR248" s="35"/>
      <c r="BS248" s="35"/>
      <c r="BT248" s="35"/>
      <c r="BU248" s="6"/>
      <c r="BV248" s="6"/>
      <c r="BW248" s="35"/>
      <c r="BX248" s="35"/>
      <c r="BY248" s="35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10"/>
      <c r="DH248" s="6"/>
      <c r="DI248" s="6"/>
      <c r="DJ248" s="10"/>
      <c r="DK248" s="6"/>
      <c r="DL248" s="6"/>
      <c r="DM248" s="10"/>
      <c r="DN248" s="6"/>
      <c r="DO248" s="6"/>
      <c r="DP248" s="10"/>
      <c r="DQ248" s="6"/>
    </row>
    <row r="249" spans="1:121">
      <c r="A249" s="151">
        <v>245</v>
      </c>
      <c r="B249" s="6">
        <v>455</v>
      </c>
      <c r="C249" s="10"/>
      <c r="D249" s="6">
        <v>230</v>
      </c>
      <c r="E249" s="141" t="s">
        <v>79</v>
      </c>
      <c r="F249" s="141" t="s">
        <v>79</v>
      </c>
      <c r="G249" s="141" t="s">
        <v>79</v>
      </c>
      <c r="H249" s="141" t="s">
        <v>79</v>
      </c>
      <c r="I249" s="141" t="s">
        <v>79</v>
      </c>
      <c r="J249" s="141" t="s">
        <v>79</v>
      </c>
      <c r="K249" s="141" t="s">
        <v>79</v>
      </c>
      <c r="L249" s="141" t="s">
        <v>79</v>
      </c>
      <c r="M249" s="141" t="s">
        <v>79</v>
      </c>
      <c r="N249" s="141" t="s">
        <v>79</v>
      </c>
      <c r="O249" s="141" t="s">
        <v>79</v>
      </c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6">
        <v>726</v>
      </c>
      <c r="AG249" s="6"/>
      <c r="AH249" s="35">
        <f t="shared" si="78"/>
        <v>271</v>
      </c>
      <c r="AI249" s="35">
        <v>0</v>
      </c>
      <c r="AJ249" s="35">
        <v>795</v>
      </c>
      <c r="AK249" s="35">
        <f t="shared" si="79"/>
        <v>69</v>
      </c>
      <c r="AL249" s="6">
        <v>0</v>
      </c>
      <c r="AM249" s="6"/>
      <c r="AN249" s="35">
        <f t="shared" si="80"/>
        <v>0</v>
      </c>
      <c r="AO249" s="6">
        <v>0</v>
      </c>
      <c r="AP249" s="6"/>
      <c r="AQ249" s="34">
        <f t="shared" si="81"/>
        <v>0</v>
      </c>
      <c r="AR249" s="35">
        <v>0</v>
      </c>
      <c r="AS249" s="35"/>
      <c r="AT249" s="35">
        <f t="shared" si="82"/>
        <v>0</v>
      </c>
      <c r="AU249" s="6">
        <v>0</v>
      </c>
      <c r="AV249" s="6"/>
      <c r="AW249" s="35">
        <f t="shared" si="83"/>
        <v>0</v>
      </c>
      <c r="AX249" s="6"/>
      <c r="AY249" s="6"/>
      <c r="AZ249" s="35"/>
      <c r="BA249" s="35">
        <v>0</v>
      </c>
      <c r="BB249" s="35"/>
      <c r="BC249" s="35">
        <f t="shared" si="84"/>
        <v>0</v>
      </c>
      <c r="BD249" s="35">
        <v>0</v>
      </c>
      <c r="BE249" s="6"/>
      <c r="BF249" s="35">
        <f t="shared" si="85"/>
        <v>0</v>
      </c>
      <c r="BG249" s="6"/>
      <c r="BH249" s="6"/>
      <c r="BI249" s="6"/>
      <c r="BJ249" s="6"/>
      <c r="BK249" s="6"/>
      <c r="BL249" s="6"/>
      <c r="BM249" s="35"/>
      <c r="BN249" s="35"/>
      <c r="BO249" s="6"/>
      <c r="BP249" s="35"/>
      <c r="BQ249" s="35"/>
      <c r="BR249" s="35"/>
      <c r="BS249" s="35"/>
      <c r="BT249" s="35"/>
      <c r="BU249" s="6"/>
      <c r="BV249" s="6"/>
      <c r="BW249" s="35"/>
      <c r="BX249" s="35"/>
      <c r="BY249" s="35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10"/>
      <c r="DH249" s="6"/>
      <c r="DI249" s="6"/>
      <c r="DJ249" s="10"/>
      <c r="DK249" s="6"/>
      <c r="DL249" s="6"/>
      <c r="DM249" s="10"/>
      <c r="DN249" s="6"/>
      <c r="DO249" s="6"/>
      <c r="DP249" s="10"/>
      <c r="DQ249" s="6"/>
    </row>
    <row r="250" spans="1:121">
      <c r="A250" s="151">
        <v>246</v>
      </c>
      <c r="B250" s="6">
        <v>363</v>
      </c>
      <c r="C250" s="10"/>
      <c r="D250" s="6">
        <v>231</v>
      </c>
      <c r="E250" s="141" t="s">
        <v>75</v>
      </c>
      <c r="F250" s="141" t="s">
        <v>75</v>
      </c>
      <c r="G250" s="163" t="s">
        <v>75</v>
      </c>
      <c r="H250" s="141" t="s">
        <v>75</v>
      </c>
      <c r="I250" s="141" t="s">
        <v>75</v>
      </c>
      <c r="J250" s="141" t="s">
        <v>75</v>
      </c>
      <c r="K250" s="141" t="s">
        <v>75</v>
      </c>
      <c r="L250" s="141" t="s">
        <v>75</v>
      </c>
      <c r="M250" s="141" t="s">
        <v>75</v>
      </c>
      <c r="N250" s="141" t="s">
        <v>75</v>
      </c>
      <c r="O250" s="141" t="s">
        <v>75</v>
      </c>
      <c r="P250" s="141" t="s">
        <v>75</v>
      </c>
      <c r="Q250" s="141" t="s">
        <v>75</v>
      </c>
      <c r="R250" s="141" t="s">
        <v>75</v>
      </c>
      <c r="S250" s="141" t="s">
        <v>75</v>
      </c>
      <c r="T250" s="141" t="s">
        <v>75</v>
      </c>
      <c r="U250" s="141" t="s">
        <v>75</v>
      </c>
      <c r="V250" s="141" t="s">
        <v>75</v>
      </c>
      <c r="W250" s="141" t="s">
        <v>75</v>
      </c>
      <c r="X250" s="141" t="s">
        <v>75</v>
      </c>
      <c r="Y250" s="141" t="s">
        <v>75</v>
      </c>
      <c r="Z250" s="141" t="s">
        <v>75</v>
      </c>
      <c r="AA250" s="163" t="s">
        <v>75</v>
      </c>
      <c r="AB250" s="141" t="s">
        <v>75</v>
      </c>
      <c r="AC250" s="141" t="s">
        <v>75</v>
      </c>
      <c r="AD250" s="141" t="s">
        <v>75</v>
      </c>
      <c r="AE250" s="141" t="s">
        <v>75</v>
      </c>
      <c r="AF250" s="6">
        <v>0</v>
      </c>
      <c r="AG250" s="6">
        <v>628</v>
      </c>
      <c r="AH250" s="35">
        <f t="shared" si="78"/>
        <v>265</v>
      </c>
      <c r="AI250" s="35">
        <v>228</v>
      </c>
      <c r="AJ250" s="35"/>
      <c r="AK250" s="35">
        <f t="shared" si="79"/>
        <v>228</v>
      </c>
      <c r="AL250" s="6">
        <v>472</v>
      </c>
      <c r="AM250" s="6"/>
      <c r="AN250" s="35">
        <f t="shared" si="80"/>
        <v>244</v>
      </c>
      <c r="AO250" s="6">
        <v>719</v>
      </c>
      <c r="AP250" s="6"/>
      <c r="AQ250" s="34">
        <f t="shared" si="81"/>
        <v>247</v>
      </c>
      <c r="AR250" s="35">
        <v>963</v>
      </c>
      <c r="AS250" s="35"/>
      <c r="AT250" s="35">
        <f t="shared" si="82"/>
        <v>244</v>
      </c>
      <c r="AU250" s="6">
        <v>98</v>
      </c>
      <c r="AV250" s="6">
        <v>1100</v>
      </c>
      <c r="AW250" s="35">
        <f t="shared" si="83"/>
        <v>235</v>
      </c>
      <c r="AX250" s="6"/>
      <c r="AY250" s="6"/>
      <c r="AZ250" s="35"/>
      <c r="BA250" s="35">
        <v>348</v>
      </c>
      <c r="BB250" s="35"/>
      <c r="BC250" s="35">
        <f t="shared" si="84"/>
        <v>250</v>
      </c>
      <c r="BD250" s="35">
        <v>590</v>
      </c>
      <c r="BE250" s="6"/>
      <c r="BF250" s="35">
        <f t="shared" si="85"/>
        <v>242</v>
      </c>
      <c r="BG250" s="6">
        <v>833</v>
      </c>
      <c r="BH250" s="6"/>
      <c r="BI250" s="6">
        <f t="shared" si="86"/>
        <v>243</v>
      </c>
      <c r="BJ250" s="6">
        <v>1080</v>
      </c>
      <c r="BK250" s="6"/>
      <c r="BL250" s="6">
        <f t="shared" si="87"/>
        <v>247</v>
      </c>
      <c r="BM250" s="35">
        <v>222</v>
      </c>
      <c r="BN250" s="35">
        <v>1100</v>
      </c>
      <c r="BO250" s="6">
        <f t="shared" si="88"/>
        <v>242</v>
      </c>
      <c r="BP250" s="35">
        <v>453</v>
      </c>
      <c r="BQ250" s="35"/>
      <c r="BR250" s="35">
        <f t="shared" si="89"/>
        <v>231</v>
      </c>
      <c r="BS250" s="35"/>
      <c r="BT250" s="35"/>
      <c r="BU250" s="6"/>
      <c r="BV250" s="6">
        <v>698</v>
      </c>
      <c r="BW250" s="35"/>
      <c r="BX250" s="35">
        <f t="shared" si="90"/>
        <v>245</v>
      </c>
      <c r="BY250" s="6">
        <v>153</v>
      </c>
      <c r="BZ250" s="6">
        <v>789</v>
      </c>
      <c r="CA250" s="6">
        <f t="shared" si="91"/>
        <v>244</v>
      </c>
      <c r="CB250" s="6">
        <v>61</v>
      </c>
      <c r="CC250" s="6">
        <v>332</v>
      </c>
      <c r="CD250" s="6">
        <f t="shared" si="92"/>
        <v>240</v>
      </c>
      <c r="CE250" s="6">
        <v>307</v>
      </c>
      <c r="CF250" s="6"/>
      <c r="CG250" s="6">
        <f t="shared" si="93"/>
        <v>246</v>
      </c>
      <c r="CH250" s="6">
        <v>547</v>
      </c>
      <c r="CI250" s="6"/>
      <c r="CJ250" s="6">
        <f t="shared" si="94"/>
        <v>240</v>
      </c>
      <c r="CK250" s="6">
        <v>781</v>
      </c>
      <c r="CL250" s="6"/>
      <c r="CM250" s="6">
        <f t="shared" si="95"/>
        <v>234</v>
      </c>
      <c r="CN250" s="6"/>
      <c r="CO250" s="6"/>
      <c r="CP250" s="6"/>
      <c r="CQ250" s="6">
        <v>1033</v>
      </c>
      <c r="CR250" s="6"/>
      <c r="CS250" s="6">
        <f t="shared" si="96"/>
        <v>252</v>
      </c>
      <c r="CT250" s="6">
        <v>177</v>
      </c>
      <c r="CU250" s="6">
        <v>1100</v>
      </c>
      <c r="CV250" s="6">
        <f t="shared" si="97"/>
        <v>244</v>
      </c>
      <c r="CW250" s="6">
        <v>342</v>
      </c>
      <c r="CX250" s="6"/>
      <c r="CY250" s="6">
        <f t="shared" si="98"/>
        <v>165</v>
      </c>
      <c r="CZ250" s="6">
        <v>233</v>
      </c>
      <c r="DA250" s="6">
        <v>342</v>
      </c>
      <c r="DB250" s="6">
        <f t="shared" si="99"/>
        <v>233</v>
      </c>
      <c r="DC250" s="6">
        <v>478</v>
      </c>
      <c r="DD250" s="6"/>
      <c r="DE250" s="6">
        <f t="shared" si="100"/>
        <v>245</v>
      </c>
      <c r="DF250" s="6">
        <v>711</v>
      </c>
      <c r="DG250" s="10"/>
      <c r="DH250" s="6">
        <f>DG250+DF250-DC250</f>
        <v>233</v>
      </c>
      <c r="DI250" s="6"/>
      <c r="DJ250" s="10"/>
      <c r="DK250" s="6"/>
      <c r="DL250" s="6">
        <v>958</v>
      </c>
      <c r="DM250" s="10"/>
      <c r="DN250" s="6">
        <f>DM250+DL250-DF250</f>
        <v>247</v>
      </c>
      <c r="DO250" s="6">
        <v>87</v>
      </c>
      <c r="DP250" s="10">
        <v>1100</v>
      </c>
      <c r="DQ250" s="6">
        <f>DP250+DO250-DL250</f>
        <v>229</v>
      </c>
    </row>
    <row r="251" spans="1:121">
      <c r="A251" s="151">
        <v>247</v>
      </c>
      <c r="B251" s="6">
        <v>430</v>
      </c>
      <c r="C251" s="10"/>
      <c r="D251" s="6">
        <v>234</v>
      </c>
      <c r="E251" s="141" t="s">
        <v>79</v>
      </c>
      <c r="F251" s="141" t="s">
        <v>79</v>
      </c>
      <c r="G251" s="141" t="s">
        <v>79</v>
      </c>
      <c r="H251" s="141" t="s">
        <v>79</v>
      </c>
      <c r="I251" s="141" t="s">
        <v>79</v>
      </c>
      <c r="J251" s="141" t="s">
        <v>79</v>
      </c>
      <c r="K251" s="141" t="s">
        <v>79</v>
      </c>
      <c r="L251" s="141" t="s">
        <v>79</v>
      </c>
      <c r="M251" s="141" t="s">
        <v>79</v>
      </c>
      <c r="N251" s="141" t="s">
        <v>79</v>
      </c>
      <c r="O251" s="141" t="s">
        <v>79</v>
      </c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63" t="s">
        <v>79</v>
      </c>
      <c r="AF251" s="6">
        <v>705</v>
      </c>
      <c r="AG251" s="6"/>
      <c r="AH251" s="35">
        <f t="shared" si="78"/>
        <v>275</v>
      </c>
      <c r="AI251" s="35">
        <v>962</v>
      </c>
      <c r="AJ251" s="35"/>
      <c r="AK251" s="35">
        <f t="shared" si="79"/>
        <v>257</v>
      </c>
      <c r="AL251" s="6">
        <v>0</v>
      </c>
      <c r="AM251" s="6">
        <v>971</v>
      </c>
      <c r="AN251" s="35">
        <f t="shared" si="80"/>
        <v>9</v>
      </c>
      <c r="AO251" s="6">
        <v>0</v>
      </c>
      <c r="AP251" s="6"/>
      <c r="AQ251" s="34">
        <f t="shared" si="81"/>
        <v>0</v>
      </c>
      <c r="AR251" s="35">
        <v>0</v>
      </c>
      <c r="AS251" s="35"/>
      <c r="AT251" s="35">
        <f t="shared" si="82"/>
        <v>0</v>
      </c>
      <c r="AU251" s="6">
        <v>0</v>
      </c>
      <c r="AV251" s="6"/>
      <c r="AW251" s="35">
        <f t="shared" si="83"/>
        <v>0</v>
      </c>
      <c r="AX251" s="6"/>
      <c r="AY251" s="6"/>
      <c r="AZ251" s="35"/>
      <c r="BA251" s="35">
        <v>0</v>
      </c>
      <c r="BB251" s="35"/>
      <c r="BC251" s="35">
        <f t="shared" si="84"/>
        <v>0</v>
      </c>
      <c r="BD251" s="35">
        <v>0</v>
      </c>
      <c r="BE251" s="6"/>
      <c r="BF251" s="35">
        <f t="shared" si="85"/>
        <v>0</v>
      </c>
      <c r="BG251" s="6"/>
      <c r="BH251" s="6"/>
      <c r="BI251" s="6"/>
      <c r="BJ251" s="6"/>
      <c r="BK251" s="6"/>
      <c r="BL251" s="6"/>
      <c r="BM251" s="35"/>
      <c r="BN251" s="35"/>
      <c r="BO251" s="6"/>
      <c r="BP251" s="35"/>
      <c r="BQ251" s="35"/>
      <c r="BR251" s="35"/>
      <c r="BS251" s="35"/>
      <c r="BT251" s="35"/>
      <c r="BU251" s="6"/>
      <c r="BV251" s="6"/>
      <c r="BW251" s="6"/>
      <c r="BX251" s="35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>
        <f t="shared" si="99"/>
        <v>0</v>
      </c>
      <c r="DC251" s="6"/>
      <c r="DD251" s="6"/>
      <c r="DE251" s="6"/>
      <c r="DF251" s="6"/>
      <c r="DG251" s="10"/>
      <c r="DH251" s="6"/>
      <c r="DI251" s="6"/>
      <c r="DJ251" s="10"/>
      <c r="DK251" s="6"/>
      <c r="DL251" s="6"/>
      <c r="DM251" s="10"/>
      <c r="DN251" s="6"/>
      <c r="DO251" s="6">
        <v>174</v>
      </c>
      <c r="DP251" s="10"/>
      <c r="DQ251" s="6">
        <f>DP251+DO251-DL251</f>
        <v>174</v>
      </c>
    </row>
    <row r="252" spans="1:121">
      <c r="A252" s="151">
        <v>248</v>
      </c>
      <c r="B252" s="6">
        <v>425</v>
      </c>
      <c r="C252" s="10"/>
      <c r="D252" s="6">
        <v>236</v>
      </c>
      <c r="E252" s="141" t="s">
        <v>75</v>
      </c>
      <c r="F252" s="141" t="s">
        <v>75</v>
      </c>
      <c r="G252" s="141" t="s">
        <v>75</v>
      </c>
      <c r="H252" s="163" t="s">
        <v>75</v>
      </c>
      <c r="I252" s="141" t="s">
        <v>75</v>
      </c>
      <c r="J252" s="141" t="s">
        <v>75</v>
      </c>
      <c r="K252" s="141" t="s">
        <v>75</v>
      </c>
      <c r="L252" s="141" t="s">
        <v>75</v>
      </c>
      <c r="M252" s="141" t="s">
        <v>75</v>
      </c>
      <c r="N252" s="141" t="s">
        <v>75</v>
      </c>
      <c r="O252" s="141" t="s">
        <v>75</v>
      </c>
      <c r="P252" s="141" t="s">
        <v>75</v>
      </c>
      <c r="Q252" s="141" t="s">
        <v>75</v>
      </c>
      <c r="R252" s="141" t="s">
        <v>75</v>
      </c>
      <c r="S252" s="141" t="s">
        <v>75</v>
      </c>
      <c r="T252" s="141" t="s">
        <v>75</v>
      </c>
      <c r="U252" s="141" t="s">
        <v>75</v>
      </c>
      <c r="V252" s="141" t="s">
        <v>75</v>
      </c>
      <c r="W252" s="141" t="s">
        <v>75</v>
      </c>
      <c r="X252" s="141" t="s">
        <v>75</v>
      </c>
      <c r="Y252" s="141" t="s">
        <v>75</v>
      </c>
      <c r="Z252" s="141" t="s">
        <v>75</v>
      </c>
      <c r="AA252" s="141" t="s">
        <v>75</v>
      </c>
      <c r="AB252" s="141" t="s">
        <v>75</v>
      </c>
      <c r="AC252" s="141" t="s">
        <v>75</v>
      </c>
      <c r="AD252" s="141" t="s">
        <v>75</v>
      </c>
      <c r="AE252" s="141" t="s">
        <v>75</v>
      </c>
      <c r="AF252" s="6">
        <v>700</v>
      </c>
      <c r="AG252" s="6"/>
      <c r="AH252" s="35">
        <f t="shared" si="78"/>
        <v>275</v>
      </c>
      <c r="AI252" s="35">
        <v>0</v>
      </c>
      <c r="AJ252" s="35">
        <v>951</v>
      </c>
      <c r="AK252" s="35">
        <f t="shared" si="79"/>
        <v>251</v>
      </c>
      <c r="AL252" s="6">
        <v>246</v>
      </c>
      <c r="AM252" s="6"/>
      <c r="AN252" s="35">
        <f t="shared" si="80"/>
        <v>246</v>
      </c>
      <c r="AO252" s="6">
        <v>506</v>
      </c>
      <c r="AP252" s="6"/>
      <c r="AQ252" s="34">
        <f t="shared" si="81"/>
        <v>260</v>
      </c>
      <c r="AR252" s="35">
        <v>763</v>
      </c>
      <c r="AS252" s="35"/>
      <c r="AT252" s="35">
        <f t="shared" si="82"/>
        <v>257</v>
      </c>
      <c r="AU252" s="6">
        <v>1007</v>
      </c>
      <c r="AV252" s="6"/>
      <c r="AW252" s="35">
        <f t="shared" si="83"/>
        <v>244</v>
      </c>
      <c r="AX252" s="6"/>
      <c r="AY252" s="6"/>
      <c r="AZ252" s="35"/>
      <c r="BA252" s="35">
        <v>169</v>
      </c>
      <c r="BB252" s="35">
        <v>1100</v>
      </c>
      <c r="BC252" s="35">
        <f t="shared" si="84"/>
        <v>262</v>
      </c>
      <c r="BD252" s="35">
        <v>425</v>
      </c>
      <c r="BE252" s="6"/>
      <c r="BF252" s="35">
        <f t="shared" si="85"/>
        <v>256</v>
      </c>
      <c r="BG252" s="6">
        <v>683</v>
      </c>
      <c r="BH252" s="6"/>
      <c r="BI252" s="6">
        <f t="shared" si="86"/>
        <v>258</v>
      </c>
      <c r="BJ252" s="6">
        <v>936</v>
      </c>
      <c r="BK252" s="6"/>
      <c r="BL252" s="6">
        <f t="shared" si="87"/>
        <v>253</v>
      </c>
      <c r="BM252" s="35">
        <v>95</v>
      </c>
      <c r="BN252" s="35">
        <v>1100</v>
      </c>
      <c r="BO252" s="6">
        <f t="shared" si="88"/>
        <v>259</v>
      </c>
      <c r="BP252" s="35">
        <v>337</v>
      </c>
      <c r="BQ252" s="35"/>
      <c r="BR252" s="35">
        <f t="shared" si="89"/>
        <v>242</v>
      </c>
      <c r="BS252" s="35"/>
      <c r="BT252" s="35"/>
      <c r="BU252" s="6"/>
      <c r="BV252" s="6">
        <v>599</v>
      </c>
      <c r="BW252" s="6"/>
      <c r="BX252" s="35">
        <f t="shared" si="90"/>
        <v>262</v>
      </c>
      <c r="BY252" s="6">
        <v>854</v>
      </c>
      <c r="BZ252" s="6"/>
      <c r="CA252" s="6">
        <f t="shared" si="91"/>
        <v>255</v>
      </c>
      <c r="CB252" s="6">
        <v>10</v>
      </c>
      <c r="CC252" s="6">
        <v>1100</v>
      </c>
      <c r="CD252" s="6">
        <f t="shared" si="92"/>
        <v>256</v>
      </c>
      <c r="CE252" s="6">
        <v>269</v>
      </c>
      <c r="CF252" s="6"/>
      <c r="CG252" s="6">
        <f t="shared" si="93"/>
        <v>259</v>
      </c>
      <c r="CH252" s="6">
        <v>513</v>
      </c>
      <c r="CI252" s="6"/>
      <c r="CJ252" s="6">
        <f t="shared" si="94"/>
        <v>244</v>
      </c>
      <c r="CK252" s="6">
        <v>764</v>
      </c>
      <c r="CL252" s="6"/>
      <c r="CM252" s="6">
        <f t="shared" si="95"/>
        <v>251</v>
      </c>
      <c r="CN252" s="6"/>
      <c r="CO252" s="6"/>
      <c r="CP252" s="6"/>
      <c r="CQ252" s="6">
        <v>1023</v>
      </c>
      <c r="CR252" s="6"/>
      <c r="CS252" s="6">
        <f t="shared" si="96"/>
        <v>259</v>
      </c>
      <c r="CT252" s="6">
        <v>173</v>
      </c>
      <c r="CU252" s="6">
        <v>1100</v>
      </c>
      <c r="CV252" s="6">
        <f t="shared" si="97"/>
        <v>250</v>
      </c>
      <c r="CW252" s="6">
        <v>430</v>
      </c>
      <c r="CX252" s="6"/>
      <c r="CY252" s="6">
        <f t="shared" si="98"/>
        <v>257</v>
      </c>
      <c r="CZ252" s="6">
        <v>530</v>
      </c>
      <c r="DA252" s="6"/>
      <c r="DB252" s="6">
        <f t="shared" si="99"/>
        <v>100</v>
      </c>
      <c r="DC252" s="6">
        <v>0</v>
      </c>
      <c r="DD252" s="6">
        <v>697</v>
      </c>
      <c r="DE252" s="6">
        <f t="shared" si="100"/>
        <v>167</v>
      </c>
      <c r="DF252" s="6"/>
      <c r="DG252" s="10"/>
      <c r="DH252" s="6"/>
      <c r="DI252" s="6"/>
      <c r="DJ252" s="10"/>
      <c r="DK252" s="6"/>
      <c r="DL252" s="6"/>
      <c r="DM252" s="10"/>
      <c r="DN252" s="6"/>
      <c r="DO252" s="6"/>
      <c r="DP252" s="10"/>
      <c r="DQ252" s="6"/>
    </row>
    <row r="253" spans="1:121">
      <c r="A253" s="151">
        <v>249</v>
      </c>
      <c r="B253" s="6">
        <v>680</v>
      </c>
      <c r="C253" s="10"/>
      <c r="D253" s="6">
        <v>232</v>
      </c>
      <c r="E253" s="33" t="s">
        <v>75</v>
      </c>
      <c r="F253" s="33" t="s">
        <v>75</v>
      </c>
      <c r="G253" s="33" t="s">
        <v>75</v>
      </c>
      <c r="H253" s="33" t="s">
        <v>75</v>
      </c>
      <c r="I253" s="33" t="s">
        <v>75</v>
      </c>
      <c r="J253" s="33" t="s">
        <v>75</v>
      </c>
      <c r="K253" s="33" t="s">
        <v>75</v>
      </c>
      <c r="L253" s="33" t="s">
        <v>75</v>
      </c>
      <c r="M253" s="33" t="s">
        <v>75</v>
      </c>
      <c r="N253" s="33" t="s">
        <v>75</v>
      </c>
      <c r="O253" s="33" t="s">
        <v>75</v>
      </c>
      <c r="P253" s="33" t="s">
        <v>75</v>
      </c>
      <c r="Q253" s="33" t="s">
        <v>75</v>
      </c>
      <c r="R253" s="33" t="s">
        <v>75</v>
      </c>
      <c r="S253" s="33" t="s">
        <v>75</v>
      </c>
      <c r="T253" s="33" t="s">
        <v>75</v>
      </c>
      <c r="U253" s="33" t="s">
        <v>75</v>
      </c>
      <c r="V253" s="148" t="s">
        <v>75</v>
      </c>
      <c r="W253" s="33" t="s">
        <v>75</v>
      </c>
      <c r="X253" s="33" t="s">
        <v>75</v>
      </c>
      <c r="Y253" s="33" t="s">
        <v>75</v>
      </c>
      <c r="Z253" s="33" t="s">
        <v>75</v>
      </c>
      <c r="AA253" s="33" t="s">
        <v>75</v>
      </c>
      <c r="AB253" s="33" t="s">
        <v>75</v>
      </c>
      <c r="AC253" s="33" t="s">
        <v>75</v>
      </c>
      <c r="AD253" s="33" t="s">
        <v>75</v>
      </c>
      <c r="AE253" s="33" t="s">
        <v>75</v>
      </c>
      <c r="AF253" s="6">
        <v>106</v>
      </c>
      <c r="AG253" s="6">
        <v>843</v>
      </c>
      <c r="AH253" s="35">
        <f t="shared" si="78"/>
        <v>269</v>
      </c>
      <c r="AI253" s="35">
        <v>359</v>
      </c>
      <c r="AJ253" s="35"/>
      <c r="AK253" s="35">
        <f t="shared" si="79"/>
        <v>253</v>
      </c>
      <c r="AL253" s="6">
        <v>608</v>
      </c>
      <c r="AM253" s="6"/>
      <c r="AN253" s="35">
        <f t="shared" si="80"/>
        <v>249</v>
      </c>
      <c r="AO253" s="6">
        <v>860</v>
      </c>
      <c r="AP253" s="6"/>
      <c r="AQ253" s="34">
        <f t="shared" si="81"/>
        <v>252</v>
      </c>
      <c r="AR253" s="35">
        <v>17</v>
      </c>
      <c r="AS253" s="35">
        <v>1100</v>
      </c>
      <c r="AT253" s="35">
        <f t="shared" si="82"/>
        <v>257</v>
      </c>
      <c r="AU253" s="6">
        <v>263</v>
      </c>
      <c r="AV253" s="6"/>
      <c r="AW253" s="35">
        <f t="shared" si="83"/>
        <v>246</v>
      </c>
      <c r="AX253" s="6"/>
      <c r="AY253" s="6"/>
      <c r="AZ253" s="35"/>
      <c r="BA253" s="35">
        <v>526</v>
      </c>
      <c r="BB253" s="35"/>
      <c r="BC253" s="35">
        <f t="shared" si="84"/>
        <v>263</v>
      </c>
      <c r="BD253" s="35">
        <v>779</v>
      </c>
      <c r="BE253" s="6"/>
      <c r="BF253" s="35">
        <f t="shared" si="85"/>
        <v>253</v>
      </c>
      <c r="BG253" s="6">
        <v>1033</v>
      </c>
      <c r="BH253" s="6"/>
      <c r="BI253" s="6">
        <f t="shared" si="86"/>
        <v>254</v>
      </c>
      <c r="BJ253" s="6">
        <v>176</v>
      </c>
      <c r="BK253" s="6">
        <v>1100</v>
      </c>
      <c r="BL253" s="6">
        <f t="shared" si="87"/>
        <v>243</v>
      </c>
      <c r="BM253" s="35">
        <v>25</v>
      </c>
      <c r="BN253" s="35">
        <v>382</v>
      </c>
      <c r="BO253" s="6">
        <f t="shared" si="88"/>
        <v>231</v>
      </c>
      <c r="BP253" s="35">
        <v>269</v>
      </c>
      <c r="BQ253" s="35"/>
      <c r="BR253" s="35">
        <f t="shared" si="89"/>
        <v>244</v>
      </c>
      <c r="BS253" s="35"/>
      <c r="BT253" s="35"/>
      <c r="BU253" s="6"/>
      <c r="BV253" s="6">
        <v>523</v>
      </c>
      <c r="BW253" s="6"/>
      <c r="BX253" s="35">
        <f t="shared" si="90"/>
        <v>254</v>
      </c>
      <c r="BY253" s="6">
        <v>773</v>
      </c>
      <c r="BZ253" s="6"/>
      <c r="CA253" s="6">
        <f t="shared" si="91"/>
        <v>250</v>
      </c>
      <c r="CB253" s="6">
        <v>1023</v>
      </c>
      <c r="CC253" s="6"/>
      <c r="CD253" s="6">
        <f t="shared" si="92"/>
        <v>250</v>
      </c>
      <c r="CE253" s="6">
        <v>174</v>
      </c>
      <c r="CF253" s="6">
        <v>1100</v>
      </c>
      <c r="CG253" s="6">
        <f t="shared" si="93"/>
        <v>251</v>
      </c>
      <c r="CH253" s="6">
        <v>159</v>
      </c>
      <c r="CI253" s="6">
        <v>248</v>
      </c>
      <c r="CJ253" s="6">
        <f t="shared" si="94"/>
        <v>233</v>
      </c>
      <c r="CK253" s="6">
        <v>405</v>
      </c>
      <c r="CL253" s="6"/>
      <c r="CM253" s="6">
        <f t="shared" si="95"/>
        <v>246</v>
      </c>
      <c r="CN253" s="6"/>
      <c r="CO253" s="6"/>
      <c r="CP253" s="6"/>
      <c r="CQ253" s="6">
        <v>654</v>
      </c>
      <c r="CR253" s="6"/>
      <c r="CS253" s="6">
        <f t="shared" si="96"/>
        <v>249</v>
      </c>
      <c r="CT253" s="6">
        <v>901</v>
      </c>
      <c r="CU253" s="6"/>
      <c r="CV253" s="6">
        <f t="shared" si="97"/>
        <v>247</v>
      </c>
      <c r="CW253" s="6">
        <v>14</v>
      </c>
      <c r="CX253" s="6">
        <v>1100</v>
      </c>
      <c r="CY253" s="6">
        <f t="shared" si="98"/>
        <v>213</v>
      </c>
      <c r="CZ253" s="6">
        <v>12</v>
      </c>
      <c r="DA253" s="6">
        <v>247</v>
      </c>
      <c r="DB253" s="6">
        <f t="shared" si="99"/>
        <v>245</v>
      </c>
      <c r="DC253" s="6">
        <v>258</v>
      </c>
      <c r="DD253" s="6"/>
      <c r="DE253" s="6">
        <f t="shared" si="100"/>
        <v>246</v>
      </c>
      <c r="DF253" s="6">
        <v>502</v>
      </c>
      <c r="DG253" s="10"/>
      <c r="DH253" s="6">
        <f>DG253+DF253-DC253</f>
        <v>244</v>
      </c>
      <c r="DI253" s="6"/>
      <c r="DJ253" s="10"/>
      <c r="DK253" s="6"/>
      <c r="DL253" s="6">
        <v>764</v>
      </c>
      <c r="DM253" s="10"/>
      <c r="DN253" s="6">
        <f>DM253+DL253-DF253</f>
        <v>262</v>
      </c>
      <c r="DO253" s="6">
        <v>1003</v>
      </c>
      <c r="DP253" s="10"/>
      <c r="DQ253" s="6">
        <f>DP253+DO253-DL253</f>
        <v>239</v>
      </c>
    </row>
    <row r="254" spans="1:121">
      <c r="A254" s="151">
        <v>250</v>
      </c>
      <c r="B254" s="6">
        <v>437</v>
      </c>
      <c r="C254" s="10"/>
      <c r="D254" s="6">
        <v>231</v>
      </c>
      <c r="E254" s="141" t="s">
        <v>75</v>
      </c>
      <c r="F254" s="141" t="s">
        <v>75</v>
      </c>
      <c r="G254" s="141" t="s">
        <v>75</v>
      </c>
      <c r="H254" s="141" t="s">
        <v>75</v>
      </c>
      <c r="I254" s="141" t="s">
        <v>75</v>
      </c>
      <c r="J254" s="141" t="s">
        <v>75</v>
      </c>
      <c r="K254" s="141" t="s">
        <v>75</v>
      </c>
      <c r="L254" s="141" t="s">
        <v>75</v>
      </c>
      <c r="M254" s="141" t="s">
        <v>75</v>
      </c>
      <c r="N254" s="141" t="s">
        <v>75</v>
      </c>
      <c r="O254" s="141" t="s">
        <v>75</v>
      </c>
      <c r="P254" s="141" t="s">
        <v>75</v>
      </c>
      <c r="Q254" s="141" t="s">
        <v>75</v>
      </c>
      <c r="R254" s="141" t="s">
        <v>75</v>
      </c>
      <c r="S254" s="141" t="s">
        <v>75</v>
      </c>
      <c r="T254" s="141" t="s">
        <v>75</v>
      </c>
      <c r="U254" s="141" t="s">
        <v>75</v>
      </c>
      <c r="V254" s="141" t="s">
        <v>75</v>
      </c>
      <c r="W254" s="141" t="s">
        <v>75</v>
      </c>
      <c r="X254" s="141" t="s">
        <v>75</v>
      </c>
      <c r="Y254" s="163" t="s">
        <v>75</v>
      </c>
      <c r="Z254" s="141" t="s">
        <v>75</v>
      </c>
      <c r="AA254" s="141" t="s">
        <v>75</v>
      </c>
      <c r="AB254" s="141" t="s">
        <v>75</v>
      </c>
      <c r="AC254" s="141" t="s">
        <v>75</v>
      </c>
      <c r="AD254" s="141" t="s">
        <v>75</v>
      </c>
      <c r="AE254" s="141" t="s">
        <v>75</v>
      </c>
      <c r="AF254" s="6">
        <v>711</v>
      </c>
      <c r="AG254" s="6"/>
      <c r="AH254" s="35">
        <f t="shared" si="78"/>
        <v>274</v>
      </c>
      <c r="AI254" s="35">
        <v>965</v>
      </c>
      <c r="AJ254" s="35"/>
      <c r="AK254" s="35">
        <f t="shared" si="79"/>
        <v>254</v>
      </c>
      <c r="AL254" s="6">
        <v>120</v>
      </c>
      <c r="AM254" s="6">
        <v>1100</v>
      </c>
      <c r="AN254" s="35">
        <f t="shared" si="80"/>
        <v>255</v>
      </c>
      <c r="AO254" s="6">
        <v>376</v>
      </c>
      <c r="AP254" s="6"/>
      <c r="AQ254" s="34">
        <f t="shared" si="81"/>
        <v>256</v>
      </c>
      <c r="AR254" s="35">
        <v>632</v>
      </c>
      <c r="AS254" s="35"/>
      <c r="AT254" s="35">
        <f t="shared" si="82"/>
        <v>256</v>
      </c>
      <c r="AU254" s="6">
        <v>873</v>
      </c>
      <c r="AV254" s="6"/>
      <c r="AW254" s="35">
        <f t="shared" si="83"/>
        <v>241</v>
      </c>
      <c r="AX254" s="6"/>
      <c r="AY254" s="6"/>
      <c r="AZ254" s="35"/>
      <c r="BA254" s="35">
        <v>128</v>
      </c>
      <c r="BB254" s="35">
        <v>1000</v>
      </c>
      <c r="BC254" s="35">
        <f t="shared" si="84"/>
        <v>255</v>
      </c>
      <c r="BD254" s="35">
        <v>381</v>
      </c>
      <c r="BE254" s="6"/>
      <c r="BF254" s="35">
        <f t="shared" si="85"/>
        <v>253</v>
      </c>
      <c r="BG254" s="6">
        <v>635</v>
      </c>
      <c r="BH254" s="6"/>
      <c r="BI254" s="6">
        <f t="shared" si="86"/>
        <v>254</v>
      </c>
      <c r="BJ254" s="6">
        <v>161</v>
      </c>
      <c r="BK254" s="6">
        <v>727</v>
      </c>
      <c r="BL254" s="6">
        <f t="shared" si="87"/>
        <v>253</v>
      </c>
      <c r="BM254" s="35">
        <v>413</v>
      </c>
      <c r="BN254" s="35"/>
      <c r="BO254" s="6">
        <f t="shared" si="88"/>
        <v>252</v>
      </c>
      <c r="BP254" s="35">
        <v>653</v>
      </c>
      <c r="BQ254" s="35"/>
      <c r="BR254" s="35">
        <f t="shared" si="89"/>
        <v>240</v>
      </c>
      <c r="BS254" s="35"/>
      <c r="BT254" s="35"/>
      <c r="BU254" s="6"/>
      <c r="BV254" s="6">
        <v>909</v>
      </c>
      <c r="BW254" s="6"/>
      <c r="BX254" s="35">
        <f t="shared" si="90"/>
        <v>256</v>
      </c>
      <c r="BY254" s="6">
        <v>60</v>
      </c>
      <c r="BZ254" s="6">
        <v>1100</v>
      </c>
      <c r="CA254" s="6">
        <f t="shared" si="91"/>
        <v>251</v>
      </c>
      <c r="CB254" s="6">
        <v>304</v>
      </c>
      <c r="CC254" s="6"/>
      <c r="CD254" s="6">
        <f t="shared" si="92"/>
        <v>244</v>
      </c>
      <c r="CE254" s="6">
        <v>555</v>
      </c>
      <c r="CF254" s="6"/>
      <c r="CG254" s="6">
        <f t="shared" si="93"/>
        <v>251</v>
      </c>
      <c r="CH254" s="6">
        <v>806</v>
      </c>
      <c r="CI254" s="6"/>
      <c r="CJ254" s="6">
        <f t="shared" si="94"/>
        <v>251</v>
      </c>
      <c r="CK254" s="6">
        <v>1050</v>
      </c>
      <c r="CL254" s="6"/>
      <c r="CM254" s="6">
        <f t="shared" si="95"/>
        <v>244</v>
      </c>
      <c r="CN254" s="6"/>
      <c r="CO254" s="6"/>
      <c r="CP254" s="6"/>
      <c r="CQ254" s="6">
        <v>0</v>
      </c>
      <c r="CR254" s="6">
        <v>1150</v>
      </c>
      <c r="CS254" s="6">
        <f t="shared" si="96"/>
        <v>100</v>
      </c>
      <c r="CT254" s="6">
        <v>243</v>
      </c>
      <c r="CU254" s="6"/>
      <c r="CV254" s="6">
        <f t="shared" si="97"/>
        <v>243</v>
      </c>
      <c r="CW254" s="6">
        <v>499</v>
      </c>
      <c r="CX254" s="6"/>
      <c r="CY254" s="6">
        <f t="shared" si="98"/>
        <v>256</v>
      </c>
      <c r="CZ254" s="6">
        <v>754</v>
      </c>
      <c r="DA254" s="6"/>
      <c r="DB254" s="6">
        <f t="shared" si="99"/>
        <v>255</v>
      </c>
      <c r="DC254" s="6">
        <v>1004</v>
      </c>
      <c r="DD254" s="6"/>
      <c r="DE254" s="6">
        <f t="shared" si="100"/>
        <v>250</v>
      </c>
      <c r="DF254" s="6">
        <v>146</v>
      </c>
      <c r="DG254" s="10">
        <v>1100</v>
      </c>
      <c r="DH254" s="6">
        <f>DG254+DF254-DC254</f>
        <v>242</v>
      </c>
      <c r="DI254" s="6"/>
      <c r="DJ254" s="10"/>
      <c r="DK254" s="6"/>
      <c r="DL254" s="6">
        <v>402</v>
      </c>
      <c r="DM254" s="10"/>
      <c r="DN254" s="6">
        <f>DM254+DL254-DF254</f>
        <v>256</v>
      </c>
      <c r="DO254" s="6">
        <v>639</v>
      </c>
      <c r="DP254" s="10"/>
      <c r="DQ254" s="6">
        <f>DP254+DO254-DL254</f>
        <v>237</v>
      </c>
    </row>
    <row r="255" spans="1:121">
      <c r="A255" s="151">
        <v>251</v>
      </c>
      <c r="B255" s="6">
        <v>492</v>
      </c>
      <c r="C255" s="10"/>
      <c r="D255" s="6">
        <v>230</v>
      </c>
      <c r="E255" s="33" t="s">
        <v>75</v>
      </c>
      <c r="F255" s="33" t="s">
        <v>75</v>
      </c>
      <c r="G255" s="33" t="s">
        <v>75</v>
      </c>
      <c r="H255" s="33" t="s">
        <v>75</v>
      </c>
      <c r="I255" s="33" t="s">
        <v>75</v>
      </c>
      <c r="J255" s="33" t="s">
        <v>75</v>
      </c>
      <c r="K255" s="33" t="s">
        <v>75</v>
      </c>
      <c r="L255" s="33" t="s">
        <v>75</v>
      </c>
      <c r="M255" s="33" t="s">
        <v>75</v>
      </c>
      <c r="N255" s="33" t="s">
        <v>75</v>
      </c>
      <c r="O255" s="33" t="s">
        <v>75</v>
      </c>
      <c r="P255" s="33" t="s">
        <v>75</v>
      </c>
      <c r="Q255" s="33" t="s">
        <v>75</v>
      </c>
      <c r="R255" s="33" t="s">
        <v>75</v>
      </c>
      <c r="S255" s="33" t="s">
        <v>75</v>
      </c>
      <c r="T255" s="33" t="s">
        <v>75</v>
      </c>
      <c r="U255" s="33" t="s">
        <v>75</v>
      </c>
      <c r="V255" s="33" t="s">
        <v>75</v>
      </c>
      <c r="W255" s="148" t="s">
        <v>75</v>
      </c>
      <c r="X255" s="33" t="s">
        <v>75</v>
      </c>
      <c r="Y255" s="33" t="s">
        <v>75</v>
      </c>
      <c r="Z255" s="33" t="s">
        <v>75</v>
      </c>
      <c r="AA255" s="33" t="s">
        <v>75</v>
      </c>
      <c r="AB255" s="33" t="s">
        <v>75</v>
      </c>
      <c r="AC255" s="33" t="s">
        <v>75</v>
      </c>
      <c r="AD255" s="33" t="s">
        <v>75</v>
      </c>
      <c r="AE255" s="33" t="s">
        <v>75</v>
      </c>
      <c r="AF255" s="6">
        <v>765</v>
      </c>
      <c r="AG255" s="6"/>
      <c r="AH255" s="35">
        <f t="shared" si="78"/>
        <v>273</v>
      </c>
      <c r="AI255" s="35">
        <v>1017</v>
      </c>
      <c r="AJ255" s="35"/>
      <c r="AK255" s="35">
        <f t="shared" si="79"/>
        <v>252</v>
      </c>
      <c r="AL255" s="6">
        <v>174</v>
      </c>
      <c r="AM255" s="6">
        <v>1100</v>
      </c>
      <c r="AN255" s="35">
        <f t="shared" si="80"/>
        <v>257</v>
      </c>
      <c r="AO255" s="6">
        <v>428</v>
      </c>
      <c r="AP255" s="6"/>
      <c r="AQ255" s="34">
        <f t="shared" si="81"/>
        <v>254</v>
      </c>
      <c r="AR255" s="35">
        <v>684</v>
      </c>
      <c r="AS255" s="35"/>
      <c r="AT255" s="35">
        <f t="shared" si="82"/>
        <v>256</v>
      </c>
      <c r="AU255" s="6">
        <v>925</v>
      </c>
      <c r="AV255" s="6"/>
      <c r="AW255" s="35">
        <f t="shared" si="83"/>
        <v>241</v>
      </c>
      <c r="AX255" s="6"/>
      <c r="AY255" s="6"/>
      <c r="AZ255" s="35"/>
      <c r="BA255" s="35">
        <v>81</v>
      </c>
      <c r="BB255" s="35">
        <v>1100</v>
      </c>
      <c r="BC255" s="35">
        <f t="shared" si="84"/>
        <v>256</v>
      </c>
      <c r="BD255" s="35">
        <v>333</v>
      </c>
      <c r="BE255" s="6"/>
      <c r="BF255" s="35">
        <f t="shared" si="85"/>
        <v>252</v>
      </c>
      <c r="BG255" s="6">
        <v>583</v>
      </c>
      <c r="BH255" s="6"/>
      <c r="BI255" s="6">
        <f t="shared" si="86"/>
        <v>250</v>
      </c>
      <c r="BJ255" s="6">
        <v>839</v>
      </c>
      <c r="BK255" s="6"/>
      <c r="BL255" s="6">
        <f t="shared" si="87"/>
        <v>256</v>
      </c>
      <c r="BM255" s="35">
        <v>1093</v>
      </c>
      <c r="BN255" s="35"/>
      <c r="BO255" s="6">
        <f t="shared" si="88"/>
        <v>254</v>
      </c>
      <c r="BP255" s="35">
        <v>235</v>
      </c>
      <c r="BQ255" s="35">
        <v>1100</v>
      </c>
      <c r="BR255" s="35">
        <f t="shared" si="89"/>
        <v>242</v>
      </c>
      <c r="BS255" s="35"/>
      <c r="BT255" s="35"/>
      <c r="BU255" s="6"/>
      <c r="BV255" s="6">
        <v>489</v>
      </c>
      <c r="BW255" s="6"/>
      <c r="BX255" s="35">
        <f t="shared" si="90"/>
        <v>254</v>
      </c>
      <c r="BY255" s="6">
        <v>740</v>
      </c>
      <c r="BZ255" s="6"/>
      <c r="CA255" s="6">
        <f t="shared" si="91"/>
        <v>251</v>
      </c>
      <c r="CB255" s="6">
        <v>995</v>
      </c>
      <c r="CC255" s="6"/>
      <c r="CD255" s="6">
        <f t="shared" si="92"/>
        <v>255</v>
      </c>
      <c r="CE255" s="6">
        <v>140</v>
      </c>
      <c r="CF255" s="6">
        <v>1100</v>
      </c>
      <c r="CG255" s="6">
        <f t="shared" si="93"/>
        <v>245</v>
      </c>
      <c r="CH255" s="6">
        <v>392</v>
      </c>
      <c r="CI255" s="6"/>
      <c r="CJ255" s="6">
        <f t="shared" si="94"/>
        <v>252</v>
      </c>
      <c r="CK255" s="6">
        <v>224</v>
      </c>
      <c r="CL255" s="6">
        <v>393</v>
      </c>
      <c r="CM255" s="6">
        <f t="shared" si="95"/>
        <v>225</v>
      </c>
      <c r="CN255" s="6"/>
      <c r="CO255" s="6"/>
      <c r="CP255" s="6"/>
      <c r="CQ255" s="6">
        <v>482</v>
      </c>
      <c r="CR255" s="6"/>
      <c r="CS255" s="6">
        <f t="shared" si="96"/>
        <v>258</v>
      </c>
      <c r="CT255" s="6">
        <v>730</v>
      </c>
      <c r="CU255" s="6"/>
      <c r="CV255" s="6">
        <f t="shared" si="97"/>
        <v>248</v>
      </c>
      <c r="CW255" s="6">
        <v>981</v>
      </c>
      <c r="CX255" s="6"/>
      <c r="CY255" s="6">
        <f t="shared" si="98"/>
        <v>251</v>
      </c>
      <c r="CZ255" s="6">
        <v>129</v>
      </c>
      <c r="DA255" s="6">
        <v>1100</v>
      </c>
      <c r="DB255" s="6">
        <f t="shared" si="99"/>
        <v>248</v>
      </c>
      <c r="DC255" s="6">
        <v>381</v>
      </c>
      <c r="DD255" s="6"/>
      <c r="DE255" s="6">
        <f t="shared" si="100"/>
        <v>252</v>
      </c>
      <c r="DF255" s="6">
        <v>621</v>
      </c>
      <c r="DG255" s="10"/>
      <c r="DH255" s="6">
        <f>DG255+DF255-DC255</f>
        <v>240</v>
      </c>
      <c r="DI255" s="6"/>
      <c r="DJ255" s="10"/>
      <c r="DK255" s="6"/>
      <c r="DL255" s="6">
        <v>874</v>
      </c>
      <c r="DM255" s="10"/>
      <c r="DN255" s="6">
        <f>DM255+DL255-DF255</f>
        <v>253</v>
      </c>
      <c r="DO255" s="6">
        <v>12</v>
      </c>
      <c r="DP255" s="10">
        <v>1100</v>
      </c>
      <c r="DQ255" s="6">
        <f>DP255+DO255-DL255</f>
        <v>238</v>
      </c>
    </row>
    <row r="256" spans="1:121">
      <c r="A256" s="151">
        <v>252</v>
      </c>
      <c r="B256" s="6">
        <v>0</v>
      </c>
      <c r="C256" s="10">
        <v>526</v>
      </c>
      <c r="D256" s="6">
        <v>218</v>
      </c>
      <c r="E256" s="33" t="s">
        <v>75</v>
      </c>
      <c r="F256" s="148" t="s">
        <v>75</v>
      </c>
      <c r="G256" s="33" t="s">
        <v>75</v>
      </c>
      <c r="H256" s="33" t="s">
        <v>75</v>
      </c>
      <c r="I256" s="33" t="s">
        <v>75</v>
      </c>
      <c r="J256" s="33" t="s">
        <v>75</v>
      </c>
      <c r="K256" s="33" t="s">
        <v>75</v>
      </c>
      <c r="L256" s="33" t="s">
        <v>75</v>
      </c>
      <c r="M256" s="33" t="s">
        <v>75</v>
      </c>
      <c r="N256" s="33" t="s">
        <v>75</v>
      </c>
      <c r="O256" s="33" t="s">
        <v>75</v>
      </c>
      <c r="P256" s="33" t="s">
        <v>75</v>
      </c>
      <c r="Q256" s="33" t="s">
        <v>75</v>
      </c>
      <c r="R256" s="33" t="s">
        <v>75</v>
      </c>
      <c r="S256" s="33" t="s">
        <v>75</v>
      </c>
      <c r="T256" s="33" t="s">
        <v>75</v>
      </c>
      <c r="U256" s="33" t="s">
        <v>75</v>
      </c>
      <c r="V256" s="33" t="s">
        <v>75</v>
      </c>
      <c r="W256" s="33" t="s">
        <v>75</v>
      </c>
      <c r="X256" s="33" t="s">
        <v>75</v>
      </c>
      <c r="Y256" s="148" t="s">
        <v>75</v>
      </c>
      <c r="Z256" s="33" t="s">
        <v>75</v>
      </c>
      <c r="AA256" s="33" t="s">
        <v>75</v>
      </c>
      <c r="AB256" s="33" t="s">
        <v>75</v>
      </c>
      <c r="AC256" s="33" t="s">
        <v>75</v>
      </c>
      <c r="AD256" s="33" t="s">
        <v>75</v>
      </c>
      <c r="AE256" s="33" t="s">
        <v>75</v>
      </c>
      <c r="AF256" s="6">
        <v>263</v>
      </c>
      <c r="AG256" s="6"/>
      <c r="AH256" s="35">
        <f t="shared" si="78"/>
        <v>263</v>
      </c>
      <c r="AI256" s="35">
        <v>521</v>
      </c>
      <c r="AJ256" s="35"/>
      <c r="AK256" s="35">
        <f t="shared" si="79"/>
        <v>258</v>
      </c>
      <c r="AL256" s="6">
        <v>782</v>
      </c>
      <c r="AM256" s="6"/>
      <c r="AN256" s="35">
        <f t="shared" si="80"/>
        <v>261</v>
      </c>
      <c r="AO256" s="6">
        <v>1040</v>
      </c>
      <c r="AP256" s="6"/>
      <c r="AQ256" s="34">
        <f t="shared" si="81"/>
        <v>258</v>
      </c>
      <c r="AR256" s="35">
        <v>197</v>
      </c>
      <c r="AS256" s="35">
        <v>1100</v>
      </c>
      <c r="AT256" s="35">
        <f t="shared" si="82"/>
        <v>257</v>
      </c>
      <c r="AU256" s="6">
        <v>442</v>
      </c>
      <c r="AV256" s="6"/>
      <c r="AW256" s="35">
        <f t="shared" si="83"/>
        <v>245</v>
      </c>
      <c r="AX256" s="6"/>
      <c r="AY256" s="6"/>
      <c r="AZ256" s="35"/>
      <c r="BA256" s="35">
        <v>707</v>
      </c>
      <c r="BB256" s="35"/>
      <c r="BC256" s="35">
        <f t="shared" si="84"/>
        <v>265</v>
      </c>
      <c r="BD256" s="35">
        <v>961</v>
      </c>
      <c r="BE256" s="6"/>
      <c r="BF256" s="35">
        <f t="shared" si="85"/>
        <v>254</v>
      </c>
      <c r="BG256" s="6">
        <v>121</v>
      </c>
      <c r="BH256" s="6">
        <v>1100</v>
      </c>
      <c r="BI256" s="6">
        <f t="shared" si="86"/>
        <v>260</v>
      </c>
      <c r="BJ256" s="6">
        <v>379</v>
      </c>
      <c r="BK256" s="6"/>
      <c r="BL256" s="6">
        <f t="shared" si="87"/>
        <v>258</v>
      </c>
      <c r="BM256" s="35">
        <v>638</v>
      </c>
      <c r="BN256" s="35"/>
      <c r="BO256" s="6">
        <f t="shared" si="88"/>
        <v>259</v>
      </c>
      <c r="BP256" s="35">
        <v>881</v>
      </c>
      <c r="BQ256" s="35"/>
      <c r="BR256" s="35">
        <f t="shared" si="89"/>
        <v>243</v>
      </c>
      <c r="BS256" s="35"/>
      <c r="BT256" s="35"/>
      <c r="BU256" s="6"/>
      <c r="BV256" s="6">
        <v>37</v>
      </c>
      <c r="BW256" s="6">
        <v>1100</v>
      </c>
      <c r="BX256" s="35">
        <f t="shared" si="90"/>
        <v>256</v>
      </c>
      <c r="BY256" s="6">
        <v>290</v>
      </c>
      <c r="BZ256" s="6"/>
      <c r="CA256" s="6">
        <f t="shared" si="91"/>
        <v>253</v>
      </c>
      <c r="CB256" s="6">
        <v>543</v>
      </c>
      <c r="CC256" s="6"/>
      <c r="CD256" s="6">
        <f t="shared" si="92"/>
        <v>253</v>
      </c>
      <c r="CE256" s="6">
        <v>802</v>
      </c>
      <c r="CF256" s="6"/>
      <c r="CG256" s="6">
        <f t="shared" si="93"/>
        <v>259</v>
      </c>
      <c r="CH256" s="6">
        <v>1059</v>
      </c>
      <c r="CI256" s="6"/>
      <c r="CJ256" s="6">
        <f t="shared" si="94"/>
        <v>257</v>
      </c>
      <c r="CK256" s="6">
        <v>210</v>
      </c>
      <c r="CL256" s="6">
        <v>1100</v>
      </c>
      <c r="CM256" s="6">
        <f t="shared" si="95"/>
        <v>251</v>
      </c>
      <c r="CN256" s="6"/>
      <c r="CO256" s="6"/>
      <c r="CP256" s="6"/>
      <c r="CQ256" s="6">
        <v>0</v>
      </c>
      <c r="CR256" s="6">
        <v>378</v>
      </c>
      <c r="CS256" s="6">
        <f t="shared" si="96"/>
        <v>168</v>
      </c>
      <c r="CT256" s="6">
        <v>251</v>
      </c>
      <c r="CU256" s="6"/>
      <c r="CV256" s="6">
        <f t="shared" si="97"/>
        <v>251</v>
      </c>
      <c r="CW256" s="6">
        <v>505</v>
      </c>
      <c r="CX256" s="6"/>
      <c r="CY256" s="6">
        <f t="shared" si="98"/>
        <v>254</v>
      </c>
      <c r="CZ256" s="6">
        <v>759</v>
      </c>
      <c r="DA256" s="6"/>
      <c r="DB256" s="6">
        <f t="shared" si="99"/>
        <v>254</v>
      </c>
      <c r="DC256" s="6">
        <v>1001</v>
      </c>
      <c r="DD256" s="6"/>
      <c r="DE256" s="6">
        <f t="shared" si="100"/>
        <v>242</v>
      </c>
      <c r="DF256" s="6">
        <v>141</v>
      </c>
      <c r="DG256" s="10">
        <v>1100</v>
      </c>
      <c r="DH256" s="6">
        <f>DG256+DF256-DC256</f>
        <v>240</v>
      </c>
      <c r="DI256" s="6"/>
      <c r="DJ256" s="10"/>
      <c r="DK256" s="6"/>
      <c r="DL256" s="6">
        <v>398</v>
      </c>
      <c r="DM256" s="10"/>
      <c r="DN256" s="6">
        <f>DM256+DL256-DF256</f>
        <v>257</v>
      </c>
      <c r="DO256" s="6">
        <v>637</v>
      </c>
      <c r="DP256" s="10"/>
      <c r="DQ256" s="6">
        <f>DP256+DO256-DL256</f>
        <v>239</v>
      </c>
    </row>
    <row r="257" spans="1:121">
      <c r="A257" s="6">
        <v>253</v>
      </c>
      <c r="B257" s="6">
        <v>0</v>
      </c>
      <c r="C257" s="10"/>
      <c r="D257" s="6">
        <v>0</v>
      </c>
      <c r="E257" s="141" t="s">
        <v>75</v>
      </c>
      <c r="F257" s="141" t="s">
        <v>75</v>
      </c>
      <c r="G257" s="141" t="s">
        <v>75</v>
      </c>
      <c r="H257" s="141" t="s">
        <v>75</v>
      </c>
      <c r="I257" s="141" t="s">
        <v>75</v>
      </c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6"/>
      <c r="AG257" s="6"/>
      <c r="AH257" s="35"/>
      <c r="AI257" s="35"/>
      <c r="AJ257" s="35"/>
      <c r="AK257" s="35"/>
      <c r="AL257" s="6"/>
      <c r="AM257" s="6"/>
      <c r="AN257" s="35"/>
      <c r="AO257" s="6"/>
      <c r="AP257" s="6"/>
      <c r="AQ257" s="34"/>
      <c r="AR257" s="35"/>
      <c r="AS257" s="35"/>
      <c r="AT257" s="35"/>
      <c r="AU257" s="6"/>
      <c r="AV257" s="6"/>
      <c r="AW257" s="35"/>
      <c r="AX257" s="6"/>
      <c r="AY257" s="6"/>
      <c r="AZ257" s="35"/>
      <c r="BA257" s="35"/>
      <c r="BB257" s="35"/>
      <c r="BC257" s="35"/>
      <c r="BD257" s="35"/>
      <c r="BE257" s="6"/>
      <c r="BF257" s="35"/>
      <c r="BG257" s="6"/>
      <c r="BH257" s="6"/>
      <c r="BI257" s="6"/>
      <c r="BJ257" s="6"/>
      <c r="BK257" s="6"/>
      <c r="BL257" s="6"/>
      <c r="BM257" s="35"/>
      <c r="BN257" s="35"/>
      <c r="BO257" s="6"/>
      <c r="BP257" s="35"/>
      <c r="BQ257" s="35"/>
      <c r="BR257" s="35"/>
      <c r="BS257" s="35"/>
      <c r="BT257" s="35"/>
      <c r="BU257" s="6"/>
      <c r="BV257" s="6"/>
      <c r="BW257" s="6"/>
      <c r="BX257" s="35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10"/>
      <c r="DH257" s="6"/>
      <c r="DI257" s="6"/>
      <c r="DJ257" s="10"/>
      <c r="DK257" s="6"/>
      <c r="DL257" s="6"/>
      <c r="DM257" s="10"/>
      <c r="DN257" s="6"/>
      <c r="DO257" s="6"/>
      <c r="DP257" s="10"/>
      <c r="DQ257" s="6"/>
    </row>
    <row r="258" spans="1:121">
      <c r="A258" s="6">
        <v>254</v>
      </c>
      <c r="B258" s="6">
        <v>0</v>
      </c>
      <c r="C258" s="10"/>
      <c r="D258" s="6">
        <v>0</v>
      </c>
      <c r="E258" s="141" t="s">
        <v>75</v>
      </c>
      <c r="F258" s="141" t="s">
        <v>75</v>
      </c>
      <c r="G258" s="141" t="s">
        <v>75</v>
      </c>
      <c r="H258" s="141" t="s">
        <v>75</v>
      </c>
      <c r="I258" s="141" t="s">
        <v>75</v>
      </c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6"/>
      <c r="AG258" s="6"/>
      <c r="AH258" s="35"/>
      <c r="AI258" s="35"/>
      <c r="AJ258" s="35"/>
      <c r="AK258" s="35"/>
      <c r="AL258" s="6"/>
      <c r="AM258" s="6"/>
      <c r="AN258" s="35"/>
      <c r="AO258" s="6"/>
      <c r="AP258" s="6"/>
      <c r="AQ258" s="34"/>
      <c r="AR258" s="35"/>
      <c r="AS258" s="35"/>
      <c r="AT258" s="35"/>
      <c r="AU258" s="6"/>
      <c r="AV258" s="6"/>
      <c r="AW258" s="35"/>
      <c r="AX258" s="6"/>
      <c r="AY258" s="6"/>
      <c r="AZ258" s="35"/>
      <c r="BA258" s="35"/>
      <c r="BB258" s="35"/>
      <c r="BC258" s="35"/>
      <c r="BD258" s="35"/>
      <c r="BE258" s="6"/>
      <c r="BF258" s="35"/>
      <c r="BG258" s="6"/>
      <c r="BH258" s="6"/>
      <c r="BI258" s="6"/>
      <c r="BJ258" s="6"/>
      <c r="BK258" s="6"/>
      <c r="BL258" s="6"/>
      <c r="BM258" s="35"/>
      <c r="BN258" s="35"/>
      <c r="BO258" s="6"/>
      <c r="BP258" s="35"/>
      <c r="BQ258" s="35"/>
      <c r="BR258" s="35"/>
      <c r="BS258" s="35"/>
      <c r="BT258" s="35"/>
      <c r="BU258" s="6"/>
      <c r="BV258" s="6"/>
      <c r="BW258" s="6"/>
      <c r="BX258" s="35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10"/>
      <c r="DH258" s="6"/>
      <c r="DI258" s="6"/>
      <c r="DJ258" s="10"/>
      <c r="DK258" s="6"/>
      <c r="DL258" s="6"/>
      <c r="DM258" s="10"/>
      <c r="DN258" s="6"/>
      <c r="DO258" s="6"/>
      <c r="DP258" s="10"/>
      <c r="DQ258" s="6"/>
    </row>
    <row r="259" spans="1:121">
      <c r="A259" s="6">
        <v>255</v>
      </c>
      <c r="B259" s="6">
        <v>0</v>
      </c>
      <c r="C259" s="10"/>
      <c r="D259" s="6">
        <v>0</v>
      </c>
      <c r="E259" s="141" t="s">
        <v>75</v>
      </c>
      <c r="F259" s="141" t="s">
        <v>75</v>
      </c>
      <c r="G259" s="141" t="s">
        <v>75</v>
      </c>
      <c r="H259" s="141" t="s">
        <v>75</v>
      </c>
      <c r="I259" s="141" t="s">
        <v>75</v>
      </c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6"/>
      <c r="AG259" s="6"/>
      <c r="AH259" s="35"/>
      <c r="AI259" s="35"/>
      <c r="AJ259" s="35"/>
      <c r="AK259" s="35"/>
      <c r="AL259" s="6"/>
      <c r="AM259" s="6"/>
      <c r="AN259" s="35"/>
      <c r="AO259" s="6"/>
      <c r="AP259" s="6"/>
      <c r="AQ259" s="34"/>
      <c r="AR259" s="35"/>
      <c r="AS259" s="35"/>
      <c r="AT259" s="35"/>
      <c r="AU259" s="6"/>
      <c r="AV259" s="6"/>
      <c r="AW259" s="35"/>
      <c r="AX259" s="6"/>
      <c r="AY259" s="6"/>
      <c r="AZ259" s="35"/>
      <c r="BA259" s="35"/>
      <c r="BB259" s="35"/>
      <c r="BC259" s="35"/>
      <c r="BD259" s="35"/>
      <c r="BE259" s="6"/>
      <c r="BF259" s="35"/>
      <c r="BG259" s="6"/>
      <c r="BH259" s="6"/>
      <c r="BI259" s="6"/>
      <c r="BJ259" s="6"/>
      <c r="BK259" s="6"/>
      <c r="BL259" s="6"/>
      <c r="BM259" s="35"/>
      <c r="BN259" s="35"/>
      <c r="BO259" s="6"/>
      <c r="BP259" s="35"/>
      <c r="BQ259" s="35"/>
      <c r="BR259" s="35"/>
      <c r="BS259" s="35"/>
      <c r="BT259" s="35"/>
      <c r="BU259" s="6"/>
      <c r="BV259" s="6"/>
      <c r="BW259" s="6"/>
      <c r="BX259" s="35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10"/>
      <c r="DH259" s="6"/>
      <c r="DI259" s="6"/>
      <c r="DJ259" s="10"/>
      <c r="DK259" s="6"/>
      <c r="DL259" s="6"/>
      <c r="DM259" s="10"/>
      <c r="DN259" s="6"/>
      <c r="DO259" s="6"/>
      <c r="DP259" s="10"/>
      <c r="DQ259" s="6"/>
    </row>
    <row r="260" spans="1:121">
      <c r="A260" s="6">
        <v>256</v>
      </c>
      <c r="B260" s="6">
        <v>0</v>
      </c>
      <c r="C260" s="10"/>
      <c r="D260" s="6">
        <v>0</v>
      </c>
      <c r="E260" s="141" t="s">
        <v>75</v>
      </c>
      <c r="F260" s="141" t="s">
        <v>75</v>
      </c>
      <c r="G260" s="141" t="s">
        <v>75</v>
      </c>
      <c r="H260" s="141" t="s">
        <v>75</v>
      </c>
      <c r="I260" s="141" t="s">
        <v>75</v>
      </c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6"/>
      <c r="AG260" s="6"/>
      <c r="AH260" s="35"/>
      <c r="AI260" s="35"/>
      <c r="AJ260" s="35"/>
      <c r="AK260" s="35"/>
      <c r="AL260" s="6"/>
      <c r="AM260" s="6"/>
      <c r="AN260" s="35"/>
      <c r="AO260" s="6"/>
      <c r="AP260" s="6"/>
      <c r="AQ260" s="34"/>
      <c r="AR260" s="35"/>
      <c r="AS260" s="35"/>
      <c r="AT260" s="35"/>
      <c r="AU260" s="6"/>
      <c r="AV260" s="6"/>
      <c r="AW260" s="35"/>
      <c r="AX260" s="6"/>
      <c r="AY260" s="6"/>
      <c r="AZ260" s="35"/>
      <c r="BA260" s="35"/>
      <c r="BB260" s="35"/>
      <c r="BC260" s="35"/>
      <c r="BD260" s="35"/>
      <c r="BE260" s="6"/>
      <c r="BF260" s="35"/>
      <c r="BG260" s="6"/>
      <c r="BH260" s="6"/>
      <c r="BI260" s="6"/>
      <c r="BJ260" s="6"/>
      <c r="BK260" s="6"/>
      <c r="BL260" s="6"/>
      <c r="BM260" s="35"/>
      <c r="BN260" s="35"/>
      <c r="BO260" s="6"/>
      <c r="BP260" s="35"/>
      <c r="BQ260" s="35"/>
      <c r="BR260" s="35"/>
      <c r="BS260" s="35"/>
      <c r="BT260" s="35"/>
      <c r="BU260" s="6"/>
      <c r="BV260" s="6"/>
      <c r="BW260" s="6"/>
      <c r="BX260" s="35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10"/>
      <c r="DH260" s="6"/>
      <c r="DI260" s="6"/>
      <c r="DJ260" s="10"/>
      <c r="DK260" s="6"/>
      <c r="DL260" s="6"/>
      <c r="DM260" s="10"/>
      <c r="DN260" s="6"/>
      <c r="DO260" s="6"/>
      <c r="DP260" s="10"/>
      <c r="DQ260" s="6"/>
    </row>
    <row r="261" spans="1:121">
      <c r="A261" s="6">
        <v>257</v>
      </c>
      <c r="B261" s="6">
        <v>0</v>
      </c>
      <c r="C261" s="10"/>
      <c r="D261" s="6">
        <v>0</v>
      </c>
      <c r="E261" s="141" t="s">
        <v>75</v>
      </c>
      <c r="F261" s="141" t="s">
        <v>75</v>
      </c>
      <c r="G261" s="141" t="s">
        <v>75</v>
      </c>
      <c r="H261" s="141" t="s">
        <v>75</v>
      </c>
      <c r="I261" s="141" t="s">
        <v>75</v>
      </c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6"/>
      <c r="AG261" s="6"/>
      <c r="AH261" s="35"/>
      <c r="AI261" s="35"/>
      <c r="AJ261" s="35"/>
      <c r="AK261" s="35"/>
      <c r="AL261" s="6"/>
      <c r="AM261" s="6"/>
      <c r="AN261" s="35"/>
      <c r="AO261" s="6"/>
      <c r="AP261" s="6"/>
      <c r="AQ261" s="34"/>
      <c r="AR261" s="35"/>
      <c r="AS261" s="35"/>
      <c r="AT261" s="35"/>
      <c r="AU261" s="6"/>
      <c r="AV261" s="6"/>
      <c r="AW261" s="35"/>
      <c r="AX261" s="6"/>
      <c r="AY261" s="6"/>
      <c r="AZ261" s="35"/>
      <c r="BA261" s="35"/>
      <c r="BB261" s="35"/>
      <c r="BC261" s="35"/>
      <c r="BD261" s="35"/>
      <c r="BE261" s="6"/>
      <c r="BF261" s="35"/>
      <c r="BG261" s="6"/>
      <c r="BH261" s="6"/>
      <c r="BI261" s="6"/>
      <c r="BJ261" s="6"/>
      <c r="BK261" s="6"/>
      <c r="BL261" s="6"/>
      <c r="BM261" s="35"/>
      <c r="BN261" s="35"/>
      <c r="BO261" s="6"/>
      <c r="BP261" s="35"/>
      <c r="BQ261" s="35"/>
      <c r="BR261" s="35"/>
      <c r="BS261" s="35"/>
      <c r="BT261" s="35"/>
      <c r="BU261" s="6"/>
      <c r="BV261" s="6"/>
      <c r="BW261" s="6"/>
      <c r="BX261" s="35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10"/>
      <c r="DH261" s="6"/>
      <c r="DI261" s="6"/>
      <c r="DJ261" s="10"/>
      <c r="DK261" s="6"/>
      <c r="DL261" s="6"/>
      <c r="DM261" s="10"/>
      <c r="DN261" s="6"/>
      <c r="DO261" s="6"/>
      <c r="DP261" s="10"/>
      <c r="DQ261" s="6"/>
    </row>
    <row r="262" spans="1:121">
      <c r="A262" s="6">
        <v>258</v>
      </c>
      <c r="B262" s="6">
        <v>0</v>
      </c>
      <c r="C262" s="10"/>
      <c r="D262" s="6">
        <v>0</v>
      </c>
      <c r="E262" s="141" t="s">
        <v>75</v>
      </c>
      <c r="F262" s="141" t="s">
        <v>75</v>
      </c>
      <c r="G262" s="141" t="s">
        <v>75</v>
      </c>
      <c r="H262" s="141" t="s">
        <v>75</v>
      </c>
      <c r="I262" s="141" t="s">
        <v>75</v>
      </c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6"/>
      <c r="AG262" s="6"/>
      <c r="AH262" s="35"/>
      <c r="AI262" s="35"/>
      <c r="AJ262" s="35"/>
      <c r="AK262" s="35"/>
      <c r="AL262" s="6"/>
      <c r="AM262" s="6"/>
      <c r="AN262" s="35"/>
      <c r="AO262" s="6"/>
      <c r="AP262" s="6"/>
      <c r="AQ262" s="34"/>
      <c r="AR262" s="35"/>
      <c r="AS262" s="35"/>
      <c r="AT262" s="35"/>
      <c r="AU262" s="6"/>
      <c r="AV262" s="6"/>
      <c r="AW262" s="35"/>
      <c r="AX262" s="6"/>
      <c r="AY262" s="6"/>
      <c r="AZ262" s="35"/>
      <c r="BA262" s="35"/>
      <c r="BB262" s="35"/>
      <c r="BC262" s="35"/>
      <c r="BD262" s="35"/>
      <c r="BE262" s="6"/>
      <c r="BF262" s="35"/>
      <c r="BG262" s="6"/>
      <c r="BH262" s="6"/>
      <c r="BI262" s="6"/>
      <c r="BJ262" s="6"/>
      <c r="BK262" s="6"/>
      <c r="BL262" s="6"/>
      <c r="BM262" s="35"/>
      <c r="BN262" s="35"/>
      <c r="BO262" s="6"/>
      <c r="BP262" s="35"/>
      <c r="BQ262" s="35"/>
      <c r="BR262" s="35"/>
      <c r="BS262" s="35"/>
      <c r="BT262" s="35"/>
      <c r="BU262" s="6"/>
      <c r="BV262" s="6"/>
      <c r="BW262" s="6"/>
      <c r="BX262" s="35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10"/>
      <c r="DH262" s="6"/>
      <c r="DI262" s="6"/>
      <c r="DJ262" s="10"/>
      <c r="DK262" s="6"/>
      <c r="DL262" s="6"/>
      <c r="DM262" s="10"/>
      <c r="DN262" s="6"/>
      <c r="DO262" s="6"/>
      <c r="DP262" s="10"/>
      <c r="DQ262" s="6"/>
    </row>
    <row r="263" spans="1:121" ht="14.25" customHeight="1">
      <c r="A263" s="6">
        <v>259</v>
      </c>
      <c r="B263" s="6">
        <v>0</v>
      </c>
      <c r="C263" s="10"/>
      <c r="D263" s="6">
        <v>0</v>
      </c>
      <c r="E263" s="33" t="s">
        <v>75</v>
      </c>
      <c r="F263" s="33" t="s">
        <v>75</v>
      </c>
      <c r="G263" s="33" t="s">
        <v>75</v>
      </c>
      <c r="H263" s="33" t="s">
        <v>75</v>
      </c>
      <c r="I263" s="33" t="s">
        <v>75</v>
      </c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6"/>
      <c r="AG263" s="6"/>
      <c r="AH263" s="35"/>
      <c r="AI263" s="35"/>
      <c r="AJ263" s="35"/>
      <c r="AK263" s="35"/>
      <c r="AL263" s="6"/>
      <c r="AM263" s="6"/>
      <c r="AN263" s="35"/>
      <c r="AO263" s="6"/>
      <c r="AP263" s="6"/>
      <c r="AQ263" s="34"/>
      <c r="AR263" s="35"/>
      <c r="AS263" s="35"/>
      <c r="AT263" s="35"/>
      <c r="AU263" s="6"/>
      <c r="AV263" s="6"/>
      <c r="AW263" s="35"/>
      <c r="AX263" s="6"/>
      <c r="AY263" s="6"/>
      <c r="AZ263" s="35"/>
      <c r="BA263" s="35"/>
      <c r="BB263" s="35"/>
      <c r="BC263" s="35"/>
      <c r="BD263" s="35"/>
      <c r="BE263" s="6"/>
      <c r="BF263" s="35"/>
      <c r="BG263" s="6"/>
      <c r="BH263" s="6"/>
      <c r="BI263" s="6"/>
      <c r="BJ263" s="6"/>
      <c r="BK263" s="6"/>
      <c r="BL263" s="6"/>
      <c r="BM263" s="35"/>
      <c r="BN263" s="35"/>
      <c r="BO263" s="6"/>
      <c r="BP263" s="35"/>
      <c r="BQ263" s="35"/>
      <c r="BR263" s="35"/>
      <c r="BS263" s="35"/>
      <c r="BT263" s="35"/>
      <c r="BU263" s="6"/>
      <c r="BV263" s="6"/>
      <c r="BW263" s="6"/>
      <c r="BX263" s="35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10"/>
      <c r="DH263" s="6"/>
      <c r="DI263" s="6"/>
      <c r="DJ263" s="10"/>
      <c r="DK263" s="6"/>
      <c r="DL263" s="6"/>
      <c r="DM263" s="10"/>
      <c r="DN263" s="6"/>
      <c r="DO263" s="6"/>
      <c r="DP263" s="10"/>
      <c r="DQ263" s="6"/>
    </row>
    <row r="264" spans="1:121">
      <c r="A264" s="6">
        <v>260</v>
      </c>
      <c r="B264" s="6">
        <v>0</v>
      </c>
      <c r="C264" s="10"/>
      <c r="D264" s="6">
        <v>0</v>
      </c>
      <c r="E264" s="141" t="s">
        <v>75</v>
      </c>
      <c r="F264" s="141" t="s">
        <v>75</v>
      </c>
      <c r="G264" s="141" t="s">
        <v>75</v>
      </c>
      <c r="H264" s="141" t="s">
        <v>75</v>
      </c>
      <c r="I264" s="141" t="s">
        <v>75</v>
      </c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6"/>
      <c r="AG264" s="6"/>
      <c r="AH264" s="35"/>
      <c r="AI264" s="35"/>
      <c r="AJ264" s="35"/>
      <c r="AK264" s="35"/>
      <c r="AL264" s="6"/>
      <c r="AM264" s="6"/>
      <c r="AN264" s="35"/>
      <c r="AO264" s="6"/>
      <c r="AP264" s="6"/>
      <c r="AQ264" s="34"/>
      <c r="AR264" s="35"/>
      <c r="AS264" s="35"/>
      <c r="AT264" s="35"/>
      <c r="AU264" s="6"/>
      <c r="AV264" s="6"/>
      <c r="AW264" s="35"/>
      <c r="AX264" s="6"/>
      <c r="AY264" s="6"/>
      <c r="AZ264" s="35"/>
      <c r="BA264" s="35"/>
      <c r="BB264" s="35"/>
      <c r="BC264" s="35"/>
      <c r="BD264" s="35"/>
      <c r="BE264" s="6"/>
      <c r="BF264" s="35"/>
      <c r="BG264" s="6"/>
      <c r="BH264" s="6"/>
      <c r="BI264" s="6"/>
      <c r="BJ264" s="6"/>
      <c r="BK264" s="6"/>
      <c r="BL264" s="6"/>
      <c r="BM264" s="35"/>
      <c r="BN264" s="35"/>
      <c r="BO264" s="6"/>
      <c r="BP264" s="35"/>
      <c r="BQ264" s="35"/>
      <c r="BR264" s="35"/>
      <c r="BS264" s="35"/>
      <c r="BT264" s="35"/>
      <c r="BU264" s="6"/>
      <c r="BV264" s="6"/>
      <c r="BW264" s="6"/>
      <c r="BX264" s="35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10"/>
      <c r="DH264" s="6"/>
      <c r="DI264" s="6"/>
      <c r="DJ264" s="10"/>
      <c r="DK264" s="6"/>
      <c r="DL264" s="6"/>
      <c r="DM264" s="10"/>
      <c r="DN264" s="6"/>
      <c r="DO264" s="6"/>
      <c r="DP264" s="10"/>
      <c r="DQ264" s="6"/>
    </row>
    <row r="265" spans="1:121">
      <c r="A265" s="6">
        <v>361</v>
      </c>
      <c r="B265" s="6">
        <v>0</v>
      </c>
      <c r="C265" s="10"/>
      <c r="D265" s="6">
        <v>0</v>
      </c>
      <c r="E265" s="33" t="s">
        <v>110</v>
      </c>
      <c r="F265" s="33" t="s">
        <v>110</v>
      </c>
      <c r="G265" s="33" t="s">
        <v>110</v>
      </c>
      <c r="H265" s="33" t="s">
        <v>110</v>
      </c>
      <c r="I265" s="33" t="s">
        <v>110</v>
      </c>
      <c r="J265" s="33" t="s">
        <v>110</v>
      </c>
      <c r="K265" s="33" t="s">
        <v>110</v>
      </c>
      <c r="L265" s="33" t="s">
        <v>110</v>
      </c>
      <c r="M265" s="33" t="s">
        <v>110</v>
      </c>
      <c r="N265" s="33" t="s">
        <v>110</v>
      </c>
      <c r="O265" s="33" t="s">
        <v>110</v>
      </c>
      <c r="P265" s="33" t="s">
        <v>110</v>
      </c>
      <c r="Q265" s="33" t="s">
        <v>110</v>
      </c>
      <c r="R265" s="33" t="s">
        <v>110</v>
      </c>
      <c r="S265" s="33" t="s">
        <v>110</v>
      </c>
      <c r="T265" s="33" t="s">
        <v>110</v>
      </c>
      <c r="U265" s="33" t="s">
        <v>110</v>
      </c>
      <c r="V265" s="33" t="s">
        <v>110</v>
      </c>
      <c r="W265" s="33" t="s">
        <v>110</v>
      </c>
      <c r="X265" s="33" t="s">
        <v>110</v>
      </c>
      <c r="Y265" s="33" t="s">
        <v>110</v>
      </c>
      <c r="Z265" s="33" t="s">
        <v>110</v>
      </c>
      <c r="AA265" s="33" t="s">
        <v>110</v>
      </c>
      <c r="AB265" s="33" t="s">
        <v>110</v>
      </c>
      <c r="AC265" s="33" t="s">
        <v>110</v>
      </c>
      <c r="AD265" s="33" t="s">
        <v>110</v>
      </c>
      <c r="AE265" s="33" t="s">
        <v>110</v>
      </c>
      <c r="AF265" s="6"/>
      <c r="AG265" s="6"/>
      <c r="AH265" s="35"/>
      <c r="AI265" s="35"/>
      <c r="AJ265" s="35"/>
      <c r="AK265" s="35"/>
      <c r="AL265" s="6"/>
      <c r="AM265" s="6"/>
      <c r="AN265" s="35"/>
      <c r="AO265" s="34"/>
      <c r="AP265" s="34"/>
      <c r="AQ265" s="34"/>
      <c r="AR265" s="35"/>
      <c r="AS265" s="35"/>
      <c r="AT265" s="35"/>
      <c r="AU265" s="6"/>
      <c r="AV265" s="6"/>
      <c r="AW265" s="35"/>
      <c r="AX265" s="6"/>
      <c r="AY265" s="6"/>
      <c r="AZ265" s="35"/>
      <c r="BA265" s="35"/>
      <c r="BB265" s="6"/>
      <c r="BC265" s="35"/>
      <c r="BD265" s="35"/>
      <c r="BE265" s="6"/>
      <c r="BF265" s="35"/>
      <c r="BG265" s="6"/>
      <c r="BH265" s="6"/>
      <c r="BI265" s="6"/>
      <c r="BJ265" s="6"/>
      <c r="BK265" s="6"/>
      <c r="BL265" s="6"/>
      <c r="BM265" s="35"/>
      <c r="BN265" s="35"/>
      <c r="BO265" s="6"/>
      <c r="BP265" s="35"/>
      <c r="BQ265" s="35"/>
      <c r="BR265" s="35"/>
      <c r="BS265" s="35"/>
      <c r="BT265" s="35"/>
      <c r="BU265" s="6"/>
      <c r="BV265" s="6"/>
      <c r="BW265" s="6"/>
      <c r="BX265" s="35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>
        <v>33</v>
      </c>
      <c r="DA265" s="6"/>
      <c r="DB265" s="6">
        <f>DA265+CZ265-CW265</f>
        <v>33</v>
      </c>
      <c r="DC265" s="6">
        <v>47</v>
      </c>
      <c r="DD265" s="6"/>
      <c r="DE265" s="6">
        <f>DD265+DC265-CZ265</f>
        <v>14</v>
      </c>
      <c r="DF265" s="6">
        <v>47</v>
      </c>
      <c r="DG265" s="10"/>
      <c r="DH265" s="6">
        <f>DG265+DF265-DC265</f>
        <v>0</v>
      </c>
      <c r="DI265" s="6"/>
      <c r="DJ265" s="10"/>
      <c r="DK265" s="6"/>
      <c r="DL265" s="6">
        <v>47</v>
      </c>
      <c r="DM265" s="10"/>
      <c r="DN265" s="6">
        <f>DM265+DL265-DF265</f>
        <v>0</v>
      </c>
      <c r="DO265" s="6">
        <v>47</v>
      </c>
      <c r="DP265" s="10"/>
      <c r="DQ265" s="6">
        <f>DP265+DO265-DL265</f>
        <v>0</v>
      </c>
    </row>
    <row r="266" spans="1:121">
      <c r="A266" s="6">
        <v>362</v>
      </c>
      <c r="B266" s="6">
        <v>0</v>
      </c>
      <c r="C266" s="10"/>
      <c r="D266" s="6">
        <v>0</v>
      </c>
      <c r="E266" s="33" t="s">
        <v>111</v>
      </c>
      <c r="F266" s="33" t="s">
        <v>111</v>
      </c>
      <c r="G266" s="33" t="s">
        <v>111</v>
      </c>
      <c r="H266" s="33" t="s">
        <v>111</v>
      </c>
      <c r="I266" s="33" t="s">
        <v>111</v>
      </c>
      <c r="J266" s="33" t="s">
        <v>111</v>
      </c>
      <c r="K266" s="33" t="s">
        <v>111</v>
      </c>
      <c r="L266" s="33" t="s">
        <v>111</v>
      </c>
      <c r="M266" s="33" t="s">
        <v>111</v>
      </c>
      <c r="N266" s="33" t="s">
        <v>111</v>
      </c>
      <c r="O266" s="33" t="s">
        <v>111</v>
      </c>
      <c r="P266" s="33" t="s">
        <v>111</v>
      </c>
      <c r="Q266" s="33" t="s">
        <v>111</v>
      </c>
      <c r="R266" s="33" t="s">
        <v>111</v>
      </c>
      <c r="S266" s="33" t="s">
        <v>111</v>
      </c>
      <c r="T266" s="33" t="s">
        <v>111</v>
      </c>
      <c r="U266" s="33" t="s">
        <v>111</v>
      </c>
      <c r="V266" s="33" t="s">
        <v>111</v>
      </c>
      <c r="W266" s="33" t="s">
        <v>111</v>
      </c>
      <c r="X266" s="33" t="s">
        <v>111</v>
      </c>
      <c r="Y266" s="33" t="s">
        <v>111</v>
      </c>
      <c r="Z266" s="33" t="s">
        <v>111</v>
      </c>
      <c r="AA266" s="33" t="s">
        <v>111</v>
      </c>
      <c r="AB266" s="33" t="s">
        <v>111</v>
      </c>
      <c r="AC266" s="33" t="s">
        <v>111</v>
      </c>
      <c r="AD266" s="33" t="s">
        <v>111</v>
      </c>
      <c r="AE266" s="33" t="s">
        <v>111</v>
      </c>
      <c r="AF266" s="6"/>
      <c r="AG266" s="6"/>
      <c r="AH266" s="35"/>
      <c r="AI266" s="35"/>
      <c r="AJ266" s="35"/>
      <c r="AK266" s="35"/>
      <c r="AL266" s="6"/>
      <c r="AM266" s="6"/>
      <c r="AN266" s="35"/>
      <c r="AO266" s="34"/>
      <c r="AP266" s="34"/>
      <c r="AQ266" s="34"/>
      <c r="AR266" s="35"/>
      <c r="AS266" s="35"/>
      <c r="AT266" s="35"/>
      <c r="AU266" s="6"/>
      <c r="AV266" s="6"/>
      <c r="AW266" s="35"/>
      <c r="AX266" s="6"/>
      <c r="AY266" s="6"/>
      <c r="AZ266" s="35"/>
      <c r="BA266" s="35"/>
      <c r="BB266" s="6"/>
      <c r="BC266" s="35"/>
      <c r="BD266" s="35"/>
      <c r="BE266" s="6"/>
      <c r="BF266" s="35"/>
      <c r="BG266" s="6"/>
      <c r="BH266" s="6"/>
      <c r="BI266" s="6"/>
      <c r="BJ266" s="6"/>
      <c r="BK266" s="6"/>
      <c r="BL266" s="6"/>
      <c r="BM266" s="35"/>
      <c r="BN266" s="35"/>
      <c r="BO266" s="6"/>
      <c r="BP266" s="35"/>
      <c r="BQ266" s="35"/>
      <c r="BR266" s="35"/>
      <c r="BS266" s="35"/>
      <c r="BT266" s="35"/>
      <c r="BU266" s="6"/>
      <c r="BV266" s="6"/>
      <c r="BW266" s="6"/>
      <c r="BX266" s="35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>
        <v>23</v>
      </c>
      <c r="DA266" s="6"/>
      <c r="DB266" s="6">
        <f>DA266+CZ266-CW266</f>
        <v>23</v>
      </c>
      <c r="DC266" s="6">
        <v>34</v>
      </c>
      <c r="DD266" s="6"/>
      <c r="DE266" s="6">
        <f>DD266+DC266-CZ266</f>
        <v>11</v>
      </c>
      <c r="DF266" s="6">
        <v>34</v>
      </c>
      <c r="DG266" s="10"/>
      <c r="DH266" s="6">
        <f>DG266+DF266-DC266</f>
        <v>0</v>
      </c>
      <c r="DI266" s="6"/>
      <c r="DJ266" s="10"/>
      <c r="DK266" s="6"/>
      <c r="DL266" s="6">
        <v>34</v>
      </c>
      <c r="DM266" s="10"/>
      <c r="DN266" s="6">
        <f>DM266+DL266-DF266</f>
        <v>0</v>
      </c>
      <c r="DO266" s="6">
        <v>34</v>
      </c>
      <c r="DP266" s="10"/>
      <c r="DQ266" s="6">
        <f>DP266+DO266-DL266</f>
        <v>0</v>
      </c>
    </row>
    <row r="267" spans="1:121">
      <c r="A267" s="6" t="s">
        <v>293</v>
      </c>
      <c r="B267" s="6"/>
      <c r="C267" s="10"/>
      <c r="D267" s="6"/>
      <c r="E267" s="33"/>
      <c r="F267" s="33"/>
      <c r="G267" s="33"/>
      <c r="H267" s="33"/>
      <c r="I267" s="33"/>
      <c r="J267" s="148" t="s">
        <v>246</v>
      </c>
      <c r="K267" s="33" t="s">
        <v>246</v>
      </c>
      <c r="L267" s="33" t="s">
        <v>246</v>
      </c>
      <c r="M267" s="33" t="s">
        <v>246</v>
      </c>
      <c r="N267" s="33" t="s">
        <v>246</v>
      </c>
      <c r="O267" s="33" t="s">
        <v>246</v>
      </c>
      <c r="P267" s="33"/>
      <c r="Q267" s="33"/>
      <c r="R267" s="33"/>
      <c r="S267" s="33"/>
      <c r="T267" s="148" t="s">
        <v>246</v>
      </c>
      <c r="U267" s="33" t="s">
        <v>246</v>
      </c>
      <c r="V267" s="33" t="s">
        <v>246</v>
      </c>
      <c r="W267" s="33" t="s">
        <v>246</v>
      </c>
      <c r="X267" s="33" t="s">
        <v>246</v>
      </c>
      <c r="Y267" s="33" t="s">
        <v>246</v>
      </c>
      <c r="Z267" s="33" t="s">
        <v>246</v>
      </c>
      <c r="AA267" s="33" t="s">
        <v>246</v>
      </c>
      <c r="AB267" s="33" t="s">
        <v>246</v>
      </c>
      <c r="AC267" s="33" t="s">
        <v>246</v>
      </c>
      <c r="AD267" s="33" t="s">
        <v>246</v>
      </c>
      <c r="AE267" s="33" t="s">
        <v>246</v>
      </c>
      <c r="AF267" s="6"/>
      <c r="AG267" s="6"/>
      <c r="AH267" s="35"/>
      <c r="AI267" s="35"/>
      <c r="AJ267" s="35"/>
      <c r="AK267" s="35"/>
      <c r="AL267" s="6"/>
      <c r="AM267" s="6"/>
      <c r="AN267" s="35"/>
      <c r="AO267" s="34"/>
      <c r="AP267" s="34"/>
      <c r="AQ267" s="34"/>
      <c r="AR267" s="35"/>
      <c r="AS267" s="35"/>
      <c r="AT267" s="35"/>
      <c r="AU267" s="6">
        <v>201</v>
      </c>
      <c r="AV267" s="6"/>
      <c r="AW267" s="35">
        <f>AV267+AU267-AR267</f>
        <v>201</v>
      </c>
      <c r="AX267" s="6"/>
      <c r="AY267" s="6"/>
      <c r="AZ267" s="35"/>
      <c r="BA267" s="35">
        <v>428</v>
      </c>
      <c r="BB267" s="6"/>
      <c r="BC267" s="35">
        <f>BB267+BA267-AU267</f>
        <v>227</v>
      </c>
      <c r="BD267" s="35">
        <v>202</v>
      </c>
      <c r="BE267" s="6">
        <v>450</v>
      </c>
      <c r="BF267" s="35">
        <f>BE267+BD267-BA267</f>
        <v>224</v>
      </c>
      <c r="BG267" s="6">
        <v>428</v>
      </c>
      <c r="BH267" s="6"/>
      <c r="BI267" s="6">
        <f>BH267+BG267-BD267</f>
        <v>226</v>
      </c>
      <c r="BJ267" s="6">
        <v>0</v>
      </c>
      <c r="BK267" s="6">
        <v>503</v>
      </c>
      <c r="BL267" s="6">
        <f>BK267+BJ267-BG267</f>
        <v>75</v>
      </c>
      <c r="BM267" s="35"/>
      <c r="BN267" s="35"/>
      <c r="BO267" s="6"/>
      <c r="BP267" s="35"/>
      <c r="BQ267" s="35"/>
      <c r="BR267" s="35"/>
      <c r="BS267" s="35"/>
      <c r="BT267" s="35"/>
      <c r="BU267" s="6"/>
      <c r="BV267" s="6"/>
      <c r="BW267" s="6"/>
      <c r="BX267" s="35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>
        <v>22</v>
      </c>
      <c r="DA267" s="6"/>
      <c r="DB267" s="6">
        <f>DA267+CZ267-CW267</f>
        <v>22</v>
      </c>
      <c r="DC267" s="6">
        <v>35</v>
      </c>
      <c r="DD267" s="6"/>
      <c r="DE267" s="6">
        <f>DD267+DC267-CZ267</f>
        <v>13</v>
      </c>
      <c r="DF267" s="6">
        <v>35</v>
      </c>
      <c r="DG267" s="10"/>
      <c r="DH267" s="6">
        <f>DG267+DF267-DC267</f>
        <v>0</v>
      </c>
      <c r="DI267" s="6"/>
      <c r="DJ267" s="10"/>
      <c r="DK267" s="6"/>
      <c r="DL267" s="6">
        <v>35</v>
      </c>
      <c r="DM267" s="10"/>
      <c r="DN267" s="6">
        <f>DM267+DL267-DF267</f>
        <v>0</v>
      </c>
      <c r="DO267" s="6">
        <v>35</v>
      </c>
      <c r="DP267" s="10"/>
      <c r="DQ267" s="6">
        <f>DP267+DO267-DL267</f>
        <v>0</v>
      </c>
    </row>
    <row r="268" spans="1:121">
      <c r="A268" s="6" t="s">
        <v>1</v>
      </c>
      <c r="B268" s="35"/>
      <c r="C268" s="35">
        <f>SUM(C5:C266)</f>
        <v>52234</v>
      </c>
      <c r="D268" s="35">
        <f>SUM(D5:D266)</f>
        <v>66050</v>
      </c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  <c r="AA268" s="142"/>
      <c r="AB268" s="142"/>
      <c r="AC268" s="142"/>
      <c r="AD268" s="142"/>
      <c r="AE268" s="142"/>
      <c r="AF268" s="35"/>
      <c r="AG268" s="35">
        <f>SUBTOTAL(9,AG4:AG266)</f>
        <v>71268</v>
      </c>
      <c r="AH268" s="35">
        <f t="shared" ref="AH268:AT268" si="104">SUBTOTAL(9,AH4:AH266)</f>
        <v>76490</v>
      </c>
      <c r="AI268" s="35"/>
      <c r="AJ268" s="35">
        <f t="shared" si="104"/>
        <v>86370</v>
      </c>
      <c r="AK268" s="35">
        <f t="shared" si="104"/>
        <v>70411</v>
      </c>
      <c r="AL268" s="35"/>
      <c r="AM268" s="35">
        <f t="shared" si="104"/>
        <v>66953</v>
      </c>
      <c r="AN268" s="35">
        <f t="shared" si="104"/>
        <v>70946</v>
      </c>
      <c r="AO268" s="35"/>
      <c r="AP268" s="35">
        <f t="shared" si="104"/>
        <v>67571</v>
      </c>
      <c r="AQ268" s="35">
        <f t="shared" si="104"/>
        <v>69630</v>
      </c>
      <c r="AR268" s="35"/>
      <c r="AS268" s="35">
        <f t="shared" si="104"/>
        <v>78031</v>
      </c>
      <c r="AT268" s="35">
        <f t="shared" si="104"/>
        <v>69962</v>
      </c>
      <c r="AU268" s="35"/>
      <c r="AV268" s="35">
        <f>SUBTOTAL(9,AV4:AV267)</f>
        <v>54425</v>
      </c>
      <c r="AW268" s="35">
        <f t="shared" ref="AW268:DH268" si="105">SUBTOTAL(9,AW4:AW267)</f>
        <v>65799</v>
      </c>
      <c r="AX268" s="35">
        <f t="shared" si="105"/>
        <v>0</v>
      </c>
      <c r="AY268" s="35">
        <f t="shared" si="105"/>
        <v>0</v>
      </c>
      <c r="AZ268" s="35">
        <f t="shared" si="105"/>
        <v>0</v>
      </c>
      <c r="BA268" s="35"/>
      <c r="BB268" s="35">
        <f t="shared" si="105"/>
        <v>91283</v>
      </c>
      <c r="BC268" s="35">
        <f>SUBTOTAL(9,BC4:BC267)</f>
        <v>69816</v>
      </c>
      <c r="BD268" s="35"/>
      <c r="BE268" s="35">
        <f t="shared" si="105"/>
        <v>55991</v>
      </c>
      <c r="BF268" s="35">
        <f t="shared" si="105"/>
        <v>68061</v>
      </c>
      <c r="BG268" s="35"/>
      <c r="BH268" s="35">
        <f t="shared" si="105"/>
        <v>69316</v>
      </c>
      <c r="BI268" s="35">
        <f t="shared" si="105"/>
        <v>68059</v>
      </c>
      <c r="BJ268" s="35"/>
      <c r="BK268" s="35">
        <f t="shared" si="105"/>
        <v>64228</v>
      </c>
      <c r="BL268" s="35">
        <f t="shared" si="105"/>
        <v>68400</v>
      </c>
      <c r="BM268" s="35"/>
      <c r="BN268" s="35">
        <f t="shared" si="105"/>
        <v>82061</v>
      </c>
      <c r="BO268" s="35">
        <f t="shared" si="105"/>
        <v>69909</v>
      </c>
      <c r="BP268" s="35"/>
      <c r="BQ268" s="35">
        <f t="shared" si="105"/>
        <v>46556</v>
      </c>
      <c r="BR268" s="35">
        <f t="shared" si="105"/>
        <v>65814</v>
      </c>
      <c r="BS268" s="35">
        <f t="shared" si="105"/>
        <v>0</v>
      </c>
      <c r="BT268" s="35">
        <f t="shared" si="105"/>
        <v>0</v>
      </c>
      <c r="BU268" s="35">
        <f t="shared" si="105"/>
        <v>0</v>
      </c>
      <c r="BV268" s="35"/>
      <c r="BW268" s="35">
        <f t="shared" si="105"/>
        <v>70612</v>
      </c>
      <c r="BX268" s="35">
        <f t="shared" si="105"/>
        <v>72438</v>
      </c>
      <c r="BY268" s="35"/>
      <c r="BZ268" s="35">
        <f t="shared" si="105"/>
        <v>86676</v>
      </c>
      <c r="CA268" s="35">
        <f t="shared" si="105"/>
        <v>72251</v>
      </c>
      <c r="CB268" s="35"/>
      <c r="CC268" s="35">
        <f t="shared" si="105"/>
        <v>69644</v>
      </c>
      <c r="CD268" s="35">
        <f>SUBTOTAL(9,CD4:CD267)</f>
        <v>71808</v>
      </c>
      <c r="CE268" s="35"/>
      <c r="CF268" s="35">
        <f>SUBTOTAL(9,CF4:CF267)</f>
        <v>70133</v>
      </c>
      <c r="CG268" s="35">
        <f t="shared" si="105"/>
        <v>73811</v>
      </c>
      <c r="CH268" s="35"/>
      <c r="CI268" s="35">
        <f t="shared" si="105"/>
        <v>75156</v>
      </c>
      <c r="CJ268" s="35">
        <f t="shared" si="105"/>
        <v>73213</v>
      </c>
      <c r="CK268" s="35"/>
      <c r="CL268" s="35">
        <f t="shared" si="105"/>
        <v>70590</v>
      </c>
      <c r="CM268" s="35">
        <f t="shared" si="105"/>
        <v>71352</v>
      </c>
      <c r="CN268" s="35"/>
      <c r="CO268" s="35"/>
      <c r="CP268" s="35"/>
      <c r="CQ268" s="35"/>
      <c r="CR268" s="35">
        <f t="shared" si="105"/>
        <v>78032</v>
      </c>
      <c r="CS268" s="35">
        <f t="shared" si="105"/>
        <v>74724</v>
      </c>
      <c r="CT268" s="35"/>
      <c r="CU268" s="35">
        <f t="shared" si="105"/>
        <v>72691</v>
      </c>
      <c r="CV268" s="35">
        <f t="shared" si="105"/>
        <v>74314</v>
      </c>
      <c r="CW268" s="35"/>
      <c r="CX268" s="35">
        <f t="shared" si="105"/>
        <v>71008</v>
      </c>
      <c r="CY268" s="35">
        <f t="shared" si="105"/>
        <v>73902</v>
      </c>
      <c r="CZ268" s="35"/>
      <c r="DA268" s="35">
        <f t="shared" si="105"/>
        <v>61455</v>
      </c>
      <c r="DB268" s="35">
        <f t="shared" si="105"/>
        <v>71017</v>
      </c>
      <c r="DC268" s="35"/>
      <c r="DD268" s="35">
        <f t="shared" si="105"/>
        <v>90220</v>
      </c>
      <c r="DE268" s="35">
        <f t="shared" si="105"/>
        <v>74053</v>
      </c>
      <c r="DF268" s="35"/>
      <c r="DG268" s="35">
        <f t="shared" si="105"/>
        <v>74131</v>
      </c>
      <c r="DH268" s="35">
        <f t="shared" si="105"/>
        <v>70107</v>
      </c>
      <c r="DI268" s="35">
        <f t="shared" ref="DI268:DQ268" si="106">SUBTOTAL(9,DI4:DI267)</f>
        <v>0</v>
      </c>
      <c r="DJ268" s="35">
        <f t="shared" si="106"/>
        <v>0</v>
      </c>
      <c r="DK268" s="35">
        <f t="shared" si="106"/>
        <v>0</v>
      </c>
      <c r="DL268" s="35">
        <f t="shared" si="106"/>
        <v>148548</v>
      </c>
      <c r="DM268" s="35">
        <f t="shared" si="106"/>
        <v>58316</v>
      </c>
      <c r="DN268" s="35">
        <f t="shared" si="106"/>
        <v>74081</v>
      </c>
      <c r="DO268" s="35"/>
      <c r="DP268" s="35">
        <f t="shared" si="106"/>
        <v>82607</v>
      </c>
      <c r="DQ268" s="35">
        <f t="shared" si="106"/>
        <v>68671</v>
      </c>
    </row>
    <row r="269" spans="1:121">
      <c r="A269" s="5"/>
      <c r="B269" s="29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O269" s="29"/>
      <c r="BC269" s="29"/>
      <c r="BD269" s="29"/>
      <c r="BG269" s="29"/>
      <c r="BH269" s="29"/>
      <c r="BI269" s="29"/>
      <c r="BS269" s="29"/>
      <c r="BT269" s="29"/>
      <c r="BU269" s="29"/>
      <c r="BV269" s="29"/>
      <c r="BZ269" s="29"/>
      <c r="CA269" s="29"/>
      <c r="CB269" s="29"/>
      <c r="CC269" s="29"/>
      <c r="CF269" s="29"/>
      <c r="CG269" s="29"/>
      <c r="CJ269" s="29"/>
      <c r="CL269" s="29"/>
      <c r="CM269" s="29"/>
      <c r="CR269" s="29"/>
      <c r="CS269" s="29"/>
      <c r="CX269" s="29"/>
      <c r="CY269" s="29"/>
    </row>
    <row r="270" spans="1:121">
      <c r="A270" s="5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K270" s="29"/>
      <c r="BF270" s="29"/>
      <c r="BG270" s="29"/>
      <c r="BL270" s="29"/>
      <c r="BZ270" s="29"/>
      <c r="CA270" s="29"/>
      <c r="CC270" s="29"/>
      <c r="CD270" s="29"/>
      <c r="CG270" s="29"/>
    </row>
    <row r="271" spans="1:121">
      <c r="B271" s="9"/>
      <c r="AF271" s="9" t="s">
        <v>208</v>
      </c>
      <c r="AI271" s="9" t="s">
        <v>209</v>
      </c>
      <c r="AL271" s="9" t="s">
        <v>210</v>
      </c>
      <c r="AO271" s="9" t="s">
        <v>211</v>
      </c>
      <c r="AR271" s="9" t="s">
        <v>212</v>
      </c>
      <c r="AU271" s="4" t="s">
        <v>213</v>
      </c>
      <c r="AX271" s="9" t="s">
        <v>214</v>
      </c>
      <c r="BA271" s="9" t="s">
        <v>215</v>
      </c>
      <c r="BD271" s="9" t="s">
        <v>216</v>
      </c>
      <c r="BG271" s="9" t="s">
        <v>217</v>
      </c>
      <c r="BJ271" s="9" t="s">
        <v>218</v>
      </c>
      <c r="BM271" s="9" t="s">
        <v>219</v>
      </c>
      <c r="BP271" s="9" t="s">
        <v>220</v>
      </c>
      <c r="BS271" s="9" t="s">
        <v>221</v>
      </c>
      <c r="BV271" s="9" t="s">
        <v>222</v>
      </c>
      <c r="BY271" s="9" t="s">
        <v>223</v>
      </c>
      <c r="CB271" s="9" t="s">
        <v>224</v>
      </c>
      <c r="CE271" s="9" t="s">
        <v>256</v>
      </c>
      <c r="CH271" s="9" t="s">
        <v>225</v>
      </c>
      <c r="CK271" s="9" t="s">
        <v>226</v>
      </c>
      <c r="CN271" s="9" t="s">
        <v>227</v>
      </c>
      <c r="CQ271" s="9" t="s">
        <v>228</v>
      </c>
      <c r="CT271" s="9" t="s">
        <v>229</v>
      </c>
      <c r="CW271" s="9" t="s">
        <v>230</v>
      </c>
      <c r="CZ271" s="9" t="s">
        <v>231</v>
      </c>
      <c r="DC271" s="4" t="s">
        <v>232</v>
      </c>
      <c r="DE271" s="9"/>
      <c r="DF271" s="4" t="s">
        <v>233</v>
      </c>
      <c r="DH271" s="9"/>
      <c r="DI271" s="4" t="s">
        <v>234</v>
      </c>
      <c r="DK271" s="9"/>
      <c r="DL271" s="4" t="s">
        <v>235</v>
      </c>
      <c r="DN271" s="9"/>
      <c r="DO271" s="4" t="s">
        <v>236</v>
      </c>
      <c r="DQ271" s="5"/>
    </row>
    <row r="272" spans="1:121" s="4" customFormat="1">
      <c r="A272" s="23"/>
      <c r="B272" s="24"/>
      <c r="C272" s="24"/>
      <c r="D272" s="2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24" t="s">
        <v>41</v>
      </c>
      <c r="AG272" s="24" t="s">
        <v>4</v>
      </c>
      <c r="AH272" s="24" t="s">
        <v>2</v>
      </c>
      <c r="AI272" s="24" t="s">
        <v>41</v>
      </c>
      <c r="AJ272" s="24" t="s">
        <v>4</v>
      </c>
      <c r="AK272" s="24" t="s">
        <v>2</v>
      </c>
      <c r="AL272" s="24" t="s">
        <v>41</v>
      </c>
      <c r="AM272" s="24" t="s">
        <v>4</v>
      </c>
      <c r="AN272" s="24" t="s">
        <v>2</v>
      </c>
      <c r="AO272" s="24" t="s">
        <v>41</v>
      </c>
      <c r="AP272" s="24" t="s">
        <v>4</v>
      </c>
      <c r="AQ272" s="24" t="s">
        <v>2</v>
      </c>
      <c r="AR272" s="24" t="s">
        <v>41</v>
      </c>
      <c r="AS272" s="24" t="s">
        <v>4</v>
      </c>
      <c r="AT272" s="24" t="s">
        <v>2</v>
      </c>
      <c r="AU272" s="24" t="s">
        <v>41</v>
      </c>
      <c r="AV272" s="24" t="s">
        <v>4</v>
      </c>
      <c r="AW272" s="24" t="s">
        <v>2</v>
      </c>
      <c r="AX272" s="24" t="s">
        <v>41</v>
      </c>
      <c r="AY272" s="24" t="s">
        <v>4</v>
      </c>
      <c r="AZ272" s="24" t="s">
        <v>2</v>
      </c>
      <c r="BA272" s="24" t="s">
        <v>41</v>
      </c>
      <c r="BB272" s="24" t="s">
        <v>4</v>
      </c>
      <c r="BC272" s="24" t="s">
        <v>2</v>
      </c>
      <c r="BD272" s="24" t="s">
        <v>41</v>
      </c>
      <c r="BE272" s="24" t="s">
        <v>4</v>
      </c>
      <c r="BF272" s="24" t="s">
        <v>2</v>
      </c>
      <c r="BG272" s="24" t="s">
        <v>41</v>
      </c>
      <c r="BH272" s="24" t="s">
        <v>4</v>
      </c>
      <c r="BI272" s="24" t="s">
        <v>2</v>
      </c>
      <c r="BJ272" s="24" t="s">
        <v>41</v>
      </c>
      <c r="BK272" s="24" t="s">
        <v>4</v>
      </c>
      <c r="BL272" s="24" t="s">
        <v>2</v>
      </c>
      <c r="BM272" s="24" t="s">
        <v>41</v>
      </c>
      <c r="BN272" s="24" t="s">
        <v>4</v>
      </c>
      <c r="BO272" s="24" t="s">
        <v>2</v>
      </c>
      <c r="BP272" s="24" t="s">
        <v>41</v>
      </c>
      <c r="BQ272" s="24" t="s">
        <v>4</v>
      </c>
      <c r="BR272" s="24" t="s">
        <v>2</v>
      </c>
      <c r="BS272" s="24" t="s">
        <v>41</v>
      </c>
      <c r="BT272" s="24" t="s">
        <v>4</v>
      </c>
      <c r="BU272" s="24" t="s">
        <v>2</v>
      </c>
      <c r="BV272" s="24" t="s">
        <v>41</v>
      </c>
      <c r="BW272" s="24" t="s">
        <v>4</v>
      </c>
      <c r="BX272" s="24" t="s">
        <v>2</v>
      </c>
      <c r="BY272" s="24" t="s">
        <v>41</v>
      </c>
      <c r="BZ272" s="24" t="s">
        <v>4</v>
      </c>
      <c r="CA272" s="24" t="s">
        <v>2</v>
      </c>
      <c r="CB272" s="24" t="s">
        <v>41</v>
      </c>
      <c r="CC272" s="24" t="s">
        <v>4</v>
      </c>
      <c r="CD272" s="24" t="s">
        <v>2</v>
      </c>
      <c r="CE272" s="24" t="s">
        <v>41</v>
      </c>
      <c r="CF272" s="24" t="s">
        <v>4</v>
      </c>
      <c r="CG272" s="24" t="s">
        <v>2</v>
      </c>
      <c r="CH272" s="24" t="s">
        <v>41</v>
      </c>
      <c r="CI272" s="24" t="s">
        <v>4</v>
      </c>
      <c r="CJ272" s="24" t="s">
        <v>2</v>
      </c>
      <c r="CK272" s="24" t="s">
        <v>41</v>
      </c>
      <c r="CL272" s="24" t="s">
        <v>4</v>
      </c>
      <c r="CM272" s="24" t="s">
        <v>2</v>
      </c>
      <c r="CN272" s="24" t="s">
        <v>41</v>
      </c>
      <c r="CO272" s="24" t="s">
        <v>4</v>
      </c>
      <c r="CP272" s="24" t="s">
        <v>2</v>
      </c>
      <c r="CQ272" s="24" t="s">
        <v>41</v>
      </c>
      <c r="CR272" s="24" t="s">
        <v>4</v>
      </c>
      <c r="CS272" s="24" t="s">
        <v>2</v>
      </c>
      <c r="CT272" s="24" t="s">
        <v>41</v>
      </c>
      <c r="CU272" s="24" t="s">
        <v>4</v>
      </c>
      <c r="CV272" s="24" t="s">
        <v>2</v>
      </c>
      <c r="CW272" s="24" t="s">
        <v>41</v>
      </c>
      <c r="CX272" s="24" t="s">
        <v>4</v>
      </c>
      <c r="CY272" s="24" t="s">
        <v>2</v>
      </c>
      <c r="CZ272" s="24" t="s">
        <v>41</v>
      </c>
      <c r="DA272" s="24" t="s">
        <v>4</v>
      </c>
      <c r="DB272" s="24" t="s">
        <v>2</v>
      </c>
      <c r="DC272" s="24" t="s">
        <v>41</v>
      </c>
      <c r="DD272" s="24" t="s">
        <v>4</v>
      </c>
      <c r="DE272" s="24" t="s">
        <v>2</v>
      </c>
      <c r="DF272" s="24" t="s">
        <v>41</v>
      </c>
      <c r="DG272" s="24" t="s">
        <v>4</v>
      </c>
      <c r="DH272" s="24" t="s">
        <v>2</v>
      </c>
      <c r="DI272" s="24" t="s">
        <v>41</v>
      </c>
      <c r="DJ272" s="24" t="s">
        <v>4</v>
      </c>
      <c r="DK272" s="24" t="s">
        <v>2</v>
      </c>
      <c r="DL272" s="24" t="s">
        <v>41</v>
      </c>
      <c r="DM272" s="24" t="s">
        <v>4</v>
      </c>
      <c r="DN272" s="24" t="s">
        <v>2</v>
      </c>
      <c r="DO272" s="24" t="s">
        <v>41</v>
      </c>
      <c r="DP272" s="24" t="s">
        <v>4</v>
      </c>
      <c r="DQ272" s="24" t="s">
        <v>2</v>
      </c>
    </row>
    <row r="273" spans="1:123" s="4" customFormat="1" ht="16.5" customHeight="1">
      <c r="A273" s="73" t="s">
        <v>143</v>
      </c>
      <c r="B273" s="25"/>
      <c r="C273" s="25"/>
      <c r="D273" s="2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  <c r="AC273" s="145"/>
      <c r="AD273" s="145"/>
      <c r="AE273" s="145"/>
      <c r="AF273" s="25">
        <v>71</v>
      </c>
      <c r="AG273" s="25">
        <f>3520+28188</f>
        <v>31708</v>
      </c>
      <c r="AH273" s="25">
        <f>238+26955</f>
        <v>27193</v>
      </c>
      <c r="AI273" s="25">
        <v>71</v>
      </c>
      <c r="AJ273" s="25">
        <v>26187</v>
      </c>
      <c r="AK273" s="25">
        <v>25187</v>
      </c>
      <c r="AL273" s="25">
        <v>71</v>
      </c>
      <c r="AM273" s="25">
        <v>19845</v>
      </c>
      <c r="AN273" s="25">
        <v>24570</v>
      </c>
      <c r="AO273" s="25">
        <v>71</v>
      </c>
      <c r="AP273" s="25">
        <v>29673</v>
      </c>
      <c r="AQ273" s="25">
        <v>24149</v>
      </c>
      <c r="AR273" s="25">
        <v>71</v>
      </c>
      <c r="AS273" s="25">
        <v>31357</v>
      </c>
      <c r="AT273" s="25">
        <v>25246</v>
      </c>
      <c r="AU273" s="25">
        <v>70</v>
      </c>
      <c r="AV273" s="25">
        <v>18075</v>
      </c>
      <c r="AW273" s="25">
        <v>23597</v>
      </c>
      <c r="AX273" s="25"/>
      <c r="AY273" s="25"/>
      <c r="AZ273" s="25"/>
      <c r="BA273" s="25">
        <v>70</v>
      </c>
      <c r="BB273" s="25">
        <v>17973</v>
      </c>
      <c r="BC273" s="25">
        <v>25464</v>
      </c>
      <c r="BD273" s="25">
        <v>70</v>
      </c>
      <c r="BE273" s="25">
        <v>29231</v>
      </c>
      <c r="BF273" s="25">
        <v>24841</v>
      </c>
      <c r="BG273" s="25">
        <v>76</v>
      </c>
      <c r="BH273" s="25">
        <v>26264</v>
      </c>
      <c r="BI273" s="25">
        <v>27028</v>
      </c>
      <c r="BJ273" s="25">
        <v>80</v>
      </c>
      <c r="BK273" s="25">
        <v>27304</v>
      </c>
      <c r="BL273" s="25">
        <v>28244</v>
      </c>
      <c r="BM273" s="25">
        <v>84</v>
      </c>
      <c r="BN273" s="25">
        <v>20802</v>
      </c>
      <c r="BO273" s="25">
        <v>30087</v>
      </c>
      <c r="BP273" s="25">
        <v>85</v>
      </c>
      <c r="BQ273" s="25">
        <v>21530</v>
      </c>
      <c r="BR273" s="25">
        <v>28493</v>
      </c>
      <c r="BS273" s="25"/>
      <c r="BT273" s="25"/>
      <c r="BU273" s="25"/>
      <c r="BV273" s="25">
        <v>85</v>
      </c>
      <c r="BW273" s="25">
        <v>39115</v>
      </c>
      <c r="BX273" s="25">
        <v>31542</v>
      </c>
      <c r="BY273" s="25">
        <v>87</v>
      </c>
      <c r="BZ273" s="25">
        <v>33066</v>
      </c>
      <c r="CA273" s="25">
        <v>31806</v>
      </c>
      <c r="CB273" s="91">
        <v>88</v>
      </c>
      <c r="CC273" s="91">
        <v>31270</v>
      </c>
      <c r="CD273" s="91">
        <v>32723</v>
      </c>
      <c r="CE273" s="25">
        <v>91</v>
      </c>
      <c r="CF273" s="25">
        <v>20870</v>
      </c>
      <c r="CG273" s="25">
        <v>34152</v>
      </c>
      <c r="CH273" s="25">
        <v>91</v>
      </c>
      <c r="CI273" s="25">
        <v>46473</v>
      </c>
      <c r="CJ273" s="25">
        <v>33586</v>
      </c>
      <c r="CK273" s="25">
        <v>92</v>
      </c>
      <c r="CL273" s="25">
        <v>33871</v>
      </c>
      <c r="CM273" s="25">
        <v>32844</v>
      </c>
      <c r="CN273" s="25"/>
      <c r="CO273" s="25"/>
      <c r="CP273" s="25"/>
      <c r="CQ273" s="25">
        <v>94</v>
      </c>
      <c r="CR273" s="25">
        <v>32803</v>
      </c>
      <c r="CS273" s="25">
        <v>35217</v>
      </c>
      <c r="CT273" s="25">
        <v>94</v>
      </c>
      <c r="CU273" s="25">
        <v>27485</v>
      </c>
      <c r="CV273" s="25">
        <v>35186</v>
      </c>
      <c r="CW273" s="25">
        <v>94</v>
      </c>
      <c r="CX273" s="25">
        <v>40772</v>
      </c>
      <c r="CY273" s="25">
        <v>34752</v>
      </c>
      <c r="CZ273" s="25">
        <v>94</v>
      </c>
      <c r="DA273" s="25">
        <v>30915</v>
      </c>
      <c r="DB273" s="25">
        <v>34339</v>
      </c>
      <c r="DC273" s="25">
        <v>94</v>
      </c>
      <c r="DD273" s="25">
        <v>39826</v>
      </c>
      <c r="DE273" s="25">
        <v>35401</v>
      </c>
      <c r="DF273" s="25">
        <v>94</v>
      </c>
      <c r="DG273" s="25">
        <v>29297</v>
      </c>
      <c r="DH273" s="25">
        <v>33543</v>
      </c>
      <c r="DI273" s="25"/>
      <c r="DJ273" s="25"/>
      <c r="DK273" s="25"/>
      <c r="DL273" s="25">
        <v>94</v>
      </c>
      <c r="DM273" s="25">
        <v>29749</v>
      </c>
      <c r="DN273" s="25">
        <v>34839</v>
      </c>
      <c r="DO273" s="25">
        <v>94</v>
      </c>
      <c r="DP273" s="25">
        <v>47329</v>
      </c>
      <c r="DQ273" s="25">
        <v>32163</v>
      </c>
    </row>
    <row r="274" spans="1:123" s="28" customFormat="1">
      <c r="A274" s="74" t="s">
        <v>146</v>
      </c>
      <c r="B274" s="27"/>
      <c r="C274" s="27"/>
      <c r="D274" s="27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27">
        <v>45</v>
      </c>
      <c r="AG274" s="27">
        <v>8963</v>
      </c>
      <c r="AH274" s="27">
        <v>16623</v>
      </c>
      <c r="AI274" s="27">
        <v>45</v>
      </c>
      <c r="AJ274" s="27">
        <v>26277</v>
      </c>
      <c r="AK274" s="27">
        <v>16002</v>
      </c>
      <c r="AL274" s="27">
        <v>47</v>
      </c>
      <c r="AM274" s="27">
        <v>13519</v>
      </c>
      <c r="AN274" s="27">
        <v>16737</v>
      </c>
      <c r="AO274" s="27">
        <v>47</v>
      </c>
      <c r="AP274" s="27">
        <v>9883</v>
      </c>
      <c r="AQ274" s="27">
        <v>16409</v>
      </c>
      <c r="AR274" s="27">
        <v>47</v>
      </c>
      <c r="AS274" s="27">
        <v>17779</v>
      </c>
      <c r="AT274" s="27">
        <v>16711</v>
      </c>
      <c r="AU274" s="27">
        <v>48</v>
      </c>
      <c r="AV274" s="27">
        <v>10673</v>
      </c>
      <c r="AW274" s="27">
        <v>15795</v>
      </c>
      <c r="AX274" s="27"/>
      <c r="AY274" s="27"/>
      <c r="AZ274" s="27"/>
      <c r="BA274" s="76">
        <v>51</v>
      </c>
      <c r="BB274" s="76">
        <v>32521</v>
      </c>
      <c r="BC274" s="76">
        <v>18192</v>
      </c>
      <c r="BD274" s="27">
        <v>57</v>
      </c>
      <c r="BE274" s="27">
        <v>5831</v>
      </c>
      <c r="BF274" s="27">
        <v>19708</v>
      </c>
      <c r="BG274" s="27">
        <v>55</v>
      </c>
      <c r="BH274" s="27">
        <v>16036</v>
      </c>
      <c r="BI274" s="27">
        <v>19596</v>
      </c>
      <c r="BJ274" s="27">
        <v>55</v>
      </c>
      <c r="BK274" s="27">
        <v>15514</v>
      </c>
      <c r="BL274" s="27">
        <v>19578</v>
      </c>
      <c r="BM274" s="27">
        <v>55</v>
      </c>
      <c r="BN274" s="27">
        <v>34771</v>
      </c>
      <c r="BO274" s="27">
        <v>19531</v>
      </c>
      <c r="BP274" s="27">
        <v>55</v>
      </c>
      <c r="BQ274" s="27">
        <v>14086</v>
      </c>
      <c r="BR274" s="27">
        <v>18087</v>
      </c>
      <c r="BS274" s="27"/>
      <c r="BT274" s="27"/>
      <c r="BU274" s="27"/>
      <c r="BV274" s="27">
        <v>56</v>
      </c>
      <c r="BW274" s="27">
        <v>12071</v>
      </c>
      <c r="BX274" s="27">
        <v>20053</v>
      </c>
      <c r="BY274" s="27">
        <v>56</v>
      </c>
      <c r="BZ274" s="27">
        <v>24178</v>
      </c>
      <c r="CA274" s="27">
        <v>20253</v>
      </c>
      <c r="CB274" s="27">
        <v>56</v>
      </c>
      <c r="CC274" s="27">
        <v>22333</v>
      </c>
      <c r="CD274" s="27">
        <v>20489</v>
      </c>
      <c r="CE274" s="27">
        <v>56</v>
      </c>
      <c r="CF274" s="27">
        <v>26671</v>
      </c>
      <c r="CG274" s="27">
        <v>20891</v>
      </c>
      <c r="CH274" s="27">
        <v>56</v>
      </c>
      <c r="CI274" s="27">
        <v>9410</v>
      </c>
      <c r="CJ274" s="27">
        <v>20878</v>
      </c>
      <c r="CK274" s="179">
        <v>56</v>
      </c>
      <c r="CL274" s="27">
        <v>20862</v>
      </c>
      <c r="CM274" s="27">
        <v>20394</v>
      </c>
      <c r="CN274" s="27"/>
      <c r="CO274" s="27"/>
      <c r="CP274" s="27"/>
      <c r="CQ274" s="25">
        <v>56</v>
      </c>
      <c r="CR274" s="27">
        <v>25341</v>
      </c>
      <c r="CS274" s="25">
        <v>21227</v>
      </c>
      <c r="CT274" s="27">
        <v>56</v>
      </c>
      <c r="CU274" s="27">
        <v>27833</v>
      </c>
      <c r="CV274" s="27">
        <v>20935</v>
      </c>
      <c r="CW274" s="27">
        <v>56</v>
      </c>
      <c r="CX274" s="27">
        <v>10026</v>
      </c>
      <c r="CY274" s="27">
        <v>21284</v>
      </c>
      <c r="CZ274" s="27">
        <v>56</v>
      </c>
      <c r="DA274" s="27">
        <v>13957</v>
      </c>
      <c r="DB274" s="27">
        <v>19134</v>
      </c>
      <c r="DC274" s="27">
        <v>56</v>
      </c>
      <c r="DD274" s="27">
        <v>29432</v>
      </c>
      <c r="DE274" s="27">
        <v>20314</v>
      </c>
      <c r="DF274" s="27">
        <v>56</v>
      </c>
      <c r="DG274" s="27">
        <v>30781</v>
      </c>
      <c r="DH274" s="27">
        <v>19612</v>
      </c>
      <c r="DI274" s="27"/>
      <c r="DJ274" s="27"/>
      <c r="DK274" s="27"/>
      <c r="DL274" s="27">
        <v>56</v>
      </c>
      <c r="DM274" s="27">
        <v>15546</v>
      </c>
      <c r="DN274" s="27">
        <v>21118</v>
      </c>
      <c r="DO274" s="27">
        <v>56</v>
      </c>
      <c r="DP274" s="27">
        <v>11722</v>
      </c>
      <c r="DQ274" s="27">
        <v>19362</v>
      </c>
    </row>
    <row r="275" spans="1:123" s="4" customFormat="1">
      <c r="A275" s="74" t="s">
        <v>150</v>
      </c>
      <c r="B275" s="25"/>
      <c r="C275" s="25"/>
      <c r="D275" s="25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69">
        <v>27</v>
      </c>
      <c r="AG275" s="69">
        <v>9937</v>
      </c>
      <c r="AH275" s="69">
        <v>9847</v>
      </c>
      <c r="AI275" s="68">
        <v>27</v>
      </c>
      <c r="AJ275" s="68">
        <v>4797</v>
      </c>
      <c r="AK275" s="68">
        <v>9189</v>
      </c>
      <c r="AL275" s="70">
        <v>27</v>
      </c>
      <c r="AM275" s="70">
        <v>10800</v>
      </c>
      <c r="AN275" s="70">
        <v>9138</v>
      </c>
      <c r="AO275" s="70">
        <v>27</v>
      </c>
      <c r="AP275" s="25">
        <v>9428</v>
      </c>
      <c r="AQ275" s="25">
        <v>9227</v>
      </c>
      <c r="AR275" s="71">
        <v>27</v>
      </c>
      <c r="AS275" s="71">
        <v>11773</v>
      </c>
      <c r="AT275" s="71">
        <v>9263</v>
      </c>
      <c r="AU275" s="72">
        <v>27</v>
      </c>
      <c r="AV275" s="72">
        <v>10230</v>
      </c>
      <c r="AW275" s="72">
        <v>8687</v>
      </c>
      <c r="AX275" s="75"/>
      <c r="AY275" s="75"/>
      <c r="AZ275" s="174"/>
      <c r="BA275" s="76">
        <v>26</v>
      </c>
      <c r="BB275" s="76">
        <v>9102</v>
      </c>
      <c r="BC275" s="76">
        <v>9160</v>
      </c>
      <c r="BD275" s="25">
        <v>26</v>
      </c>
      <c r="BE275" s="25">
        <v>8161</v>
      </c>
      <c r="BF275" s="25">
        <v>8699</v>
      </c>
      <c r="BG275" s="25">
        <v>26</v>
      </c>
      <c r="BH275" s="25">
        <v>9974</v>
      </c>
      <c r="BI275" s="25">
        <v>8482</v>
      </c>
      <c r="BJ275" s="25">
        <v>26</v>
      </c>
      <c r="BK275" s="25">
        <v>5096</v>
      </c>
      <c r="BL275" s="25">
        <v>8787</v>
      </c>
      <c r="BM275" s="25">
        <v>26</v>
      </c>
      <c r="BN275" s="25">
        <v>12314</v>
      </c>
      <c r="BO275" s="25">
        <v>8665</v>
      </c>
      <c r="BP275" s="25">
        <v>26</v>
      </c>
      <c r="BQ275" s="25">
        <v>4595</v>
      </c>
      <c r="BR275" s="25">
        <v>8355</v>
      </c>
      <c r="BS275" s="25"/>
      <c r="BT275" s="25"/>
      <c r="BU275" s="25"/>
      <c r="BV275" s="25">
        <v>26</v>
      </c>
      <c r="BW275" s="25">
        <v>10012</v>
      </c>
      <c r="BX275" s="25">
        <v>8723</v>
      </c>
      <c r="BY275" s="25">
        <v>26</v>
      </c>
      <c r="BZ275" s="25">
        <v>10655</v>
      </c>
      <c r="CA275" s="25">
        <v>8792</v>
      </c>
      <c r="CB275" s="25">
        <v>26</v>
      </c>
      <c r="CC275" s="25">
        <v>7219</v>
      </c>
      <c r="CD275" s="25">
        <v>8358</v>
      </c>
      <c r="CE275" s="25">
        <v>25</v>
      </c>
      <c r="CF275" s="25">
        <v>8431</v>
      </c>
      <c r="CG275" s="25">
        <v>8477</v>
      </c>
      <c r="CH275" s="25">
        <v>25</v>
      </c>
      <c r="CI275" s="25">
        <v>9525</v>
      </c>
      <c r="CJ275" s="25">
        <v>8292</v>
      </c>
      <c r="CK275" s="25">
        <v>24</v>
      </c>
      <c r="CL275" s="25">
        <f>1129+3605</f>
        <v>4734</v>
      </c>
      <c r="CM275" s="25">
        <f>49+7901</f>
        <v>7950</v>
      </c>
      <c r="CN275" s="25"/>
      <c r="CO275" s="25"/>
      <c r="CP275" s="25"/>
      <c r="CQ275" s="25">
        <v>24</v>
      </c>
      <c r="CR275" s="25">
        <v>10795</v>
      </c>
      <c r="CS275" s="25">
        <v>8333</v>
      </c>
      <c r="CT275" s="25">
        <v>24</v>
      </c>
      <c r="CU275" s="25">
        <v>9230</v>
      </c>
      <c r="CV275" s="25">
        <v>8190</v>
      </c>
      <c r="CW275" s="25">
        <v>24</v>
      </c>
      <c r="CX275" s="25">
        <v>5930</v>
      </c>
      <c r="CY275" s="25">
        <v>8076</v>
      </c>
      <c r="CZ275" s="25">
        <v>24</v>
      </c>
      <c r="DA275" s="25">
        <v>6430</v>
      </c>
      <c r="DB275" s="25">
        <v>7760</v>
      </c>
      <c r="DC275" s="25">
        <v>24</v>
      </c>
      <c r="DD275" s="25">
        <v>12878</v>
      </c>
      <c r="DE275" s="25">
        <v>8189</v>
      </c>
      <c r="DF275" s="25">
        <v>24</v>
      </c>
      <c r="DG275" s="25">
        <v>6492</v>
      </c>
      <c r="DH275" s="25">
        <v>7700</v>
      </c>
      <c r="DI275" s="25"/>
      <c r="DJ275" s="25"/>
      <c r="DK275" s="25"/>
      <c r="DL275" s="25">
        <v>24</v>
      </c>
      <c r="DM275" s="25">
        <v>3589</v>
      </c>
      <c r="DN275" s="25">
        <v>8013</v>
      </c>
      <c r="DO275" s="25">
        <v>24</v>
      </c>
      <c r="DP275" s="25">
        <v>12566</v>
      </c>
      <c r="DQ275" s="25">
        <v>7403</v>
      </c>
      <c r="DR275" s="29"/>
      <c r="DS275" s="29"/>
    </row>
    <row r="276" spans="1:123" s="4" customFormat="1">
      <c r="A276" s="74" t="s">
        <v>151</v>
      </c>
      <c r="B276" s="25"/>
      <c r="C276" s="25"/>
      <c r="D276" s="25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25">
        <v>14</v>
      </c>
      <c r="AG276" s="25">
        <f>2603+423</f>
        <v>3026</v>
      </c>
      <c r="AH276" s="25">
        <v>3500</v>
      </c>
      <c r="AI276" s="68">
        <v>12</v>
      </c>
      <c r="AJ276" s="68">
        <v>2051</v>
      </c>
      <c r="AK276" s="68">
        <v>3006</v>
      </c>
      <c r="AL276" s="70">
        <v>12</v>
      </c>
      <c r="AM276" s="99">
        <v>4400</v>
      </c>
      <c r="AN276" s="70">
        <v>3033</v>
      </c>
      <c r="AO276" s="70">
        <v>12</v>
      </c>
      <c r="AP276" s="25">
        <v>2200</v>
      </c>
      <c r="AQ276" s="25">
        <v>3050</v>
      </c>
      <c r="AR276" s="71">
        <v>12</v>
      </c>
      <c r="AS276" s="71">
        <v>5258</v>
      </c>
      <c r="AT276" s="71">
        <v>2977</v>
      </c>
      <c r="AU276" s="72">
        <v>12</v>
      </c>
      <c r="AV276" s="72">
        <v>1100</v>
      </c>
      <c r="AW276" s="72">
        <v>2855</v>
      </c>
      <c r="AX276" s="75"/>
      <c r="AY276" s="75"/>
      <c r="AZ276" s="75"/>
      <c r="BA276" s="76">
        <v>12</v>
      </c>
      <c r="BB276" s="76">
        <v>4137</v>
      </c>
      <c r="BC276" s="76">
        <v>2963</v>
      </c>
      <c r="BD276" s="106">
        <v>11</v>
      </c>
      <c r="BE276" s="106"/>
      <c r="BF276" s="106">
        <v>2763</v>
      </c>
      <c r="BG276" s="25">
        <v>12</v>
      </c>
      <c r="BH276" s="25">
        <v>3162</v>
      </c>
      <c r="BI276" s="25">
        <v>2752</v>
      </c>
      <c r="BJ276" s="25">
        <v>11</v>
      </c>
      <c r="BK276" s="25">
        <v>5127</v>
      </c>
      <c r="BL276" s="25">
        <v>2763</v>
      </c>
      <c r="BM276" s="25">
        <v>11</v>
      </c>
      <c r="BN276" s="25">
        <v>2582</v>
      </c>
      <c r="BO276" s="25">
        <v>2769</v>
      </c>
      <c r="BP276" s="25">
        <v>11</v>
      </c>
      <c r="BQ276" s="25">
        <v>1100</v>
      </c>
      <c r="BR276" s="56">
        <v>2654</v>
      </c>
      <c r="BS276" s="25"/>
      <c r="BT276" s="25"/>
      <c r="BU276" s="25"/>
      <c r="BV276" s="25">
        <v>11</v>
      </c>
      <c r="BW276" s="25">
        <v>3300</v>
      </c>
      <c r="BX276" s="25">
        <v>2805</v>
      </c>
      <c r="BY276" s="25">
        <v>11</v>
      </c>
      <c r="BZ276" s="25">
        <v>5189</v>
      </c>
      <c r="CA276" s="25">
        <v>2743</v>
      </c>
      <c r="CB276" s="91">
        <v>11</v>
      </c>
      <c r="CC276" s="91">
        <v>1872</v>
      </c>
      <c r="CD276" s="91">
        <v>2592</v>
      </c>
      <c r="CE276" s="25">
        <v>11</v>
      </c>
      <c r="CF276" s="25">
        <v>2200</v>
      </c>
      <c r="CG276" s="25">
        <v>2778</v>
      </c>
      <c r="CH276" s="25">
        <v>11</v>
      </c>
      <c r="CI276" s="25">
        <v>2010</v>
      </c>
      <c r="CJ276" s="25">
        <v>2696</v>
      </c>
      <c r="CK276" s="25">
        <v>11</v>
      </c>
      <c r="CL276" s="25">
        <v>1493</v>
      </c>
      <c r="CM276" s="25">
        <v>2683</v>
      </c>
      <c r="CN276" s="25"/>
      <c r="CO276" s="25"/>
      <c r="CP276" s="25"/>
      <c r="CQ276" s="25">
        <v>11</v>
      </c>
      <c r="CR276" s="25">
        <v>3728</v>
      </c>
      <c r="CS276" s="25">
        <v>2561</v>
      </c>
      <c r="CT276" s="25">
        <v>11</v>
      </c>
      <c r="CU276" s="25">
        <v>3300</v>
      </c>
      <c r="CV276" s="25">
        <v>2740</v>
      </c>
      <c r="CW276" s="25">
        <v>14</v>
      </c>
      <c r="CX276" s="25">
        <v>3016</v>
      </c>
      <c r="CY276" s="25">
        <v>3264</v>
      </c>
      <c r="CZ276" s="25">
        <v>16</v>
      </c>
      <c r="DA276" s="25">
        <v>1689</v>
      </c>
      <c r="DB276" s="25">
        <v>3829</v>
      </c>
      <c r="DC276" s="25">
        <v>16</v>
      </c>
      <c r="DD276" s="25">
        <v>2897</v>
      </c>
      <c r="DE276" s="25">
        <v>3935</v>
      </c>
      <c r="DF276" s="25">
        <v>15</v>
      </c>
      <c r="DG276" s="25">
        <v>3300</v>
      </c>
      <c r="DH276" s="25">
        <v>3592</v>
      </c>
      <c r="DI276" s="25"/>
      <c r="DJ276" s="25"/>
      <c r="DK276" s="25"/>
      <c r="DL276" s="25">
        <v>15</v>
      </c>
      <c r="DM276" s="25">
        <v>5912</v>
      </c>
      <c r="DN276" s="25">
        <v>3802</v>
      </c>
      <c r="DO276" s="25">
        <v>15</v>
      </c>
      <c r="DP276" s="25">
        <v>5060</v>
      </c>
      <c r="DQ276" s="25">
        <v>3505</v>
      </c>
    </row>
    <row r="277" spans="1:123" s="4" customFormat="1">
      <c r="A277" s="74" t="s">
        <v>152</v>
      </c>
      <c r="B277" s="25"/>
      <c r="C277" s="25"/>
      <c r="D277" s="25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25">
        <v>25</v>
      </c>
      <c r="AG277" s="25">
        <v>4630</v>
      </c>
      <c r="AH277" s="25">
        <v>6516</v>
      </c>
      <c r="AI277" s="68">
        <v>25</v>
      </c>
      <c r="AJ277" s="68">
        <v>12982</v>
      </c>
      <c r="AK277" s="68">
        <v>6140</v>
      </c>
      <c r="AL277" s="70">
        <v>25</v>
      </c>
      <c r="AM277" s="70">
        <v>5954</v>
      </c>
      <c r="AN277" s="70">
        <v>6096</v>
      </c>
      <c r="AO277" s="70">
        <v>25</v>
      </c>
      <c r="AP277" s="25">
        <v>3909</v>
      </c>
      <c r="AQ277" s="25">
        <v>6111</v>
      </c>
      <c r="AR277" s="71">
        <v>26</v>
      </c>
      <c r="AS277" s="71">
        <v>5777</v>
      </c>
      <c r="AT277" s="71">
        <v>6361</v>
      </c>
      <c r="AU277" s="86">
        <v>27</v>
      </c>
      <c r="AV277" s="86">
        <v>8598</v>
      </c>
      <c r="AW277" s="86">
        <v>5913</v>
      </c>
      <c r="AX277" s="75"/>
      <c r="AY277" s="75"/>
      <c r="AZ277" s="75"/>
      <c r="BA277" s="76">
        <v>22</v>
      </c>
      <c r="BB277" s="76">
        <v>6650</v>
      </c>
      <c r="BC277" s="76">
        <v>5048</v>
      </c>
      <c r="BD277" s="106">
        <v>21</v>
      </c>
      <c r="BE277" s="106">
        <v>1558</v>
      </c>
      <c r="BF277" s="106">
        <v>4944</v>
      </c>
      <c r="BG277" s="88">
        <v>20</v>
      </c>
      <c r="BH277" s="88">
        <v>8817</v>
      </c>
      <c r="BI277" s="88">
        <v>4718</v>
      </c>
      <c r="BJ277" s="25">
        <v>19</v>
      </c>
      <c r="BK277" s="25">
        <v>1872</v>
      </c>
      <c r="BL277" s="25">
        <v>4650</v>
      </c>
      <c r="BM277" s="25">
        <v>19</v>
      </c>
      <c r="BN277" s="25">
        <v>6152</v>
      </c>
      <c r="BO277" s="25">
        <v>4638</v>
      </c>
      <c r="BP277" s="25">
        <v>19</v>
      </c>
      <c r="BQ277" s="25">
        <v>3659</v>
      </c>
      <c r="BR277" s="56">
        <v>4403</v>
      </c>
      <c r="BS277" s="25"/>
      <c r="BT277" s="25"/>
      <c r="BU277" s="25"/>
      <c r="BV277" s="25">
        <v>19</v>
      </c>
      <c r="BW277" s="25">
        <v>3474</v>
      </c>
      <c r="BX277" s="25">
        <v>4674</v>
      </c>
      <c r="BY277" s="25">
        <v>22</v>
      </c>
      <c r="BZ277" s="25">
        <v>6050</v>
      </c>
      <c r="CA277" s="25">
        <v>5118</v>
      </c>
      <c r="CB277" s="91">
        <v>25</v>
      </c>
      <c r="CC277" s="91">
        <v>3199</v>
      </c>
      <c r="CD277" s="91">
        <v>5971</v>
      </c>
      <c r="CE277" s="25">
        <v>25</v>
      </c>
      <c r="CF277" s="25">
        <v>6907</v>
      </c>
      <c r="CG277" s="25">
        <v>6053</v>
      </c>
      <c r="CH277" s="25">
        <v>25</v>
      </c>
      <c r="CI277" s="25">
        <v>7738</v>
      </c>
      <c r="CJ277" s="25">
        <v>5785</v>
      </c>
      <c r="CK277" s="25">
        <v>25</v>
      </c>
      <c r="CL277" s="25">
        <v>5377</v>
      </c>
      <c r="CM277" s="25">
        <v>5685</v>
      </c>
      <c r="CN277" s="25"/>
      <c r="CO277" s="25"/>
      <c r="CP277" s="25"/>
      <c r="CQ277" s="149">
        <v>25</v>
      </c>
      <c r="CR277" s="149">
        <v>5365</v>
      </c>
      <c r="CS277" s="149">
        <v>6062</v>
      </c>
      <c r="CT277" s="25">
        <v>25</v>
      </c>
      <c r="CU277" s="25">
        <v>1518</v>
      </c>
      <c r="CV277" s="25">
        <v>6041</v>
      </c>
      <c r="CW277" s="25">
        <v>25</v>
      </c>
      <c r="CX277" s="25">
        <v>9596</v>
      </c>
      <c r="CY277" s="25">
        <v>6086</v>
      </c>
      <c r="CZ277" s="25">
        <v>25</v>
      </c>
      <c r="DA277" s="25">
        <v>8464</v>
      </c>
      <c r="DB277" s="25">
        <v>5644</v>
      </c>
      <c r="DC277" s="25">
        <v>25</v>
      </c>
      <c r="DD277" s="25">
        <v>5187</v>
      </c>
      <c r="DE277" s="25">
        <v>5942</v>
      </c>
      <c r="DF277" s="25">
        <v>26</v>
      </c>
      <c r="DG277" s="25">
        <v>3732</v>
      </c>
      <c r="DH277" s="25">
        <v>5599</v>
      </c>
      <c r="DI277" s="25"/>
      <c r="DJ277" s="25"/>
      <c r="DK277" s="25"/>
      <c r="DL277" s="25">
        <v>26</v>
      </c>
      <c r="DM277" s="25">
        <v>3520</v>
      </c>
      <c r="DN277" s="25">
        <v>6309</v>
      </c>
      <c r="DO277" s="25">
        <v>26</v>
      </c>
      <c r="DP277" s="25">
        <v>5930</v>
      </c>
      <c r="DQ277" s="25">
        <v>5778</v>
      </c>
    </row>
    <row r="278" spans="1:123" s="205" customFormat="1">
      <c r="A278" s="209" t="s">
        <v>153</v>
      </c>
      <c r="B278" s="202"/>
      <c r="C278" s="202"/>
      <c r="D278" s="202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202">
        <v>26</v>
      </c>
      <c r="AG278" s="202">
        <v>5749</v>
      </c>
      <c r="AH278" s="202">
        <v>6668</v>
      </c>
      <c r="AI278" s="202">
        <v>25</v>
      </c>
      <c r="AJ278" s="202">
        <v>6819</v>
      </c>
      <c r="AK278" s="202">
        <v>5154</v>
      </c>
      <c r="AL278" s="202">
        <v>20</v>
      </c>
      <c r="AM278" s="202">
        <v>5798</v>
      </c>
      <c r="AN278" s="202">
        <v>4593</v>
      </c>
      <c r="AO278" s="202">
        <v>18</v>
      </c>
      <c r="AP278" s="202">
        <v>5064</v>
      </c>
      <c r="AQ278" s="202">
        <v>4230</v>
      </c>
      <c r="AR278" s="202">
        <v>17</v>
      </c>
      <c r="AS278" s="202">
        <v>3814</v>
      </c>
      <c r="AT278" s="202">
        <v>4055</v>
      </c>
      <c r="AU278" s="202">
        <v>16</v>
      </c>
      <c r="AV278" s="202">
        <v>1972</v>
      </c>
      <c r="AW278" s="202">
        <v>3670</v>
      </c>
      <c r="AX278" s="202"/>
      <c r="AY278" s="202"/>
      <c r="AZ278" s="202"/>
      <c r="BA278" s="202">
        <v>15</v>
      </c>
      <c r="BB278" s="202">
        <v>6352</v>
      </c>
      <c r="BC278" s="202">
        <v>3723</v>
      </c>
      <c r="BD278" s="202">
        <v>14</v>
      </c>
      <c r="BE278" s="202">
        <v>5237</v>
      </c>
      <c r="BF278" s="202">
        <v>3359</v>
      </c>
      <c r="BG278" s="202">
        <v>12</v>
      </c>
      <c r="BH278" s="202">
        <v>1966</v>
      </c>
      <c r="BI278" s="202">
        <v>2963</v>
      </c>
      <c r="BJ278" s="202">
        <v>12</v>
      </c>
      <c r="BK278" s="202">
        <v>3873</v>
      </c>
      <c r="BL278" s="202">
        <v>2951</v>
      </c>
      <c r="BM278" s="202">
        <v>12</v>
      </c>
      <c r="BN278" s="202">
        <v>4038</v>
      </c>
      <c r="BO278" s="202">
        <v>2966</v>
      </c>
      <c r="BP278" s="202">
        <v>12</v>
      </c>
      <c r="BQ278" s="202">
        <v>705</v>
      </c>
      <c r="BR278" s="203">
        <v>2740</v>
      </c>
      <c r="BS278" s="202"/>
      <c r="BT278" s="202"/>
      <c r="BU278" s="202"/>
      <c r="BV278" s="202">
        <v>12</v>
      </c>
      <c r="BW278" s="202">
        <v>2066</v>
      </c>
      <c r="BX278" s="202">
        <v>2979</v>
      </c>
      <c r="BY278" s="202">
        <v>9</v>
      </c>
      <c r="BZ278" s="202">
        <v>4286</v>
      </c>
      <c r="CA278" s="202">
        <v>2335</v>
      </c>
      <c r="CB278" s="202">
        <v>6</v>
      </c>
      <c r="CC278" s="202">
        <v>1397</v>
      </c>
      <c r="CD278" s="202">
        <v>1448</v>
      </c>
      <c r="CE278" s="202">
        <v>6</v>
      </c>
      <c r="CF278" s="202">
        <v>3291</v>
      </c>
      <c r="CG278" s="202">
        <v>1460</v>
      </c>
      <c r="CH278" s="202">
        <v>6</v>
      </c>
      <c r="CI278" s="202"/>
      <c r="CJ278" s="202">
        <v>1395</v>
      </c>
      <c r="CK278" s="202">
        <v>6</v>
      </c>
      <c r="CL278" s="202">
        <v>3300</v>
      </c>
      <c r="CM278" s="202">
        <v>1424</v>
      </c>
      <c r="CN278" s="202"/>
      <c r="CO278" s="202"/>
      <c r="CP278" s="202"/>
      <c r="CQ278" s="204">
        <v>6</v>
      </c>
      <c r="CR278" s="202"/>
      <c r="CS278" s="204">
        <v>1324</v>
      </c>
      <c r="CT278" s="202">
        <v>6</v>
      </c>
      <c r="CU278" s="202">
        <v>3325</v>
      </c>
      <c r="CV278" s="202">
        <v>1222</v>
      </c>
      <c r="CW278" s="202">
        <v>3</v>
      </c>
      <c r="CX278" s="202">
        <f>1228+440</f>
        <v>1668</v>
      </c>
      <c r="CY278" s="202">
        <f>94+346</f>
        <v>440</v>
      </c>
      <c r="CZ278" s="202">
        <v>1</v>
      </c>
      <c r="DA278" s="202"/>
      <c r="DB278" s="202">
        <v>233</v>
      </c>
      <c r="DC278" s="202">
        <v>1</v>
      </c>
      <c r="DD278" s="202"/>
      <c r="DE278" s="202">
        <v>234</v>
      </c>
      <c r="DF278" s="202"/>
      <c r="DG278" s="202">
        <v>529</v>
      </c>
      <c r="DH278" s="202">
        <v>61</v>
      </c>
      <c r="DI278" s="202"/>
      <c r="DJ278" s="202"/>
      <c r="DK278" s="202"/>
      <c r="DL278" s="202"/>
      <c r="DM278" s="202"/>
      <c r="DN278" s="202"/>
      <c r="DO278" s="202">
        <v>1</v>
      </c>
      <c r="DP278" s="202"/>
      <c r="DQ278" s="202">
        <v>174</v>
      </c>
    </row>
    <row r="279" spans="1:123" s="16" customFormat="1" ht="15" customHeight="1">
      <c r="A279" s="90" t="s">
        <v>142</v>
      </c>
      <c r="B279" s="42"/>
      <c r="C279" s="42"/>
      <c r="D279" s="42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  <c r="AB279" s="145"/>
      <c r="AC279" s="145"/>
      <c r="AD279" s="145"/>
      <c r="AE279" s="145"/>
      <c r="AF279" s="97">
        <v>10</v>
      </c>
      <c r="AG279" s="97">
        <v>2000</v>
      </c>
      <c r="AH279" s="97">
        <v>2476</v>
      </c>
      <c r="AI279" s="98">
        <v>10</v>
      </c>
      <c r="AJ279" s="98">
        <v>4000</v>
      </c>
      <c r="AK279" s="98">
        <v>2309</v>
      </c>
      <c r="AL279" s="95">
        <v>10</v>
      </c>
      <c r="AM279" s="100"/>
      <c r="AN279" s="100">
        <v>2097</v>
      </c>
      <c r="AO279" s="101">
        <v>10</v>
      </c>
      <c r="AP279" s="101">
        <v>1818</v>
      </c>
      <c r="AQ279" s="101">
        <v>2061</v>
      </c>
      <c r="AR279" s="102">
        <v>10</v>
      </c>
      <c r="AS279" s="102"/>
      <c r="AT279" s="102">
        <v>2289</v>
      </c>
      <c r="AU279" s="166">
        <v>10</v>
      </c>
      <c r="AV279" s="166">
        <v>2009</v>
      </c>
      <c r="AW279" s="166">
        <v>2100</v>
      </c>
      <c r="AX279" s="104"/>
      <c r="AY279" s="104"/>
      <c r="AZ279" s="104"/>
      <c r="BA279" s="202">
        <v>8</v>
      </c>
      <c r="BB279" s="202">
        <v>9443</v>
      </c>
      <c r="BC279" s="202">
        <v>1824</v>
      </c>
      <c r="BD279" s="172">
        <v>5</v>
      </c>
      <c r="BE279" s="172">
        <v>1847</v>
      </c>
      <c r="BF279" s="172">
        <v>1207</v>
      </c>
      <c r="BG279" s="108">
        <v>5</v>
      </c>
      <c r="BH279" s="108">
        <v>638</v>
      </c>
      <c r="BI279" s="108">
        <v>937</v>
      </c>
      <c r="BJ279" s="110">
        <v>3</v>
      </c>
      <c r="BK279" s="110">
        <v>2239</v>
      </c>
      <c r="BL279" s="110">
        <v>501</v>
      </c>
      <c r="BM279" s="112">
        <v>2</v>
      </c>
      <c r="BN279" s="112">
        <v>1402</v>
      </c>
      <c r="BO279" s="112">
        <v>463</v>
      </c>
      <c r="BP279" s="52">
        <v>2</v>
      </c>
      <c r="BQ279" s="52"/>
      <c r="BR279" s="52">
        <v>433</v>
      </c>
      <c r="BS279" s="54"/>
      <c r="BT279" s="54"/>
      <c r="BU279" s="54"/>
      <c r="BV279" s="55">
        <v>2</v>
      </c>
      <c r="BW279" s="55">
        <v>574</v>
      </c>
      <c r="BX279" s="55">
        <v>376</v>
      </c>
      <c r="BY279" s="55">
        <v>1</v>
      </c>
      <c r="BZ279" s="55"/>
      <c r="CA279" s="55">
        <v>239</v>
      </c>
      <c r="CB279" s="92">
        <v>1</v>
      </c>
      <c r="CC279" s="92"/>
      <c r="CD279" s="92">
        <v>74</v>
      </c>
      <c r="CE279" s="93"/>
      <c r="CF279" s="93">
        <v>1763</v>
      </c>
      <c r="CG279" s="93"/>
      <c r="CH279" s="57"/>
      <c r="CI279" s="57"/>
      <c r="CJ279" s="57"/>
      <c r="CK279" s="58"/>
      <c r="CL279" s="58"/>
      <c r="CM279" s="58"/>
      <c r="CN279" s="60"/>
      <c r="CO279" s="60"/>
      <c r="CP279" s="60"/>
      <c r="CQ279" s="150"/>
      <c r="CR279" s="150"/>
      <c r="CS279" s="150"/>
      <c r="CT279" s="62"/>
      <c r="CU279" s="62"/>
      <c r="CV279" s="62"/>
      <c r="CW279" s="95"/>
      <c r="CX279" s="95"/>
      <c r="CY279" s="95"/>
      <c r="CZ279" s="95"/>
      <c r="DA279" s="95"/>
      <c r="DB279" s="95"/>
      <c r="DC279" s="95"/>
      <c r="DD279" s="95"/>
      <c r="DE279" s="95"/>
      <c r="DF279" s="42"/>
      <c r="DG279" s="42"/>
      <c r="DH279" s="42"/>
      <c r="DI279" s="42"/>
      <c r="DJ279" s="42"/>
      <c r="DK279" s="42"/>
      <c r="DL279" s="42"/>
      <c r="DM279" s="42"/>
      <c r="DN279" s="42"/>
      <c r="DO279" s="42"/>
      <c r="DP279" s="42"/>
      <c r="DQ279" s="42"/>
    </row>
    <row r="280" spans="1:123" s="16" customFormat="1" ht="15" customHeight="1">
      <c r="A280" s="90" t="s">
        <v>154</v>
      </c>
      <c r="B280" s="42"/>
      <c r="C280" s="42"/>
      <c r="D280" s="42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  <c r="AB280" s="145"/>
      <c r="AC280" s="145"/>
      <c r="AD280" s="145"/>
      <c r="AE280" s="145"/>
      <c r="AF280" s="97">
        <v>8</v>
      </c>
      <c r="AG280" s="97">
        <v>3000</v>
      </c>
      <c r="AH280" s="97">
        <v>2217</v>
      </c>
      <c r="AI280" s="98">
        <v>8</v>
      </c>
      <c r="AJ280" s="98">
        <v>1592</v>
      </c>
      <c r="AK280" s="98">
        <v>2053</v>
      </c>
      <c r="AL280" s="95">
        <v>7</v>
      </c>
      <c r="AM280" s="214">
        <v>4412</v>
      </c>
      <c r="AN280" s="214">
        <v>1693</v>
      </c>
      <c r="AO280" s="101">
        <v>6</v>
      </c>
      <c r="AP280" s="101">
        <v>2443</v>
      </c>
      <c r="AQ280" s="101">
        <v>1561</v>
      </c>
      <c r="AR280" s="165">
        <v>6</v>
      </c>
      <c r="AS280" s="165">
        <v>396</v>
      </c>
      <c r="AT280" s="165">
        <v>1476</v>
      </c>
      <c r="AU280" s="166">
        <v>6</v>
      </c>
      <c r="AV280" s="166">
        <v>1328</v>
      </c>
      <c r="AW280" s="166">
        <v>1328</v>
      </c>
      <c r="AX280" s="104"/>
      <c r="AY280" s="104"/>
      <c r="AZ280" s="104"/>
      <c r="BA280" s="172">
        <v>6</v>
      </c>
      <c r="BB280" s="172">
        <v>1500</v>
      </c>
      <c r="BC280" s="172">
        <v>1572</v>
      </c>
      <c r="BD280" s="172">
        <v>6</v>
      </c>
      <c r="BE280" s="172">
        <v>2237</v>
      </c>
      <c r="BF280" s="172">
        <v>1554</v>
      </c>
      <c r="BG280" s="108">
        <v>3</v>
      </c>
      <c r="BH280" s="108">
        <v>2459</v>
      </c>
      <c r="BI280" s="108">
        <v>798</v>
      </c>
      <c r="BJ280" s="110">
        <v>2</v>
      </c>
      <c r="BK280" s="110">
        <v>1836</v>
      </c>
      <c r="BL280" s="110">
        <v>552</v>
      </c>
      <c r="BM280" s="175">
        <v>2</v>
      </c>
      <c r="BN280" s="175"/>
      <c r="BO280" s="175">
        <v>520</v>
      </c>
      <c r="BP280" s="52">
        <v>2</v>
      </c>
      <c r="BQ280" s="52">
        <v>881</v>
      </c>
      <c r="BR280" s="52">
        <v>398</v>
      </c>
      <c r="BS280" s="54"/>
      <c r="BT280" s="54"/>
      <c r="BU280" s="54"/>
      <c r="BV280" s="55">
        <v>1</v>
      </c>
      <c r="BW280" s="55"/>
      <c r="BX280" s="55">
        <v>253</v>
      </c>
      <c r="BY280" s="55">
        <v>1</v>
      </c>
      <c r="BZ280" s="55"/>
      <c r="CA280" s="55">
        <v>263</v>
      </c>
      <c r="CB280" s="124">
        <v>1</v>
      </c>
      <c r="CC280" s="124">
        <v>1354</v>
      </c>
      <c r="CD280" s="124">
        <v>153</v>
      </c>
      <c r="CE280" s="178"/>
      <c r="CF280" s="178"/>
      <c r="CG280" s="178"/>
      <c r="CH280" s="57"/>
      <c r="CI280" s="57"/>
      <c r="CJ280" s="57"/>
      <c r="CK280" s="58"/>
      <c r="CL280" s="58"/>
      <c r="CM280" s="58"/>
      <c r="CN280" s="60"/>
      <c r="CO280" s="60"/>
      <c r="CP280" s="60"/>
      <c r="CQ280" s="150"/>
      <c r="CR280" s="150"/>
      <c r="CS280" s="150"/>
      <c r="CT280" s="62"/>
      <c r="CU280" s="62"/>
      <c r="CV280" s="62"/>
      <c r="CW280" s="95"/>
      <c r="CX280" s="95"/>
      <c r="CY280" s="95"/>
      <c r="CZ280" s="95"/>
      <c r="DA280" s="95"/>
      <c r="DB280" s="95"/>
      <c r="DC280" s="95"/>
      <c r="DD280" s="95"/>
      <c r="DE280" s="95"/>
      <c r="DF280" s="42"/>
      <c r="DG280" s="42"/>
      <c r="DH280" s="42"/>
      <c r="DI280" s="42"/>
      <c r="DJ280" s="42"/>
      <c r="DK280" s="42"/>
      <c r="DL280" s="42"/>
      <c r="DM280" s="42"/>
      <c r="DN280" s="42"/>
      <c r="DO280" s="42"/>
      <c r="DP280" s="42"/>
      <c r="DQ280" s="42"/>
    </row>
    <row r="281" spans="1:123" s="16" customFormat="1" ht="15" customHeight="1">
      <c r="A281" s="90" t="s">
        <v>158</v>
      </c>
      <c r="B281" s="42"/>
      <c r="C281" s="42"/>
      <c r="D281" s="42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  <c r="AB281" s="145"/>
      <c r="AC281" s="145"/>
      <c r="AD281" s="145"/>
      <c r="AE281" s="145"/>
      <c r="AF281" s="97">
        <v>5</v>
      </c>
      <c r="AG281" s="97">
        <v>2255</v>
      </c>
      <c r="AH281" s="97">
        <v>1450</v>
      </c>
      <c r="AI281" s="98">
        <v>5</v>
      </c>
      <c r="AJ281" s="98">
        <v>1665</v>
      </c>
      <c r="AK281" s="98">
        <v>1355</v>
      </c>
      <c r="AL281" s="95">
        <v>5</v>
      </c>
      <c r="AM281" s="214">
        <v>2000</v>
      </c>
      <c r="AN281" s="214">
        <v>1383</v>
      </c>
      <c r="AO281" s="101">
        <v>5</v>
      </c>
      <c r="AP281" s="101">
        <v>852</v>
      </c>
      <c r="AQ281" s="101">
        <v>1380</v>
      </c>
      <c r="AR281" s="165">
        <v>5</v>
      </c>
      <c r="AS281" s="165">
        <v>877</v>
      </c>
      <c r="AT281" s="165">
        <v>1381</v>
      </c>
      <c r="AU281" s="166">
        <v>5</v>
      </c>
      <c r="AV281" s="166">
        <v>440</v>
      </c>
      <c r="AW281" s="166">
        <v>1292</v>
      </c>
      <c r="AX281" s="104"/>
      <c r="AY281" s="104"/>
      <c r="AZ281" s="104"/>
      <c r="BA281" s="172">
        <v>5</v>
      </c>
      <c r="BB281" s="172">
        <v>3155</v>
      </c>
      <c r="BC281" s="172">
        <v>1206</v>
      </c>
      <c r="BD281" s="172">
        <v>3</v>
      </c>
      <c r="BE281" s="172">
        <v>1021</v>
      </c>
      <c r="BF281" s="172">
        <v>692</v>
      </c>
      <c r="BG281" s="108">
        <v>2</v>
      </c>
      <c r="BH281" s="108"/>
      <c r="BI281" s="108">
        <v>559</v>
      </c>
      <c r="BJ281" s="110">
        <v>1</v>
      </c>
      <c r="BK281" s="110">
        <v>864</v>
      </c>
      <c r="BL281" s="110">
        <v>299</v>
      </c>
      <c r="BM281" s="175">
        <v>1</v>
      </c>
      <c r="BN281" s="175"/>
      <c r="BO281" s="175">
        <v>270</v>
      </c>
      <c r="BP281" s="52">
        <v>1</v>
      </c>
      <c r="BQ281" s="52"/>
      <c r="BR281" s="52">
        <v>251</v>
      </c>
      <c r="BS281" s="54"/>
      <c r="BT281" s="54"/>
      <c r="BU281" s="54"/>
      <c r="BV281" s="55">
        <v>1</v>
      </c>
      <c r="BW281" s="55"/>
      <c r="BX281" s="55">
        <v>262</v>
      </c>
      <c r="BY281" s="55"/>
      <c r="BZ281" s="55">
        <v>2829</v>
      </c>
      <c r="CA281" s="55">
        <v>50</v>
      </c>
      <c r="CB281" s="124"/>
      <c r="CC281" s="124"/>
      <c r="CD281" s="124"/>
      <c r="CE281" s="178"/>
      <c r="CF281" s="178"/>
      <c r="CG281" s="178"/>
      <c r="CH281" s="57"/>
      <c r="CI281" s="57"/>
      <c r="CJ281" s="57"/>
      <c r="CK281" s="58"/>
      <c r="CL281" s="58"/>
      <c r="CM281" s="58"/>
      <c r="CN281" s="60"/>
      <c r="CO281" s="60"/>
      <c r="CP281" s="60"/>
      <c r="CQ281" s="150"/>
      <c r="CR281" s="150"/>
      <c r="CS281" s="150"/>
      <c r="CT281" s="62"/>
      <c r="CU281" s="62"/>
      <c r="CV281" s="62"/>
      <c r="CW281" s="95"/>
      <c r="CX281" s="95"/>
      <c r="CY281" s="95"/>
      <c r="CZ281" s="95"/>
      <c r="DA281" s="95"/>
      <c r="DB281" s="95"/>
      <c r="DC281" s="95"/>
      <c r="DD281" s="95"/>
      <c r="DE281" s="95"/>
      <c r="DF281" s="42"/>
      <c r="DG281" s="42"/>
      <c r="DH281" s="42"/>
      <c r="DI281" s="42"/>
      <c r="DJ281" s="42"/>
      <c r="DK281" s="42"/>
      <c r="DL281" s="42"/>
      <c r="DM281" s="42"/>
      <c r="DN281" s="42"/>
      <c r="DO281" s="42"/>
      <c r="DP281" s="42"/>
      <c r="DQ281" s="42"/>
    </row>
    <row r="282" spans="1:123" s="16" customFormat="1" ht="15" customHeight="1">
      <c r="A282" s="90" t="s">
        <v>155</v>
      </c>
      <c r="B282" s="42"/>
      <c r="C282" s="42"/>
      <c r="D282" s="42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  <c r="AB282" s="145"/>
      <c r="AC282" s="145"/>
      <c r="AD282" s="145"/>
      <c r="AE282" s="145"/>
      <c r="AF282" s="97">
        <v>3</v>
      </c>
      <c r="AG282" s="97"/>
      <c r="AH282" s="97"/>
      <c r="AI282" s="98">
        <v>3</v>
      </c>
      <c r="AJ282" s="98"/>
      <c r="AK282" s="98"/>
      <c r="AL282" s="95">
        <v>4</v>
      </c>
      <c r="AM282" s="214"/>
      <c r="AN282" s="214">
        <v>249</v>
      </c>
      <c r="AO282" s="101">
        <v>4</v>
      </c>
      <c r="AP282" s="101">
        <v>500</v>
      </c>
      <c r="AQ282" s="101">
        <v>251</v>
      </c>
      <c r="AR282" s="165">
        <v>4</v>
      </c>
      <c r="AS282" s="165"/>
      <c r="AT282" s="165"/>
      <c r="AU282" s="166">
        <v>4</v>
      </c>
      <c r="AV282" s="166"/>
      <c r="AW282" s="166"/>
      <c r="AX282" s="104"/>
      <c r="AY282" s="104"/>
      <c r="AZ282" s="104"/>
      <c r="BA282" s="202">
        <v>4</v>
      </c>
      <c r="BB282" s="202"/>
      <c r="BC282" s="202"/>
      <c r="BD282" s="172">
        <v>4</v>
      </c>
      <c r="BE282" s="172"/>
      <c r="BF282" s="172"/>
      <c r="BG282" s="108">
        <v>4</v>
      </c>
      <c r="BH282" s="108"/>
      <c r="BI282" s="108"/>
      <c r="BJ282" s="110">
        <v>4</v>
      </c>
      <c r="BK282" s="110"/>
      <c r="BL282" s="110"/>
      <c r="BM282" s="175">
        <v>1</v>
      </c>
      <c r="BN282" s="175"/>
      <c r="BO282" s="175"/>
      <c r="BP282" s="52">
        <v>1</v>
      </c>
      <c r="BQ282" s="52"/>
      <c r="BR282" s="52"/>
      <c r="BS282" s="54"/>
      <c r="BT282" s="54"/>
      <c r="BU282" s="54"/>
      <c r="BV282" s="55">
        <v>1</v>
      </c>
      <c r="BW282" s="55"/>
      <c r="BX282" s="55"/>
      <c r="BY282" s="55">
        <v>1</v>
      </c>
      <c r="BZ282" s="55"/>
      <c r="CA282" s="55"/>
      <c r="CB282" s="124">
        <v>1</v>
      </c>
      <c r="CC282" s="124"/>
      <c r="CD282" s="124"/>
      <c r="CE282" s="178">
        <v>1</v>
      </c>
      <c r="CF282" s="178"/>
      <c r="CG282" s="178"/>
      <c r="CH282" s="57">
        <v>1</v>
      </c>
      <c r="CI282" s="57"/>
      <c r="CJ282" s="57"/>
      <c r="CK282" s="58">
        <v>1</v>
      </c>
      <c r="CL282" s="58"/>
      <c r="CM282" s="58"/>
      <c r="CN282" s="60"/>
      <c r="CO282" s="60"/>
      <c r="CP282" s="60"/>
      <c r="CQ282" s="150">
        <v>1</v>
      </c>
      <c r="CR282" s="150"/>
      <c r="CS282" s="150"/>
      <c r="CT282" s="62">
        <v>1</v>
      </c>
      <c r="CU282" s="62"/>
      <c r="CV282" s="62"/>
      <c r="CW282" s="95">
        <v>1</v>
      </c>
      <c r="CX282" s="95"/>
      <c r="CY282" s="95"/>
      <c r="CZ282" s="95">
        <v>1</v>
      </c>
      <c r="DA282" s="95"/>
      <c r="DB282" s="95"/>
      <c r="DC282" s="95">
        <v>1</v>
      </c>
      <c r="DD282" s="95"/>
      <c r="DE282" s="95"/>
      <c r="DF282" s="42">
        <v>1</v>
      </c>
      <c r="DG282" s="42"/>
      <c r="DH282" s="42"/>
      <c r="DI282" s="42"/>
      <c r="DJ282" s="42"/>
      <c r="DK282" s="42"/>
      <c r="DL282" s="42">
        <v>1</v>
      </c>
      <c r="DM282" s="42"/>
      <c r="DN282" s="42"/>
      <c r="DO282" s="42">
        <v>1</v>
      </c>
      <c r="DP282" s="42"/>
      <c r="DQ282" s="42"/>
    </row>
    <row r="283" spans="1:123" s="16" customFormat="1" ht="15" customHeight="1">
      <c r="A283" s="90" t="s">
        <v>156</v>
      </c>
      <c r="B283" s="42"/>
      <c r="C283" s="42"/>
      <c r="D283" s="42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  <c r="AB283" s="145"/>
      <c r="AC283" s="145"/>
      <c r="AD283" s="145"/>
      <c r="AE283" s="145"/>
      <c r="AF283" s="97"/>
      <c r="AG283" s="97"/>
      <c r="AH283" s="97"/>
      <c r="AI283" s="98"/>
      <c r="AJ283" s="98"/>
      <c r="AK283" s="98"/>
      <c r="AL283" s="95">
        <v>1</v>
      </c>
      <c r="AM283" s="214"/>
      <c r="AN283" s="214">
        <v>196</v>
      </c>
      <c r="AO283" s="101">
        <v>1</v>
      </c>
      <c r="AP283" s="101"/>
      <c r="AQ283" s="101">
        <v>288</v>
      </c>
      <c r="AR283" s="165">
        <v>1</v>
      </c>
      <c r="AS283" s="165">
        <v>500</v>
      </c>
      <c r="AT283" s="165">
        <v>16</v>
      </c>
      <c r="AU283" s="166">
        <v>1</v>
      </c>
      <c r="AV283" s="166"/>
      <c r="AW283" s="166"/>
      <c r="AX283" s="104"/>
      <c r="AY283" s="104"/>
      <c r="AZ283" s="104"/>
      <c r="BA283" s="105">
        <v>1</v>
      </c>
      <c r="BB283" s="105"/>
      <c r="BC283" s="105"/>
      <c r="BD283" s="172">
        <v>1</v>
      </c>
      <c r="BE283" s="172"/>
      <c r="BF283" s="172"/>
      <c r="BG283" s="108">
        <v>1</v>
      </c>
      <c r="BH283" s="108"/>
      <c r="BI283" s="108"/>
      <c r="BJ283" s="110">
        <v>1</v>
      </c>
      <c r="BK283" s="110"/>
      <c r="BL283" s="110"/>
      <c r="BM283" s="175">
        <v>1</v>
      </c>
      <c r="BN283" s="175"/>
      <c r="BO283" s="175"/>
      <c r="BP283" s="52">
        <v>1</v>
      </c>
      <c r="BQ283" s="52"/>
      <c r="BR283" s="52"/>
      <c r="BS283" s="54"/>
      <c r="BT283" s="54"/>
      <c r="BU283" s="54"/>
      <c r="BV283" s="55">
        <v>1</v>
      </c>
      <c r="BW283" s="55"/>
      <c r="BX283" s="55"/>
      <c r="BY283" s="55">
        <v>1</v>
      </c>
      <c r="BZ283" s="55"/>
      <c r="CA283" s="55"/>
      <c r="CB283" s="124">
        <v>1</v>
      </c>
      <c r="CC283" s="124"/>
      <c r="CD283" s="124"/>
      <c r="CE283" s="178">
        <v>1</v>
      </c>
      <c r="CF283" s="178"/>
      <c r="CG283" s="178"/>
      <c r="CH283" s="57">
        <v>1</v>
      </c>
      <c r="CI283" s="57"/>
      <c r="CJ283" s="57"/>
      <c r="CK283" s="58">
        <v>1</v>
      </c>
      <c r="CL283" s="58"/>
      <c r="CM283" s="58"/>
      <c r="CN283" s="60"/>
      <c r="CO283" s="60"/>
      <c r="CP283" s="60"/>
      <c r="CQ283" s="150">
        <v>1</v>
      </c>
      <c r="CR283" s="150"/>
      <c r="CS283" s="150"/>
      <c r="CT283" s="62">
        <v>1</v>
      </c>
      <c r="CU283" s="62"/>
      <c r="CV283" s="62"/>
      <c r="CW283" s="95">
        <v>1</v>
      </c>
      <c r="CX283" s="95"/>
      <c r="CY283" s="95"/>
      <c r="CZ283" s="95">
        <v>1</v>
      </c>
      <c r="DA283" s="95"/>
      <c r="DB283" s="95"/>
      <c r="DC283" s="95">
        <v>1</v>
      </c>
      <c r="DD283" s="95"/>
      <c r="DE283" s="95"/>
      <c r="DF283" s="42">
        <v>1</v>
      </c>
      <c r="DG283" s="42"/>
      <c r="DH283" s="42"/>
      <c r="DI283" s="42"/>
      <c r="DJ283" s="42"/>
      <c r="DK283" s="42"/>
      <c r="DL283" s="42">
        <v>1</v>
      </c>
      <c r="DM283" s="42"/>
      <c r="DN283" s="42"/>
      <c r="DO283" s="42">
        <v>1</v>
      </c>
      <c r="DP283" s="42"/>
      <c r="DQ283" s="42"/>
    </row>
    <row r="284" spans="1:123" s="16" customFormat="1" ht="15" customHeight="1">
      <c r="A284" s="90" t="s">
        <v>157</v>
      </c>
      <c r="B284" s="42"/>
      <c r="C284" s="42"/>
      <c r="D284" s="42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  <c r="AB284" s="145"/>
      <c r="AC284" s="145"/>
      <c r="AD284" s="145"/>
      <c r="AE284" s="145"/>
      <c r="AF284" s="97">
        <v>2</v>
      </c>
      <c r="AG284" s="97"/>
      <c r="AH284" s="97"/>
      <c r="AI284" s="98">
        <v>2</v>
      </c>
      <c r="AJ284" s="98"/>
      <c r="AK284" s="98"/>
      <c r="AL284" s="95">
        <v>2</v>
      </c>
      <c r="AM284" s="214">
        <v>225</v>
      </c>
      <c r="AN284" s="214">
        <v>233</v>
      </c>
      <c r="AO284" s="101">
        <v>2</v>
      </c>
      <c r="AP284" s="101">
        <v>300</v>
      </c>
      <c r="AQ284" s="101">
        <v>292</v>
      </c>
      <c r="AR284" s="165">
        <v>2</v>
      </c>
      <c r="AS284" s="165"/>
      <c r="AT284" s="165"/>
      <c r="AU284" s="166">
        <v>2</v>
      </c>
      <c r="AV284" s="166"/>
      <c r="AW284" s="166"/>
      <c r="AX284" s="104"/>
      <c r="AY284" s="104"/>
      <c r="AZ284" s="104"/>
      <c r="BA284" s="105">
        <v>2</v>
      </c>
      <c r="BB284" s="105"/>
      <c r="BC284" s="105"/>
      <c r="BD284" s="172">
        <v>2</v>
      </c>
      <c r="BE284" s="172"/>
      <c r="BF284" s="172"/>
      <c r="BG284" s="108">
        <v>2</v>
      </c>
      <c r="BH284" s="108"/>
      <c r="BI284" s="108"/>
      <c r="BJ284" s="110">
        <v>2</v>
      </c>
      <c r="BK284" s="110"/>
      <c r="BL284" s="110"/>
      <c r="BM284" s="175">
        <v>2</v>
      </c>
      <c r="BN284" s="175"/>
      <c r="BO284" s="175"/>
      <c r="BP284" s="52">
        <v>1</v>
      </c>
      <c r="BQ284" s="52"/>
      <c r="BR284" s="52"/>
      <c r="BS284" s="54"/>
      <c r="BT284" s="54"/>
      <c r="BU284" s="54"/>
      <c r="BV284" s="55">
        <v>1</v>
      </c>
      <c r="BW284" s="55"/>
      <c r="BX284" s="55"/>
      <c r="BY284" s="55">
        <v>1</v>
      </c>
      <c r="BZ284" s="55"/>
      <c r="CA284" s="55"/>
      <c r="CB284" s="124">
        <v>1</v>
      </c>
      <c r="CC284" s="124"/>
      <c r="CD284" s="124"/>
      <c r="CE284" s="178">
        <v>1</v>
      </c>
      <c r="CF284" s="178"/>
      <c r="CG284" s="178"/>
      <c r="CH284" s="57">
        <v>1</v>
      </c>
      <c r="CI284" s="57"/>
      <c r="CJ284" s="57"/>
      <c r="CK284" s="58">
        <v>1</v>
      </c>
      <c r="CL284" s="58"/>
      <c r="CM284" s="58"/>
      <c r="CN284" s="60"/>
      <c r="CO284" s="60"/>
      <c r="CP284" s="60"/>
      <c r="CQ284" s="150">
        <v>1</v>
      </c>
      <c r="CR284" s="150"/>
      <c r="CS284" s="150"/>
      <c r="CT284" s="62">
        <v>1</v>
      </c>
      <c r="CU284" s="62"/>
      <c r="CV284" s="62"/>
      <c r="CW284" s="95">
        <v>1</v>
      </c>
      <c r="CX284" s="95"/>
      <c r="CY284" s="95"/>
      <c r="CZ284" s="95">
        <v>1</v>
      </c>
      <c r="DA284" s="95"/>
      <c r="DB284" s="95"/>
      <c r="DC284" s="95">
        <v>1</v>
      </c>
      <c r="DD284" s="95"/>
      <c r="DE284" s="95"/>
      <c r="DF284" s="42">
        <v>1</v>
      </c>
      <c r="DG284" s="42"/>
      <c r="DH284" s="42"/>
      <c r="DI284" s="42"/>
      <c r="DJ284" s="42"/>
      <c r="DK284" s="42"/>
      <c r="DL284" s="42">
        <v>1</v>
      </c>
      <c r="DM284" s="42"/>
      <c r="DN284" s="42"/>
      <c r="DO284" s="42">
        <v>1</v>
      </c>
      <c r="DP284" s="42"/>
      <c r="DQ284" s="42"/>
    </row>
    <row r="285" spans="1:123" s="16" customFormat="1" ht="15" customHeight="1">
      <c r="A285" s="90" t="s">
        <v>254</v>
      </c>
      <c r="B285" s="42"/>
      <c r="C285" s="42"/>
      <c r="D285" s="42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97"/>
      <c r="AG285" s="97"/>
      <c r="AH285" s="97"/>
      <c r="AI285" s="98"/>
      <c r="AJ285" s="98"/>
      <c r="AK285" s="98"/>
      <c r="AL285" s="95"/>
      <c r="AM285" s="214"/>
      <c r="AN285" s="214"/>
      <c r="AO285" s="101"/>
      <c r="AP285" s="101"/>
      <c r="AQ285" s="101"/>
      <c r="AR285" s="165">
        <v>1</v>
      </c>
      <c r="AS285" s="165"/>
      <c r="AT285" s="165"/>
      <c r="AU285" s="166">
        <v>1</v>
      </c>
      <c r="AV285" s="166"/>
      <c r="AW285" s="166">
        <v>201</v>
      </c>
      <c r="AX285" s="104"/>
      <c r="AY285" s="104"/>
      <c r="AZ285" s="104"/>
      <c r="BA285" s="105">
        <v>1</v>
      </c>
      <c r="BB285" s="105"/>
      <c r="BC285" s="105">
        <v>227</v>
      </c>
      <c r="BD285" s="172">
        <v>1</v>
      </c>
      <c r="BE285" s="172">
        <v>450</v>
      </c>
      <c r="BF285" s="172">
        <v>224</v>
      </c>
      <c r="BG285" s="108">
        <v>1</v>
      </c>
      <c r="BH285" s="108"/>
      <c r="BI285" s="108">
        <v>226</v>
      </c>
      <c r="BJ285" s="110">
        <v>1</v>
      </c>
      <c r="BK285" s="110">
        <v>503</v>
      </c>
      <c r="BL285" s="110">
        <v>75</v>
      </c>
      <c r="BM285" s="175"/>
      <c r="BN285" s="175"/>
      <c r="BO285" s="175"/>
      <c r="BP285" s="52"/>
      <c r="BQ285" s="52"/>
      <c r="BR285" s="52"/>
      <c r="BS285" s="54"/>
      <c r="BT285" s="54"/>
      <c r="BU285" s="54"/>
      <c r="BV285" s="55"/>
      <c r="BW285" s="55"/>
      <c r="BX285" s="55"/>
      <c r="BY285" s="55"/>
      <c r="BZ285" s="55"/>
      <c r="CA285" s="55"/>
      <c r="CB285" s="124">
        <v>1</v>
      </c>
      <c r="CC285" s="124"/>
      <c r="CD285" s="124"/>
      <c r="CE285" s="178">
        <v>1</v>
      </c>
      <c r="CF285" s="178"/>
      <c r="CG285" s="178"/>
      <c r="CH285" s="57">
        <v>1</v>
      </c>
      <c r="CI285" s="57"/>
      <c r="CJ285" s="57"/>
      <c r="CK285" s="58">
        <v>1</v>
      </c>
      <c r="CL285" s="58"/>
      <c r="CM285" s="58"/>
      <c r="CN285" s="60"/>
      <c r="CO285" s="60"/>
      <c r="CP285" s="60"/>
      <c r="CQ285" s="150">
        <v>1</v>
      </c>
      <c r="CR285" s="150"/>
      <c r="CS285" s="150"/>
      <c r="CT285" s="62">
        <v>1</v>
      </c>
      <c r="CU285" s="62"/>
      <c r="CV285" s="62"/>
      <c r="CW285" s="95">
        <v>1</v>
      </c>
      <c r="CX285" s="95"/>
      <c r="CY285" s="95"/>
      <c r="CZ285" s="95">
        <v>1</v>
      </c>
      <c r="DA285" s="95"/>
      <c r="DB285" s="95">
        <v>22</v>
      </c>
      <c r="DC285" s="95">
        <v>1</v>
      </c>
      <c r="DD285" s="95"/>
      <c r="DE285" s="95">
        <v>13</v>
      </c>
      <c r="DF285" s="42">
        <v>1</v>
      </c>
      <c r="DG285" s="42"/>
      <c r="DH285" s="42"/>
      <c r="DI285" s="42"/>
      <c r="DJ285" s="42"/>
      <c r="DK285" s="42"/>
      <c r="DL285" s="42">
        <v>1</v>
      </c>
      <c r="DM285" s="42"/>
      <c r="DN285" s="42"/>
      <c r="DO285" s="42">
        <v>1</v>
      </c>
      <c r="DP285" s="42"/>
      <c r="DQ285" s="42"/>
    </row>
    <row r="286" spans="1:123" s="16" customFormat="1" ht="15" customHeight="1">
      <c r="A286" s="90" t="s">
        <v>255</v>
      </c>
      <c r="B286" s="42"/>
      <c r="C286" s="42"/>
      <c r="D286" s="42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145"/>
      <c r="AC286" s="145"/>
      <c r="AD286" s="145"/>
      <c r="AE286" s="145"/>
      <c r="AF286" s="97"/>
      <c r="AG286" s="97"/>
      <c r="AH286" s="97"/>
      <c r="AI286" s="98"/>
      <c r="AJ286" s="98"/>
      <c r="AK286" s="98"/>
      <c r="AL286" s="95"/>
      <c r="AM286" s="214"/>
      <c r="AN286" s="214"/>
      <c r="AO286" s="101"/>
      <c r="AP286" s="101"/>
      <c r="AQ286" s="101"/>
      <c r="AR286" s="165"/>
      <c r="AS286" s="165"/>
      <c r="AT286" s="165"/>
      <c r="AU286" s="166">
        <v>1</v>
      </c>
      <c r="AV286" s="166"/>
      <c r="AW286" s="166">
        <v>361</v>
      </c>
      <c r="AX286" s="104"/>
      <c r="AY286" s="104"/>
      <c r="AZ286" s="104"/>
      <c r="BA286" s="105">
        <v>1</v>
      </c>
      <c r="BB286" s="105">
        <v>450</v>
      </c>
      <c r="BC286" s="105">
        <v>437</v>
      </c>
      <c r="BD286" s="172">
        <v>1</v>
      </c>
      <c r="BE286" s="172">
        <v>418</v>
      </c>
      <c r="BF286" s="172">
        <v>70</v>
      </c>
      <c r="BG286" s="108"/>
      <c r="BH286" s="108"/>
      <c r="BI286" s="108"/>
      <c r="BJ286" s="110"/>
      <c r="BK286" s="110"/>
      <c r="BL286" s="110"/>
      <c r="BM286" s="175"/>
      <c r="BN286" s="175"/>
      <c r="BO286" s="175"/>
      <c r="BP286" s="52"/>
      <c r="BQ286" s="52"/>
      <c r="BR286" s="52"/>
      <c r="BS286" s="54"/>
      <c r="BT286" s="54"/>
      <c r="BU286" s="54"/>
      <c r="BV286" s="55"/>
      <c r="BW286" s="55"/>
      <c r="BX286" s="55"/>
      <c r="BY286" s="55"/>
      <c r="BZ286" s="55"/>
      <c r="CA286" s="55"/>
      <c r="CB286" s="124"/>
      <c r="CC286" s="124"/>
      <c r="CD286" s="124"/>
      <c r="CE286" s="178"/>
      <c r="CF286" s="178"/>
      <c r="CG286" s="178"/>
      <c r="CH286" s="57"/>
      <c r="CI286" s="57"/>
      <c r="CJ286" s="57"/>
      <c r="CK286" s="58"/>
      <c r="CL286" s="58"/>
      <c r="CM286" s="58"/>
      <c r="CN286" s="60"/>
      <c r="CO286" s="60"/>
      <c r="CP286" s="60"/>
      <c r="CQ286" s="150"/>
      <c r="CR286" s="150"/>
      <c r="CS286" s="150"/>
      <c r="CT286" s="62"/>
      <c r="CU286" s="62"/>
      <c r="CV286" s="62"/>
      <c r="CW286" s="95"/>
      <c r="CX286" s="95"/>
      <c r="CY286" s="95"/>
      <c r="CZ286" s="95"/>
      <c r="DA286" s="95"/>
      <c r="DB286" s="95"/>
      <c r="DC286" s="95"/>
      <c r="DD286" s="95"/>
      <c r="DE286" s="95"/>
      <c r="DF286" s="42"/>
      <c r="DG286" s="42"/>
      <c r="DH286" s="42"/>
      <c r="DI286" s="42"/>
      <c r="DJ286" s="42"/>
      <c r="DK286" s="42"/>
      <c r="DL286" s="42"/>
      <c r="DM286" s="42"/>
      <c r="DN286" s="42"/>
      <c r="DO286" s="42"/>
      <c r="DP286" s="42"/>
      <c r="DQ286" s="42"/>
    </row>
    <row r="287" spans="1:123" s="16" customFormat="1" ht="15" customHeight="1">
      <c r="A287" s="90" t="s">
        <v>159</v>
      </c>
      <c r="B287" s="42"/>
      <c r="C287" s="42"/>
      <c r="D287" s="42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  <c r="AB287" s="145"/>
      <c r="AC287" s="145"/>
      <c r="AD287" s="145"/>
      <c r="AE287" s="145"/>
      <c r="AF287" s="97">
        <v>1</v>
      </c>
      <c r="AG287" s="97"/>
      <c r="AH287" s="97"/>
      <c r="AI287" s="98">
        <v>1</v>
      </c>
      <c r="AJ287" s="98"/>
      <c r="AK287" s="98"/>
      <c r="AL287" s="95">
        <v>1</v>
      </c>
      <c r="AM287" s="40"/>
      <c r="AN287" s="40"/>
      <c r="AO287" s="101">
        <v>1</v>
      </c>
      <c r="AP287" s="101"/>
      <c r="AQ287" s="101"/>
      <c r="AR287" s="165">
        <v>1</v>
      </c>
      <c r="AS287" s="165"/>
      <c r="AT287" s="165"/>
      <c r="AU287" s="166">
        <v>1</v>
      </c>
      <c r="AV287" s="166"/>
      <c r="AW287" s="166"/>
      <c r="AX287" s="104"/>
      <c r="AY287" s="104"/>
      <c r="AZ287" s="104"/>
      <c r="BA287" s="105">
        <v>1</v>
      </c>
      <c r="BB287" s="105"/>
      <c r="BC287" s="105"/>
      <c r="BD287" s="105">
        <v>1</v>
      </c>
      <c r="BE287" s="172"/>
      <c r="BF287" s="172"/>
      <c r="BG287" s="108">
        <v>1</v>
      </c>
      <c r="BH287" s="108"/>
      <c r="BI287" s="108"/>
      <c r="BJ287" s="110">
        <v>1</v>
      </c>
      <c r="BK287" s="110"/>
      <c r="BL287" s="110"/>
      <c r="BM287" s="175">
        <v>1</v>
      </c>
      <c r="BN287" s="175"/>
      <c r="BO287" s="175"/>
      <c r="BP287" s="52">
        <v>1</v>
      </c>
      <c r="BQ287" s="52"/>
      <c r="BR287" s="52"/>
      <c r="BS287" s="54"/>
      <c r="BT287" s="54"/>
      <c r="BU287" s="54"/>
      <c r="BV287" s="55">
        <v>1</v>
      </c>
      <c r="BW287" s="55"/>
      <c r="BX287" s="55">
        <v>272</v>
      </c>
      <c r="BY287" s="55">
        <v>1</v>
      </c>
      <c r="BZ287" s="55"/>
      <c r="CA287" s="55">
        <v>228</v>
      </c>
      <c r="CB287" s="124">
        <v>1</v>
      </c>
      <c r="CC287" s="124">
        <v>500</v>
      </c>
      <c r="CD287" s="124"/>
      <c r="CE287" s="178">
        <v>1</v>
      </c>
      <c r="CF287" s="178"/>
      <c r="CG287" s="178"/>
      <c r="CH287" s="57">
        <v>1</v>
      </c>
      <c r="CI287" s="57"/>
      <c r="CJ287" s="57"/>
      <c r="CK287" s="58">
        <v>1</v>
      </c>
      <c r="CL287" s="58"/>
      <c r="CM287" s="58"/>
      <c r="CN287" s="60"/>
      <c r="CO287" s="60"/>
      <c r="CP287" s="60"/>
      <c r="CQ287" s="150">
        <v>1</v>
      </c>
      <c r="CR287" s="150"/>
      <c r="CS287" s="150"/>
      <c r="CT287" s="62">
        <v>1</v>
      </c>
      <c r="CU287" s="62"/>
      <c r="CV287" s="62"/>
      <c r="CW287" s="95">
        <v>1</v>
      </c>
      <c r="CX287" s="95"/>
      <c r="CY287" s="95"/>
      <c r="CZ287" s="95">
        <v>1</v>
      </c>
      <c r="DA287" s="95"/>
      <c r="DB287" s="95"/>
      <c r="DC287" s="95">
        <v>1</v>
      </c>
      <c r="DD287" s="95"/>
      <c r="DE287" s="95"/>
      <c r="DF287" s="42">
        <v>1</v>
      </c>
      <c r="DG287" s="42"/>
      <c r="DH287" s="42"/>
      <c r="DI287" s="42"/>
      <c r="DJ287" s="42"/>
      <c r="DK287" s="42"/>
      <c r="DL287" s="42"/>
      <c r="DM287" s="42"/>
      <c r="DN287" s="42"/>
      <c r="DO287" s="42"/>
      <c r="DP287" s="42"/>
      <c r="DQ287" s="42"/>
    </row>
    <row r="288" spans="1:123" s="16" customFormat="1" ht="15" customHeight="1">
      <c r="A288" s="90" t="s">
        <v>160</v>
      </c>
      <c r="B288" s="42"/>
      <c r="C288" s="42"/>
      <c r="D288" s="42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  <c r="AB288" s="145"/>
      <c r="AC288" s="145"/>
      <c r="AD288" s="145"/>
      <c r="AE288" s="145"/>
      <c r="AF288" s="97">
        <v>1</v>
      </c>
      <c r="AG288" s="97"/>
      <c r="AH288" s="97"/>
      <c r="AI288" s="98">
        <v>1</v>
      </c>
      <c r="AJ288" s="98"/>
      <c r="AK288" s="98"/>
      <c r="AL288" s="95">
        <v>1</v>
      </c>
      <c r="AM288" s="40"/>
      <c r="AN288" s="40"/>
      <c r="AO288" s="101">
        <v>1</v>
      </c>
      <c r="AP288" s="101">
        <v>501</v>
      </c>
      <c r="AQ288" s="101">
        <v>264</v>
      </c>
      <c r="AR288" s="165">
        <v>1</v>
      </c>
      <c r="AS288" s="165"/>
      <c r="AT288" s="165"/>
      <c r="AU288" s="166">
        <v>1</v>
      </c>
      <c r="AV288" s="166"/>
      <c r="AW288" s="166"/>
      <c r="AX288" s="104"/>
      <c r="AY288" s="104"/>
      <c r="AZ288" s="104"/>
      <c r="BA288" s="105">
        <v>1</v>
      </c>
      <c r="BB288" s="105"/>
      <c r="BC288" s="105"/>
      <c r="BD288" s="105">
        <v>1</v>
      </c>
      <c r="BE288" s="172"/>
      <c r="BF288" s="172"/>
      <c r="BG288" s="108">
        <v>1</v>
      </c>
      <c r="BH288" s="108"/>
      <c r="BI288" s="108"/>
      <c r="BJ288" s="110">
        <v>1</v>
      </c>
      <c r="BK288" s="110"/>
      <c r="BL288" s="110"/>
      <c r="BM288" s="175">
        <v>1</v>
      </c>
      <c r="BN288" s="175"/>
      <c r="BO288" s="175"/>
      <c r="BP288" s="52">
        <v>1</v>
      </c>
      <c r="BQ288" s="52"/>
      <c r="BR288" s="52"/>
      <c r="BS288" s="54"/>
      <c r="BT288" s="54"/>
      <c r="BU288" s="54"/>
      <c r="BV288" s="55">
        <v>1</v>
      </c>
      <c r="BW288" s="55"/>
      <c r="BX288" s="55">
        <v>271</v>
      </c>
      <c r="BY288" s="55">
        <v>1</v>
      </c>
      <c r="BZ288" s="55"/>
      <c r="CA288" s="55">
        <v>229</v>
      </c>
      <c r="CB288" s="124">
        <v>1</v>
      </c>
      <c r="CC288" s="124">
        <v>500</v>
      </c>
      <c r="CD288" s="124"/>
      <c r="CE288" s="178">
        <v>1</v>
      </c>
      <c r="CF288" s="178"/>
      <c r="CG288" s="178"/>
      <c r="CH288" s="57">
        <v>1</v>
      </c>
      <c r="CI288" s="57"/>
      <c r="CJ288" s="57"/>
      <c r="CK288" s="58">
        <v>1</v>
      </c>
      <c r="CL288" s="58"/>
      <c r="CM288" s="58"/>
      <c r="CN288" s="60"/>
      <c r="CO288" s="60"/>
      <c r="CP288" s="60"/>
      <c r="CQ288" s="150">
        <v>1</v>
      </c>
      <c r="CR288" s="150"/>
      <c r="CS288" s="150"/>
      <c r="CT288" s="62">
        <v>1</v>
      </c>
      <c r="CU288" s="62"/>
      <c r="CV288" s="62"/>
      <c r="CW288" s="95">
        <v>1</v>
      </c>
      <c r="CX288" s="95"/>
      <c r="CY288" s="95"/>
      <c r="CZ288" s="95">
        <v>1</v>
      </c>
      <c r="DA288" s="95"/>
      <c r="DB288" s="95"/>
      <c r="DC288" s="95">
        <v>1</v>
      </c>
      <c r="DD288" s="95"/>
      <c r="DE288" s="95"/>
      <c r="DF288" s="42">
        <v>1</v>
      </c>
      <c r="DG288" s="42"/>
      <c r="DH288" s="42"/>
      <c r="DI288" s="42"/>
      <c r="DJ288" s="42"/>
      <c r="DK288" s="42"/>
      <c r="DL288" s="42">
        <v>1</v>
      </c>
      <c r="DM288" s="42"/>
      <c r="DN288" s="42"/>
      <c r="DO288" s="42">
        <v>1</v>
      </c>
      <c r="DP288" s="42"/>
      <c r="DQ288" s="42"/>
    </row>
    <row r="289" spans="1:121" s="16" customFormat="1" ht="15" customHeight="1">
      <c r="A289" s="90" t="s">
        <v>161</v>
      </c>
      <c r="B289" s="42"/>
      <c r="C289" s="42"/>
      <c r="D289" s="42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145"/>
      <c r="AC289" s="145"/>
      <c r="AD289" s="145"/>
      <c r="AE289" s="145"/>
      <c r="AF289" s="97">
        <v>1</v>
      </c>
      <c r="AG289" s="97"/>
      <c r="AH289" s="97"/>
      <c r="AI289" s="98">
        <v>1</v>
      </c>
      <c r="AJ289" s="98"/>
      <c r="AK289" s="98"/>
      <c r="AL289" s="95">
        <v>1</v>
      </c>
      <c r="AM289" s="40"/>
      <c r="AN289" s="40"/>
      <c r="AO289" s="101">
        <v>1</v>
      </c>
      <c r="AP289" s="101"/>
      <c r="AQ289" s="101"/>
      <c r="AR289" s="165">
        <v>1</v>
      </c>
      <c r="AS289" s="165"/>
      <c r="AT289" s="165"/>
      <c r="AU289" s="166">
        <v>1</v>
      </c>
      <c r="AV289" s="166"/>
      <c r="AW289" s="166"/>
      <c r="AX289" s="104"/>
      <c r="AY289" s="104"/>
      <c r="AZ289" s="104"/>
      <c r="BA289" s="105">
        <v>1</v>
      </c>
      <c r="BB289" s="105"/>
      <c r="BC289" s="105"/>
      <c r="BD289" s="105">
        <v>1</v>
      </c>
      <c r="BE289" s="172"/>
      <c r="BF289" s="172"/>
      <c r="BG289" s="108">
        <v>1</v>
      </c>
      <c r="BH289" s="108"/>
      <c r="BI289" s="108"/>
      <c r="BJ289" s="110">
        <v>1</v>
      </c>
      <c r="BK289" s="110"/>
      <c r="BL289" s="110"/>
      <c r="BM289" s="175">
        <v>1</v>
      </c>
      <c r="BN289" s="175"/>
      <c r="BO289" s="175"/>
      <c r="BP289" s="52">
        <v>1</v>
      </c>
      <c r="BQ289" s="52"/>
      <c r="BR289" s="52"/>
      <c r="BS289" s="54"/>
      <c r="BT289" s="54"/>
      <c r="BU289" s="54"/>
      <c r="BV289" s="55">
        <v>1</v>
      </c>
      <c r="BW289" s="55"/>
      <c r="BX289" s="55"/>
      <c r="BY289" s="55">
        <v>1</v>
      </c>
      <c r="BZ289" s="55"/>
      <c r="CA289" s="55"/>
      <c r="CB289" s="124">
        <v>1</v>
      </c>
      <c r="CC289" s="124"/>
      <c r="CD289" s="124"/>
      <c r="CE289" s="178">
        <v>1</v>
      </c>
      <c r="CF289" s="178"/>
      <c r="CG289" s="178"/>
      <c r="CH289" s="57">
        <v>1</v>
      </c>
      <c r="CI289" s="57"/>
      <c r="CJ289" s="57"/>
      <c r="CK289" s="58">
        <v>1</v>
      </c>
      <c r="CL289" s="58"/>
      <c r="CM289" s="58"/>
      <c r="CN289" s="60"/>
      <c r="CO289" s="60"/>
      <c r="CP289" s="60"/>
      <c r="CQ289" s="150">
        <v>1</v>
      </c>
      <c r="CR289" s="150"/>
      <c r="CS289" s="150"/>
      <c r="CT289" s="62">
        <v>1</v>
      </c>
      <c r="CU289" s="62"/>
      <c r="CV289" s="62"/>
      <c r="CW289" s="95">
        <v>1</v>
      </c>
      <c r="CX289" s="95"/>
      <c r="CY289" s="95"/>
      <c r="CZ289" s="95">
        <v>1</v>
      </c>
      <c r="DA289" s="95"/>
      <c r="DB289" s="95">
        <v>33</v>
      </c>
      <c r="DC289" s="95">
        <v>1</v>
      </c>
      <c r="DD289" s="95"/>
      <c r="DE289" s="95">
        <v>14</v>
      </c>
      <c r="DF289" s="42">
        <v>1</v>
      </c>
      <c r="DG289" s="42"/>
      <c r="DH289" s="42"/>
      <c r="DI289" s="42"/>
      <c r="DJ289" s="42"/>
      <c r="DK289" s="42"/>
      <c r="DL289" s="42">
        <v>1</v>
      </c>
      <c r="DM289" s="42"/>
      <c r="DN289" s="42"/>
      <c r="DO289" s="42">
        <v>1</v>
      </c>
      <c r="DP289" s="42"/>
      <c r="DQ289" s="42"/>
    </row>
    <row r="290" spans="1:121" s="16" customFormat="1" ht="15" customHeight="1">
      <c r="A290" s="90" t="s">
        <v>162</v>
      </c>
      <c r="B290" s="42"/>
      <c r="C290" s="42"/>
      <c r="D290" s="42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  <c r="AC290" s="145"/>
      <c r="AD290" s="145"/>
      <c r="AE290" s="145"/>
      <c r="AF290" s="97">
        <v>1</v>
      </c>
      <c r="AG290" s="97"/>
      <c r="AH290" s="97"/>
      <c r="AI290" s="98">
        <v>1</v>
      </c>
      <c r="AJ290" s="98"/>
      <c r="AK290" s="98"/>
      <c r="AL290" s="95">
        <v>1</v>
      </c>
      <c r="AM290" s="40"/>
      <c r="AN290" s="40"/>
      <c r="AO290" s="101">
        <v>1</v>
      </c>
      <c r="AP290" s="101"/>
      <c r="AQ290" s="101">
        <v>301</v>
      </c>
      <c r="AR290" s="165">
        <v>1</v>
      </c>
      <c r="AS290" s="165">
        <v>500</v>
      </c>
      <c r="AT290" s="165">
        <v>187</v>
      </c>
      <c r="AU290" s="166">
        <v>1</v>
      </c>
      <c r="AV290" s="166"/>
      <c r="AW290" s="166"/>
      <c r="AX290" s="104"/>
      <c r="AY290" s="104"/>
      <c r="AZ290" s="104"/>
      <c r="BA290" s="105">
        <v>1</v>
      </c>
      <c r="BB290" s="105"/>
      <c r="BC290" s="105"/>
      <c r="BD290" s="105">
        <v>1</v>
      </c>
      <c r="BE290" s="172"/>
      <c r="BF290" s="172"/>
      <c r="BG290" s="108">
        <v>1</v>
      </c>
      <c r="BH290" s="108"/>
      <c r="BI290" s="108"/>
      <c r="BJ290" s="110">
        <v>1</v>
      </c>
      <c r="BK290" s="110"/>
      <c r="BL290" s="110"/>
      <c r="BM290" s="175">
        <v>1</v>
      </c>
      <c r="BN290" s="175"/>
      <c r="BO290" s="175"/>
      <c r="BP290" s="52">
        <v>1</v>
      </c>
      <c r="BQ290" s="52"/>
      <c r="BR290" s="52"/>
      <c r="BS290" s="54"/>
      <c r="BT290" s="54"/>
      <c r="BU290" s="54"/>
      <c r="BV290" s="55">
        <v>1</v>
      </c>
      <c r="BW290" s="55"/>
      <c r="BX290" s="55">
        <v>228</v>
      </c>
      <c r="BY290" s="55">
        <v>1</v>
      </c>
      <c r="BZ290" s="55">
        <v>423</v>
      </c>
      <c r="CA290" s="55">
        <v>195</v>
      </c>
      <c r="CB290" s="124"/>
      <c r="CC290" s="124"/>
      <c r="CD290" s="124"/>
      <c r="CE290" s="178"/>
      <c r="CF290" s="178"/>
      <c r="CG290" s="178"/>
      <c r="CH290" s="57"/>
      <c r="CI290" s="57"/>
      <c r="CJ290" s="57"/>
      <c r="CK290" s="58"/>
      <c r="CL290" s="58"/>
      <c r="CM290" s="58"/>
      <c r="CN290" s="60"/>
      <c r="CO290" s="60"/>
      <c r="CP290" s="60"/>
      <c r="CQ290" s="150"/>
      <c r="CR290" s="150"/>
      <c r="CS290" s="150"/>
      <c r="CT290" s="62"/>
      <c r="CU290" s="62"/>
      <c r="CV290" s="62"/>
      <c r="CW290" s="95"/>
      <c r="CX290" s="95"/>
      <c r="CY290" s="95"/>
      <c r="CZ290" s="95"/>
      <c r="DA290" s="95"/>
      <c r="DB290" s="95"/>
      <c r="DC290" s="95"/>
      <c r="DD290" s="95"/>
      <c r="DE290" s="95"/>
      <c r="DF290" s="42"/>
      <c r="DG290" s="42"/>
      <c r="DH290" s="42"/>
      <c r="DI290" s="42"/>
      <c r="DJ290" s="42"/>
      <c r="DK290" s="42"/>
      <c r="DL290" s="42"/>
      <c r="DM290" s="42"/>
      <c r="DN290" s="42"/>
      <c r="DO290" s="42">
        <v>1</v>
      </c>
      <c r="DP290" s="42"/>
      <c r="DQ290" s="42">
        <v>286</v>
      </c>
    </row>
    <row r="291" spans="1:121" s="16" customFormat="1" ht="15" customHeight="1">
      <c r="A291" s="90" t="s">
        <v>163</v>
      </c>
      <c r="B291" s="42"/>
      <c r="C291" s="42"/>
      <c r="D291" s="42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  <c r="AC291" s="145"/>
      <c r="AD291" s="145"/>
      <c r="AE291" s="145"/>
      <c r="AF291" s="97">
        <v>1</v>
      </c>
      <c r="AG291" s="97"/>
      <c r="AH291" s="97"/>
      <c r="AI291" s="98">
        <v>1</v>
      </c>
      <c r="AJ291" s="98"/>
      <c r="AK291" s="98"/>
      <c r="AL291" s="95">
        <v>1</v>
      </c>
      <c r="AM291" s="40"/>
      <c r="AN291" s="40"/>
      <c r="AO291" s="101">
        <v>1</v>
      </c>
      <c r="AP291" s="101"/>
      <c r="AQ291" s="101"/>
      <c r="AR291" s="165">
        <v>1</v>
      </c>
      <c r="AS291" s="165"/>
      <c r="AT291" s="165"/>
      <c r="AU291" s="166">
        <v>1</v>
      </c>
      <c r="AV291" s="166"/>
      <c r="AW291" s="166"/>
      <c r="AX291" s="104"/>
      <c r="AY291" s="104"/>
      <c r="AZ291" s="104"/>
      <c r="BA291" s="105">
        <v>1</v>
      </c>
      <c r="BB291" s="105"/>
      <c r="BC291" s="105"/>
      <c r="BD291" s="105">
        <v>1</v>
      </c>
      <c r="BE291" s="172"/>
      <c r="BF291" s="172"/>
      <c r="BG291" s="108">
        <v>1</v>
      </c>
      <c r="BH291" s="108"/>
      <c r="BI291" s="108"/>
      <c r="BJ291" s="110">
        <v>1</v>
      </c>
      <c r="BK291" s="110"/>
      <c r="BL291" s="110"/>
      <c r="BM291" s="175">
        <v>1</v>
      </c>
      <c r="BN291" s="175"/>
      <c r="BO291" s="175"/>
      <c r="BP291" s="52">
        <v>1</v>
      </c>
      <c r="BQ291" s="52"/>
      <c r="BR291" s="52"/>
      <c r="BS291" s="54"/>
      <c r="BT291" s="54"/>
      <c r="BU291" s="54"/>
      <c r="BV291" s="55">
        <v>1</v>
      </c>
      <c r="BW291" s="55"/>
      <c r="BX291" s="55"/>
      <c r="BY291" s="55">
        <v>1</v>
      </c>
      <c r="BZ291" s="55"/>
      <c r="CA291" s="55"/>
      <c r="CB291" s="124">
        <v>1</v>
      </c>
      <c r="CC291" s="124"/>
      <c r="CD291" s="124"/>
      <c r="CE291" s="178">
        <v>1</v>
      </c>
      <c r="CF291" s="178"/>
      <c r="CG291" s="178"/>
      <c r="CH291" s="57">
        <v>1</v>
      </c>
      <c r="CI291" s="57"/>
      <c r="CJ291" s="57"/>
      <c r="CK291" s="58">
        <v>1</v>
      </c>
      <c r="CL291" s="58"/>
      <c r="CM291" s="58"/>
      <c r="CN291" s="60"/>
      <c r="CO291" s="60"/>
      <c r="CP291" s="60"/>
      <c r="CQ291" s="150">
        <v>1</v>
      </c>
      <c r="CR291" s="150"/>
      <c r="CS291" s="150"/>
      <c r="CT291" s="62">
        <v>1</v>
      </c>
      <c r="CU291" s="62"/>
      <c r="CV291" s="62"/>
      <c r="CW291" s="95">
        <v>1</v>
      </c>
      <c r="CX291" s="95"/>
      <c r="CY291" s="95"/>
      <c r="CZ291" s="95">
        <v>1</v>
      </c>
      <c r="DA291" s="95"/>
      <c r="DB291" s="95"/>
      <c r="DC291" s="95">
        <v>1</v>
      </c>
      <c r="DD291" s="95"/>
      <c r="DE291" s="95"/>
      <c r="DF291" s="42">
        <v>1</v>
      </c>
      <c r="DG291" s="42"/>
      <c r="DH291" s="42"/>
      <c r="DI291" s="42"/>
      <c r="DJ291" s="42"/>
      <c r="DK291" s="42"/>
      <c r="DL291" s="42">
        <v>1</v>
      </c>
      <c r="DM291" s="42"/>
      <c r="DN291" s="42"/>
      <c r="DO291" s="42">
        <v>1</v>
      </c>
      <c r="DP291" s="42"/>
      <c r="DQ291" s="42"/>
    </row>
    <row r="292" spans="1:121" s="16" customFormat="1" ht="15" customHeight="1">
      <c r="A292" s="90" t="s">
        <v>164</v>
      </c>
      <c r="B292" s="42"/>
      <c r="C292" s="42"/>
      <c r="D292" s="42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  <c r="AB292" s="145"/>
      <c r="AC292" s="145"/>
      <c r="AD292" s="145"/>
      <c r="AE292" s="145"/>
      <c r="AF292" s="97">
        <v>1</v>
      </c>
      <c r="AG292" s="97"/>
      <c r="AH292" s="97"/>
      <c r="AI292" s="98">
        <v>1</v>
      </c>
      <c r="AJ292" s="98"/>
      <c r="AK292" s="98"/>
      <c r="AL292" s="95">
        <v>1</v>
      </c>
      <c r="AM292" s="40"/>
      <c r="AN292" s="40"/>
      <c r="AO292" s="101">
        <v>1</v>
      </c>
      <c r="AP292" s="101"/>
      <c r="AQ292" s="101"/>
      <c r="AR292" s="165">
        <v>1</v>
      </c>
      <c r="AS292" s="165"/>
      <c r="AT292" s="165"/>
      <c r="AU292" s="166">
        <v>1</v>
      </c>
      <c r="AV292" s="166"/>
      <c r="AW292" s="166"/>
      <c r="AX292" s="104"/>
      <c r="AY292" s="104"/>
      <c r="AZ292" s="104"/>
      <c r="BA292" s="105">
        <v>1</v>
      </c>
      <c r="BB292" s="105"/>
      <c r="BC292" s="105"/>
      <c r="BD292" s="105">
        <v>1</v>
      </c>
      <c r="BE292" s="172"/>
      <c r="BF292" s="172"/>
      <c r="BG292" s="108">
        <v>1</v>
      </c>
      <c r="BH292" s="108"/>
      <c r="BI292" s="108"/>
      <c r="BJ292" s="110">
        <v>1</v>
      </c>
      <c r="BK292" s="110"/>
      <c r="BL292" s="110"/>
      <c r="BM292" s="175">
        <v>1</v>
      </c>
      <c r="BN292" s="175"/>
      <c r="BO292" s="175"/>
      <c r="BP292" s="52">
        <v>1</v>
      </c>
      <c r="BQ292" s="52"/>
      <c r="BR292" s="52"/>
      <c r="BS292" s="54"/>
      <c r="BT292" s="54"/>
      <c r="BU292" s="54"/>
      <c r="BV292" s="55">
        <v>1</v>
      </c>
      <c r="BW292" s="55"/>
      <c r="BX292" s="55"/>
      <c r="BY292" s="55">
        <v>1</v>
      </c>
      <c r="BZ292" s="55"/>
      <c r="CA292" s="55"/>
      <c r="CB292" s="124">
        <v>1</v>
      </c>
      <c r="CC292" s="124"/>
      <c r="CD292" s="124"/>
      <c r="CE292" s="178">
        <v>1</v>
      </c>
      <c r="CF292" s="178"/>
      <c r="CG292" s="178"/>
      <c r="CH292" s="57">
        <v>1</v>
      </c>
      <c r="CI292" s="57"/>
      <c r="CJ292" s="57"/>
      <c r="CK292" s="58">
        <v>1</v>
      </c>
      <c r="CL292" s="58"/>
      <c r="CM292" s="58"/>
      <c r="CN292" s="60"/>
      <c r="CO292" s="60"/>
      <c r="CP292" s="60"/>
      <c r="CQ292" s="150">
        <v>1</v>
      </c>
      <c r="CR292" s="150"/>
      <c r="CS292" s="150"/>
      <c r="CT292" s="62">
        <v>1</v>
      </c>
      <c r="CU292" s="62"/>
      <c r="CV292" s="62"/>
      <c r="CW292" s="95">
        <v>1</v>
      </c>
      <c r="CX292" s="95"/>
      <c r="CY292" s="95"/>
      <c r="CZ292" s="95">
        <v>1</v>
      </c>
      <c r="DA292" s="95"/>
      <c r="DB292" s="95">
        <v>23</v>
      </c>
      <c r="DC292" s="95">
        <v>1</v>
      </c>
      <c r="DD292" s="95"/>
      <c r="DE292" s="95">
        <v>11</v>
      </c>
      <c r="DF292" s="42">
        <v>1</v>
      </c>
      <c r="DG292" s="42"/>
      <c r="DH292" s="42"/>
      <c r="DI292" s="42"/>
      <c r="DJ292" s="42"/>
      <c r="DK292" s="42"/>
      <c r="DL292" s="42">
        <v>1</v>
      </c>
      <c r="DM292" s="42"/>
      <c r="DN292" s="42"/>
      <c r="DO292" s="42">
        <v>1</v>
      </c>
      <c r="DP292" s="42"/>
      <c r="DQ292" s="42"/>
    </row>
    <row r="293" spans="1:121" s="16" customFormat="1" ht="15" customHeight="1">
      <c r="A293" s="90" t="s">
        <v>165</v>
      </c>
      <c r="B293" s="42"/>
      <c r="C293" s="42"/>
      <c r="D293" s="42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  <c r="AB293" s="145"/>
      <c r="AC293" s="145"/>
      <c r="AD293" s="145"/>
      <c r="AE293" s="145"/>
      <c r="AF293" s="97"/>
      <c r="AG293" s="97"/>
      <c r="AH293" s="97"/>
      <c r="AI293" s="98">
        <v>2</v>
      </c>
      <c r="AJ293" s="98"/>
      <c r="AK293" s="98">
        <v>16</v>
      </c>
      <c r="AL293" s="95">
        <v>2</v>
      </c>
      <c r="AM293" s="214"/>
      <c r="AN293" s="214">
        <v>928</v>
      </c>
      <c r="AO293" s="101">
        <v>2</v>
      </c>
      <c r="AP293" s="101">
        <v>1000</v>
      </c>
      <c r="AQ293" s="101">
        <v>56</v>
      </c>
      <c r="AR293" s="165">
        <v>2</v>
      </c>
      <c r="AS293" s="165"/>
      <c r="AT293" s="165"/>
      <c r="AU293" s="166">
        <v>2</v>
      </c>
      <c r="AV293" s="166"/>
      <c r="AW293" s="166"/>
      <c r="AX293" s="104"/>
      <c r="AY293" s="104"/>
      <c r="AZ293" s="104"/>
      <c r="BA293" s="105">
        <v>2</v>
      </c>
      <c r="BB293" s="105"/>
      <c r="BC293" s="105"/>
      <c r="BD293" s="172">
        <v>2</v>
      </c>
      <c r="BE293" s="172"/>
      <c r="BF293" s="172"/>
      <c r="BG293" s="108">
        <v>2</v>
      </c>
      <c r="BH293" s="108"/>
      <c r="BI293" s="108"/>
      <c r="BJ293" s="110">
        <v>2</v>
      </c>
      <c r="BK293" s="110"/>
      <c r="BL293" s="110"/>
      <c r="BM293" s="175">
        <v>2</v>
      </c>
      <c r="BN293" s="175"/>
      <c r="BO293" s="175"/>
      <c r="BP293" s="52">
        <v>2</v>
      </c>
      <c r="BQ293" s="52"/>
      <c r="BR293" s="52"/>
      <c r="BS293" s="54"/>
      <c r="BT293" s="54"/>
      <c r="BU293" s="54"/>
      <c r="BV293" s="55">
        <v>2</v>
      </c>
      <c r="BW293" s="55"/>
      <c r="BX293" s="55"/>
      <c r="BY293" s="55">
        <v>2</v>
      </c>
      <c r="BZ293" s="55"/>
      <c r="CA293" s="55"/>
      <c r="CB293" s="124">
        <v>2</v>
      </c>
      <c r="CC293" s="124"/>
      <c r="CD293" s="124"/>
      <c r="CE293" s="178">
        <v>2</v>
      </c>
      <c r="CF293" s="178"/>
      <c r="CG293" s="178"/>
      <c r="CH293" s="57">
        <v>2</v>
      </c>
      <c r="CI293" s="57"/>
      <c r="CJ293" s="57">
        <v>581</v>
      </c>
      <c r="CK293" s="58">
        <v>2</v>
      </c>
      <c r="CL293" s="58">
        <v>953</v>
      </c>
      <c r="CM293" s="58">
        <v>372</v>
      </c>
      <c r="CN293" s="60"/>
      <c r="CO293" s="60"/>
      <c r="CP293" s="60"/>
      <c r="CQ293" s="150"/>
      <c r="CR293" s="150"/>
      <c r="CS293" s="150"/>
      <c r="CT293" s="62"/>
      <c r="CU293" s="62"/>
      <c r="CV293" s="62"/>
      <c r="CW293" s="95"/>
      <c r="CX293" s="95"/>
      <c r="CY293" s="95"/>
      <c r="CZ293" s="95"/>
      <c r="DA293" s="95"/>
      <c r="DB293" s="95"/>
      <c r="DC293" s="95"/>
      <c r="DD293" s="95"/>
      <c r="DE293" s="95"/>
      <c r="DF293" s="42"/>
      <c r="DG293" s="42"/>
      <c r="DH293" s="42"/>
      <c r="DI293" s="42"/>
      <c r="DJ293" s="42"/>
      <c r="DK293" s="42"/>
      <c r="DL293" s="42"/>
      <c r="DM293" s="42"/>
      <c r="DN293" s="42"/>
      <c r="DO293" s="42"/>
      <c r="DP293" s="42"/>
      <c r="DQ293" s="42"/>
    </row>
    <row r="294" spans="1:121" s="22" customFormat="1" ht="15.75">
      <c r="A294" s="94" t="s">
        <v>70</v>
      </c>
      <c r="B294" s="26"/>
      <c r="C294" s="26"/>
      <c r="D294" s="26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26">
        <f>SUBTOTAL(9,AF273:AF293)</f>
        <v>242</v>
      </c>
      <c r="AG294" s="26">
        <f t="shared" ref="AG294:BK294" si="107">SUBTOTAL(9,AG273:AG293)</f>
        <v>71268</v>
      </c>
      <c r="AH294" s="26">
        <f t="shared" si="107"/>
        <v>76490</v>
      </c>
      <c r="AI294" s="26">
        <f>SUBTOTAL(9,AI273:AI293)</f>
        <v>241</v>
      </c>
      <c r="AJ294" s="26">
        <f t="shared" si="107"/>
        <v>86370</v>
      </c>
      <c r="AK294" s="26">
        <f t="shared" si="107"/>
        <v>70411</v>
      </c>
      <c r="AL294" s="26">
        <f t="shared" si="107"/>
        <v>239</v>
      </c>
      <c r="AM294" s="26">
        <f t="shared" si="107"/>
        <v>66953</v>
      </c>
      <c r="AN294" s="26">
        <f t="shared" si="107"/>
        <v>70946</v>
      </c>
      <c r="AO294" s="26">
        <f t="shared" si="107"/>
        <v>236</v>
      </c>
      <c r="AP294" s="26">
        <f t="shared" si="107"/>
        <v>67571</v>
      </c>
      <c r="AQ294" s="26">
        <f t="shared" si="107"/>
        <v>69630</v>
      </c>
      <c r="AR294" s="26">
        <f t="shared" si="107"/>
        <v>237</v>
      </c>
      <c r="AS294" s="26">
        <f t="shared" si="107"/>
        <v>78031</v>
      </c>
      <c r="AT294" s="26">
        <f t="shared" si="107"/>
        <v>69962</v>
      </c>
      <c r="AU294" s="26">
        <f t="shared" si="107"/>
        <v>238</v>
      </c>
      <c r="AV294" s="26">
        <f t="shared" si="107"/>
        <v>54425</v>
      </c>
      <c r="AW294" s="26">
        <f t="shared" si="107"/>
        <v>65799</v>
      </c>
      <c r="AX294" s="26">
        <f t="shared" si="107"/>
        <v>0</v>
      </c>
      <c r="AY294" s="26">
        <f t="shared" si="107"/>
        <v>0</v>
      </c>
      <c r="AZ294" s="26">
        <f t="shared" si="107"/>
        <v>0</v>
      </c>
      <c r="BA294" s="26">
        <f>SUBTOTAL(9,BA273:BA293)</f>
        <v>232</v>
      </c>
      <c r="BB294" s="26">
        <f t="shared" si="107"/>
        <v>91283</v>
      </c>
      <c r="BC294" s="26">
        <f t="shared" si="107"/>
        <v>69816</v>
      </c>
      <c r="BD294" s="26">
        <f t="shared" si="107"/>
        <v>230</v>
      </c>
      <c r="BE294" s="26">
        <f t="shared" si="107"/>
        <v>55991</v>
      </c>
      <c r="BF294" s="26">
        <f t="shared" si="107"/>
        <v>68061</v>
      </c>
      <c r="BG294" s="26">
        <f t="shared" si="107"/>
        <v>227</v>
      </c>
      <c r="BH294" s="26">
        <f t="shared" si="107"/>
        <v>69316</v>
      </c>
      <c r="BI294" s="26">
        <f t="shared" si="107"/>
        <v>68059</v>
      </c>
      <c r="BJ294" s="26">
        <f t="shared" si="107"/>
        <v>225</v>
      </c>
      <c r="BK294" s="26">
        <f t="shared" si="107"/>
        <v>64228</v>
      </c>
      <c r="BL294" s="26">
        <f t="shared" ref="BL294:CQ294" si="108">SUBTOTAL(9,BL273:BL293)</f>
        <v>68400</v>
      </c>
      <c r="BM294" s="26">
        <f>SUBTOTAL(9,BM273:BM293)</f>
        <v>224</v>
      </c>
      <c r="BN294" s="26">
        <f t="shared" si="108"/>
        <v>82061</v>
      </c>
      <c r="BO294" s="26">
        <f t="shared" si="108"/>
        <v>69909</v>
      </c>
      <c r="BP294" s="26">
        <f>SUBTOTAL(9,BP273:BP293)</f>
        <v>224</v>
      </c>
      <c r="BQ294" s="26">
        <f t="shared" si="108"/>
        <v>46556</v>
      </c>
      <c r="BR294" s="26">
        <f t="shared" si="108"/>
        <v>65814</v>
      </c>
      <c r="BS294" s="26">
        <f t="shared" si="108"/>
        <v>0</v>
      </c>
      <c r="BT294" s="26">
        <f t="shared" si="108"/>
        <v>0</v>
      </c>
      <c r="BU294" s="26">
        <f t="shared" si="108"/>
        <v>0</v>
      </c>
      <c r="BV294" s="26">
        <f t="shared" si="108"/>
        <v>224</v>
      </c>
      <c r="BW294" s="26">
        <f t="shared" si="108"/>
        <v>70612</v>
      </c>
      <c r="BX294" s="26">
        <f t="shared" si="108"/>
        <v>72438</v>
      </c>
      <c r="BY294" s="26">
        <f t="shared" si="108"/>
        <v>224</v>
      </c>
      <c r="BZ294" s="26">
        <f t="shared" si="108"/>
        <v>86676</v>
      </c>
      <c r="CA294" s="26">
        <f t="shared" si="108"/>
        <v>72251</v>
      </c>
      <c r="CB294" s="26">
        <f t="shared" si="108"/>
        <v>225</v>
      </c>
      <c r="CC294" s="26">
        <f t="shared" si="108"/>
        <v>69644</v>
      </c>
      <c r="CD294" s="26">
        <f t="shared" si="108"/>
        <v>71808</v>
      </c>
      <c r="CE294" s="26">
        <f t="shared" si="108"/>
        <v>225</v>
      </c>
      <c r="CF294" s="26">
        <f t="shared" si="108"/>
        <v>70133</v>
      </c>
      <c r="CG294" s="26">
        <f t="shared" si="108"/>
        <v>73811</v>
      </c>
      <c r="CH294" s="26">
        <f t="shared" si="108"/>
        <v>225</v>
      </c>
      <c r="CI294" s="26">
        <f t="shared" si="108"/>
        <v>75156</v>
      </c>
      <c r="CJ294" s="26">
        <f t="shared" si="108"/>
        <v>73213</v>
      </c>
      <c r="CK294" s="26">
        <f t="shared" si="108"/>
        <v>225</v>
      </c>
      <c r="CL294" s="26">
        <f t="shared" si="108"/>
        <v>70590</v>
      </c>
      <c r="CM294" s="26">
        <f t="shared" si="108"/>
        <v>71352</v>
      </c>
      <c r="CN294" s="26"/>
      <c r="CO294" s="26"/>
      <c r="CP294" s="26"/>
      <c r="CQ294" s="26">
        <f t="shared" si="108"/>
        <v>225</v>
      </c>
      <c r="CR294" s="26">
        <f t="shared" ref="CR294:DH294" si="109">SUBTOTAL(9,CR273:CR293)</f>
        <v>78032</v>
      </c>
      <c r="CS294" s="26">
        <f t="shared" si="109"/>
        <v>74724</v>
      </c>
      <c r="CT294" s="26">
        <f t="shared" si="109"/>
        <v>225</v>
      </c>
      <c r="CU294" s="26">
        <f t="shared" si="109"/>
        <v>72691</v>
      </c>
      <c r="CV294" s="26">
        <f t="shared" si="109"/>
        <v>74314</v>
      </c>
      <c r="CW294" s="26">
        <f t="shared" si="109"/>
        <v>225</v>
      </c>
      <c r="CX294" s="26">
        <f t="shared" si="109"/>
        <v>71008</v>
      </c>
      <c r="CY294" s="26">
        <f t="shared" si="109"/>
        <v>73902</v>
      </c>
      <c r="CZ294" s="26">
        <f t="shared" si="109"/>
        <v>225</v>
      </c>
      <c r="DA294" s="26">
        <f t="shared" si="109"/>
        <v>61455</v>
      </c>
      <c r="DB294" s="26">
        <f t="shared" si="109"/>
        <v>71017</v>
      </c>
      <c r="DC294" s="26">
        <f t="shared" si="109"/>
        <v>225</v>
      </c>
      <c r="DD294" s="26">
        <f t="shared" si="109"/>
        <v>90220</v>
      </c>
      <c r="DE294" s="26">
        <f t="shared" si="109"/>
        <v>74053</v>
      </c>
      <c r="DF294" s="26">
        <f t="shared" si="109"/>
        <v>224</v>
      </c>
      <c r="DG294" s="26">
        <f t="shared" si="109"/>
        <v>74131</v>
      </c>
      <c r="DH294" s="26">
        <f t="shared" si="109"/>
        <v>70107</v>
      </c>
      <c r="DI294" s="26">
        <f t="shared" ref="DI294:DN294" si="110">SUBTOTAL(9,DI273:DI293)</f>
        <v>0</v>
      </c>
      <c r="DJ294" s="26">
        <f t="shared" si="110"/>
        <v>0</v>
      </c>
      <c r="DK294" s="26">
        <f t="shared" si="110"/>
        <v>0</v>
      </c>
      <c r="DL294" s="26">
        <f t="shared" si="110"/>
        <v>223</v>
      </c>
      <c r="DM294" s="26">
        <f t="shared" si="110"/>
        <v>58316</v>
      </c>
      <c r="DN294" s="26">
        <f t="shared" si="110"/>
        <v>74081</v>
      </c>
      <c r="DO294" s="26">
        <f>SUBTOTAL(9,DO273:DO293)</f>
        <v>225</v>
      </c>
      <c r="DP294" s="26">
        <f>SUBTOTAL(9,DP273:DP293)</f>
        <v>82607</v>
      </c>
      <c r="DQ294" s="26">
        <f>SUBTOTAL(9,DQ273:DQ293)</f>
        <v>68671</v>
      </c>
    </row>
  </sheetData>
  <autoFilter ref="A3:DQ267" xr:uid="{00000000-0009-0000-0000-000005000000}"/>
  <pageMargins left="0.7" right="0.7" top="0.75" bottom="0.75" header="0.3" footer="0.3"/>
  <pageSetup paperSize="9" scale="4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D609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T572" sqref="T572"/>
    </sheetView>
  </sheetViews>
  <sheetFormatPr defaultRowHeight="15"/>
  <cols>
    <col min="1" max="1" width="11.7109375" style="15" customWidth="1"/>
    <col min="2" max="2" width="18.5703125" style="1" customWidth="1"/>
    <col min="3" max="3" width="45.28515625" style="79" customWidth="1"/>
    <col min="4" max="4" width="20.42578125" style="1" customWidth="1"/>
    <col min="5" max="5" width="13.28515625" style="1" customWidth="1"/>
    <col min="6" max="6" width="8.28515625" style="1" customWidth="1"/>
    <col min="7" max="7" width="14.85546875" style="1" customWidth="1"/>
    <col min="8" max="8" width="14.5703125" style="1" customWidth="1"/>
    <col min="9" max="9" width="11.140625" style="1" customWidth="1"/>
    <col min="10" max="10" width="14" style="1" customWidth="1"/>
    <col min="11" max="11" width="14.42578125" style="1" customWidth="1"/>
    <col min="12" max="12" width="10.42578125" style="1" customWidth="1"/>
    <col min="13" max="13" width="12.28515625" style="1" customWidth="1"/>
    <col min="14" max="14" width="8.85546875" style="1" customWidth="1"/>
    <col min="15" max="15" width="15.140625" style="13" customWidth="1"/>
    <col min="16" max="16" width="15.42578125" style="13" customWidth="1"/>
    <col min="17" max="17" width="15.28515625" style="1" customWidth="1"/>
    <col min="18" max="18" width="12.85546875" style="13" customWidth="1"/>
    <col min="19" max="19" width="13.7109375" style="13" customWidth="1"/>
    <col min="20" max="20" width="14.7109375" style="13" customWidth="1"/>
    <col min="21" max="21" width="12.85546875" style="13" customWidth="1"/>
    <col min="22" max="22" width="16" style="13" customWidth="1"/>
    <col min="23" max="23" width="19" style="1" customWidth="1"/>
    <col min="24" max="24" width="9.140625" style="1" customWidth="1"/>
    <col min="25" max="25" width="14.7109375" style="1" customWidth="1"/>
    <col min="26" max="26" width="10.7109375" style="1" customWidth="1"/>
    <col min="27" max="27" width="16.140625" style="1" customWidth="1"/>
    <col min="28" max="30" width="9.140625" style="1"/>
    <col min="31" max="31" width="10.7109375" style="1" bestFit="1" customWidth="1"/>
    <col min="32" max="16384" width="9.140625" style="1"/>
  </cols>
  <sheetData>
    <row r="2" spans="1:25" ht="31.5" customHeight="1">
      <c r="A2" s="468" t="s">
        <v>38</v>
      </c>
      <c r="B2" s="465" t="s">
        <v>43</v>
      </c>
      <c r="C2" s="469" t="s">
        <v>62</v>
      </c>
      <c r="D2" s="465" t="s">
        <v>36</v>
      </c>
      <c r="E2" s="465" t="s">
        <v>39</v>
      </c>
      <c r="F2" s="469" t="s">
        <v>90</v>
      </c>
      <c r="G2" s="459" t="s">
        <v>49</v>
      </c>
      <c r="H2" s="459" t="s">
        <v>50</v>
      </c>
      <c r="I2" s="459" t="s">
        <v>51</v>
      </c>
      <c r="J2" s="459" t="s">
        <v>52</v>
      </c>
      <c r="K2" s="459" t="s">
        <v>81</v>
      </c>
      <c r="L2" s="459" t="s">
        <v>82</v>
      </c>
      <c r="M2" s="459" t="s">
        <v>83</v>
      </c>
      <c r="N2" s="459" t="s">
        <v>84</v>
      </c>
      <c r="O2" s="466" t="s">
        <v>86</v>
      </c>
      <c r="P2" s="466" t="s">
        <v>87</v>
      </c>
      <c r="Q2" s="465" t="s">
        <v>41</v>
      </c>
      <c r="R2" s="467" t="s">
        <v>46</v>
      </c>
      <c r="S2" s="467"/>
      <c r="T2" s="456" t="s">
        <v>76</v>
      </c>
      <c r="U2" s="456" t="s">
        <v>77</v>
      </c>
      <c r="V2" s="456" t="s">
        <v>78</v>
      </c>
      <c r="W2" s="469" t="s">
        <v>23</v>
      </c>
    </row>
    <row r="3" spans="1:25" ht="21" customHeight="1" thickBot="1">
      <c r="A3" s="468"/>
      <c r="B3" s="465"/>
      <c r="C3" s="461"/>
      <c r="D3" s="465"/>
      <c r="E3" s="465"/>
      <c r="F3" s="470"/>
      <c r="G3" s="461"/>
      <c r="H3" s="461"/>
      <c r="I3" s="460"/>
      <c r="J3" s="461"/>
      <c r="K3" s="460"/>
      <c r="L3" s="460"/>
      <c r="M3" s="460"/>
      <c r="N3" s="460"/>
      <c r="O3" s="467"/>
      <c r="P3" s="467"/>
      <c r="Q3" s="465"/>
      <c r="R3" s="17" t="s">
        <v>26</v>
      </c>
      <c r="S3" s="17" t="s">
        <v>27</v>
      </c>
      <c r="T3" s="458"/>
      <c r="U3" s="457"/>
      <c r="V3" s="458"/>
      <c r="W3" s="488"/>
    </row>
    <row r="4" spans="1:25" ht="15" customHeight="1">
      <c r="A4" s="426">
        <v>46083</v>
      </c>
      <c r="B4" s="429" t="s">
        <v>44</v>
      </c>
      <c r="C4" s="432" t="s">
        <v>240</v>
      </c>
      <c r="D4" s="19" t="s">
        <v>37</v>
      </c>
      <c r="E4" s="19" t="s">
        <v>25</v>
      </c>
      <c r="F4" s="39" t="s">
        <v>40</v>
      </c>
      <c r="G4" s="41">
        <v>2199.2399999999998</v>
      </c>
      <c r="H4" s="32">
        <v>5760</v>
      </c>
      <c r="I4" s="32"/>
      <c r="J4" s="32"/>
      <c r="K4" s="20">
        <v>32000</v>
      </c>
      <c r="L4" s="20">
        <v>4</v>
      </c>
      <c r="M4" s="20">
        <v>24000</v>
      </c>
      <c r="N4" s="84">
        <v>3</v>
      </c>
      <c r="O4" s="32">
        <f>Mar!AG273</f>
        <v>31708</v>
      </c>
      <c r="P4" s="32">
        <f>Mar!AH273</f>
        <v>27193</v>
      </c>
      <c r="Q4" s="32">
        <f>Mar!AF273</f>
        <v>71</v>
      </c>
      <c r="R4" s="435">
        <f>Mar!AG294</f>
        <v>71268</v>
      </c>
      <c r="S4" s="435">
        <f>Mar!AH294</f>
        <v>76490</v>
      </c>
      <c r="T4" s="20">
        <v>25696</v>
      </c>
      <c r="U4" s="20"/>
      <c r="V4" s="20">
        <f>O4-T4-U4+32801</f>
        <v>38813</v>
      </c>
      <c r="W4" s="77"/>
      <c r="X4" s="36"/>
    </row>
    <row r="5" spans="1:25" ht="15" customHeight="1">
      <c r="A5" s="427"/>
      <c r="B5" s="431"/>
      <c r="C5" s="434"/>
      <c r="D5" s="113" t="s">
        <v>128</v>
      </c>
      <c r="E5" s="113" t="s">
        <v>24</v>
      </c>
      <c r="F5" s="114" t="s">
        <v>40</v>
      </c>
      <c r="G5" s="170">
        <v>3807.43</v>
      </c>
      <c r="H5" s="135">
        <v>2919.1</v>
      </c>
      <c r="I5" s="125"/>
      <c r="J5" s="125"/>
      <c r="K5" s="18">
        <v>56000</v>
      </c>
      <c r="L5" s="127">
        <v>7</v>
      </c>
      <c r="M5" s="216">
        <v>175400</v>
      </c>
      <c r="N5" s="238">
        <v>22</v>
      </c>
      <c r="O5" s="126">
        <f>Mar!AG274</f>
        <v>8963</v>
      </c>
      <c r="P5" s="125">
        <f>Mar!AH274</f>
        <v>16623</v>
      </c>
      <c r="Q5" s="125">
        <f>Mar!AF274</f>
        <v>45</v>
      </c>
      <c r="R5" s="436"/>
      <c r="S5" s="436"/>
      <c r="T5" s="127">
        <v>18237</v>
      </c>
      <c r="U5" s="127"/>
      <c r="V5" s="127">
        <f>O5-T5-U5+18608</f>
        <v>9334</v>
      </c>
      <c r="W5" s="46"/>
      <c r="X5" s="67"/>
    </row>
    <row r="6" spans="1:25" ht="15" customHeight="1">
      <c r="A6" s="427"/>
      <c r="B6" s="442" t="s">
        <v>45</v>
      </c>
      <c r="C6" s="448" t="s">
        <v>59</v>
      </c>
      <c r="D6" s="118" t="s">
        <v>75</v>
      </c>
      <c r="E6" s="131" t="s">
        <v>25</v>
      </c>
      <c r="F6" s="131" t="s">
        <v>57</v>
      </c>
      <c r="G6" s="87"/>
      <c r="H6" s="136"/>
      <c r="I6" s="126"/>
      <c r="J6" s="2"/>
      <c r="K6" s="127">
        <v>10300</v>
      </c>
      <c r="L6" s="18">
        <v>2</v>
      </c>
      <c r="M6" s="18">
        <v>25600</v>
      </c>
      <c r="N6" s="80">
        <v>5</v>
      </c>
      <c r="O6" s="126">
        <f>Mar!AG276</f>
        <v>3026</v>
      </c>
      <c r="P6" s="126">
        <f>Mar!AH276</f>
        <v>3500</v>
      </c>
      <c r="Q6" s="2">
        <f>Mar!AF276</f>
        <v>14</v>
      </c>
      <c r="R6" s="436"/>
      <c r="S6" s="436"/>
      <c r="T6" s="18"/>
      <c r="U6" s="18"/>
      <c r="V6" s="127">
        <f>O6-T6-U6+86714</f>
        <v>89740</v>
      </c>
      <c r="W6" s="46"/>
      <c r="Y6" s="13"/>
    </row>
    <row r="7" spans="1:25">
      <c r="A7" s="427"/>
      <c r="B7" s="439"/>
      <c r="C7" s="440"/>
      <c r="D7" s="118" t="s">
        <v>72</v>
      </c>
      <c r="E7" s="155" t="s">
        <v>24</v>
      </c>
      <c r="F7" s="131" t="s">
        <v>57</v>
      </c>
      <c r="G7" s="136"/>
      <c r="H7" s="136"/>
      <c r="I7" s="126"/>
      <c r="J7" s="126"/>
      <c r="K7" s="127"/>
      <c r="L7" s="18"/>
      <c r="M7" s="18">
        <v>30000</v>
      </c>
      <c r="N7" s="80">
        <v>6</v>
      </c>
      <c r="O7" s="126">
        <f>Mar!AG277</f>
        <v>4630</v>
      </c>
      <c r="P7" s="126">
        <f>Mar!AH277</f>
        <v>6516</v>
      </c>
      <c r="Q7" s="2">
        <f>Mar!AF277</f>
        <v>25</v>
      </c>
      <c r="R7" s="436"/>
      <c r="S7" s="436"/>
      <c r="T7" s="18">
        <v>4766</v>
      </c>
      <c r="U7" s="18"/>
      <c r="V7" s="127">
        <f>O7-T7-U7+5278</f>
        <v>5142</v>
      </c>
      <c r="W7" s="46"/>
      <c r="Y7" s="13"/>
    </row>
    <row r="8" spans="1:25">
      <c r="A8" s="427"/>
      <c r="B8" s="439"/>
      <c r="C8" s="440"/>
      <c r="D8" s="115" t="s">
        <v>79</v>
      </c>
      <c r="E8" s="118" t="s">
        <v>65</v>
      </c>
      <c r="F8" s="131" t="s">
        <v>57</v>
      </c>
      <c r="G8" s="224"/>
      <c r="H8" s="136"/>
      <c r="I8" s="126"/>
      <c r="J8" s="126"/>
      <c r="K8" s="127">
        <v>10000</v>
      </c>
      <c r="L8" s="18">
        <v>2</v>
      </c>
      <c r="M8" s="18">
        <v>44000</v>
      </c>
      <c r="N8" s="80">
        <v>9</v>
      </c>
      <c r="O8" s="126">
        <f>Mar!AG278</f>
        <v>5749</v>
      </c>
      <c r="P8" s="126">
        <f>Mar!AH278</f>
        <v>6668</v>
      </c>
      <c r="Q8" s="126">
        <f>Mar!AF278</f>
        <v>26</v>
      </c>
      <c r="R8" s="436"/>
      <c r="S8" s="436"/>
      <c r="T8" s="18">
        <v>14891</v>
      </c>
      <c r="U8" s="18"/>
      <c r="V8" s="127">
        <f>O8-T8-U8+12028</f>
        <v>2886</v>
      </c>
      <c r="W8" s="46"/>
      <c r="Y8" s="13"/>
    </row>
    <row r="9" spans="1:25" ht="14.25" customHeight="1">
      <c r="A9" s="427"/>
      <c r="B9" s="137" t="s">
        <v>53</v>
      </c>
      <c r="C9" s="157" t="s">
        <v>60</v>
      </c>
      <c r="D9" s="43" t="s">
        <v>130</v>
      </c>
      <c r="E9" s="115" t="s">
        <v>66</v>
      </c>
      <c r="F9" s="118" t="s">
        <v>54</v>
      </c>
      <c r="G9" s="224"/>
      <c r="H9" s="37"/>
      <c r="I9" s="126"/>
      <c r="J9" s="126"/>
      <c r="K9" s="18"/>
      <c r="L9" s="18"/>
      <c r="M9" s="18">
        <v>89400</v>
      </c>
      <c r="N9" s="80">
        <v>16</v>
      </c>
      <c r="O9" s="126">
        <f>Mar!AG275</f>
        <v>9937</v>
      </c>
      <c r="P9" s="126">
        <f>Mar!AH275</f>
        <v>9847</v>
      </c>
      <c r="Q9" s="126">
        <f>Mar!AF275</f>
        <v>27</v>
      </c>
      <c r="R9" s="436"/>
      <c r="S9" s="436"/>
      <c r="T9" s="18">
        <v>7037</v>
      </c>
      <c r="U9" s="18"/>
      <c r="V9" s="127">
        <f>O9-T9-U9+10702</f>
        <v>13602</v>
      </c>
      <c r="W9" s="45"/>
      <c r="X9" s="36"/>
    </row>
    <row r="10" spans="1:25" ht="14.25" customHeight="1">
      <c r="A10" s="427"/>
      <c r="B10" s="122" t="s">
        <v>55</v>
      </c>
      <c r="C10" s="180" t="s">
        <v>133</v>
      </c>
      <c r="D10" s="48" t="s">
        <v>56</v>
      </c>
      <c r="E10" s="424" t="s">
        <v>25</v>
      </c>
      <c r="F10" s="118" t="s">
        <v>67</v>
      </c>
      <c r="G10" s="224"/>
      <c r="H10" s="37"/>
      <c r="I10" s="126"/>
      <c r="J10" s="126"/>
      <c r="K10" s="18"/>
      <c r="L10" s="18"/>
      <c r="M10" s="18">
        <v>2000</v>
      </c>
      <c r="N10" s="80">
        <v>2</v>
      </c>
      <c r="O10" s="126"/>
      <c r="P10" s="126"/>
      <c r="Q10" s="126"/>
      <c r="R10" s="436"/>
      <c r="S10" s="436"/>
      <c r="T10" s="18"/>
      <c r="U10" s="18"/>
      <c r="V10" s="127">
        <f>O10-T10-U10+500</f>
        <v>500</v>
      </c>
      <c r="W10" s="45"/>
      <c r="X10" s="67"/>
    </row>
    <row r="11" spans="1:25" ht="14.25" customHeight="1">
      <c r="A11" s="427"/>
      <c r="B11" s="122" t="s">
        <v>122</v>
      </c>
      <c r="C11" s="180" t="s">
        <v>123</v>
      </c>
      <c r="D11" s="48" t="s">
        <v>56</v>
      </c>
      <c r="E11" s="441"/>
      <c r="F11" s="155" t="s">
        <v>64</v>
      </c>
      <c r="G11" s="224"/>
      <c r="H11" s="135"/>
      <c r="I11" s="158"/>
      <c r="J11" s="158"/>
      <c r="K11" s="128"/>
      <c r="L11" s="128"/>
      <c r="M11" s="128">
        <v>6400</v>
      </c>
      <c r="N11" s="164">
        <v>2</v>
      </c>
      <c r="O11" s="158"/>
      <c r="P11" s="158"/>
      <c r="Q11" s="158">
        <f>Mar!AF282</f>
        <v>3</v>
      </c>
      <c r="R11" s="436"/>
      <c r="S11" s="436"/>
      <c r="T11" s="18"/>
      <c r="U11" s="18"/>
      <c r="V11" s="127">
        <f>O11-T11-U11+31304</f>
        <v>31304</v>
      </c>
      <c r="W11" s="45"/>
      <c r="X11" s="67"/>
    </row>
    <row r="12" spans="1:25" ht="15.75" customHeight="1">
      <c r="A12" s="427"/>
      <c r="B12" s="137" t="s">
        <v>58</v>
      </c>
      <c r="C12" s="157" t="s">
        <v>136</v>
      </c>
      <c r="D12" s="48" t="s">
        <v>56</v>
      </c>
      <c r="E12" s="441"/>
      <c r="F12" s="118" t="s">
        <v>140</v>
      </c>
      <c r="G12" s="226"/>
      <c r="H12" s="126"/>
      <c r="I12" s="126"/>
      <c r="J12" s="2"/>
      <c r="K12" s="18"/>
      <c r="L12" s="18"/>
      <c r="M12" s="18"/>
      <c r="N12" s="18"/>
      <c r="O12" s="126"/>
      <c r="P12" s="126"/>
      <c r="Q12" s="126"/>
      <c r="R12" s="436"/>
      <c r="S12" s="436"/>
      <c r="T12" s="18"/>
      <c r="U12" s="18"/>
      <c r="V12" s="127">
        <f>O12-T12-U12+8562</f>
        <v>8562</v>
      </c>
      <c r="W12" s="45"/>
      <c r="X12" s="67"/>
    </row>
    <row r="13" spans="1:25" ht="15" customHeight="1">
      <c r="A13" s="427"/>
      <c r="B13" s="122" t="s">
        <v>61</v>
      </c>
      <c r="C13" s="180" t="s">
        <v>137</v>
      </c>
      <c r="D13" s="48" t="s">
        <v>56</v>
      </c>
      <c r="E13" s="441"/>
      <c r="F13" s="118" t="s">
        <v>67</v>
      </c>
      <c r="G13" s="119"/>
      <c r="H13" s="126"/>
      <c r="I13" s="126"/>
      <c r="J13" s="2"/>
      <c r="K13" s="18"/>
      <c r="L13" s="18"/>
      <c r="M13" s="18"/>
      <c r="N13" s="18"/>
      <c r="O13" s="126"/>
      <c r="P13" s="126"/>
      <c r="Q13" s="126">
        <f>Mar!AF284</f>
        <v>2</v>
      </c>
      <c r="R13" s="436"/>
      <c r="S13" s="436"/>
      <c r="T13" s="18"/>
      <c r="U13" s="18"/>
      <c r="V13" s="127">
        <f>O13-T13-U13+5819</f>
        <v>5819</v>
      </c>
      <c r="W13" s="45"/>
      <c r="X13" s="67"/>
    </row>
    <row r="14" spans="1:25" ht="14.25" customHeight="1">
      <c r="A14" s="427"/>
      <c r="B14" s="122" t="s">
        <v>125</v>
      </c>
      <c r="C14" s="180" t="s">
        <v>88</v>
      </c>
      <c r="D14" s="48" t="s">
        <v>124</v>
      </c>
      <c r="E14" s="441"/>
      <c r="F14" s="118" t="s">
        <v>64</v>
      </c>
      <c r="G14" s="225"/>
      <c r="H14" s="126"/>
      <c r="I14" s="126"/>
      <c r="J14" s="126"/>
      <c r="K14" s="18"/>
      <c r="L14" s="18"/>
      <c r="M14" s="18">
        <v>58600</v>
      </c>
      <c r="N14" s="80">
        <v>8</v>
      </c>
      <c r="O14" s="126">
        <f>Mar!AG279</f>
        <v>2000</v>
      </c>
      <c r="P14" s="126">
        <f>Mar!AH279</f>
        <v>2476</v>
      </c>
      <c r="Q14" s="126">
        <f>Mar!AF279</f>
        <v>10</v>
      </c>
      <c r="R14" s="436"/>
      <c r="S14" s="436"/>
      <c r="T14" s="18"/>
      <c r="U14" s="18"/>
      <c r="V14" s="127">
        <f>O14-T14-U14+22448</f>
        <v>24448</v>
      </c>
      <c r="W14" s="45"/>
      <c r="X14" s="67"/>
    </row>
    <row r="15" spans="1:25" ht="15" customHeight="1">
      <c r="A15" s="427"/>
      <c r="B15" s="137" t="s">
        <v>47</v>
      </c>
      <c r="C15" s="157" t="s">
        <v>100</v>
      </c>
      <c r="D15" s="48" t="s">
        <v>99</v>
      </c>
      <c r="E15" s="441"/>
      <c r="F15" s="118" t="s">
        <v>71</v>
      </c>
      <c r="G15" s="226"/>
      <c r="H15" s="126"/>
      <c r="I15" s="126"/>
      <c r="J15" s="2"/>
      <c r="K15" s="18"/>
      <c r="L15" s="18"/>
      <c r="M15" s="18">
        <v>30000</v>
      </c>
      <c r="N15" s="18">
        <v>5</v>
      </c>
      <c r="O15" s="126">
        <f>Mar!AG280</f>
        <v>3000</v>
      </c>
      <c r="P15" s="126">
        <f>Mar!AH280</f>
        <v>2217</v>
      </c>
      <c r="Q15" s="126">
        <f>Mar!AF280</f>
        <v>8</v>
      </c>
      <c r="R15" s="436"/>
      <c r="S15" s="436"/>
      <c r="T15" s="18"/>
      <c r="U15" s="18"/>
      <c r="V15" s="127">
        <f>O15-T15-U15+56927</f>
        <v>59927</v>
      </c>
      <c r="W15" s="45"/>
      <c r="X15" s="67"/>
    </row>
    <row r="16" spans="1:25" ht="15" customHeight="1">
      <c r="A16" s="427"/>
      <c r="B16" s="122" t="s">
        <v>196</v>
      </c>
      <c r="C16" s="180" t="s">
        <v>63</v>
      </c>
      <c r="D16" s="48" t="s">
        <v>135</v>
      </c>
      <c r="E16" s="441"/>
      <c r="F16" s="118" t="s">
        <v>64</v>
      </c>
      <c r="G16" s="226"/>
      <c r="H16" s="126"/>
      <c r="I16" s="126"/>
      <c r="J16" s="2"/>
      <c r="K16" s="18"/>
      <c r="L16" s="18"/>
      <c r="M16" s="18"/>
      <c r="N16" s="18"/>
      <c r="O16" s="126">
        <f>Mar!AG281</f>
        <v>2255</v>
      </c>
      <c r="P16" s="126">
        <f>Mar!AH281</f>
        <v>1450</v>
      </c>
      <c r="Q16" s="126">
        <f>Mar!AF281</f>
        <v>5</v>
      </c>
      <c r="R16" s="436"/>
      <c r="S16" s="436"/>
      <c r="T16" s="18"/>
      <c r="U16" s="18"/>
      <c r="V16" s="127">
        <f>O16-T16-U16+15845</f>
        <v>18100</v>
      </c>
      <c r="W16" s="45"/>
      <c r="X16" s="67"/>
    </row>
    <row r="17" spans="1:25" ht="15" customHeight="1">
      <c r="A17" s="427"/>
      <c r="B17" s="122" t="s">
        <v>131</v>
      </c>
      <c r="C17" s="180" t="s">
        <v>194</v>
      </c>
      <c r="D17" s="48" t="s">
        <v>132</v>
      </c>
      <c r="E17" s="441"/>
      <c r="F17" s="118" t="s">
        <v>64</v>
      </c>
      <c r="G17" s="119"/>
      <c r="H17" s="126"/>
      <c r="I17" s="126"/>
      <c r="J17" s="2"/>
      <c r="K17" s="18"/>
      <c r="L17" s="18"/>
      <c r="M17" s="18"/>
      <c r="N17" s="18"/>
      <c r="O17" s="126"/>
      <c r="P17" s="126"/>
      <c r="Q17" s="126">
        <f>Mar!AF287</f>
        <v>1</v>
      </c>
      <c r="R17" s="436"/>
      <c r="S17" s="436"/>
      <c r="T17" s="18"/>
      <c r="U17" s="18"/>
      <c r="V17" s="18"/>
      <c r="W17" s="45"/>
      <c r="X17" s="67"/>
    </row>
    <row r="18" spans="1:25" ht="15" customHeight="1">
      <c r="A18" s="427"/>
      <c r="B18" s="122" t="s">
        <v>101</v>
      </c>
      <c r="C18" s="180" t="s">
        <v>193</v>
      </c>
      <c r="D18" s="48" t="s">
        <v>102</v>
      </c>
      <c r="E18" s="441"/>
      <c r="F18" s="118" t="s">
        <v>64</v>
      </c>
      <c r="G18" s="119"/>
      <c r="H18" s="126"/>
      <c r="I18" s="126"/>
      <c r="J18" s="2"/>
      <c r="K18" s="18"/>
      <c r="L18" s="18"/>
      <c r="M18" s="18"/>
      <c r="N18" s="18"/>
      <c r="O18" s="126"/>
      <c r="P18" s="126"/>
      <c r="Q18" s="126">
        <f>Mar!AF288</f>
        <v>1</v>
      </c>
      <c r="R18" s="436"/>
      <c r="S18" s="436"/>
      <c r="T18" s="18"/>
      <c r="U18" s="18"/>
      <c r="V18" s="18"/>
      <c r="W18" s="45"/>
      <c r="X18" s="67"/>
    </row>
    <row r="19" spans="1:25" ht="15" customHeight="1">
      <c r="A19" s="427"/>
      <c r="B19" s="122" t="s">
        <v>103</v>
      </c>
      <c r="C19" s="157" t="s">
        <v>197</v>
      </c>
      <c r="D19" s="48" t="s">
        <v>104</v>
      </c>
      <c r="E19" s="441"/>
      <c r="F19" s="118" t="s">
        <v>105</v>
      </c>
      <c r="G19" s="119"/>
      <c r="H19" s="126"/>
      <c r="I19" s="126"/>
      <c r="J19" s="2"/>
      <c r="K19" s="18"/>
      <c r="L19" s="18"/>
      <c r="M19" s="18"/>
      <c r="N19" s="18"/>
      <c r="O19" s="126"/>
      <c r="P19" s="126"/>
      <c r="Q19" s="126">
        <f>Mar!AF289</f>
        <v>1</v>
      </c>
      <c r="R19" s="436"/>
      <c r="S19" s="436"/>
      <c r="T19" s="18"/>
      <c r="U19" s="18"/>
      <c r="V19" s="18"/>
      <c r="W19" s="45"/>
      <c r="X19" s="67"/>
    </row>
    <row r="20" spans="1:25" ht="15" customHeight="1">
      <c r="A20" s="427"/>
      <c r="B20" s="137" t="s">
        <v>112</v>
      </c>
      <c r="C20" s="157" t="s">
        <v>197</v>
      </c>
      <c r="D20" s="48" t="s">
        <v>104</v>
      </c>
      <c r="E20" s="441"/>
      <c r="F20" s="118" t="s">
        <v>113</v>
      </c>
      <c r="G20" s="119"/>
      <c r="H20" s="126"/>
      <c r="I20" s="126"/>
      <c r="J20" s="2"/>
      <c r="K20" s="18"/>
      <c r="L20" s="18"/>
      <c r="M20" s="18"/>
      <c r="N20" s="18"/>
      <c r="O20" s="126"/>
      <c r="P20" s="126"/>
      <c r="Q20" s="126">
        <f>Mar!AF292</f>
        <v>1</v>
      </c>
      <c r="R20" s="436"/>
      <c r="S20" s="436"/>
      <c r="T20" s="18"/>
      <c r="U20" s="18"/>
      <c r="V20" s="18"/>
      <c r="W20" s="45"/>
      <c r="X20" s="67"/>
    </row>
    <row r="21" spans="1:25" ht="15" customHeight="1">
      <c r="A21" s="427"/>
      <c r="B21" s="137" t="s">
        <v>106</v>
      </c>
      <c r="C21" s="157" t="s">
        <v>141</v>
      </c>
      <c r="D21" s="48" t="s">
        <v>68</v>
      </c>
      <c r="E21" s="441"/>
      <c r="F21" s="118" t="s">
        <v>67</v>
      </c>
      <c r="G21" s="119"/>
      <c r="H21" s="126"/>
      <c r="I21" s="126"/>
      <c r="J21" s="2"/>
      <c r="K21" s="18"/>
      <c r="L21" s="18"/>
      <c r="M21" s="18"/>
      <c r="N21" s="18"/>
      <c r="O21" s="126"/>
      <c r="P21" s="126"/>
      <c r="Q21" s="126">
        <f>Mar!AF290</f>
        <v>1</v>
      </c>
      <c r="R21" s="436"/>
      <c r="S21" s="436"/>
      <c r="T21" s="18"/>
      <c r="U21" s="18"/>
      <c r="V21" s="18"/>
      <c r="W21" s="45"/>
      <c r="X21" s="67"/>
    </row>
    <row r="22" spans="1:25" ht="15" customHeight="1" thickBot="1">
      <c r="A22" s="428"/>
      <c r="B22" s="44" t="s">
        <v>107</v>
      </c>
      <c r="C22" s="181" t="s">
        <v>195</v>
      </c>
      <c r="D22" s="61" t="s">
        <v>108</v>
      </c>
      <c r="E22" s="447"/>
      <c r="F22" s="133" t="s">
        <v>48</v>
      </c>
      <c r="G22" s="132"/>
      <c r="H22" s="109"/>
      <c r="I22" s="134"/>
      <c r="J22" s="129"/>
      <c r="K22" s="130"/>
      <c r="L22" s="130"/>
      <c r="M22" s="130"/>
      <c r="N22" s="130"/>
      <c r="O22" s="134"/>
      <c r="P22" s="134"/>
      <c r="Q22" s="134">
        <f>Mar!AF291</f>
        <v>1</v>
      </c>
      <c r="R22" s="437"/>
      <c r="S22" s="437"/>
      <c r="T22" s="130"/>
      <c r="U22" s="130"/>
      <c r="V22" s="128"/>
      <c r="W22" s="85"/>
      <c r="X22" s="67"/>
    </row>
    <row r="23" spans="1:25" ht="15" customHeight="1">
      <c r="A23" s="426">
        <v>46084</v>
      </c>
      <c r="B23" s="429" t="s">
        <v>44</v>
      </c>
      <c r="C23" s="432" t="s">
        <v>240</v>
      </c>
      <c r="D23" s="19" t="s">
        <v>37</v>
      </c>
      <c r="E23" s="19" t="s">
        <v>25</v>
      </c>
      <c r="F23" s="39" t="s">
        <v>40</v>
      </c>
      <c r="G23" s="41">
        <v>2199.2399999999998</v>
      </c>
      <c r="H23" s="32"/>
      <c r="I23" s="32"/>
      <c r="J23" s="32"/>
      <c r="K23" s="20"/>
      <c r="L23" s="20"/>
      <c r="M23" s="20">
        <v>56000</v>
      </c>
      <c r="N23" s="84">
        <v>7</v>
      </c>
      <c r="O23" s="32">
        <f>Mar!AJ273</f>
        <v>26187</v>
      </c>
      <c r="P23" s="32">
        <f>Mar!AK273</f>
        <v>25187</v>
      </c>
      <c r="Q23" s="32">
        <f>Mar!AI273</f>
        <v>71</v>
      </c>
      <c r="R23" s="435">
        <f>Mar!AJ294</f>
        <v>86370</v>
      </c>
      <c r="S23" s="435">
        <f>Mar!AK294</f>
        <v>70411</v>
      </c>
      <c r="T23" s="20">
        <v>15825</v>
      </c>
      <c r="U23" s="20"/>
      <c r="V23" s="20">
        <f>O23-T23-U23+V4</f>
        <v>49175</v>
      </c>
      <c r="W23" s="77"/>
      <c r="X23" s="36"/>
    </row>
    <row r="24" spans="1:25" ht="15" customHeight="1">
      <c r="A24" s="427"/>
      <c r="B24" s="431"/>
      <c r="C24" s="434"/>
      <c r="D24" s="113" t="s">
        <v>128</v>
      </c>
      <c r="E24" s="113" t="s">
        <v>24</v>
      </c>
      <c r="F24" s="114" t="s">
        <v>40</v>
      </c>
      <c r="G24" s="170"/>
      <c r="H24" s="135"/>
      <c r="I24" s="125"/>
      <c r="J24" s="125"/>
      <c r="K24" s="18">
        <v>8000</v>
      </c>
      <c r="L24" s="127">
        <v>1</v>
      </c>
      <c r="M24" s="216">
        <v>167400</v>
      </c>
      <c r="N24" s="238">
        <v>21</v>
      </c>
      <c r="O24" s="126">
        <f>Mar!AJ274</f>
        <v>26277</v>
      </c>
      <c r="P24" s="125">
        <f>Mar!AK274</f>
        <v>16002</v>
      </c>
      <c r="Q24" s="125">
        <f>Mar!AI274</f>
        <v>45</v>
      </c>
      <c r="R24" s="436"/>
      <c r="S24" s="436"/>
      <c r="T24" s="127">
        <v>14819</v>
      </c>
      <c r="U24" s="127">
        <v>139</v>
      </c>
      <c r="V24" s="127">
        <f>O24-T24-U24+V5</f>
        <v>20653</v>
      </c>
      <c r="W24" s="46"/>
      <c r="X24" s="67"/>
    </row>
    <row r="25" spans="1:25" ht="15" customHeight="1">
      <c r="A25" s="427"/>
      <c r="B25" s="442" t="s">
        <v>45</v>
      </c>
      <c r="C25" s="448" t="s">
        <v>59</v>
      </c>
      <c r="D25" s="118" t="s">
        <v>75</v>
      </c>
      <c r="E25" s="131" t="s">
        <v>25</v>
      </c>
      <c r="F25" s="131" t="s">
        <v>57</v>
      </c>
      <c r="G25" s="152">
        <v>3106</v>
      </c>
      <c r="H25" s="136"/>
      <c r="I25" s="126"/>
      <c r="J25" s="2"/>
      <c r="K25" s="127">
        <v>5000</v>
      </c>
      <c r="L25" s="18">
        <v>1</v>
      </c>
      <c r="M25" s="18">
        <v>60600</v>
      </c>
      <c r="N25" s="80">
        <v>12</v>
      </c>
      <c r="O25" s="126">
        <f>Mar!AJ276</f>
        <v>2051</v>
      </c>
      <c r="P25" s="126">
        <f>Mar!AK276</f>
        <v>3006</v>
      </c>
      <c r="Q25" s="2">
        <f>Mar!AI276</f>
        <v>12</v>
      </c>
      <c r="R25" s="436"/>
      <c r="S25" s="436"/>
      <c r="T25" s="18"/>
      <c r="U25" s="18"/>
      <c r="V25" s="127">
        <f>O25-T25-U25+V6</f>
        <v>91791</v>
      </c>
      <c r="W25" s="46"/>
      <c r="Y25" s="13"/>
    </row>
    <row r="26" spans="1:25">
      <c r="A26" s="427"/>
      <c r="B26" s="439"/>
      <c r="C26" s="440"/>
      <c r="D26" s="118" t="s">
        <v>72</v>
      </c>
      <c r="E26" s="155" t="s">
        <v>24</v>
      </c>
      <c r="F26" s="131" t="s">
        <v>57</v>
      </c>
      <c r="G26" s="136"/>
      <c r="H26" s="136"/>
      <c r="I26" s="126"/>
      <c r="J26" s="126"/>
      <c r="K26" s="127">
        <v>5000</v>
      </c>
      <c r="L26" s="18">
        <v>1</v>
      </c>
      <c r="M26" s="18">
        <v>25000</v>
      </c>
      <c r="N26" s="80">
        <v>5</v>
      </c>
      <c r="O26" s="126">
        <f>Mar!AJ277</f>
        <v>12982</v>
      </c>
      <c r="P26" s="126">
        <f>Mar!AK277</f>
        <v>6140</v>
      </c>
      <c r="Q26" s="2">
        <f>Mar!AI277</f>
        <v>25</v>
      </c>
      <c r="R26" s="436"/>
      <c r="S26" s="436"/>
      <c r="T26" s="18"/>
      <c r="U26" s="18"/>
      <c r="V26" s="127">
        <f>O26-T26-U26+V7</f>
        <v>18124</v>
      </c>
      <c r="W26" s="46"/>
      <c r="Y26" s="13"/>
    </row>
    <row r="27" spans="1:25">
      <c r="A27" s="427"/>
      <c r="B27" s="439"/>
      <c r="C27" s="440"/>
      <c r="D27" s="115" t="s">
        <v>79</v>
      </c>
      <c r="E27" s="424" t="s">
        <v>65</v>
      </c>
      <c r="F27" s="131" t="s">
        <v>57</v>
      </c>
      <c r="G27" s="224"/>
      <c r="H27" s="136"/>
      <c r="I27" s="126"/>
      <c r="J27" s="126"/>
      <c r="K27" s="127">
        <v>15000</v>
      </c>
      <c r="L27" s="18">
        <v>3</v>
      </c>
      <c r="M27" s="18">
        <v>29000</v>
      </c>
      <c r="N27" s="80">
        <v>6</v>
      </c>
      <c r="O27" s="126">
        <f>Mar!AJ278</f>
        <v>6819</v>
      </c>
      <c r="P27" s="126">
        <f>Mar!AK278</f>
        <v>5154</v>
      </c>
      <c r="Q27" s="126">
        <f>Mar!AI278</f>
        <v>25</v>
      </c>
      <c r="R27" s="436"/>
      <c r="S27" s="436"/>
      <c r="T27" s="18">
        <v>4801</v>
      </c>
      <c r="U27" s="18"/>
      <c r="V27" s="127">
        <f>O27-T27-U27+V8</f>
        <v>4904</v>
      </c>
      <c r="W27" s="46"/>
      <c r="Y27" s="13"/>
    </row>
    <row r="28" spans="1:25">
      <c r="A28" s="427"/>
      <c r="B28" s="443"/>
      <c r="C28" s="449"/>
      <c r="D28" s="115" t="s">
        <v>80</v>
      </c>
      <c r="E28" s="425"/>
      <c r="F28" s="131"/>
      <c r="G28" s="224"/>
      <c r="H28" s="152">
        <v>1980</v>
      </c>
      <c r="I28" s="126"/>
      <c r="J28" s="126"/>
      <c r="K28" s="127"/>
      <c r="L28" s="18"/>
      <c r="M28" s="18"/>
      <c r="N28" s="80"/>
      <c r="O28" s="126"/>
      <c r="P28" s="126"/>
      <c r="Q28" s="126"/>
      <c r="R28" s="436"/>
      <c r="S28" s="436"/>
      <c r="T28" s="18"/>
      <c r="U28" s="18"/>
      <c r="V28" s="127"/>
      <c r="W28" s="46"/>
      <c r="Y28" s="13"/>
    </row>
    <row r="29" spans="1:25" ht="14.25" customHeight="1">
      <c r="A29" s="427"/>
      <c r="B29" s="137" t="s">
        <v>53</v>
      </c>
      <c r="C29" s="157" t="s">
        <v>60</v>
      </c>
      <c r="D29" s="43" t="s">
        <v>130</v>
      </c>
      <c r="E29" s="115" t="s">
        <v>66</v>
      </c>
      <c r="F29" s="118" t="s">
        <v>54</v>
      </c>
      <c r="G29" s="224"/>
      <c r="H29" s="37"/>
      <c r="I29" s="126"/>
      <c r="J29" s="126"/>
      <c r="K29" s="18"/>
      <c r="L29" s="18"/>
      <c r="M29" s="18">
        <v>89400</v>
      </c>
      <c r="N29" s="80">
        <v>16</v>
      </c>
      <c r="O29" s="126">
        <f>Mar!AJ275</f>
        <v>4797</v>
      </c>
      <c r="P29" s="126">
        <f>Mar!AK275</f>
        <v>9189</v>
      </c>
      <c r="Q29" s="126">
        <f>Mar!AI275</f>
        <v>27</v>
      </c>
      <c r="R29" s="436"/>
      <c r="S29" s="436"/>
      <c r="T29" s="18">
        <v>13598</v>
      </c>
      <c r="U29" s="18"/>
      <c r="V29" s="127">
        <f t="shared" ref="V29:V35" si="0">O29-T29-U29+V9</f>
        <v>4801</v>
      </c>
      <c r="W29" s="45"/>
      <c r="X29" s="36"/>
    </row>
    <row r="30" spans="1:25" ht="14.25" customHeight="1">
      <c r="A30" s="427"/>
      <c r="B30" s="122" t="s">
        <v>55</v>
      </c>
      <c r="C30" s="180" t="s">
        <v>133</v>
      </c>
      <c r="D30" s="48" t="s">
        <v>56</v>
      </c>
      <c r="E30" s="424" t="s">
        <v>25</v>
      </c>
      <c r="F30" s="118" t="s">
        <v>67</v>
      </c>
      <c r="G30" s="224"/>
      <c r="H30" s="37"/>
      <c r="I30" s="126"/>
      <c r="J30" s="126"/>
      <c r="K30" s="18">
        <v>2000</v>
      </c>
      <c r="L30" s="18">
        <v>2</v>
      </c>
      <c r="M30" s="18">
        <v>2800</v>
      </c>
      <c r="N30" s="80">
        <v>1</v>
      </c>
      <c r="O30" s="126"/>
      <c r="P30" s="126">
        <f>Mar!AK293</f>
        <v>16</v>
      </c>
      <c r="Q30" s="126">
        <f>Mar!AI293</f>
        <v>2</v>
      </c>
      <c r="R30" s="436"/>
      <c r="S30" s="436"/>
      <c r="T30" s="18"/>
      <c r="U30" s="18"/>
      <c r="V30" s="127">
        <f t="shared" si="0"/>
        <v>500</v>
      </c>
      <c r="W30" s="45"/>
      <c r="X30" s="67"/>
    </row>
    <row r="31" spans="1:25" ht="14.25" customHeight="1">
      <c r="A31" s="427"/>
      <c r="B31" s="122" t="s">
        <v>122</v>
      </c>
      <c r="C31" s="180" t="s">
        <v>123</v>
      </c>
      <c r="D31" s="48" t="s">
        <v>56</v>
      </c>
      <c r="E31" s="441"/>
      <c r="F31" s="155" t="s">
        <v>64</v>
      </c>
      <c r="G31" s="229">
        <v>375.84</v>
      </c>
      <c r="H31" s="135"/>
      <c r="I31" s="158"/>
      <c r="J31" s="158"/>
      <c r="K31" s="128"/>
      <c r="L31" s="128"/>
      <c r="M31" s="128">
        <v>9640</v>
      </c>
      <c r="N31" s="164">
        <v>3</v>
      </c>
      <c r="O31" s="158"/>
      <c r="P31" s="158"/>
      <c r="Q31" s="158">
        <f>Mar!AI282</f>
        <v>3</v>
      </c>
      <c r="R31" s="436"/>
      <c r="S31" s="436"/>
      <c r="T31" s="18"/>
      <c r="U31" s="18"/>
      <c r="V31" s="127">
        <f t="shared" si="0"/>
        <v>31304</v>
      </c>
      <c r="W31" s="45"/>
      <c r="X31" s="67"/>
    </row>
    <row r="32" spans="1:25" ht="15.75" customHeight="1">
      <c r="A32" s="427"/>
      <c r="B32" s="137" t="s">
        <v>58</v>
      </c>
      <c r="C32" s="157" t="s">
        <v>136</v>
      </c>
      <c r="D32" s="48" t="s">
        <v>56</v>
      </c>
      <c r="E32" s="441"/>
      <c r="F32" s="118" t="s">
        <v>140</v>
      </c>
      <c r="G32" s="226"/>
      <c r="H32" s="126"/>
      <c r="I32" s="126"/>
      <c r="J32" s="2"/>
      <c r="K32" s="18"/>
      <c r="L32" s="18"/>
      <c r="M32" s="18"/>
      <c r="N32" s="18"/>
      <c r="O32" s="126"/>
      <c r="P32" s="126"/>
      <c r="Q32" s="126"/>
      <c r="R32" s="436"/>
      <c r="S32" s="436"/>
      <c r="T32" s="18"/>
      <c r="U32" s="18"/>
      <c r="V32" s="127">
        <f t="shared" si="0"/>
        <v>8562</v>
      </c>
      <c r="W32" s="45"/>
      <c r="X32" s="67"/>
    </row>
    <row r="33" spans="1:25" ht="15" customHeight="1">
      <c r="A33" s="427"/>
      <c r="B33" s="122" t="s">
        <v>61</v>
      </c>
      <c r="C33" s="180" t="s">
        <v>137</v>
      </c>
      <c r="D33" s="48" t="s">
        <v>56</v>
      </c>
      <c r="E33" s="441"/>
      <c r="F33" s="118" t="s">
        <v>67</v>
      </c>
      <c r="G33" s="119"/>
      <c r="H33" s="126"/>
      <c r="I33" s="126"/>
      <c r="J33" s="2"/>
      <c r="K33" s="18"/>
      <c r="L33" s="18"/>
      <c r="M33" s="18"/>
      <c r="N33" s="18"/>
      <c r="O33" s="126"/>
      <c r="P33" s="126"/>
      <c r="Q33" s="126">
        <f>Mar!AI284</f>
        <v>2</v>
      </c>
      <c r="R33" s="436"/>
      <c r="S33" s="436"/>
      <c r="T33" s="18"/>
      <c r="U33" s="18"/>
      <c r="V33" s="127">
        <f t="shared" si="0"/>
        <v>5819</v>
      </c>
      <c r="W33" s="45"/>
      <c r="X33" s="67"/>
    </row>
    <row r="34" spans="1:25" ht="14.25" customHeight="1">
      <c r="A34" s="427"/>
      <c r="B34" s="122" t="s">
        <v>125</v>
      </c>
      <c r="C34" s="180" t="s">
        <v>88</v>
      </c>
      <c r="D34" s="48" t="s">
        <v>124</v>
      </c>
      <c r="E34" s="441"/>
      <c r="F34" s="118" t="s">
        <v>64</v>
      </c>
      <c r="G34" s="225"/>
      <c r="H34" s="126"/>
      <c r="I34" s="126"/>
      <c r="J34" s="126"/>
      <c r="K34" s="18"/>
      <c r="L34" s="18"/>
      <c r="M34" s="18">
        <v>58600</v>
      </c>
      <c r="N34" s="80">
        <v>8</v>
      </c>
      <c r="O34" s="126">
        <f>Mar!AJ279</f>
        <v>4000</v>
      </c>
      <c r="P34" s="126">
        <f>Mar!AK279</f>
        <v>2309</v>
      </c>
      <c r="Q34" s="126">
        <f>Mar!AI279</f>
        <v>10</v>
      </c>
      <c r="R34" s="436"/>
      <c r="S34" s="436"/>
      <c r="T34" s="18"/>
      <c r="U34" s="18"/>
      <c r="V34" s="127">
        <f t="shared" si="0"/>
        <v>28448</v>
      </c>
      <c r="W34" s="45"/>
      <c r="X34" s="67"/>
    </row>
    <row r="35" spans="1:25" ht="15" customHeight="1">
      <c r="A35" s="427"/>
      <c r="B35" s="442" t="s">
        <v>47</v>
      </c>
      <c r="C35" s="444" t="s">
        <v>100</v>
      </c>
      <c r="D35" s="48" t="s">
        <v>99</v>
      </c>
      <c r="E35" s="441"/>
      <c r="F35" s="118" t="s">
        <v>71</v>
      </c>
      <c r="G35" s="226"/>
      <c r="H35" s="126"/>
      <c r="I35" s="126"/>
      <c r="J35" s="2"/>
      <c r="K35" s="18"/>
      <c r="L35" s="18"/>
      <c r="M35" s="18">
        <v>30000</v>
      </c>
      <c r="N35" s="18">
        <v>5</v>
      </c>
      <c r="O35" s="126">
        <f>Mar!AJ280</f>
        <v>1592</v>
      </c>
      <c r="P35" s="126">
        <f>Mar!AK280</f>
        <v>2053</v>
      </c>
      <c r="Q35" s="126">
        <f>Mar!AI280</f>
        <v>8</v>
      </c>
      <c r="R35" s="436"/>
      <c r="S35" s="436"/>
      <c r="T35" s="18"/>
      <c r="U35" s="18"/>
      <c r="V35" s="127">
        <f t="shared" si="0"/>
        <v>61519</v>
      </c>
      <c r="W35" s="45"/>
      <c r="X35" s="67"/>
    </row>
    <row r="36" spans="1:25" ht="15" customHeight="1">
      <c r="A36" s="427"/>
      <c r="B36" s="443"/>
      <c r="C36" s="446"/>
      <c r="D36" s="48" t="s">
        <v>121</v>
      </c>
      <c r="E36" s="441"/>
      <c r="F36" s="118"/>
      <c r="G36" s="226"/>
      <c r="H36" s="126">
        <v>612</v>
      </c>
      <c r="I36" s="126"/>
      <c r="J36" s="2"/>
      <c r="K36" s="18"/>
      <c r="L36" s="18"/>
      <c r="M36" s="18"/>
      <c r="N36" s="18"/>
      <c r="O36" s="126"/>
      <c r="P36" s="126"/>
      <c r="Q36" s="126"/>
      <c r="R36" s="436"/>
      <c r="S36" s="436"/>
      <c r="T36" s="18"/>
      <c r="U36" s="18"/>
      <c r="V36" s="127"/>
      <c r="W36" s="45"/>
      <c r="X36" s="67"/>
    </row>
    <row r="37" spans="1:25" ht="15" customHeight="1">
      <c r="A37" s="427"/>
      <c r="B37" s="122" t="s">
        <v>196</v>
      </c>
      <c r="C37" s="180" t="s">
        <v>63</v>
      </c>
      <c r="D37" s="48" t="s">
        <v>135</v>
      </c>
      <c r="E37" s="441"/>
      <c r="F37" s="118" t="s">
        <v>64</v>
      </c>
      <c r="G37" s="226"/>
      <c r="H37" s="126"/>
      <c r="I37" s="126"/>
      <c r="J37" s="2"/>
      <c r="K37" s="18"/>
      <c r="L37" s="18"/>
      <c r="M37" s="18"/>
      <c r="N37" s="18"/>
      <c r="O37" s="126">
        <f>Mar!AJ281</f>
        <v>1665</v>
      </c>
      <c r="P37" s="126">
        <f>Mar!AK281</f>
        <v>1355</v>
      </c>
      <c r="Q37" s="126">
        <f>Mar!AI281</f>
        <v>5</v>
      </c>
      <c r="R37" s="436"/>
      <c r="S37" s="436"/>
      <c r="T37" s="18"/>
      <c r="U37" s="18"/>
      <c r="V37" s="127">
        <f>O37-T37-U37+V16</f>
        <v>19765</v>
      </c>
      <c r="W37" s="45"/>
      <c r="X37" s="67"/>
    </row>
    <row r="38" spans="1:25" ht="15" customHeight="1">
      <c r="A38" s="427"/>
      <c r="B38" s="122" t="s">
        <v>131</v>
      </c>
      <c r="C38" s="180" t="s">
        <v>194</v>
      </c>
      <c r="D38" s="48" t="s">
        <v>132</v>
      </c>
      <c r="E38" s="441"/>
      <c r="F38" s="118" t="s">
        <v>64</v>
      </c>
      <c r="G38" s="119"/>
      <c r="H38" s="126"/>
      <c r="I38" s="126"/>
      <c r="J38" s="2"/>
      <c r="K38" s="18"/>
      <c r="L38" s="18"/>
      <c r="M38" s="18"/>
      <c r="N38" s="18"/>
      <c r="O38" s="126"/>
      <c r="P38" s="126"/>
      <c r="Q38" s="126">
        <f>Mar!AI287</f>
        <v>1</v>
      </c>
      <c r="R38" s="436"/>
      <c r="S38" s="436"/>
      <c r="T38" s="18"/>
      <c r="U38" s="18"/>
      <c r="V38" s="18"/>
      <c r="W38" s="45"/>
      <c r="X38" s="67"/>
    </row>
    <row r="39" spans="1:25" ht="15" customHeight="1">
      <c r="A39" s="427"/>
      <c r="B39" s="122" t="s">
        <v>101</v>
      </c>
      <c r="C39" s="180" t="s">
        <v>193</v>
      </c>
      <c r="D39" s="48" t="s">
        <v>102</v>
      </c>
      <c r="E39" s="441"/>
      <c r="F39" s="118" t="s">
        <v>64</v>
      </c>
      <c r="G39" s="119"/>
      <c r="H39" s="126"/>
      <c r="I39" s="126"/>
      <c r="J39" s="2"/>
      <c r="K39" s="18"/>
      <c r="L39" s="18"/>
      <c r="M39" s="18"/>
      <c r="N39" s="18"/>
      <c r="O39" s="126"/>
      <c r="P39" s="126"/>
      <c r="Q39" s="126">
        <f>Mar!AI288</f>
        <v>1</v>
      </c>
      <c r="R39" s="436"/>
      <c r="S39" s="436"/>
      <c r="T39" s="18"/>
      <c r="U39" s="18"/>
      <c r="V39" s="18"/>
      <c r="W39" s="45"/>
      <c r="X39" s="67"/>
    </row>
    <row r="40" spans="1:25" ht="15" customHeight="1">
      <c r="A40" s="427"/>
      <c r="B40" s="122" t="s">
        <v>103</v>
      </c>
      <c r="C40" s="157" t="s">
        <v>197</v>
      </c>
      <c r="D40" s="48" t="s">
        <v>104</v>
      </c>
      <c r="E40" s="441"/>
      <c r="F40" s="118" t="s">
        <v>105</v>
      </c>
      <c r="G40" s="119"/>
      <c r="H40" s="126"/>
      <c r="I40" s="126"/>
      <c r="J40" s="2"/>
      <c r="K40" s="18"/>
      <c r="L40" s="18"/>
      <c r="M40" s="18"/>
      <c r="N40" s="18"/>
      <c r="O40" s="126"/>
      <c r="P40" s="126"/>
      <c r="Q40" s="126">
        <f>Mar!AI289</f>
        <v>1</v>
      </c>
      <c r="R40" s="436"/>
      <c r="S40" s="436"/>
      <c r="T40" s="18"/>
      <c r="U40" s="18"/>
      <c r="V40" s="18"/>
      <c r="W40" s="45"/>
      <c r="X40" s="67"/>
    </row>
    <row r="41" spans="1:25" ht="15" customHeight="1">
      <c r="A41" s="427"/>
      <c r="B41" s="137" t="s">
        <v>112</v>
      </c>
      <c r="C41" s="157" t="s">
        <v>197</v>
      </c>
      <c r="D41" s="48" t="s">
        <v>104</v>
      </c>
      <c r="E41" s="441"/>
      <c r="F41" s="118" t="s">
        <v>113</v>
      </c>
      <c r="G41" s="119"/>
      <c r="H41" s="126"/>
      <c r="I41" s="126"/>
      <c r="J41" s="2"/>
      <c r="K41" s="18"/>
      <c r="L41" s="18"/>
      <c r="M41" s="18"/>
      <c r="N41" s="18"/>
      <c r="O41" s="126"/>
      <c r="P41" s="126"/>
      <c r="Q41" s="126">
        <f>Mar!AI292</f>
        <v>1</v>
      </c>
      <c r="R41" s="436"/>
      <c r="S41" s="436"/>
      <c r="T41" s="18"/>
      <c r="U41" s="18"/>
      <c r="V41" s="18"/>
      <c r="W41" s="45"/>
      <c r="X41" s="67"/>
    </row>
    <row r="42" spans="1:25" ht="15" customHeight="1">
      <c r="A42" s="427"/>
      <c r="B42" s="137" t="s">
        <v>106</v>
      </c>
      <c r="C42" s="157" t="s">
        <v>141</v>
      </c>
      <c r="D42" s="48" t="s">
        <v>68</v>
      </c>
      <c r="E42" s="441"/>
      <c r="F42" s="118" t="s">
        <v>67</v>
      </c>
      <c r="G42" s="119"/>
      <c r="H42" s="126"/>
      <c r="I42" s="126"/>
      <c r="J42" s="2"/>
      <c r="K42" s="18"/>
      <c r="L42" s="18"/>
      <c r="M42" s="18"/>
      <c r="N42" s="18"/>
      <c r="O42" s="126"/>
      <c r="P42" s="126"/>
      <c r="Q42" s="126">
        <f>Mar!AI290</f>
        <v>1</v>
      </c>
      <c r="R42" s="436"/>
      <c r="S42" s="436"/>
      <c r="T42" s="18"/>
      <c r="U42" s="18"/>
      <c r="V42" s="18"/>
      <c r="W42" s="45"/>
      <c r="X42" s="67"/>
    </row>
    <row r="43" spans="1:25" ht="15" customHeight="1" thickBot="1">
      <c r="A43" s="428"/>
      <c r="B43" s="44" t="s">
        <v>107</v>
      </c>
      <c r="C43" s="181" t="s">
        <v>195</v>
      </c>
      <c r="D43" s="61" t="s">
        <v>108</v>
      </c>
      <c r="E43" s="447"/>
      <c r="F43" s="133" t="s">
        <v>48</v>
      </c>
      <c r="G43" s="132"/>
      <c r="H43" s="109"/>
      <c r="I43" s="134"/>
      <c r="J43" s="129"/>
      <c r="K43" s="130"/>
      <c r="L43" s="130"/>
      <c r="M43" s="130"/>
      <c r="N43" s="130"/>
      <c r="O43" s="134"/>
      <c r="P43" s="134"/>
      <c r="Q43" s="134">
        <f>Mar!AI291</f>
        <v>1</v>
      </c>
      <c r="R43" s="437"/>
      <c r="S43" s="437"/>
      <c r="T43" s="130"/>
      <c r="U43" s="130"/>
      <c r="V43" s="128"/>
      <c r="W43" s="85"/>
      <c r="X43" s="67"/>
    </row>
    <row r="44" spans="1:25" ht="15" customHeight="1">
      <c r="A44" s="426">
        <v>46085</v>
      </c>
      <c r="B44" s="429" t="s">
        <v>44</v>
      </c>
      <c r="C44" s="432" t="s">
        <v>240</v>
      </c>
      <c r="D44" s="19" t="s">
        <v>37</v>
      </c>
      <c r="E44" s="19" t="s">
        <v>25</v>
      </c>
      <c r="F44" s="39" t="s">
        <v>40</v>
      </c>
      <c r="G44" s="41">
        <v>7147.53</v>
      </c>
      <c r="H44" s="32"/>
      <c r="I44" s="32"/>
      <c r="J44" s="32"/>
      <c r="K44" s="20">
        <v>8000</v>
      </c>
      <c r="L44" s="20">
        <v>1</v>
      </c>
      <c r="M44" s="20">
        <v>152000</v>
      </c>
      <c r="N44" s="84">
        <v>19</v>
      </c>
      <c r="O44" s="32">
        <f>Mar!AM273</f>
        <v>19845</v>
      </c>
      <c r="P44" s="32">
        <f>Mar!AN273</f>
        <v>24570</v>
      </c>
      <c r="Q44" s="32">
        <f>Mar!AL273</f>
        <v>71</v>
      </c>
      <c r="R44" s="435">
        <f>Mar!AM294</f>
        <v>66953</v>
      </c>
      <c r="S44" s="435">
        <f>Mar!AN294</f>
        <v>70946</v>
      </c>
      <c r="T44" s="20">
        <v>24802</v>
      </c>
      <c r="U44" s="20">
        <v>6</v>
      </c>
      <c r="V44" s="20">
        <f>O44-T44-U44+V23</f>
        <v>44212</v>
      </c>
      <c r="W44" s="77"/>
      <c r="X44" s="36"/>
    </row>
    <row r="45" spans="1:25" ht="15" customHeight="1">
      <c r="A45" s="427"/>
      <c r="B45" s="431"/>
      <c r="C45" s="434"/>
      <c r="D45" s="113" t="s">
        <v>128</v>
      </c>
      <c r="E45" s="113" t="s">
        <v>24</v>
      </c>
      <c r="F45" s="114" t="s">
        <v>40</v>
      </c>
      <c r="G45" s="170"/>
      <c r="H45" s="135">
        <v>2685</v>
      </c>
      <c r="I45" s="125"/>
      <c r="J45" s="125"/>
      <c r="K45" s="18">
        <v>16000</v>
      </c>
      <c r="L45" s="127">
        <v>2</v>
      </c>
      <c r="M45" s="216">
        <v>151400</v>
      </c>
      <c r="N45" s="238">
        <v>19</v>
      </c>
      <c r="O45" s="126">
        <f>Mar!AM274</f>
        <v>13519</v>
      </c>
      <c r="P45" s="125">
        <f>Mar!AN274</f>
        <v>16737</v>
      </c>
      <c r="Q45" s="125">
        <f>Mar!AL274</f>
        <v>47</v>
      </c>
      <c r="R45" s="436"/>
      <c r="S45" s="436"/>
      <c r="T45" s="127">
        <v>9365</v>
      </c>
      <c r="U45" s="127"/>
      <c r="V45" s="127">
        <f>O45-T45-U45+V24</f>
        <v>24807</v>
      </c>
      <c r="W45" s="46"/>
      <c r="X45" s="67"/>
    </row>
    <row r="46" spans="1:25" ht="15" customHeight="1">
      <c r="A46" s="427"/>
      <c r="B46" s="442" t="s">
        <v>45</v>
      </c>
      <c r="C46" s="448" t="s">
        <v>59</v>
      </c>
      <c r="D46" s="118" t="s">
        <v>75</v>
      </c>
      <c r="E46" s="438" t="s">
        <v>25</v>
      </c>
      <c r="F46" s="131" t="s">
        <v>57</v>
      </c>
      <c r="G46" s="87"/>
      <c r="H46" s="136"/>
      <c r="I46" s="126"/>
      <c r="J46" s="2"/>
      <c r="K46" s="127">
        <v>5300</v>
      </c>
      <c r="L46" s="18">
        <v>1</v>
      </c>
      <c r="M46" s="18">
        <v>55300</v>
      </c>
      <c r="N46" s="80">
        <v>11</v>
      </c>
      <c r="O46" s="126">
        <f>Mar!AM276</f>
        <v>4400</v>
      </c>
      <c r="P46" s="126">
        <f>Mar!AN276</f>
        <v>3033</v>
      </c>
      <c r="Q46" s="2">
        <f>Mar!AL276</f>
        <v>12</v>
      </c>
      <c r="R46" s="436"/>
      <c r="S46" s="436"/>
      <c r="T46" s="18"/>
      <c r="U46" s="18"/>
      <c r="V46" s="127">
        <f>O46-T46-U46+V25</f>
        <v>96191</v>
      </c>
      <c r="W46" s="46"/>
      <c r="Y46" s="13"/>
    </row>
    <row r="47" spans="1:25" ht="15" customHeight="1">
      <c r="A47" s="427"/>
      <c r="B47" s="439"/>
      <c r="C47" s="440"/>
      <c r="D47" s="118" t="s">
        <v>94</v>
      </c>
      <c r="E47" s="431"/>
      <c r="F47" s="131"/>
      <c r="G47" s="87"/>
      <c r="H47" s="152">
        <v>1782</v>
      </c>
      <c r="I47" s="126"/>
      <c r="J47" s="2"/>
      <c r="K47" s="127"/>
      <c r="L47" s="18"/>
      <c r="M47" s="18"/>
      <c r="N47" s="80"/>
      <c r="O47" s="126"/>
      <c r="P47" s="126"/>
      <c r="Q47" s="2"/>
      <c r="R47" s="436"/>
      <c r="S47" s="436"/>
      <c r="T47" s="18"/>
      <c r="U47" s="18"/>
      <c r="V47" s="127"/>
      <c r="W47" s="46"/>
      <c r="Y47" s="13"/>
    </row>
    <row r="48" spans="1:25">
      <c r="A48" s="427"/>
      <c r="B48" s="439"/>
      <c r="C48" s="440"/>
      <c r="D48" s="118" t="s">
        <v>72</v>
      </c>
      <c r="E48" s="155" t="s">
        <v>24</v>
      </c>
      <c r="F48" s="131" t="s">
        <v>57</v>
      </c>
      <c r="G48" s="136"/>
      <c r="H48" s="136"/>
      <c r="I48" s="126"/>
      <c r="J48" s="126"/>
      <c r="K48" s="127"/>
      <c r="L48" s="18"/>
      <c r="M48" s="18">
        <v>25000</v>
      </c>
      <c r="N48" s="80">
        <v>5</v>
      </c>
      <c r="O48" s="126">
        <f>Mar!AM277</f>
        <v>5954</v>
      </c>
      <c r="P48" s="126">
        <f>Mar!AN277</f>
        <v>6096</v>
      </c>
      <c r="Q48" s="2">
        <f>Mar!AL277</f>
        <v>25</v>
      </c>
      <c r="R48" s="436"/>
      <c r="S48" s="436"/>
      <c r="T48" s="18">
        <v>5709</v>
      </c>
      <c r="U48" s="18">
        <v>10</v>
      </c>
      <c r="V48" s="127">
        <f>O48-T48-U48+V26</f>
        <v>18359</v>
      </c>
      <c r="W48" s="46"/>
      <c r="Y48" s="13"/>
    </row>
    <row r="49" spans="1:25">
      <c r="A49" s="427"/>
      <c r="B49" s="439"/>
      <c r="C49" s="440"/>
      <c r="D49" s="115" t="s">
        <v>79</v>
      </c>
      <c r="E49" s="118" t="s">
        <v>65</v>
      </c>
      <c r="F49" s="131" t="s">
        <v>57</v>
      </c>
      <c r="G49" s="224"/>
      <c r="H49" s="136"/>
      <c r="I49" s="126"/>
      <c r="J49" s="126"/>
      <c r="K49" s="127">
        <v>15000</v>
      </c>
      <c r="L49" s="18">
        <v>3</v>
      </c>
      <c r="M49" s="18">
        <v>14000</v>
      </c>
      <c r="N49" s="80">
        <v>3</v>
      </c>
      <c r="O49" s="126">
        <f>Mar!AM278</f>
        <v>5798</v>
      </c>
      <c r="P49" s="126">
        <f>Mar!AN278</f>
        <v>4593</v>
      </c>
      <c r="Q49" s="126">
        <f>Mar!AL278</f>
        <v>20</v>
      </c>
      <c r="R49" s="436"/>
      <c r="S49" s="436"/>
      <c r="T49" s="18">
        <v>4892</v>
      </c>
      <c r="U49" s="18"/>
      <c r="V49" s="127">
        <f>O49-T49-U49+V27</f>
        <v>5810</v>
      </c>
      <c r="W49" s="46"/>
      <c r="Y49" s="13"/>
    </row>
    <row r="50" spans="1:25" ht="14.25" customHeight="1">
      <c r="A50" s="427"/>
      <c r="B50" s="137" t="s">
        <v>53</v>
      </c>
      <c r="C50" s="157" t="s">
        <v>60</v>
      </c>
      <c r="D50" s="43" t="s">
        <v>130</v>
      </c>
      <c r="E50" s="115" t="s">
        <v>66</v>
      </c>
      <c r="F50" s="118" t="s">
        <v>54</v>
      </c>
      <c r="G50" s="224"/>
      <c r="H50" s="37"/>
      <c r="I50" s="126"/>
      <c r="J50" s="126"/>
      <c r="K50" s="18"/>
      <c r="L50" s="18"/>
      <c r="M50" s="18">
        <v>89400</v>
      </c>
      <c r="N50" s="80">
        <v>16</v>
      </c>
      <c r="O50" s="126">
        <f>Mar!AM275</f>
        <v>10800</v>
      </c>
      <c r="P50" s="126">
        <f>Mar!AN275</f>
        <v>9138</v>
      </c>
      <c r="Q50" s="126">
        <f>Mar!AL275</f>
        <v>27</v>
      </c>
      <c r="R50" s="436"/>
      <c r="S50" s="436"/>
      <c r="T50" s="18">
        <v>14396</v>
      </c>
      <c r="U50" s="18"/>
      <c r="V50" s="127">
        <f>O50-T50-U50+V29</f>
        <v>1205</v>
      </c>
      <c r="W50" s="45"/>
      <c r="X50" s="36"/>
    </row>
    <row r="51" spans="1:25" ht="14.25" customHeight="1">
      <c r="A51" s="427"/>
      <c r="B51" s="442" t="s">
        <v>55</v>
      </c>
      <c r="C51" s="444" t="s">
        <v>133</v>
      </c>
      <c r="D51" s="48" t="s">
        <v>56</v>
      </c>
      <c r="E51" s="424" t="s">
        <v>25</v>
      </c>
      <c r="F51" s="118" t="s">
        <v>67</v>
      </c>
      <c r="G51" s="224"/>
      <c r="H51" s="37"/>
      <c r="I51" s="126"/>
      <c r="J51" s="126"/>
      <c r="K51" s="18"/>
      <c r="L51" s="18"/>
      <c r="M51" s="18">
        <v>2800</v>
      </c>
      <c r="N51" s="80">
        <v>1</v>
      </c>
      <c r="O51" s="126"/>
      <c r="P51" s="126">
        <f>Mar!AN293</f>
        <v>928</v>
      </c>
      <c r="Q51" s="126">
        <f>Mar!AL293</f>
        <v>2</v>
      </c>
      <c r="R51" s="436"/>
      <c r="S51" s="436"/>
      <c r="T51" s="18"/>
      <c r="U51" s="18"/>
      <c r="V51" s="127">
        <f>O51-T51-U51+V30</f>
        <v>500</v>
      </c>
      <c r="W51" s="45"/>
      <c r="X51" s="67"/>
    </row>
    <row r="52" spans="1:25" ht="14.25" customHeight="1">
      <c r="A52" s="427"/>
      <c r="B52" s="443"/>
      <c r="C52" s="446"/>
      <c r="D52" s="48" t="s">
        <v>68</v>
      </c>
      <c r="E52" s="441"/>
      <c r="F52" s="155"/>
      <c r="G52" s="224"/>
      <c r="H52" s="126">
        <v>144</v>
      </c>
      <c r="I52" s="126"/>
      <c r="J52" s="126"/>
      <c r="K52" s="18"/>
      <c r="L52" s="18"/>
      <c r="M52" s="18"/>
      <c r="N52" s="80"/>
      <c r="O52" s="126"/>
      <c r="P52" s="126"/>
      <c r="Q52" s="126"/>
      <c r="R52" s="436"/>
      <c r="S52" s="436"/>
      <c r="T52" s="18"/>
      <c r="U52" s="18"/>
      <c r="V52" s="127"/>
      <c r="W52" s="45"/>
      <c r="X52" s="67"/>
    </row>
    <row r="53" spans="1:25" ht="14.25" customHeight="1">
      <c r="A53" s="427"/>
      <c r="B53" s="122" t="s">
        <v>122</v>
      </c>
      <c r="C53" s="180" t="s">
        <v>123</v>
      </c>
      <c r="D53" s="48" t="s">
        <v>56</v>
      </c>
      <c r="E53" s="441"/>
      <c r="F53" s="155" t="s">
        <v>64</v>
      </c>
      <c r="G53" s="224"/>
      <c r="H53" s="135"/>
      <c r="I53" s="158"/>
      <c r="J53" s="158"/>
      <c r="K53" s="128">
        <v>3240</v>
      </c>
      <c r="L53" s="128">
        <v>1</v>
      </c>
      <c r="M53" s="128">
        <v>6400</v>
      </c>
      <c r="N53" s="164">
        <v>2</v>
      </c>
      <c r="O53" s="158"/>
      <c r="P53" s="249">
        <f>Mar!AN282</f>
        <v>249</v>
      </c>
      <c r="Q53" s="158">
        <f>Mar!AL282</f>
        <v>4</v>
      </c>
      <c r="R53" s="436"/>
      <c r="S53" s="436"/>
      <c r="T53" s="18"/>
      <c r="U53" s="18"/>
      <c r="V53" s="127">
        <f>O53-T53-U53+V31</f>
        <v>31304</v>
      </c>
      <c r="W53" s="45"/>
      <c r="X53" s="67"/>
    </row>
    <row r="54" spans="1:25" ht="15.75" customHeight="1">
      <c r="A54" s="427"/>
      <c r="B54" s="137" t="s">
        <v>58</v>
      </c>
      <c r="C54" s="157" t="s">
        <v>243</v>
      </c>
      <c r="D54" s="48" t="s">
        <v>56</v>
      </c>
      <c r="E54" s="441"/>
      <c r="F54" s="118" t="s">
        <v>64</v>
      </c>
      <c r="G54" s="226">
        <v>348</v>
      </c>
      <c r="H54" s="126"/>
      <c r="I54" s="126"/>
      <c r="J54" s="2"/>
      <c r="K54" s="18">
        <v>3000</v>
      </c>
      <c r="L54" s="18">
        <v>1</v>
      </c>
      <c r="M54" s="18"/>
      <c r="N54" s="18"/>
      <c r="O54" s="126"/>
      <c r="P54" s="126">
        <f>Mar!AN283</f>
        <v>196</v>
      </c>
      <c r="Q54" s="126">
        <f>Mar!AL283</f>
        <v>1</v>
      </c>
      <c r="R54" s="436"/>
      <c r="S54" s="436"/>
      <c r="T54" s="18"/>
      <c r="U54" s="18"/>
      <c r="V54" s="127">
        <f>O54-T54-U54+V32</f>
        <v>8562</v>
      </c>
      <c r="W54" s="45"/>
      <c r="X54" s="67"/>
    </row>
    <row r="55" spans="1:25" ht="15" customHeight="1">
      <c r="A55" s="427"/>
      <c r="B55" s="122" t="s">
        <v>61</v>
      </c>
      <c r="C55" s="180" t="s">
        <v>137</v>
      </c>
      <c r="D55" s="48" t="s">
        <v>56</v>
      </c>
      <c r="E55" s="441"/>
      <c r="F55" s="118" t="s">
        <v>67</v>
      </c>
      <c r="G55" s="226">
        <v>348</v>
      </c>
      <c r="H55" s="126"/>
      <c r="I55" s="126"/>
      <c r="J55" s="2"/>
      <c r="K55" s="18">
        <v>3000</v>
      </c>
      <c r="L55" s="18">
        <v>1</v>
      </c>
      <c r="M55" s="18"/>
      <c r="N55" s="18"/>
      <c r="O55" s="126">
        <f>Mar!AM284</f>
        <v>225</v>
      </c>
      <c r="P55" s="126">
        <f>Mar!AN284</f>
        <v>233</v>
      </c>
      <c r="Q55" s="126">
        <f>Mar!AL284</f>
        <v>2</v>
      </c>
      <c r="R55" s="436"/>
      <c r="S55" s="436"/>
      <c r="T55" s="18"/>
      <c r="U55" s="18"/>
      <c r="V55" s="127">
        <f>O55-T55-U55+V33</f>
        <v>6044</v>
      </c>
      <c r="W55" s="45"/>
      <c r="X55" s="67"/>
    </row>
    <row r="56" spans="1:25" ht="14.25" customHeight="1">
      <c r="A56" s="427"/>
      <c r="B56" s="122" t="s">
        <v>125</v>
      </c>
      <c r="C56" s="180" t="s">
        <v>88</v>
      </c>
      <c r="D56" s="48" t="s">
        <v>124</v>
      </c>
      <c r="E56" s="441"/>
      <c r="F56" s="118" t="s">
        <v>64</v>
      </c>
      <c r="G56" s="225"/>
      <c r="H56" s="126">
        <v>576</v>
      </c>
      <c r="I56" s="126"/>
      <c r="J56" s="126"/>
      <c r="K56" s="18"/>
      <c r="L56" s="18"/>
      <c r="M56" s="18">
        <v>58600</v>
      </c>
      <c r="N56" s="80">
        <v>8</v>
      </c>
      <c r="O56" s="126"/>
      <c r="P56" s="126">
        <f>Mar!AN279</f>
        <v>2097</v>
      </c>
      <c r="Q56" s="126">
        <f>Mar!AL279</f>
        <v>10</v>
      </c>
      <c r="R56" s="436"/>
      <c r="S56" s="436"/>
      <c r="T56" s="18"/>
      <c r="U56" s="18"/>
      <c r="V56" s="127">
        <f>O56-T56-U56+V34</f>
        <v>28448</v>
      </c>
      <c r="W56" s="45"/>
      <c r="X56" s="67"/>
    </row>
    <row r="57" spans="1:25" ht="15" customHeight="1">
      <c r="A57" s="427"/>
      <c r="B57" s="442" t="s">
        <v>47</v>
      </c>
      <c r="C57" s="444" t="s">
        <v>100</v>
      </c>
      <c r="D57" s="48" t="s">
        <v>99</v>
      </c>
      <c r="E57" s="441"/>
      <c r="F57" s="118" t="s">
        <v>71</v>
      </c>
      <c r="G57" s="226"/>
      <c r="H57" s="126"/>
      <c r="I57" s="126"/>
      <c r="J57" s="2"/>
      <c r="K57" s="18"/>
      <c r="L57" s="18"/>
      <c r="M57" s="18">
        <v>30000</v>
      </c>
      <c r="N57" s="18">
        <v>5</v>
      </c>
      <c r="O57" s="126">
        <f>Mar!AM280</f>
        <v>4412</v>
      </c>
      <c r="P57" s="126">
        <f>Mar!AN280</f>
        <v>1693</v>
      </c>
      <c r="Q57" s="126">
        <f>Mar!AL280</f>
        <v>7</v>
      </c>
      <c r="R57" s="436"/>
      <c r="S57" s="436"/>
      <c r="T57" s="18"/>
      <c r="U57" s="18"/>
      <c r="V57" s="127">
        <f>O57-T57-U57+V35</f>
        <v>65931</v>
      </c>
      <c r="W57" s="45"/>
      <c r="X57" s="67"/>
    </row>
    <row r="58" spans="1:25" ht="15" customHeight="1">
      <c r="A58" s="427"/>
      <c r="B58" s="443"/>
      <c r="C58" s="446"/>
      <c r="D58" s="48" t="s">
        <v>121</v>
      </c>
      <c r="E58" s="441"/>
      <c r="F58" s="118"/>
      <c r="G58" s="226"/>
      <c r="H58" s="126"/>
      <c r="I58" s="126"/>
      <c r="J58" s="2"/>
      <c r="K58" s="18"/>
      <c r="L58" s="18"/>
      <c r="M58" s="18"/>
      <c r="N58" s="18"/>
      <c r="O58" s="126"/>
      <c r="P58" s="126"/>
      <c r="Q58" s="126"/>
      <c r="R58" s="436"/>
      <c r="S58" s="436"/>
      <c r="T58" s="18"/>
      <c r="U58" s="18"/>
      <c r="V58" s="127"/>
      <c r="W58" s="45"/>
      <c r="X58" s="67"/>
    </row>
    <row r="59" spans="1:25" ht="15" customHeight="1">
      <c r="A59" s="427"/>
      <c r="B59" s="122" t="s">
        <v>196</v>
      </c>
      <c r="C59" s="180" t="s">
        <v>63</v>
      </c>
      <c r="D59" s="48" t="s">
        <v>135</v>
      </c>
      <c r="E59" s="441"/>
      <c r="F59" s="118" t="s">
        <v>64</v>
      </c>
      <c r="G59" s="226"/>
      <c r="H59" s="126"/>
      <c r="I59" s="126"/>
      <c r="J59" s="2"/>
      <c r="K59" s="18"/>
      <c r="L59" s="18"/>
      <c r="M59" s="18"/>
      <c r="N59" s="18"/>
      <c r="O59" s="126">
        <f>Mar!AM281</f>
        <v>2000</v>
      </c>
      <c r="P59" s="126">
        <f>Mar!AN281</f>
        <v>1383</v>
      </c>
      <c r="Q59" s="126">
        <f>Mar!AL281</f>
        <v>5</v>
      </c>
      <c r="R59" s="436"/>
      <c r="S59" s="436"/>
      <c r="T59" s="18"/>
      <c r="U59" s="18"/>
      <c r="V59" s="127">
        <f>O59-T59-U59+V37</f>
        <v>21765</v>
      </c>
      <c r="W59" s="45"/>
      <c r="X59" s="67"/>
    </row>
    <row r="60" spans="1:25" ht="15" customHeight="1">
      <c r="A60" s="427"/>
      <c r="B60" s="122" t="s">
        <v>131</v>
      </c>
      <c r="C60" s="180" t="s">
        <v>194</v>
      </c>
      <c r="D60" s="48" t="s">
        <v>132</v>
      </c>
      <c r="E60" s="441"/>
      <c r="F60" s="118" t="s">
        <v>64</v>
      </c>
      <c r="G60" s="119"/>
      <c r="H60" s="126"/>
      <c r="I60" s="126"/>
      <c r="J60" s="2"/>
      <c r="K60" s="18"/>
      <c r="L60" s="18"/>
      <c r="M60" s="18"/>
      <c r="N60" s="18"/>
      <c r="O60" s="126"/>
      <c r="P60" s="126"/>
      <c r="Q60" s="126">
        <f>Mar!AL287</f>
        <v>1</v>
      </c>
      <c r="R60" s="436"/>
      <c r="S60" s="436"/>
      <c r="T60" s="18"/>
      <c r="U60" s="18"/>
      <c r="V60" s="18"/>
      <c r="W60" s="45"/>
      <c r="X60" s="67"/>
    </row>
    <row r="61" spans="1:25" ht="15" customHeight="1">
      <c r="A61" s="427"/>
      <c r="B61" s="122" t="s">
        <v>101</v>
      </c>
      <c r="C61" s="180" t="s">
        <v>193</v>
      </c>
      <c r="D61" s="48" t="s">
        <v>102</v>
      </c>
      <c r="E61" s="441"/>
      <c r="F61" s="118" t="s">
        <v>64</v>
      </c>
      <c r="G61" s="119"/>
      <c r="H61" s="126"/>
      <c r="I61" s="126"/>
      <c r="J61" s="2"/>
      <c r="K61" s="18"/>
      <c r="L61" s="18"/>
      <c r="M61" s="18"/>
      <c r="N61" s="18"/>
      <c r="O61" s="126"/>
      <c r="P61" s="126"/>
      <c r="Q61" s="126">
        <f>Mar!AL288</f>
        <v>1</v>
      </c>
      <c r="R61" s="436"/>
      <c r="S61" s="436"/>
      <c r="T61" s="18"/>
      <c r="U61" s="18"/>
      <c r="V61" s="18"/>
      <c r="W61" s="45"/>
      <c r="X61" s="67"/>
    </row>
    <row r="62" spans="1:25" ht="15" customHeight="1">
      <c r="A62" s="427"/>
      <c r="B62" s="122" t="s">
        <v>103</v>
      </c>
      <c r="C62" s="157" t="s">
        <v>197</v>
      </c>
      <c r="D62" s="48" t="s">
        <v>104</v>
      </c>
      <c r="E62" s="441"/>
      <c r="F62" s="118" t="s">
        <v>105</v>
      </c>
      <c r="G62" s="119"/>
      <c r="H62" s="126"/>
      <c r="I62" s="126"/>
      <c r="J62" s="2"/>
      <c r="K62" s="18"/>
      <c r="L62" s="18"/>
      <c r="M62" s="18"/>
      <c r="N62" s="18"/>
      <c r="O62" s="126"/>
      <c r="P62" s="126"/>
      <c r="Q62" s="126">
        <f>Mar!AL289</f>
        <v>1</v>
      </c>
      <c r="R62" s="436"/>
      <c r="S62" s="436"/>
      <c r="T62" s="18"/>
      <c r="U62" s="18"/>
      <c r="V62" s="18"/>
      <c r="W62" s="45"/>
      <c r="X62" s="67"/>
    </row>
    <row r="63" spans="1:25" ht="15" customHeight="1">
      <c r="A63" s="427"/>
      <c r="B63" s="137" t="s">
        <v>112</v>
      </c>
      <c r="C63" s="157" t="s">
        <v>197</v>
      </c>
      <c r="D63" s="48" t="s">
        <v>104</v>
      </c>
      <c r="E63" s="441"/>
      <c r="F63" s="118" t="s">
        <v>113</v>
      </c>
      <c r="G63" s="119"/>
      <c r="H63" s="126"/>
      <c r="I63" s="126"/>
      <c r="J63" s="2"/>
      <c r="K63" s="18"/>
      <c r="L63" s="18"/>
      <c r="M63" s="18"/>
      <c r="N63" s="18"/>
      <c r="O63" s="126"/>
      <c r="P63" s="126"/>
      <c r="Q63" s="126">
        <f>Mar!AL292</f>
        <v>1</v>
      </c>
      <c r="R63" s="436"/>
      <c r="S63" s="436"/>
      <c r="T63" s="18"/>
      <c r="U63" s="18"/>
      <c r="V63" s="18"/>
      <c r="W63" s="45"/>
      <c r="X63" s="67"/>
    </row>
    <row r="64" spans="1:25" ht="15" customHeight="1">
      <c r="A64" s="427"/>
      <c r="B64" s="137" t="s">
        <v>106</v>
      </c>
      <c r="C64" s="157" t="s">
        <v>141</v>
      </c>
      <c r="D64" s="48" t="s">
        <v>68</v>
      </c>
      <c r="E64" s="441"/>
      <c r="F64" s="118" t="s">
        <v>67</v>
      </c>
      <c r="G64" s="119"/>
      <c r="H64" s="126"/>
      <c r="I64" s="126"/>
      <c r="J64" s="2"/>
      <c r="K64" s="18"/>
      <c r="L64" s="18"/>
      <c r="M64" s="18"/>
      <c r="N64" s="18"/>
      <c r="O64" s="126"/>
      <c r="P64" s="126"/>
      <c r="Q64" s="126">
        <f>Mar!AL290</f>
        <v>1</v>
      </c>
      <c r="R64" s="436"/>
      <c r="S64" s="436"/>
      <c r="T64" s="18"/>
      <c r="U64" s="18"/>
      <c r="V64" s="18"/>
      <c r="W64" s="45"/>
      <c r="X64" s="67"/>
    </row>
    <row r="65" spans="1:25" ht="15" customHeight="1" thickBot="1">
      <c r="A65" s="428"/>
      <c r="B65" s="44" t="s">
        <v>107</v>
      </c>
      <c r="C65" s="181" t="s">
        <v>195</v>
      </c>
      <c r="D65" s="61" t="s">
        <v>108</v>
      </c>
      <c r="E65" s="447"/>
      <c r="F65" s="133" t="s">
        <v>48</v>
      </c>
      <c r="G65" s="132"/>
      <c r="H65" s="109"/>
      <c r="I65" s="134"/>
      <c r="J65" s="129"/>
      <c r="K65" s="130"/>
      <c r="L65" s="130"/>
      <c r="M65" s="130"/>
      <c r="N65" s="130"/>
      <c r="O65" s="134"/>
      <c r="P65" s="134"/>
      <c r="Q65" s="134">
        <f>Mar!AL291</f>
        <v>1</v>
      </c>
      <c r="R65" s="437"/>
      <c r="S65" s="437"/>
      <c r="T65" s="130"/>
      <c r="U65" s="130"/>
      <c r="V65" s="128"/>
      <c r="W65" s="85"/>
      <c r="X65" s="67"/>
    </row>
    <row r="66" spans="1:25" ht="15" customHeight="1">
      <c r="A66" s="426">
        <v>46086</v>
      </c>
      <c r="B66" s="429" t="s">
        <v>44</v>
      </c>
      <c r="C66" s="432" t="s">
        <v>240</v>
      </c>
      <c r="D66" s="19" t="s">
        <v>37</v>
      </c>
      <c r="E66" s="19" t="s">
        <v>25</v>
      </c>
      <c r="F66" s="39" t="s">
        <v>40</v>
      </c>
      <c r="G66" s="41"/>
      <c r="H66" s="32"/>
      <c r="I66" s="32"/>
      <c r="J66" s="32"/>
      <c r="K66" s="20">
        <v>80000</v>
      </c>
      <c r="L66" s="20">
        <v>10</v>
      </c>
      <c r="M66" s="20">
        <v>72000</v>
      </c>
      <c r="N66" s="84">
        <v>9</v>
      </c>
      <c r="O66" s="32">
        <f>Mar!AP273</f>
        <v>29673</v>
      </c>
      <c r="P66" s="32">
        <f>Mar!AQ273</f>
        <v>24149</v>
      </c>
      <c r="Q66" s="32">
        <f>Mar!AO273</f>
        <v>71</v>
      </c>
      <c r="R66" s="435">
        <f>Mar!AP294</f>
        <v>67571</v>
      </c>
      <c r="S66" s="435">
        <f>Mar!AQ294</f>
        <v>69630</v>
      </c>
      <c r="T66" s="20">
        <v>28222</v>
      </c>
      <c r="U66" s="20">
        <v>10</v>
      </c>
      <c r="V66" s="20">
        <f>O66-T66-U66+V44</f>
        <v>45653</v>
      </c>
      <c r="W66" s="77"/>
      <c r="X66" s="36"/>
    </row>
    <row r="67" spans="1:25" ht="15" customHeight="1">
      <c r="A67" s="427"/>
      <c r="B67" s="431"/>
      <c r="C67" s="434"/>
      <c r="D67" s="113" t="s">
        <v>128</v>
      </c>
      <c r="E67" s="113" t="s">
        <v>24</v>
      </c>
      <c r="F67" s="114" t="s">
        <v>40</v>
      </c>
      <c r="G67" s="170"/>
      <c r="H67" s="135"/>
      <c r="I67" s="125"/>
      <c r="J67" s="125"/>
      <c r="K67" s="18"/>
      <c r="L67" s="127"/>
      <c r="M67" s="216">
        <v>151400</v>
      </c>
      <c r="N67" s="238">
        <v>19</v>
      </c>
      <c r="O67" s="126">
        <f>Mar!AP274</f>
        <v>9883</v>
      </c>
      <c r="P67" s="125">
        <f>Mar!AQ274</f>
        <v>16409</v>
      </c>
      <c r="Q67" s="125">
        <f>Mar!AO274</f>
        <v>47</v>
      </c>
      <c r="R67" s="436"/>
      <c r="S67" s="436"/>
      <c r="T67" s="127">
        <v>16918</v>
      </c>
      <c r="U67" s="127">
        <v>1200</v>
      </c>
      <c r="V67" s="127">
        <f>O67-T67-U67+V45</f>
        <v>16572</v>
      </c>
      <c r="W67" s="46"/>
      <c r="X67" s="67"/>
    </row>
    <row r="68" spans="1:25" ht="15" customHeight="1">
      <c r="A68" s="427"/>
      <c r="B68" s="442" t="s">
        <v>45</v>
      </c>
      <c r="C68" s="448" t="s">
        <v>59</v>
      </c>
      <c r="D68" s="118" t="s">
        <v>75</v>
      </c>
      <c r="E68" s="131" t="s">
        <v>25</v>
      </c>
      <c r="F68" s="131" t="s">
        <v>57</v>
      </c>
      <c r="G68" s="87"/>
      <c r="H68" s="136"/>
      <c r="I68" s="126"/>
      <c r="J68" s="2"/>
      <c r="K68" s="127"/>
      <c r="L68" s="18"/>
      <c r="M68" s="18">
        <v>55300</v>
      </c>
      <c r="N68" s="80">
        <v>11</v>
      </c>
      <c r="O68" s="126">
        <f>Mar!AP276</f>
        <v>2200</v>
      </c>
      <c r="P68" s="126">
        <f>Mar!AQ276</f>
        <v>3050</v>
      </c>
      <c r="Q68" s="2">
        <f>Mar!AO276</f>
        <v>12</v>
      </c>
      <c r="R68" s="436"/>
      <c r="S68" s="436"/>
      <c r="T68" s="18"/>
      <c r="U68" s="18"/>
      <c r="V68" s="127">
        <f>O68-T68-U68+V46</f>
        <v>98391</v>
      </c>
      <c r="W68" s="46"/>
      <c r="Y68" s="13"/>
    </row>
    <row r="69" spans="1:25">
      <c r="A69" s="427"/>
      <c r="B69" s="439"/>
      <c r="C69" s="440"/>
      <c r="D69" s="118" t="s">
        <v>72</v>
      </c>
      <c r="E69" s="424" t="s">
        <v>24</v>
      </c>
      <c r="F69" s="131" t="s">
        <v>57</v>
      </c>
      <c r="G69" s="136">
        <v>3882.5</v>
      </c>
      <c r="H69" s="136"/>
      <c r="I69" s="126"/>
      <c r="J69" s="126"/>
      <c r="K69" s="127">
        <v>5000</v>
      </c>
      <c r="L69" s="18">
        <v>1</v>
      </c>
      <c r="M69" s="18">
        <v>70000</v>
      </c>
      <c r="N69" s="80">
        <v>14</v>
      </c>
      <c r="O69" s="126">
        <f>Mar!AP277</f>
        <v>3909</v>
      </c>
      <c r="P69" s="126">
        <f>Mar!AQ277</f>
        <v>6111</v>
      </c>
      <c r="Q69" s="2">
        <f>Mar!AO277</f>
        <v>25</v>
      </c>
      <c r="R69" s="436"/>
      <c r="S69" s="436"/>
      <c r="T69" s="18">
        <v>6600</v>
      </c>
      <c r="U69" s="18"/>
      <c r="V69" s="127">
        <f>O69-T69-U69+V48</f>
        <v>15668</v>
      </c>
      <c r="W69" s="46"/>
      <c r="Y69" s="13"/>
    </row>
    <row r="70" spans="1:25">
      <c r="A70" s="427"/>
      <c r="B70" s="439"/>
      <c r="C70" s="440"/>
      <c r="D70" s="115" t="s">
        <v>73</v>
      </c>
      <c r="E70" s="425"/>
      <c r="F70" s="131"/>
      <c r="G70" s="136"/>
      <c r="H70" s="152">
        <v>1980</v>
      </c>
      <c r="I70" s="126"/>
      <c r="J70" s="126"/>
      <c r="K70" s="127"/>
      <c r="L70" s="18"/>
      <c r="M70" s="18"/>
      <c r="N70" s="80"/>
      <c r="O70" s="126"/>
      <c r="P70" s="126"/>
      <c r="Q70" s="2"/>
      <c r="R70" s="436"/>
      <c r="S70" s="436"/>
      <c r="T70" s="18"/>
      <c r="U70" s="18"/>
      <c r="V70" s="127"/>
      <c r="W70" s="46"/>
      <c r="Y70" s="13"/>
    </row>
    <row r="71" spans="1:25">
      <c r="A71" s="427"/>
      <c r="B71" s="439"/>
      <c r="C71" s="440"/>
      <c r="D71" s="115" t="s">
        <v>79</v>
      </c>
      <c r="E71" s="424" t="s">
        <v>65</v>
      </c>
      <c r="F71" s="131" t="s">
        <v>57</v>
      </c>
      <c r="G71" s="224"/>
      <c r="H71" s="136"/>
      <c r="I71" s="126"/>
      <c r="J71" s="126"/>
      <c r="K71" s="127">
        <v>9500</v>
      </c>
      <c r="L71" s="18">
        <v>2</v>
      </c>
      <c r="M71" s="18">
        <v>4500</v>
      </c>
      <c r="N71" s="80">
        <v>1</v>
      </c>
      <c r="O71" s="126">
        <f>Mar!AP278</f>
        <v>5064</v>
      </c>
      <c r="P71" s="126">
        <f>Mar!AQ278</f>
        <v>4230</v>
      </c>
      <c r="Q71" s="126">
        <f>Mar!AO278</f>
        <v>18</v>
      </c>
      <c r="R71" s="436"/>
      <c r="S71" s="436"/>
      <c r="T71" s="18">
        <v>5798</v>
      </c>
      <c r="U71" s="18"/>
      <c r="V71" s="127">
        <f>O71-T71-U71+V49</f>
        <v>5076</v>
      </c>
      <c r="W71" s="46"/>
      <c r="Y71" s="13"/>
    </row>
    <row r="72" spans="1:25">
      <c r="A72" s="427"/>
      <c r="B72" s="443"/>
      <c r="C72" s="449"/>
      <c r="D72" s="115" t="s">
        <v>80</v>
      </c>
      <c r="E72" s="425"/>
      <c r="F72" s="131"/>
      <c r="G72" s="224"/>
      <c r="H72" s="152">
        <v>1584</v>
      </c>
      <c r="I72" s="126"/>
      <c r="J72" s="126"/>
      <c r="K72" s="127"/>
      <c r="L72" s="18"/>
      <c r="M72" s="18"/>
      <c r="N72" s="80"/>
      <c r="O72" s="126"/>
      <c r="P72" s="126"/>
      <c r="Q72" s="126"/>
      <c r="R72" s="436"/>
      <c r="S72" s="436"/>
      <c r="T72" s="18"/>
      <c r="U72" s="18"/>
      <c r="V72" s="127"/>
      <c r="W72" s="46"/>
      <c r="Y72" s="13"/>
    </row>
    <row r="73" spans="1:25" ht="14.25" customHeight="1">
      <c r="A73" s="427"/>
      <c r="B73" s="137" t="s">
        <v>53</v>
      </c>
      <c r="C73" s="157" t="s">
        <v>60</v>
      </c>
      <c r="D73" s="43" t="s">
        <v>130</v>
      </c>
      <c r="E73" s="115" t="s">
        <v>66</v>
      </c>
      <c r="F73" s="118" t="s">
        <v>54</v>
      </c>
      <c r="G73" s="229">
        <v>3411.92</v>
      </c>
      <c r="H73" s="37"/>
      <c r="I73" s="126"/>
      <c r="J73" s="126"/>
      <c r="K73" s="18">
        <v>6000</v>
      </c>
      <c r="L73" s="18">
        <v>1</v>
      </c>
      <c r="M73" s="18">
        <v>131400</v>
      </c>
      <c r="N73" s="80">
        <v>23</v>
      </c>
      <c r="O73" s="126">
        <f>Mar!AP275</f>
        <v>9428</v>
      </c>
      <c r="P73" s="126">
        <f>Mar!AQ275</f>
        <v>9227</v>
      </c>
      <c r="Q73" s="126">
        <f>Mar!AO275</f>
        <v>27</v>
      </c>
      <c r="R73" s="436"/>
      <c r="S73" s="436"/>
      <c r="T73" s="18">
        <v>7028</v>
      </c>
      <c r="U73" s="18"/>
      <c r="V73" s="127">
        <f>O73-T73-U73+V50</f>
        <v>3605</v>
      </c>
      <c r="W73" s="45"/>
      <c r="X73" s="36"/>
    </row>
    <row r="74" spans="1:25" ht="14.25" customHeight="1">
      <c r="A74" s="427"/>
      <c r="B74" s="122" t="s">
        <v>55</v>
      </c>
      <c r="C74" s="180" t="s">
        <v>133</v>
      </c>
      <c r="D74" s="48" t="s">
        <v>56</v>
      </c>
      <c r="E74" s="424" t="s">
        <v>25</v>
      </c>
      <c r="F74" s="118" t="s">
        <v>67</v>
      </c>
      <c r="G74" s="224"/>
      <c r="H74" s="37"/>
      <c r="I74" s="126"/>
      <c r="J74" s="126"/>
      <c r="K74" s="18"/>
      <c r="L74" s="18"/>
      <c r="M74" s="18">
        <v>2800</v>
      </c>
      <c r="N74" s="80">
        <v>1</v>
      </c>
      <c r="O74" s="126">
        <f>Mar!AP293</f>
        <v>1000</v>
      </c>
      <c r="P74" s="126">
        <f>Mar!AQ293</f>
        <v>56</v>
      </c>
      <c r="Q74" s="126">
        <f>Mar!AO293</f>
        <v>2</v>
      </c>
      <c r="R74" s="436"/>
      <c r="S74" s="436"/>
      <c r="T74" s="18">
        <v>1000</v>
      </c>
      <c r="U74" s="18"/>
      <c r="V74" s="127">
        <f>O74-T74-U74+V51</f>
        <v>500</v>
      </c>
      <c r="W74" s="45"/>
      <c r="X74" s="67"/>
    </row>
    <row r="75" spans="1:25" ht="14.25" customHeight="1">
      <c r="A75" s="427"/>
      <c r="B75" s="122" t="s">
        <v>122</v>
      </c>
      <c r="C75" s="180" t="s">
        <v>123</v>
      </c>
      <c r="D75" s="48" t="s">
        <v>56</v>
      </c>
      <c r="E75" s="441"/>
      <c r="F75" s="155" t="s">
        <v>64</v>
      </c>
      <c r="G75" s="224"/>
      <c r="H75" s="135"/>
      <c r="I75" s="158"/>
      <c r="J75" s="158"/>
      <c r="K75" s="128"/>
      <c r="L75" s="128"/>
      <c r="M75" s="128">
        <v>6400</v>
      </c>
      <c r="N75" s="164">
        <v>2</v>
      </c>
      <c r="O75" s="158">
        <f>Mar!AP282</f>
        <v>500</v>
      </c>
      <c r="P75" s="158">
        <f>Mar!AQ282</f>
        <v>251</v>
      </c>
      <c r="Q75" s="158">
        <f>Mar!AO282</f>
        <v>4</v>
      </c>
      <c r="R75" s="436"/>
      <c r="S75" s="436"/>
      <c r="T75" s="18"/>
      <c r="U75" s="18"/>
      <c r="V75" s="127">
        <f>O75-T75-U75+V53</f>
        <v>31804</v>
      </c>
      <c r="W75" s="45"/>
      <c r="X75" s="67"/>
    </row>
    <row r="76" spans="1:25" ht="15.75" customHeight="1">
      <c r="A76" s="427"/>
      <c r="B76" s="137" t="s">
        <v>58</v>
      </c>
      <c r="C76" s="157" t="s">
        <v>243</v>
      </c>
      <c r="D76" s="48" t="s">
        <v>56</v>
      </c>
      <c r="E76" s="441"/>
      <c r="F76" s="118" t="s">
        <v>64</v>
      </c>
      <c r="G76" s="226"/>
      <c r="H76" s="126"/>
      <c r="I76" s="126"/>
      <c r="J76" s="2"/>
      <c r="K76" s="18"/>
      <c r="L76" s="18"/>
      <c r="M76" s="18"/>
      <c r="N76" s="18"/>
      <c r="O76" s="126"/>
      <c r="P76" s="126">
        <f>Mar!AQ283</f>
        <v>288</v>
      </c>
      <c r="Q76" s="126">
        <f>Mar!AO283</f>
        <v>1</v>
      </c>
      <c r="R76" s="436"/>
      <c r="S76" s="436"/>
      <c r="T76" s="18"/>
      <c r="U76" s="18"/>
      <c r="V76" s="127">
        <f>O76-T76-U76+V54</f>
        <v>8562</v>
      </c>
      <c r="W76" s="45"/>
      <c r="X76" s="67"/>
    </row>
    <row r="77" spans="1:25" ht="15" customHeight="1">
      <c r="A77" s="427"/>
      <c r="B77" s="122" t="s">
        <v>61</v>
      </c>
      <c r="C77" s="180" t="s">
        <v>137</v>
      </c>
      <c r="D77" s="48" t="s">
        <v>56</v>
      </c>
      <c r="E77" s="441"/>
      <c r="F77" s="118" t="s">
        <v>67</v>
      </c>
      <c r="G77" s="119"/>
      <c r="H77" s="126"/>
      <c r="I77" s="126"/>
      <c r="J77" s="2"/>
      <c r="K77" s="18"/>
      <c r="L77" s="18"/>
      <c r="M77" s="18"/>
      <c r="N77" s="18"/>
      <c r="O77" s="126">
        <f>Mar!AP284</f>
        <v>300</v>
      </c>
      <c r="P77" s="126">
        <f>Mar!AQ284</f>
        <v>292</v>
      </c>
      <c r="Q77" s="126">
        <f>Mar!AO284</f>
        <v>2</v>
      </c>
      <c r="R77" s="436"/>
      <c r="S77" s="436"/>
      <c r="T77" s="18"/>
      <c r="U77" s="18"/>
      <c r="V77" s="127">
        <f>O77-T77-U77+V55</f>
        <v>6344</v>
      </c>
      <c r="W77" s="45"/>
      <c r="X77" s="67"/>
    </row>
    <row r="78" spans="1:25" ht="14.25" customHeight="1">
      <c r="A78" s="427"/>
      <c r="B78" s="122" t="s">
        <v>125</v>
      </c>
      <c r="C78" s="180" t="s">
        <v>88</v>
      </c>
      <c r="D78" s="48" t="s">
        <v>124</v>
      </c>
      <c r="E78" s="441"/>
      <c r="F78" s="118" t="s">
        <v>64</v>
      </c>
      <c r="G78" s="225"/>
      <c r="H78" s="126"/>
      <c r="I78" s="126"/>
      <c r="J78" s="126"/>
      <c r="K78" s="18"/>
      <c r="L78" s="18"/>
      <c r="M78" s="18">
        <v>58600</v>
      </c>
      <c r="N78" s="80">
        <v>8</v>
      </c>
      <c r="O78" s="126">
        <f>Mar!AP279</f>
        <v>1818</v>
      </c>
      <c r="P78" s="126">
        <f>Mar!AQ279</f>
        <v>2061</v>
      </c>
      <c r="Q78" s="126">
        <f>Mar!AO279</f>
        <v>10</v>
      </c>
      <c r="R78" s="436"/>
      <c r="S78" s="436"/>
      <c r="T78" s="18"/>
      <c r="U78" s="18"/>
      <c r="V78" s="127">
        <f>O78-T78-U78+V56</f>
        <v>30266</v>
      </c>
      <c r="W78" s="45"/>
      <c r="X78" s="67"/>
    </row>
    <row r="79" spans="1:25" ht="15" customHeight="1">
      <c r="A79" s="427"/>
      <c r="B79" s="442" t="s">
        <v>47</v>
      </c>
      <c r="C79" s="444" t="s">
        <v>100</v>
      </c>
      <c r="D79" s="48" t="s">
        <v>99</v>
      </c>
      <c r="E79" s="441"/>
      <c r="F79" s="118" t="s">
        <v>71</v>
      </c>
      <c r="G79" s="226"/>
      <c r="H79" s="126"/>
      <c r="I79" s="126"/>
      <c r="J79" s="2"/>
      <c r="K79" s="18"/>
      <c r="L79" s="18"/>
      <c r="M79" s="18">
        <v>30000</v>
      </c>
      <c r="N79" s="18">
        <v>5</v>
      </c>
      <c r="O79" s="126">
        <f>Mar!AP280</f>
        <v>2443</v>
      </c>
      <c r="P79" s="126">
        <f>Mar!AQ280</f>
        <v>1561</v>
      </c>
      <c r="Q79" s="126">
        <f>Mar!AO280</f>
        <v>6</v>
      </c>
      <c r="R79" s="436"/>
      <c r="S79" s="436"/>
      <c r="T79" s="18"/>
      <c r="U79" s="18"/>
      <c r="V79" s="127">
        <f>O79-T79-U79+V57</f>
        <v>68374</v>
      </c>
      <c r="W79" s="45"/>
      <c r="X79" s="67"/>
    </row>
    <row r="80" spans="1:25" ht="15" customHeight="1">
      <c r="A80" s="427"/>
      <c r="B80" s="443"/>
      <c r="C80" s="446"/>
      <c r="D80" s="48" t="s">
        <v>121</v>
      </c>
      <c r="E80" s="441"/>
      <c r="F80" s="118"/>
      <c r="G80" s="226"/>
      <c r="H80" s="126"/>
      <c r="I80" s="126"/>
      <c r="J80" s="2"/>
      <c r="K80" s="18"/>
      <c r="L80" s="18"/>
      <c r="M80" s="18"/>
      <c r="N80" s="18"/>
      <c r="O80" s="126"/>
      <c r="P80" s="126"/>
      <c r="Q80" s="126"/>
      <c r="R80" s="436"/>
      <c r="S80" s="436"/>
      <c r="T80" s="18"/>
      <c r="U80" s="18"/>
      <c r="V80" s="127"/>
      <c r="W80" s="45"/>
      <c r="X80" s="67"/>
    </row>
    <row r="81" spans="1:25" ht="15" customHeight="1">
      <c r="A81" s="427"/>
      <c r="B81" s="122" t="s">
        <v>196</v>
      </c>
      <c r="C81" s="180" t="s">
        <v>63</v>
      </c>
      <c r="D81" s="48" t="s">
        <v>135</v>
      </c>
      <c r="E81" s="441"/>
      <c r="F81" s="118" t="s">
        <v>64</v>
      </c>
      <c r="G81" s="229">
        <v>1946.35</v>
      </c>
      <c r="H81" s="37">
        <v>433.5</v>
      </c>
      <c r="I81" s="126"/>
      <c r="J81" s="2"/>
      <c r="K81" s="18"/>
      <c r="L81" s="18"/>
      <c r="M81" s="18">
        <v>41500</v>
      </c>
      <c r="N81" s="18">
        <v>5</v>
      </c>
      <c r="O81" s="126">
        <f>Mar!AP281</f>
        <v>852</v>
      </c>
      <c r="P81" s="126">
        <f>Mar!AQ281</f>
        <v>1380</v>
      </c>
      <c r="Q81" s="126">
        <f>Mar!AO281</f>
        <v>5</v>
      </c>
      <c r="R81" s="436"/>
      <c r="S81" s="436"/>
      <c r="T81" s="18"/>
      <c r="U81" s="18"/>
      <c r="V81" s="127">
        <f>O81-T81-U81+V59</f>
        <v>22617</v>
      </c>
      <c r="W81" s="45"/>
      <c r="X81" s="67"/>
    </row>
    <row r="82" spans="1:25" ht="15" customHeight="1">
      <c r="A82" s="427"/>
      <c r="B82" s="122" t="s">
        <v>131</v>
      </c>
      <c r="C82" s="180" t="s">
        <v>194</v>
      </c>
      <c r="D82" s="48" t="s">
        <v>132</v>
      </c>
      <c r="E82" s="441"/>
      <c r="F82" s="118" t="s">
        <v>64</v>
      </c>
      <c r="G82" s="119"/>
      <c r="H82" s="126"/>
      <c r="I82" s="126"/>
      <c r="J82" s="2"/>
      <c r="K82" s="18"/>
      <c r="L82" s="18"/>
      <c r="M82" s="18"/>
      <c r="N82" s="18"/>
      <c r="O82" s="126"/>
      <c r="P82" s="126"/>
      <c r="Q82" s="126">
        <f>Mar!AO287</f>
        <v>1</v>
      </c>
      <c r="R82" s="436"/>
      <c r="S82" s="436"/>
      <c r="T82" s="18"/>
      <c r="U82" s="18"/>
      <c r="V82" s="18"/>
      <c r="W82" s="45"/>
      <c r="X82" s="67"/>
    </row>
    <row r="83" spans="1:25" ht="15" customHeight="1">
      <c r="A83" s="427"/>
      <c r="B83" s="122" t="s">
        <v>101</v>
      </c>
      <c r="C83" s="180" t="s">
        <v>193</v>
      </c>
      <c r="D83" s="48" t="s">
        <v>102</v>
      </c>
      <c r="E83" s="441"/>
      <c r="F83" s="118" t="s">
        <v>64</v>
      </c>
      <c r="G83" s="119"/>
      <c r="H83" s="37">
        <v>25.5</v>
      </c>
      <c r="I83" s="126"/>
      <c r="J83" s="2"/>
      <c r="K83" s="18"/>
      <c r="L83" s="18"/>
      <c r="M83" s="18"/>
      <c r="N83" s="18"/>
      <c r="O83" s="126">
        <f>Mar!AP288</f>
        <v>501</v>
      </c>
      <c r="P83" s="126">
        <f>Mar!AQ288</f>
        <v>264</v>
      </c>
      <c r="Q83" s="126">
        <f>Mar!AO288</f>
        <v>1</v>
      </c>
      <c r="R83" s="436"/>
      <c r="S83" s="436"/>
      <c r="T83" s="18"/>
      <c r="U83" s="18"/>
      <c r="V83" s="18">
        <f>O83-T83-U83+V61</f>
        <v>501</v>
      </c>
      <c r="W83" s="45"/>
      <c r="X83" s="67"/>
    </row>
    <row r="84" spans="1:25" ht="15" customHeight="1">
      <c r="A84" s="427"/>
      <c r="B84" s="122" t="s">
        <v>103</v>
      </c>
      <c r="C84" s="157" t="s">
        <v>197</v>
      </c>
      <c r="D84" s="48" t="s">
        <v>104</v>
      </c>
      <c r="E84" s="441"/>
      <c r="F84" s="118" t="s">
        <v>105</v>
      </c>
      <c r="G84" s="119"/>
      <c r="H84" s="126"/>
      <c r="I84" s="126"/>
      <c r="J84" s="2"/>
      <c r="K84" s="18"/>
      <c r="L84" s="18"/>
      <c r="M84" s="18"/>
      <c r="N84" s="18"/>
      <c r="O84" s="126"/>
      <c r="P84" s="126"/>
      <c r="Q84" s="126">
        <f>Mar!AO289</f>
        <v>1</v>
      </c>
      <c r="R84" s="436"/>
      <c r="S84" s="436"/>
      <c r="T84" s="18"/>
      <c r="U84" s="18"/>
      <c r="V84" s="18"/>
      <c r="W84" s="45"/>
      <c r="X84" s="67"/>
    </row>
    <row r="85" spans="1:25" ht="15" customHeight="1">
      <c r="A85" s="427"/>
      <c r="B85" s="137" t="s">
        <v>112</v>
      </c>
      <c r="C85" s="157" t="s">
        <v>197</v>
      </c>
      <c r="D85" s="48" t="s">
        <v>104</v>
      </c>
      <c r="E85" s="441"/>
      <c r="F85" s="118" t="s">
        <v>113</v>
      </c>
      <c r="G85" s="119"/>
      <c r="H85" s="126"/>
      <c r="I85" s="126"/>
      <c r="J85" s="2"/>
      <c r="K85" s="18"/>
      <c r="L85" s="18"/>
      <c r="M85" s="18"/>
      <c r="N85" s="18"/>
      <c r="O85" s="126"/>
      <c r="P85" s="126"/>
      <c r="Q85" s="126">
        <f>Mar!AO292</f>
        <v>1</v>
      </c>
      <c r="R85" s="436"/>
      <c r="S85" s="436"/>
      <c r="T85" s="18"/>
      <c r="U85" s="18"/>
      <c r="V85" s="18"/>
      <c r="W85" s="45"/>
      <c r="X85" s="67"/>
    </row>
    <row r="86" spans="1:25" ht="15" customHeight="1">
      <c r="A86" s="427"/>
      <c r="B86" s="442" t="s">
        <v>106</v>
      </c>
      <c r="C86" s="444" t="s">
        <v>141</v>
      </c>
      <c r="D86" s="48" t="s">
        <v>68</v>
      </c>
      <c r="E86" s="441"/>
      <c r="F86" s="118" t="s">
        <v>67</v>
      </c>
      <c r="G86" s="119"/>
      <c r="H86" s="126"/>
      <c r="I86" s="126"/>
      <c r="J86" s="2"/>
      <c r="K86" s="18"/>
      <c r="L86" s="18"/>
      <c r="M86" s="18"/>
      <c r="N86" s="18"/>
      <c r="O86" s="126"/>
      <c r="P86" s="126">
        <f>Mar!AQ290</f>
        <v>301</v>
      </c>
      <c r="Q86" s="126">
        <f>Mar!AO290</f>
        <v>1</v>
      </c>
      <c r="R86" s="436"/>
      <c r="S86" s="436"/>
      <c r="T86" s="18"/>
      <c r="U86" s="18"/>
      <c r="V86" s="18"/>
      <c r="W86" s="45"/>
      <c r="X86" s="67"/>
    </row>
    <row r="87" spans="1:25" ht="15" customHeight="1">
      <c r="A87" s="427"/>
      <c r="B87" s="443"/>
      <c r="C87" s="446"/>
      <c r="D87" s="59" t="s">
        <v>109</v>
      </c>
      <c r="E87" s="441"/>
      <c r="F87" s="115"/>
      <c r="G87" s="113"/>
      <c r="H87" s="125">
        <v>72</v>
      </c>
      <c r="I87" s="125"/>
      <c r="J87" s="250"/>
      <c r="K87" s="127"/>
      <c r="L87" s="127"/>
      <c r="M87" s="127"/>
      <c r="N87" s="127"/>
      <c r="O87" s="125"/>
      <c r="P87" s="125"/>
      <c r="Q87" s="125"/>
      <c r="R87" s="436"/>
      <c r="S87" s="436"/>
      <c r="T87" s="18"/>
      <c r="U87" s="18"/>
      <c r="V87" s="18"/>
      <c r="W87" s="45"/>
      <c r="X87" s="67"/>
    </row>
    <row r="88" spans="1:25" ht="15" customHeight="1" thickBot="1">
      <c r="A88" s="428"/>
      <c r="B88" s="44" t="s">
        <v>107</v>
      </c>
      <c r="C88" s="181" t="s">
        <v>195</v>
      </c>
      <c r="D88" s="61" t="s">
        <v>108</v>
      </c>
      <c r="E88" s="447"/>
      <c r="F88" s="133" t="s">
        <v>48</v>
      </c>
      <c r="G88" s="132"/>
      <c r="H88" s="109"/>
      <c r="I88" s="134"/>
      <c r="J88" s="129"/>
      <c r="K88" s="130"/>
      <c r="L88" s="130"/>
      <c r="M88" s="130"/>
      <c r="N88" s="130"/>
      <c r="O88" s="134"/>
      <c r="P88" s="134"/>
      <c r="Q88" s="134">
        <f>Mar!AO291</f>
        <v>1</v>
      </c>
      <c r="R88" s="437"/>
      <c r="S88" s="437"/>
      <c r="T88" s="130"/>
      <c r="U88" s="130"/>
      <c r="V88" s="128"/>
      <c r="W88" s="85"/>
      <c r="X88" s="67"/>
    </row>
    <row r="89" spans="1:25" ht="15" customHeight="1">
      <c r="A89" s="426">
        <v>46087</v>
      </c>
      <c r="B89" s="429" t="s">
        <v>44</v>
      </c>
      <c r="C89" s="432" t="s">
        <v>240</v>
      </c>
      <c r="D89" s="19" t="s">
        <v>37</v>
      </c>
      <c r="E89" s="19" t="s">
        <v>25</v>
      </c>
      <c r="F89" s="39" t="s">
        <v>40</v>
      </c>
      <c r="G89" s="41">
        <v>1099.6199999999999</v>
      </c>
      <c r="H89" s="32">
        <v>5744</v>
      </c>
      <c r="I89" s="32"/>
      <c r="J89" s="474">
        <v>22.6</v>
      </c>
      <c r="K89" s="233">
        <v>40000</v>
      </c>
      <c r="L89" s="233">
        <v>5</v>
      </c>
      <c r="M89" s="233">
        <v>48000</v>
      </c>
      <c r="N89" s="234">
        <v>6</v>
      </c>
      <c r="O89" s="32">
        <f>Mar!AS273</f>
        <v>31357</v>
      </c>
      <c r="P89" s="32">
        <f>Mar!AT273</f>
        <v>25246</v>
      </c>
      <c r="Q89" s="32">
        <f>Mar!AR273</f>
        <v>71</v>
      </c>
      <c r="R89" s="435">
        <f>Mar!AS294</f>
        <v>78031</v>
      </c>
      <c r="S89" s="435">
        <f>Mar!AT294</f>
        <v>69962</v>
      </c>
      <c r="T89" s="20">
        <v>27154</v>
      </c>
      <c r="U89" s="20">
        <v>25</v>
      </c>
      <c r="V89" s="20">
        <f>O89-T89-U89+V66</f>
        <v>49831</v>
      </c>
      <c r="W89" s="77"/>
      <c r="X89" s="36"/>
    </row>
    <row r="90" spans="1:25" ht="15" customHeight="1">
      <c r="A90" s="427"/>
      <c r="B90" s="431"/>
      <c r="C90" s="434"/>
      <c r="D90" s="113" t="s">
        <v>128</v>
      </c>
      <c r="E90" s="113" t="s">
        <v>24</v>
      </c>
      <c r="F90" s="114" t="s">
        <v>40</v>
      </c>
      <c r="G90" s="170"/>
      <c r="H90" s="158">
        <v>1215</v>
      </c>
      <c r="I90" s="125"/>
      <c r="J90" s="475"/>
      <c r="K90" s="211">
        <v>24000</v>
      </c>
      <c r="L90" s="216">
        <v>3</v>
      </c>
      <c r="M90" s="216">
        <v>127400</v>
      </c>
      <c r="N90" s="238">
        <v>16</v>
      </c>
      <c r="O90" s="126">
        <f>Mar!AS274</f>
        <v>17779</v>
      </c>
      <c r="P90" s="125">
        <f>Mar!AT274</f>
        <v>16711</v>
      </c>
      <c r="Q90" s="125">
        <f>Mar!AR274</f>
        <v>47</v>
      </c>
      <c r="R90" s="436"/>
      <c r="S90" s="436"/>
      <c r="T90" s="127"/>
      <c r="U90" s="127"/>
      <c r="V90" s="127">
        <f>O90-T90-U90+V67</f>
        <v>34351</v>
      </c>
      <c r="W90" s="46"/>
      <c r="X90" s="67"/>
    </row>
    <row r="91" spans="1:25" ht="15" customHeight="1">
      <c r="A91" s="427"/>
      <c r="B91" s="442" t="s">
        <v>45</v>
      </c>
      <c r="C91" s="448" t="s">
        <v>59</v>
      </c>
      <c r="D91" s="118" t="s">
        <v>75</v>
      </c>
      <c r="E91" s="131" t="s">
        <v>25</v>
      </c>
      <c r="F91" s="131" t="s">
        <v>57</v>
      </c>
      <c r="G91" s="87"/>
      <c r="H91" s="136"/>
      <c r="I91" s="126"/>
      <c r="J91" s="475"/>
      <c r="K91" s="216"/>
      <c r="L91" s="211"/>
      <c r="M91" s="211">
        <v>55300</v>
      </c>
      <c r="N91" s="215">
        <v>11</v>
      </c>
      <c r="O91" s="126">
        <f>Mar!AS276</f>
        <v>5258</v>
      </c>
      <c r="P91" s="126">
        <f>Mar!AT276</f>
        <v>2977</v>
      </c>
      <c r="Q91" s="2">
        <f>Mar!AR276</f>
        <v>12</v>
      </c>
      <c r="R91" s="436"/>
      <c r="S91" s="436"/>
      <c r="T91" s="18"/>
      <c r="U91" s="18"/>
      <c r="V91" s="127">
        <f>O91-T91-U91+V68</f>
        <v>103649</v>
      </c>
      <c r="W91" s="46"/>
      <c r="Y91" s="13"/>
    </row>
    <row r="92" spans="1:25">
      <c r="A92" s="427"/>
      <c r="B92" s="439"/>
      <c r="C92" s="440"/>
      <c r="D92" s="118" t="s">
        <v>72</v>
      </c>
      <c r="E92" s="424" t="s">
        <v>24</v>
      </c>
      <c r="F92" s="131" t="s">
        <v>57</v>
      </c>
      <c r="G92" s="136"/>
      <c r="H92" s="136"/>
      <c r="I92" s="126"/>
      <c r="J92" s="475"/>
      <c r="K92" s="216">
        <v>10000</v>
      </c>
      <c r="L92" s="211">
        <v>2</v>
      </c>
      <c r="M92" s="211">
        <v>60000</v>
      </c>
      <c r="N92" s="215">
        <v>12</v>
      </c>
      <c r="O92" s="126">
        <f>Mar!AS277</f>
        <v>5777</v>
      </c>
      <c r="P92" s="126">
        <f>Mar!AT277</f>
        <v>6361</v>
      </c>
      <c r="Q92" s="2">
        <f>Mar!AR277</f>
        <v>26</v>
      </c>
      <c r="R92" s="436"/>
      <c r="S92" s="436"/>
      <c r="T92" s="18">
        <v>12658</v>
      </c>
      <c r="U92" s="18">
        <v>10</v>
      </c>
      <c r="V92" s="127">
        <f>O92-T92-U92+V69</f>
        <v>8777</v>
      </c>
      <c r="W92" s="46"/>
      <c r="Y92" s="13"/>
    </row>
    <row r="93" spans="1:25">
      <c r="A93" s="427"/>
      <c r="B93" s="439"/>
      <c r="C93" s="440"/>
      <c r="D93" s="115" t="s">
        <v>73</v>
      </c>
      <c r="E93" s="425"/>
      <c r="F93" s="131"/>
      <c r="G93" s="136"/>
      <c r="H93" s="152">
        <v>1320</v>
      </c>
      <c r="I93" s="126"/>
      <c r="J93" s="475"/>
      <c r="K93" s="216"/>
      <c r="L93" s="211"/>
      <c r="M93" s="211"/>
      <c r="N93" s="215"/>
      <c r="O93" s="126"/>
      <c r="P93" s="126"/>
      <c r="Q93" s="2"/>
      <c r="R93" s="436"/>
      <c r="S93" s="436"/>
      <c r="T93" s="18"/>
      <c r="U93" s="18"/>
      <c r="V93" s="127"/>
      <c r="W93" s="46"/>
      <c r="Y93" s="13"/>
    </row>
    <row r="94" spans="1:25">
      <c r="A94" s="427"/>
      <c r="B94" s="439"/>
      <c r="C94" s="440"/>
      <c r="D94" s="115" t="s">
        <v>79</v>
      </c>
      <c r="E94" s="424" t="s">
        <v>65</v>
      </c>
      <c r="F94" s="131" t="s">
        <v>57</v>
      </c>
      <c r="G94" s="224"/>
      <c r="H94" s="152"/>
      <c r="I94" s="126"/>
      <c r="J94" s="475"/>
      <c r="K94" s="216">
        <v>4500</v>
      </c>
      <c r="L94" s="211">
        <v>1</v>
      </c>
      <c r="M94" s="211"/>
      <c r="N94" s="215"/>
      <c r="O94" s="126">
        <f>Mar!AS278</f>
        <v>3814</v>
      </c>
      <c r="P94" s="126">
        <f>Mar!AT278</f>
        <v>4055</v>
      </c>
      <c r="Q94" s="126">
        <f>Mar!AR278</f>
        <v>17</v>
      </c>
      <c r="R94" s="436"/>
      <c r="S94" s="436"/>
      <c r="T94" s="18">
        <v>5064</v>
      </c>
      <c r="U94" s="18"/>
      <c r="V94" s="127">
        <f>O94-T94-U94+V71</f>
        <v>3826</v>
      </c>
      <c r="W94" s="46"/>
      <c r="Y94" s="13"/>
    </row>
    <row r="95" spans="1:25">
      <c r="A95" s="427"/>
      <c r="B95" s="251"/>
      <c r="C95" s="449"/>
      <c r="D95" s="115" t="s">
        <v>80</v>
      </c>
      <c r="E95" s="425"/>
      <c r="F95" s="131"/>
      <c r="G95" s="224"/>
      <c r="H95" s="152">
        <v>1320</v>
      </c>
      <c r="I95" s="126"/>
      <c r="J95" s="475"/>
      <c r="K95" s="216"/>
      <c r="L95" s="211"/>
      <c r="M95" s="211"/>
      <c r="N95" s="215"/>
      <c r="O95" s="126"/>
      <c r="P95" s="126"/>
      <c r="Q95" s="126"/>
      <c r="R95" s="436"/>
      <c r="S95" s="436"/>
      <c r="T95" s="18"/>
      <c r="U95" s="18"/>
      <c r="V95" s="127"/>
      <c r="W95" s="46"/>
      <c r="Y95" s="13"/>
    </row>
    <row r="96" spans="1:25" ht="14.25" customHeight="1">
      <c r="A96" s="427"/>
      <c r="B96" s="442" t="s">
        <v>53</v>
      </c>
      <c r="C96" s="444" t="s">
        <v>60</v>
      </c>
      <c r="D96" s="43" t="s">
        <v>130</v>
      </c>
      <c r="E96" s="115" t="s">
        <v>66</v>
      </c>
      <c r="F96" s="118" t="s">
        <v>54</v>
      </c>
      <c r="G96" s="224"/>
      <c r="H96" s="37"/>
      <c r="I96" s="126"/>
      <c r="J96" s="475"/>
      <c r="K96" s="211">
        <v>6000</v>
      </c>
      <c r="L96" s="211">
        <v>1</v>
      </c>
      <c r="M96" s="211">
        <v>125400</v>
      </c>
      <c r="N96" s="215">
        <v>22</v>
      </c>
      <c r="O96" s="126">
        <f>Mar!AS275</f>
        <v>11773</v>
      </c>
      <c r="P96" s="126">
        <f>Mar!AT275</f>
        <v>9263</v>
      </c>
      <c r="Q96" s="126">
        <f>Mar!AR275</f>
        <v>27</v>
      </c>
      <c r="R96" s="436"/>
      <c r="S96" s="436"/>
      <c r="T96" s="18"/>
      <c r="U96" s="18"/>
      <c r="V96" s="127">
        <f>O96-T96-U96+V73</f>
        <v>15378</v>
      </c>
      <c r="W96" s="45"/>
      <c r="X96" s="36"/>
    </row>
    <row r="97" spans="1:24" ht="14.25" customHeight="1">
      <c r="A97" s="427"/>
      <c r="B97" s="443"/>
      <c r="C97" s="446"/>
      <c r="D97" s="43" t="s">
        <v>199</v>
      </c>
      <c r="E97" s="114" t="s">
        <v>25</v>
      </c>
      <c r="F97" s="118"/>
      <c r="G97" s="224"/>
      <c r="H97" s="37">
        <v>965.6</v>
      </c>
      <c r="I97" s="126"/>
      <c r="J97" s="475"/>
      <c r="K97" s="211"/>
      <c r="L97" s="211"/>
      <c r="M97" s="211"/>
      <c r="N97" s="215"/>
      <c r="O97" s="126"/>
      <c r="P97" s="126"/>
      <c r="Q97" s="126"/>
      <c r="R97" s="436"/>
      <c r="S97" s="436"/>
      <c r="T97" s="18"/>
      <c r="U97" s="18"/>
      <c r="V97" s="127"/>
      <c r="W97" s="45"/>
      <c r="X97" s="67"/>
    </row>
    <row r="98" spans="1:24" ht="14.25" customHeight="1">
      <c r="A98" s="427"/>
      <c r="B98" s="122" t="s">
        <v>55</v>
      </c>
      <c r="C98" s="180" t="s">
        <v>133</v>
      </c>
      <c r="D98" s="48" t="s">
        <v>56</v>
      </c>
      <c r="E98" s="424" t="s">
        <v>25</v>
      </c>
      <c r="F98" s="118" t="s">
        <v>67</v>
      </c>
      <c r="G98" s="224"/>
      <c r="H98" s="37"/>
      <c r="I98" s="126"/>
      <c r="J98" s="475"/>
      <c r="K98" s="211"/>
      <c r="L98" s="211"/>
      <c r="M98" s="211">
        <v>2800</v>
      </c>
      <c r="N98" s="215">
        <v>1</v>
      </c>
      <c r="O98" s="126"/>
      <c r="P98" s="126"/>
      <c r="Q98" s="126">
        <f>Mar!AR293</f>
        <v>2</v>
      </c>
      <c r="R98" s="436"/>
      <c r="S98" s="436"/>
      <c r="T98" s="18"/>
      <c r="U98" s="18"/>
      <c r="V98" s="127">
        <f t="shared" ref="V98:V103" si="1">O98-T98-U98+V74</f>
        <v>500</v>
      </c>
      <c r="W98" s="45"/>
      <c r="X98" s="67"/>
    </row>
    <row r="99" spans="1:24" ht="14.25" customHeight="1">
      <c r="A99" s="427"/>
      <c r="B99" s="122" t="s">
        <v>122</v>
      </c>
      <c r="C99" s="180" t="s">
        <v>123</v>
      </c>
      <c r="D99" s="48" t="s">
        <v>56</v>
      </c>
      <c r="E99" s="441"/>
      <c r="F99" s="155" t="s">
        <v>64</v>
      </c>
      <c r="G99" s="224"/>
      <c r="H99" s="135"/>
      <c r="I99" s="158"/>
      <c r="J99" s="475"/>
      <c r="K99" s="252"/>
      <c r="L99" s="252"/>
      <c r="M99" s="252">
        <v>6400</v>
      </c>
      <c r="N99" s="253">
        <v>2</v>
      </c>
      <c r="O99" s="158"/>
      <c r="P99" s="158"/>
      <c r="Q99" s="158">
        <f>Mar!AR282</f>
        <v>4</v>
      </c>
      <c r="R99" s="436"/>
      <c r="S99" s="436"/>
      <c r="T99" s="18">
        <v>500</v>
      </c>
      <c r="U99" s="18"/>
      <c r="V99" s="127">
        <f t="shared" si="1"/>
        <v>31304</v>
      </c>
      <c r="W99" s="45"/>
      <c r="X99" s="67"/>
    </row>
    <row r="100" spans="1:24" ht="15.75" customHeight="1">
      <c r="A100" s="427"/>
      <c r="B100" s="137" t="s">
        <v>58</v>
      </c>
      <c r="C100" s="157" t="s">
        <v>243</v>
      </c>
      <c r="D100" s="48" t="s">
        <v>56</v>
      </c>
      <c r="E100" s="441"/>
      <c r="F100" s="118" t="s">
        <v>64</v>
      </c>
      <c r="G100" s="226"/>
      <c r="H100" s="126"/>
      <c r="I100" s="126"/>
      <c r="J100" s="475"/>
      <c r="K100" s="211"/>
      <c r="L100" s="211"/>
      <c r="M100" s="211"/>
      <c r="N100" s="211"/>
      <c r="O100" s="126">
        <f>Mar!AS283</f>
        <v>500</v>
      </c>
      <c r="P100" s="126">
        <f>Mar!AT283</f>
        <v>16</v>
      </c>
      <c r="Q100" s="126">
        <f>Mar!AR283</f>
        <v>1</v>
      </c>
      <c r="R100" s="436"/>
      <c r="S100" s="436"/>
      <c r="T100" s="18">
        <v>500</v>
      </c>
      <c r="U100" s="18"/>
      <c r="V100" s="127">
        <f t="shared" si="1"/>
        <v>8562</v>
      </c>
      <c r="W100" s="45"/>
      <c r="X100" s="67"/>
    </row>
    <row r="101" spans="1:24" ht="15" customHeight="1">
      <c r="A101" s="427"/>
      <c r="B101" s="122" t="s">
        <v>61</v>
      </c>
      <c r="C101" s="180" t="s">
        <v>137</v>
      </c>
      <c r="D101" s="48" t="s">
        <v>56</v>
      </c>
      <c r="E101" s="441"/>
      <c r="F101" s="118" t="s">
        <v>67</v>
      </c>
      <c r="G101" s="119"/>
      <c r="H101" s="126"/>
      <c r="I101" s="126"/>
      <c r="J101" s="475"/>
      <c r="K101" s="211"/>
      <c r="L101" s="211"/>
      <c r="M101" s="211"/>
      <c r="N101" s="211"/>
      <c r="O101" s="126"/>
      <c r="P101" s="126"/>
      <c r="Q101" s="126">
        <f>Mar!AR284</f>
        <v>2</v>
      </c>
      <c r="R101" s="436"/>
      <c r="S101" s="436"/>
      <c r="T101" s="18">
        <v>500</v>
      </c>
      <c r="U101" s="18"/>
      <c r="V101" s="127">
        <f t="shared" si="1"/>
        <v>5844</v>
      </c>
      <c r="W101" s="45"/>
      <c r="X101" s="67"/>
    </row>
    <row r="102" spans="1:24" ht="14.25" customHeight="1">
      <c r="A102" s="427"/>
      <c r="B102" s="122" t="s">
        <v>125</v>
      </c>
      <c r="C102" s="180" t="s">
        <v>88</v>
      </c>
      <c r="D102" s="48" t="s">
        <v>124</v>
      </c>
      <c r="E102" s="441"/>
      <c r="F102" s="118" t="s">
        <v>64</v>
      </c>
      <c r="G102" s="225"/>
      <c r="H102" s="126"/>
      <c r="I102" s="126"/>
      <c r="J102" s="475"/>
      <c r="K102" s="211"/>
      <c r="L102" s="211"/>
      <c r="M102" s="211">
        <v>58600</v>
      </c>
      <c r="N102" s="215">
        <v>8</v>
      </c>
      <c r="O102" s="126"/>
      <c r="P102" s="126">
        <f>Mar!AT279</f>
        <v>2289</v>
      </c>
      <c r="Q102" s="126">
        <f>Mar!AR279</f>
        <v>10</v>
      </c>
      <c r="R102" s="436"/>
      <c r="S102" s="436"/>
      <c r="T102" s="18"/>
      <c r="U102" s="18"/>
      <c r="V102" s="127">
        <f t="shared" si="1"/>
        <v>30266</v>
      </c>
      <c r="W102" s="45"/>
      <c r="X102" s="67"/>
    </row>
    <row r="103" spans="1:24" ht="15" customHeight="1">
      <c r="A103" s="427"/>
      <c r="B103" s="442" t="s">
        <v>47</v>
      </c>
      <c r="C103" s="444" t="s">
        <v>100</v>
      </c>
      <c r="D103" s="48" t="s">
        <v>99</v>
      </c>
      <c r="E103" s="441"/>
      <c r="F103" s="118" t="s">
        <v>71</v>
      </c>
      <c r="G103" s="226"/>
      <c r="H103" s="126"/>
      <c r="I103" s="126"/>
      <c r="J103" s="475"/>
      <c r="K103" s="211"/>
      <c r="L103" s="211"/>
      <c r="M103" s="211">
        <v>30000</v>
      </c>
      <c r="N103" s="211">
        <v>5</v>
      </c>
      <c r="O103" s="126">
        <f>Mar!AS280</f>
        <v>396</v>
      </c>
      <c r="P103" s="126">
        <f>Mar!AT280</f>
        <v>1476</v>
      </c>
      <c r="Q103" s="126">
        <f>Mar!AR280</f>
        <v>6</v>
      </c>
      <c r="R103" s="436"/>
      <c r="S103" s="436"/>
      <c r="T103" s="18"/>
      <c r="U103" s="18"/>
      <c r="V103" s="127">
        <f t="shared" si="1"/>
        <v>68770</v>
      </c>
      <c r="W103" s="45"/>
      <c r="X103" s="67"/>
    </row>
    <row r="104" spans="1:24" ht="15" customHeight="1">
      <c r="A104" s="427"/>
      <c r="B104" s="443"/>
      <c r="C104" s="446"/>
      <c r="D104" s="48" t="s">
        <v>121</v>
      </c>
      <c r="E104" s="441"/>
      <c r="F104" s="118"/>
      <c r="G104" s="226"/>
      <c r="H104" s="126"/>
      <c r="I104" s="126"/>
      <c r="J104" s="475"/>
      <c r="K104" s="211"/>
      <c r="L104" s="211"/>
      <c r="M104" s="211"/>
      <c r="N104" s="211"/>
      <c r="O104" s="126"/>
      <c r="P104" s="126"/>
      <c r="Q104" s="126"/>
      <c r="R104" s="436"/>
      <c r="S104" s="436"/>
      <c r="T104" s="18"/>
      <c r="U104" s="18"/>
      <c r="V104" s="127"/>
      <c r="W104" s="45"/>
      <c r="X104" s="67"/>
    </row>
    <row r="105" spans="1:24" ht="15" customHeight="1">
      <c r="A105" s="427"/>
      <c r="B105" s="122" t="s">
        <v>196</v>
      </c>
      <c r="C105" s="180" t="s">
        <v>63</v>
      </c>
      <c r="D105" s="48" t="s">
        <v>135</v>
      </c>
      <c r="E105" s="441"/>
      <c r="F105" s="118" t="s">
        <v>64</v>
      </c>
      <c r="G105" s="226"/>
      <c r="H105" s="126"/>
      <c r="I105" s="126"/>
      <c r="J105" s="475"/>
      <c r="K105" s="211"/>
      <c r="L105" s="211"/>
      <c r="M105" s="211">
        <v>41500</v>
      </c>
      <c r="N105" s="211">
        <v>5</v>
      </c>
      <c r="O105" s="126">
        <f>Mar!AS281</f>
        <v>877</v>
      </c>
      <c r="P105" s="126">
        <f>Mar!AT281</f>
        <v>1381</v>
      </c>
      <c r="Q105" s="126">
        <f>Mar!AR281</f>
        <v>5</v>
      </c>
      <c r="R105" s="436"/>
      <c r="S105" s="436"/>
      <c r="T105" s="18"/>
      <c r="U105" s="18"/>
      <c r="V105" s="127">
        <f>O105-T105-U105+V81</f>
        <v>23494</v>
      </c>
      <c r="W105" s="45"/>
      <c r="X105" s="67"/>
    </row>
    <row r="106" spans="1:24" ht="15" customHeight="1">
      <c r="A106" s="427"/>
      <c r="B106" s="122" t="s">
        <v>253</v>
      </c>
      <c r="C106" s="180" t="s">
        <v>252</v>
      </c>
      <c r="D106" s="48" t="s">
        <v>246</v>
      </c>
      <c r="E106" s="441"/>
      <c r="F106" s="118" t="s">
        <v>247</v>
      </c>
      <c r="G106" s="226">
        <v>67.31</v>
      </c>
      <c r="H106" s="126">
        <v>40</v>
      </c>
      <c r="I106" s="126"/>
      <c r="J106" s="475"/>
      <c r="K106" s="211">
        <v>1000</v>
      </c>
      <c r="L106" s="211">
        <v>1</v>
      </c>
      <c r="M106" s="211"/>
      <c r="N106" s="211"/>
      <c r="O106" s="126"/>
      <c r="P106" s="126"/>
      <c r="Q106" s="126">
        <f>Mar!AR285</f>
        <v>1</v>
      </c>
      <c r="R106" s="436"/>
      <c r="S106" s="436"/>
      <c r="T106" s="18"/>
      <c r="U106" s="18"/>
      <c r="V106" s="127"/>
      <c r="W106" s="45"/>
      <c r="X106" s="67"/>
    </row>
    <row r="107" spans="1:24" ht="15" customHeight="1">
      <c r="A107" s="427"/>
      <c r="B107" s="442" t="s">
        <v>249</v>
      </c>
      <c r="C107" s="444" t="s">
        <v>250</v>
      </c>
      <c r="D107" s="48" t="s">
        <v>251</v>
      </c>
      <c r="E107" s="441"/>
      <c r="F107" s="118" t="s">
        <v>64</v>
      </c>
      <c r="G107" s="226">
        <v>84.36</v>
      </c>
      <c r="H107" s="126"/>
      <c r="I107" s="126"/>
      <c r="J107" s="475"/>
      <c r="K107" s="211"/>
      <c r="L107" s="211"/>
      <c r="M107" s="211">
        <v>900</v>
      </c>
      <c r="N107" s="211">
        <v>1</v>
      </c>
      <c r="O107" s="126"/>
      <c r="P107" s="126"/>
      <c r="Q107" s="126"/>
      <c r="R107" s="436"/>
      <c r="S107" s="436"/>
      <c r="T107" s="18"/>
      <c r="U107" s="18"/>
      <c r="V107" s="127"/>
      <c r="W107" s="45"/>
      <c r="X107" s="67"/>
    </row>
    <row r="108" spans="1:24" ht="15" customHeight="1">
      <c r="A108" s="427"/>
      <c r="B108" s="443"/>
      <c r="C108" s="446"/>
      <c r="D108" s="48" t="s">
        <v>248</v>
      </c>
      <c r="E108" s="441"/>
      <c r="F108" s="118"/>
      <c r="G108" s="226"/>
      <c r="H108" s="126">
        <v>72</v>
      </c>
      <c r="I108" s="126"/>
      <c r="J108" s="475"/>
      <c r="K108" s="211"/>
      <c r="L108" s="211"/>
      <c r="M108" s="211"/>
      <c r="N108" s="211"/>
      <c r="O108" s="126"/>
      <c r="P108" s="126"/>
      <c r="Q108" s="126"/>
      <c r="R108" s="436"/>
      <c r="S108" s="436"/>
      <c r="T108" s="18"/>
      <c r="U108" s="18"/>
      <c r="V108" s="127"/>
      <c r="W108" s="45"/>
      <c r="X108" s="67"/>
    </row>
    <row r="109" spans="1:24" ht="15" customHeight="1">
      <c r="A109" s="427"/>
      <c r="B109" s="122" t="s">
        <v>131</v>
      </c>
      <c r="C109" s="180" t="s">
        <v>194</v>
      </c>
      <c r="D109" s="48" t="s">
        <v>132</v>
      </c>
      <c r="E109" s="441"/>
      <c r="F109" s="118" t="s">
        <v>64</v>
      </c>
      <c r="G109" s="119"/>
      <c r="H109" s="126"/>
      <c r="I109" s="126"/>
      <c r="J109" s="475"/>
      <c r="K109" s="211"/>
      <c r="L109" s="211"/>
      <c r="M109" s="211"/>
      <c r="N109" s="211"/>
      <c r="O109" s="126"/>
      <c r="P109" s="126"/>
      <c r="Q109" s="126">
        <f>Mar!AR287</f>
        <v>1</v>
      </c>
      <c r="R109" s="436"/>
      <c r="S109" s="436"/>
      <c r="T109" s="18"/>
      <c r="U109" s="18"/>
      <c r="V109" s="18"/>
      <c r="W109" s="45"/>
      <c r="X109" s="67"/>
    </row>
    <row r="110" spans="1:24" ht="15" customHeight="1">
      <c r="A110" s="427"/>
      <c r="B110" s="122" t="s">
        <v>101</v>
      </c>
      <c r="C110" s="180" t="s">
        <v>193</v>
      </c>
      <c r="D110" s="48" t="s">
        <v>102</v>
      </c>
      <c r="E110" s="441"/>
      <c r="F110" s="118" t="s">
        <v>64</v>
      </c>
      <c r="G110" s="119"/>
      <c r="H110" s="126"/>
      <c r="I110" s="126"/>
      <c r="J110" s="475"/>
      <c r="K110" s="211"/>
      <c r="L110" s="211"/>
      <c r="M110" s="211"/>
      <c r="N110" s="211"/>
      <c r="O110" s="126"/>
      <c r="P110" s="126"/>
      <c r="Q110" s="126">
        <f>Mar!AR288</f>
        <v>1</v>
      </c>
      <c r="R110" s="436"/>
      <c r="S110" s="436"/>
      <c r="T110" s="18">
        <v>501</v>
      </c>
      <c r="U110" s="18"/>
      <c r="V110" s="18"/>
      <c r="W110" s="45"/>
      <c r="X110" s="67"/>
    </row>
    <row r="111" spans="1:24" ht="15" customHeight="1">
      <c r="A111" s="427"/>
      <c r="B111" s="122" t="s">
        <v>103</v>
      </c>
      <c r="C111" s="157" t="s">
        <v>197</v>
      </c>
      <c r="D111" s="48" t="s">
        <v>104</v>
      </c>
      <c r="E111" s="441"/>
      <c r="F111" s="118" t="s">
        <v>105</v>
      </c>
      <c r="G111" s="119"/>
      <c r="H111" s="126"/>
      <c r="I111" s="126"/>
      <c r="J111" s="475"/>
      <c r="K111" s="211"/>
      <c r="L111" s="211"/>
      <c r="M111" s="211"/>
      <c r="N111" s="211"/>
      <c r="O111" s="126"/>
      <c r="P111" s="126"/>
      <c r="Q111" s="126">
        <f>Mar!AR289</f>
        <v>1</v>
      </c>
      <c r="R111" s="436"/>
      <c r="S111" s="436"/>
      <c r="T111" s="18"/>
      <c r="U111" s="18"/>
      <c r="V111" s="18"/>
      <c r="W111" s="45"/>
      <c r="X111" s="67"/>
    </row>
    <row r="112" spans="1:24" ht="15" customHeight="1">
      <c r="A112" s="427"/>
      <c r="B112" s="137" t="s">
        <v>112</v>
      </c>
      <c r="C112" s="157" t="s">
        <v>197</v>
      </c>
      <c r="D112" s="48" t="s">
        <v>104</v>
      </c>
      <c r="E112" s="441"/>
      <c r="F112" s="118" t="s">
        <v>113</v>
      </c>
      <c r="G112" s="119"/>
      <c r="H112" s="126"/>
      <c r="I112" s="126"/>
      <c r="J112" s="475"/>
      <c r="K112" s="211"/>
      <c r="L112" s="211"/>
      <c r="M112" s="211"/>
      <c r="N112" s="211"/>
      <c r="O112" s="126"/>
      <c r="P112" s="126"/>
      <c r="Q112" s="126">
        <f>Mar!AR292</f>
        <v>1</v>
      </c>
      <c r="R112" s="436"/>
      <c r="S112" s="436"/>
      <c r="T112" s="18"/>
      <c r="U112" s="18"/>
      <c r="V112" s="18"/>
      <c r="W112" s="45"/>
      <c r="X112" s="67"/>
    </row>
    <row r="113" spans="1:25" ht="15" customHeight="1">
      <c r="A113" s="427"/>
      <c r="B113" s="137" t="s">
        <v>106</v>
      </c>
      <c r="C113" s="157" t="s">
        <v>141</v>
      </c>
      <c r="D113" s="48" t="s">
        <v>68</v>
      </c>
      <c r="E113" s="441"/>
      <c r="F113" s="118" t="s">
        <v>67</v>
      </c>
      <c r="G113" s="119"/>
      <c r="H113" s="126"/>
      <c r="I113" s="126"/>
      <c r="J113" s="475"/>
      <c r="K113" s="18"/>
      <c r="L113" s="18"/>
      <c r="M113" s="18"/>
      <c r="N113" s="18"/>
      <c r="O113" s="126">
        <f>Mar!AS290</f>
        <v>500</v>
      </c>
      <c r="P113" s="126">
        <f>Mar!AT290</f>
        <v>187</v>
      </c>
      <c r="Q113" s="126">
        <f>Mar!AR290</f>
        <v>1</v>
      </c>
      <c r="R113" s="436"/>
      <c r="S113" s="436"/>
      <c r="T113" s="18"/>
      <c r="U113" s="18"/>
      <c r="V113" s="18">
        <f>O113-T113-U113+V86</f>
        <v>500</v>
      </c>
      <c r="W113" s="45"/>
      <c r="X113" s="67"/>
    </row>
    <row r="114" spans="1:25" ht="15" customHeight="1" thickBot="1">
      <c r="A114" s="428"/>
      <c r="B114" s="44" t="s">
        <v>107</v>
      </c>
      <c r="C114" s="181" t="s">
        <v>195</v>
      </c>
      <c r="D114" s="61" t="s">
        <v>108</v>
      </c>
      <c r="E114" s="447"/>
      <c r="F114" s="133" t="s">
        <v>48</v>
      </c>
      <c r="G114" s="132"/>
      <c r="H114" s="109"/>
      <c r="I114" s="134"/>
      <c r="J114" s="476"/>
      <c r="K114" s="130"/>
      <c r="L114" s="130"/>
      <c r="M114" s="130"/>
      <c r="N114" s="130"/>
      <c r="O114" s="134"/>
      <c r="P114" s="134"/>
      <c r="Q114" s="134">
        <f>Mar!AR291</f>
        <v>1</v>
      </c>
      <c r="R114" s="437"/>
      <c r="S114" s="437"/>
      <c r="T114" s="130"/>
      <c r="U114" s="130"/>
      <c r="V114" s="128"/>
      <c r="W114" s="85"/>
      <c r="X114" s="67"/>
    </row>
    <row r="115" spans="1:25" ht="15" customHeight="1">
      <c r="A115" s="426">
        <v>46088</v>
      </c>
      <c r="B115" s="429" t="s">
        <v>44</v>
      </c>
      <c r="C115" s="432" t="s">
        <v>240</v>
      </c>
      <c r="D115" s="19" t="s">
        <v>37</v>
      </c>
      <c r="E115" s="19" t="s">
        <v>25</v>
      </c>
      <c r="F115" s="39" t="s">
        <v>40</v>
      </c>
      <c r="G115" s="41"/>
      <c r="H115" s="32"/>
      <c r="I115" s="32"/>
      <c r="J115" s="32"/>
      <c r="K115" s="20">
        <v>8000</v>
      </c>
      <c r="L115" s="20">
        <v>1</v>
      </c>
      <c r="M115" s="233">
        <v>40000</v>
      </c>
      <c r="N115" s="234">
        <v>5</v>
      </c>
      <c r="O115" s="32">
        <f>Mar!AV273</f>
        <v>18075</v>
      </c>
      <c r="P115" s="32">
        <f>Mar!AW273</f>
        <v>23597</v>
      </c>
      <c r="Q115" s="32">
        <f>Mar!AU273</f>
        <v>70</v>
      </c>
      <c r="R115" s="435">
        <f>Mar!AV294</f>
        <v>54425</v>
      </c>
      <c r="S115" s="435">
        <f>Mar!AW294</f>
        <v>65799</v>
      </c>
      <c r="T115" s="20">
        <v>17569</v>
      </c>
      <c r="U115" s="20"/>
      <c r="V115" s="20">
        <f>O115-T115-U115+V89</f>
        <v>50337</v>
      </c>
      <c r="W115" s="77"/>
      <c r="X115" s="36"/>
    </row>
    <row r="116" spans="1:25" ht="15" customHeight="1">
      <c r="A116" s="427"/>
      <c r="B116" s="431"/>
      <c r="C116" s="434"/>
      <c r="D116" s="113" t="s">
        <v>128</v>
      </c>
      <c r="E116" s="113" t="s">
        <v>24</v>
      </c>
      <c r="F116" s="114" t="s">
        <v>40</v>
      </c>
      <c r="G116" s="170"/>
      <c r="H116" s="158"/>
      <c r="I116" s="125"/>
      <c r="J116" s="125"/>
      <c r="K116" s="18">
        <v>23400</v>
      </c>
      <c r="L116" s="127">
        <v>3</v>
      </c>
      <c r="M116" s="216">
        <v>104000</v>
      </c>
      <c r="N116" s="238">
        <v>13</v>
      </c>
      <c r="O116" s="126">
        <f>Mar!AV274</f>
        <v>10673</v>
      </c>
      <c r="P116" s="125">
        <f>Mar!AW274</f>
        <v>15795</v>
      </c>
      <c r="Q116" s="125">
        <f>Mar!AU274</f>
        <v>48</v>
      </c>
      <c r="R116" s="436"/>
      <c r="S116" s="436"/>
      <c r="T116" s="127">
        <v>28145</v>
      </c>
      <c r="U116" s="127">
        <v>6</v>
      </c>
      <c r="V116" s="127">
        <f>O116-T116-U116+V90</f>
        <v>16873</v>
      </c>
      <c r="W116" s="46"/>
      <c r="X116" s="67"/>
    </row>
    <row r="117" spans="1:25" ht="15" customHeight="1">
      <c r="A117" s="427"/>
      <c r="B117" s="442" t="s">
        <v>45</v>
      </c>
      <c r="C117" s="448" t="s">
        <v>59</v>
      </c>
      <c r="D117" s="118" t="s">
        <v>75</v>
      </c>
      <c r="E117" s="131" t="s">
        <v>25</v>
      </c>
      <c r="F117" s="131" t="s">
        <v>57</v>
      </c>
      <c r="G117" s="87"/>
      <c r="H117" s="136"/>
      <c r="I117" s="126"/>
      <c r="J117" s="2"/>
      <c r="K117" s="127">
        <v>10300</v>
      </c>
      <c r="L117" s="18">
        <v>2</v>
      </c>
      <c r="M117" s="211">
        <v>45000</v>
      </c>
      <c r="N117" s="215">
        <v>9</v>
      </c>
      <c r="O117" s="126">
        <f>Mar!AV276</f>
        <v>1100</v>
      </c>
      <c r="P117" s="126">
        <f>Mar!AW276</f>
        <v>2855</v>
      </c>
      <c r="Q117" s="2">
        <f>Mar!AU276</f>
        <v>12</v>
      </c>
      <c r="R117" s="436"/>
      <c r="S117" s="436"/>
      <c r="T117" s="18"/>
      <c r="U117" s="18"/>
      <c r="V117" s="127">
        <f>O117-T117-U117+V91</f>
        <v>104749</v>
      </c>
      <c r="W117" s="46"/>
      <c r="Y117" s="13"/>
    </row>
    <row r="118" spans="1:25">
      <c r="A118" s="427"/>
      <c r="B118" s="439"/>
      <c r="C118" s="440"/>
      <c r="D118" s="118" t="s">
        <v>72</v>
      </c>
      <c r="E118" s="155" t="s">
        <v>24</v>
      </c>
      <c r="F118" s="131" t="s">
        <v>57</v>
      </c>
      <c r="G118" s="136"/>
      <c r="H118" s="136"/>
      <c r="I118" s="126"/>
      <c r="J118" s="126"/>
      <c r="K118" s="127">
        <v>5000</v>
      </c>
      <c r="L118" s="18">
        <v>1</v>
      </c>
      <c r="M118" s="211">
        <v>55000</v>
      </c>
      <c r="N118" s="215">
        <v>11</v>
      </c>
      <c r="O118" s="126">
        <f>Mar!AV277</f>
        <v>8598</v>
      </c>
      <c r="P118" s="126">
        <f>Mar!AW277</f>
        <v>5913</v>
      </c>
      <c r="Q118" s="2">
        <f>Mar!AU277</f>
        <v>27</v>
      </c>
      <c r="R118" s="436"/>
      <c r="S118" s="436"/>
      <c r="T118" s="18"/>
      <c r="U118" s="18"/>
      <c r="V118" s="127">
        <f>O118-T118-U118+V92</f>
        <v>17375</v>
      </c>
      <c r="W118" s="46"/>
      <c r="Y118" s="13"/>
    </row>
    <row r="119" spans="1:25">
      <c r="A119" s="427"/>
      <c r="B119" s="439"/>
      <c r="C119" s="440"/>
      <c r="D119" s="115" t="s">
        <v>79</v>
      </c>
      <c r="E119" s="118" t="s">
        <v>65</v>
      </c>
      <c r="F119" s="131" t="s">
        <v>57</v>
      </c>
      <c r="G119" s="224"/>
      <c r="H119" s="152"/>
      <c r="I119" s="126"/>
      <c r="J119" s="126"/>
      <c r="K119" s="127"/>
      <c r="L119" s="18"/>
      <c r="M119" s="211"/>
      <c r="N119" s="215"/>
      <c r="O119" s="126">
        <f>Mar!AV278</f>
        <v>1972</v>
      </c>
      <c r="P119" s="126">
        <f>Mar!AW278</f>
        <v>3670</v>
      </c>
      <c r="Q119" s="126">
        <f>Mar!AU278</f>
        <v>16</v>
      </c>
      <c r="R119" s="436"/>
      <c r="S119" s="436"/>
      <c r="T119" s="18">
        <v>4647</v>
      </c>
      <c r="U119" s="18"/>
      <c r="V119" s="127">
        <f>O119-T119-U119+V94</f>
        <v>1151</v>
      </c>
      <c r="W119" s="46"/>
      <c r="Y119" s="13"/>
    </row>
    <row r="120" spans="1:25" ht="14.25" customHeight="1">
      <c r="A120" s="427"/>
      <c r="B120" s="442" t="s">
        <v>53</v>
      </c>
      <c r="C120" s="444" t="s">
        <v>60</v>
      </c>
      <c r="D120" s="43" t="s">
        <v>130</v>
      </c>
      <c r="E120" s="115" t="s">
        <v>66</v>
      </c>
      <c r="F120" s="118" t="s">
        <v>54</v>
      </c>
      <c r="G120" s="224"/>
      <c r="H120" s="37"/>
      <c r="I120" s="126"/>
      <c r="J120" s="126"/>
      <c r="K120" s="18">
        <v>12000</v>
      </c>
      <c r="L120" s="18">
        <v>2</v>
      </c>
      <c r="M120" s="211">
        <v>113400</v>
      </c>
      <c r="N120" s="215">
        <v>20</v>
      </c>
      <c r="O120" s="126">
        <f>Mar!AV275</f>
        <v>10230</v>
      </c>
      <c r="P120" s="126">
        <f>Mar!AW275</f>
        <v>8687</v>
      </c>
      <c r="Q120" s="126">
        <f>Mar!AU275</f>
        <v>27</v>
      </c>
      <c r="R120" s="436"/>
      <c r="S120" s="436"/>
      <c r="T120" s="18">
        <v>14173</v>
      </c>
      <c r="U120" s="18"/>
      <c r="V120" s="127">
        <f>O120-T120-U120+V96</f>
        <v>11435</v>
      </c>
      <c r="W120" s="45"/>
      <c r="X120" s="36"/>
    </row>
    <row r="121" spans="1:25" ht="14.25" customHeight="1">
      <c r="A121" s="427"/>
      <c r="B121" s="443"/>
      <c r="C121" s="446"/>
      <c r="D121" s="43" t="s">
        <v>96</v>
      </c>
      <c r="E121" s="114" t="s">
        <v>65</v>
      </c>
      <c r="F121" s="118"/>
      <c r="G121" s="224"/>
      <c r="H121" s="126">
        <v>612</v>
      </c>
      <c r="I121" s="126"/>
      <c r="J121" s="126"/>
      <c r="K121" s="18"/>
      <c r="L121" s="18"/>
      <c r="M121" s="211"/>
      <c r="N121" s="215"/>
      <c r="O121" s="126"/>
      <c r="P121" s="126"/>
      <c r="Q121" s="126"/>
      <c r="R121" s="436"/>
      <c r="S121" s="436"/>
      <c r="T121" s="18"/>
      <c r="U121" s="18"/>
      <c r="V121" s="127"/>
      <c r="W121" s="45"/>
      <c r="X121" s="67"/>
    </row>
    <row r="122" spans="1:25" ht="14.25" customHeight="1">
      <c r="A122" s="427"/>
      <c r="B122" s="122" t="s">
        <v>55</v>
      </c>
      <c r="C122" s="180" t="s">
        <v>133</v>
      </c>
      <c r="D122" s="48" t="s">
        <v>56</v>
      </c>
      <c r="E122" s="424" t="s">
        <v>25</v>
      </c>
      <c r="F122" s="118" t="s">
        <v>67</v>
      </c>
      <c r="G122" s="224"/>
      <c r="H122" s="37"/>
      <c r="I122" s="126"/>
      <c r="J122" s="126"/>
      <c r="K122" s="18"/>
      <c r="L122" s="18"/>
      <c r="M122" s="211">
        <v>2800</v>
      </c>
      <c r="N122" s="215">
        <v>1</v>
      </c>
      <c r="O122" s="126"/>
      <c r="P122" s="126"/>
      <c r="Q122" s="126">
        <f>Mar!AU293</f>
        <v>2</v>
      </c>
      <c r="R122" s="436"/>
      <c r="S122" s="436"/>
      <c r="T122" s="18"/>
      <c r="U122" s="18"/>
      <c r="V122" s="127">
        <f t="shared" ref="V122:V127" si="2">O122-T122-U122+V98</f>
        <v>500</v>
      </c>
      <c r="W122" s="45"/>
      <c r="X122" s="67"/>
    </row>
    <row r="123" spans="1:25" ht="14.25" customHeight="1">
      <c r="A123" s="427"/>
      <c r="B123" s="122" t="s">
        <v>122</v>
      </c>
      <c r="C123" s="180" t="s">
        <v>123</v>
      </c>
      <c r="D123" s="48" t="s">
        <v>56</v>
      </c>
      <c r="E123" s="441"/>
      <c r="F123" s="155" t="s">
        <v>64</v>
      </c>
      <c r="G123" s="224"/>
      <c r="H123" s="135"/>
      <c r="I123" s="158"/>
      <c r="J123" s="158"/>
      <c r="K123" s="128"/>
      <c r="L123" s="128"/>
      <c r="M123" s="252">
        <v>6400</v>
      </c>
      <c r="N123" s="253">
        <v>2</v>
      </c>
      <c r="O123" s="158"/>
      <c r="P123" s="158"/>
      <c r="Q123" s="158">
        <f>Mar!AU282</f>
        <v>4</v>
      </c>
      <c r="R123" s="436"/>
      <c r="S123" s="436"/>
      <c r="T123" s="18"/>
      <c r="U123" s="18"/>
      <c r="V123" s="127">
        <f t="shared" si="2"/>
        <v>31304</v>
      </c>
      <c r="W123" s="45"/>
      <c r="X123" s="67"/>
    </row>
    <row r="124" spans="1:25" ht="15.75" customHeight="1">
      <c r="A124" s="427"/>
      <c r="B124" s="137" t="s">
        <v>58</v>
      </c>
      <c r="C124" s="157" t="s">
        <v>243</v>
      </c>
      <c r="D124" s="48" t="s">
        <v>56</v>
      </c>
      <c r="E124" s="441"/>
      <c r="F124" s="118" t="s">
        <v>64</v>
      </c>
      <c r="G124" s="226"/>
      <c r="H124" s="126"/>
      <c r="I124" s="126"/>
      <c r="J124" s="2"/>
      <c r="K124" s="18"/>
      <c r="L124" s="18"/>
      <c r="M124" s="211"/>
      <c r="N124" s="211"/>
      <c r="O124" s="126"/>
      <c r="P124" s="126"/>
      <c r="Q124" s="126">
        <f>Mar!AU283</f>
        <v>1</v>
      </c>
      <c r="R124" s="436"/>
      <c r="S124" s="436"/>
      <c r="T124" s="18"/>
      <c r="U124" s="18"/>
      <c r="V124" s="127">
        <f t="shared" si="2"/>
        <v>8562</v>
      </c>
      <c r="W124" s="45"/>
      <c r="X124" s="67"/>
    </row>
    <row r="125" spans="1:25" ht="15" customHeight="1">
      <c r="A125" s="427"/>
      <c r="B125" s="122" t="s">
        <v>61</v>
      </c>
      <c r="C125" s="180" t="s">
        <v>137</v>
      </c>
      <c r="D125" s="48" t="s">
        <v>56</v>
      </c>
      <c r="E125" s="441"/>
      <c r="F125" s="118" t="s">
        <v>67</v>
      </c>
      <c r="G125" s="119"/>
      <c r="H125" s="126"/>
      <c r="I125" s="126"/>
      <c r="J125" s="2"/>
      <c r="K125" s="18"/>
      <c r="L125" s="18"/>
      <c r="M125" s="211"/>
      <c r="N125" s="211"/>
      <c r="O125" s="126"/>
      <c r="P125" s="126"/>
      <c r="Q125" s="126">
        <f>Mar!AU284</f>
        <v>2</v>
      </c>
      <c r="R125" s="436"/>
      <c r="S125" s="436"/>
      <c r="T125" s="18"/>
      <c r="U125" s="18"/>
      <c r="V125" s="127">
        <f t="shared" si="2"/>
        <v>5844</v>
      </c>
      <c r="W125" s="45"/>
      <c r="X125" s="67"/>
    </row>
    <row r="126" spans="1:25" ht="14.25" customHeight="1">
      <c r="A126" s="427"/>
      <c r="B126" s="122" t="s">
        <v>125</v>
      </c>
      <c r="C126" s="180" t="s">
        <v>88</v>
      </c>
      <c r="D126" s="48" t="s">
        <v>124</v>
      </c>
      <c r="E126" s="441"/>
      <c r="F126" s="118" t="s">
        <v>64</v>
      </c>
      <c r="G126" s="225"/>
      <c r="H126" s="126"/>
      <c r="I126" s="126"/>
      <c r="J126" s="126"/>
      <c r="K126" s="18">
        <v>7400</v>
      </c>
      <c r="L126" s="18">
        <v>1</v>
      </c>
      <c r="M126" s="211">
        <v>51200</v>
      </c>
      <c r="N126" s="215">
        <v>7</v>
      </c>
      <c r="O126" s="126">
        <f>Mar!AV279</f>
        <v>2009</v>
      </c>
      <c r="P126" s="126">
        <f>Mar!AW279</f>
        <v>2100</v>
      </c>
      <c r="Q126" s="126">
        <f>Mar!AU279</f>
        <v>10</v>
      </c>
      <c r="R126" s="436"/>
      <c r="S126" s="436"/>
      <c r="T126" s="18"/>
      <c r="U126" s="18"/>
      <c r="V126" s="127">
        <f t="shared" si="2"/>
        <v>32275</v>
      </c>
      <c r="W126" s="45"/>
      <c r="X126" s="67"/>
    </row>
    <row r="127" spans="1:25" ht="15" customHeight="1">
      <c r="A127" s="427"/>
      <c r="B127" s="137" t="s">
        <v>47</v>
      </c>
      <c r="C127" s="157" t="s">
        <v>100</v>
      </c>
      <c r="D127" s="48" t="s">
        <v>99</v>
      </c>
      <c r="E127" s="441"/>
      <c r="F127" s="118" t="s">
        <v>71</v>
      </c>
      <c r="G127" s="226"/>
      <c r="H127" s="126"/>
      <c r="I127" s="126"/>
      <c r="J127" s="2"/>
      <c r="K127" s="18">
        <v>6000</v>
      </c>
      <c r="L127" s="18">
        <v>1</v>
      </c>
      <c r="M127" s="211">
        <v>24000</v>
      </c>
      <c r="N127" s="211">
        <v>4</v>
      </c>
      <c r="O127" s="126">
        <f>Mar!AV280</f>
        <v>1328</v>
      </c>
      <c r="P127" s="126">
        <f>Mar!AW280</f>
        <v>1328</v>
      </c>
      <c r="Q127" s="126">
        <f>Mar!AU280</f>
        <v>6</v>
      </c>
      <c r="R127" s="436"/>
      <c r="S127" s="436"/>
      <c r="T127" s="18"/>
      <c r="U127" s="18"/>
      <c r="V127" s="127">
        <f t="shared" si="2"/>
        <v>70098</v>
      </c>
      <c r="W127" s="45"/>
      <c r="X127" s="67"/>
    </row>
    <row r="128" spans="1:25" ht="15" customHeight="1">
      <c r="A128" s="427"/>
      <c r="B128" s="122" t="s">
        <v>196</v>
      </c>
      <c r="C128" s="180" t="s">
        <v>63</v>
      </c>
      <c r="D128" s="48" t="s">
        <v>135</v>
      </c>
      <c r="E128" s="441"/>
      <c r="F128" s="118" t="s">
        <v>64</v>
      </c>
      <c r="G128" s="226"/>
      <c r="H128" s="126"/>
      <c r="I128" s="126"/>
      <c r="J128" s="2"/>
      <c r="K128" s="18"/>
      <c r="L128" s="18"/>
      <c r="M128" s="211">
        <v>41500</v>
      </c>
      <c r="N128" s="211">
        <v>5</v>
      </c>
      <c r="O128" s="126">
        <f>Mar!AV281</f>
        <v>440</v>
      </c>
      <c r="P128" s="126">
        <f>Mar!AW281</f>
        <v>1292</v>
      </c>
      <c r="Q128" s="126">
        <f>Mar!AU281</f>
        <v>5</v>
      </c>
      <c r="R128" s="436"/>
      <c r="S128" s="436"/>
      <c r="T128" s="18"/>
      <c r="U128" s="18"/>
      <c r="V128" s="127">
        <f>O128-T128-U128+V105</f>
        <v>23934</v>
      </c>
      <c r="W128" s="45"/>
      <c r="X128" s="67"/>
    </row>
    <row r="129" spans="1:25" ht="15" customHeight="1">
      <c r="A129" s="427"/>
      <c r="B129" s="122" t="s">
        <v>253</v>
      </c>
      <c r="C129" s="180" t="s">
        <v>252</v>
      </c>
      <c r="D129" s="48" t="s">
        <v>246</v>
      </c>
      <c r="E129" s="441"/>
      <c r="F129" s="118" t="s">
        <v>247</v>
      </c>
      <c r="G129" s="226"/>
      <c r="H129" s="126"/>
      <c r="I129" s="126"/>
      <c r="J129" s="2"/>
      <c r="K129" s="18"/>
      <c r="L129" s="18"/>
      <c r="M129" s="211"/>
      <c r="N129" s="211"/>
      <c r="O129" s="126"/>
      <c r="P129" s="126">
        <f>Mar!AW285</f>
        <v>201</v>
      </c>
      <c r="Q129" s="126">
        <f>Mar!AU285</f>
        <v>1</v>
      </c>
      <c r="R129" s="436"/>
      <c r="S129" s="436"/>
      <c r="T129" s="18"/>
      <c r="U129" s="18"/>
      <c r="V129" s="127"/>
      <c r="W129" s="45"/>
      <c r="X129" s="67"/>
    </row>
    <row r="130" spans="1:25" ht="15" customHeight="1">
      <c r="A130" s="427"/>
      <c r="B130" s="137" t="s">
        <v>249</v>
      </c>
      <c r="C130" s="157" t="s">
        <v>250</v>
      </c>
      <c r="D130" s="48" t="s">
        <v>251</v>
      </c>
      <c r="E130" s="441"/>
      <c r="F130" s="118" t="s">
        <v>64</v>
      </c>
      <c r="G130" s="226"/>
      <c r="H130" s="126"/>
      <c r="I130" s="126"/>
      <c r="J130" s="2"/>
      <c r="K130" s="18">
        <v>900</v>
      </c>
      <c r="L130" s="18">
        <v>1</v>
      </c>
      <c r="M130" s="211"/>
      <c r="N130" s="211"/>
      <c r="O130" s="126"/>
      <c r="P130" s="126">
        <f>Mar!AW286</f>
        <v>361</v>
      </c>
      <c r="Q130" s="126">
        <f>Mar!AU286</f>
        <v>1</v>
      </c>
      <c r="R130" s="436"/>
      <c r="S130" s="436"/>
      <c r="T130" s="18"/>
      <c r="U130" s="18"/>
      <c r="V130" s="127"/>
      <c r="W130" s="45"/>
      <c r="X130" s="67"/>
    </row>
    <row r="131" spans="1:25" ht="15" customHeight="1">
      <c r="A131" s="427"/>
      <c r="B131" s="122" t="s">
        <v>131</v>
      </c>
      <c r="C131" s="180" t="s">
        <v>194</v>
      </c>
      <c r="D131" s="48" t="s">
        <v>132</v>
      </c>
      <c r="E131" s="441"/>
      <c r="F131" s="118" t="s">
        <v>64</v>
      </c>
      <c r="G131" s="119"/>
      <c r="H131" s="126"/>
      <c r="I131" s="126"/>
      <c r="J131" s="2"/>
      <c r="K131" s="18"/>
      <c r="L131" s="18"/>
      <c r="M131" s="211"/>
      <c r="N131" s="211"/>
      <c r="O131" s="126"/>
      <c r="P131" s="126"/>
      <c r="Q131" s="126">
        <f>Mar!AU287</f>
        <v>1</v>
      </c>
      <c r="R131" s="436"/>
      <c r="S131" s="436"/>
      <c r="T131" s="18"/>
      <c r="U131" s="18"/>
      <c r="V131" s="18"/>
      <c r="W131" s="45"/>
      <c r="X131" s="67"/>
    </row>
    <row r="132" spans="1:25" ht="15" customHeight="1">
      <c r="A132" s="427"/>
      <c r="B132" s="122" t="s">
        <v>101</v>
      </c>
      <c r="C132" s="180" t="s">
        <v>193</v>
      </c>
      <c r="D132" s="48" t="s">
        <v>102</v>
      </c>
      <c r="E132" s="441"/>
      <c r="F132" s="118" t="s">
        <v>64</v>
      </c>
      <c r="G132" s="119"/>
      <c r="H132" s="126"/>
      <c r="I132" s="126"/>
      <c r="J132" s="2"/>
      <c r="K132" s="18"/>
      <c r="L132" s="18"/>
      <c r="M132" s="211"/>
      <c r="N132" s="211"/>
      <c r="O132" s="126"/>
      <c r="P132" s="126"/>
      <c r="Q132" s="126">
        <f>Mar!AU288</f>
        <v>1</v>
      </c>
      <c r="R132" s="436"/>
      <c r="S132" s="436"/>
      <c r="T132" s="18"/>
      <c r="U132" s="18"/>
      <c r="V132" s="18"/>
      <c r="W132" s="45"/>
      <c r="X132" s="67"/>
    </row>
    <row r="133" spans="1:25" ht="15" customHeight="1">
      <c r="A133" s="427"/>
      <c r="B133" s="122" t="s">
        <v>103</v>
      </c>
      <c r="C133" s="157" t="s">
        <v>197</v>
      </c>
      <c r="D133" s="48" t="s">
        <v>104</v>
      </c>
      <c r="E133" s="441"/>
      <c r="F133" s="118" t="s">
        <v>105</v>
      </c>
      <c r="G133" s="119"/>
      <c r="H133" s="126"/>
      <c r="I133" s="126"/>
      <c r="J133" s="2"/>
      <c r="K133" s="18"/>
      <c r="L133" s="18"/>
      <c r="M133" s="211"/>
      <c r="N133" s="211"/>
      <c r="O133" s="126"/>
      <c r="P133" s="126"/>
      <c r="Q133" s="126">
        <f>Mar!AU289</f>
        <v>1</v>
      </c>
      <c r="R133" s="436"/>
      <c r="S133" s="436"/>
      <c r="T133" s="18"/>
      <c r="U133" s="18"/>
      <c r="V133" s="18"/>
      <c r="W133" s="45"/>
      <c r="X133" s="67"/>
    </row>
    <row r="134" spans="1:25" ht="15" customHeight="1">
      <c r="A134" s="427"/>
      <c r="B134" s="137" t="s">
        <v>112</v>
      </c>
      <c r="C134" s="157" t="s">
        <v>197</v>
      </c>
      <c r="D134" s="48" t="s">
        <v>104</v>
      </c>
      <c r="E134" s="441"/>
      <c r="F134" s="118" t="s">
        <v>113</v>
      </c>
      <c r="G134" s="119"/>
      <c r="H134" s="126"/>
      <c r="I134" s="126"/>
      <c r="J134" s="2"/>
      <c r="K134" s="18"/>
      <c r="L134" s="18"/>
      <c r="M134" s="211"/>
      <c r="N134" s="211"/>
      <c r="O134" s="126"/>
      <c r="P134" s="126"/>
      <c r="Q134" s="126">
        <f>Mar!AU292</f>
        <v>1</v>
      </c>
      <c r="R134" s="436"/>
      <c r="S134" s="436"/>
      <c r="T134" s="18"/>
      <c r="U134" s="18"/>
      <c r="V134" s="18"/>
      <c r="W134" s="45"/>
      <c r="X134" s="67"/>
    </row>
    <row r="135" spans="1:25" ht="15" customHeight="1">
      <c r="A135" s="427"/>
      <c r="B135" s="137" t="s">
        <v>106</v>
      </c>
      <c r="C135" s="157" t="s">
        <v>141</v>
      </c>
      <c r="D135" s="48" t="s">
        <v>68</v>
      </c>
      <c r="E135" s="441"/>
      <c r="F135" s="118" t="s">
        <v>67</v>
      </c>
      <c r="G135" s="119"/>
      <c r="H135" s="126"/>
      <c r="I135" s="126"/>
      <c r="J135" s="2"/>
      <c r="K135" s="18"/>
      <c r="L135" s="18"/>
      <c r="M135" s="211"/>
      <c r="N135" s="211"/>
      <c r="O135" s="126"/>
      <c r="P135" s="126"/>
      <c r="Q135" s="126">
        <f>Mar!AU290</f>
        <v>1</v>
      </c>
      <c r="R135" s="436"/>
      <c r="S135" s="436"/>
      <c r="T135" s="18">
        <v>500</v>
      </c>
      <c r="U135" s="18"/>
      <c r="V135" s="18">
        <f>O135-T135-U135+V113</f>
        <v>0</v>
      </c>
      <c r="W135" s="45"/>
      <c r="X135" s="67"/>
    </row>
    <row r="136" spans="1:25" ht="15" customHeight="1" thickBot="1">
      <c r="A136" s="428"/>
      <c r="B136" s="44" t="s">
        <v>107</v>
      </c>
      <c r="C136" s="181" t="s">
        <v>195</v>
      </c>
      <c r="D136" s="61" t="s">
        <v>108</v>
      </c>
      <c r="E136" s="447"/>
      <c r="F136" s="133" t="s">
        <v>48</v>
      </c>
      <c r="G136" s="132"/>
      <c r="H136" s="109"/>
      <c r="I136" s="134"/>
      <c r="J136" s="129"/>
      <c r="K136" s="130"/>
      <c r="L136" s="130"/>
      <c r="M136" s="130"/>
      <c r="N136" s="130"/>
      <c r="O136" s="134"/>
      <c r="P136" s="134"/>
      <c r="Q136" s="134">
        <f>Mar!AU291</f>
        <v>1</v>
      </c>
      <c r="R136" s="437"/>
      <c r="S136" s="437"/>
      <c r="T136" s="130"/>
      <c r="U136" s="130"/>
      <c r="V136" s="128"/>
      <c r="W136" s="85"/>
      <c r="X136" s="67"/>
    </row>
    <row r="137" spans="1:25" ht="15" customHeight="1">
      <c r="A137" s="426">
        <v>46090</v>
      </c>
      <c r="B137" s="429" t="s">
        <v>44</v>
      </c>
      <c r="C137" s="432" t="s">
        <v>240</v>
      </c>
      <c r="D137" s="19" t="s">
        <v>37</v>
      </c>
      <c r="E137" s="19" t="s">
        <v>25</v>
      </c>
      <c r="F137" s="39" t="s">
        <v>40</v>
      </c>
      <c r="G137" s="41"/>
      <c r="H137" s="32"/>
      <c r="I137" s="32"/>
      <c r="J137" s="32"/>
      <c r="K137" s="20"/>
      <c r="L137" s="20"/>
      <c r="M137" s="20">
        <v>40000</v>
      </c>
      <c r="N137" s="84">
        <v>5</v>
      </c>
      <c r="O137" s="32">
        <f>Mar!BB273</f>
        <v>17973</v>
      </c>
      <c r="P137" s="32">
        <f>Mar!BC273</f>
        <v>25464</v>
      </c>
      <c r="Q137" s="32">
        <f>Mar!BA273</f>
        <v>70</v>
      </c>
      <c r="R137" s="435">
        <f>Mar!BB294</f>
        <v>91283</v>
      </c>
      <c r="S137" s="435">
        <f>Mar!BC294</f>
        <v>69816</v>
      </c>
      <c r="T137" s="20">
        <v>25799</v>
      </c>
      <c r="U137" s="20"/>
      <c r="V137" s="20">
        <f t="shared" ref="V137:V142" si="3">O137-T137-U137+V115</f>
        <v>42511</v>
      </c>
      <c r="W137" s="77"/>
      <c r="X137" s="36"/>
    </row>
    <row r="138" spans="1:25" ht="15" customHeight="1">
      <c r="A138" s="427"/>
      <c r="B138" s="431"/>
      <c r="C138" s="434"/>
      <c r="D138" s="113" t="s">
        <v>128</v>
      </c>
      <c r="E138" s="113" t="s">
        <v>24</v>
      </c>
      <c r="F138" s="114" t="s">
        <v>40</v>
      </c>
      <c r="G138" s="170"/>
      <c r="H138" s="135">
        <v>2679.9</v>
      </c>
      <c r="I138" s="125"/>
      <c r="J138" s="125"/>
      <c r="K138" s="18">
        <v>32000</v>
      </c>
      <c r="L138" s="127">
        <v>4</v>
      </c>
      <c r="M138" s="216">
        <v>72000</v>
      </c>
      <c r="N138" s="238">
        <v>9</v>
      </c>
      <c r="O138" s="126">
        <f>Mar!BB274</f>
        <v>32521</v>
      </c>
      <c r="P138" s="125">
        <f>Mar!BC274</f>
        <v>18192</v>
      </c>
      <c r="Q138" s="125">
        <f>Mar!BA274</f>
        <v>51</v>
      </c>
      <c r="R138" s="436"/>
      <c r="S138" s="436"/>
      <c r="T138" s="127">
        <v>6553</v>
      </c>
      <c r="U138" s="127"/>
      <c r="V138" s="127">
        <f t="shared" si="3"/>
        <v>42841</v>
      </c>
      <c r="W138" s="46"/>
      <c r="X138" s="67"/>
    </row>
    <row r="139" spans="1:25" ht="15" customHeight="1">
      <c r="A139" s="427"/>
      <c r="B139" s="442" t="s">
        <v>45</v>
      </c>
      <c r="C139" s="448" t="s">
        <v>59</v>
      </c>
      <c r="D139" s="118" t="s">
        <v>75</v>
      </c>
      <c r="E139" s="131" t="s">
        <v>25</v>
      </c>
      <c r="F139" s="131" t="s">
        <v>57</v>
      </c>
      <c r="G139" s="87"/>
      <c r="H139" s="136"/>
      <c r="I139" s="126"/>
      <c r="J139" s="2"/>
      <c r="K139" s="127"/>
      <c r="L139" s="18"/>
      <c r="M139" s="18">
        <v>45000</v>
      </c>
      <c r="N139" s="80">
        <v>9</v>
      </c>
      <c r="O139" s="126">
        <f>Mar!BB276</f>
        <v>4137</v>
      </c>
      <c r="P139" s="126">
        <f>Mar!BC276</f>
        <v>2963</v>
      </c>
      <c r="Q139" s="2">
        <f>Mar!BA276</f>
        <v>12</v>
      </c>
      <c r="R139" s="436"/>
      <c r="S139" s="436"/>
      <c r="T139" s="18"/>
      <c r="U139" s="18"/>
      <c r="V139" s="127">
        <f t="shared" si="3"/>
        <v>108886</v>
      </c>
      <c r="W139" s="46"/>
      <c r="Y139" s="13"/>
    </row>
    <row r="140" spans="1:25">
      <c r="A140" s="427"/>
      <c r="B140" s="439"/>
      <c r="C140" s="440"/>
      <c r="D140" s="118" t="s">
        <v>72</v>
      </c>
      <c r="E140" s="155" t="s">
        <v>24</v>
      </c>
      <c r="F140" s="131" t="s">
        <v>57</v>
      </c>
      <c r="G140" s="136">
        <v>3882.5</v>
      </c>
      <c r="H140" s="136"/>
      <c r="I140" s="126"/>
      <c r="J140" s="126"/>
      <c r="K140" s="127">
        <v>5000</v>
      </c>
      <c r="L140" s="18">
        <v>1</v>
      </c>
      <c r="M140" s="211">
        <v>100000</v>
      </c>
      <c r="N140" s="215">
        <v>20</v>
      </c>
      <c r="O140" s="34">
        <f>Mar!BB277</f>
        <v>6650</v>
      </c>
      <c r="P140" s="126">
        <f>Mar!BC277</f>
        <v>5048</v>
      </c>
      <c r="Q140" s="2">
        <f>Mar!BA277</f>
        <v>22</v>
      </c>
      <c r="R140" s="436"/>
      <c r="S140" s="436"/>
      <c r="T140" s="18">
        <v>17778</v>
      </c>
      <c r="U140" s="18">
        <v>91</v>
      </c>
      <c r="V140" s="127">
        <f t="shared" si="3"/>
        <v>6156</v>
      </c>
      <c r="W140" s="46"/>
      <c r="Y140" s="13"/>
    </row>
    <row r="141" spans="1:25">
      <c r="A141" s="427"/>
      <c r="B141" s="439"/>
      <c r="C141" s="440"/>
      <c r="D141" s="115" t="s">
        <v>79</v>
      </c>
      <c r="E141" s="118" t="s">
        <v>65</v>
      </c>
      <c r="F141" s="131" t="s">
        <v>57</v>
      </c>
      <c r="G141" s="224"/>
      <c r="H141" s="152"/>
      <c r="I141" s="126"/>
      <c r="J141" s="126"/>
      <c r="K141" s="127"/>
      <c r="L141" s="18"/>
      <c r="M141" s="18"/>
      <c r="N141" s="80"/>
      <c r="O141" s="126">
        <f>Mar!BB278</f>
        <v>6352</v>
      </c>
      <c r="P141" s="126">
        <f>Mar!BC278</f>
        <v>3723</v>
      </c>
      <c r="Q141" s="126">
        <f>Mar!BA278</f>
        <v>15</v>
      </c>
      <c r="R141" s="436"/>
      <c r="S141" s="436"/>
      <c r="T141" s="18">
        <v>5098</v>
      </c>
      <c r="U141" s="18"/>
      <c r="V141" s="127">
        <f t="shared" si="3"/>
        <v>2405</v>
      </c>
      <c r="W141" s="46"/>
      <c r="Y141" s="13"/>
    </row>
    <row r="142" spans="1:25" ht="14.25" customHeight="1">
      <c r="A142" s="427"/>
      <c r="B142" s="442" t="s">
        <v>53</v>
      </c>
      <c r="C142" s="444" t="s">
        <v>60</v>
      </c>
      <c r="D142" s="43" t="s">
        <v>130</v>
      </c>
      <c r="E142" s="115" t="s">
        <v>66</v>
      </c>
      <c r="F142" s="118" t="s">
        <v>54</v>
      </c>
      <c r="G142" s="224"/>
      <c r="H142" s="37"/>
      <c r="I142" s="126"/>
      <c r="J142" s="126"/>
      <c r="K142" s="18"/>
      <c r="L142" s="18"/>
      <c r="M142" s="18">
        <v>113400</v>
      </c>
      <c r="N142" s="80">
        <v>20</v>
      </c>
      <c r="O142" s="126">
        <f>Mar!BB275</f>
        <v>9102</v>
      </c>
      <c r="P142" s="126">
        <f>Mar!BC275</f>
        <v>9160</v>
      </c>
      <c r="Q142" s="126">
        <f>Mar!BA275</f>
        <v>26</v>
      </c>
      <c r="R142" s="436"/>
      <c r="S142" s="436"/>
      <c r="T142" s="18">
        <v>14532</v>
      </c>
      <c r="U142" s="18"/>
      <c r="V142" s="127">
        <f t="shared" si="3"/>
        <v>6005</v>
      </c>
      <c r="W142" s="45"/>
      <c r="X142" s="36"/>
    </row>
    <row r="143" spans="1:25" ht="14.25" customHeight="1">
      <c r="A143" s="427"/>
      <c r="B143" s="443"/>
      <c r="C143" s="446"/>
      <c r="D143" s="43" t="s">
        <v>199</v>
      </c>
      <c r="E143" s="114" t="s">
        <v>25</v>
      </c>
      <c r="F143" s="118"/>
      <c r="G143" s="224"/>
      <c r="H143" s="126">
        <v>1836</v>
      </c>
      <c r="I143" s="126"/>
      <c r="J143" s="126"/>
      <c r="K143" s="18"/>
      <c r="L143" s="18"/>
      <c r="M143" s="18"/>
      <c r="N143" s="80"/>
      <c r="O143" s="126"/>
      <c r="P143" s="126"/>
      <c r="Q143" s="126"/>
      <c r="R143" s="436"/>
      <c r="S143" s="436"/>
      <c r="T143" s="18"/>
      <c r="U143" s="18"/>
      <c r="V143" s="127"/>
      <c r="W143" s="45"/>
      <c r="X143" s="67"/>
    </row>
    <row r="144" spans="1:25" ht="14.25" customHeight="1">
      <c r="A144" s="427"/>
      <c r="B144" s="122" t="s">
        <v>55</v>
      </c>
      <c r="C144" s="180" t="s">
        <v>133</v>
      </c>
      <c r="D144" s="48" t="s">
        <v>56</v>
      </c>
      <c r="E144" s="424" t="s">
        <v>25</v>
      </c>
      <c r="F144" s="118" t="s">
        <v>67</v>
      </c>
      <c r="G144" s="224"/>
      <c r="H144" s="37"/>
      <c r="I144" s="126"/>
      <c r="J144" s="126"/>
      <c r="K144" s="18"/>
      <c r="L144" s="18"/>
      <c r="M144" s="18">
        <v>2800</v>
      </c>
      <c r="N144" s="80">
        <v>1</v>
      </c>
      <c r="O144" s="126"/>
      <c r="P144" s="126"/>
      <c r="Q144" s="126">
        <f>Mar!BA293</f>
        <v>2</v>
      </c>
      <c r="R144" s="436"/>
      <c r="S144" s="436"/>
      <c r="T144" s="18"/>
      <c r="U144" s="18"/>
      <c r="V144" s="127">
        <f t="shared" ref="V144:V150" si="4">O144-T144-U144+V122</f>
        <v>500</v>
      </c>
      <c r="W144" s="45"/>
      <c r="X144" s="67"/>
    </row>
    <row r="145" spans="1:24" ht="14.25" customHeight="1">
      <c r="A145" s="427"/>
      <c r="B145" s="122" t="s">
        <v>122</v>
      </c>
      <c r="C145" s="180" t="s">
        <v>123</v>
      </c>
      <c r="D145" s="48" t="s">
        <v>56</v>
      </c>
      <c r="E145" s="441"/>
      <c r="F145" s="155" t="s">
        <v>64</v>
      </c>
      <c r="G145" s="224"/>
      <c r="H145" s="135"/>
      <c r="I145" s="158"/>
      <c r="J145" s="158"/>
      <c r="K145" s="128"/>
      <c r="L145" s="128"/>
      <c r="M145" s="128">
        <v>6400</v>
      </c>
      <c r="N145" s="164">
        <v>2</v>
      </c>
      <c r="O145" s="158"/>
      <c r="P145" s="158"/>
      <c r="Q145" s="158">
        <f>Mar!BA282</f>
        <v>4</v>
      </c>
      <c r="R145" s="436"/>
      <c r="S145" s="436"/>
      <c r="T145" s="18"/>
      <c r="U145" s="18"/>
      <c r="V145" s="127">
        <f t="shared" si="4"/>
        <v>31304</v>
      </c>
      <c r="W145" s="45"/>
      <c r="X145" s="67"/>
    </row>
    <row r="146" spans="1:24" ht="15.75" customHeight="1">
      <c r="A146" s="427"/>
      <c r="B146" s="137" t="s">
        <v>58</v>
      </c>
      <c r="C146" s="157" t="s">
        <v>243</v>
      </c>
      <c r="D146" s="48" t="s">
        <v>56</v>
      </c>
      <c r="E146" s="441"/>
      <c r="F146" s="118" t="s">
        <v>64</v>
      </c>
      <c r="G146" s="226"/>
      <c r="H146" s="126"/>
      <c r="I146" s="126"/>
      <c r="J146" s="2"/>
      <c r="K146" s="18"/>
      <c r="L146" s="18"/>
      <c r="M146" s="18"/>
      <c r="N146" s="18"/>
      <c r="O146" s="126"/>
      <c r="P146" s="126"/>
      <c r="Q146" s="126">
        <f>Mar!BA283</f>
        <v>1</v>
      </c>
      <c r="R146" s="436"/>
      <c r="S146" s="436"/>
      <c r="T146" s="18"/>
      <c r="U146" s="18"/>
      <c r="V146" s="127">
        <f t="shared" si="4"/>
        <v>8562</v>
      </c>
      <c r="W146" s="45"/>
      <c r="X146" s="67"/>
    </row>
    <row r="147" spans="1:24" ht="15" customHeight="1">
      <c r="A147" s="427"/>
      <c r="B147" s="122" t="s">
        <v>61</v>
      </c>
      <c r="C147" s="180" t="s">
        <v>137</v>
      </c>
      <c r="D147" s="48" t="s">
        <v>56</v>
      </c>
      <c r="E147" s="441"/>
      <c r="F147" s="118" t="s">
        <v>67</v>
      </c>
      <c r="G147" s="119"/>
      <c r="H147" s="126"/>
      <c r="I147" s="126"/>
      <c r="J147" s="2"/>
      <c r="K147" s="18"/>
      <c r="L147" s="18"/>
      <c r="M147" s="18"/>
      <c r="N147" s="18"/>
      <c r="O147" s="126"/>
      <c r="P147" s="126"/>
      <c r="Q147" s="126">
        <f>Mar!BA284</f>
        <v>2</v>
      </c>
      <c r="R147" s="436"/>
      <c r="S147" s="436"/>
      <c r="T147" s="18"/>
      <c r="U147" s="18"/>
      <c r="V147" s="127">
        <f t="shared" si="4"/>
        <v>5844</v>
      </c>
      <c r="W147" s="45"/>
      <c r="X147" s="67"/>
    </row>
    <row r="148" spans="1:24" ht="14.25" customHeight="1">
      <c r="A148" s="427"/>
      <c r="B148" s="122" t="s">
        <v>125</v>
      </c>
      <c r="C148" s="180" t="s">
        <v>88</v>
      </c>
      <c r="D148" s="48" t="s">
        <v>124</v>
      </c>
      <c r="E148" s="441"/>
      <c r="F148" s="118" t="s">
        <v>64</v>
      </c>
      <c r="G148" s="225"/>
      <c r="H148" s="126">
        <v>576</v>
      </c>
      <c r="I148" s="126"/>
      <c r="J148" s="126"/>
      <c r="K148" s="18"/>
      <c r="L148" s="18"/>
      <c r="M148" s="18">
        <v>51200</v>
      </c>
      <c r="N148" s="80">
        <v>7</v>
      </c>
      <c r="O148" s="126">
        <f>Mar!BB279</f>
        <v>9443</v>
      </c>
      <c r="P148" s="126">
        <f>Mar!BC279</f>
        <v>1824</v>
      </c>
      <c r="Q148" s="126">
        <f>Mar!BA279</f>
        <v>8</v>
      </c>
      <c r="R148" s="436"/>
      <c r="S148" s="436"/>
      <c r="T148" s="18"/>
      <c r="U148" s="18"/>
      <c r="V148" s="127">
        <f t="shared" si="4"/>
        <v>41718</v>
      </c>
      <c r="W148" s="45"/>
      <c r="X148" s="67"/>
    </row>
    <row r="149" spans="1:24" ht="15" customHeight="1">
      <c r="A149" s="427"/>
      <c r="B149" s="137" t="s">
        <v>47</v>
      </c>
      <c r="C149" s="157" t="s">
        <v>100</v>
      </c>
      <c r="D149" s="48" t="s">
        <v>99</v>
      </c>
      <c r="E149" s="441"/>
      <c r="F149" s="118" t="s">
        <v>71</v>
      </c>
      <c r="G149" s="226"/>
      <c r="H149" s="126"/>
      <c r="I149" s="126"/>
      <c r="J149" s="2"/>
      <c r="K149" s="18">
        <v>6000</v>
      </c>
      <c r="L149" s="18">
        <v>1</v>
      </c>
      <c r="M149" s="18">
        <v>18000</v>
      </c>
      <c r="N149" s="18">
        <v>3</v>
      </c>
      <c r="O149" s="126">
        <f>Mar!BB280</f>
        <v>1500</v>
      </c>
      <c r="P149" s="126">
        <f>Mar!BC280</f>
        <v>1572</v>
      </c>
      <c r="Q149" s="126">
        <f>Mar!BA280</f>
        <v>6</v>
      </c>
      <c r="R149" s="436"/>
      <c r="S149" s="436"/>
      <c r="T149" s="18"/>
      <c r="U149" s="18"/>
      <c r="V149" s="127">
        <f t="shared" si="4"/>
        <v>71598</v>
      </c>
      <c r="W149" s="45"/>
      <c r="X149" s="67"/>
    </row>
    <row r="150" spans="1:24" ht="15" customHeight="1">
      <c r="A150" s="427"/>
      <c r="B150" s="122" t="s">
        <v>196</v>
      </c>
      <c r="C150" s="180" t="s">
        <v>63</v>
      </c>
      <c r="D150" s="48" t="s">
        <v>135</v>
      </c>
      <c r="E150" s="441"/>
      <c r="F150" s="118" t="s">
        <v>64</v>
      </c>
      <c r="G150" s="226"/>
      <c r="H150" s="126"/>
      <c r="I150" s="126"/>
      <c r="J150" s="2"/>
      <c r="K150" s="18">
        <v>8300</v>
      </c>
      <c r="L150" s="18">
        <v>1</v>
      </c>
      <c r="M150" s="18">
        <v>33200</v>
      </c>
      <c r="N150" s="18">
        <v>4</v>
      </c>
      <c r="O150" s="126">
        <f>Mar!BB281</f>
        <v>3155</v>
      </c>
      <c r="P150" s="126">
        <f>Mar!BC281</f>
        <v>1206</v>
      </c>
      <c r="Q150" s="126">
        <f>Mar!BA281</f>
        <v>5</v>
      </c>
      <c r="R150" s="436"/>
      <c r="S150" s="436"/>
      <c r="T150" s="18"/>
      <c r="U150" s="18"/>
      <c r="V150" s="127">
        <f t="shared" si="4"/>
        <v>27089</v>
      </c>
      <c r="W150" s="45"/>
      <c r="X150" s="67"/>
    </row>
    <row r="151" spans="1:24" ht="15" customHeight="1">
      <c r="A151" s="427"/>
      <c r="B151" s="122" t="s">
        <v>253</v>
      </c>
      <c r="C151" s="180" t="s">
        <v>252</v>
      </c>
      <c r="D151" s="48" t="s">
        <v>246</v>
      </c>
      <c r="E151" s="441"/>
      <c r="F151" s="118" t="s">
        <v>247</v>
      </c>
      <c r="G151" s="226"/>
      <c r="H151" s="126"/>
      <c r="I151" s="126"/>
      <c r="J151" s="2"/>
      <c r="K151" s="18"/>
      <c r="L151" s="18"/>
      <c r="M151" s="18"/>
      <c r="N151" s="18"/>
      <c r="O151" s="126"/>
      <c r="P151" s="126">
        <f>Mar!BC285</f>
        <v>227</v>
      </c>
      <c r="Q151" s="126">
        <f>Mar!BA285</f>
        <v>1</v>
      </c>
      <c r="R151" s="436"/>
      <c r="S151" s="436"/>
      <c r="T151" s="18"/>
      <c r="U151" s="18"/>
      <c r="V151" s="127"/>
      <c r="W151" s="45"/>
      <c r="X151" s="67"/>
    </row>
    <row r="152" spans="1:24" ht="15" customHeight="1">
      <c r="A152" s="427"/>
      <c r="B152" s="442" t="s">
        <v>249</v>
      </c>
      <c r="C152" s="444" t="s">
        <v>250</v>
      </c>
      <c r="D152" s="48" t="s">
        <v>251</v>
      </c>
      <c r="E152" s="441"/>
      <c r="F152" s="118" t="s">
        <v>64</v>
      </c>
      <c r="G152" s="226"/>
      <c r="H152" s="126"/>
      <c r="I152" s="126"/>
      <c r="J152" s="2"/>
      <c r="K152" s="18"/>
      <c r="L152" s="18"/>
      <c r="M152" s="18"/>
      <c r="N152" s="18"/>
      <c r="O152" s="126">
        <f>Mar!BB286</f>
        <v>450</v>
      </c>
      <c r="P152" s="126">
        <f>Mar!BC286</f>
        <v>437</v>
      </c>
      <c r="Q152" s="126">
        <f>Mar!BA286</f>
        <v>1</v>
      </c>
      <c r="R152" s="436"/>
      <c r="S152" s="436"/>
      <c r="T152" s="18">
        <v>450</v>
      </c>
      <c r="U152" s="18"/>
      <c r="V152" s="127">
        <f>O152-T152-U152+V130</f>
        <v>0</v>
      </c>
      <c r="W152" s="45"/>
      <c r="X152" s="67"/>
    </row>
    <row r="153" spans="1:24" ht="15" customHeight="1">
      <c r="A153" s="427"/>
      <c r="B153" s="443"/>
      <c r="C153" s="446"/>
      <c r="D153" s="48" t="s">
        <v>248</v>
      </c>
      <c r="E153" s="441"/>
      <c r="F153" s="118"/>
      <c r="G153" s="226"/>
      <c r="H153" s="34">
        <v>18</v>
      </c>
      <c r="I153" s="126"/>
      <c r="J153" s="2"/>
      <c r="K153" s="18"/>
      <c r="L153" s="18"/>
      <c r="M153" s="18"/>
      <c r="N153" s="18"/>
      <c r="O153" s="126"/>
      <c r="P153" s="126"/>
      <c r="Q153" s="126"/>
      <c r="R153" s="436"/>
      <c r="S153" s="436"/>
      <c r="T153" s="18"/>
      <c r="U153" s="18"/>
      <c r="V153" s="127"/>
      <c r="W153" s="45"/>
      <c r="X153" s="67"/>
    </row>
    <row r="154" spans="1:24" ht="15" customHeight="1">
      <c r="A154" s="427"/>
      <c r="B154" s="122" t="s">
        <v>131</v>
      </c>
      <c r="C154" s="180" t="s">
        <v>194</v>
      </c>
      <c r="D154" s="48" t="s">
        <v>132</v>
      </c>
      <c r="E154" s="441"/>
      <c r="F154" s="118" t="s">
        <v>64</v>
      </c>
      <c r="G154" s="119"/>
      <c r="H154" s="126"/>
      <c r="I154" s="126"/>
      <c r="J154" s="2"/>
      <c r="K154" s="18"/>
      <c r="L154" s="18"/>
      <c r="M154" s="18"/>
      <c r="N154" s="18"/>
      <c r="O154" s="126"/>
      <c r="P154" s="126"/>
      <c r="Q154" s="126">
        <f>Mar!BA287</f>
        <v>1</v>
      </c>
      <c r="R154" s="436"/>
      <c r="S154" s="436"/>
      <c r="T154" s="18"/>
      <c r="U154" s="18"/>
      <c r="V154" s="18"/>
      <c r="W154" s="45"/>
      <c r="X154" s="67"/>
    </row>
    <row r="155" spans="1:24" ht="15" customHeight="1">
      <c r="A155" s="427"/>
      <c r="B155" s="122" t="s">
        <v>101</v>
      </c>
      <c r="C155" s="180" t="s">
        <v>193</v>
      </c>
      <c r="D155" s="48" t="s">
        <v>102</v>
      </c>
      <c r="E155" s="441"/>
      <c r="F155" s="118" t="s">
        <v>64</v>
      </c>
      <c r="G155" s="119"/>
      <c r="H155" s="126"/>
      <c r="I155" s="126"/>
      <c r="J155" s="2"/>
      <c r="K155" s="18"/>
      <c r="L155" s="18"/>
      <c r="M155" s="18"/>
      <c r="N155" s="18"/>
      <c r="O155" s="126"/>
      <c r="P155" s="126"/>
      <c r="Q155" s="126">
        <f>Mar!BA288</f>
        <v>1</v>
      </c>
      <c r="R155" s="436"/>
      <c r="S155" s="436"/>
      <c r="T155" s="18"/>
      <c r="U155" s="18"/>
      <c r="V155" s="18"/>
      <c r="W155" s="45"/>
      <c r="X155" s="67"/>
    </row>
    <row r="156" spans="1:24" ht="15" customHeight="1">
      <c r="A156" s="427"/>
      <c r="B156" s="122" t="s">
        <v>103</v>
      </c>
      <c r="C156" s="157" t="s">
        <v>197</v>
      </c>
      <c r="D156" s="48" t="s">
        <v>104</v>
      </c>
      <c r="E156" s="441"/>
      <c r="F156" s="118" t="s">
        <v>105</v>
      </c>
      <c r="G156" s="119"/>
      <c r="H156" s="126"/>
      <c r="I156" s="126"/>
      <c r="J156" s="2"/>
      <c r="K156" s="18"/>
      <c r="L156" s="18"/>
      <c r="M156" s="18"/>
      <c r="N156" s="18"/>
      <c r="O156" s="126"/>
      <c r="P156" s="126"/>
      <c r="Q156" s="126">
        <f>Mar!BA289</f>
        <v>1</v>
      </c>
      <c r="R156" s="436"/>
      <c r="S156" s="436"/>
      <c r="T156" s="18"/>
      <c r="U156" s="18"/>
      <c r="V156" s="18"/>
      <c r="W156" s="45"/>
      <c r="X156" s="67"/>
    </row>
    <row r="157" spans="1:24" ht="15" customHeight="1">
      <c r="A157" s="427"/>
      <c r="B157" s="137" t="s">
        <v>112</v>
      </c>
      <c r="C157" s="157" t="s">
        <v>197</v>
      </c>
      <c r="D157" s="48" t="s">
        <v>104</v>
      </c>
      <c r="E157" s="441"/>
      <c r="F157" s="118" t="s">
        <v>113</v>
      </c>
      <c r="G157" s="119"/>
      <c r="H157" s="126"/>
      <c r="I157" s="126"/>
      <c r="J157" s="2"/>
      <c r="K157" s="18"/>
      <c r="L157" s="18"/>
      <c r="M157" s="18"/>
      <c r="N157" s="18"/>
      <c r="O157" s="126"/>
      <c r="P157" s="126"/>
      <c r="Q157" s="126">
        <f>Mar!BA292</f>
        <v>1</v>
      </c>
      <c r="R157" s="436"/>
      <c r="S157" s="436"/>
      <c r="T157" s="18"/>
      <c r="U157" s="18"/>
      <c r="V157" s="18"/>
      <c r="W157" s="45"/>
      <c r="X157" s="67"/>
    </row>
    <row r="158" spans="1:24" ht="15" customHeight="1">
      <c r="A158" s="427"/>
      <c r="B158" s="137" t="s">
        <v>106</v>
      </c>
      <c r="C158" s="157" t="s">
        <v>141</v>
      </c>
      <c r="D158" s="48" t="s">
        <v>68</v>
      </c>
      <c r="E158" s="441"/>
      <c r="F158" s="118" t="s">
        <v>67</v>
      </c>
      <c r="G158" s="119"/>
      <c r="H158" s="126"/>
      <c r="I158" s="126"/>
      <c r="J158" s="2"/>
      <c r="K158" s="18"/>
      <c r="L158" s="18"/>
      <c r="M158" s="18"/>
      <c r="N158" s="18"/>
      <c r="O158" s="126"/>
      <c r="P158" s="126"/>
      <c r="Q158" s="126">
        <f>Mar!BA290</f>
        <v>1</v>
      </c>
      <c r="R158" s="436"/>
      <c r="S158" s="436"/>
      <c r="T158" s="18"/>
      <c r="U158" s="18"/>
      <c r="V158" s="18"/>
      <c r="W158" s="45"/>
      <c r="X158" s="67"/>
    </row>
    <row r="159" spans="1:24" ht="15" customHeight="1" thickBot="1">
      <c r="A159" s="428"/>
      <c r="B159" s="44" t="s">
        <v>107</v>
      </c>
      <c r="C159" s="181" t="s">
        <v>195</v>
      </c>
      <c r="D159" s="61" t="s">
        <v>108</v>
      </c>
      <c r="E159" s="447"/>
      <c r="F159" s="133" t="s">
        <v>48</v>
      </c>
      <c r="G159" s="132"/>
      <c r="H159" s="109"/>
      <c r="I159" s="134"/>
      <c r="J159" s="129"/>
      <c r="K159" s="130"/>
      <c r="L159" s="130"/>
      <c r="M159" s="130"/>
      <c r="N159" s="130"/>
      <c r="O159" s="134"/>
      <c r="P159" s="134"/>
      <c r="Q159" s="134">
        <f>Mar!BA291</f>
        <v>1</v>
      </c>
      <c r="R159" s="437"/>
      <c r="S159" s="437"/>
      <c r="T159" s="130"/>
      <c r="U159" s="130"/>
      <c r="V159" s="128"/>
      <c r="W159" s="85"/>
      <c r="X159" s="67"/>
    </row>
    <row r="160" spans="1:24" ht="15" customHeight="1">
      <c r="A160" s="426">
        <v>46091</v>
      </c>
      <c r="B160" s="429" t="s">
        <v>44</v>
      </c>
      <c r="C160" s="432" t="s">
        <v>240</v>
      </c>
      <c r="D160" s="19" t="s">
        <v>37</v>
      </c>
      <c r="E160" s="19" t="s">
        <v>25</v>
      </c>
      <c r="F160" s="39" t="s">
        <v>40</v>
      </c>
      <c r="G160" s="168">
        <v>5498.1</v>
      </c>
      <c r="H160" s="32">
        <v>5744</v>
      </c>
      <c r="I160" s="32"/>
      <c r="J160" s="32"/>
      <c r="K160" s="20">
        <v>16000</v>
      </c>
      <c r="L160" s="20">
        <v>2</v>
      </c>
      <c r="M160" s="20">
        <v>104000</v>
      </c>
      <c r="N160" s="84">
        <v>13</v>
      </c>
      <c r="O160" s="32">
        <f>Mar!BE273</f>
        <v>29231</v>
      </c>
      <c r="P160" s="32">
        <f>Mar!BF273</f>
        <v>24841</v>
      </c>
      <c r="Q160" s="32">
        <f>Mar!BD273</f>
        <v>70</v>
      </c>
      <c r="R160" s="435">
        <f>Mar!BE294</f>
        <v>55991</v>
      </c>
      <c r="S160" s="435">
        <f>Mar!BF294</f>
        <v>68061</v>
      </c>
      <c r="T160" s="20">
        <v>17335</v>
      </c>
      <c r="U160" s="20">
        <v>50</v>
      </c>
      <c r="V160" s="20">
        <f t="shared" ref="V160:V165" si="5">O160-T160-U160+V137</f>
        <v>54357</v>
      </c>
      <c r="W160" s="77"/>
      <c r="X160" s="36"/>
    </row>
    <row r="161" spans="1:25" ht="15" customHeight="1">
      <c r="A161" s="427"/>
      <c r="B161" s="431"/>
      <c r="C161" s="434"/>
      <c r="D161" s="113" t="s">
        <v>128</v>
      </c>
      <c r="E161" s="113"/>
      <c r="F161" s="114" t="s">
        <v>40</v>
      </c>
      <c r="G161" s="170"/>
      <c r="H161" s="158"/>
      <c r="I161" s="125"/>
      <c r="J161" s="125"/>
      <c r="K161" s="18">
        <v>48000</v>
      </c>
      <c r="L161" s="127">
        <v>6</v>
      </c>
      <c r="M161" s="216">
        <v>24000</v>
      </c>
      <c r="N161" s="238">
        <v>3</v>
      </c>
      <c r="O161" s="126">
        <f>Mar!BE274</f>
        <v>5831</v>
      </c>
      <c r="P161" s="125">
        <f>Mar!BF274</f>
        <v>19708</v>
      </c>
      <c r="Q161" s="125">
        <f>Mar!BD274</f>
        <v>57</v>
      </c>
      <c r="R161" s="436"/>
      <c r="S161" s="436"/>
      <c r="T161" s="127">
        <v>35715</v>
      </c>
      <c r="U161" s="127">
        <v>19</v>
      </c>
      <c r="V161" s="127">
        <f t="shared" si="5"/>
        <v>12938</v>
      </c>
      <c r="W161" s="46"/>
      <c r="X161" s="67"/>
    </row>
    <row r="162" spans="1:25" ht="15" customHeight="1">
      <c r="A162" s="427"/>
      <c r="B162" s="442" t="s">
        <v>45</v>
      </c>
      <c r="C162" s="448" t="s">
        <v>59</v>
      </c>
      <c r="D162" s="118" t="s">
        <v>75</v>
      </c>
      <c r="E162" s="131" t="s">
        <v>25</v>
      </c>
      <c r="F162" s="131" t="s">
        <v>57</v>
      </c>
      <c r="G162" s="87"/>
      <c r="H162" s="136"/>
      <c r="I162" s="126"/>
      <c r="J162" s="2"/>
      <c r="K162" s="127"/>
      <c r="L162" s="18"/>
      <c r="M162" s="18">
        <v>45000</v>
      </c>
      <c r="N162" s="80">
        <v>9</v>
      </c>
      <c r="O162" s="126"/>
      <c r="P162" s="126">
        <f>Mar!BF276</f>
        <v>2763</v>
      </c>
      <c r="Q162" s="2">
        <f>Mar!BD276</f>
        <v>11</v>
      </c>
      <c r="R162" s="436"/>
      <c r="S162" s="436"/>
      <c r="T162" s="18"/>
      <c r="U162" s="18"/>
      <c r="V162" s="127">
        <f t="shared" si="5"/>
        <v>108886</v>
      </c>
      <c r="W162" s="46"/>
      <c r="Y162" s="13"/>
    </row>
    <row r="163" spans="1:25">
      <c r="A163" s="427"/>
      <c r="B163" s="439"/>
      <c r="C163" s="440"/>
      <c r="D163" s="118" t="s">
        <v>72</v>
      </c>
      <c r="E163" s="155" t="s">
        <v>24</v>
      </c>
      <c r="F163" s="131" t="s">
        <v>57</v>
      </c>
      <c r="G163" s="136"/>
      <c r="H163" s="136"/>
      <c r="I163" s="126"/>
      <c r="J163" s="126"/>
      <c r="K163" s="127">
        <v>5000</v>
      </c>
      <c r="L163" s="18">
        <v>1</v>
      </c>
      <c r="M163" s="18">
        <v>95000</v>
      </c>
      <c r="N163" s="80">
        <v>19</v>
      </c>
      <c r="O163" s="126">
        <f>Mar!BE277</f>
        <v>1558</v>
      </c>
      <c r="P163" s="126">
        <f>Mar!BF277</f>
        <v>4944</v>
      </c>
      <c r="Q163" s="2">
        <f>Mar!BD277</f>
        <v>21</v>
      </c>
      <c r="R163" s="436"/>
      <c r="S163" s="436"/>
      <c r="T163" s="18">
        <v>6368</v>
      </c>
      <c r="U163" s="18">
        <v>3</v>
      </c>
      <c r="V163" s="127">
        <f t="shared" si="5"/>
        <v>1343</v>
      </c>
      <c r="W163" s="46"/>
      <c r="Y163" s="13"/>
    </row>
    <row r="164" spans="1:25">
      <c r="A164" s="427"/>
      <c r="B164" s="439"/>
      <c r="C164" s="440"/>
      <c r="D164" s="115" t="s">
        <v>79</v>
      </c>
      <c r="E164" s="118" t="s">
        <v>65</v>
      </c>
      <c r="F164" s="131" t="s">
        <v>57</v>
      </c>
      <c r="G164" s="224"/>
      <c r="H164" s="152"/>
      <c r="I164" s="126"/>
      <c r="J164" s="126"/>
      <c r="K164" s="127"/>
      <c r="L164" s="18"/>
      <c r="M164" s="18"/>
      <c r="N164" s="80"/>
      <c r="O164" s="126">
        <f>Mar!BE278</f>
        <v>5237</v>
      </c>
      <c r="P164" s="126">
        <f>Mar!BF278</f>
        <v>3359</v>
      </c>
      <c r="Q164" s="126">
        <f>Mar!BD278</f>
        <v>14</v>
      </c>
      <c r="R164" s="436"/>
      <c r="S164" s="436"/>
      <c r="T164" s="18">
        <v>5521</v>
      </c>
      <c r="U164" s="18"/>
      <c r="V164" s="127">
        <f t="shared" si="5"/>
        <v>2121</v>
      </c>
      <c r="W164" s="46"/>
      <c r="Y164" s="13"/>
    </row>
    <row r="165" spans="1:25" ht="14.25" customHeight="1">
      <c r="A165" s="427"/>
      <c r="B165" s="137" t="s">
        <v>53</v>
      </c>
      <c r="C165" s="157" t="s">
        <v>60</v>
      </c>
      <c r="D165" s="43" t="s">
        <v>130</v>
      </c>
      <c r="E165" s="115" t="s">
        <v>66</v>
      </c>
      <c r="F165" s="118" t="s">
        <v>54</v>
      </c>
      <c r="G165" s="224"/>
      <c r="H165" s="37"/>
      <c r="I165" s="126"/>
      <c r="J165" s="126"/>
      <c r="K165" s="18">
        <v>5900</v>
      </c>
      <c r="L165" s="18">
        <v>1</v>
      </c>
      <c r="M165" s="18">
        <v>107500</v>
      </c>
      <c r="N165" s="80">
        <v>19</v>
      </c>
      <c r="O165" s="126">
        <f>Mar!BE275</f>
        <v>8161</v>
      </c>
      <c r="P165" s="126">
        <f>Mar!BF275</f>
        <v>8699</v>
      </c>
      <c r="Q165" s="126">
        <f>Mar!BD275</f>
        <v>26</v>
      </c>
      <c r="R165" s="436"/>
      <c r="S165" s="436"/>
      <c r="T165" s="18">
        <v>7031</v>
      </c>
      <c r="U165" s="18"/>
      <c r="V165" s="127">
        <f t="shared" si="5"/>
        <v>7135</v>
      </c>
      <c r="W165" s="45"/>
      <c r="X165" s="36"/>
    </row>
    <row r="166" spans="1:25" ht="14.25" customHeight="1">
      <c r="A166" s="427"/>
      <c r="B166" s="122" t="s">
        <v>55</v>
      </c>
      <c r="C166" s="180" t="s">
        <v>133</v>
      </c>
      <c r="D166" s="48" t="s">
        <v>56</v>
      </c>
      <c r="E166" s="424" t="s">
        <v>25</v>
      </c>
      <c r="F166" s="118" t="s">
        <v>67</v>
      </c>
      <c r="G166" s="224"/>
      <c r="H166" s="37"/>
      <c r="I166" s="126"/>
      <c r="J166" s="126"/>
      <c r="K166" s="18"/>
      <c r="L166" s="18"/>
      <c r="M166" s="18">
        <v>2800</v>
      </c>
      <c r="N166" s="80">
        <v>1</v>
      </c>
      <c r="O166" s="126"/>
      <c r="P166" s="126"/>
      <c r="Q166" s="126">
        <f>Mar!BD293</f>
        <v>2</v>
      </c>
      <c r="R166" s="436"/>
      <c r="S166" s="436"/>
      <c r="T166" s="18"/>
      <c r="U166" s="18"/>
      <c r="V166" s="127">
        <f t="shared" ref="V166:V171" si="6">O166-T166-U166+V144</f>
        <v>500</v>
      </c>
      <c r="W166" s="45"/>
      <c r="X166" s="67"/>
    </row>
    <row r="167" spans="1:25" ht="14.25" customHeight="1">
      <c r="A167" s="427"/>
      <c r="B167" s="122" t="s">
        <v>122</v>
      </c>
      <c r="C167" s="180" t="s">
        <v>123</v>
      </c>
      <c r="D167" s="48" t="s">
        <v>56</v>
      </c>
      <c r="E167" s="441"/>
      <c r="F167" s="155" t="s">
        <v>64</v>
      </c>
      <c r="G167" s="224"/>
      <c r="H167" s="135"/>
      <c r="I167" s="158"/>
      <c r="J167" s="158"/>
      <c r="K167" s="128"/>
      <c r="L167" s="128"/>
      <c r="M167" s="128">
        <v>6400</v>
      </c>
      <c r="N167" s="164">
        <v>2</v>
      </c>
      <c r="O167" s="158"/>
      <c r="P167" s="158"/>
      <c r="Q167" s="158">
        <f>Mar!BD282</f>
        <v>4</v>
      </c>
      <c r="R167" s="436"/>
      <c r="S167" s="436"/>
      <c r="T167" s="18"/>
      <c r="U167" s="18"/>
      <c r="V167" s="127">
        <f t="shared" si="6"/>
        <v>31304</v>
      </c>
      <c r="W167" s="45"/>
      <c r="X167" s="67"/>
    </row>
    <row r="168" spans="1:25" ht="15.75" customHeight="1">
      <c r="A168" s="427"/>
      <c r="B168" s="137" t="s">
        <v>58</v>
      </c>
      <c r="C168" s="157" t="s">
        <v>243</v>
      </c>
      <c r="D168" s="48" t="s">
        <v>56</v>
      </c>
      <c r="E168" s="441"/>
      <c r="F168" s="118" t="s">
        <v>64</v>
      </c>
      <c r="G168" s="226"/>
      <c r="H168" s="126"/>
      <c r="I168" s="126"/>
      <c r="J168" s="2"/>
      <c r="K168" s="18"/>
      <c r="L168" s="18"/>
      <c r="M168" s="18"/>
      <c r="N168" s="18"/>
      <c r="O168" s="126"/>
      <c r="P168" s="126"/>
      <c r="Q168" s="126">
        <f>Mar!BD283</f>
        <v>1</v>
      </c>
      <c r="R168" s="436"/>
      <c r="S168" s="436"/>
      <c r="T168" s="18"/>
      <c r="U168" s="18"/>
      <c r="V168" s="127">
        <f t="shared" si="6"/>
        <v>8562</v>
      </c>
      <c r="W168" s="45"/>
      <c r="X168" s="67"/>
    </row>
    <row r="169" spans="1:25" ht="15" customHeight="1">
      <c r="A169" s="427"/>
      <c r="B169" s="122" t="s">
        <v>61</v>
      </c>
      <c r="C169" s="180" t="s">
        <v>137</v>
      </c>
      <c r="D169" s="48" t="s">
        <v>56</v>
      </c>
      <c r="E169" s="441"/>
      <c r="F169" s="118" t="s">
        <v>67</v>
      </c>
      <c r="G169" s="119"/>
      <c r="H169" s="126"/>
      <c r="I169" s="126"/>
      <c r="J169" s="2"/>
      <c r="K169" s="18"/>
      <c r="L169" s="18"/>
      <c r="M169" s="18"/>
      <c r="N169" s="18"/>
      <c r="O169" s="126"/>
      <c r="P169" s="126"/>
      <c r="Q169" s="126">
        <f>Mar!BD284</f>
        <v>2</v>
      </c>
      <c r="R169" s="436"/>
      <c r="S169" s="436"/>
      <c r="T169" s="18"/>
      <c r="U169" s="18"/>
      <c r="V169" s="127">
        <f t="shared" si="6"/>
        <v>5844</v>
      </c>
      <c r="W169" s="45"/>
      <c r="X169" s="67"/>
    </row>
    <row r="170" spans="1:25" ht="14.25" customHeight="1">
      <c r="A170" s="427"/>
      <c r="B170" s="122" t="s">
        <v>125</v>
      </c>
      <c r="C170" s="180" t="s">
        <v>88</v>
      </c>
      <c r="D170" s="48" t="s">
        <v>124</v>
      </c>
      <c r="E170" s="441"/>
      <c r="F170" s="118" t="s">
        <v>64</v>
      </c>
      <c r="G170" s="225"/>
      <c r="H170" s="126"/>
      <c r="I170" s="126"/>
      <c r="J170" s="126"/>
      <c r="K170" s="18"/>
      <c r="L170" s="18"/>
      <c r="M170" s="18">
        <v>51200</v>
      </c>
      <c r="N170" s="80">
        <v>7</v>
      </c>
      <c r="O170" s="126">
        <f>Mar!BE279</f>
        <v>1847</v>
      </c>
      <c r="P170" s="126">
        <f>Mar!BF279</f>
        <v>1207</v>
      </c>
      <c r="Q170" s="126">
        <f>Mar!BD279</f>
        <v>5</v>
      </c>
      <c r="R170" s="436"/>
      <c r="S170" s="436"/>
      <c r="T170" s="18"/>
      <c r="U170" s="18"/>
      <c r="V170" s="127">
        <f t="shared" si="6"/>
        <v>43565</v>
      </c>
      <c r="W170" s="45"/>
      <c r="X170" s="67"/>
    </row>
    <row r="171" spans="1:25" ht="15" customHeight="1">
      <c r="A171" s="427"/>
      <c r="B171" s="442" t="s">
        <v>47</v>
      </c>
      <c r="C171" s="444" t="s">
        <v>100</v>
      </c>
      <c r="D171" s="48" t="s">
        <v>99</v>
      </c>
      <c r="E171" s="441"/>
      <c r="F171" s="118" t="s">
        <v>71</v>
      </c>
      <c r="G171" s="226"/>
      <c r="H171" s="126"/>
      <c r="I171" s="126"/>
      <c r="J171" s="2"/>
      <c r="K171" s="18"/>
      <c r="L171" s="18"/>
      <c r="M171" s="18">
        <v>18000</v>
      </c>
      <c r="N171" s="18">
        <v>3</v>
      </c>
      <c r="O171" s="126">
        <f>Mar!BE280</f>
        <v>2237</v>
      </c>
      <c r="P171" s="126">
        <f>Mar!BF280</f>
        <v>1554</v>
      </c>
      <c r="Q171" s="126">
        <f>Mar!BD280</f>
        <v>6</v>
      </c>
      <c r="R171" s="436"/>
      <c r="S171" s="436"/>
      <c r="T171" s="18"/>
      <c r="U171" s="18"/>
      <c r="V171" s="127">
        <f t="shared" si="6"/>
        <v>73835</v>
      </c>
      <c r="W171" s="45"/>
      <c r="X171" s="67"/>
    </row>
    <row r="172" spans="1:25" ht="15" customHeight="1">
      <c r="A172" s="427"/>
      <c r="B172" s="443"/>
      <c r="C172" s="446"/>
      <c r="D172" s="48" t="s">
        <v>121</v>
      </c>
      <c r="E172" s="441"/>
      <c r="F172" s="118"/>
      <c r="G172" s="226"/>
      <c r="H172" s="126">
        <v>612</v>
      </c>
      <c r="I172" s="126"/>
      <c r="J172" s="2"/>
      <c r="K172" s="18"/>
      <c r="L172" s="18"/>
      <c r="M172" s="18"/>
      <c r="N172" s="18"/>
      <c r="O172" s="126"/>
      <c r="P172" s="126"/>
      <c r="Q172" s="126"/>
      <c r="R172" s="436"/>
      <c r="S172" s="436"/>
      <c r="T172" s="18"/>
      <c r="U172" s="18"/>
      <c r="V172" s="127"/>
      <c r="W172" s="45"/>
      <c r="X172" s="67"/>
    </row>
    <row r="173" spans="1:25" ht="15" customHeight="1">
      <c r="A173" s="427"/>
      <c r="B173" s="122" t="s">
        <v>196</v>
      </c>
      <c r="C173" s="180" t="s">
        <v>63</v>
      </c>
      <c r="D173" s="48" t="s">
        <v>135</v>
      </c>
      <c r="E173" s="441"/>
      <c r="F173" s="118" t="s">
        <v>64</v>
      </c>
      <c r="G173" s="226"/>
      <c r="H173" s="126"/>
      <c r="I173" s="126"/>
      <c r="J173" s="2"/>
      <c r="K173" s="18"/>
      <c r="L173" s="18"/>
      <c r="M173" s="18">
        <v>33200</v>
      </c>
      <c r="N173" s="18">
        <v>4</v>
      </c>
      <c r="O173" s="126">
        <f>Mar!BE281</f>
        <v>1021</v>
      </c>
      <c r="P173" s="126">
        <f>Mar!BF281</f>
        <v>692</v>
      </c>
      <c r="Q173" s="126">
        <f>Mar!BD281</f>
        <v>3</v>
      </c>
      <c r="R173" s="436"/>
      <c r="S173" s="436"/>
      <c r="T173" s="18"/>
      <c r="U173" s="18"/>
      <c r="V173" s="127">
        <f>O173-T173-U173+V150</f>
        <v>28110</v>
      </c>
      <c r="W173" s="45"/>
      <c r="X173" s="67"/>
    </row>
    <row r="174" spans="1:25" ht="15" customHeight="1">
      <c r="A174" s="427"/>
      <c r="B174" s="122" t="s">
        <v>253</v>
      </c>
      <c r="C174" s="180" t="s">
        <v>252</v>
      </c>
      <c r="D174" s="48" t="s">
        <v>246</v>
      </c>
      <c r="E174" s="441"/>
      <c r="F174" s="118" t="s">
        <v>247</v>
      </c>
      <c r="G174" s="226"/>
      <c r="H174" s="126"/>
      <c r="I174" s="126"/>
      <c r="J174" s="2"/>
      <c r="K174" s="18"/>
      <c r="L174" s="18"/>
      <c r="M174" s="18"/>
      <c r="N174" s="18"/>
      <c r="O174" s="126">
        <f>Mar!BE285</f>
        <v>450</v>
      </c>
      <c r="P174" s="126">
        <f>Mar!BF285</f>
        <v>224</v>
      </c>
      <c r="Q174" s="126">
        <f>Mar!BD285</f>
        <v>1</v>
      </c>
      <c r="R174" s="436"/>
      <c r="S174" s="436"/>
      <c r="T174" s="211">
        <v>450</v>
      </c>
      <c r="U174" s="18"/>
      <c r="V174" s="127">
        <f>O174-T174-U174+V151</f>
        <v>0</v>
      </c>
      <c r="W174" s="45"/>
      <c r="X174" s="67"/>
    </row>
    <row r="175" spans="1:25" ht="15" customHeight="1">
      <c r="A175" s="427"/>
      <c r="B175" s="442" t="s">
        <v>249</v>
      </c>
      <c r="C175" s="444" t="s">
        <v>250</v>
      </c>
      <c r="D175" s="48" t="s">
        <v>251</v>
      </c>
      <c r="E175" s="441"/>
      <c r="F175" s="118" t="s">
        <v>64</v>
      </c>
      <c r="G175" s="226"/>
      <c r="H175" s="126"/>
      <c r="I175" s="126"/>
      <c r="J175" s="2"/>
      <c r="K175" s="18"/>
      <c r="L175" s="18"/>
      <c r="M175" s="18"/>
      <c r="N175" s="18"/>
      <c r="O175" s="126">
        <f>Mar!BE286</f>
        <v>418</v>
      </c>
      <c r="P175" s="126">
        <f>Mar!BF286</f>
        <v>70</v>
      </c>
      <c r="Q175" s="126">
        <f>Mar!BD286</f>
        <v>1</v>
      </c>
      <c r="R175" s="436"/>
      <c r="S175" s="436"/>
      <c r="T175" s="18">
        <v>418</v>
      </c>
      <c r="U175" s="18"/>
      <c r="V175" s="127">
        <f>O175-T175-U175+V152</f>
        <v>0</v>
      </c>
      <c r="W175" s="45"/>
      <c r="X175" s="67"/>
    </row>
    <row r="176" spans="1:25" ht="15" customHeight="1">
      <c r="A176" s="427"/>
      <c r="B176" s="443"/>
      <c r="C176" s="446"/>
      <c r="D176" s="48" t="s">
        <v>248</v>
      </c>
      <c r="E176" s="441"/>
      <c r="F176" s="118"/>
      <c r="G176" s="226"/>
      <c r="H176" s="126">
        <v>6</v>
      </c>
      <c r="I176" s="126"/>
      <c r="J176" s="2"/>
      <c r="K176" s="18"/>
      <c r="L176" s="18"/>
      <c r="M176" s="18"/>
      <c r="N176" s="18"/>
      <c r="O176" s="126"/>
      <c r="P176" s="126"/>
      <c r="Q176" s="126"/>
      <c r="R176" s="436"/>
      <c r="S176" s="436"/>
      <c r="T176" s="18"/>
      <c r="U176" s="18"/>
      <c r="V176" s="127"/>
      <c r="W176" s="45"/>
      <c r="X176" s="67"/>
    </row>
    <row r="177" spans="1:25" ht="15" customHeight="1">
      <c r="A177" s="427"/>
      <c r="B177" s="122" t="s">
        <v>131</v>
      </c>
      <c r="C177" s="180" t="s">
        <v>194</v>
      </c>
      <c r="D177" s="48" t="s">
        <v>132</v>
      </c>
      <c r="E177" s="441"/>
      <c r="F177" s="118" t="s">
        <v>64</v>
      </c>
      <c r="G177" s="119"/>
      <c r="H177" s="126"/>
      <c r="I177" s="126"/>
      <c r="J177" s="2"/>
      <c r="K177" s="18"/>
      <c r="L177" s="18"/>
      <c r="M177" s="18"/>
      <c r="N177" s="18"/>
      <c r="O177" s="126"/>
      <c r="P177" s="126"/>
      <c r="Q177" s="126">
        <f>Mar!BD287</f>
        <v>1</v>
      </c>
      <c r="R177" s="436"/>
      <c r="S177" s="436"/>
      <c r="T177" s="18"/>
      <c r="U177" s="18"/>
      <c r="V177" s="18"/>
      <c r="W177" s="45"/>
      <c r="X177" s="67"/>
    </row>
    <row r="178" spans="1:25" ht="15" customHeight="1">
      <c r="A178" s="427"/>
      <c r="B178" s="122" t="s">
        <v>101</v>
      </c>
      <c r="C178" s="180" t="s">
        <v>193</v>
      </c>
      <c r="D178" s="48" t="s">
        <v>102</v>
      </c>
      <c r="E178" s="441"/>
      <c r="F178" s="118" t="s">
        <v>64</v>
      </c>
      <c r="G178" s="119"/>
      <c r="H178" s="126"/>
      <c r="I178" s="126"/>
      <c r="J178" s="2"/>
      <c r="K178" s="18"/>
      <c r="L178" s="18"/>
      <c r="M178" s="18"/>
      <c r="N178" s="18"/>
      <c r="O178" s="126"/>
      <c r="P178" s="126"/>
      <c r="Q178" s="126">
        <f>Mar!BD288</f>
        <v>1</v>
      </c>
      <c r="R178" s="436"/>
      <c r="S178" s="436"/>
      <c r="T178" s="18"/>
      <c r="U178" s="18"/>
      <c r="V178" s="18"/>
      <c r="W178" s="45"/>
      <c r="X178" s="67"/>
    </row>
    <row r="179" spans="1:25" ht="15" customHeight="1">
      <c r="A179" s="427"/>
      <c r="B179" s="122" t="s">
        <v>103</v>
      </c>
      <c r="C179" s="157" t="s">
        <v>197</v>
      </c>
      <c r="D179" s="48" t="s">
        <v>104</v>
      </c>
      <c r="E179" s="441"/>
      <c r="F179" s="118" t="s">
        <v>105</v>
      </c>
      <c r="G179" s="119"/>
      <c r="H179" s="126"/>
      <c r="I179" s="126"/>
      <c r="J179" s="2"/>
      <c r="K179" s="18"/>
      <c r="L179" s="18"/>
      <c r="M179" s="18"/>
      <c r="N179" s="18"/>
      <c r="O179" s="126"/>
      <c r="P179" s="126"/>
      <c r="Q179" s="126">
        <f>Mar!BD289</f>
        <v>1</v>
      </c>
      <c r="R179" s="436"/>
      <c r="S179" s="436"/>
      <c r="T179" s="18"/>
      <c r="U179" s="18"/>
      <c r="V179" s="18"/>
      <c r="W179" s="45"/>
      <c r="X179" s="67"/>
    </row>
    <row r="180" spans="1:25" ht="15" customHeight="1">
      <c r="A180" s="427"/>
      <c r="B180" s="137" t="s">
        <v>112</v>
      </c>
      <c r="C180" s="157" t="s">
        <v>197</v>
      </c>
      <c r="D180" s="48" t="s">
        <v>104</v>
      </c>
      <c r="E180" s="441"/>
      <c r="F180" s="118" t="s">
        <v>113</v>
      </c>
      <c r="G180" s="119"/>
      <c r="H180" s="126"/>
      <c r="I180" s="126"/>
      <c r="J180" s="2"/>
      <c r="K180" s="18"/>
      <c r="L180" s="18"/>
      <c r="M180" s="18"/>
      <c r="N180" s="18"/>
      <c r="O180" s="126"/>
      <c r="P180" s="126"/>
      <c r="Q180" s="126">
        <f>Mar!BD292</f>
        <v>1</v>
      </c>
      <c r="R180" s="436"/>
      <c r="S180" s="436"/>
      <c r="T180" s="18"/>
      <c r="U180" s="18"/>
      <c r="V180" s="18"/>
      <c r="W180" s="45"/>
      <c r="X180" s="67"/>
    </row>
    <row r="181" spans="1:25" ht="15" customHeight="1">
      <c r="A181" s="427"/>
      <c r="B181" s="137" t="s">
        <v>106</v>
      </c>
      <c r="C181" s="157" t="s">
        <v>141</v>
      </c>
      <c r="D181" s="48" t="s">
        <v>68</v>
      </c>
      <c r="E181" s="441"/>
      <c r="F181" s="118" t="s">
        <v>67</v>
      </c>
      <c r="G181" s="119"/>
      <c r="H181" s="126"/>
      <c r="I181" s="126"/>
      <c r="J181" s="2"/>
      <c r="K181" s="18"/>
      <c r="L181" s="18"/>
      <c r="M181" s="18"/>
      <c r="N181" s="18"/>
      <c r="O181" s="126"/>
      <c r="P181" s="126"/>
      <c r="Q181" s="126">
        <f>Mar!BD290</f>
        <v>1</v>
      </c>
      <c r="R181" s="436"/>
      <c r="S181" s="436"/>
      <c r="T181" s="18"/>
      <c r="U181" s="18"/>
      <c r="V181" s="18"/>
      <c r="W181" s="45"/>
      <c r="X181" s="67"/>
    </row>
    <row r="182" spans="1:25" ht="15" customHeight="1" thickBot="1">
      <c r="A182" s="428"/>
      <c r="B182" s="44" t="s">
        <v>107</v>
      </c>
      <c r="C182" s="181" t="s">
        <v>195</v>
      </c>
      <c r="D182" s="61" t="s">
        <v>108</v>
      </c>
      <c r="E182" s="447"/>
      <c r="F182" s="133" t="s">
        <v>48</v>
      </c>
      <c r="G182" s="132"/>
      <c r="H182" s="109"/>
      <c r="I182" s="134"/>
      <c r="J182" s="129"/>
      <c r="K182" s="130"/>
      <c r="L182" s="130"/>
      <c r="M182" s="130"/>
      <c r="N182" s="130"/>
      <c r="O182" s="134"/>
      <c r="P182" s="134"/>
      <c r="Q182" s="134">
        <f>Mar!BD291</f>
        <v>1</v>
      </c>
      <c r="R182" s="437"/>
      <c r="S182" s="437"/>
      <c r="T182" s="130"/>
      <c r="U182" s="130"/>
      <c r="V182" s="128"/>
      <c r="W182" s="85"/>
      <c r="X182" s="67"/>
    </row>
    <row r="183" spans="1:25" ht="15" customHeight="1">
      <c r="A183" s="426">
        <v>46092</v>
      </c>
      <c r="B183" s="429" t="s">
        <v>44</v>
      </c>
      <c r="C183" s="432" t="s">
        <v>240</v>
      </c>
      <c r="D183" s="19" t="s">
        <v>37</v>
      </c>
      <c r="E183" s="19" t="s">
        <v>25</v>
      </c>
      <c r="F183" s="39" t="s">
        <v>40</v>
      </c>
      <c r="G183" s="41">
        <v>7147.53</v>
      </c>
      <c r="H183" s="32"/>
      <c r="I183" s="32"/>
      <c r="J183" s="32"/>
      <c r="K183" s="20">
        <v>48000</v>
      </c>
      <c r="L183" s="20">
        <v>6</v>
      </c>
      <c r="M183" s="20">
        <v>160000</v>
      </c>
      <c r="N183" s="84">
        <v>20</v>
      </c>
      <c r="O183" s="32">
        <f>Mar!BH273</f>
        <v>26264</v>
      </c>
      <c r="P183" s="32">
        <f>Mar!BI273</f>
        <v>27028</v>
      </c>
      <c r="Q183" s="32">
        <f>Mar!BG273</f>
        <v>76</v>
      </c>
      <c r="R183" s="435">
        <f>Mar!BH294</f>
        <v>69316</v>
      </c>
      <c r="S183" s="435">
        <f>Mar!BI294</f>
        <v>68059</v>
      </c>
      <c r="T183" s="20">
        <v>42731</v>
      </c>
      <c r="U183" s="20"/>
      <c r="V183" s="20">
        <f>O183-T183-U183+V160</f>
        <v>37890</v>
      </c>
      <c r="W183" s="77"/>
      <c r="X183" s="36"/>
    </row>
    <row r="184" spans="1:25" ht="15" customHeight="1">
      <c r="A184" s="427"/>
      <c r="B184" s="431"/>
      <c r="C184" s="434"/>
      <c r="D184" s="113" t="s">
        <v>128</v>
      </c>
      <c r="E184" s="113"/>
      <c r="F184" s="114" t="s">
        <v>40</v>
      </c>
      <c r="G184" s="170"/>
      <c r="H184" s="135">
        <v>3037.5</v>
      </c>
      <c r="I184" s="125"/>
      <c r="J184" s="125"/>
      <c r="K184" s="18">
        <v>8000</v>
      </c>
      <c r="L184" s="127">
        <v>1</v>
      </c>
      <c r="M184" s="216">
        <v>16000</v>
      </c>
      <c r="N184" s="238">
        <v>2</v>
      </c>
      <c r="O184" s="126">
        <f>Mar!BH274</f>
        <v>16036</v>
      </c>
      <c r="P184" s="125">
        <f>Mar!BI274</f>
        <v>19596</v>
      </c>
      <c r="Q184" s="125">
        <f>Mar!BG274</f>
        <v>55</v>
      </c>
      <c r="R184" s="436"/>
      <c r="S184" s="436"/>
      <c r="T184" s="127">
        <v>9296</v>
      </c>
      <c r="U184" s="127">
        <v>9</v>
      </c>
      <c r="V184" s="127">
        <f>O184-T184-U184+V161</f>
        <v>19669</v>
      </c>
      <c r="W184" s="46"/>
      <c r="X184" s="67"/>
    </row>
    <row r="185" spans="1:25" ht="15" customHeight="1">
      <c r="A185" s="427"/>
      <c r="B185" s="442" t="s">
        <v>45</v>
      </c>
      <c r="C185" s="448" t="s">
        <v>59</v>
      </c>
      <c r="D185" s="118" t="s">
        <v>75</v>
      </c>
      <c r="E185" s="131" t="s">
        <v>25</v>
      </c>
      <c r="F185" s="131" t="s">
        <v>57</v>
      </c>
      <c r="G185" s="87"/>
      <c r="H185" s="136"/>
      <c r="I185" s="126"/>
      <c r="J185" s="2"/>
      <c r="K185" s="127"/>
      <c r="L185" s="18"/>
      <c r="M185" s="18">
        <v>45000</v>
      </c>
      <c r="N185" s="80">
        <v>9</v>
      </c>
      <c r="O185" s="126">
        <f>Mar!BH276</f>
        <v>3162</v>
      </c>
      <c r="P185" s="126">
        <f>Mar!BI276</f>
        <v>2752</v>
      </c>
      <c r="Q185" s="2">
        <f>Mar!BG276</f>
        <v>12</v>
      </c>
      <c r="R185" s="436"/>
      <c r="S185" s="436"/>
      <c r="T185" s="18"/>
      <c r="U185" s="18"/>
      <c r="V185" s="127">
        <f>O185-T185-U185+V162</f>
        <v>112048</v>
      </c>
      <c r="W185" s="46"/>
      <c r="Y185" s="13"/>
    </row>
    <row r="186" spans="1:25">
      <c r="A186" s="427"/>
      <c r="B186" s="439"/>
      <c r="C186" s="440"/>
      <c r="D186" s="118" t="s">
        <v>72</v>
      </c>
      <c r="E186" s="424" t="s">
        <v>24</v>
      </c>
      <c r="F186" s="131" t="s">
        <v>57</v>
      </c>
      <c r="G186" s="136"/>
      <c r="H186" s="136"/>
      <c r="I186" s="126"/>
      <c r="J186" s="126"/>
      <c r="K186" s="127"/>
      <c r="L186" s="18"/>
      <c r="M186" s="18">
        <v>95000</v>
      </c>
      <c r="N186" s="80">
        <v>19</v>
      </c>
      <c r="O186" s="126">
        <f>Mar!BH277</f>
        <v>8817</v>
      </c>
      <c r="P186" s="126">
        <f>Mar!BI277</f>
        <v>4718</v>
      </c>
      <c r="Q186" s="2">
        <f>Mar!BG277</f>
        <v>20</v>
      </c>
      <c r="R186" s="436"/>
      <c r="S186" s="436"/>
      <c r="T186" s="18">
        <v>5703</v>
      </c>
      <c r="U186" s="18">
        <v>200</v>
      </c>
      <c r="V186" s="127">
        <f>O186-T186-U186+V163</f>
        <v>4257</v>
      </c>
      <c r="W186" s="46"/>
      <c r="Y186" s="13"/>
    </row>
    <row r="187" spans="1:25">
      <c r="A187" s="427"/>
      <c r="B187" s="439"/>
      <c r="C187" s="440"/>
      <c r="D187" s="115" t="s">
        <v>73</v>
      </c>
      <c r="E187" s="425"/>
      <c r="F187" s="131"/>
      <c r="G187" s="136"/>
      <c r="H187" s="152">
        <v>1980</v>
      </c>
      <c r="I187" s="126"/>
      <c r="J187" s="126"/>
      <c r="K187" s="127"/>
      <c r="L187" s="18"/>
      <c r="M187" s="18"/>
      <c r="N187" s="80"/>
      <c r="O187" s="126"/>
      <c r="P187" s="126"/>
      <c r="Q187" s="2"/>
      <c r="R187" s="436"/>
      <c r="S187" s="436"/>
      <c r="T187" s="18"/>
      <c r="U187" s="18"/>
      <c r="V187" s="127"/>
      <c r="W187" s="46"/>
      <c r="Y187" s="13"/>
    </row>
    <row r="188" spans="1:25">
      <c r="A188" s="427"/>
      <c r="B188" s="439"/>
      <c r="C188" s="440"/>
      <c r="D188" s="115" t="s">
        <v>79</v>
      </c>
      <c r="E188" s="118" t="s">
        <v>65</v>
      </c>
      <c r="F188" s="131" t="s">
        <v>57</v>
      </c>
      <c r="G188" s="224"/>
      <c r="H188" s="152"/>
      <c r="I188" s="126"/>
      <c r="J188" s="126"/>
      <c r="K188" s="127"/>
      <c r="L188" s="18"/>
      <c r="M188" s="18"/>
      <c r="N188" s="80"/>
      <c r="O188" s="126">
        <f>Mar!BH278</f>
        <v>1966</v>
      </c>
      <c r="P188" s="126">
        <f>Mar!BI278</f>
        <v>2963</v>
      </c>
      <c r="Q188" s="126">
        <f>Mar!BG278</f>
        <v>12</v>
      </c>
      <c r="R188" s="436"/>
      <c r="S188" s="436"/>
      <c r="T188" s="18"/>
      <c r="U188" s="18"/>
      <c r="V188" s="127">
        <f t="shared" ref="V188:V195" si="7">O188-T188-U188+V164</f>
        <v>4087</v>
      </c>
      <c r="W188" s="46"/>
      <c r="Y188" s="13"/>
    </row>
    <row r="189" spans="1:25" ht="14.25" customHeight="1">
      <c r="A189" s="427"/>
      <c r="B189" s="137" t="s">
        <v>53</v>
      </c>
      <c r="C189" s="157" t="s">
        <v>60</v>
      </c>
      <c r="D189" s="43" t="s">
        <v>130</v>
      </c>
      <c r="E189" s="115" t="s">
        <v>66</v>
      </c>
      <c r="F189" s="118" t="s">
        <v>54</v>
      </c>
      <c r="G189" s="224"/>
      <c r="H189" s="37"/>
      <c r="I189" s="126"/>
      <c r="J189" s="126"/>
      <c r="K189" s="18">
        <v>17600</v>
      </c>
      <c r="L189" s="18">
        <v>3</v>
      </c>
      <c r="M189" s="18">
        <v>89900</v>
      </c>
      <c r="N189" s="80">
        <v>16</v>
      </c>
      <c r="O189" s="126">
        <f>Mar!BH275</f>
        <v>9974</v>
      </c>
      <c r="P189" s="126">
        <f>Mar!BI275</f>
        <v>8482</v>
      </c>
      <c r="Q189" s="126">
        <f>Mar!BG275</f>
        <v>26</v>
      </c>
      <c r="R189" s="436"/>
      <c r="S189" s="436"/>
      <c r="T189" s="18">
        <v>7130</v>
      </c>
      <c r="U189" s="18"/>
      <c r="V189" s="127">
        <f t="shared" si="7"/>
        <v>9979</v>
      </c>
      <c r="W189" s="45"/>
      <c r="X189" s="36"/>
    </row>
    <row r="190" spans="1:25" ht="14.25" customHeight="1">
      <c r="A190" s="427"/>
      <c r="B190" s="122" t="s">
        <v>55</v>
      </c>
      <c r="C190" s="180" t="s">
        <v>133</v>
      </c>
      <c r="D190" s="48" t="s">
        <v>56</v>
      </c>
      <c r="E190" s="424" t="s">
        <v>25</v>
      </c>
      <c r="F190" s="118" t="s">
        <v>67</v>
      </c>
      <c r="G190" s="224"/>
      <c r="H190" s="37"/>
      <c r="I190" s="126"/>
      <c r="J190" s="126"/>
      <c r="K190" s="18"/>
      <c r="L190" s="18"/>
      <c r="M190" s="18">
        <v>2800</v>
      </c>
      <c r="N190" s="80">
        <v>1</v>
      </c>
      <c r="O190" s="126"/>
      <c r="P190" s="126"/>
      <c r="Q190" s="126">
        <f>Mar!BG293</f>
        <v>2</v>
      </c>
      <c r="R190" s="436"/>
      <c r="S190" s="436"/>
      <c r="T190" s="18"/>
      <c r="U190" s="18"/>
      <c r="V190" s="127">
        <f t="shared" si="7"/>
        <v>500</v>
      </c>
      <c r="W190" s="45"/>
      <c r="X190" s="67"/>
    </row>
    <row r="191" spans="1:25" ht="14.25" customHeight="1">
      <c r="A191" s="427"/>
      <c r="B191" s="122" t="s">
        <v>122</v>
      </c>
      <c r="C191" s="180" t="s">
        <v>123</v>
      </c>
      <c r="D191" s="48" t="s">
        <v>56</v>
      </c>
      <c r="E191" s="441"/>
      <c r="F191" s="155" t="s">
        <v>64</v>
      </c>
      <c r="G191" s="224"/>
      <c r="H191" s="135"/>
      <c r="I191" s="158"/>
      <c r="J191" s="158"/>
      <c r="K191" s="128"/>
      <c r="L191" s="128"/>
      <c r="M191" s="128">
        <v>6400</v>
      </c>
      <c r="N191" s="164">
        <v>2</v>
      </c>
      <c r="O191" s="158"/>
      <c r="P191" s="158"/>
      <c r="Q191" s="158">
        <f>Mar!BG282</f>
        <v>4</v>
      </c>
      <c r="R191" s="436"/>
      <c r="S191" s="436"/>
      <c r="T191" s="18"/>
      <c r="U191" s="18"/>
      <c r="V191" s="127">
        <f t="shared" si="7"/>
        <v>31304</v>
      </c>
      <c r="W191" s="45"/>
      <c r="X191" s="67"/>
    </row>
    <row r="192" spans="1:25" ht="15.75" customHeight="1">
      <c r="A192" s="427"/>
      <c r="B192" s="137" t="s">
        <v>58</v>
      </c>
      <c r="C192" s="157" t="s">
        <v>243</v>
      </c>
      <c r="D192" s="48" t="s">
        <v>56</v>
      </c>
      <c r="E192" s="441"/>
      <c r="F192" s="118" t="s">
        <v>64</v>
      </c>
      <c r="G192" s="226"/>
      <c r="H192" s="126"/>
      <c r="I192" s="126"/>
      <c r="J192" s="2"/>
      <c r="K192" s="18"/>
      <c r="L192" s="18"/>
      <c r="M192" s="18"/>
      <c r="N192" s="18"/>
      <c r="O192" s="126"/>
      <c r="P192" s="126"/>
      <c r="Q192" s="126">
        <f>Mar!BG283</f>
        <v>1</v>
      </c>
      <c r="R192" s="436"/>
      <c r="S192" s="436"/>
      <c r="T192" s="18"/>
      <c r="U192" s="18"/>
      <c r="V192" s="127">
        <f t="shared" si="7"/>
        <v>8562</v>
      </c>
      <c r="W192" s="45"/>
      <c r="X192" s="67"/>
    </row>
    <row r="193" spans="1:25" ht="15" customHeight="1">
      <c r="A193" s="427"/>
      <c r="B193" s="122" t="s">
        <v>61</v>
      </c>
      <c r="C193" s="180" t="s">
        <v>137</v>
      </c>
      <c r="D193" s="48" t="s">
        <v>56</v>
      </c>
      <c r="E193" s="441"/>
      <c r="F193" s="118" t="s">
        <v>67</v>
      </c>
      <c r="G193" s="119"/>
      <c r="H193" s="126"/>
      <c r="I193" s="126"/>
      <c r="J193" s="2"/>
      <c r="K193" s="18"/>
      <c r="L193" s="18"/>
      <c r="M193" s="18"/>
      <c r="N193" s="18"/>
      <c r="O193" s="126"/>
      <c r="P193" s="126"/>
      <c r="Q193" s="126">
        <f>Mar!BG284</f>
        <v>2</v>
      </c>
      <c r="R193" s="436"/>
      <c r="S193" s="436"/>
      <c r="T193" s="18"/>
      <c r="U193" s="18"/>
      <c r="V193" s="127">
        <f t="shared" si="7"/>
        <v>5844</v>
      </c>
      <c r="W193" s="45"/>
      <c r="X193" s="67"/>
    </row>
    <row r="194" spans="1:25" ht="14.25" customHeight="1">
      <c r="A194" s="427"/>
      <c r="B194" s="122" t="s">
        <v>125</v>
      </c>
      <c r="C194" s="180" t="s">
        <v>88</v>
      </c>
      <c r="D194" s="48" t="s">
        <v>124</v>
      </c>
      <c r="E194" s="441"/>
      <c r="F194" s="118" t="s">
        <v>64</v>
      </c>
      <c r="G194" s="225"/>
      <c r="H194" s="126"/>
      <c r="I194" s="126"/>
      <c r="J194" s="126"/>
      <c r="K194" s="18"/>
      <c r="L194" s="18"/>
      <c r="M194" s="18">
        <v>51200</v>
      </c>
      <c r="N194" s="80">
        <v>7</v>
      </c>
      <c r="O194" s="126">
        <f>Mar!BH279</f>
        <v>638</v>
      </c>
      <c r="P194" s="126">
        <f>Mar!BI279</f>
        <v>937</v>
      </c>
      <c r="Q194" s="126">
        <f>Mar!BG279</f>
        <v>5</v>
      </c>
      <c r="R194" s="436"/>
      <c r="S194" s="436"/>
      <c r="T194" s="18"/>
      <c r="U194" s="18"/>
      <c r="V194" s="127">
        <f t="shared" si="7"/>
        <v>44203</v>
      </c>
      <c r="W194" s="45"/>
      <c r="X194" s="67"/>
    </row>
    <row r="195" spans="1:25" ht="15" customHeight="1">
      <c r="A195" s="427"/>
      <c r="B195" s="137" t="s">
        <v>47</v>
      </c>
      <c r="C195" s="157" t="s">
        <v>100</v>
      </c>
      <c r="D195" s="48" t="s">
        <v>99</v>
      </c>
      <c r="E195" s="441"/>
      <c r="F195" s="118" t="s">
        <v>71</v>
      </c>
      <c r="G195" s="226"/>
      <c r="H195" s="126"/>
      <c r="I195" s="126"/>
      <c r="J195" s="2"/>
      <c r="K195" s="18"/>
      <c r="L195" s="18"/>
      <c r="M195" s="18">
        <v>18000</v>
      </c>
      <c r="N195" s="18">
        <v>3</v>
      </c>
      <c r="O195" s="126">
        <f>Mar!BH280</f>
        <v>2459</v>
      </c>
      <c r="P195" s="126">
        <f>Mar!BI280</f>
        <v>798</v>
      </c>
      <c r="Q195" s="126">
        <f>Mar!BG280</f>
        <v>3</v>
      </c>
      <c r="R195" s="436"/>
      <c r="S195" s="436"/>
      <c r="T195" s="18"/>
      <c r="U195" s="18"/>
      <c r="V195" s="127">
        <f t="shared" si="7"/>
        <v>76294</v>
      </c>
      <c r="W195" s="45"/>
      <c r="X195" s="67"/>
    </row>
    <row r="196" spans="1:25" ht="15" customHeight="1">
      <c r="A196" s="427"/>
      <c r="B196" s="122" t="s">
        <v>196</v>
      </c>
      <c r="C196" s="180" t="s">
        <v>63</v>
      </c>
      <c r="D196" s="48" t="s">
        <v>135</v>
      </c>
      <c r="E196" s="441"/>
      <c r="F196" s="118" t="s">
        <v>64</v>
      </c>
      <c r="G196" s="226"/>
      <c r="H196" s="126"/>
      <c r="I196" s="126"/>
      <c r="J196" s="2"/>
      <c r="K196" s="18"/>
      <c r="L196" s="18"/>
      <c r="M196" s="18">
        <v>33200</v>
      </c>
      <c r="N196" s="18">
        <v>4</v>
      </c>
      <c r="O196" s="126"/>
      <c r="P196" s="126">
        <f>Mar!BI281</f>
        <v>559</v>
      </c>
      <c r="Q196" s="126">
        <f>Mar!BG281</f>
        <v>2</v>
      </c>
      <c r="R196" s="436"/>
      <c r="S196" s="436"/>
      <c r="T196" s="18"/>
      <c r="U196" s="18"/>
      <c r="V196" s="127">
        <f>O196-T196-U196+V173</f>
        <v>28110</v>
      </c>
      <c r="W196" s="45"/>
      <c r="X196" s="67"/>
    </row>
    <row r="197" spans="1:25" ht="15" customHeight="1">
      <c r="A197" s="427"/>
      <c r="B197" s="122" t="s">
        <v>253</v>
      </c>
      <c r="C197" s="180" t="s">
        <v>252</v>
      </c>
      <c r="D197" s="48" t="s">
        <v>246</v>
      </c>
      <c r="E197" s="441"/>
      <c r="F197" s="118" t="s">
        <v>247</v>
      </c>
      <c r="G197" s="226"/>
      <c r="H197" s="126"/>
      <c r="I197" s="126"/>
      <c r="J197" s="2"/>
      <c r="K197" s="18"/>
      <c r="L197" s="18"/>
      <c r="M197" s="18"/>
      <c r="N197" s="18"/>
      <c r="O197" s="126"/>
      <c r="P197" s="126">
        <f>Mar!BI285</f>
        <v>226</v>
      </c>
      <c r="Q197" s="126">
        <f>Mar!BG285</f>
        <v>1</v>
      </c>
      <c r="R197" s="436"/>
      <c r="S197" s="436"/>
      <c r="T197" s="18"/>
      <c r="U197" s="18"/>
      <c r="V197" s="127"/>
      <c r="W197" s="45"/>
      <c r="X197" s="67"/>
    </row>
    <row r="198" spans="1:25" ht="15" customHeight="1">
      <c r="A198" s="427"/>
      <c r="B198" s="122" t="s">
        <v>131</v>
      </c>
      <c r="C198" s="180" t="s">
        <v>194</v>
      </c>
      <c r="D198" s="48" t="s">
        <v>132</v>
      </c>
      <c r="E198" s="441"/>
      <c r="F198" s="118" t="s">
        <v>64</v>
      </c>
      <c r="G198" s="119"/>
      <c r="H198" s="126"/>
      <c r="I198" s="126"/>
      <c r="J198" s="2"/>
      <c r="K198" s="18"/>
      <c r="L198" s="18"/>
      <c r="M198" s="18"/>
      <c r="N198" s="18"/>
      <c r="O198" s="126"/>
      <c r="P198" s="126"/>
      <c r="Q198" s="126">
        <f>Mar!BG287</f>
        <v>1</v>
      </c>
      <c r="R198" s="436"/>
      <c r="S198" s="436"/>
      <c r="T198" s="18"/>
      <c r="U198" s="18"/>
      <c r="V198" s="18"/>
      <c r="W198" s="45"/>
      <c r="X198" s="67"/>
    </row>
    <row r="199" spans="1:25" ht="15" customHeight="1">
      <c r="A199" s="427"/>
      <c r="B199" s="122" t="s">
        <v>101</v>
      </c>
      <c r="C199" s="180" t="s">
        <v>193</v>
      </c>
      <c r="D199" s="48" t="s">
        <v>102</v>
      </c>
      <c r="E199" s="441"/>
      <c r="F199" s="118" t="s">
        <v>64</v>
      </c>
      <c r="G199" s="119"/>
      <c r="H199" s="126"/>
      <c r="I199" s="126"/>
      <c r="J199" s="2"/>
      <c r="K199" s="18"/>
      <c r="L199" s="18"/>
      <c r="M199" s="18"/>
      <c r="N199" s="18"/>
      <c r="O199" s="126"/>
      <c r="P199" s="126"/>
      <c r="Q199" s="126">
        <f>Mar!BG288</f>
        <v>1</v>
      </c>
      <c r="R199" s="436"/>
      <c r="S199" s="436"/>
      <c r="T199" s="18"/>
      <c r="U199" s="18"/>
      <c r="V199" s="18"/>
      <c r="W199" s="45"/>
      <c r="X199" s="67"/>
    </row>
    <row r="200" spans="1:25" ht="15" customHeight="1">
      <c r="A200" s="427"/>
      <c r="B200" s="122" t="s">
        <v>103</v>
      </c>
      <c r="C200" s="157" t="s">
        <v>197</v>
      </c>
      <c r="D200" s="48" t="s">
        <v>104</v>
      </c>
      <c r="E200" s="441"/>
      <c r="F200" s="118" t="s">
        <v>105</v>
      </c>
      <c r="G200" s="119"/>
      <c r="H200" s="126"/>
      <c r="I200" s="126"/>
      <c r="J200" s="2"/>
      <c r="K200" s="18"/>
      <c r="L200" s="18"/>
      <c r="M200" s="18"/>
      <c r="N200" s="18"/>
      <c r="O200" s="126"/>
      <c r="P200" s="126"/>
      <c r="Q200" s="126">
        <f>Mar!BG289</f>
        <v>1</v>
      </c>
      <c r="R200" s="436"/>
      <c r="S200" s="436"/>
      <c r="T200" s="18"/>
      <c r="U200" s="18"/>
      <c r="V200" s="18"/>
      <c r="W200" s="45"/>
      <c r="X200" s="67"/>
    </row>
    <row r="201" spans="1:25" ht="15" customHeight="1">
      <c r="A201" s="427"/>
      <c r="B201" s="137" t="s">
        <v>112</v>
      </c>
      <c r="C201" s="157" t="s">
        <v>197</v>
      </c>
      <c r="D201" s="48" t="s">
        <v>104</v>
      </c>
      <c r="E201" s="441"/>
      <c r="F201" s="118" t="s">
        <v>113</v>
      </c>
      <c r="G201" s="119"/>
      <c r="H201" s="126"/>
      <c r="I201" s="126"/>
      <c r="J201" s="2"/>
      <c r="K201" s="18"/>
      <c r="L201" s="18"/>
      <c r="M201" s="18"/>
      <c r="N201" s="18"/>
      <c r="O201" s="126"/>
      <c r="P201" s="126"/>
      <c r="Q201" s="126">
        <f>Mar!BG292</f>
        <v>1</v>
      </c>
      <c r="R201" s="436"/>
      <c r="S201" s="436"/>
      <c r="T201" s="18"/>
      <c r="U201" s="18"/>
      <c r="V201" s="18"/>
      <c r="W201" s="45"/>
      <c r="X201" s="67"/>
    </row>
    <row r="202" spans="1:25" ht="15" customHeight="1">
      <c r="A202" s="427"/>
      <c r="B202" s="137" t="s">
        <v>106</v>
      </c>
      <c r="C202" s="157" t="s">
        <v>141</v>
      </c>
      <c r="D202" s="48" t="s">
        <v>68</v>
      </c>
      <c r="E202" s="441"/>
      <c r="F202" s="118" t="s">
        <v>67</v>
      </c>
      <c r="G202" s="119"/>
      <c r="H202" s="126"/>
      <c r="I202" s="126"/>
      <c r="J202" s="2"/>
      <c r="K202" s="18"/>
      <c r="L202" s="18"/>
      <c r="M202" s="18"/>
      <c r="N202" s="18"/>
      <c r="O202" s="126"/>
      <c r="P202" s="126"/>
      <c r="Q202" s="126">
        <f>Mar!BG290</f>
        <v>1</v>
      </c>
      <c r="R202" s="436"/>
      <c r="S202" s="436"/>
      <c r="T202" s="18"/>
      <c r="U202" s="18"/>
      <c r="V202" s="18"/>
      <c r="W202" s="45"/>
      <c r="X202" s="67"/>
    </row>
    <row r="203" spans="1:25" ht="15" customHeight="1" thickBot="1">
      <c r="A203" s="428"/>
      <c r="B203" s="44" t="s">
        <v>107</v>
      </c>
      <c r="C203" s="181" t="s">
        <v>195</v>
      </c>
      <c r="D203" s="61" t="s">
        <v>108</v>
      </c>
      <c r="E203" s="447"/>
      <c r="F203" s="133" t="s">
        <v>48</v>
      </c>
      <c r="G203" s="132"/>
      <c r="H203" s="109"/>
      <c r="I203" s="134"/>
      <c r="J203" s="129"/>
      <c r="K203" s="130"/>
      <c r="L203" s="130"/>
      <c r="M203" s="130"/>
      <c r="N203" s="130"/>
      <c r="O203" s="134"/>
      <c r="P203" s="134"/>
      <c r="Q203" s="134">
        <f>Mar!BG291</f>
        <v>1</v>
      </c>
      <c r="R203" s="437"/>
      <c r="S203" s="437"/>
      <c r="T203" s="130"/>
      <c r="U203" s="130"/>
      <c r="V203" s="128"/>
      <c r="W203" s="85"/>
      <c r="X203" s="67"/>
    </row>
    <row r="204" spans="1:25" ht="15" customHeight="1">
      <c r="A204" s="426">
        <v>46093</v>
      </c>
      <c r="B204" s="429" t="s">
        <v>44</v>
      </c>
      <c r="C204" s="432" t="s">
        <v>240</v>
      </c>
      <c r="D204" s="19" t="s">
        <v>37</v>
      </c>
      <c r="E204" s="19" t="s">
        <v>25</v>
      </c>
      <c r="F204" s="39" t="s">
        <v>40</v>
      </c>
      <c r="G204" s="41"/>
      <c r="H204" s="32"/>
      <c r="I204" s="32"/>
      <c r="J204" s="32"/>
      <c r="K204" s="20">
        <v>40000</v>
      </c>
      <c r="L204" s="20">
        <v>5</v>
      </c>
      <c r="M204" s="20">
        <v>120000</v>
      </c>
      <c r="N204" s="84">
        <v>15</v>
      </c>
      <c r="O204" s="32">
        <f>Mar!BK273</f>
        <v>27304</v>
      </c>
      <c r="P204" s="32">
        <f>Mar!BL273</f>
        <v>28244</v>
      </c>
      <c r="Q204" s="32">
        <f>Mar!BJ273</f>
        <v>80</v>
      </c>
      <c r="R204" s="435">
        <f>Mar!BK294</f>
        <v>64228</v>
      </c>
      <c r="S204" s="435">
        <f>Mar!BL294</f>
        <v>68400</v>
      </c>
      <c r="T204" s="20">
        <v>34516</v>
      </c>
      <c r="U204" s="20">
        <v>14</v>
      </c>
      <c r="V204" s="20">
        <f>O204-T204-U204+V183</f>
        <v>30664</v>
      </c>
      <c r="W204" s="77"/>
      <c r="X204" s="36"/>
    </row>
    <row r="205" spans="1:25" ht="15" customHeight="1">
      <c r="A205" s="427"/>
      <c r="B205" s="431"/>
      <c r="C205" s="434"/>
      <c r="D205" s="113" t="s">
        <v>128</v>
      </c>
      <c r="E205" s="113" t="s">
        <v>24</v>
      </c>
      <c r="F205" s="114" t="s">
        <v>40</v>
      </c>
      <c r="G205" s="170">
        <v>7147.53</v>
      </c>
      <c r="H205" s="158"/>
      <c r="I205" s="125"/>
      <c r="J205" s="125"/>
      <c r="K205" s="18"/>
      <c r="L205" s="127"/>
      <c r="M205" s="216">
        <v>120000</v>
      </c>
      <c r="N205" s="238">
        <v>15</v>
      </c>
      <c r="O205" s="126">
        <f>Mar!BK274</f>
        <v>15514</v>
      </c>
      <c r="P205" s="125">
        <f>Mar!BL274</f>
        <v>19578</v>
      </c>
      <c r="Q205" s="125">
        <f>Mar!BJ274</f>
        <v>55</v>
      </c>
      <c r="R205" s="436"/>
      <c r="S205" s="436"/>
      <c r="T205" s="127">
        <v>17992</v>
      </c>
      <c r="U205" s="127">
        <v>2</v>
      </c>
      <c r="V205" s="127">
        <f>O205-T205-U205+V184</f>
        <v>17189</v>
      </c>
      <c r="W205" s="46"/>
      <c r="X205" s="67"/>
    </row>
    <row r="206" spans="1:25" ht="15" customHeight="1">
      <c r="A206" s="427"/>
      <c r="B206" s="442" t="s">
        <v>45</v>
      </c>
      <c r="C206" s="448" t="s">
        <v>59</v>
      </c>
      <c r="D206" s="118" t="s">
        <v>75</v>
      </c>
      <c r="E206" s="438" t="s">
        <v>25</v>
      </c>
      <c r="F206" s="131" t="s">
        <v>57</v>
      </c>
      <c r="G206" s="87"/>
      <c r="H206" s="136"/>
      <c r="I206" s="126"/>
      <c r="J206" s="2"/>
      <c r="K206" s="127"/>
      <c r="L206" s="18"/>
      <c r="M206" s="211">
        <v>45000</v>
      </c>
      <c r="N206" s="215">
        <v>9</v>
      </c>
      <c r="O206" s="126">
        <f>Mar!BK276</f>
        <v>5127</v>
      </c>
      <c r="P206" s="126">
        <f>Mar!BL276</f>
        <v>2763</v>
      </c>
      <c r="Q206" s="2">
        <f>Mar!BJ276</f>
        <v>11</v>
      </c>
      <c r="R206" s="436"/>
      <c r="S206" s="436"/>
      <c r="T206" s="18"/>
      <c r="U206" s="18"/>
      <c r="V206" s="127">
        <f>O206-T206-U206+V185</f>
        <v>117175</v>
      </c>
      <c r="W206" s="46"/>
      <c r="Y206" s="13"/>
    </row>
    <row r="207" spans="1:25" ht="15" customHeight="1">
      <c r="A207" s="427"/>
      <c r="B207" s="439"/>
      <c r="C207" s="440"/>
      <c r="D207" s="118" t="s">
        <v>94</v>
      </c>
      <c r="E207" s="431"/>
      <c r="F207" s="131"/>
      <c r="G207" s="87"/>
      <c r="H207" s="152">
        <v>1620</v>
      </c>
      <c r="I207" s="126"/>
      <c r="J207" s="2"/>
      <c r="K207" s="127"/>
      <c r="L207" s="18"/>
      <c r="M207" s="211"/>
      <c r="N207" s="215"/>
      <c r="O207" s="126"/>
      <c r="P207" s="126"/>
      <c r="Q207" s="2"/>
      <c r="R207" s="436"/>
      <c r="S207" s="436"/>
      <c r="T207" s="18"/>
      <c r="U207" s="18"/>
      <c r="V207" s="127"/>
      <c r="W207" s="46"/>
      <c r="Y207" s="13"/>
    </row>
    <row r="208" spans="1:25">
      <c r="A208" s="427"/>
      <c r="B208" s="439"/>
      <c r="C208" s="440"/>
      <c r="D208" s="118" t="s">
        <v>72</v>
      </c>
      <c r="E208" s="155" t="s">
        <v>24</v>
      </c>
      <c r="F208" s="131" t="s">
        <v>57</v>
      </c>
      <c r="G208" s="136"/>
      <c r="H208" s="136"/>
      <c r="I208" s="126"/>
      <c r="J208" s="126"/>
      <c r="K208" s="127"/>
      <c r="L208" s="18"/>
      <c r="M208" s="18">
        <v>95000</v>
      </c>
      <c r="N208" s="80">
        <v>19</v>
      </c>
      <c r="O208" s="126">
        <f>Mar!BK277</f>
        <v>1872</v>
      </c>
      <c r="P208" s="126">
        <f>Mar!BL277</f>
        <v>4650</v>
      </c>
      <c r="Q208" s="2">
        <f>Mar!BJ277</f>
        <v>19</v>
      </c>
      <c r="R208" s="436"/>
      <c r="S208" s="436"/>
      <c r="T208" s="18">
        <v>5322</v>
      </c>
      <c r="U208" s="18">
        <v>7</v>
      </c>
      <c r="V208" s="127">
        <f>O208-T208-U208+V186</f>
        <v>800</v>
      </c>
      <c r="W208" s="46"/>
      <c r="Y208" s="13"/>
    </row>
    <row r="209" spans="1:25">
      <c r="A209" s="427"/>
      <c r="B209" s="439"/>
      <c r="C209" s="440"/>
      <c r="D209" s="115" t="s">
        <v>79</v>
      </c>
      <c r="E209" s="118" t="s">
        <v>65</v>
      </c>
      <c r="F209" s="131" t="s">
        <v>57</v>
      </c>
      <c r="G209" s="224"/>
      <c r="H209" s="152"/>
      <c r="I209" s="126"/>
      <c r="J209" s="126"/>
      <c r="K209" s="127"/>
      <c r="L209" s="18"/>
      <c r="M209" s="18"/>
      <c r="N209" s="80"/>
      <c r="O209" s="126">
        <f>Mar!BK278</f>
        <v>3873</v>
      </c>
      <c r="P209" s="126">
        <f>Mar!BL278</f>
        <v>2951</v>
      </c>
      <c r="Q209" s="126">
        <f>Mar!BJ278</f>
        <v>12</v>
      </c>
      <c r="R209" s="436"/>
      <c r="S209" s="436"/>
      <c r="T209" s="18">
        <v>4700</v>
      </c>
      <c r="U209" s="18">
        <v>6</v>
      </c>
      <c r="V209" s="127">
        <f t="shared" ref="V209:V218" si="8">O209-T209-U209+V188</f>
        <v>3254</v>
      </c>
      <c r="W209" s="46"/>
      <c r="Y209" s="13"/>
    </row>
    <row r="210" spans="1:25" ht="14.25" customHeight="1">
      <c r="A210" s="427"/>
      <c r="B210" s="137" t="s">
        <v>53</v>
      </c>
      <c r="C210" s="157" t="s">
        <v>60</v>
      </c>
      <c r="D210" s="43" t="s">
        <v>130</v>
      </c>
      <c r="E210" s="115" t="s">
        <v>66</v>
      </c>
      <c r="F210" s="118" t="s">
        <v>54</v>
      </c>
      <c r="G210" s="224"/>
      <c r="H210" s="37"/>
      <c r="I210" s="126"/>
      <c r="J210" s="126"/>
      <c r="K210" s="18">
        <v>11900</v>
      </c>
      <c r="L210" s="18">
        <v>3</v>
      </c>
      <c r="M210" s="18">
        <v>78000</v>
      </c>
      <c r="N210" s="80">
        <v>13</v>
      </c>
      <c r="O210" s="126">
        <f>Mar!BK275</f>
        <v>5096</v>
      </c>
      <c r="P210" s="126">
        <f>Mar!BL275</f>
        <v>8787</v>
      </c>
      <c r="Q210" s="126">
        <f>Mar!BJ275</f>
        <v>26</v>
      </c>
      <c r="R210" s="436"/>
      <c r="S210" s="436"/>
      <c r="T210" s="18">
        <v>13574</v>
      </c>
      <c r="U210" s="18"/>
      <c r="V210" s="127">
        <f t="shared" si="8"/>
        <v>1501</v>
      </c>
      <c r="W210" s="45"/>
      <c r="X210" s="36"/>
    </row>
    <row r="211" spans="1:25" ht="14.25" customHeight="1">
      <c r="A211" s="427"/>
      <c r="B211" s="122" t="s">
        <v>55</v>
      </c>
      <c r="C211" s="180" t="s">
        <v>133</v>
      </c>
      <c r="D211" s="48" t="s">
        <v>56</v>
      </c>
      <c r="E211" s="424" t="s">
        <v>25</v>
      </c>
      <c r="F211" s="118" t="s">
        <v>67</v>
      </c>
      <c r="G211" s="224"/>
      <c r="H211" s="37"/>
      <c r="I211" s="126"/>
      <c r="J211" s="126"/>
      <c r="K211" s="18"/>
      <c r="L211" s="18"/>
      <c r="M211" s="18">
        <v>2800</v>
      </c>
      <c r="N211" s="80">
        <v>1</v>
      </c>
      <c r="O211" s="126"/>
      <c r="P211" s="126"/>
      <c r="Q211" s="126">
        <f>Mar!BJ293</f>
        <v>2</v>
      </c>
      <c r="R211" s="436"/>
      <c r="S211" s="436"/>
      <c r="T211" s="18"/>
      <c r="U211" s="18"/>
      <c r="V211" s="127">
        <f t="shared" si="8"/>
        <v>500</v>
      </c>
      <c r="W211" s="45"/>
      <c r="X211" s="67"/>
    </row>
    <row r="212" spans="1:25" ht="14.25" customHeight="1">
      <c r="A212" s="427"/>
      <c r="B212" s="122" t="s">
        <v>122</v>
      </c>
      <c r="C212" s="180" t="s">
        <v>123</v>
      </c>
      <c r="D212" s="48" t="s">
        <v>56</v>
      </c>
      <c r="E212" s="441"/>
      <c r="F212" s="155" t="s">
        <v>64</v>
      </c>
      <c r="G212" s="224"/>
      <c r="H212" s="135"/>
      <c r="I212" s="158"/>
      <c r="J212" s="158"/>
      <c r="K212" s="128"/>
      <c r="L212" s="128"/>
      <c r="M212" s="128">
        <v>6400</v>
      </c>
      <c r="N212" s="164">
        <v>2</v>
      </c>
      <c r="O212" s="158"/>
      <c r="P212" s="158"/>
      <c r="Q212" s="158">
        <f>Mar!BJ282</f>
        <v>4</v>
      </c>
      <c r="R212" s="436"/>
      <c r="S212" s="436"/>
      <c r="T212" s="18"/>
      <c r="U212" s="18"/>
      <c r="V212" s="127">
        <f t="shared" si="8"/>
        <v>31304</v>
      </c>
      <c r="W212" s="45"/>
      <c r="X212" s="67"/>
    </row>
    <row r="213" spans="1:25" ht="15.75" customHeight="1">
      <c r="A213" s="427"/>
      <c r="B213" s="137" t="s">
        <v>58</v>
      </c>
      <c r="C213" s="157" t="s">
        <v>243</v>
      </c>
      <c r="D213" s="48" t="s">
        <v>56</v>
      </c>
      <c r="E213" s="441"/>
      <c r="F213" s="118" t="s">
        <v>64</v>
      </c>
      <c r="G213" s="226"/>
      <c r="H213" s="126"/>
      <c r="I213" s="126"/>
      <c r="J213" s="2"/>
      <c r="K213" s="18"/>
      <c r="L213" s="18"/>
      <c r="M213" s="18"/>
      <c r="N213" s="18"/>
      <c r="O213" s="126"/>
      <c r="P213" s="126"/>
      <c r="Q213" s="126">
        <f>Mar!BJ283</f>
        <v>1</v>
      </c>
      <c r="R213" s="436"/>
      <c r="S213" s="436"/>
      <c r="T213" s="18"/>
      <c r="U213" s="18"/>
      <c r="V213" s="127">
        <f t="shared" si="8"/>
        <v>8562</v>
      </c>
      <c r="W213" s="45"/>
      <c r="X213" s="67"/>
    </row>
    <row r="214" spans="1:25" ht="15" customHeight="1">
      <c r="A214" s="427"/>
      <c r="B214" s="122" t="s">
        <v>61</v>
      </c>
      <c r="C214" s="180" t="s">
        <v>137</v>
      </c>
      <c r="D214" s="48" t="s">
        <v>56</v>
      </c>
      <c r="E214" s="441"/>
      <c r="F214" s="118" t="s">
        <v>67</v>
      </c>
      <c r="G214" s="119"/>
      <c r="H214" s="126"/>
      <c r="I214" s="126"/>
      <c r="J214" s="2"/>
      <c r="K214" s="18"/>
      <c r="L214" s="18"/>
      <c r="M214" s="18"/>
      <c r="N214" s="18"/>
      <c r="O214" s="126"/>
      <c r="P214" s="126"/>
      <c r="Q214" s="126">
        <f>Mar!BJ284</f>
        <v>2</v>
      </c>
      <c r="R214" s="436"/>
      <c r="S214" s="436"/>
      <c r="T214" s="18"/>
      <c r="U214" s="18"/>
      <c r="V214" s="127">
        <f t="shared" si="8"/>
        <v>5844</v>
      </c>
      <c r="W214" s="45"/>
      <c r="X214" s="67"/>
    </row>
    <row r="215" spans="1:25" ht="14.25" customHeight="1">
      <c r="A215" s="427"/>
      <c r="B215" s="122" t="s">
        <v>125</v>
      </c>
      <c r="C215" s="180" t="s">
        <v>88</v>
      </c>
      <c r="D215" s="48" t="s">
        <v>124</v>
      </c>
      <c r="E215" s="441"/>
      <c r="F215" s="118" t="s">
        <v>64</v>
      </c>
      <c r="G215" s="225"/>
      <c r="H215" s="126"/>
      <c r="I215" s="126"/>
      <c r="J215" s="126"/>
      <c r="K215" s="18"/>
      <c r="L215" s="18"/>
      <c r="M215" s="18">
        <v>51200</v>
      </c>
      <c r="N215" s="80">
        <v>7</v>
      </c>
      <c r="O215" s="126">
        <f>Mar!BK279</f>
        <v>2239</v>
      </c>
      <c r="P215" s="126">
        <f>Mar!BL279</f>
        <v>501</v>
      </c>
      <c r="Q215" s="126">
        <f>Mar!BJ279</f>
        <v>3</v>
      </c>
      <c r="R215" s="436"/>
      <c r="S215" s="436"/>
      <c r="T215" s="18"/>
      <c r="U215" s="18"/>
      <c r="V215" s="127">
        <f t="shared" si="8"/>
        <v>46442</v>
      </c>
      <c r="W215" s="45"/>
      <c r="X215" s="67"/>
    </row>
    <row r="216" spans="1:25" ht="15" customHeight="1">
      <c r="A216" s="427"/>
      <c r="B216" s="137" t="s">
        <v>47</v>
      </c>
      <c r="C216" s="157" t="s">
        <v>100</v>
      </c>
      <c r="D216" s="48" t="s">
        <v>99</v>
      </c>
      <c r="E216" s="441"/>
      <c r="F216" s="118" t="s">
        <v>71</v>
      </c>
      <c r="G216" s="226"/>
      <c r="H216" s="126"/>
      <c r="I216" s="126"/>
      <c r="J216" s="2"/>
      <c r="K216" s="18"/>
      <c r="L216" s="18"/>
      <c r="M216" s="18">
        <v>18000</v>
      </c>
      <c r="N216" s="18">
        <v>3</v>
      </c>
      <c r="O216" s="126">
        <f>Mar!BK280</f>
        <v>1836</v>
      </c>
      <c r="P216" s="126">
        <f>Mar!BL280</f>
        <v>552</v>
      </c>
      <c r="Q216" s="126">
        <f>Mar!BJ280</f>
        <v>2</v>
      </c>
      <c r="R216" s="436"/>
      <c r="S216" s="436"/>
      <c r="T216" s="18"/>
      <c r="U216" s="18"/>
      <c r="V216" s="127">
        <f t="shared" si="8"/>
        <v>78130</v>
      </c>
      <c r="W216" s="45"/>
      <c r="X216" s="67"/>
    </row>
    <row r="217" spans="1:25" ht="15" customHeight="1">
      <c r="A217" s="427"/>
      <c r="B217" s="122" t="s">
        <v>196</v>
      </c>
      <c r="C217" s="180" t="s">
        <v>63</v>
      </c>
      <c r="D217" s="48" t="s">
        <v>135</v>
      </c>
      <c r="E217" s="441"/>
      <c r="F217" s="118" t="s">
        <v>64</v>
      </c>
      <c r="G217" s="226"/>
      <c r="H217" s="126"/>
      <c r="I217" s="126"/>
      <c r="J217" s="2"/>
      <c r="K217" s="18"/>
      <c r="L217" s="18"/>
      <c r="M217" s="18">
        <v>33200</v>
      </c>
      <c r="N217" s="18">
        <v>4</v>
      </c>
      <c r="O217" s="126">
        <f>Mar!BK281</f>
        <v>864</v>
      </c>
      <c r="P217" s="126">
        <f>Mar!BL281</f>
        <v>299</v>
      </c>
      <c r="Q217" s="126">
        <f>Mar!BJ281</f>
        <v>1</v>
      </c>
      <c r="R217" s="436"/>
      <c r="S217" s="436"/>
      <c r="T217" s="18"/>
      <c r="U217" s="18"/>
      <c r="V217" s="127">
        <f t="shared" si="8"/>
        <v>28974</v>
      </c>
      <c r="W217" s="45"/>
      <c r="X217" s="67"/>
    </row>
    <row r="218" spans="1:25" ht="15" customHeight="1">
      <c r="A218" s="427"/>
      <c r="B218" s="122" t="s">
        <v>253</v>
      </c>
      <c r="C218" s="180" t="s">
        <v>252</v>
      </c>
      <c r="D218" s="48" t="s">
        <v>246</v>
      </c>
      <c r="E218" s="441"/>
      <c r="F218" s="118" t="s">
        <v>247</v>
      </c>
      <c r="G218" s="226"/>
      <c r="H218" s="126"/>
      <c r="I218" s="126"/>
      <c r="J218" s="2"/>
      <c r="K218" s="18"/>
      <c r="L218" s="18"/>
      <c r="M218" s="18"/>
      <c r="N218" s="18"/>
      <c r="O218" s="126">
        <f>Mar!BK285</f>
        <v>503</v>
      </c>
      <c r="P218" s="126">
        <f>Mar!BL285</f>
        <v>75</v>
      </c>
      <c r="Q218" s="126">
        <f>Mar!BJ285</f>
        <v>1</v>
      </c>
      <c r="R218" s="436"/>
      <c r="S218" s="436"/>
      <c r="T218" s="18"/>
      <c r="U218" s="18"/>
      <c r="V218" s="127">
        <f t="shared" si="8"/>
        <v>503</v>
      </c>
      <c r="W218" s="45"/>
      <c r="X218" s="67"/>
    </row>
    <row r="219" spans="1:25" ht="15" customHeight="1">
      <c r="A219" s="427"/>
      <c r="B219" s="122" t="s">
        <v>131</v>
      </c>
      <c r="C219" s="180" t="s">
        <v>194</v>
      </c>
      <c r="D219" s="48" t="s">
        <v>132</v>
      </c>
      <c r="E219" s="441"/>
      <c r="F219" s="118" t="s">
        <v>64</v>
      </c>
      <c r="G219" s="119"/>
      <c r="H219" s="126"/>
      <c r="I219" s="126"/>
      <c r="J219" s="2"/>
      <c r="K219" s="18"/>
      <c r="L219" s="18"/>
      <c r="M219" s="18"/>
      <c r="N219" s="18"/>
      <c r="O219" s="126"/>
      <c r="P219" s="126"/>
      <c r="Q219" s="126">
        <f>Mar!BJ287</f>
        <v>1</v>
      </c>
      <c r="R219" s="436"/>
      <c r="S219" s="436"/>
      <c r="T219" s="18"/>
      <c r="U219" s="18"/>
      <c r="V219" s="18"/>
      <c r="W219" s="45"/>
      <c r="X219" s="67"/>
    </row>
    <row r="220" spans="1:25" ht="15" customHeight="1">
      <c r="A220" s="427"/>
      <c r="B220" s="122" t="s">
        <v>101</v>
      </c>
      <c r="C220" s="180" t="s">
        <v>193</v>
      </c>
      <c r="D220" s="48" t="s">
        <v>102</v>
      </c>
      <c r="E220" s="441"/>
      <c r="F220" s="118" t="s">
        <v>64</v>
      </c>
      <c r="G220" s="119"/>
      <c r="H220" s="126"/>
      <c r="I220" s="126"/>
      <c r="J220" s="2"/>
      <c r="K220" s="18"/>
      <c r="L220" s="18"/>
      <c r="M220" s="18"/>
      <c r="N220" s="18"/>
      <c r="O220" s="126"/>
      <c r="P220" s="126"/>
      <c r="Q220" s="126">
        <f>Mar!BJ288</f>
        <v>1</v>
      </c>
      <c r="R220" s="436"/>
      <c r="S220" s="436"/>
      <c r="T220" s="18"/>
      <c r="U220" s="18"/>
      <c r="V220" s="18"/>
      <c r="W220" s="45"/>
      <c r="X220" s="67"/>
    </row>
    <row r="221" spans="1:25" ht="15" customHeight="1">
      <c r="A221" s="427"/>
      <c r="B221" s="122" t="s">
        <v>103</v>
      </c>
      <c r="C221" s="157" t="s">
        <v>197</v>
      </c>
      <c r="D221" s="48" t="s">
        <v>104</v>
      </c>
      <c r="E221" s="441"/>
      <c r="F221" s="118" t="s">
        <v>105</v>
      </c>
      <c r="G221" s="119"/>
      <c r="H221" s="126"/>
      <c r="I221" s="126"/>
      <c r="J221" s="2"/>
      <c r="K221" s="18"/>
      <c r="L221" s="18"/>
      <c r="M221" s="18"/>
      <c r="N221" s="18"/>
      <c r="O221" s="126"/>
      <c r="P221" s="126"/>
      <c r="Q221" s="126">
        <f>Mar!BJ289</f>
        <v>1</v>
      </c>
      <c r="R221" s="436"/>
      <c r="S221" s="436"/>
      <c r="T221" s="18"/>
      <c r="U221" s="18"/>
      <c r="V221" s="18"/>
      <c r="W221" s="45"/>
      <c r="X221" s="67"/>
    </row>
    <row r="222" spans="1:25" ht="15" customHeight="1">
      <c r="A222" s="427"/>
      <c r="B222" s="137" t="s">
        <v>112</v>
      </c>
      <c r="C222" s="157" t="s">
        <v>197</v>
      </c>
      <c r="D222" s="48" t="s">
        <v>104</v>
      </c>
      <c r="E222" s="441"/>
      <c r="F222" s="118" t="s">
        <v>113</v>
      </c>
      <c r="G222" s="119"/>
      <c r="H222" s="126"/>
      <c r="I222" s="126"/>
      <c r="J222" s="2"/>
      <c r="K222" s="18"/>
      <c r="L222" s="18"/>
      <c r="M222" s="18"/>
      <c r="N222" s="18"/>
      <c r="O222" s="126"/>
      <c r="P222" s="126"/>
      <c r="Q222" s="126">
        <f>Mar!BJ292</f>
        <v>1</v>
      </c>
      <c r="R222" s="436"/>
      <c r="S222" s="436"/>
      <c r="T222" s="18"/>
      <c r="U222" s="18"/>
      <c r="V222" s="18"/>
      <c r="W222" s="45"/>
      <c r="X222" s="67"/>
    </row>
    <row r="223" spans="1:25" ht="15" customHeight="1">
      <c r="A223" s="427"/>
      <c r="B223" s="137" t="s">
        <v>106</v>
      </c>
      <c r="C223" s="157" t="s">
        <v>141</v>
      </c>
      <c r="D223" s="48" t="s">
        <v>68</v>
      </c>
      <c r="E223" s="441"/>
      <c r="F223" s="118" t="s">
        <v>67</v>
      </c>
      <c r="G223" s="119"/>
      <c r="H223" s="126"/>
      <c r="I223" s="126"/>
      <c r="J223" s="2"/>
      <c r="K223" s="18"/>
      <c r="L223" s="18"/>
      <c r="M223" s="18"/>
      <c r="N223" s="18"/>
      <c r="O223" s="126"/>
      <c r="P223" s="126"/>
      <c r="Q223" s="126">
        <f>Mar!BJ290</f>
        <v>1</v>
      </c>
      <c r="R223" s="436"/>
      <c r="S223" s="436"/>
      <c r="T223" s="18"/>
      <c r="U223" s="18"/>
      <c r="V223" s="18"/>
      <c r="W223" s="45"/>
      <c r="X223" s="67"/>
    </row>
    <row r="224" spans="1:25" ht="15" customHeight="1" thickBot="1">
      <c r="A224" s="428"/>
      <c r="B224" s="44" t="s">
        <v>107</v>
      </c>
      <c r="C224" s="181" t="s">
        <v>195</v>
      </c>
      <c r="D224" s="61" t="s">
        <v>108</v>
      </c>
      <c r="E224" s="447"/>
      <c r="F224" s="133" t="s">
        <v>48</v>
      </c>
      <c r="G224" s="132"/>
      <c r="H224" s="109"/>
      <c r="I224" s="134"/>
      <c r="J224" s="129"/>
      <c r="K224" s="130"/>
      <c r="L224" s="130"/>
      <c r="M224" s="130"/>
      <c r="N224" s="130"/>
      <c r="O224" s="134"/>
      <c r="P224" s="134"/>
      <c r="Q224" s="134">
        <f>Mar!BJ291</f>
        <v>1</v>
      </c>
      <c r="R224" s="437"/>
      <c r="S224" s="437"/>
      <c r="T224" s="130"/>
      <c r="U224" s="130"/>
      <c r="V224" s="128"/>
      <c r="W224" s="85"/>
      <c r="X224" s="67"/>
    </row>
    <row r="225" spans="1:25" ht="15" customHeight="1">
      <c r="A225" s="426">
        <v>46094</v>
      </c>
      <c r="B225" s="429" t="s">
        <v>44</v>
      </c>
      <c r="C225" s="432" t="s">
        <v>240</v>
      </c>
      <c r="D225" s="19" t="s">
        <v>37</v>
      </c>
      <c r="E225" s="19" t="s">
        <v>25</v>
      </c>
      <c r="F225" s="39" t="s">
        <v>40</v>
      </c>
      <c r="G225" s="41"/>
      <c r="H225" s="32">
        <v>5744</v>
      </c>
      <c r="I225" s="32"/>
      <c r="J225" s="32"/>
      <c r="K225" s="20">
        <v>32000</v>
      </c>
      <c r="L225" s="20">
        <v>4</v>
      </c>
      <c r="M225" s="20">
        <v>88000</v>
      </c>
      <c r="N225" s="84">
        <v>11</v>
      </c>
      <c r="O225" s="32">
        <f>Mar!BN273</f>
        <v>20802</v>
      </c>
      <c r="P225" s="32">
        <f>Mar!BO273</f>
        <v>30087</v>
      </c>
      <c r="Q225" s="32">
        <f>Mar!BM273</f>
        <v>84</v>
      </c>
      <c r="R225" s="435">
        <f>Mar!BN294</f>
        <v>82061</v>
      </c>
      <c r="S225" s="435">
        <f>Mar!BO294</f>
        <v>69909</v>
      </c>
      <c r="T225" s="20">
        <v>26322</v>
      </c>
      <c r="U225" s="20"/>
      <c r="V225" s="20">
        <f>O225-T225-U225+V204</f>
        <v>25144</v>
      </c>
      <c r="W225" s="77"/>
      <c r="X225" s="36"/>
    </row>
    <row r="226" spans="1:25" ht="15" customHeight="1">
      <c r="A226" s="427"/>
      <c r="B226" s="431"/>
      <c r="C226" s="434"/>
      <c r="D226" s="113" t="s">
        <v>128</v>
      </c>
      <c r="E226" s="113" t="s">
        <v>24</v>
      </c>
      <c r="F226" s="114" t="s">
        <v>40</v>
      </c>
      <c r="G226" s="170">
        <v>4907.05</v>
      </c>
      <c r="H226" s="158"/>
      <c r="I226" s="125"/>
      <c r="J226" s="125"/>
      <c r="K226" s="18">
        <v>8000</v>
      </c>
      <c r="L226" s="127">
        <v>1</v>
      </c>
      <c r="M226" s="216">
        <v>183400</v>
      </c>
      <c r="N226" s="238">
        <v>23</v>
      </c>
      <c r="O226" s="126">
        <f>Mar!BN274</f>
        <v>34771</v>
      </c>
      <c r="P226" s="125">
        <f>Mar!BO274</f>
        <v>19531</v>
      </c>
      <c r="Q226" s="125">
        <f>Mar!BM274</f>
        <v>55</v>
      </c>
      <c r="R226" s="436"/>
      <c r="S226" s="436"/>
      <c r="T226" s="127">
        <v>17650</v>
      </c>
      <c r="U226" s="127">
        <v>2</v>
      </c>
      <c r="V226" s="127">
        <f>O226-T226-U226+V205</f>
        <v>34308</v>
      </c>
      <c r="W226" s="46"/>
      <c r="X226" s="67"/>
    </row>
    <row r="227" spans="1:25" ht="15" customHeight="1">
      <c r="A227" s="427"/>
      <c r="B227" s="442" t="s">
        <v>45</v>
      </c>
      <c r="C227" s="448" t="s">
        <v>59</v>
      </c>
      <c r="D227" s="118" t="s">
        <v>75</v>
      </c>
      <c r="E227" s="131" t="s">
        <v>25</v>
      </c>
      <c r="F227" s="131" t="s">
        <v>57</v>
      </c>
      <c r="G227" s="87"/>
      <c r="H227" s="136"/>
      <c r="I227" s="126"/>
      <c r="J227" s="2"/>
      <c r="K227" s="127"/>
      <c r="L227" s="18"/>
      <c r="M227" s="18">
        <v>45000</v>
      </c>
      <c r="N227" s="80">
        <v>9</v>
      </c>
      <c r="O227" s="126">
        <f>Mar!BN276</f>
        <v>2582</v>
      </c>
      <c r="P227" s="126">
        <f>Mar!BO276</f>
        <v>2769</v>
      </c>
      <c r="Q227" s="2">
        <f>Mar!BM276</f>
        <v>11</v>
      </c>
      <c r="R227" s="436"/>
      <c r="S227" s="436"/>
      <c r="T227" s="18"/>
      <c r="U227" s="18"/>
      <c r="V227" s="127">
        <f>O227-T227-U227+V206</f>
        <v>119757</v>
      </c>
      <c r="W227" s="46"/>
      <c r="Y227" s="13"/>
    </row>
    <row r="228" spans="1:25">
      <c r="A228" s="427"/>
      <c r="B228" s="439"/>
      <c r="C228" s="440"/>
      <c r="D228" s="118" t="s">
        <v>72</v>
      </c>
      <c r="E228" s="155" t="s">
        <v>24</v>
      </c>
      <c r="F228" s="131" t="s">
        <v>57</v>
      </c>
      <c r="G228" s="136"/>
      <c r="H228" s="136"/>
      <c r="I228" s="126"/>
      <c r="J228" s="126"/>
      <c r="K228" s="127"/>
      <c r="L228" s="18"/>
      <c r="M228" s="18">
        <v>95000</v>
      </c>
      <c r="N228" s="80">
        <v>19</v>
      </c>
      <c r="O228" s="126">
        <f>Mar!BN277</f>
        <v>6152</v>
      </c>
      <c r="P228" s="126">
        <f>Mar!BO277</f>
        <v>4638</v>
      </c>
      <c r="Q228" s="2">
        <f>Mar!BM277</f>
        <v>19</v>
      </c>
      <c r="R228" s="436"/>
      <c r="S228" s="436"/>
      <c r="T228" s="18">
        <v>4844</v>
      </c>
      <c r="U228" s="18"/>
      <c r="V228" s="127">
        <f>O228-T228-U228+V208</f>
        <v>2108</v>
      </c>
      <c r="W228" s="46"/>
      <c r="Y228" s="13"/>
    </row>
    <row r="229" spans="1:25">
      <c r="A229" s="427"/>
      <c r="B229" s="439"/>
      <c r="C229" s="440"/>
      <c r="D229" s="115" t="s">
        <v>79</v>
      </c>
      <c r="E229" s="118" t="s">
        <v>65</v>
      </c>
      <c r="F229" s="131" t="s">
        <v>57</v>
      </c>
      <c r="G229" s="224"/>
      <c r="H229" s="152"/>
      <c r="I229" s="126"/>
      <c r="J229" s="126"/>
      <c r="K229" s="127"/>
      <c r="L229" s="18"/>
      <c r="M229" s="18"/>
      <c r="N229" s="80"/>
      <c r="O229" s="126">
        <f>Mar!BN278</f>
        <v>4038</v>
      </c>
      <c r="P229" s="126">
        <f>Mar!BO278</f>
        <v>2966</v>
      </c>
      <c r="Q229" s="126">
        <f>Mar!BM278</f>
        <v>12</v>
      </c>
      <c r="R229" s="436"/>
      <c r="S229" s="436"/>
      <c r="T229" s="18">
        <v>4709</v>
      </c>
      <c r="U229" s="18"/>
      <c r="V229" s="127">
        <f>O229-T229-U229+V209</f>
        <v>2583</v>
      </c>
      <c r="W229" s="46"/>
      <c r="Y229" s="13"/>
    </row>
    <row r="230" spans="1:25" ht="14.25" customHeight="1">
      <c r="A230" s="427"/>
      <c r="B230" s="442" t="s">
        <v>53</v>
      </c>
      <c r="C230" s="444" t="s">
        <v>60</v>
      </c>
      <c r="D230" s="43" t="s">
        <v>130</v>
      </c>
      <c r="E230" s="115" t="s">
        <v>66</v>
      </c>
      <c r="F230" s="118" t="s">
        <v>54</v>
      </c>
      <c r="G230" s="224"/>
      <c r="H230" s="37"/>
      <c r="I230" s="126"/>
      <c r="J230" s="126"/>
      <c r="K230" s="18">
        <v>6000</v>
      </c>
      <c r="L230" s="18">
        <v>1</v>
      </c>
      <c r="M230" s="18">
        <v>72000</v>
      </c>
      <c r="N230" s="80">
        <v>12</v>
      </c>
      <c r="O230" s="126">
        <f>Mar!BN275</f>
        <v>12314</v>
      </c>
      <c r="P230" s="126">
        <f>Mar!BO275</f>
        <v>8665</v>
      </c>
      <c r="Q230" s="126">
        <f>Mar!BM275</f>
        <v>26</v>
      </c>
      <c r="R230" s="436"/>
      <c r="S230" s="436"/>
      <c r="T230" s="18">
        <v>5880</v>
      </c>
      <c r="U230" s="18"/>
      <c r="V230" s="127">
        <f>O230-T230-U230+V210</f>
        <v>7935</v>
      </c>
      <c r="W230" s="45"/>
      <c r="X230" s="36"/>
    </row>
    <row r="231" spans="1:25" ht="14.25" customHeight="1">
      <c r="A231" s="427"/>
      <c r="B231" s="443"/>
      <c r="C231" s="446"/>
      <c r="D231" s="43" t="s">
        <v>199</v>
      </c>
      <c r="E231" s="114" t="s">
        <v>25</v>
      </c>
      <c r="F231" s="118"/>
      <c r="G231" s="224"/>
      <c r="H231" s="126">
        <v>1581</v>
      </c>
      <c r="I231" s="126"/>
      <c r="J231" s="126"/>
      <c r="K231" s="18"/>
      <c r="L231" s="18"/>
      <c r="M231" s="18"/>
      <c r="N231" s="80"/>
      <c r="O231" s="126"/>
      <c r="P231" s="126"/>
      <c r="Q231" s="126"/>
      <c r="R231" s="436"/>
      <c r="S231" s="436"/>
      <c r="T231" s="18"/>
      <c r="U231" s="18"/>
      <c r="V231" s="127"/>
      <c r="W231" s="45"/>
      <c r="X231" s="67"/>
    </row>
    <row r="232" spans="1:25" ht="14.25" customHeight="1">
      <c r="A232" s="427"/>
      <c r="B232" s="122" t="s">
        <v>55</v>
      </c>
      <c r="C232" s="180" t="s">
        <v>133</v>
      </c>
      <c r="D232" s="48" t="s">
        <v>56</v>
      </c>
      <c r="E232" s="424" t="s">
        <v>25</v>
      </c>
      <c r="F232" s="118" t="s">
        <v>67</v>
      </c>
      <c r="G232" s="224"/>
      <c r="H232" s="37"/>
      <c r="I232" s="126"/>
      <c r="J232" s="126"/>
      <c r="K232" s="18"/>
      <c r="L232" s="18"/>
      <c r="M232" s="18">
        <v>2800</v>
      </c>
      <c r="N232" s="80">
        <v>1</v>
      </c>
      <c r="O232" s="126"/>
      <c r="P232" s="126"/>
      <c r="Q232" s="126">
        <f>Mar!BM293</f>
        <v>2</v>
      </c>
      <c r="R232" s="436"/>
      <c r="S232" s="436"/>
      <c r="T232" s="18"/>
      <c r="U232" s="18"/>
      <c r="V232" s="127">
        <f t="shared" ref="V232:V238" si="9">O232-T232-U232+V211</f>
        <v>500</v>
      </c>
      <c r="W232" s="45"/>
      <c r="X232" s="67"/>
    </row>
    <row r="233" spans="1:25" ht="14.25" customHeight="1">
      <c r="A233" s="427"/>
      <c r="B233" s="122" t="s">
        <v>122</v>
      </c>
      <c r="C233" s="180" t="s">
        <v>123</v>
      </c>
      <c r="D233" s="48" t="s">
        <v>56</v>
      </c>
      <c r="E233" s="441"/>
      <c r="F233" s="155" t="s">
        <v>64</v>
      </c>
      <c r="G233" s="224"/>
      <c r="H233" s="135"/>
      <c r="I233" s="158"/>
      <c r="J233" s="158"/>
      <c r="K233" s="128"/>
      <c r="L233" s="128"/>
      <c r="M233" s="128">
        <v>6400</v>
      </c>
      <c r="N233" s="164">
        <v>2</v>
      </c>
      <c r="O233" s="158"/>
      <c r="P233" s="158"/>
      <c r="Q233" s="158">
        <f>Mar!BM282</f>
        <v>1</v>
      </c>
      <c r="R233" s="436"/>
      <c r="S233" s="436"/>
      <c r="T233" s="18"/>
      <c r="U233" s="18"/>
      <c r="V233" s="127">
        <f t="shared" si="9"/>
        <v>31304</v>
      </c>
      <c r="W233" s="45"/>
      <c r="X233" s="67"/>
    </row>
    <row r="234" spans="1:25" ht="15.75" customHeight="1">
      <c r="A234" s="427"/>
      <c r="B234" s="137" t="s">
        <v>58</v>
      </c>
      <c r="C234" s="157" t="s">
        <v>243</v>
      </c>
      <c r="D234" s="48" t="s">
        <v>56</v>
      </c>
      <c r="E234" s="441"/>
      <c r="F234" s="118" t="s">
        <v>64</v>
      </c>
      <c r="G234" s="226"/>
      <c r="H234" s="126"/>
      <c r="I234" s="126"/>
      <c r="J234" s="2"/>
      <c r="K234" s="18"/>
      <c r="L234" s="18"/>
      <c r="M234" s="18"/>
      <c r="N234" s="18"/>
      <c r="O234" s="126"/>
      <c r="P234" s="126"/>
      <c r="Q234" s="126">
        <f>Mar!BM283</f>
        <v>1</v>
      </c>
      <c r="R234" s="436"/>
      <c r="S234" s="436"/>
      <c r="T234" s="18"/>
      <c r="U234" s="18"/>
      <c r="V234" s="127">
        <f t="shared" si="9"/>
        <v>8562</v>
      </c>
      <c r="W234" s="45"/>
      <c r="X234" s="67"/>
    </row>
    <row r="235" spans="1:25" ht="15" customHeight="1">
      <c r="A235" s="427"/>
      <c r="B235" s="122" t="s">
        <v>61</v>
      </c>
      <c r="C235" s="180" t="s">
        <v>137</v>
      </c>
      <c r="D235" s="48" t="s">
        <v>56</v>
      </c>
      <c r="E235" s="441"/>
      <c r="F235" s="118" t="s">
        <v>67</v>
      </c>
      <c r="G235" s="119"/>
      <c r="H235" s="126"/>
      <c r="I235" s="126"/>
      <c r="J235" s="2"/>
      <c r="K235" s="18"/>
      <c r="L235" s="18"/>
      <c r="M235" s="18"/>
      <c r="N235" s="18"/>
      <c r="O235" s="126"/>
      <c r="P235" s="126"/>
      <c r="Q235" s="126">
        <f>Mar!BM284</f>
        <v>2</v>
      </c>
      <c r="R235" s="436"/>
      <c r="S235" s="436"/>
      <c r="T235" s="18"/>
      <c r="U235" s="18"/>
      <c r="V235" s="127">
        <f t="shared" si="9"/>
        <v>5844</v>
      </c>
      <c r="W235" s="45"/>
      <c r="X235" s="67"/>
    </row>
    <row r="236" spans="1:25" ht="14.25" customHeight="1">
      <c r="A236" s="427"/>
      <c r="B236" s="122" t="s">
        <v>125</v>
      </c>
      <c r="C236" s="180" t="s">
        <v>88</v>
      </c>
      <c r="D236" s="48" t="s">
        <v>124</v>
      </c>
      <c r="E236" s="441"/>
      <c r="F236" s="118" t="s">
        <v>64</v>
      </c>
      <c r="G236" s="225"/>
      <c r="H236" s="126"/>
      <c r="I236" s="126"/>
      <c r="J236" s="126"/>
      <c r="K236" s="18"/>
      <c r="L236" s="18"/>
      <c r="M236" s="18">
        <v>51200</v>
      </c>
      <c r="N236" s="80">
        <v>7</v>
      </c>
      <c r="O236" s="126">
        <f>Mar!BN279</f>
        <v>1402</v>
      </c>
      <c r="P236" s="126">
        <f>Mar!BO279</f>
        <v>463</v>
      </c>
      <c r="Q236" s="126">
        <f>Mar!BM279</f>
        <v>2</v>
      </c>
      <c r="R236" s="436"/>
      <c r="S236" s="436"/>
      <c r="T236" s="18"/>
      <c r="U236" s="18"/>
      <c r="V236" s="127">
        <f t="shared" si="9"/>
        <v>47844</v>
      </c>
      <c r="W236" s="45"/>
      <c r="X236" s="67"/>
    </row>
    <row r="237" spans="1:25" ht="15" customHeight="1">
      <c r="A237" s="427"/>
      <c r="B237" s="137" t="s">
        <v>47</v>
      </c>
      <c r="C237" s="157" t="s">
        <v>100</v>
      </c>
      <c r="D237" s="48" t="s">
        <v>99</v>
      </c>
      <c r="E237" s="441"/>
      <c r="F237" s="118" t="s">
        <v>71</v>
      </c>
      <c r="G237" s="226"/>
      <c r="H237" s="126"/>
      <c r="I237" s="126"/>
      <c r="J237" s="2"/>
      <c r="K237" s="18"/>
      <c r="L237" s="18"/>
      <c r="M237" s="18">
        <v>18000</v>
      </c>
      <c r="N237" s="18">
        <v>3</v>
      </c>
      <c r="O237" s="126"/>
      <c r="P237" s="126">
        <f>Mar!BO280</f>
        <v>520</v>
      </c>
      <c r="Q237" s="126">
        <f>Mar!BM280</f>
        <v>2</v>
      </c>
      <c r="R237" s="436"/>
      <c r="S237" s="436"/>
      <c r="T237" s="18"/>
      <c r="U237" s="18"/>
      <c r="V237" s="127">
        <f t="shared" si="9"/>
        <v>78130</v>
      </c>
      <c r="W237" s="45"/>
      <c r="X237" s="67"/>
    </row>
    <row r="238" spans="1:25" ht="15" customHeight="1">
      <c r="A238" s="427"/>
      <c r="B238" s="122" t="s">
        <v>196</v>
      </c>
      <c r="C238" s="180" t="s">
        <v>63</v>
      </c>
      <c r="D238" s="48" t="s">
        <v>135</v>
      </c>
      <c r="E238" s="441"/>
      <c r="F238" s="118" t="s">
        <v>64</v>
      </c>
      <c r="G238" s="226"/>
      <c r="H238" s="126"/>
      <c r="I238" s="126"/>
      <c r="J238" s="2"/>
      <c r="K238" s="18"/>
      <c r="L238" s="18"/>
      <c r="M238" s="18">
        <v>33200</v>
      </c>
      <c r="N238" s="18">
        <v>4</v>
      </c>
      <c r="O238" s="126"/>
      <c r="P238" s="126">
        <f>Mar!BO281</f>
        <v>270</v>
      </c>
      <c r="Q238" s="126">
        <f>Mar!BM281</f>
        <v>1</v>
      </c>
      <c r="R238" s="436"/>
      <c r="S238" s="436"/>
      <c r="T238" s="18"/>
      <c r="U238" s="18"/>
      <c r="V238" s="127">
        <f t="shared" si="9"/>
        <v>28974</v>
      </c>
      <c r="W238" s="45"/>
      <c r="X238" s="67"/>
    </row>
    <row r="239" spans="1:25" ht="15" customHeight="1">
      <c r="A239" s="427"/>
      <c r="B239" s="122" t="s">
        <v>253</v>
      </c>
      <c r="C239" s="180" t="s">
        <v>252</v>
      </c>
      <c r="D239" s="48" t="s">
        <v>246</v>
      </c>
      <c r="E239" s="441"/>
      <c r="F239" s="118" t="s">
        <v>247</v>
      </c>
      <c r="G239" s="226"/>
      <c r="H239" s="126"/>
      <c r="I239" s="126"/>
      <c r="J239" s="2"/>
      <c r="K239" s="18"/>
      <c r="L239" s="18"/>
      <c r="M239" s="18"/>
      <c r="N239" s="18"/>
      <c r="O239" s="126"/>
      <c r="P239" s="126"/>
      <c r="Q239" s="126"/>
      <c r="R239" s="436"/>
      <c r="S239" s="436"/>
      <c r="T239" s="18"/>
      <c r="U239" s="18"/>
      <c r="V239" s="127">
        <f>O239-T239-U239+V218</f>
        <v>503</v>
      </c>
      <c r="W239" s="45"/>
      <c r="X239" s="67"/>
    </row>
    <row r="240" spans="1:25" ht="15" customHeight="1">
      <c r="A240" s="427"/>
      <c r="B240" s="122" t="s">
        <v>131</v>
      </c>
      <c r="C240" s="180" t="s">
        <v>194</v>
      </c>
      <c r="D240" s="48" t="s">
        <v>132</v>
      </c>
      <c r="E240" s="441"/>
      <c r="F240" s="118" t="s">
        <v>64</v>
      </c>
      <c r="G240" s="119"/>
      <c r="H240" s="126"/>
      <c r="I240" s="126"/>
      <c r="J240" s="2"/>
      <c r="K240" s="18"/>
      <c r="L240" s="18"/>
      <c r="M240" s="18"/>
      <c r="N240" s="18"/>
      <c r="O240" s="126"/>
      <c r="P240" s="126"/>
      <c r="Q240" s="126">
        <f>Mar!BM287</f>
        <v>1</v>
      </c>
      <c r="R240" s="436"/>
      <c r="S240" s="436"/>
      <c r="T240" s="18"/>
      <c r="U240" s="18"/>
      <c r="V240" s="18"/>
      <c r="W240" s="45"/>
      <c r="X240" s="67"/>
    </row>
    <row r="241" spans="1:25" ht="15" customHeight="1">
      <c r="A241" s="427"/>
      <c r="B241" s="122" t="s">
        <v>101</v>
      </c>
      <c r="C241" s="180" t="s">
        <v>193</v>
      </c>
      <c r="D241" s="48" t="s">
        <v>102</v>
      </c>
      <c r="E241" s="441"/>
      <c r="F241" s="118" t="s">
        <v>64</v>
      </c>
      <c r="G241" s="119"/>
      <c r="H241" s="126"/>
      <c r="I241" s="126"/>
      <c r="J241" s="2"/>
      <c r="K241" s="18"/>
      <c r="L241" s="18"/>
      <c r="M241" s="18"/>
      <c r="N241" s="18"/>
      <c r="O241" s="126"/>
      <c r="P241" s="126"/>
      <c r="Q241" s="126">
        <f>Mar!BM288</f>
        <v>1</v>
      </c>
      <c r="R241" s="436"/>
      <c r="S241" s="436"/>
      <c r="T241" s="18"/>
      <c r="U241" s="18"/>
      <c r="V241" s="18"/>
      <c r="W241" s="45"/>
      <c r="X241" s="67"/>
    </row>
    <row r="242" spans="1:25" ht="15" customHeight="1">
      <c r="A242" s="427"/>
      <c r="B242" s="122" t="s">
        <v>103</v>
      </c>
      <c r="C242" s="157" t="s">
        <v>197</v>
      </c>
      <c r="D242" s="48" t="s">
        <v>104</v>
      </c>
      <c r="E242" s="441"/>
      <c r="F242" s="118" t="s">
        <v>105</v>
      </c>
      <c r="G242" s="119"/>
      <c r="H242" s="126"/>
      <c r="I242" s="126"/>
      <c r="J242" s="2"/>
      <c r="K242" s="18"/>
      <c r="L242" s="18"/>
      <c r="M242" s="18"/>
      <c r="N242" s="18"/>
      <c r="O242" s="126"/>
      <c r="P242" s="126"/>
      <c r="Q242" s="126">
        <f>Mar!BM289</f>
        <v>1</v>
      </c>
      <c r="R242" s="436"/>
      <c r="S242" s="436"/>
      <c r="T242" s="18"/>
      <c r="U242" s="18"/>
      <c r="V242" s="18"/>
      <c r="W242" s="45"/>
      <c r="X242" s="67"/>
    </row>
    <row r="243" spans="1:25" ht="15" customHeight="1">
      <c r="A243" s="427"/>
      <c r="B243" s="137" t="s">
        <v>112</v>
      </c>
      <c r="C243" s="157" t="s">
        <v>197</v>
      </c>
      <c r="D243" s="48" t="s">
        <v>104</v>
      </c>
      <c r="E243" s="441"/>
      <c r="F243" s="118" t="s">
        <v>113</v>
      </c>
      <c r="G243" s="119"/>
      <c r="H243" s="126"/>
      <c r="I243" s="126"/>
      <c r="J243" s="2"/>
      <c r="K243" s="18"/>
      <c r="L243" s="18"/>
      <c r="M243" s="18"/>
      <c r="N243" s="18"/>
      <c r="O243" s="126"/>
      <c r="P243" s="126"/>
      <c r="Q243" s="126">
        <f>Mar!BM292</f>
        <v>1</v>
      </c>
      <c r="R243" s="436"/>
      <c r="S243" s="436"/>
      <c r="T243" s="18"/>
      <c r="U243" s="18"/>
      <c r="V243" s="18"/>
      <c r="W243" s="45"/>
      <c r="X243" s="67"/>
    </row>
    <row r="244" spans="1:25" ht="15" customHeight="1">
      <c r="A244" s="427"/>
      <c r="B244" s="137" t="s">
        <v>106</v>
      </c>
      <c r="C244" s="157" t="s">
        <v>141</v>
      </c>
      <c r="D244" s="48" t="s">
        <v>68</v>
      </c>
      <c r="E244" s="441"/>
      <c r="F244" s="118" t="s">
        <v>67</v>
      </c>
      <c r="G244" s="119"/>
      <c r="H244" s="126"/>
      <c r="I244" s="126"/>
      <c r="J244" s="2"/>
      <c r="K244" s="18"/>
      <c r="L244" s="18"/>
      <c r="M244" s="18"/>
      <c r="N244" s="18"/>
      <c r="O244" s="126"/>
      <c r="P244" s="126"/>
      <c r="Q244" s="126">
        <f>Mar!BM290</f>
        <v>1</v>
      </c>
      <c r="R244" s="436"/>
      <c r="S244" s="436"/>
      <c r="T244" s="18"/>
      <c r="U244" s="18"/>
      <c r="V244" s="18"/>
      <c r="W244" s="45"/>
      <c r="X244" s="67"/>
    </row>
    <row r="245" spans="1:25" ht="15" customHeight="1" thickBot="1">
      <c r="A245" s="428"/>
      <c r="B245" s="44" t="s">
        <v>107</v>
      </c>
      <c r="C245" s="181" t="s">
        <v>195</v>
      </c>
      <c r="D245" s="61" t="s">
        <v>108</v>
      </c>
      <c r="E245" s="447"/>
      <c r="F245" s="133" t="s">
        <v>48</v>
      </c>
      <c r="G245" s="132"/>
      <c r="H245" s="109"/>
      <c r="I245" s="134"/>
      <c r="J245" s="129"/>
      <c r="K245" s="130"/>
      <c r="L245" s="130"/>
      <c r="M245" s="130"/>
      <c r="N245" s="130"/>
      <c r="O245" s="134"/>
      <c r="P245" s="134"/>
      <c r="Q245" s="134">
        <f>Mar!BM291</f>
        <v>1</v>
      </c>
      <c r="R245" s="437"/>
      <c r="S245" s="437"/>
      <c r="T245" s="130"/>
      <c r="U245" s="130"/>
      <c r="V245" s="128"/>
      <c r="W245" s="85"/>
      <c r="X245" s="67"/>
    </row>
    <row r="246" spans="1:25" ht="15" customHeight="1">
      <c r="A246" s="426">
        <v>46095</v>
      </c>
      <c r="B246" s="429" t="s">
        <v>44</v>
      </c>
      <c r="C246" s="432" t="s">
        <v>240</v>
      </c>
      <c r="D246" s="19" t="s">
        <v>37</v>
      </c>
      <c r="E246" s="19" t="s">
        <v>25</v>
      </c>
      <c r="F246" s="39" t="s">
        <v>40</v>
      </c>
      <c r="G246" s="168">
        <v>5498.1</v>
      </c>
      <c r="H246" s="32"/>
      <c r="I246" s="32"/>
      <c r="J246" s="32"/>
      <c r="K246" s="20">
        <v>16000</v>
      </c>
      <c r="L246" s="20">
        <v>2</v>
      </c>
      <c r="M246" s="20">
        <v>152000</v>
      </c>
      <c r="N246" s="84">
        <v>19</v>
      </c>
      <c r="O246" s="32">
        <f>Mar!BQ273</f>
        <v>21530</v>
      </c>
      <c r="P246" s="32">
        <f>Mar!BR273</f>
        <v>28493</v>
      </c>
      <c r="Q246" s="32">
        <f>Mar!BP273</f>
        <v>85</v>
      </c>
      <c r="R246" s="435">
        <f>Mar!BQ294</f>
        <v>46556</v>
      </c>
      <c r="S246" s="435">
        <f>Mar!BR294</f>
        <v>65814</v>
      </c>
      <c r="T246" s="20">
        <v>16514</v>
      </c>
      <c r="U246" s="20"/>
      <c r="V246" s="20">
        <f>O246-T246-U246+V225</f>
        <v>30160</v>
      </c>
      <c r="W246" s="77"/>
      <c r="X246" s="36"/>
    </row>
    <row r="247" spans="1:25" ht="15" customHeight="1">
      <c r="A247" s="427"/>
      <c r="B247" s="431"/>
      <c r="C247" s="434"/>
      <c r="D247" s="113" t="s">
        <v>128</v>
      </c>
      <c r="E247" s="113" t="s">
        <v>24</v>
      </c>
      <c r="F247" s="114" t="s">
        <v>40</v>
      </c>
      <c r="G247" s="170"/>
      <c r="H247" s="158">
        <v>2685</v>
      </c>
      <c r="I247" s="125"/>
      <c r="J247" s="125"/>
      <c r="K247" s="18">
        <v>8000</v>
      </c>
      <c r="L247" s="127">
        <v>1</v>
      </c>
      <c r="M247" s="216">
        <v>175400</v>
      </c>
      <c r="N247" s="238">
        <v>22</v>
      </c>
      <c r="O247" s="126">
        <f>Mar!BQ274</f>
        <v>14086</v>
      </c>
      <c r="P247" s="125">
        <f>Mar!BR274</f>
        <v>18087</v>
      </c>
      <c r="Q247" s="125">
        <f>Mar!BP274</f>
        <v>55</v>
      </c>
      <c r="R247" s="436"/>
      <c r="S247" s="436"/>
      <c r="T247" s="127">
        <v>28535</v>
      </c>
      <c r="U247" s="127">
        <v>148</v>
      </c>
      <c r="V247" s="127">
        <f>O247-T247-U247+V226</f>
        <v>19711</v>
      </c>
      <c r="W247" s="46"/>
      <c r="X247" s="67"/>
    </row>
    <row r="248" spans="1:25" ht="15" customHeight="1">
      <c r="A248" s="427"/>
      <c r="B248" s="442" t="s">
        <v>45</v>
      </c>
      <c r="C248" s="448" t="s">
        <v>59</v>
      </c>
      <c r="D248" s="118" t="s">
        <v>75</v>
      </c>
      <c r="E248" s="131" t="s">
        <v>25</v>
      </c>
      <c r="F248" s="131" t="s">
        <v>57</v>
      </c>
      <c r="G248" s="87"/>
      <c r="H248" s="136"/>
      <c r="I248" s="126"/>
      <c r="J248" s="2"/>
      <c r="K248" s="127"/>
      <c r="L248" s="18"/>
      <c r="M248" s="18">
        <v>45000</v>
      </c>
      <c r="N248" s="80">
        <v>9</v>
      </c>
      <c r="O248" s="126">
        <f>Mar!BQ276</f>
        <v>1100</v>
      </c>
      <c r="P248" s="126">
        <f>Mar!BR276</f>
        <v>2654</v>
      </c>
      <c r="Q248" s="2">
        <f>Mar!BP276</f>
        <v>11</v>
      </c>
      <c r="R248" s="436"/>
      <c r="S248" s="436"/>
      <c r="T248" s="18"/>
      <c r="U248" s="18"/>
      <c r="V248" s="127">
        <f>O248-T248-U248+V227</f>
        <v>120857</v>
      </c>
      <c r="W248" s="46"/>
      <c r="Y248" s="13"/>
    </row>
    <row r="249" spans="1:25">
      <c r="A249" s="427"/>
      <c r="B249" s="439"/>
      <c r="C249" s="440"/>
      <c r="D249" s="118" t="s">
        <v>72</v>
      </c>
      <c r="E249" s="155" t="s">
        <v>24</v>
      </c>
      <c r="F249" s="131" t="s">
        <v>57</v>
      </c>
      <c r="G249" s="136"/>
      <c r="H249" s="136"/>
      <c r="I249" s="126"/>
      <c r="J249" s="126"/>
      <c r="K249" s="127"/>
      <c r="L249" s="18"/>
      <c r="M249" s="18">
        <v>95000</v>
      </c>
      <c r="N249" s="80">
        <v>19</v>
      </c>
      <c r="O249" s="126">
        <f>Mar!BQ277</f>
        <v>3659</v>
      </c>
      <c r="P249" s="126">
        <f>Mar!BR277</f>
        <v>4403</v>
      </c>
      <c r="Q249" s="2">
        <f>Mar!BP277</f>
        <v>19</v>
      </c>
      <c r="R249" s="436"/>
      <c r="S249" s="436"/>
      <c r="T249" s="18">
        <v>4829</v>
      </c>
      <c r="U249" s="18">
        <v>5</v>
      </c>
      <c r="V249" s="127">
        <f>O249-T249-U249+V228</f>
        <v>933</v>
      </c>
      <c r="W249" s="46"/>
      <c r="Y249" s="13"/>
    </row>
    <row r="250" spans="1:25">
      <c r="A250" s="427"/>
      <c r="B250" s="439"/>
      <c r="C250" s="440"/>
      <c r="D250" s="115" t="s">
        <v>79</v>
      </c>
      <c r="E250" s="424" t="s">
        <v>65</v>
      </c>
      <c r="F250" s="131" t="s">
        <v>57</v>
      </c>
      <c r="G250" s="224"/>
      <c r="H250" s="152"/>
      <c r="I250" s="126"/>
      <c r="J250" s="126"/>
      <c r="K250" s="127"/>
      <c r="L250" s="18"/>
      <c r="M250" s="18"/>
      <c r="N250" s="80"/>
      <c r="O250" s="126">
        <f>Mar!BQ278</f>
        <v>705</v>
      </c>
      <c r="P250" s="126">
        <f>Mar!BR278</f>
        <v>2740</v>
      </c>
      <c r="Q250" s="126">
        <f>Mar!BP278</f>
        <v>12</v>
      </c>
      <c r="R250" s="436"/>
      <c r="S250" s="436"/>
      <c r="T250" s="18"/>
      <c r="U250" s="18"/>
      <c r="V250" s="127">
        <f>O250-T250-U250+V229</f>
        <v>3288</v>
      </c>
      <c r="W250" s="46"/>
      <c r="Y250" s="13"/>
    </row>
    <row r="251" spans="1:25">
      <c r="A251" s="427"/>
      <c r="B251" s="251"/>
      <c r="C251" s="449"/>
      <c r="D251" s="115" t="s">
        <v>80</v>
      </c>
      <c r="E251" s="425"/>
      <c r="F251" s="131"/>
      <c r="G251" s="224"/>
      <c r="H251" s="136">
        <v>585.79999999999995</v>
      </c>
      <c r="I251" s="126"/>
      <c r="J251" s="126"/>
      <c r="K251" s="127"/>
      <c r="L251" s="18"/>
      <c r="M251" s="18"/>
      <c r="N251" s="80"/>
      <c r="O251" s="126"/>
      <c r="P251" s="126"/>
      <c r="Q251" s="126"/>
      <c r="R251" s="436"/>
      <c r="S251" s="436"/>
      <c r="T251" s="18"/>
      <c r="U251" s="18"/>
      <c r="V251" s="127"/>
      <c r="W251" s="46"/>
      <c r="Y251" s="13"/>
    </row>
    <row r="252" spans="1:25" ht="14.25" customHeight="1">
      <c r="A252" s="427"/>
      <c r="B252" s="137" t="s">
        <v>53</v>
      </c>
      <c r="C252" s="157" t="s">
        <v>60</v>
      </c>
      <c r="D252" s="43" t="s">
        <v>130</v>
      </c>
      <c r="E252" s="115" t="s">
        <v>66</v>
      </c>
      <c r="F252" s="118" t="s">
        <v>54</v>
      </c>
      <c r="G252" s="224"/>
      <c r="H252" s="37"/>
      <c r="I252" s="126"/>
      <c r="J252" s="126"/>
      <c r="K252" s="18">
        <v>18000</v>
      </c>
      <c r="L252" s="18">
        <v>3</v>
      </c>
      <c r="M252" s="18">
        <v>54000</v>
      </c>
      <c r="N252" s="80">
        <v>9</v>
      </c>
      <c r="O252" s="126">
        <f>Mar!BQ275</f>
        <v>4595</v>
      </c>
      <c r="P252" s="126">
        <f>Mar!BR275</f>
        <v>8355</v>
      </c>
      <c r="Q252" s="126">
        <f>Mar!BP275</f>
        <v>26</v>
      </c>
      <c r="R252" s="436"/>
      <c r="S252" s="436"/>
      <c r="T252" s="18">
        <v>12515</v>
      </c>
      <c r="U252" s="18">
        <v>10</v>
      </c>
      <c r="V252" s="127">
        <f>O252-T252-U252+V230</f>
        <v>5</v>
      </c>
      <c r="W252" s="45"/>
      <c r="X252" s="36"/>
    </row>
    <row r="253" spans="1:25" ht="14.25" customHeight="1">
      <c r="A253" s="427"/>
      <c r="B253" s="122" t="s">
        <v>55</v>
      </c>
      <c r="C253" s="180" t="s">
        <v>133</v>
      </c>
      <c r="D253" s="48" t="s">
        <v>56</v>
      </c>
      <c r="E253" s="424" t="s">
        <v>25</v>
      </c>
      <c r="F253" s="118" t="s">
        <v>67</v>
      </c>
      <c r="G253" s="224"/>
      <c r="H253" s="37"/>
      <c r="I253" s="126"/>
      <c r="J253" s="126"/>
      <c r="K253" s="18"/>
      <c r="L253" s="18"/>
      <c r="M253" s="18">
        <v>2800</v>
      </c>
      <c r="N253" s="80">
        <v>1</v>
      </c>
      <c r="O253" s="126"/>
      <c r="P253" s="126"/>
      <c r="Q253" s="126">
        <f>Mar!BP293</f>
        <v>2</v>
      </c>
      <c r="R253" s="436"/>
      <c r="S253" s="436"/>
      <c r="T253" s="18"/>
      <c r="U253" s="18"/>
      <c r="V253" s="127">
        <f t="shared" ref="V253:V260" si="10">O253-T253-U253+V232</f>
        <v>500</v>
      </c>
      <c r="W253" s="45"/>
      <c r="X253" s="67"/>
    </row>
    <row r="254" spans="1:25" ht="14.25" customHeight="1">
      <c r="A254" s="427"/>
      <c r="B254" s="122" t="s">
        <v>122</v>
      </c>
      <c r="C254" s="180" t="s">
        <v>123</v>
      </c>
      <c r="D254" s="48" t="s">
        <v>56</v>
      </c>
      <c r="E254" s="441"/>
      <c r="F254" s="155" t="s">
        <v>64</v>
      </c>
      <c r="G254" s="224"/>
      <c r="H254" s="135"/>
      <c r="I254" s="158"/>
      <c r="J254" s="158"/>
      <c r="K254" s="128"/>
      <c r="L254" s="128"/>
      <c r="M254" s="128">
        <v>6400</v>
      </c>
      <c r="N254" s="164">
        <v>2</v>
      </c>
      <c r="O254" s="158"/>
      <c r="P254" s="158"/>
      <c r="Q254" s="158">
        <f>Mar!BP282</f>
        <v>1</v>
      </c>
      <c r="R254" s="436"/>
      <c r="S254" s="436"/>
      <c r="T254" s="18"/>
      <c r="U254" s="18"/>
      <c r="V254" s="127">
        <f t="shared" si="10"/>
        <v>31304</v>
      </c>
      <c r="W254" s="45"/>
      <c r="X254" s="67"/>
    </row>
    <row r="255" spans="1:25" ht="15.75" customHeight="1">
      <c r="A255" s="427"/>
      <c r="B255" s="137" t="s">
        <v>58</v>
      </c>
      <c r="C255" s="157" t="s">
        <v>243</v>
      </c>
      <c r="D255" s="48" t="s">
        <v>56</v>
      </c>
      <c r="E255" s="441"/>
      <c r="F255" s="118" t="s">
        <v>64</v>
      </c>
      <c r="G255" s="226"/>
      <c r="H255" s="126"/>
      <c r="I255" s="126"/>
      <c r="J255" s="2"/>
      <c r="K255" s="18"/>
      <c r="L255" s="18"/>
      <c r="M255" s="18"/>
      <c r="N255" s="18"/>
      <c r="O255" s="126"/>
      <c r="P255" s="126"/>
      <c r="Q255" s="126">
        <f>Mar!BP283</f>
        <v>1</v>
      </c>
      <c r="R255" s="436"/>
      <c r="S255" s="436"/>
      <c r="T255" s="18"/>
      <c r="U255" s="18"/>
      <c r="V255" s="127">
        <f t="shared" si="10"/>
        <v>8562</v>
      </c>
      <c r="W255" s="45"/>
      <c r="X255" s="67"/>
    </row>
    <row r="256" spans="1:25" ht="15" customHeight="1">
      <c r="A256" s="427"/>
      <c r="B256" s="122" t="s">
        <v>61</v>
      </c>
      <c r="C256" s="180" t="s">
        <v>137</v>
      </c>
      <c r="D256" s="48" t="s">
        <v>56</v>
      </c>
      <c r="E256" s="441"/>
      <c r="F256" s="118" t="s">
        <v>67</v>
      </c>
      <c r="G256" s="119"/>
      <c r="H256" s="126"/>
      <c r="I256" s="126"/>
      <c r="J256" s="2"/>
      <c r="K256" s="18"/>
      <c r="L256" s="18"/>
      <c r="M256" s="18"/>
      <c r="N256" s="18"/>
      <c r="O256" s="126"/>
      <c r="P256" s="126"/>
      <c r="Q256" s="126">
        <f>Mar!BP284</f>
        <v>1</v>
      </c>
      <c r="R256" s="436"/>
      <c r="S256" s="436"/>
      <c r="T256" s="18"/>
      <c r="U256" s="18"/>
      <c r="V256" s="127">
        <f t="shared" si="10"/>
        <v>5844</v>
      </c>
      <c r="W256" s="45"/>
      <c r="X256" s="67"/>
    </row>
    <row r="257" spans="1:25" ht="14.25" customHeight="1">
      <c r="A257" s="427"/>
      <c r="B257" s="122" t="s">
        <v>125</v>
      </c>
      <c r="C257" s="180" t="s">
        <v>88</v>
      </c>
      <c r="D257" s="48" t="s">
        <v>124</v>
      </c>
      <c r="E257" s="441"/>
      <c r="F257" s="118" t="s">
        <v>64</v>
      </c>
      <c r="G257" s="225"/>
      <c r="H257" s="126"/>
      <c r="I257" s="126"/>
      <c r="J257" s="126"/>
      <c r="K257" s="18"/>
      <c r="L257" s="18"/>
      <c r="M257" s="18">
        <v>51200</v>
      </c>
      <c r="N257" s="80">
        <v>7</v>
      </c>
      <c r="O257" s="126"/>
      <c r="P257" s="126">
        <f>Mar!BR279</f>
        <v>433</v>
      </c>
      <c r="Q257" s="126">
        <f>Mar!BP279</f>
        <v>2</v>
      </c>
      <c r="R257" s="436"/>
      <c r="S257" s="436"/>
      <c r="T257" s="18">
        <v>19752</v>
      </c>
      <c r="U257" s="18"/>
      <c r="V257" s="127">
        <f t="shared" si="10"/>
        <v>28092</v>
      </c>
      <c r="W257" s="45"/>
      <c r="X257" s="67"/>
    </row>
    <row r="258" spans="1:25" ht="15" customHeight="1">
      <c r="A258" s="427"/>
      <c r="B258" s="137" t="s">
        <v>47</v>
      </c>
      <c r="C258" s="157" t="s">
        <v>100</v>
      </c>
      <c r="D258" s="48" t="s">
        <v>99</v>
      </c>
      <c r="E258" s="441"/>
      <c r="F258" s="118" t="s">
        <v>71</v>
      </c>
      <c r="G258" s="226"/>
      <c r="H258" s="126"/>
      <c r="I258" s="126"/>
      <c r="J258" s="2"/>
      <c r="K258" s="18"/>
      <c r="L258" s="18"/>
      <c r="M258" s="18">
        <v>18000</v>
      </c>
      <c r="N258" s="18">
        <v>3</v>
      </c>
      <c r="O258" s="126">
        <f>Mar!BQ280</f>
        <v>881</v>
      </c>
      <c r="P258" s="126">
        <f>Mar!BR280</f>
        <v>398</v>
      </c>
      <c r="Q258" s="126">
        <f>Mar!BP280</f>
        <v>2</v>
      </c>
      <c r="R258" s="436"/>
      <c r="S258" s="436"/>
      <c r="T258" s="18"/>
      <c r="U258" s="18"/>
      <c r="V258" s="127">
        <f t="shared" si="10"/>
        <v>79011</v>
      </c>
      <c r="W258" s="45"/>
      <c r="X258" s="67"/>
    </row>
    <row r="259" spans="1:25" ht="15" customHeight="1">
      <c r="A259" s="427"/>
      <c r="B259" s="122" t="s">
        <v>196</v>
      </c>
      <c r="C259" s="180" t="s">
        <v>63</v>
      </c>
      <c r="D259" s="48" t="s">
        <v>135</v>
      </c>
      <c r="E259" s="441"/>
      <c r="F259" s="118" t="s">
        <v>64</v>
      </c>
      <c r="G259" s="226"/>
      <c r="H259" s="126"/>
      <c r="I259" s="126"/>
      <c r="J259" s="2"/>
      <c r="K259" s="18"/>
      <c r="L259" s="18"/>
      <c r="M259" s="18">
        <v>33200</v>
      </c>
      <c r="N259" s="18">
        <v>4</v>
      </c>
      <c r="O259" s="126"/>
      <c r="P259" s="126">
        <f>Mar!BR281</f>
        <v>251</v>
      </c>
      <c r="Q259" s="126">
        <f>Mar!BP281</f>
        <v>1</v>
      </c>
      <c r="R259" s="436"/>
      <c r="S259" s="436"/>
      <c r="T259" s="18"/>
      <c r="U259" s="18"/>
      <c r="V259" s="127">
        <f t="shared" si="10"/>
        <v>28974</v>
      </c>
      <c r="W259" s="45"/>
      <c r="X259" s="67"/>
    </row>
    <row r="260" spans="1:25" ht="15" customHeight="1">
      <c r="A260" s="427"/>
      <c r="B260" s="122" t="s">
        <v>253</v>
      </c>
      <c r="C260" s="180" t="s">
        <v>252</v>
      </c>
      <c r="D260" s="48" t="s">
        <v>246</v>
      </c>
      <c r="E260" s="441"/>
      <c r="F260" s="118" t="s">
        <v>247</v>
      </c>
      <c r="G260" s="226"/>
      <c r="H260" s="126"/>
      <c r="I260" s="126"/>
      <c r="J260" s="2"/>
      <c r="K260" s="18"/>
      <c r="L260" s="18"/>
      <c r="M260" s="18"/>
      <c r="N260" s="18"/>
      <c r="O260" s="126"/>
      <c r="P260" s="126"/>
      <c r="Q260" s="126"/>
      <c r="R260" s="436"/>
      <c r="S260" s="436"/>
      <c r="T260" s="18"/>
      <c r="U260" s="18"/>
      <c r="V260" s="127">
        <f t="shared" si="10"/>
        <v>503</v>
      </c>
      <c r="W260" s="45"/>
      <c r="X260" s="67"/>
    </row>
    <row r="261" spans="1:25" ht="15" customHeight="1">
      <c r="A261" s="427"/>
      <c r="B261" s="122" t="s">
        <v>131</v>
      </c>
      <c r="C261" s="180" t="s">
        <v>194</v>
      </c>
      <c r="D261" s="48" t="s">
        <v>132</v>
      </c>
      <c r="E261" s="441"/>
      <c r="F261" s="118" t="s">
        <v>64</v>
      </c>
      <c r="G261" s="119"/>
      <c r="H261" s="126"/>
      <c r="I261" s="126"/>
      <c r="J261" s="2"/>
      <c r="K261" s="18"/>
      <c r="L261" s="18"/>
      <c r="M261" s="18"/>
      <c r="N261" s="18"/>
      <c r="O261" s="126"/>
      <c r="P261" s="126"/>
      <c r="Q261" s="126">
        <f>Mar!BP287</f>
        <v>1</v>
      </c>
      <c r="R261" s="436"/>
      <c r="S261" s="436"/>
      <c r="T261" s="18"/>
      <c r="U261" s="18"/>
      <c r="V261" s="18"/>
      <c r="W261" s="45"/>
      <c r="X261" s="67"/>
    </row>
    <row r="262" spans="1:25" ht="15" customHeight="1">
      <c r="A262" s="427"/>
      <c r="B262" s="122" t="s">
        <v>101</v>
      </c>
      <c r="C262" s="180" t="s">
        <v>193</v>
      </c>
      <c r="D262" s="48" t="s">
        <v>102</v>
      </c>
      <c r="E262" s="441"/>
      <c r="F262" s="118" t="s">
        <v>64</v>
      </c>
      <c r="G262" s="119"/>
      <c r="H262" s="126"/>
      <c r="I262" s="126"/>
      <c r="J262" s="2"/>
      <c r="K262" s="18"/>
      <c r="L262" s="18"/>
      <c r="M262" s="18"/>
      <c r="N262" s="18"/>
      <c r="O262" s="126"/>
      <c r="P262" s="126"/>
      <c r="Q262" s="126">
        <f>Mar!BP288</f>
        <v>1</v>
      </c>
      <c r="R262" s="436"/>
      <c r="S262" s="436"/>
      <c r="T262" s="18"/>
      <c r="U262" s="18"/>
      <c r="V262" s="18"/>
      <c r="W262" s="45"/>
      <c r="X262" s="67"/>
    </row>
    <row r="263" spans="1:25" ht="15" customHeight="1">
      <c r="A263" s="427"/>
      <c r="B263" s="122" t="s">
        <v>103</v>
      </c>
      <c r="C263" s="157" t="s">
        <v>197</v>
      </c>
      <c r="D263" s="48" t="s">
        <v>104</v>
      </c>
      <c r="E263" s="441"/>
      <c r="F263" s="118" t="s">
        <v>105</v>
      </c>
      <c r="G263" s="119"/>
      <c r="H263" s="126"/>
      <c r="I263" s="126"/>
      <c r="J263" s="2"/>
      <c r="K263" s="18"/>
      <c r="L263" s="18"/>
      <c r="M263" s="18"/>
      <c r="N263" s="18"/>
      <c r="O263" s="126"/>
      <c r="P263" s="126"/>
      <c r="Q263" s="126">
        <f>Mar!BP289</f>
        <v>1</v>
      </c>
      <c r="R263" s="436"/>
      <c r="S263" s="436"/>
      <c r="T263" s="18"/>
      <c r="U263" s="18"/>
      <c r="V263" s="18"/>
      <c r="W263" s="45"/>
      <c r="X263" s="67"/>
    </row>
    <row r="264" spans="1:25" ht="15" customHeight="1">
      <c r="A264" s="427"/>
      <c r="B264" s="137" t="s">
        <v>112</v>
      </c>
      <c r="C264" s="157" t="s">
        <v>197</v>
      </c>
      <c r="D264" s="48" t="s">
        <v>104</v>
      </c>
      <c r="E264" s="441"/>
      <c r="F264" s="118" t="s">
        <v>113</v>
      </c>
      <c r="G264" s="119"/>
      <c r="H264" s="126"/>
      <c r="I264" s="126"/>
      <c r="J264" s="2"/>
      <c r="K264" s="18"/>
      <c r="L264" s="18"/>
      <c r="M264" s="18"/>
      <c r="N264" s="18"/>
      <c r="O264" s="126"/>
      <c r="P264" s="126"/>
      <c r="Q264" s="126">
        <f>Mar!BP292</f>
        <v>1</v>
      </c>
      <c r="R264" s="436"/>
      <c r="S264" s="436"/>
      <c r="T264" s="18"/>
      <c r="U264" s="18"/>
      <c r="V264" s="18"/>
      <c r="W264" s="45"/>
      <c r="X264" s="67"/>
    </row>
    <row r="265" spans="1:25" ht="15" customHeight="1">
      <c r="A265" s="427"/>
      <c r="B265" s="137" t="s">
        <v>106</v>
      </c>
      <c r="C265" s="157" t="s">
        <v>141</v>
      </c>
      <c r="D265" s="48" t="s">
        <v>68</v>
      </c>
      <c r="E265" s="441"/>
      <c r="F265" s="118" t="s">
        <v>67</v>
      </c>
      <c r="G265" s="119"/>
      <c r="H265" s="126"/>
      <c r="I265" s="126"/>
      <c r="J265" s="2"/>
      <c r="K265" s="18"/>
      <c r="L265" s="18"/>
      <c r="M265" s="18"/>
      <c r="N265" s="18"/>
      <c r="O265" s="126"/>
      <c r="P265" s="126"/>
      <c r="Q265" s="126">
        <f>Mar!BP290</f>
        <v>1</v>
      </c>
      <c r="R265" s="436"/>
      <c r="S265" s="436"/>
      <c r="T265" s="18"/>
      <c r="U265" s="18"/>
      <c r="V265" s="18"/>
      <c r="W265" s="45"/>
      <c r="X265" s="67"/>
    </row>
    <row r="266" spans="1:25" ht="15" customHeight="1" thickBot="1">
      <c r="A266" s="428"/>
      <c r="B266" s="44" t="s">
        <v>107</v>
      </c>
      <c r="C266" s="181" t="s">
        <v>195</v>
      </c>
      <c r="D266" s="61" t="s">
        <v>108</v>
      </c>
      <c r="E266" s="447"/>
      <c r="F266" s="133" t="s">
        <v>48</v>
      </c>
      <c r="G266" s="132"/>
      <c r="H266" s="109"/>
      <c r="I266" s="134"/>
      <c r="J266" s="129"/>
      <c r="K266" s="130"/>
      <c r="L266" s="130"/>
      <c r="M266" s="130"/>
      <c r="N266" s="130"/>
      <c r="O266" s="134"/>
      <c r="P266" s="134"/>
      <c r="Q266" s="134">
        <f>Mar!BP291</f>
        <v>1</v>
      </c>
      <c r="R266" s="437"/>
      <c r="S266" s="437"/>
      <c r="T266" s="130"/>
      <c r="U266" s="130"/>
      <c r="V266" s="128"/>
      <c r="W266" s="85"/>
      <c r="X266" s="67"/>
    </row>
    <row r="267" spans="1:25" ht="15" customHeight="1">
      <c r="A267" s="426">
        <v>46097</v>
      </c>
      <c r="B267" s="429" t="s">
        <v>44</v>
      </c>
      <c r="C267" s="432" t="s">
        <v>240</v>
      </c>
      <c r="D267" s="19" t="s">
        <v>37</v>
      </c>
      <c r="E267" s="19" t="s">
        <v>25</v>
      </c>
      <c r="F267" s="39" t="s">
        <v>40</v>
      </c>
      <c r="G267" s="41">
        <v>6597.72</v>
      </c>
      <c r="H267" s="32"/>
      <c r="I267" s="32"/>
      <c r="J267" s="32"/>
      <c r="K267" s="20">
        <v>16000</v>
      </c>
      <c r="L267" s="20">
        <v>2</v>
      </c>
      <c r="M267" s="20">
        <v>232000</v>
      </c>
      <c r="N267" s="84">
        <v>29</v>
      </c>
      <c r="O267" s="32">
        <f>Mar!BW273</f>
        <v>39115</v>
      </c>
      <c r="P267" s="32">
        <f>Mar!BX273</f>
        <v>31542</v>
      </c>
      <c r="Q267" s="32">
        <f>Mar!BV273</f>
        <v>85</v>
      </c>
      <c r="R267" s="435">
        <f>Mar!BW294</f>
        <v>70612</v>
      </c>
      <c r="S267" s="435">
        <f>Mar!BX294</f>
        <v>72438</v>
      </c>
      <c r="T267" s="20">
        <v>34557</v>
      </c>
      <c r="U267" s="20">
        <v>13</v>
      </c>
      <c r="V267" s="20">
        <f>O267-T267-U267+V246</f>
        <v>34705</v>
      </c>
      <c r="W267" s="77"/>
      <c r="X267" s="36"/>
    </row>
    <row r="268" spans="1:25" ht="15" customHeight="1">
      <c r="A268" s="427"/>
      <c r="B268" s="431"/>
      <c r="C268" s="434"/>
      <c r="D268" s="113" t="s">
        <v>128</v>
      </c>
      <c r="E268" s="113" t="s">
        <v>24</v>
      </c>
      <c r="F268" s="114" t="s">
        <v>40</v>
      </c>
      <c r="G268" s="170"/>
      <c r="H268" s="158"/>
      <c r="I268" s="125"/>
      <c r="J268" s="125"/>
      <c r="K268" s="18">
        <v>24000</v>
      </c>
      <c r="L268" s="127">
        <v>3</v>
      </c>
      <c r="M268" s="216">
        <v>151400</v>
      </c>
      <c r="N268" s="238">
        <v>19</v>
      </c>
      <c r="O268" s="126">
        <f>Mar!BW274</f>
        <v>12071</v>
      </c>
      <c r="P268" s="125">
        <f>Mar!BX274</f>
        <v>20053</v>
      </c>
      <c r="Q268" s="125">
        <f>Mar!BV274</f>
        <v>56</v>
      </c>
      <c r="R268" s="436"/>
      <c r="S268" s="436"/>
      <c r="T268" s="127">
        <v>18737</v>
      </c>
      <c r="U268" s="127"/>
      <c r="V268" s="127">
        <f>O268-T268-U268+V247</f>
        <v>13045</v>
      </c>
      <c r="W268" s="46"/>
      <c r="X268" s="67"/>
    </row>
    <row r="269" spans="1:25" ht="15" customHeight="1">
      <c r="A269" s="427"/>
      <c r="B269" s="442" t="s">
        <v>45</v>
      </c>
      <c r="C269" s="448" t="s">
        <v>59</v>
      </c>
      <c r="D269" s="118" t="s">
        <v>75</v>
      </c>
      <c r="E269" s="131" t="s">
        <v>25</v>
      </c>
      <c r="F269" s="131" t="s">
        <v>57</v>
      </c>
      <c r="G269" s="87"/>
      <c r="H269" s="136"/>
      <c r="I269" s="126"/>
      <c r="J269" s="2"/>
      <c r="K269" s="127"/>
      <c r="L269" s="18"/>
      <c r="M269" s="18">
        <v>45000</v>
      </c>
      <c r="N269" s="80">
        <v>9</v>
      </c>
      <c r="O269" s="126">
        <f>Mar!BW276</f>
        <v>3300</v>
      </c>
      <c r="P269" s="126">
        <f>Mar!BX276</f>
        <v>2805</v>
      </c>
      <c r="Q269" s="2">
        <f>Mar!BV276</f>
        <v>11</v>
      </c>
      <c r="R269" s="436"/>
      <c r="S269" s="436"/>
      <c r="T269" s="18">
        <v>22570</v>
      </c>
      <c r="U269" s="18">
        <v>3</v>
      </c>
      <c r="V269" s="127">
        <f>O269-T269-U269+V248</f>
        <v>101584</v>
      </c>
      <c r="W269" s="46"/>
      <c r="Y269" s="13"/>
    </row>
    <row r="270" spans="1:25">
      <c r="A270" s="427"/>
      <c r="B270" s="439"/>
      <c r="C270" s="440"/>
      <c r="D270" s="118" t="s">
        <v>72</v>
      </c>
      <c r="E270" s="155" t="s">
        <v>24</v>
      </c>
      <c r="F270" s="131" t="s">
        <v>57</v>
      </c>
      <c r="G270" s="136"/>
      <c r="H270" s="136"/>
      <c r="I270" s="126"/>
      <c r="J270" s="126"/>
      <c r="K270" s="127"/>
      <c r="L270" s="18"/>
      <c r="M270" s="18">
        <v>95000</v>
      </c>
      <c r="N270" s="80">
        <v>19</v>
      </c>
      <c r="O270" s="126">
        <f>Mar!BW277</f>
        <v>3474</v>
      </c>
      <c r="P270" s="126">
        <f>Mar!BX277</f>
        <v>4674</v>
      </c>
      <c r="Q270" s="2">
        <f>Mar!BV277</f>
        <v>19</v>
      </c>
      <c r="R270" s="436"/>
      <c r="S270" s="436"/>
      <c r="T270" s="18"/>
      <c r="U270" s="18"/>
      <c r="V270" s="127">
        <f>O270-T270-U270+V249</f>
        <v>4407</v>
      </c>
      <c r="W270" s="46"/>
      <c r="Y270" s="13"/>
    </row>
    <row r="271" spans="1:25">
      <c r="A271" s="427"/>
      <c r="B271" s="439"/>
      <c r="C271" s="440"/>
      <c r="D271" s="115" t="s">
        <v>79</v>
      </c>
      <c r="E271" s="424" t="s">
        <v>65</v>
      </c>
      <c r="F271" s="131" t="s">
        <v>57</v>
      </c>
      <c r="G271" s="224"/>
      <c r="H271" s="152"/>
      <c r="I271" s="126"/>
      <c r="J271" s="126"/>
      <c r="K271" s="127"/>
      <c r="L271" s="18"/>
      <c r="M271" s="18"/>
      <c r="N271" s="80"/>
      <c r="O271" s="126">
        <f>Mar!BW278</f>
        <v>2066</v>
      </c>
      <c r="P271" s="126">
        <f>Mar!BX278</f>
        <v>2979</v>
      </c>
      <c r="Q271" s="126">
        <f>Mar!BV278</f>
        <v>12</v>
      </c>
      <c r="R271" s="436"/>
      <c r="S271" s="436"/>
      <c r="T271" s="18">
        <v>4597</v>
      </c>
      <c r="U271" s="18"/>
      <c r="V271" s="127">
        <f>O271-T271-U271+V250</f>
        <v>757</v>
      </c>
      <c r="W271" s="46"/>
      <c r="Y271" s="13"/>
    </row>
    <row r="272" spans="1:25">
      <c r="A272" s="427"/>
      <c r="B272" s="251"/>
      <c r="C272" s="449"/>
      <c r="D272" s="115" t="s">
        <v>80</v>
      </c>
      <c r="E272" s="425"/>
      <c r="F272" s="131"/>
      <c r="G272" s="224"/>
      <c r="H272" s="152">
        <v>660</v>
      </c>
      <c r="I272" s="126"/>
      <c r="J272" s="126"/>
      <c r="K272" s="127"/>
      <c r="L272" s="18"/>
      <c r="M272" s="18"/>
      <c r="N272" s="80"/>
      <c r="O272" s="126"/>
      <c r="P272" s="126"/>
      <c r="Q272" s="126"/>
      <c r="R272" s="436"/>
      <c r="S272" s="436"/>
      <c r="T272" s="18"/>
      <c r="U272" s="18"/>
      <c r="V272" s="127"/>
      <c r="W272" s="46"/>
      <c r="Y272" s="13"/>
    </row>
    <row r="273" spans="1:24" ht="14.25" customHeight="1">
      <c r="A273" s="427"/>
      <c r="B273" s="442" t="s">
        <v>53</v>
      </c>
      <c r="C273" s="444" t="s">
        <v>60</v>
      </c>
      <c r="D273" s="43" t="s">
        <v>130</v>
      </c>
      <c r="E273" s="115" t="s">
        <v>66</v>
      </c>
      <c r="F273" s="118" t="s">
        <v>54</v>
      </c>
      <c r="G273" s="224"/>
      <c r="H273" s="37"/>
      <c r="I273" s="126"/>
      <c r="J273" s="126"/>
      <c r="K273" s="18">
        <v>18000</v>
      </c>
      <c r="L273" s="18">
        <v>3</v>
      </c>
      <c r="M273" s="18">
        <v>36000</v>
      </c>
      <c r="N273" s="80">
        <v>6</v>
      </c>
      <c r="O273" s="126">
        <f>Mar!BW275</f>
        <v>10012</v>
      </c>
      <c r="P273" s="126">
        <f>Mar!BX275</f>
        <v>8723</v>
      </c>
      <c r="Q273" s="126">
        <f>Mar!BV275</f>
        <v>26</v>
      </c>
      <c r="R273" s="436"/>
      <c r="S273" s="436"/>
      <c r="T273" s="18"/>
      <c r="U273" s="18"/>
      <c r="V273" s="127">
        <f>O273-T273-U273+V252</f>
        <v>10017</v>
      </c>
      <c r="W273" s="45"/>
      <c r="X273" s="36"/>
    </row>
    <row r="274" spans="1:24" ht="14.25" customHeight="1">
      <c r="A274" s="427"/>
      <c r="B274" s="443"/>
      <c r="C274" s="446"/>
      <c r="D274" s="43" t="s">
        <v>199</v>
      </c>
      <c r="E274" s="114" t="s">
        <v>25</v>
      </c>
      <c r="F274" s="118"/>
      <c r="G274" s="224"/>
      <c r="H274" s="126">
        <v>1836</v>
      </c>
      <c r="I274" s="126"/>
      <c r="J274" s="126"/>
      <c r="K274" s="18"/>
      <c r="L274" s="18"/>
      <c r="M274" s="18"/>
      <c r="N274" s="80"/>
      <c r="O274" s="126"/>
      <c r="P274" s="126"/>
      <c r="Q274" s="126"/>
      <c r="R274" s="436"/>
      <c r="S274" s="436"/>
      <c r="T274" s="18"/>
      <c r="U274" s="18"/>
      <c r="V274" s="127"/>
      <c r="W274" s="45"/>
      <c r="X274" s="67"/>
    </row>
    <row r="275" spans="1:24" ht="14.25" customHeight="1">
      <c r="A275" s="427"/>
      <c r="B275" s="122" t="s">
        <v>55</v>
      </c>
      <c r="C275" s="180" t="s">
        <v>133</v>
      </c>
      <c r="D275" s="48" t="s">
        <v>56</v>
      </c>
      <c r="E275" s="424" t="s">
        <v>25</v>
      </c>
      <c r="F275" s="118" t="s">
        <v>67</v>
      </c>
      <c r="G275" s="224"/>
      <c r="H275" s="37"/>
      <c r="I275" s="126"/>
      <c r="J275" s="126"/>
      <c r="K275" s="18"/>
      <c r="L275" s="18"/>
      <c r="M275" s="18">
        <v>2800</v>
      </c>
      <c r="N275" s="80">
        <v>1</v>
      </c>
      <c r="O275" s="126"/>
      <c r="P275" s="126"/>
      <c r="Q275" s="126">
        <f>Mar!BV293</f>
        <v>2</v>
      </c>
      <c r="R275" s="436"/>
      <c r="S275" s="436"/>
      <c r="T275" s="18"/>
      <c r="U275" s="18"/>
      <c r="V275" s="127">
        <f t="shared" ref="V275:V282" si="11">O275-T275-U275+V253</f>
        <v>500</v>
      </c>
      <c r="W275" s="45"/>
      <c r="X275" s="67"/>
    </row>
    <row r="276" spans="1:24" ht="14.25" customHeight="1">
      <c r="A276" s="427"/>
      <c r="B276" s="122" t="s">
        <v>122</v>
      </c>
      <c r="C276" s="180" t="s">
        <v>123</v>
      </c>
      <c r="D276" s="48" t="s">
        <v>56</v>
      </c>
      <c r="E276" s="441"/>
      <c r="F276" s="155" t="s">
        <v>64</v>
      </c>
      <c r="G276" s="224"/>
      <c r="H276" s="135"/>
      <c r="I276" s="158"/>
      <c r="J276" s="158"/>
      <c r="K276" s="128"/>
      <c r="L276" s="128"/>
      <c r="M276" s="128">
        <v>6400</v>
      </c>
      <c r="N276" s="164">
        <v>2</v>
      </c>
      <c r="O276" s="158"/>
      <c r="P276" s="158"/>
      <c r="Q276" s="158">
        <f>Mar!BV282</f>
        <v>1</v>
      </c>
      <c r="R276" s="436"/>
      <c r="S276" s="436"/>
      <c r="T276" s="18"/>
      <c r="U276" s="18"/>
      <c r="V276" s="127">
        <f t="shared" si="11"/>
        <v>31304</v>
      </c>
      <c r="W276" s="45"/>
      <c r="X276" s="67"/>
    </row>
    <row r="277" spans="1:24" ht="15.75" customHeight="1">
      <c r="A277" s="427"/>
      <c r="B277" s="137" t="s">
        <v>58</v>
      </c>
      <c r="C277" s="157" t="s">
        <v>243</v>
      </c>
      <c r="D277" s="48" t="s">
        <v>56</v>
      </c>
      <c r="E277" s="441"/>
      <c r="F277" s="118" t="s">
        <v>64</v>
      </c>
      <c r="G277" s="226"/>
      <c r="H277" s="126"/>
      <c r="I277" s="126"/>
      <c r="J277" s="2"/>
      <c r="K277" s="18"/>
      <c r="L277" s="18"/>
      <c r="M277" s="18"/>
      <c r="N277" s="18"/>
      <c r="O277" s="126"/>
      <c r="P277" s="126"/>
      <c r="Q277" s="126">
        <f>Mar!BV283</f>
        <v>1</v>
      </c>
      <c r="R277" s="436"/>
      <c r="S277" s="436"/>
      <c r="T277" s="18"/>
      <c r="U277" s="18"/>
      <c r="V277" s="127">
        <f t="shared" si="11"/>
        <v>8562</v>
      </c>
      <c r="W277" s="45"/>
      <c r="X277" s="67"/>
    </row>
    <row r="278" spans="1:24" ht="15" customHeight="1">
      <c r="A278" s="427"/>
      <c r="B278" s="122" t="s">
        <v>61</v>
      </c>
      <c r="C278" s="180" t="s">
        <v>137</v>
      </c>
      <c r="D278" s="48" t="s">
        <v>56</v>
      </c>
      <c r="E278" s="441"/>
      <c r="F278" s="118" t="s">
        <v>67</v>
      </c>
      <c r="G278" s="119"/>
      <c r="H278" s="126"/>
      <c r="I278" s="126"/>
      <c r="J278" s="2"/>
      <c r="K278" s="18"/>
      <c r="L278" s="18"/>
      <c r="M278" s="18"/>
      <c r="N278" s="18"/>
      <c r="O278" s="126"/>
      <c r="P278" s="126"/>
      <c r="Q278" s="126">
        <f>Mar!BV284</f>
        <v>1</v>
      </c>
      <c r="R278" s="436"/>
      <c r="S278" s="436"/>
      <c r="T278" s="18"/>
      <c r="U278" s="18"/>
      <c r="V278" s="127">
        <f t="shared" si="11"/>
        <v>5844</v>
      </c>
      <c r="W278" s="45"/>
      <c r="X278" s="67"/>
    </row>
    <row r="279" spans="1:24" ht="14.25" customHeight="1">
      <c r="A279" s="427"/>
      <c r="B279" s="122" t="s">
        <v>125</v>
      </c>
      <c r="C279" s="180" t="s">
        <v>88</v>
      </c>
      <c r="D279" s="48" t="s">
        <v>124</v>
      </c>
      <c r="E279" s="441"/>
      <c r="F279" s="118" t="s">
        <v>64</v>
      </c>
      <c r="G279" s="225"/>
      <c r="H279" s="126"/>
      <c r="I279" s="126"/>
      <c r="J279" s="126"/>
      <c r="K279" s="18"/>
      <c r="L279" s="18"/>
      <c r="M279" s="18">
        <v>51200</v>
      </c>
      <c r="N279" s="80">
        <v>7</v>
      </c>
      <c r="O279" s="126">
        <f>Mar!BW279</f>
        <v>574</v>
      </c>
      <c r="P279" s="126">
        <f>Mar!BX279</f>
        <v>376</v>
      </c>
      <c r="Q279" s="126">
        <f>Mar!BV279</f>
        <v>2</v>
      </c>
      <c r="R279" s="436"/>
      <c r="S279" s="436"/>
      <c r="T279" s="18"/>
      <c r="U279" s="18"/>
      <c r="V279" s="127">
        <f t="shared" si="11"/>
        <v>28666</v>
      </c>
      <c r="W279" s="45"/>
      <c r="X279" s="67"/>
    </row>
    <row r="280" spans="1:24" ht="15" customHeight="1">
      <c r="A280" s="427"/>
      <c r="B280" s="137" t="s">
        <v>47</v>
      </c>
      <c r="C280" s="157" t="s">
        <v>100</v>
      </c>
      <c r="D280" s="48" t="s">
        <v>99</v>
      </c>
      <c r="E280" s="441"/>
      <c r="F280" s="118" t="s">
        <v>71</v>
      </c>
      <c r="G280" s="226"/>
      <c r="H280" s="126"/>
      <c r="I280" s="126"/>
      <c r="J280" s="2"/>
      <c r="K280" s="18"/>
      <c r="L280" s="18"/>
      <c r="M280" s="18">
        <v>18000</v>
      </c>
      <c r="N280" s="18">
        <v>3</v>
      </c>
      <c r="O280" s="126"/>
      <c r="P280" s="126">
        <f>Mar!BX280</f>
        <v>253</v>
      </c>
      <c r="Q280" s="126">
        <f>Mar!BV280</f>
        <v>1</v>
      </c>
      <c r="R280" s="436"/>
      <c r="S280" s="436"/>
      <c r="T280" s="18"/>
      <c r="U280" s="18"/>
      <c r="V280" s="127">
        <f t="shared" si="11"/>
        <v>79011</v>
      </c>
      <c r="W280" s="45"/>
      <c r="X280" s="67"/>
    </row>
    <row r="281" spans="1:24" ht="15" customHeight="1">
      <c r="A281" s="427"/>
      <c r="B281" s="122" t="s">
        <v>196</v>
      </c>
      <c r="C281" s="180" t="s">
        <v>63</v>
      </c>
      <c r="D281" s="48" t="s">
        <v>135</v>
      </c>
      <c r="E281" s="441"/>
      <c r="F281" s="118" t="s">
        <v>64</v>
      </c>
      <c r="G281" s="226"/>
      <c r="H281" s="126"/>
      <c r="I281" s="126"/>
      <c r="J281" s="2"/>
      <c r="K281" s="18"/>
      <c r="L281" s="18"/>
      <c r="M281" s="18">
        <v>33200</v>
      </c>
      <c r="N281" s="18">
        <v>4</v>
      </c>
      <c r="O281" s="126"/>
      <c r="P281" s="126">
        <f>Mar!BX281</f>
        <v>262</v>
      </c>
      <c r="Q281" s="126">
        <f>Mar!BV281</f>
        <v>1</v>
      </c>
      <c r="R281" s="436"/>
      <c r="S281" s="436"/>
      <c r="T281" s="18"/>
      <c r="U281" s="18"/>
      <c r="V281" s="127">
        <f t="shared" si="11"/>
        <v>28974</v>
      </c>
      <c r="W281" s="45"/>
      <c r="X281" s="67"/>
    </row>
    <row r="282" spans="1:24" ht="15" customHeight="1">
      <c r="A282" s="427"/>
      <c r="B282" s="122" t="s">
        <v>253</v>
      </c>
      <c r="C282" s="180" t="s">
        <v>252</v>
      </c>
      <c r="D282" s="48" t="s">
        <v>246</v>
      </c>
      <c r="E282" s="441"/>
      <c r="F282" s="118" t="s">
        <v>247</v>
      </c>
      <c r="G282" s="226"/>
      <c r="H282" s="126"/>
      <c r="I282" s="126"/>
      <c r="J282" s="2"/>
      <c r="K282" s="18"/>
      <c r="L282" s="18"/>
      <c r="M282" s="18"/>
      <c r="N282" s="18"/>
      <c r="O282" s="126"/>
      <c r="P282" s="126"/>
      <c r="Q282" s="126"/>
      <c r="R282" s="436"/>
      <c r="S282" s="436"/>
      <c r="T282" s="18"/>
      <c r="U282" s="18"/>
      <c r="V282" s="127">
        <f t="shared" si="11"/>
        <v>503</v>
      </c>
      <c r="W282" s="45"/>
      <c r="X282" s="67"/>
    </row>
    <row r="283" spans="1:24" ht="15" customHeight="1">
      <c r="A283" s="427"/>
      <c r="B283" s="122" t="s">
        <v>131</v>
      </c>
      <c r="C283" s="180" t="s">
        <v>194</v>
      </c>
      <c r="D283" s="48" t="s">
        <v>132</v>
      </c>
      <c r="E283" s="441"/>
      <c r="F283" s="118" t="s">
        <v>64</v>
      </c>
      <c r="G283" s="119"/>
      <c r="H283" s="126"/>
      <c r="I283" s="126"/>
      <c r="J283" s="2"/>
      <c r="K283" s="18"/>
      <c r="L283" s="18"/>
      <c r="M283" s="18"/>
      <c r="N283" s="18"/>
      <c r="O283" s="126"/>
      <c r="P283" s="126">
        <f>Mar!BX287</f>
        <v>272</v>
      </c>
      <c r="Q283" s="126">
        <f>Mar!BV287</f>
        <v>1</v>
      </c>
      <c r="R283" s="436"/>
      <c r="S283" s="436"/>
      <c r="T283" s="18"/>
      <c r="U283" s="18"/>
      <c r="V283" s="18"/>
      <c r="W283" s="45"/>
      <c r="X283" s="67"/>
    </row>
    <row r="284" spans="1:24" ht="15" customHeight="1">
      <c r="A284" s="427"/>
      <c r="B284" s="122" t="s">
        <v>101</v>
      </c>
      <c r="C284" s="180" t="s">
        <v>193</v>
      </c>
      <c r="D284" s="48" t="s">
        <v>102</v>
      </c>
      <c r="E284" s="441"/>
      <c r="F284" s="118" t="s">
        <v>64</v>
      </c>
      <c r="G284" s="119"/>
      <c r="H284" s="126"/>
      <c r="I284" s="126"/>
      <c r="J284" s="2"/>
      <c r="K284" s="18"/>
      <c r="L284" s="18"/>
      <c r="M284" s="18"/>
      <c r="N284" s="18"/>
      <c r="O284" s="126"/>
      <c r="P284" s="126">
        <f>Mar!BX288</f>
        <v>271</v>
      </c>
      <c r="Q284" s="126">
        <f>Mar!BV288</f>
        <v>1</v>
      </c>
      <c r="R284" s="436"/>
      <c r="S284" s="436"/>
      <c r="T284" s="18"/>
      <c r="U284" s="18"/>
      <c r="V284" s="18"/>
      <c r="W284" s="45"/>
      <c r="X284" s="67"/>
    </row>
    <row r="285" spans="1:24" ht="15" customHeight="1">
      <c r="A285" s="427"/>
      <c r="B285" s="122" t="s">
        <v>103</v>
      </c>
      <c r="C285" s="157" t="s">
        <v>197</v>
      </c>
      <c r="D285" s="48" t="s">
        <v>104</v>
      </c>
      <c r="E285" s="441"/>
      <c r="F285" s="118" t="s">
        <v>105</v>
      </c>
      <c r="G285" s="119"/>
      <c r="H285" s="126"/>
      <c r="I285" s="126"/>
      <c r="J285" s="2"/>
      <c r="K285" s="18"/>
      <c r="L285" s="18"/>
      <c r="M285" s="18"/>
      <c r="N285" s="18"/>
      <c r="O285" s="126"/>
      <c r="P285" s="126"/>
      <c r="Q285" s="126">
        <f>Mar!BV289</f>
        <v>1</v>
      </c>
      <c r="R285" s="436"/>
      <c r="S285" s="436"/>
      <c r="T285" s="18"/>
      <c r="U285" s="18"/>
      <c r="V285" s="18"/>
      <c r="W285" s="45"/>
      <c r="X285" s="67"/>
    </row>
    <row r="286" spans="1:24" ht="15" customHeight="1">
      <c r="A286" s="427"/>
      <c r="B286" s="137" t="s">
        <v>112</v>
      </c>
      <c r="C286" s="157" t="s">
        <v>197</v>
      </c>
      <c r="D286" s="48" t="s">
        <v>104</v>
      </c>
      <c r="E286" s="441"/>
      <c r="F286" s="118" t="s">
        <v>113</v>
      </c>
      <c r="G286" s="119"/>
      <c r="H286" s="126"/>
      <c r="I286" s="126"/>
      <c r="J286" s="2"/>
      <c r="K286" s="18"/>
      <c r="L286" s="18"/>
      <c r="M286" s="18"/>
      <c r="N286" s="18"/>
      <c r="O286" s="126"/>
      <c r="P286" s="126"/>
      <c r="Q286" s="126">
        <f>Mar!BV292</f>
        <v>1</v>
      </c>
      <c r="R286" s="436"/>
      <c r="S286" s="436"/>
      <c r="T286" s="18"/>
      <c r="U286" s="18"/>
      <c r="V286" s="18"/>
      <c r="W286" s="45"/>
      <c r="X286" s="67"/>
    </row>
    <row r="287" spans="1:24" ht="15" customHeight="1">
      <c r="A287" s="427"/>
      <c r="B287" s="137" t="s">
        <v>106</v>
      </c>
      <c r="C287" s="157" t="s">
        <v>141</v>
      </c>
      <c r="D287" s="48" t="s">
        <v>68</v>
      </c>
      <c r="E287" s="441"/>
      <c r="F287" s="118" t="s">
        <v>67</v>
      </c>
      <c r="G287" s="119"/>
      <c r="H287" s="126"/>
      <c r="I287" s="126"/>
      <c r="J287" s="2"/>
      <c r="K287" s="18"/>
      <c r="L287" s="18"/>
      <c r="M287" s="18"/>
      <c r="N287" s="18"/>
      <c r="O287" s="126"/>
      <c r="P287" s="126">
        <f>Mar!BX290</f>
        <v>228</v>
      </c>
      <c r="Q287" s="126">
        <f>Mar!BV290</f>
        <v>1</v>
      </c>
      <c r="R287" s="436"/>
      <c r="S287" s="436"/>
      <c r="T287" s="18"/>
      <c r="U287" s="18"/>
      <c r="V287" s="18"/>
      <c r="W287" s="45"/>
      <c r="X287" s="67"/>
    </row>
    <row r="288" spans="1:24" ht="15" customHeight="1" thickBot="1">
      <c r="A288" s="428"/>
      <c r="B288" s="44" t="s">
        <v>107</v>
      </c>
      <c r="C288" s="181" t="s">
        <v>195</v>
      </c>
      <c r="D288" s="61" t="s">
        <v>108</v>
      </c>
      <c r="E288" s="447"/>
      <c r="F288" s="133" t="s">
        <v>48</v>
      </c>
      <c r="G288" s="132"/>
      <c r="H288" s="109"/>
      <c r="I288" s="134"/>
      <c r="J288" s="129"/>
      <c r="K288" s="130"/>
      <c r="L288" s="130"/>
      <c r="M288" s="130"/>
      <c r="N288" s="130"/>
      <c r="O288" s="134"/>
      <c r="P288" s="134"/>
      <c r="Q288" s="134">
        <f>Mar!BV291</f>
        <v>1</v>
      </c>
      <c r="R288" s="437"/>
      <c r="S288" s="437"/>
      <c r="T288" s="130"/>
      <c r="U288" s="130"/>
      <c r="V288" s="128"/>
      <c r="W288" s="85"/>
      <c r="X288" s="67"/>
    </row>
    <row r="289" spans="1:25" ht="15" customHeight="1">
      <c r="A289" s="426">
        <v>46098</v>
      </c>
      <c r="B289" s="429" t="s">
        <v>44</v>
      </c>
      <c r="C289" s="432" t="s">
        <v>240</v>
      </c>
      <c r="D289" s="19" t="s">
        <v>37</v>
      </c>
      <c r="E289" s="19" t="s">
        <v>25</v>
      </c>
      <c r="F289" s="39" t="s">
        <v>40</v>
      </c>
      <c r="G289" s="41">
        <v>3298.86</v>
      </c>
      <c r="H289" s="32"/>
      <c r="I289" s="462">
        <v>231</v>
      </c>
      <c r="J289" s="32"/>
      <c r="K289" s="20">
        <v>16000</v>
      </c>
      <c r="L289" s="20">
        <v>2</v>
      </c>
      <c r="M289" s="20">
        <v>264000</v>
      </c>
      <c r="N289" s="84">
        <v>33</v>
      </c>
      <c r="O289" s="32">
        <f>Mar!BZ273</f>
        <v>33066</v>
      </c>
      <c r="P289" s="32">
        <f>Mar!CA273</f>
        <v>31806</v>
      </c>
      <c r="Q289" s="32">
        <f>Mar!BY273</f>
        <v>87</v>
      </c>
      <c r="R289" s="435">
        <f>Mar!BZ294</f>
        <v>86676</v>
      </c>
      <c r="S289" s="435">
        <f>Mar!CA294</f>
        <v>72251</v>
      </c>
      <c r="T289" s="20">
        <v>45716</v>
      </c>
      <c r="U289" s="20">
        <v>35</v>
      </c>
      <c r="V289" s="20">
        <f>O289-T289-U289+V267</f>
        <v>22020</v>
      </c>
      <c r="W289" s="77"/>
      <c r="X289" s="36"/>
    </row>
    <row r="290" spans="1:25" ht="15" customHeight="1">
      <c r="A290" s="427"/>
      <c r="B290" s="431"/>
      <c r="C290" s="434"/>
      <c r="D290" s="113" t="s">
        <v>128</v>
      </c>
      <c r="E290" s="113" t="s">
        <v>24</v>
      </c>
      <c r="F290" s="114" t="s">
        <v>40</v>
      </c>
      <c r="G290" s="170"/>
      <c r="H290" s="135">
        <v>3037.5</v>
      </c>
      <c r="I290" s="463"/>
      <c r="J290" s="125"/>
      <c r="K290" s="18">
        <v>31400</v>
      </c>
      <c r="L290" s="127">
        <v>4</v>
      </c>
      <c r="M290" s="216">
        <v>120000</v>
      </c>
      <c r="N290" s="238">
        <v>15</v>
      </c>
      <c r="O290" s="126">
        <f>Mar!BZ274</f>
        <v>24178</v>
      </c>
      <c r="P290" s="125">
        <f>Mar!CA274</f>
        <v>20253</v>
      </c>
      <c r="Q290" s="125">
        <f>Mar!BY274</f>
        <v>56</v>
      </c>
      <c r="R290" s="436"/>
      <c r="S290" s="436"/>
      <c r="T290" s="127">
        <v>18587</v>
      </c>
      <c r="U290" s="127">
        <v>9</v>
      </c>
      <c r="V290" s="127">
        <f>O290-T290-U290+V268</f>
        <v>18627</v>
      </c>
      <c r="W290" s="46"/>
      <c r="X290" s="67"/>
    </row>
    <row r="291" spans="1:25" ht="15" customHeight="1">
      <c r="A291" s="427"/>
      <c r="B291" s="442" t="s">
        <v>45</v>
      </c>
      <c r="C291" s="448" t="s">
        <v>59</v>
      </c>
      <c r="D291" s="118" t="s">
        <v>75</v>
      </c>
      <c r="E291" s="131" t="s">
        <v>25</v>
      </c>
      <c r="F291" s="131" t="s">
        <v>57</v>
      </c>
      <c r="G291" s="87"/>
      <c r="H291" s="136"/>
      <c r="I291" s="463"/>
      <c r="J291" s="2"/>
      <c r="K291" s="127"/>
      <c r="L291" s="18"/>
      <c r="M291" s="18">
        <v>45000</v>
      </c>
      <c r="N291" s="80">
        <v>9</v>
      </c>
      <c r="O291" s="126">
        <f>Mar!BZ276</f>
        <v>5189</v>
      </c>
      <c r="P291" s="126">
        <f>Mar!CA276</f>
        <v>2743</v>
      </c>
      <c r="Q291" s="2">
        <f>Mar!BY276</f>
        <v>11</v>
      </c>
      <c r="R291" s="436"/>
      <c r="S291" s="436"/>
      <c r="T291" s="18"/>
      <c r="U291" s="18"/>
      <c r="V291" s="127">
        <f>O291-T291-U291+V269</f>
        <v>106773</v>
      </c>
      <c r="W291" s="46"/>
      <c r="Y291" s="13"/>
    </row>
    <row r="292" spans="1:25">
      <c r="A292" s="427"/>
      <c r="B292" s="439"/>
      <c r="C292" s="440"/>
      <c r="D292" s="118" t="s">
        <v>72</v>
      </c>
      <c r="E292" s="424" t="s">
        <v>24</v>
      </c>
      <c r="F292" s="131" t="s">
        <v>57</v>
      </c>
      <c r="G292" s="136"/>
      <c r="H292" s="136"/>
      <c r="I292" s="463"/>
      <c r="J292" s="126"/>
      <c r="K292" s="127">
        <v>15000</v>
      </c>
      <c r="L292" s="18">
        <v>3</v>
      </c>
      <c r="M292" s="18">
        <v>80000</v>
      </c>
      <c r="N292" s="80">
        <v>16</v>
      </c>
      <c r="O292" s="126">
        <f>Mar!BZ277</f>
        <v>6050</v>
      </c>
      <c r="P292" s="126">
        <f>Mar!CA277</f>
        <v>5118</v>
      </c>
      <c r="Q292" s="2">
        <f>Mar!BY277</f>
        <v>22</v>
      </c>
      <c r="R292" s="436"/>
      <c r="S292" s="436"/>
      <c r="T292" s="18">
        <v>6806</v>
      </c>
      <c r="U292" s="18">
        <v>16</v>
      </c>
      <c r="V292" s="127">
        <f>O292-T292-U292+V270</f>
        <v>3635</v>
      </c>
      <c r="W292" s="46"/>
      <c r="Y292" s="13"/>
    </row>
    <row r="293" spans="1:25">
      <c r="A293" s="427"/>
      <c r="B293" s="439"/>
      <c r="C293" s="440"/>
      <c r="D293" s="115" t="s">
        <v>73</v>
      </c>
      <c r="E293" s="425"/>
      <c r="F293" s="131"/>
      <c r="G293" s="136"/>
      <c r="H293" s="152">
        <v>1980</v>
      </c>
      <c r="I293" s="463"/>
      <c r="J293" s="126"/>
      <c r="K293" s="127"/>
      <c r="L293" s="18"/>
      <c r="M293" s="18"/>
      <c r="N293" s="80"/>
      <c r="O293" s="126"/>
      <c r="P293" s="126"/>
      <c r="Q293" s="2"/>
      <c r="R293" s="436"/>
      <c r="S293" s="436"/>
      <c r="T293" s="18"/>
      <c r="U293" s="18"/>
      <c r="V293" s="127"/>
      <c r="W293" s="46"/>
      <c r="Y293" s="13"/>
    </row>
    <row r="294" spans="1:25">
      <c r="A294" s="427"/>
      <c r="B294" s="439"/>
      <c r="C294" s="440"/>
      <c r="D294" s="115" t="s">
        <v>79</v>
      </c>
      <c r="E294" s="118" t="s">
        <v>65</v>
      </c>
      <c r="F294" s="131" t="s">
        <v>57</v>
      </c>
      <c r="G294" s="224"/>
      <c r="H294" s="152"/>
      <c r="I294" s="463"/>
      <c r="J294" s="126"/>
      <c r="K294" s="127"/>
      <c r="L294" s="18"/>
      <c r="M294" s="18"/>
      <c r="N294" s="80"/>
      <c r="O294" s="126">
        <f>Mar!BZ278</f>
        <v>4286</v>
      </c>
      <c r="P294" s="126">
        <f>Mar!CA278</f>
        <v>2335</v>
      </c>
      <c r="Q294" s="126">
        <f>Mar!BY278</f>
        <v>9</v>
      </c>
      <c r="R294" s="436"/>
      <c r="S294" s="436"/>
      <c r="T294" s="18">
        <v>4286</v>
      </c>
      <c r="U294" s="18"/>
      <c r="V294" s="127">
        <f>O294-T294-U294+V271</f>
        <v>757</v>
      </c>
      <c r="W294" s="46"/>
      <c r="Y294" s="13"/>
    </row>
    <row r="295" spans="1:25" ht="14.25" customHeight="1">
      <c r="A295" s="427"/>
      <c r="B295" s="442" t="s">
        <v>53</v>
      </c>
      <c r="C295" s="444" t="s">
        <v>60</v>
      </c>
      <c r="D295" s="43" t="s">
        <v>130</v>
      </c>
      <c r="E295" s="115" t="s">
        <v>66</v>
      </c>
      <c r="F295" s="118" t="s">
        <v>54</v>
      </c>
      <c r="G295" s="224"/>
      <c r="H295" s="37"/>
      <c r="I295" s="463"/>
      <c r="J295" s="126"/>
      <c r="K295" s="18">
        <v>18000</v>
      </c>
      <c r="L295" s="18">
        <v>3</v>
      </c>
      <c r="M295" s="18">
        <v>18000</v>
      </c>
      <c r="N295" s="80">
        <v>3</v>
      </c>
      <c r="O295" s="126">
        <f>Mar!BZ275</f>
        <v>10655</v>
      </c>
      <c r="P295" s="126">
        <f>Mar!CA275</f>
        <v>8792</v>
      </c>
      <c r="Q295" s="126">
        <f>Mar!BY275</f>
        <v>26</v>
      </c>
      <c r="R295" s="436"/>
      <c r="S295" s="436"/>
      <c r="T295" s="18">
        <v>13036</v>
      </c>
      <c r="U295" s="18"/>
      <c r="V295" s="127">
        <f>O295-T295-U295+V273</f>
        <v>7636</v>
      </c>
      <c r="W295" s="45"/>
      <c r="X295" s="36"/>
    </row>
    <row r="296" spans="1:25" ht="14.25" customHeight="1">
      <c r="A296" s="427"/>
      <c r="B296" s="443"/>
      <c r="C296" s="446"/>
      <c r="D296" s="43" t="s">
        <v>96</v>
      </c>
      <c r="E296" s="114" t="s">
        <v>25</v>
      </c>
      <c r="F296" s="118"/>
      <c r="G296" s="224"/>
      <c r="H296" s="126">
        <v>612</v>
      </c>
      <c r="I296" s="463"/>
      <c r="J296" s="126"/>
      <c r="K296" s="18"/>
      <c r="L296" s="18"/>
      <c r="M296" s="18"/>
      <c r="N296" s="80"/>
      <c r="O296" s="126"/>
      <c r="P296" s="126"/>
      <c r="Q296" s="126"/>
      <c r="R296" s="436"/>
      <c r="S296" s="436"/>
      <c r="T296" s="18"/>
      <c r="U296" s="18"/>
      <c r="V296" s="127"/>
      <c r="W296" s="45"/>
      <c r="X296" s="67"/>
    </row>
    <row r="297" spans="1:25" ht="14.25" customHeight="1">
      <c r="A297" s="427"/>
      <c r="B297" s="122" t="s">
        <v>55</v>
      </c>
      <c r="C297" s="180" t="s">
        <v>133</v>
      </c>
      <c r="D297" s="48" t="s">
        <v>56</v>
      </c>
      <c r="E297" s="424" t="s">
        <v>25</v>
      </c>
      <c r="F297" s="118" t="s">
        <v>67</v>
      </c>
      <c r="G297" s="224"/>
      <c r="H297" s="37"/>
      <c r="I297" s="463"/>
      <c r="J297" s="126"/>
      <c r="K297" s="18"/>
      <c r="L297" s="18"/>
      <c r="M297" s="18">
        <v>2800</v>
      </c>
      <c r="N297" s="80">
        <v>1</v>
      </c>
      <c r="O297" s="126"/>
      <c r="P297" s="126"/>
      <c r="Q297" s="126">
        <f>Mar!BY293</f>
        <v>2</v>
      </c>
      <c r="R297" s="436"/>
      <c r="S297" s="436"/>
      <c r="T297" s="18"/>
      <c r="U297" s="18"/>
      <c r="V297" s="127">
        <f t="shared" ref="V297:V303" si="12">O297-T297-U297+V275</f>
        <v>500</v>
      </c>
      <c r="W297" s="45"/>
      <c r="X297" s="67"/>
    </row>
    <row r="298" spans="1:25" ht="14.25" customHeight="1">
      <c r="A298" s="427"/>
      <c r="B298" s="122" t="s">
        <v>122</v>
      </c>
      <c r="C298" s="180" t="s">
        <v>123</v>
      </c>
      <c r="D298" s="48" t="s">
        <v>56</v>
      </c>
      <c r="E298" s="441"/>
      <c r="F298" s="155" t="s">
        <v>64</v>
      </c>
      <c r="G298" s="224"/>
      <c r="H298" s="135"/>
      <c r="I298" s="463"/>
      <c r="J298" s="158"/>
      <c r="K298" s="128"/>
      <c r="L298" s="128"/>
      <c r="M298" s="128">
        <v>6400</v>
      </c>
      <c r="N298" s="164">
        <v>2</v>
      </c>
      <c r="O298" s="158"/>
      <c r="P298" s="158"/>
      <c r="Q298" s="158">
        <f>Mar!BY282</f>
        <v>1</v>
      </c>
      <c r="R298" s="436"/>
      <c r="S298" s="436"/>
      <c r="T298" s="18"/>
      <c r="U298" s="18"/>
      <c r="V298" s="127">
        <f t="shared" si="12"/>
        <v>31304</v>
      </c>
      <c r="W298" s="45"/>
      <c r="X298" s="67"/>
    </row>
    <row r="299" spans="1:25" ht="15.75" customHeight="1">
      <c r="A299" s="427"/>
      <c r="B299" s="137" t="s">
        <v>58</v>
      </c>
      <c r="C299" s="157" t="s">
        <v>243</v>
      </c>
      <c r="D299" s="48" t="s">
        <v>56</v>
      </c>
      <c r="E299" s="441"/>
      <c r="F299" s="118" t="s">
        <v>64</v>
      </c>
      <c r="G299" s="226"/>
      <c r="H299" s="126"/>
      <c r="I299" s="463"/>
      <c r="J299" s="2"/>
      <c r="K299" s="18"/>
      <c r="L299" s="18"/>
      <c r="M299" s="18"/>
      <c r="N299" s="18"/>
      <c r="O299" s="126"/>
      <c r="P299" s="126"/>
      <c r="Q299" s="126">
        <f>Mar!BY283</f>
        <v>1</v>
      </c>
      <c r="R299" s="436"/>
      <c r="S299" s="436"/>
      <c r="T299" s="18"/>
      <c r="U299" s="18"/>
      <c r="V299" s="127">
        <f t="shared" si="12"/>
        <v>8562</v>
      </c>
      <c r="W299" s="45"/>
      <c r="X299" s="67"/>
    </row>
    <row r="300" spans="1:25" ht="15" customHeight="1">
      <c r="A300" s="427"/>
      <c r="B300" s="122" t="s">
        <v>61</v>
      </c>
      <c r="C300" s="180" t="s">
        <v>137</v>
      </c>
      <c r="D300" s="48" t="s">
        <v>56</v>
      </c>
      <c r="E300" s="441"/>
      <c r="F300" s="118" t="s">
        <v>67</v>
      </c>
      <c r="G300" s="119"/>
      <c r="H300" s="126"/>
      <c r="I300" s="463"/>
      <c r="J300" s="2"/>
      <c r="K300" s="18"/>
      <c r="L300" s="18"/>
      <c r="M300" s="18"/>
      <c r="N300" s="18"/>
      <c r="O300" s="126"/>
      <c r="P300" s="126"/>
      <c r="Q300" s="126">
        <f>Mar!BY284</f>
        <v>1</v>
      </c>
      <c r="R300" s="436"/>
      <c r="S300" s="436"/>
      <c r="T300" s="18"/>
      <c r="U300" s="18"/>
      <c r="V300" s="127">
        <f t="shared" si="12"/>
        <v>5844</v>
      </c>
      <c r="W300" s="45"/>
      <c r="X300" s="67"/>
    </row>
    <row r="301" spans="1:25" ht="14.25" customHeight="1">
      <c r="A301" s="427"/>
      <c r="B301" s="122" t="s">
        <v>125</v>
      </c>
      <c r="C301" s="180" t="s">
        <v>88</v>
      </c>
      <c r="D301" s="48" t="s">
        <v>124</v>
      </c>
      <c r="E301" s="441"/>
      <c r="F301" s="118" t="s">
        <v>64</v>
      </c>
      <c r="G301" s="225"/>
      <c r="H301" s="126"/>
      <c r="I301" s="463"/>
      <c r="J301" s="126"/>
      <c r="K301" s="18"/>
      <c r="L301" s="18"/>
      <c r="M301" s="18">
        <v>51200</v>
      </c>
      <c r="N301" s="80">
        <v>7</v>
      </c>
      <c r="O301" s="126"/>
      <c r="P301" s="126">
        <f>Mar!CA279</f>
        <v>239</v>
      </c>
      <c r="Q301" s="126">
        <f>Mar!BY279</f>
        <v>1</v>
      </c>
      <c r="R301" s="436"/>
      <c r="S301" s="436"/>
      <c r="T301" s="18"/>
      <c r="U301" s="18"/>
      <c r="V301" s="127">
        <f t="shared" si="12"/>
        <v>28666</v>
      </c>
      <c r="W301" s="45"/>
      <c r="X301" s="67"/>
    </row>
    <row r="302" spans="1:25" s="4" customFormat="1" ht="15" customHeight="1">
      <c r="A302" s="489"/>
      <c r="B302" s="137" t="s">
        <v>47</v>
      </c>
      <c r="C302" s="157" t="s">
        <v>100</v>
      </c>
      <c r="D302" s="48" t="s">
        <v>99</v>
      </c>
      <c r="E302" s="491"/>
      <c r="F302" s="48" t="s">
        <v>71</v>
      </c>
      <c r="G302" s="259"/>
      <c r="H302" s="34"/>
      <c r="I302" s="463"/>
      <c r="J302" s="6"/>
      <c r="K302" s="211"/>
      <c r="L302" s="211"/>
      <c r="M302" s="211">
        <v>18000</v>
      </c>
      <c r="N302" s="211">
        <v>3</v>
      </c>
      <c r="O302" s="34"/>
      <c r="P302" s="34">
        <f>Mar!CA280</f>
        <v>263</v>
      </c>
      <c r="Q302" s="34">
        <f>Mar!BY280</f>
        <v>1</v>
      </c>
      <c r="R302" s="490"/>
      <c r="S302" s="490"/>
      <c r="T302" s="211">
        <v>10226</v>
      </c>
      <c r="U302" s="211">
        <v>24</v>
      </c>
      <c r="V302" s="216">
        <f t="shared" si="12"/>
        <v>68761</v>
      </c>
      <c r="W302" s="260"/>
      <c r="X302" s="67"/>
    </row>
    <row r="303" spans="1:25" ht="15" customHeight="1">
      <c r="A303" s="427"/>
      <c r="B303" s="122" t="s">
        <v>196</v>
      </c>
      <c r="C303" s="180" t="s">
        <v>63</v>
      </c>
      <c r="D303" s="48" t="s">
        <v>135</v>
      </c>
      <c r="E303" s="441"/>
      <c r="F303" s="118" t="s">
        <v>64</v>
      </c>
      <c r="G303" s="226"/>
      <c r="H303" s="126"/>
      <c r="I303" s="463"/>
      <c r="J303" s="2"/>
      <c r="K303" s="18"/>
      <c r="L303" s="18"/>
      <c r="M303" s="18">
        <v>33200</v>
      </c>
      <c r="N303" s="18">
        <v>4</v>
      </c>
      <c r="O303" s="126">
        <f>Mar!BZ281</f>
        <v>2829</v>
      </c>
      <c r="P303" s="126">
        <f>Mar!CA281</f>
        <v>50</v>
      </c>
      <c r="Q303" s="126"/>
      <c r="R303" s="436"/>
      <c r="S303" s="436"/>
      <c r="T303" s="18"/>
      <c r="U303" s="18"/>
      <c r="V303" s="127">
        <f t="shared" si="12"/>
        <v>31803</v>
      </c>
      <c r="W303" s="45"/>
      <c r="X303" s="67"/>
    </row>
    <row r="304" spans="1:25" ht="15" customHeight="1">
      <c r="A304" s="427"/>
      <c r="B304" s="122" t="s">
        <v>253</v>
      </c>
      <c r="C304" s="180" t="s">
        <v>252</v>
      </c>
      <c r="D304" s="48" t="s">
        <v>246</v>
      </c>
      <c r="E304" s="441"/>
      <c r="F304" s="118" t="s">
        <v>247</v>
      </c>
      <c r="G304" s="226">
        <v>134.65</v>
      </c>
      <c r="H304" s="126"/>
      <c r="I304" s="463"/>
      <c r="J304" s="2"/>
      <c r="K304" s="18"/>
      <c r="L304" s="18"/>
      <c r="M304" s="18"/>
      <c r="N304" s="18"/>
      <c r="O304" s="126"/>
      <c r="P304" s="126"/>
      <c r="Q304" s="126"/>
      <c r="R304" s="436"/>
      <c r="S304" s="436"/>
      <c r="T304" s="18"/>
      <c r="U304" s="18"/>
      <c r="V304" s="127">
        <f>O304-T304-U304+V218</f>
        <v>503</v>
      </c>
      <c r="W304" s="45"/>
      <c r="X304" s="67"/>
    </row>
    <row r="305" spans="1:25" ht="15" customHeight="1">
      <c r="A305" s="427"/>
      <c r="B305" s="122" t="s">
        <v>131</v>
      </c>
      <c r="C305" s="180" t="s">
        <v>194</v>
      </c>
      <c r="D305" s="48" t="s">
        <v>132</v>
      </c>
      <c r="E305" s="441"/>
      <c r="F305" s="118" t="s">
        <v>64</v>
      </c>
      <c r="G305" s="119"/>
      <c r="H305" s="126"/>
      <c r="I305" s="463"/>
      <c r="J305" s="2"/>
      <c r="K305" s="18"/>
      <c r="L305" s="18"/>
      <c r="M305" s="18"/>
      <c r="N305" s="18"/>
      <c r="O305" s="126"/>
      <c r="P305" s="126">
        <f>Mar!CA287</f>
        <v>228</v>
      </c>
      <c r="Q305" s="126">
        <f>Mar!BY287</f>
        <v>1</v>
      </c>
      <c r="R305" s="436"/>
      <c r="S305" s="436"/>
      <c r="T305" s="18"/>
      <c r="U305" s="18"/>
      <c r="V305" s="18">
        <f>O305-T305-U305+V283</f>
        <v>0</v>
      </c>
      <c r="W305" s="45"/>
      <c r="X305" s="67"/>
    </row>
    <row r="306" spans="1:25" ht="15" customHeight="1">
      <c r="A306" s="427"/>
      <c r="B306" s="122" t="s">
        <v>101</v>
      </c>
      <c r="C306" s="180" t="s">
        <v>193</v>
      </c>
      <c r="D306" s="48" t="s">
        <v>102</v>
      </c>
      <c r="E306" s="441"/>
      <c r="F306" s="118" t="s">
        <v>64</v>
      </c>
      <c r="G306" s="119"/>
      <c r="H306" s="126"/>
      <c r="I306" s="463"/>
      <c r="J306" s="2"/>
      <c r="K306" s="18"/>
      <c r="L306" s="18"/>
      <c r="M306" s="18"/>
      <c r="N306" s="18"/>
      <c r="O306" s="126"/>
      <c r="P306" s="126">
        <f>Mar!CA288</f>
        <v>229</v>
      </c>
      <c r="Q306" s="126">
        <f>Mar!BY288</f>
        <v>1</v>
      </c>
      <c r="R306" s="436"/>
      <c r="S306" s="436"/>
      <c r="T306" s="18"/>
      <c r="U306" s="18"/>
      <c r="V306" s="18">
        <f>O306-T306-U306+V284</f>
        <v>0</v>
      </c>
      <c r="W306" s="45"/>
      <c r="X306" s="67"/>
    </row>
    <row r="307" spans="1:25" ht="15" customHeight="1">
      <c r="A307" s="427"/>
      <c r="B307" s="122" t="s">
        <v>103</v>
      </c>
      <c r="C307" s="157" t="s">
        <v>197</v>
      </c>
      <c r="D307" s="48" t="s">
        <v>104</v>
      </c>
      <c r="E307" s="441"/>
      <c r="F307" s="118" t="s">
        <v>105</v>
      </c>
      <c r="G307" s="119"/>
      <c r="H307" s="126"/>
      <c r="I307" s="463"/>
      <c r="J307" s="2"/>
      <c r="K307" s="18"/>
      <c r="L307" s="18"/>
      <c r="M307" s="18"/>
      <c r="N307" s="18"/>
      <c r="O307" s="126"/>
      <c r="P307" s="126"/>
      <c r="Q307" s="126">
        <f>Mar!BY289</f>
        <v>1</v>
      </c>
      <c r="R307" s="436"/>
      <c r="S307" s="436"/>
      <c r="T307" s="18"/>
      <c r="U307" s="18"/>
      <c r="V307" s="18"/>
      <c r="W307" s="45"/>
      <c r="X307" s="67"/>
    </row>
    <row r="308" spans="1:25" ht="15" customHeight="1">
      <c r="A308" s="427"/>
      <c r="B308" s="137" t="s">
        <v>112</v>
      </c>
      <c r="C308" s="157" t="s">
        <v>197</v>
      </c>
      <c r="D308" s="48" t="s">
        <v>104</v>
      </c>
      <c r="E308" s="441"/>
      <c r="F308" s="118" t="s">
        <v>113</v>
      </c>
      <c r="G308" s="119"/>
      <c r="H308" s="126"/>
      <c r="I308" s="463"/>
      <c r="J308" s="2"/>
      <c r="K308" s="18"/>
      <c r="L308" s="18"/>
      <c r="M308" s="18"/>
      <c r="N308" s="18"/>
      <c r="O308" s="126"/>
      <c r="P308" s="126"/>
      <c r="Q308" s="126">
        <f>Mar!BY292</f>
        <v>1</v>
      </c>
      <c r="R308" s="436"/>
      <c r="S308" s="436"/>
      <c r="T308" s="18"/>
      <c r="U308" s="18"/>
      <c r="V308" s="18"/>
      <c r="W308" s="45"/>
      <c r="X308" s="67"/>
    </row>
    <row r="309" spans="1:25" ht="15" customHeight="1">
      <c r="A309" s="427"/>
      <c r="B309" s="442" t="s">
        <v>106</v>
      </c>
      <c r="C309" s="444" t="s">
        <v>141</v>
      </c>
      <c r="D309" s="48" t="s">
        <v>68</v>
      </c>
      <c r="E309" s="441"/>
      <c r="F309" s="118" t="s">
        <v>67</v>
      </c>
      <c r="G309" s="119"/>
      <c r="H309" s="126"/>
      <c r="I309" s="463"/>
      <c r="J309" s="2"/>
      <c r="K309" s="18"/>
      <c r="L309" s="18"/>
      <c r="M309" s="18"/>
      <c r="N309" s="18"/>
      <c r="O309" s="126">
        <f>Mar!BZ290</f>
        <v>423</v>
      </c>
      <c r="P309" s="126">
        <f>Mar!CA290</f>
        <v>195</v>
      </c>
      <c r="Q309" s="126">
        <f>Mar!BY290</f>
        <v>1</v>
      </c>
      <c r="R309" s="436"/>
      <c r="S309" s="436"/>
      <c r="T309" s="18"/>
      <c r="U309" s="18"/>
      <c r="V309" s="18">
        <f>O309-T309-U309+V287</f>
        <v>423</v>
      </c>
      <c r="W309" s="45"/>
      <c r="X309" s="67"/>
    </row>
    <row r="310" spans="1:25" ht="15" customHeight="1">
      <c r="A310" s="427"/>
      <c r="B310" s="443"/>
      <c r="C310" s="446"/>
      <c r="D310" s="59" t="s">
        <v>109</v>
      </c>
      <c r="E310" s="441"/>
      <c r="F310" s="118"/>
      <c r="G310" s="119"/>
      <c r="H310" s="126">
        <v>36</v>
      </c>
      <c r="I310" s="463"/>
      <c r="J310" s="2"/>
      <c r="K310" s="18"/>
      <c r="L310" s="18"/>
      <c r="M310" s="18"/>
      <c r="N310" s="18"/>
      <c r="O310" s="126"/>
      <c r="P310" s="126"/>
      <c r="Q310" s="126"/>
      <c r="R310" s="436"/>
      <c r="S310" s="436"/>
      <c r="T310" s="18"/>
      <c r="U310" s="18"/>
      <c r="V310" s="18"/>
      <c r="W310" s="45"/>
      <c r="X310" s="67"/>
    </row>
    <row r="311" spans="1:25" ht="15" customHeight="1" thickBot="1">
      <c r="A311" s="428"/>
      <c r="B311" s="44" t="s">
        <v>107</v>
      </c>
      <c r="C311" s="181" t="s">
        <v>195</v>
      </c>
      <c r="D311" s="61" t="s">
        <v>108</v>
      </c>
      <c r="E311" s="447"/>
      <c r="F311" s="133" t="s">
        <v>48</v>
      </c>
      <c r="G311" s="132"/>
      <c r="H311" s="109"/>
      <c r="I311" s="464"/>
      <c r="J311" s="129"/>
      <c r="K311" s="130"/>
      <c r="L311" s="130"/>
      <c r="M311" s="130"/>
      <c r="N311" s="130"/>
      <c r="O311" s="134"/>
      <c r="P311" s="134"/>
      <c r="Q311" s="134">
        <f>Mar!BY291</f>
        <v>1</v>
      </c>
      <c r="R311" s="437"/>
      <c r="S311" s="437"/>
      <c r="T311" s="130"/>
      <c r="U311" s="130"/>
      <c r="V311" s="128"/>
      <c r="W311" s="85"/>
      <c r="X311" s="67"/>
    </row>
    <row r="312" spans="1:25" ht="15" customHeight="1">
      <c r="A312" s="426">
        <v>46099</v>
      </c>
      <c r="B312" s="429" t="s">
        <v>44</v>
      </c>
      <c r="C312" s="432" t="s">
        <v>240</v>
      </c>
      <c r="D312" s="19" t="s">
        <v>37</v>
      </c>
      <c r="E312" s="19" t="s">
        <v>25</v>
      </c>
      <c r="F312" s="39" t="s">
        <v>40</v>
      </c>
      <c r="G312" s="168">
        <v>5498.1</v>
      </c>
      <c r="H312" s="32">
        <f>3440+2304</f>
        <v>5744</v>
      </c>
      <c r="I312" s="32"/>
      <c r="J312" s="32"/>
      <c r="K312" s="20">
        <v>8000</v>
      </c>
      <c r="L312" s="20">
        <v>1</v>
      </c>
      <c r="M312" s="20">
        <f>328000+8000</f>
        <v>336000</v>
      </c>
      <c r="N312" s="84">
        <v>42</v>
      </c>
      <c r="O312" s="32">
        <f>Mar!CC273</f>
        <v>31270</v>
      </c>
      <c r="P312" s="32">
        <f>Mar!CD273</f>
        <v>32723</v>
      </c>
      <c r="Q312" s="32">
        <f>Mar!CB273</f>
        <v>88</v>
      </c>
      <c r="R312" s="435">
        <f>Mar!CC294</f>
        <v>69644</v>
      </c>
      <c r="S312" s="435">
        <f>Mar!CD294</f>
        <v>71808</v>
      </c>
      <c r="T312" s="20">
        <v>25506</v>
      </c>
      <c r="U312" s="20"/>
      <c r="V312" s="20">
        <f>O312-T312-U312+V289</f>
        <v>27784</v>
      </c>
      <c r="W312" s="77"/>
      <c r="X312" s="36"/>
    </row>
    <row r="313" spans="1:25" ht="15" customHeight="1">
      <c r="A313" s="427"/>
      <c r="B313" s="431"/>
      <c r="C313" s="434"/>
      <c r="D313" s="113" t="s">
        <v>128</v>
      </c>
      <c r="E313" s="113" t="s">
        <v>24</v>
      </c>
      <c r="F313" s="114" t="s">
        <v>40</v>
      </c>
      <c r="G313" s="170"/>
      <c r="H313" s="158"/>
      <c r="I313" s="125"/>
      <c r="J313" s="125"/>
      <c r="K313" s="18">
        <v>16000</v>
      </c>
      <c r="L313" s="127">
        <v>2</v>
      </c>
      <c r="M313" s="216">
        <v>104000</v>
      </c>
      <c r="N313" s="238">
        <v>13</v>
      </c>
      <c r="O313" s="126">
        <f>Mar!CC274</f>
        <v>22333</v>
      </c>
      <c r="P313" s="125">
        <f>Mar!CD274</f>
        <v>20489</v>
      </c>
      <c r="Q313" s="125">
        <f>Mar!CB274</f>
        <v>56</v>
      </c>
      <c r="R313" s="436"/>
      <c r="S313" s="436"/>
      <c r="T313" s="127">
        <v>25024</v>
      </c>
      <c r="U313" s="127">
        <v>28</v>
      </c>
      <c r="V313" s="127">
        <f>O313-T313-U313+V290</f>
        <v>15908</v>
      </c>
      <c r="W313" s="46"/>
      <c r="X313" s="67"/>
    </row>
    <row r="314" spans="1:25" ht="15" customHeight="1">
      <c r="A314" s="427"/>
      <c r="B314" s="442" t="s">
        <v>45</v>
      </c>
      <c r="C314" s="448" t="s">
        <v>59</v>
      </c>
      <c r="D314" s="118" t="s">
        <v>75</v>
      </c>
      <c r="E314" s="438" t="s">
        <v>25</v>
      </c>
      <c r="F314" s="131" t="s">
        <v>57</v>
      </c>
      <c r="G314" s="87">
        <v>1164.75</v>
      </c>
      <c r="H314" s="136"/>
      <c r="I314" s="126"/>
      <c r="J314" s="2"/>
      <c r="K314" s="127"/>
      <c r="L314" s="18"/>
      <c r="M314" s="18">
        <v>60000</v>
      </c>
      <c r="N314" s="80">
        <v>12</v>
      </c>
      <c r="O314" s="126">
        <f>Mar!CC276</f>
        <v>1872</v>
      </c>
      <c r="P314" s="126">
        <f>Mar!CD276</f>
        <v>2592</v>
      </c>
      <c r="Q314" s="2">
        <f>Mar!CB276</f>
        <v>11</v>
      </c>
      <c r="R314" s="436"/>
      <c r="S314" s="436"/>
      <c r="T314" s="18">
        <v>6265</v>
      </c>
      <c r="U314" s="18"/>
      <c r="V314" s="127">
        <f>O314-T314-U314+V291</f>
        <v>102380</v>
      </c>
      <c r="W314" s="46"/>
      <c r="Y314" s="13"/>
    </row>
    <row r="315" spans="1:25" ht="15" customHeight="1">
      <c r="A315" s="427"/>
      <c r="B315" s="439"/>
      <c r="C315" s="440"/>
      <c r="D315" s="118" t="s">
        <v>94</v>
      </c>
      <c r="E315" s="431"/>
      <c r="F315" s="131"/>
      <c r="G315" s="87"/>
      <c r="H315" s="152">
        <f>1296+486</f>
        <v>1782</v>
      </c>
      <c r="I315" s="126"/>
      <c r="J315" s="2"/>
      <c r="K315" s="127"/>
      <c r="L315" s="18"/>
      <c r="M315" s="18"/>
      <c r="N315" s="80"/>
      <c r="O315" s="126"/>
      <c r="P315" s="126"/>
      <c r="Q315" s="2"/>
      <c r="R315" s="436"/>
      <c r="S315" s="436"/>
      <c r="T315" s="18"/>
      <c r="U315" s="18"/>
      <c r="V315" s="127"/>
      <c r="W315" s="46"/>
      <c r="Y315" s="13"/>
    </row>
    <row r="316" spans="1:25">
      <c r="A316" s="427"/>
      <c r="B316" s="439"/>
      <c r="C316" s="440"/>
      <c r="D316" s="118" t="s">
        <v>72</v>
      </c>
      <c r="E316" s="155" t="s">
        <v>24</v>
      </c>
      <c r="F316" s="131" t="s">
        <v>57</v>
      </c>
      <c r="G316" s="136"/>
      <c r="H316" s="136"/>
      <c r="I316" s="126"/>
      <c r="J316" s="126"/>
      <c r="K316" s="127">
        <v>20000</v>
      </c>
      <c r="L316" s="18">
        <v>4</v>
      </c>
      <c r="M316" s="18">
        <v>60000</v>
      </c>
      <c r="N316" s="80">
        <v>12</v>
      </c>
      <c r="O316" s="126">
        <f>Mar!CC277</f>
        <v>3199</v>
      </c>
      <c r="P316" s="126">
        <f>Mar!CD277</f>
        <v>5971</v>
      </c>
      <c r="Q316" s="2">
        <f>Mar!CB277</f>
        <v>25</v>
      </c>
      <c r="R316" s="436"/>
      <c r="S316" s="436"/>
      <c r="T316" s="211">
        <v>4629</v>
      </c>
      <c r="U316" s="18"/>
      <c r="V316" s="127">
        <f>O316-T316-U316+V292</f>
        <v>2205</v>
      </c>
      <c r="W316" s="46"/>
      <c r="Y316" s="13"/>
    </row>
    <row r="317" spans="1:25">
      <c r="A317" s="427"/>
      <c r="B317" s="439"/>
      <c r="C317" s="440"/>
      <c r="D317" s="115" t="s">
        <v>79</v>
      </c>
      <c r="E317" s="118" t="s">
        <v>65</v>
      </c>
      <c r="F317" s="131" t="s">
        <v>57</v>
      </c>
      <c r="G317" s="224"/>
      <c r="H317" s="152"/>
      <c r="I317" s="126"/>
      <c r="J317" s="126"/>
      <c r="K317" s="127"/>
      <c r="L317" s="18"/>
      <c r="M317" s="18"/>
      <c r="N317" s="80"/>
      <c r="O317" s="126">
        <f>Mar!CC278</f>
        <v>1397</v>
      </c>
      <c r="P317" s="126">
        <f>Mar!CD278</f>
        <v>1448</v>
      </c>
      <c r="Q317" s="126">
        <f>Mar!CB278</f>
        <v>6</v>
      </c>
      <c r="R317" s="436"/>
      <c r="S317" s="436"/>
      <c r="T317" s="18"/>
      <c r="U317" s="18"/>
      <c r="V317" s="127">
        <f>O317-T317-U317+V294</f>
        <v>2154</v>
      </c>
      <c r="W317" s="46"/>
      <c r="Y317" s="13"/>
    </row>
    <row r="318" spans="1:25" ht="14.25" customHeight="1">
      <c r="A318" s="427"/>
      <c r="B318" s="137" t="s">
        <v>53</v>
      </c>
      <c r="C318" s="157" t="s">
        <v>60</v>
      </c>
      <c r="D318" s="43" t="s">
        <v>130</v>
      </c>
      <c r="E318" s="115" t="s">
        <v>66</v>
      </c>
      <c r="F318" s="118" t="s">
        <v>54</v>
      </c>
      <c r="G318" s="229">
        <v>1705.96</v>
      </c>
      <c r="H318" s="37"/>
      <c r="I318" s="126"/>
      <c r="J318" s="126"/>
      <c r="K318" s="18"/>
      <c r="L318" s="18"/>
      <c r="M318" s="18">
        <v>42000</v>
      </c>
      <c r="N318" s="80">
        <v>7</v>
      </c>
      <c r="O318" s="126">
        <f>Mar!CC275</f>
        <v>7219</v>
      </c>
      <c r="P318" s="126">
        <f>Mar!CD275</f>
        <v>8358</v>
      </c>
      <c r="Q318" s="126">
        <f>Mar!CB275</f>
        <v>26</v>
      </c>
      <c r="R318" s="436"/>
      <c r="S318" s="436"/>
      <c r="T318" s="18">
        <v>7193</v>
      </c>
      <c r="U318" s="18"/>
      <c r="V318" s="127">
        <f>O318-T318-U318+V295</f>
        <v>7662</v>
      </c>
      <c r="W318" s="45"/>
      <c r="X318" s="36"/>
    </row>
    <row r="319" spans="1:25" ht="14.25" customHeight="1">
      <c r="A319" s="427"/>
      <c r="B319" s="122" t="s">
        <v>55</v>
      </c>
      <c r="C319" s="180" t="s">
        <v>133</v>
      </c>
      <c r="D319" s="48" t="s">
        <v>56</v>
      </c>
      <c r="E319" s="424" t="s">
        <v>25</v>
      </c>
      <c r="F319" s="118" t="s">
        <v>67</v>
      </c>
      <c r="G319" s="224"/>
      <c r="H319" s="37"/>
      <c r="I319" s="126"/>
      <c r="J319" s="126"/>
      <c r="K319" s="18"/>
      <c r="L319" s="18"/>
      <c r="M319" s="18">
        <v>2800</v>
      </c>
      <c r="N319" s="80">
        <v>1</v>
      </c>
      <c r="O319" s="126"/>
      <c r="P319" s="126"/>
      <c r="Q319" s="126">
        <f>Mar!CB293</f>
        <v>2</v>
      </c>
      <c r="R319" s="436"/>
      <c r="S319" s="436"/>
      <c r="T319" s="18"/>
      <c r="U319" s="18"/>
      <c r="V319" s="127">
        <f t="shared" ref="V319:V328" si="13">O319-T319-U319+V297</f>
        <v>500</v>
      </c>
      <c r="W319" s="45"/>
      <c r="X319" s="67"/>
    </row>
    <row r="320" spans="1:25" ht="14.25" customHeight="1">
      <c r="A320" s="427"/>
      <c r="B320" s="122" t="s">
        <v>122</v>
      </c>
      <c r="C320" s="180" t="s">
        <v>123</v>
      </c>
      <c r="D320" s="48" t="s">
        <v>56</v>
      </c>
      <c r="E320" s="441"/>
      <c r="F320" s="155" t="s">
        <v>64</v>
      </c>
      <c r="G320" s="224"/>
      <c r="H320" s="135"/>
      <c r="I320" s="158"/>
      <c r="J320" s="158"/>
      <c r="K320" s="128"/>
      <c r="L320" s="128"/>
      <c r="M320" s="128">
        <v>6400</v>
      </c>
      <c r="N320" s="164">
        <v>2</v>
      </c>
      <c r="O320" s="158"/>
      <c r="P320" s="158"/>
      <c r="Q320" s="158">
        <f>Mar!CB282</f>
        <v>1</v>
      </c>
      <c r="R320" s="436"/>
      <c r="S320" s="436"/>
      <c r="T320" s="18"/>
      <c r="U320" s="18"/>
      <c r="V320" s="127">
        <f t="shared" si="13"/>
        <v>31304</v>
      </c>
      <c r="W320" s="45"/>
      <c r="X320" s="67"/>
    </row>
    <row r="321" spans="1:25" ht="15.75" customHeight="1">
      <c r="A321" s="427"/>
      <c r="B321" s="137" t="s">
        <v>58</v>
      </c>
      <c r="C321" s="157" t="s">
        <v>243</v>
      </c>
      <c r="D321" s="48" t="s">
        <v>56</v>
      </c>
      <c r="E321" s="441"/>
      <c r="F321" s="118" t="s">
        <v>64</v>
      </c>
      <c r="G321" s="226"/>
      <c r="H321" s="126"/>
      <c r="I321" s="126"/>
      <c r="J321" s="2"/>
      <c r="K321" s="18"/>
      <c r="L321" s="18"/>
      <c r="M321" s="18"/>
      <c r="N321" s="18"/>
      <c r="O321" s="126"/>
      <c r="P321" s="126"/>
      <c r="Q321" s="126">
        <f>Mar!CB283</f>
        <v>1</v>
      </c>
      <c r="R321" s="436"/>
      <c r="S321" s="436"/>
      <c r="T321" s="18"/>
      <c r="U321" s="18"/>
      <c r="V321" s="127">
        <f t="shared" si="13"/>
        <v>8562</v>
      </c>
      <c r="W321" s="45"/>
      <c r="X321" s="67"/>
    </row>
    <row r="322" spans="1:25" ht="15" customHeight="1">
      <c r="A322" s="427"/>
      <c r="B322" s="122" t="s">
        <v>61</v>
      </c>
      <c r="C322" s="180" t="s">
        <v>137</v>
      </c>
      <c r="D322" s="48" t="s">
        <v>56</v>
      </c>
      <c r="E322" s="441"/>
      <c r="F322" s="118" t="s">
        <v>67</v>
      </c>
      <c r="G322" s="119"/>
      <c r="H322" s="126"/>
      <c r="I322" s="126"/>
      <c r="J322" s="2"/>
      <c r="K322" s="18"/>
      <c r="L322" s="18"/>
      <c r="M322" s="18"/>
      <c r="N322" s="18"/>
      <c r="O322" s="126"/>
      <c r="P322" s="126"/>
      <c r="Q322" s="126">
        <f>Mar!CB284</f>
        <v>1</v>
      </c>
      <c r="R322" s="436"/>
      <c r="S322" s="436"/>
      <c r="T322" s="18"/>
      <c r="U322" s="18"/>
      <c r="V322" s="127">
        <f t="shared" si="13"/>
        <v>5844</v>
      </c>
      <c r="W322" s="45"/>
      <c r="X322" s="67"/>
    </row>
    <row r="323" spans="1:25" ht="14.25" customHeight="1">
      <c r="A323" s="427"/>
      <c r="B323" s="122" t="s">
        <v>125</v>
      </c>
      <c r="C323" s="180" t="s">
        <v>88</v>
      </c>
      <c r="D323" s="48" t="s">
        <v>124</v>
      </c>
      <c r="E323" s="441"/>
      <c r="F323" s="118" t="s">
        <v>64</v>
      </c>
      <c r="G323" s="225"/>
      <c r="H323" s="126"/>
      <c r="I323" s="126"/>
      <c r="J323" s="126"/>
      <c r="K323" s="18"/>
      <c r="L323" s="18"/>
      <c r="M323" s="18">
        <v>51200</v>
      </c>
      <c r="N323" s="80">
        <v>7</v>
      </c>
      <c r="O323" s="126"/>
      <c r="P323" s="126">
        <f>Mar!CD279</f>
        <v>74</v>
      </c>
      <c r="Q323" s="126">
        <f>Mar!CB279</f>
        <v>1</v>
      </c>
      <c r="R323" s="436"/>
      <c r="S323" s="436"/>
      <c r="T323" s="18"/>
      <c r="U323" s="18"/>
      <c r="V323" s="127">
        <f t="shared" si="13"/>
        <v>28666</v>
      </c>
      <c r="W323" s="45"/>
      <c r="X323" s="67"/>
    </row>
    <row r="324" spans="1:25" ht="15" customHeight="1">
      <c r="A324" s="427"/>
      <c r="B324" s="137" t="s">
        <v>47</v>
      </c>
      <c r="C324" s="157" t="s">
        <v>100</v>
      </c>
      <c r="D324" s="48" t="s">
        <v>99</v>
      </c>
      <c r="E324" s="441"/>
      <c r="F324" s="118" t="s">
        <v>71</v>
      </c>
      <c r="G324" s="226"/>
      <c r="H324" s="126"/>
      <c r="I324" s="126"/>
      <c r="J324" s="2"/>
      <c r="K324" s="18"/>
      <c r="L324" s="18"/>
      <c r="M324" s="18">
        <v>18000</v>
      </c>
      <c r="N324" s="18">
        <v>3</v>
      </c>
      <c r="O324" s="126">
        <f>Mar!CC280</f>
        <v>1354</v>
      </c>
      <c r="P324" s="126">
        <f>Mar!CD280</f>
        <v>153</v>
      </c>
      <c r="Q324" s="126">
        <f>Mar!CB280</f>
        <v>1</v>
      </c>
      <c r="R324" s="436"/>
      <c r="S324" s="436"/>
      <c r="T324" s="18"/>
      <c r="U324" s="18"/>
      <c r="V324" s="127">
        <f t="shared" si="13"/>
        <v>70115</v>
      </c>
      <c r="W324" s="45"/>
      <c r="X324" s="67"/>
    </row>
    <row r="325" spans="1:25" ht="15" customHeight="1">
      <c r="A325" s="427"/>
      <c r="B325" s="122" t="s">
        <v>196</v>
      </c>
      <c r="C325" s="180" t="s">
        <v>63</v>
      </c>
      <c r="D325" s="48" t="s">
        <v>135</v>
      </c>
      <c r="E325" s="441"/>
      <c r="F325" s="118" t="s">
        <v>64</v>
      </c>
      <c r="G325" s="226"/>
      <c r="H325" s="126"/>
      <c r="I325" s="126"/>
      <c r="J325" s="2"/>
      <c r="K325" s="18"/>
      <c r="L325" s="18"/>
      <c r="M325" s="18">
        <v>33200</v>
      </c>
      <c r="N325" s="18">
        <v>4</v>
      </c>
      <c r="O325" s="126"/>
      <c r="P325" s="126"/>
      <c r="Q325" s="126"/>
      <c r="R325" s="436"/>
      <c r="S325" s="436"/>
      <c r="T325" s="18"/>
      <c r="U325" s="18"/>
      <c r="V325" s="127">
        <f t="shared" si="13"/>
        <v>31803</v>
      </c>
      <c r="W325" s="45"/>
      <c r="X325" s="67"/>
    </row>
    <row r="326" spans="1:25" ht="15" customHeight="1">
      <c r="A326" s="427"/>
      <c r="B326" s="122" t="s">
        <v>253</v>
      </c>
      <c r="C326" s="180" t="s">
        <v>252</v>
      </c>
      <c r="D326" s="48" t="s">
        <v>246</v>
      </c>
      <c r="E326" s="441"/>
      <c r="F326" s="118" t="s">
        <v>247</v>
      </c>
      <c r="G326" s="226"/>
      <c r="H326" s="126"/>
      <c r="I326" s="126"/>
      <c r="J326" s="2"/>
      <c r="K326" s="18">
        <v>2000</v>
      </c>
      <c r="L326" s="18">
        <v>1</v>
      </c>
      <c r="M326" s="18"/>
      <c r="N326" s="18"/>
      <c r="O326" s="126"/>
      <c r="P326" s="126"/>
      <c r="Q326" s="126">
        <f>Mar!CB285</f>
        <v>1</v>
      </c>
      <c r="R326" s="436"/>
      <c r="S326" s="436"/>
      <c r="T326" s="18"/>
      <c r="U326" s="18"/>
      <c r="V326" s="127">
        <f t="shared" si="13"/>
        <v>503</v>
      </c>
      <c r="W326" s="45"/>
      <c r="X326" s="67"/>
    </row>
    <row r="327" spans="1:25" ht="15" customHeight="1">
      <c r="A327" s="427"/>
      <c r="B327" s="122" t="s">
        <v>131</v>
      </c>
      <c r="C327" s="180" t="s">
        <v>194</v>
      </c>
      <c r="D327" s="48" t="s">
        <v>132</v>
      </c>
      <c r="E327" s="441"/>
      <c r="F327" s="118" t="s">
        <v>64</v>
      </c>
      <c r="G327" s="119"/>
      <c r="H327" s="126"/>
      <c r="I327" s="126"/>
      <c r="J327" s="2"/>
      <c r="K327" s="18"/>
      <c r="L327" s="18"/>
      <c r="M327" s="18"/>
      <c r="N327" s="18"/>
      <c r="O327" s="126">
        <f>Mar!CC287</f>
        <v>500</v>
      </c>
      <c r="P327" s="126"/>
      <c r="Q327" s="126">
        <f>Mar!CB287</f>
        <v>1</v>
      </c>
      <c r="R327" s="436"/>
      <c r="S327" s="436"/>
      <c r="T327" s="18">
        <v>500</v>
      </c>
      <c r="U327" s="18"/>
      <c r="V327" s="18">
        <f t="shared" si="13"/>
        <v>0</v>
      </c>
      <c r="W327" s="45"/>
      <c r="X327" s="67"/>
    </row>
    <row r="328" spans="1:25" ht="15" customHeight="1">
      <c r="A328" s="427"/>
      <c r="B328" s="122" t="s">
        <v>101</v>
      </c>
      <c r="C328" s="180" t="s">
        <v>193</v>
      </c>
      <c r="D328" s="48" t="s">
        <v>102</v>
      </c>
      <c r="E328" s="441"/>
      <c r="F328" s="118" t="s">
        <v>64</v>
      </c>
      <c r="G328" s="119"/>
      <c r="H328" s="126"/>
      <c r="I328" s="126"/>
      <c r="J328" s="2"/>
      <c r="K328" s="18"/>
      <c r="L328" s="18"/>
      <c r="M328" s="18"/>
      <c r="N328" s="18"/>
      <c r="O328" s="126">
        <f>Mar!CC288</f>
        <v>500</v>
      </c>
      <c r="P328" s="126"/>
      <c r="Q328" s="126">
        <f>Mar!CB288</f>
        <v>1</v>
      </c>
      <c r="R328" s="436"/>
      <c r="S328" s="436"/>
      <c r="T328" s="18">
        <v>500</v>
      </c>
      <c r="U328" s="18"/>
      <c r="V328" s="18">
        <f t="shared" si="13"/>
        <v>0</v>
      </c>
      <c r="W328" s="45"/>
      <c r="X328" s="67"/>
    </row>
    <row r="329" spans="1:25" ht="15" customHeight="1">
      <c r="A329" s="427"/>
      <c r="B329" s="122" t="s">
        <v>103</v>
      </c>
      <c r="C329" s="157" t="s">
        <v>197</v>
      </c>
      <c r="D329" s="48" t="s">
        <v>104</v>
      </c>
      <c r="E329" s="441"/>
      <c r="F329" s="118" t="s">
        <v>105</v>
      </c>
      <c r="G329" s="119"/>
      <c r="H329" s="126"/>
      <c r="I329" s="126"/>
      <c r="J329" s="2"/>
      <c r="K329" s="18"/>
      <c r="L329" s="18"/>
      <c r="M329" s="18"/>
      <c r="N329" s="18"/>
      <c r="O329" s="126"/>
      <c r="P329" s="126"/>
      <c r="Q329" s="126">
        <f>Mar!CB289</f>
        <v>1</v>
      </c>
      <c r="R329" s="436"/>
      <c r="S329" s="436"/>
      <c r="T329" s="18"/>
      <c r="U329" s="18"/>
      <c r="V329" s="18"/>
      <c r="W329" s="45"/>
      <c r="X329" s="67"/>
    </row>
    <row r="330" spans="1:25" ht="15" customHeight="1">
      <c r="A330" s="427"/>
      <c r="B330" s="137" t="s">
        <v>112</v>
      </c>
      <c r="C330" s="157" t="s">
        <v>197</v>
      </c>
      <c r="D330" s="48" t="s">
        <v>104</v>
      </c>
      <c r="E330" s="441"/>
      <c r="F330" s="118" t="s">
        <v>113</v>
      </c>
      <c r="G330" s="119"/>
      <c r="H330" s="126"/>
      <c r="I330" s="126"/>
      <c r="J330" s="2"/>
      <c r="K330" s="18"/>
      <c r="L330" s="18"/>
      <c r="M330" s="18"/>
      <c r="N330" s="18"/>
      <c r="O330" s="126"/>
      <c r="P330" s="126"/>
      <c r="Q330" s="126">
        <f>Mar!CB292</f>
        <v>1</v>
      </c>
      <c r="R330" s="436"/>
      <c r="S330" s="436"/>
      <c r="T330" s="18"/>
      <c r="U330" s="18"/>
      <c r="V330" s="18"/>
      <c r="W330" s="45"/>
      <c r="X330" s="67"/>
    </row>
    <row r="331" spans="1:25" ht="15" customHeight="1">
      <c r="A331" s="427"/>
      <c r="B331" s="137" t="s">
        <v>106</v>
      </c>
      <c r="C331" s="157" t="s">
        <v>141</v>
      </c>
      <c r="D331" s="48" t="s">
        <v>68</v>
      </c>
      <c r="E331" s="441"/>
      <c r="F331" s="118" t="s">
        <v>67</v>
      </c>
      <c r="G331" s="119"/>
      <c r="H331" s="126"/>
      <c r="I331" s="126"/>
      <c r="J331" s="2"/>
      <c r="K331" s="18"/>
      <c r="L331" s="18"/>
      <c r="M331" s="18"/>
      <c r="N331" s="18"/>
      <c r="O331" s="126"/>
      <c r="P331" s="126"/>
      <c r="Q331" s="126"/>
      <c r="R331" s="436"/>
      <c r="S331" s="436"/>
      <c r="T331" s="18">
        <v>423</v>
      </c>
      <c r="U331" s="18"/>
      <c r="V331" s="18">
        <f>O331-T331-U331+V309</f>
        <v>0</v>
      </c>
      <c r="W331" s="45"/>
      <c r="X331" s="67"/>
    </row>
    <row r="332" spans="1:25" ht="15" customHeight="1" thickBot="1">
      <c r="A332" s="428"/>
      <c r="B332" s="44" t="s">
        <v>107</v>
      </c>
      <c r="C332" s="181" t="s">
        <v>195</v>
      </c>
      <c r="D332" s="61" t="s">
        <v>108</v>
      </c>
      <c r="E332" s="447"/>
      <c r="F332" s="133" t="s">
        <v>48</v>
      </c>
      <c r="G332" s="132"/>
      <c r="H332" s="109"/>
      <c r="I332" s="134"/>
      <c r="J332" s="129"/>
      <c r="K332" s="130"/>
      <c r="L332" s="130"/>
      <c r="M332" s="130"/>
      <c r="N332" s="130"/>
      <c r="O332" s="134"/>
      <c r="P332" s="134"/>
      <c r="Q332" s="134">
        <f>Mar!CB291</f>
        <v>1</v>
      </c>
      <c r="R332" s="437"/>
      <c r="S332" s="437"/>
      <c r="T332" s="130"/>
      <c r="U332" s="130"/>
      <c r="V332" s="128"/>
      <c r="W332" s="85"/>
      <c r="X332" s="67"/>
    </row>
    <row r="333" spans="1:25" ht="15" customHeight="1">
      <c r="A333" s="426">
        <v>46100</v>
      </c>
      <c r="B333" s="429" t="s">
        <v>44</v>
      </c>
      <c r="C333" s="432" t="s">
        <v>240</v>
      </c>
      <c r="D333" s="19" t="s">
        <v>37</v>
      </c>
      <c r="E333" s="19" t="s">
        <v>25</v>
      </c>
      <c r="F333" s="39" t="s">
        <v>40</v>
      </c>
      <c r="G333" s="41"/>
      <c r="H333" s="32"/>
      <c r="I333" s="32"/>
      <c r="J333" s="32"/>
      <c r="K333" s="20">
        <v>32000</v>
      </c>
      <c r="L333" s="20">
        <v>4</v>
      </c>
      <c r="M333" s="20">
        <v>304000</v>
      </c>
      <c r="N333" s="84">
        <v>38</v>
      </c>
      <c r="O333" s="32">
        <f>Mar!CF273</f>
        <v>20870</v>
      </c>
      <c r="P333" s="32">
        <f>Mar!CG273</f>
        <v>34152</v>
      </c>
      <c r="Q333" s="32">
        <f>Mar!CE273</f>
        <v>91</v>
      </c>
      <c r="R333" s="435">
        <f>Mar!CF294</f>
        <v>70133</v>
      </c>
      <c r="S333" s="435">
        <f>Mar!CG294</f>
        <v>73811</v>
      </c>
      <c r="T333" s="20">
        <v>27600</v>
      </c>
      <c r="U333" s="20">
        <v>5</v>
      </c>
      <c r="V333" s="20">
        <f>O333-T333-U333+V312</f>
        <v>21049</v>
      </c>
      <c r="W333" s="77"/>
      <c r="X333" s="36"/>
    </row>
    <row r="334" spans="1:25" ht="15" customHeight="1">
      <c r="A334" s="427"/>
      <c r="B334" s="431"/>
      <c r="C334" s="434"/>
      <c r="D334" s="113" t="s">
        <v>128</v>
      </c>
      <c r="E334" s="113" t="s">
        <v>24</v>
      </c>
      <c r="F334" s="114" t="s">
        <v>40</v>
      </c>
      <c r="G334" s="170"/>
      <c r="H334" s="158">
        <v>3900</v>
      </c>
      <c r="I334" s="125"/>
      <c r="J334" s="125"/>
      <c r="K334" s="18">
        <v>40000</v>
      </c>
      <c r="L334" s="127">
        <v>5</v>
      </c>
      <c r="M334" s="216">
        <v>64000</v>
      </c>
      <c r="N334" s="238">
        <v>8</v>
      </c>
      <c r="O334" s="126">
        <f>Mar!CF274</f>
        <v>26671</v>
      </c>
      <c r="P334" s="125">
        <f>Mar!CG274</f>
        <v>20891</v>
      </c>
      <c r="Q334" s="125">
        <f>Mar!CE274</f>
        <v>56</v>
      </c>
      <c r="R334" s="436"/>
      <c r="S334" s="436"/>
      <c r="T334" s="127">
        <v>19181</v>
      </c>
      <c r="U334" s="127"/>
      <c r="V334" s="127">
        <f>O334-T334-U334+V313</f>
        <v>23398</v>
      </c>
      <c r="W334" s="46"/>
      <c r="X334" s="67"/>
    </row>
    <row r="335" spans="1:25" ht="15" customHeight="1">
      <c r="A335" s="427"/>
      <c r="B335" s="442" t="s">
        <v>45</v>
      </c>
      <c r="C335" s="448" t="s">
        <v>59</v>
      </c>
      <c r="D335" s="118" t="s">
        <v>75</v>
      </c>
      <c r="E335" s="131" t="s">
        <v>25</v>
      </c>
      <c r="F335" s="131" t="s">
        <v>57</v>
      </c>
      <c r="G335" s="87"/>
      <c r="H335" s="136"/>
      <c r="I335" s="126"/>
      <c r="J335" s="2"/>
      <c r="K335" s="127">
        <v>5000</v>
      </c>
      <c r="L335" s="18">
        <v>1</v>
      </c>
      <c r="M335" s="18">
        <v>55000</v>
      </c>
      <c r="N335" s="80">
        <v>11</v>
      </c>
      <c r="O335" s="126">
        <f>Mar!CF276</f>
        <v>2200</v>
      </c>
      <c r="P335" s="126">
        <f>Mar!CG276</f>
        <v>2778</v>
      </c>
      <c r="Q335" s="2">
        <f>Mar!CE276</f>
        <v>11</v>
      </c>
      <c r="R335" s="436"/>
      <c r="S335" s="436"/>
      <c r="T335" s="18">
        <v>12591</v>
      </c>
      <c r="U335" s="18"/>
      <c r="V335" s="127">
        <f>O335-T335-U335+V314</f>
        <v>91989</v>
      </c>
      <c r="W335" s="46"/>
      <c r="Y335" s="13"/>
    </row>
    <row r="336" spans="1:25">
      <c r="A336" s="427"/>
      <c r="B336" s="439"/>
      <c r="C336" s="440"/>
      <c r="D336" s="118" t="s">
        <v>72</v>
      </c>
      <c r="E336" s="155" t="s">
        <v>24</v>
      </c>
      <c r="F336" s="131" t="s">
        <v>57</v>
      </c>
      <c r="G336" s="136"/>
      <c r="H336" s="136"/>
      <c r="I336" s="126"/>
      <c r="J336" s="126"/>
      <c r="K336" s="127"/>
      <c r="L336" s="18"/>
      <c r="M336" s="18">
        <v>60000</v>
      </c>
      <c r="N336" s="80">
        <v>12</v>
      </c>
      <c r="O336" s="126">
        <f>Mar!CF277</f>
        <v>6907</v>
      </c>
      <c r="P336" s="126">
        <f>Mar!CG277</f>
        <v>6053</v>
      </c>
      <c r="Q336" s="2">
        <f>Mar!CE277</f>
        <v>25</v>
      </c>
      <c r="R336" s="436"/>
      <c r="S336" s="436"/>
      <c r="T336" s="18"/>
      <c r="U336" s="18"/>
      <c r="V336" s="127">
        <f>O336-T336-U336+V316</f>
        <v>9112</v>
      </c>
      <c r="W336" s="46"/>
      <c r="Y336" s="13"/>
    </row>
    <row r="337" spans="1:25">
      <c r="A337" s="427"/>
      <c r="B337" s="439"/>
      <c r="C337" s="440"/>
      <c r="D337" s="115" t="s">
        <v>79</v>
      </c>
      <c r="E337" s="118" t="s">
        <v>65</v>
      </c>
      <c r="F337" s="131" t="s">
        <v>57</v>
      </c>
      <c r="G337" s="224"/>
      <c r="H337" s="152"/>
      <c r="I337" s="126"/>
      <c r="J337" s="126"/>
      <c r="K337" s="127"/>
      <c r="L337" s="18"/>
      <c r="M337" s="18"/>
      <c r="N337" s="80"/>
      <c r="O337" s="126">
        <f>Mar!CF278</f>
        <v>3291</v>
      </c>
      <c r="P337" s="126">
        <f>Mar!CG278</f>
        <v>1460</v>
      </c>
      <c r="Q337" s="126">
        <f>Mar!CE278</f>
        <v>6</v>
      </c>
      <c r="R337" s="436"/>
      <c r="S337" s="436"/>
      <c r="T337" s="18"/>
      <c r="U337" s="18"/>
      <c r="V337" s="127">
        <f>O337-T337-U337+V317</f>
        <v>5445</v>
      </c>
      <c r="W337" s="46"/>
      <c r="Y337" s="13"/>
    </row>
    <row r="338" spans="1:25" ht="14.25" customHeight="1">
      <c r="A338" s="427"/>
      <c r="B338" s="442" t="s">
        <v>53</v>
      </c>
      <c r="C338" s="444" t="s">
        <v>60</v>
      </c>
      <c r="D338" s="43" t="s">
        <v>130</v>
      </c>
      <c r="E338" s="115" t="s">
        <v>66</v>
      </c>
      <c r="F338" s="118" t="s">
        <v>54</v>
      </c>
      <c r="G338" s="224"/>
      <c r="H338" s="37"/>
      <c r="I338" s="126"/>
      <c r="J338" s="126"/>
      <c r="K338" s="18">
        <v>18000</v>
      </c>
      <c r="L338" s="18">
        <v>3</v>
      </c>
      <c r="M338" s="18">
        <v>24000</v>
      </c>
      <c r="N338" s="80">
        <v>4</v>
      </c>
      <c r="O338" s="126">
        <f>Mar!CF275</f>
        <v>8431</v>
      </c>
      <c r="P338" s="126">
        <f>Mar!CG275</f>
        <v>8477</v>
      </c>
      <c r="Q338" s="126">
        <f>Mar!CE275</f>
        <v>25</v>
      </c>
      <c r="R338" s="436"/>
      <c r="S338" s="436"/>
      <c r="T338" s="18">
        <v>7330</v>
      </c>
      <c r="U338" s="18"/>
      <c r="V338" s="127">
        <f>O338-T338-U338+V318</f>
        <v>8763</v>
      </c>
      <c r="W338" s="45"/>
      <c r="X338" s="36"/>
    </row>
    <row r="339" spans="1:25" ht="14.25" customHeight="1">
      <c r="A339" s="427"/>
      <c r="B339" s="443"/>
      <c r="C339" s="446"/>
      <c r="D339" s="43" t="s">
        <v>199</v>
      </c>
      <c r="E339" s="114" t="s">
        <v>25</v>
      </c>
      <c r="F339" s="118"/>
      <c r="G339" s="224"/>
      <c r="H339" s="37">
        <v>1577.6</v>
      </c>
      <c r="I339" s="126"/>
      <c r="J339" s="126"/>
      <c r="K339" s="18"/>
      <c r="L339" s="18"/>
      <c r="M339" s="18"/>
      <c r="N339" s="80"/>
      <c r="O339" s="126"/>
      <c r="P339" s="126"/>
      <c r="Q339" s="126"/>
      <c r="R339" s="436"/>
      <c r="S339" s="436"/>
      <c r="T339" s="18"/>
      <c r="U339" s="18"/>
      <c r="V339" s="127"/>
      <c r="W339" s="45"/>
      <c r="X339" s="67"/>
    </row>
    <row r="340" spans="1:25" ht="14.25" customHeight="1">
      <c r="A340" s="427"/>
      <c r="B340" s="122" t="s">
        <v>55</v>
      </c>
      <c r="C340" s="180" t="s">
        <v>133</v>
      </c>
      <c r="D340" s="48" t="s">
        <v>56</v>
      </c>
      <c r="E340" s="424" t="s">
        <v>25</v>
      </c>
      <c r="F340" s="118" t="s">
        <v>67</v>
      </c>
      <c r="G340" s="224"/>
      <c r="H340" s="37"/>
      <c r="I340" s="126"/>
      <c r="J340" s="126"/>
      <c r="K340" s="18"/>
      <c r="L340" s="18"/>
      <c r="M340" s="18">
        <v>2800</v>
      </c>
      <c r="N340" s="80">
        <v>1</v>
      </c>
      <c r="O340" s="126"/>
      <c r="P340" s="126"/>
      <c r="Q340" s="126">
        <f>Mar!CE293</f>
        <v>2</v>
      </c>
      <c r="R340" s="436"/>
      <c r="S340" s="436"/>
      <c r="T340" s="18"/>
      <c r="U340" s="18"/>
      <c r="V340" s="127">
        <f>O340-T340-U340+V319</f>
        <v>500</v>
      </c>
      <c r="W340" s="45"/>
      <c r="X340" s="67"/>
    </row>
    <row r="341" spans="1:25" ht="14.25" customHeight="1">
      <c r="A341" s="427"/>
      <c r="B341" s="122" t="s">
        <v>122</v>
      </c>
      <c r="C341" s="180" t="s">
        <v>123</v>
      </c>
      <c r="D341" s="48" t="s">
        <v>56</v>
      </c>
      <c r="E341" s="441"/>
      <c r="F341" s="155" t="s">
        <v>64</v>
      </c>
      <c r="G341" s="224"/>
      <c r="H341" s="135"/>
      <c r="I341" s="158"/>
      <c r="J341" s="158"/>
      <c r="K341" s="128"/>
      <c r="L341" s="128"/>
      <c r="M341" s="128">
        <v>6400</v>
      </c>
      <c r="N341" s="164">
        <v>2</v>
      </c>
      <c r="O341" s="158"/>
      <c r="P341" s="158"/>
      <c r="Q341" s="158">
        <f>Mar!CE282</f>
        <v>1</v>
      </c>
      <c r="R341" s="436"/>
      <c r="S341" s="436"/>
      <c r="T341" s="18"/>
      <c r="U341" s="18"/>
      <c r="V341" s="127">
        <f t="shared" ref="V341:V346" si="14">O341-T341-U341+V320</f>
        <v>31304</v>
      </c>
      <c r="W341" s="45"/>
      <c r="X341" s="67"/>
    </row>
    <row r="342" spans="1:25" ht="15.75" customHeight="1">
      <c r="A342" s="427"/>
      <c r="B342" s="137" t="s">
        <v>58</v>
      </c>
      <c r="C342" s="157" t="s">
        <v>243</v>
      </c>
      <c r="D342" s="48" t="s">
        <v>56</v>
      </c>
      <c r="E342" s="441"/>
      <c r="F342" s="118" t="s">
        <v>64</v>
      </c>
      <c r="G342" s="226"/>
      <c r="H342" s="126"/>
      <c r="I342" s="126"/>
      <c r="J342" s="2"/>
      <c r="K342" s="18"/>
      <c r="L342" s="18"/>
      <c r="M342" s="18"/>
      <c r="N342" s="18"/>
      <c r="O342" s="126"/>
      <c r="P342" s="126"/>
      <c r="Q342" s="126">
        <f>Mar!CE283</f>
        <v>1</v>
      </c>
      <c r="R342" s="436"/>
      <c r="S342" s="436"/>
      <c r="T342" s="18"/>
      <c r="U342" s="18"/>
      <c r="V342" s="127">
        <f t="shared" si="14"/>
        <v>8562</v>
      </c>
      <c r="W342" s="45"/>
      <c r="X342" s="67"/>
    </row>
    <row r="343" spans="1:25" ht="15" customHeight="1">
      <c r="A343" s="427"/>
      <c r="B343" s="122" t="s">
        <v>61</v>
      </c>
      <c r="C343" s="180" t="s">
        <v>137</v>
      </c>
      <c r="D343" s="48" t="s">
        <v>56</v>
      </c>
      <c r="E343" s="441"/>
      <c r="F343" s="118" t="s">
        <v>67</v>
      </c>
      <c r="G343" s="119"/>
      <c r="H343" s="126"/>
      <c r="I343" s="126"/>
      <c r="J343" s="2"/>
      <c r="K343" s="18"/>
      <c r="L343" s="18"/>
      <c r="M343" s="18"/>
      <c r="N343" s="18"/>
      <c r="O343" s="126"/>
      <c r="P343" s="126"/>
      <c r="Q343" s="126">
        <f>Mar!CE284</f>
        <v>1</v>
      </c>
      <c r="R343" s="436"/>
      <c r="S343" s="436"/>
      <c r="T343" s="18"/>
      <c r="U343" s="18"/>
      <c r="V343" s="127">
        <f t="shared" si="14"/>
        <v>5844</v>
      </c>
      <c r="W343" s="45"/>
      <c r="X343" s="67"/>
    </row>
    <row r="344" spans="1:25" ht="14.25" customHeight="1">
      <c r="A344" s="427"/>
      <c r="B344" s="122" t="s">
        <v>125</v>
      </c>
      <c r="C344" s="180" t="s">
        <v>88</v>
      </c>
      <c r="D344" s="48" t="s">
        <v>124</v>
      </c>
      <c r="E344" s="441"/>
      <c r="F344" s="118" t="s">
        <v>64</v>
      </c>
      <c r="G344" s="225"/>
      <c r="H344" s="126"/>
      <c r="I344" s="126"/>
      <c r="J344" s="126"/>
      <c r="K344" s="18"/>
      <c r="L344" s="18"/>
      <c r="M344" s="18">
        <v>51200</v>
      </c>
      <c r="N344" s="80">
        <v>7</v>
      </c>
      <c r="O344" s="126">
        <f>Mar!CF279</f>
        <v>1763</v>
      </c>
      <c r="P344" s="126"/>
      <c r="Q344" s="126"/>
      <c r="R344" s="436"/>
      <c r="S344" s="436"/>
      <c r="T344" s="18"/>
      <c r="U344" s="18"/>
      <c r="V344" s="127">
        <f t="shared" si="14"/>
        <v>30429</v>
      </c>
      <c r="W344" s="45"/>
      <c r="X344" s="67"/>
    </row>
    <row r="345" spans="1:25" ht="15" customHeight="1">
      <c r="A345" s="427"/>
      <c r="B345" s="137" t="s">
        <v>47</v>
      </c>
      <c r="C345" s="157" t="s">
        <v>100</v>
      </c>
      <c r="D345" s="48" t="s">
        <v>99</v>
      </c>
      <c r="E345" s="441"/>
      <c r="F345" s="118" t="s">
        <v>71</v>
      </c>
      <c r="G345" s="226"/>
      <c r="H345" s="126"/>
      <c r="I345" s="126"/>
      <c r="J345" s="2"/>
      <c r="K345" s="18"/>
      <c r="L345" s="18"/>
      <c r="M345" s="18">
        <v>18000</v>
      </c>
      <c r="N345" s="18">
        <v>3</v>
      </c>
      <c r="O345" s="126"/>
      <c r="P345" s="126"/>
      <c r="Q345" s="126"/>
      <c r="R345" s="436"/>
      <c r="S345" s="436"/>
      <c r="T345" s="18"/>
      <c r="U345" s="18"/>
      <c r="V345" s="127">
        <f t="shared" si="14"/>
        <v>70115</v>
      </c>
      <c r="W345" s="45"/>
      <c r="X345" s="67"/>
    </row>
    <row r="346" spans="1:25" ht="15" customHeight="1">
      <c r="A346" s="427"/>
      <c r="B346" s="122" t="s">
        <v>196</v>
      </c>
      <c r="C346" s="180" t="s">
        <v>63</v>
      </c>
      <c r="D346" s="48" t="s">
        <v>135</v>
      </c>
      <c r="E346" s="441"/>
      <c r="F346" s="118" t="s">
        <v>64</v>
      </c>
      <c r="G346" s="226"/>
      <c r="H346" s="126"/>
      <c r="I346" s="126"/>
      <c r="J346" s="2"/>
      <c r="K346" s="18"/>
      <c r="L346" s="18"/>
      <c r="M346" s="18">
        <v>33200</v>
      </c>
      <c r="N346" s="18">
        <v>4</v>
      </c>
      <c r="O346" s="126"/>
      <c r="P346" s="126"/>
      <c r="Q346" s="126"/>
      <c r="R346" s="436"/>
      <c r="S346" s="436"/>
      <c r="T346" s="18">
        <v>16697</v>
      </c>
      <c r="U346" s="18"/>
      <c r="V346" s="127">
        <f t="shared" si="14"/>
        <v>15106</v>
      </c>
      <c r="W346" s="45"/>
      <c r="X346" s="67"/>
    </row>
    <row r="347" spans="1:25" ht="15" customHeight="1">
      <c r="A347" s="427"/>
      <c r="B347" s="122" t="s">
        <v>253</v>
      </c>
      <c r="C347" s="180" t="s">
        <v>252</v>
      </c>
      <c r="D347" s="48" t="s">
        <v>246</v>
      </c>
      <c r="E347" s="441"/>
      <c r="F347" s="118" t="s">
        <v>247</v>
      </c>
      <c r="G347" s="226"/>
      <c r="H347" s="126"/>
      <c r="I347" s="126"/>
      <c r="J347" s="2"/>
      <c r="K347" s="18"/>
      <c r="L347" s="18"/>
      <c r="M347" s="18"/>
      <c r="N347" s="18"/>
      <c r="O347" s="126"/>
      <c r="P347" s="126"/>
      <c r="Q347" s="126">
        <f>Mar!CE285</f>
        <v>1</v>
      </c>
      <c r="R347" s="436"/>
      <c r="S347" s="436"/>
      <c r="T347" s="18"/>
      <c r="U347" s="18"/>
      <c r="V347" s="127">
        <f>O347-T347-U347+V326</f>
        <v>503</v>
      </c>
      <c r="W347" s="45"/>
      <c r="X347" s="67"/>
    </row>
    <row r="348" spans="1:25" ht="15" customHeight="1">
      <c r="A348" s="427"/>
      <c r="B348" s="122" t="s">
        <v>131</v>
      </c>
      <c r="C348" s="180" t="s">
        <v>194</v>
      </c>
      <c r="D348" s="48" t="s">
        <v>132</v>
      </c>
      <c r="E348" s="441"/>
      <c r="F348" s="118" t="s">
        <v>64</v>
      </c>
      <c r="G348" s="119"/>
      <c r="H348" s="126"/>
      <c r="I348" s="126"/>
      <c r="J348" s="2"/>
      <c r="K348" s="18"/>
      <c r="L348" s="18"/>
      <c r="M348" s="18"/>
      <c r="N348" s="18"/>
      <c r="O348" s="126"/>
      <c r="P348" s="126"/>
      <c r="Q348" s="126">
        <f>Mar!CE287</f>
        <v>1</v>
      </c>
      <c r="R348" s="436"/>
      <c r="S348" s="436"/>
      <c r="T348" s="18"/>
      <c r="U348" s="18"/>
      <c r="V348" s="18"/>
      <c r="W348" s="45"/>
      <c r="X348" s="67"/>
    </row>
    <row r="349" spans="1:25" ht="15" customHeight="1">
      <c r="A349" s="427"/>
      <c r="B349" s="122" t="s">
        <v>101</v>
      </c>
      <c r="C349" s="180" t="s">
        <v>193</v>
      </c>
      <c r="D349" s="48" t="s">
        <v>102</v>
      </c>
      <c r="E349" s="441"/>
      <c r="F349" s="118" t="s">
        <v>64</v>
      </c>
      <c r="G349" s="119"/>
      <c r="H349" s="126"/>
      <c r="I349" s="126"/>
      <c r="J349" s="2"/>
      <c r="K349" s="18"/>
      <c r="L349" s="18"/>
      <c r="M349" s="18"/>
      <c r="N349" s="18"/>
      <c r="O349" s="126"/>
      <c r="P349" s="126"/>
      <c r="Q349" s="126">
        <f>Mar!CE288</f>
        <v>1</v>
      </c>
      <c r="R349" s="436"/>
      <c r="S349" s="436"/>
      <c r="T349" s="18"/>
      <c r="U349" s="18"/>
      <c r="V349" s="18"/>
      <c r="W349" s="45"/>
      <c r="X349" s="67"/>
    </row>
    <row r="350" spans="1:25" ht="15" customHeight="1">
      <c r="A350" s="427"/>
      <c r="B350" s="122" t="s">
        <v>103</v>
      </c>
      <c r="C350" s="157" t="s">
        <v>197</v>
      </c>
      <c r="D350" s="48" t="s">
        <v>104</v>
      </c>
      <c r="E350" s="441"/>
      <c r="F350" s="118" t="s">
        <v>105</v>
      </c>
      <c r="G350" s="119"/>
      <c r="H350" s="126"/>
      <c r="I350" s="126"/>
      <c r="J350" s="2"/>
      <c r="K350" s="18"/>
      <c r="L350" s="18"/>
      <c r="M350" s="18"/>
      <c r="N350" s="18"/>
      <c r="O350" s="126"/>
      <c r="P350" s="126"/>
      <c r="Q350" s="126">
        <f>Mar!CE289</f>
        <v>1</v>
      </c>
      <c r="R350" s="436"/>
      <c r="S350" s="436"/>
      <c r="T350" s="18"/>
      <c r="U350" s="18"/>
      <c r="V350" s="18"/>
      <c r="W350" s="45"/>
      <c r="X350" s="67"/>
    </row>
    <row r="351" spans="1:25" ht="15" customHeight="1">
      <c r="A351" s="427"/>
      <c r="B351" s="137" t="s">
        <v>112</v>
      </c>
      <c r="C351" s="157" t="s">
        <v>197</v>
      </c>
      <c r="D351" s="48" t="s">
        <v>104</v>
      </c>
      <c r="E351" s="441"/>
      <c r="F351" s="118" t="s">
        <v>113</v>
      </c>
      <c r="G351" s="119"/>
      <c r="H351" s="126"/>
      <c r="I351" s="126"/>
      <c r="J351" s="2"/>
      <c r="K351" s="18"/>
      <c r="L351" s="18"/>
      <c r="M351" s="18"/>
      <c r="N351" s="18"/>
      <c r="O351" s="126"/>
      <c r="P351" s="126"/>
      <c r="Q351" s="126">
        <f>Mar!CE292</f>
        <v>1</v>
      </c>
      <c r="R351" s="436"/>
      <c r="S351" s="436"/>
      <c r="T351" s="18"/>
      <c r="U351" s="18"/>
      <c r="V351" s="18"/>
      <c r="W351" s="45"/>
      <c r="X351" s="67"/>
    </row>
    <row r="352" spans="1:25" ht="15" customHeight="1" thickBot="1">
      <c r="A352" s="428"/>
      <c r="B352" s="44" t="s">
        <v>107</v>
      </c>
      <c r="C352" s="181" t="s">
        <v>195</v>
      </c>
      <c r="D352" s="61" t="s">
        <v>108</v>
      </c>
      <c r="E352" s="447"/>
      <c r="F352" s="133" t="s">
        <v>48</v>
      </c>
      <c r="G352" s="132"/>
      <c r="H352" s="109"/>
      <c r="I352" s="134"/>
      <c r="J352" s="129"/>
      <c r="K352" s="130"/>
      <c r="L352" s="130"/>
      <c r="M352" s="130"/>
      <c r="N352" s="130"/>
      <c r="O352" s="134"/>
      <c r="P352" s="134"/>
      <c r="Q352" s="134">
        <f>Mar!CE291</f>
        <v>1</v>
      </c>
      <c r="R352" s="437"/>
      <c r="S352" s="437"/>
      <c r="T352" s="130"/>
      <c r="U352" s="130"/>
      <c r="V352" s="128"/>
      <c r="W352" s="85"/>
      <c r="X352" s="67"/>
    </row>
    <row r="353" spans="1:25" ht="15" customHeight="1">
      <c r="A353" s="426">
        <v>46101</v>
      </c>
      <c r="B353" s="429" t="s">
        <v>44</v>
      </c>
      <c r="C353" s="432" t="s">
        <v>240</v>
      </c>
      <c r="D353" s="19" t="s">
        <v>37</v>
      </c>
      <c r="E353" s="19" t="s">
        <v>25</v>
      </c>
      <c r="F353" s="39" t="s">
        <v>40</v>
      </c>
      <c r="G353" s="168">
        <v>10996.2</v>
      </c>
      <c r="H353" s="32">
        <v>5760</v>
      </c>
      <c r="I353" s="32"/>
      <c r="J353" s="32"/>
      <c r="K353" s="20">
        <v>8000</v>
      </c>
      <c r="L353" s="20">
        <v>1</v>
      </c>
      <c r="M353" s="20">
        <v>456000</v>
      </c>
      <c r="N353" s="84">
        <v>57</v>
      </c>
      <c r="O353" s="32">
        <f>Mar!CI273</f>
        <v>46473</v>
      </c>
      <c r="P353" s="32">
        <f>Mar!CJ273</f>
        <v>33586</v>
      </c>
      <c r="Q353" s="32">
        <f>Mar!CH273</f>
        <v>91</v>
      </c>
      <c r="R353" s="435">
        <f>Mar!CI294</f>
        <v>75156</v>
      </c>
      <c r="S353" s="435">
        <f>Mar!CJ294</f>
        <v>73213</v>
      </c>
      <c r="T353" s="20">
        <v>7977</v>
      </c>
      <c r="U353" s="20"/>
      <c r="V353" s="20">
        <f>O353-T353-U353+V333</f>
        <v>59545</v>
      </c>
      <c r="W353" s="77"/>
      <c r="X353" s="36"/>
    </row>
    <row r="354" spans="1:25" ht="15" customHeight="1">
      <c r="A354" s="427"/>
      <c r="B354" s="431"/>
      <c r="C354" s="434"/>
      <c r="D354" s="113" t="s">
        <v>128</v>
      </c>
      <c r="E354" s="113" t="s">
        <v>24</v>
      </c>
      <c r="F354" s="114" t="s">
        <v>40</v>
      </c>
      <c r="G354" s="170"/>
      <c r="H354" s="158"/>
      <c r="I354" s="125"/>
      <c r="J354" s="125"/>
      <c r="K354" s="18">
        <v>8000</v>
      </c>
      <c r="L354" s="127">
        <v>1</v>
      </c>
      <c r="M354" s="216">
        <v>56000</v>
      </c>
      <c r="N354" s="238">
        <v>7</v>
      </c>
      <c r="O354" s="126">
        <f>Mar!CI274</f>
        <v>9410</v>
      </c>
      <c r="P354" s="125">
        <f>Mar!CJ274</f>
        <v>20878</v>
      </c>
      <c r="Q354" s="125">
        <f>Mar!CH274</f>
        <v>56</v>
      </c>
      <c r="R354" s="436"/>
      <c r="S354" s="436"/>
      <c r="T354" s="127">
        <v>18839</v>
      </c>
      <c r="U354" s="127">
        <v>3</v>
      </c>
      <c r="V354" s="127">
        <f>O354-T354-U354+V334</f>
        <v>13966</v>
      </c>
      <c r="W354" s="46"/>
      <c r="X354" s="67"/>
    </row>
    <row r="355" spans="1:25" ht="15" customHeight="1">
      <c r="A355" s="427"/>
      <c r="B355" s="442" t="s">
        <v>45</v>
      </c>
      <c r="C355" s="448" t="s">
        <v>59</v>
      </c>
      <c r="D355" s="118" t="s">
        <v>75</v>
      </c>
      <c r="E355" s="131" t="s">
        <v>25</v>
      </c>
      <c r="F355" s="131" t="s">
        <v>57</v>
      </c>
      <c r="G355" s="87"/>
      <c r="H355" s="136"/>
      <c r="I355" s="126"/>
      <c r="J355" s="2"/>
      <c r="K355" s="127">
        <v>10000</v>
      </c>
      <c r="L355" s="18">
        <v>2</v>
      </c>
      <c r="M355" s="18">
        <v>45000</v>
      </c>
      <c r="N355" s="80">
        <v>9</v>
      </c>
      <c r="O355" s="126">
        <f>Mar!CI276</f>
        <v>2010</v>
      </c>
      <c r="P355" s="126">
        <f>Mar!CJ276</f>
        <v>2696</v>
      </c>
      <c r="Q355" s="2">
        <f>Mar!CH276</f>
        <v>11</v>
      </c>
      <c r="R355" s="436"/>
      <c r="S355" s="436"/>
      <c r="T355" s="18">
        <v>11471</v>
      </c>
      <c r="U355" s="18"/>
      <c r="V355" s="127">
        <f>O355-T355-U355+V335</f>
        <v>82528</v>
      </c>
      <c r="W355" s="46"/>
      <c r="Y355" s="13"/>
    </row>
    <row r="356" spans="1:25">
      <c r="A356" s="427"/>
      <c r="B356" s="439"/>
      <c r="C356" s="440"/>
      <c r="D356" s="118" t="s">
        <v>72</v>
      </c>
      <c r="E356" s="424" t="s">
        <v>24</v>
      </c>
      <c r="F356" s="131" t="s">
        <v>57</v>
      </c>
      <c r="G356" s="136"/>
      <c r="H356" s="136"/>
      <c r="I356" s="126"/>
      <c r="J356" s="126"/>
      <c r="K356" s="127">
        <v>20000</v>
      </c>
      <c r="L356" s="18">
        <v>4</v>
      </c>
      <c r="M356" s="18">
        <v>40000</v>
      </c>
      <c r="N356" s="80">
        <v>8</v>
      </c>
      <c r="O356" s="126">
        <f>Mar!CI277</f>
        <v>7738</v>
      </c>
      <c r="P356" s="126">
        <f>Mar!CJ277</f>
        <v>5785</v>
      </c>
      <c r="Q356" s="2">
        <f>Mar!CH277</f>
        <v>25</v>
      </c>
      <c r="R356" s="436"/>
      <c r="S356" s="436"/>
      <c r="T356" s="18">
        <v>13081</v>
      </c>
      <c r="U356" s="18">
        <v>14</v>
      </c>
      <c r="V356" s="127">
        <f>O356-T356-U356+V336</f>
        <v>3755</v>
      </c>
      <c r="W356" s="46"/>
      <c r="Y356" s="13"/>
    </row>
    <row r="357" spans="1:25">
      <c r="A357" s="427"/>
      <c r="B357" s="439"/>
      <c r="C357" s="440"/>
      <c r="D357" s="115" t="s">
        <v>73</v>
      </c>
      <c r="E357" s="425"/>
      <c r="F357" s="131"/>
      <c r="G357" s="136"/>
      <c r="H357" s="152">
        <v>3300</v>
      </c>
      <c r="I357" s="126"/>
      <c r="J357" s="126"/>
      <c r="K357" s="127"/>
      <c r="L357" s="18"/>
      <c r="M357" s="18"/>
      <c r="N357" s="80"/>
      <c r="O357" s="126"/>
      <c r="P357" s="126"/>
      <c r="Q357" s="2"/>
      <c r="R357" s="436"/>
      <c r="S357" s="436"/>
      <c r="T357" s="18"/>
      <c r="U357" s="18"/>
      <c r="V357" s="127"/>
      <c r="W357" s="46"/>
      <c r="Y357" s="13"/>
    </row>
    <row r="358" spans="1:25">
      <c r="A358" s="427"/>
      <c r="B358" s="439"/>
      <c r="C358" s="440"/>
      <c r="D358" s="115" t="s">
        <v>79</v>
      </c>
      <c r="E358" s="118" t="s">
        <v>65</v>
      </c>
      <c r="F358" s="131" t="s">
        <v>57</v>
      </c>
      <c r="G358" s="224"/>
      <c r="H358" s="152"/>
      <c r="I358" s="126"/>
      <c r="J358" s="126"/>
      <c r="K358" s="127"/>
      <c r="L358" s="18"/>
      <c r="M358" s="18"/>
      <c r="N358" s="80"/>
      <c r="O358" s="126"/>
      <c r="P358" s="126">
        <f>Mar!CJ278</f>
        <v>1395</v>
      </c>
      <c r="Q358" s="126">
        <f>Mar!CH278</f>
        <v>6</v>
      </c>
      <c r="R358" s="436"/>
      <c r="S358" s="436"/>
      <c r="T358" s="18">
        <v>5432</v>
      </c>
      <c r="U358" s="18"/>
      <c r="V358" s="127">
        <f>O358-T358-U358+V337</f>
        <v>13</v>
      </c>
      <c r="W358" s="46"/>
      <c r="Y358" s="13"/>
    </row>
    <row r="359" spans="1:25" ht="14.25" customHeight="1">
      <c r="A359" s="427"/>
      <c r="B359" s="137" t="s">
        <v>53</v>
      </c>
      <c r="C359" s="157" t="s">
        <v>60</v>
      </c>
      <c r="D359" s="43" t="s">
        <v>130</v>
      </c>
      <c r="E359" s="115" t="s">
        <v>66</v>
      </c>
      <c r="F359" s="118" t="s">
        <v>54</v>
      </c>
      <c r="G359" s="229">
        <v>2132.4499999999998</v>
      </c>
      <c r="H359" s="37"/>
      <c r="I359" s="126"/>
      <c r="J359" s="126"/>
      <c r="K359" s="18"/>
      <c r="L359" s="18"/>
      <c r="M359" s="18">
        <v>54000</v>
      </c>
      <c r="N359" s="80">
        <v>9</v>
      </c>
      <c r="O359" s="126">
        <f>Mar!CI275</f>
        <v>9525</v>
      </c>
      <c r="P359" s="126">
        <f>Mar!CJ275</f>
        <v>8292</v>
      </c>
      <c r="Q359" s="126">
        <f>Mar!CH275</f>
        <v>25</v>
      </c>
      <c r="R359" s="436"/>
      <c r="S359" s="436"/>
      <c r="T359" s="18">
        <v>7231</v>
      </c>
      <c r="U359" s="18"/>
      <c r="V359" s="127">
        <f>O359-T359-U359+V338</f>
        <v>11057</v>
      </c>
      <c r="W359" s="45"/>
      <c r="X359" s="36"/>
    </row>
    <row r="360" spans="1:25" ht="14.25" customHeight="1">
      <c r="A360" s="427"/>
      <c r="B360" s="122" t="s">
        <v>55</v>
      </c>
      <c r="C360" s="180" t="s">
        <v>133</v>
      </c>
      <c r="D360" s="48" t="s">
        <v>56</v>
      </c>
      <c r="E360" s="424" t="s">
        <v>25</v>
      </c>
      <c r="F360" s="118" t="s">
        <v>67</v>
      </c>
      <c r="G360" s="224"/>
      <c r="H360" s="37"/>
      <c r="I360" s="126"/>
      <c r="J360" s="126"/>
      <c r="K360" s="18"/>
      <c r="L360" s="18"/>
      <c r="M360" s="18">
        <v>2800</v>
      </c>
      <c r="N360" s="80">
        <v>1</v>
      </c>
      <c r="O360" s="126"/>
      <c r="P360" s="126">
        <f>Mar!CJ293</f>
        <v>581</v>
      </c>
      <c r="Q360" s="126">
        <f>Mar!CH293</f>
        <v>2</v>
      </c>
      <c r="R360" s="436"/>
      <c r="S360" s="436"/>
      <c r="T360" s="18"/>
      <c r="U360" s="18"/>
      <c r="V360" s="127">
        <f t="shared" ref="V360:V366" si="15">O360-T360-U360+V340</f>
        <v>500</v>
      </c>
      <c r="W360" s="45"/>
      <c r="X360" s="67"/>
    </row>
    <row r="361" spans="1:25" ht="14.25" customHeight="1">
      <c r="A361" s="427"/>
      <c r="B361" s="122" t="s">
        <v>122</v>
      </c>
      <c r="C361" s="180" t="s">
        <v>123</v>
      </c>
      <c r="D361" s="48" t="s">
        <v>56</v>
      </c>
      <c r="E361" s="441"/>
      <c r="F361" s="155" t="s">
        <v>64</v>
      </c>
      <c r="G361" s="224"/>
      <c r="H361" s="135"/>
      <c r="I361" s="158"/>
      <c r="J361" s="158"/>
      <c r="K361" s="128"/>
      <c r="L361" s="128"/>
      <c r="M361" s="128">
        <v>6400</v>
      </c>
      <c r="N361" s="164">
        <v>2</v>
      </c>
      <c r="O361" s="158"/>
      <c r="P361" s="158"/>
      <c r="Q361" s="158">
        <f>Mar!CH282</f>
        <v>1</v>
      </c>
      <c r="R361" s="436"/>
      <c r="S361" s="436"/>
      <c r="T361" s="18"/>
      <c r="U361" s="18"/>
      <c r="V361" s="127">
        <f t="shared" si="15"/>
        <v>31304</v>
      </c>
      <c r="W361" s="45"/>
      <c r="X361" s="67"/>
    </row>
    <row r="362" spans="1:25" ht="15.75" customHeight="1">
      <c r="A362" s="427"/>
      <c r="B362" s="137" t="s">
        <v>58</v>
      </c>
      <c r="C362" s="157" t="s">
        <v>243</v>
      </c>
      <c r="D362" s="48" t="s">
        <v>56</v>
      </c>
      <c r="E362" s="441"/>
      <c r="F362" s="118" t="s">
        <v>64</v>
      </c>
      <c r="G362" s="226"/>
      <c r="H362" s="126"/>
      <c r="I362" s="126"/>
      <c r="J362" s="2"/>
      <c r="K362" s="18"/>
      <c r="L362" s="18"/>
      <c r="M362" s="18"/>
      <c r="N362" s="18"/>
      <c r="O362" s="126"/>
      <c r="P362" s="126"/>
      <c r="Q362" s="126">
        <f>Mar!CH283</f>
        <v>1</v>
      </c>
      <c r="R362" s="436"/>
      <c r="S362" s="436"/>
      <c r="T362" s="18"/>
      <c r="U362" s="18"/>
      <c r="V362" s="127">
        <f t="shared" si="15"/>
        <v>8562</v>
      </c>
      <c r="W362" s="45"/>
      <c r="X362" s="67"/>
    </row>
    <row r="363" spans="1:25" ht="15" customHeight="1">
      <c r="A363" s="427"/>
      <c r="B363" s="122" t="s">
        <v>61</v>
      </c>
      <c r="C363" s="180" t="s">
        <v>137</v>
      </c>
      <c r="D363" s="48" t="s">
        <v>56</v>
      </c>
      <c r="E363" s="441"/>
      <c r="F363" s="118" t="s">
        <v>67</v>
      </c>
      <c r="G363" s="119"/>
      <c r="H363" s="126"/>
      <c r="I363" s="126"/>
      <c r="J363" s="2"/>
      <c r="K363" s="18"/>
      <c r="L363" s="18"/>
      <c r="M363" s="18"/>
      <c r="N363" s="18"/>
      <c r="O363" s="126"/>
      <c r="P363" s="126"/>
      <c r="Q363" s="126">
        <f>Mar!CH284</f>
        <v>1</v>
      </c>
      <c r="R363" s="436"/>
      <c r="S363" s="436"/>
      <c r="T363" s="18"/>
      <c r="U363" s="18"/>
      <c r="V363" s="127">
        <f t="shared" si="15"/>
        <v>5844</v>
      </c>
      <c r="W363" s="45"/>
      <c r="X363" s="67"/>
    </row>
    <row r="364" spans="1:25" ht="14.25" customHeight="1">
      <c r="A364" s="427"/>
      <c r="B364" s="122" t="s">
        <v>125</v>
      </c>
      <c r="C364" s="180" t="s">
        <v>88</v>
      </c>
      <c r="D364" s="48" t="s">
        <v>124</v>
      </c>
      <c r="E364" s="441"/>
      <c r="F364" s="118" t="s">
        <v>64</v>
      </c>
      <c r="G364" s="225"/>
      <c r="H364" s="126"/>
      <c r="I364" s="126"/>
      <c r="J364" s="126"/>
      <c r="K364" s="18"/>
      <c r="L364" s="18"/>
      <c r="M364" s="18">
        <v>51200</v>
      </c>
      <c r="N364" s="80">
        <v>7</v>
      </c>
      <c r="O364" s="126"/>
      <c r="P364" s="126"/>
      <c r="Q364" s="126"/>
      <c r="R364" s="436"/>
      <c r="S364" s="436"/>
      <c r="T364" s="18">
        <v>6814</v>
      </c>
      <c r="U364" s="18"/>
      <c r="V364" s="127">
        <f t="shared" si="15"/>
        <v>23615</v>
      </c>
      <c r="W364" s="45"/>
      <c r="X364" s="67"/>
    </row>
    <row r="365" spans="1:25" ht="15" customHeight="1">
      <c r="A365" s="427"/>
      <c r="B365" s="137" t="s">
        <v>47</v>
      </c>
      <c r="C365" s="157" t="s">
        <v>100</v>
      </c>
      <c r="D365" s="48" t="s">
        <v>99</v>
      </c>
      <c r="E365" s="441"/>
      <c r="F365" s="118" t="s">
        <v>71</v>
      </c>
      <c r="G365" s="226"/>
      <c r="H365" s="126"/>
      <c r="I365" s="126"/>
      <c r="J365" s="2"/>
      <c r="K365" s="18"/>
      <c r="L365" s="18"/>
      <c r="M365" s="18">
        <v>18000</v>
      </c>
      <c r="N365" s="18">
        <v>3</v>
      </c>
      <c r="O365" s="126"/>
      <c r="P365" s="126"/>
      <c r="Q365" s="126"/>
      <c r="R365" s="436"/>
      <c r="S365" s="436"/>
      <c r="T365" s="18"/>
      <c r="U365" s="18"/>
      <c r="V365" s="127">
        <f t="shared" si="15"/>
        <v>70115</v>
      </c>
      <c r="W365" s="45"/>
      <c r="X365" s="67"/>
    </row>
    <row r="366" spans="1:25" ht="15" customHeight="1">
      <c r="A366" s="427"/>
      <c r="B366" s="122" t="s">
        <v>196</v>
      </c>
      <c r="C366" s="180" t="s">
        <v>63</v>
      </c>
      <c r="D366" s="48" t="s">
        <v>135</v>
      </c>
      <c r="E366" s="441"/>
      <c r="F366" s="118" t="s">
        <v>64</v>
      </c>
      <c r="G366" s="226"/>
      <c r="H366" s="126"/>
      <c r="I366" s="126"/>
      <c r="J366" s="2"/>
      <c r="K366" s="18"/>
      <c r="L366" s="18"/>
      <c r="M366" s="18">
        <v>33200</v>
      </c>
      <c r="N366" s="18">
        <v>4</v>
      </c>
      <c r="O366" s="126"/>
      <c r="P366" s="126"/>
      <c r="Q366" s="126"/>
      <c r="R366" s="436"/>
      <c r="S366" s="436"/>
      <c r="T366" s="18"/>
      <c r="U366" s="18"/>
      <c r="V366" s="127">
        <f t="shared" si="15"/>
        <v>15106</v>
      </c>
      <c r="W366" s="45"/>
      <c r="X366" s="67"/>
    </row>
    <row r="367" spans="1:25" ht="15" customHeight="1">
      <c r="A367" s="427"/>
      <c r="B367" s="122" t="s">
        <v>253</v>
      </c>
      <c r="C367" s="180" t="s">
        <v>252</v>
      </c>
      <c r="D367" s="48" t="s">
        <v>246</v>
      </c>
      <c r="E367" s="441"/>
      <c r="F367" s="118" t="s">
        <v>247</v>
      </c>
      <c r="G367" s="226"/>
      <c r="H367" s="126"/>
      <c r="I367" s="126"/>
      <c r="J367" s="2"/>
      <c r="K367" s="18"/>
      <c r="L367" s="18"/>
      <c r="M367" s="18"/>
      <c r="N367" s="18"/>
      <c r="O367" s="126"/>
      <c r="P367" s="126"/>
      <c r="Q367" s="126">
        <f>Mar!CH285</f>
        <v>1</v>
      </c>
      <c r="R367" s="436"/>
      <c r="S367" s="436"/>
      <c r="T367" s="18"/>
      <c r="U367" s="18"/>
      <c r="V367" s="127">
        <f>O367-T367-U367+V347</f>
        <v>503</v>
      </c>
      <c r="W367" s="45"/>
      <c r="X367" s="67"/>
    </row>
    <row r="368" spans="1:25" ht="15" customHeight="1">
      <c r="A368" s="427"/>
      <c r="B368" s="122" t="s">
        <v>131</v>
      </c>
      <c r="C368" s="180" t="s">
        <v>194</v>
      </c>
      <c r="D368" s="48" t="s">
        <v>132</v>
      </c>
      <c r="E368" s="441"/>
      <c r="F368" s="118" t="s">
        <v>64</v>
      </c>
      <c r="G368" s="119"/>
      <c r="H368" s="126"/>
      <c r="I368" s="126"/>
      <c r="J368" s="2"/>
      <c r="K368" s="18"/>
      <c r="L368" s="18"/>
      <c r="M368" s="18"/>
      <c r="N368" s="18"/>
      <c r="O368" s="126"/>
      <c r="P368" s="126"/>
      <c r="Q368" s="126">
        <f>Mar!CH287</f>
        <v>1</v>
      </c>
      <c r="R368" s="436"/>
      <c r="S368" s="436"/>
      <c r="T368" s="18"/>
      <c r="U368" s="18"/>
      <c r="V368" s="18"/>
      <c r="W368" s="45"/>
      <c r="X368" s="67"/>
    </row>
    <row r="369" spans="1:25" ht="15" customHeight="1">
      <c r="A369" s="427"/>
      <c r="B369" s="122" t="s">
        <v>101</v>
      </c>
      <c r="C369" s="180" t="s">
        <v>193</v>
      </c>
      <c r="D369" s="48" t="s">
        <v>102</v>
      </c>
      <c r="E369" s="441"/>
      <c r="F369" s="118" t="s">
        <v>64</v>
      </c>
      <c r="G369" s="119"/>
      <c r="H369" s="126"/>
      <c r="I369" s="126"/>
      <c r="J369" s="2"/>
      <c r="K369" s="18"/>
      <c r="L369" s="18"/>
      <c r="M369" s="18"/>
      <c r="N369" s="18"/>
      <c r="O369" s="126"/>
      <c r="P369" s="126"/>
      <c r="Q369" s="126">
        <f>Mar!CH288</f>
        <v>1</v>
      </c>
      <c r="R369" s="436"/>
      <c r="S369" s="436"/>
      <c r="T369" s="18"/>
      <c r="U369" s="18"/>
      <c r="V369" s="18"/>
      <c r="W369" s="45"/>
      <c r="X369" s="67"/>
    </row>
    <row r="370" spans="1:25" ht="15" customHeight="1">
      <c r="A370" s="427"/>
      <c r="B370" s="122" t="s">
        <v>103</v>
      </c>
      <c r="C370" s="157" t="s">
        <v>197</v>
      </c>
      <c r="D370" s="48" t="s">
        <v>104</v>
      </c>
      <c r="E370" s="441"/>
      <c r="F370" s="118" t="s">
        <v>105</v>
      </c>
      <c r="G370" s="119"/>
      <c r="H370" s="126"/>
      <c r="I370" s="126"/>
      <c r="J370" s="2"/>
      <c r="K370" s="18"/>
      <c r="L370" s="18"/>
      <c r="M370" s="18"/>
      <c r="N370" s="18"/>
      <c r="O370" s="126"/>
      <c r="P370" s="126"/>
      <c r="Q370" s="126">
        <f>Mar!CH289</f>
        <v>1</v>
      </c>
      <c r="R370" s="436"/>
      <c r="S370" s="436"/>
      <c r="T370" s="18"/>
      <c r="U370" s="18"/>
      <c r="V370" s="18"/>
      <c r="W370" s="45"/>
      <c r="X370" s="67"/>
    </row>
    <row r="371" spans="1:25" ht="15" customHeight="1">
      <c r="A371" s="427"/>
      <c r="B371" s="442" t="s">
        <v>112</v>
      </c>
      <c r="C371" s="444" t="s">
        <v>197</v>
      </c>
      <c r="D371" s="48" t="s">
        <v>104</v>
      </c>
      <c r="E371" s="441"/>
      <c r="F371" s="118" t="s">
        <v>113</v>
      </c>
      <c r="G371" s="119"/>
      <c r="H371" s="126"/>
      <c r="I371" s="126"/>
      <c r="J371" s="2"/>
      <c r="K371" s="18"/>
      <c r="L371" s="18"/>
      <c r="M371" s="18"/>
      <c r="N371" s="18"/>
      <c r="O371" s="126"/>
      <c r="P371" s="126"/>
      <c r="Q371" s="126">
        <f>Mar!CH292</f>
        <v>1</v>
      </c>
      <c r="R371" s="436"/>
      <c r="S371" s="436"/>
      <c r="T371" s="18"/>
      <c r="U371" s="18"/>
      <c r="V371" s="18"/>
      <c r="W371" s="45"/>
      <c r="X371" s="67"/>
    </row>
    <row r="372" spans="1:25" ht="15" customHeight="1">
      <c r="A372" s="427"/>
      <c r="B372" s="443"/>
      <c r="C372" s="446"/>
      <c r="D372" s="59" t="s">
        <v>85</v>
      </c>
      <c r="E372" s="441"/>
      <c r="F372" s="118"/>
      <c r="G372" s="119"/>
      <c r="H372" s="126">
        <v>120</v>
      </c>
      <c r="I372" s="126"/>
      <c r="J372" s="2"/>
      <c r="K372" s="18"/>
      <c r="L372" s="18"/>
      <c r="M372" s="18"/>
      <c r="N372" s="18"/>
      <c r="O372" s="126"/>
      <c r="P372" s="126"/>
      <c r="Q372" s="126"/>
      <c r="R372" s="436"/>
      <c r="S372" s="436"/>
      <c r="T372" s="18"/>
      <c r="U372" s="18"/>
      <c r="V372" s="18"/>
      <c r="W372" s="45"/>
      <c r="X372" s="67"/>
    </row>
    <row r="373" spans="1:25" ht="15" customHeight="1" thickBot="1">
      <c r="A373" s="428"/>
      <c r="B373" s="44" t="s">
        <v>107</v>
      </c>
      <c r="C373" s="181" t="s">
        <v>195</v>
      </c>
      <c r="D373" s="61" t="s">
        <v>108</v>
      </c>
      <c r="E373" s="447"/>
      <c r="F373" s="133" t="s">
        <v>48</v>
      </c>
      <c r="G373" s="132"/>
      <c r="H373" s="109"/>
      <c r="I373" s="134"/>
      <c r="J373" s="129"/>
      <c r="K373" s="130"/>
      <c r="L373" s="130"/>
      <c r="M373" s="130"/>
      <c r="N373" s="130"/>
      <c r="O373" s="134"/>
      <c r="P373" s="134"/>
      <c r="Q373" s="134">
        <f>Mar!CH291</f>
        <v>1</v>
      </c>
      <c r="R373" s="437"/>
      <c r="S373" s="437"/>
      <c r="T373" s="130"/>
      <c r="U373" s="130"/>
      <c r="V373" s="128"/>
      <c r="W373" s="85"/>
      <c r="X373" s="67"/>
    </row>
    <row r="374" spans="1:25" ht="15" customHeight="1">
      <c r="A374" s="426">
        <v>46102</v>
      </c>
      <c r="B374" s="429" t="s">
        <v>44</v>
      </c>
      <c r="C374" s="432" t="s">
        <v>240</v>
      </c>
      <c r="D374" s="19" t="s">
        <v>37</v>
      </c>
      <c r="E374" s="19" t="s">
        <v>25</v>
      </c>
      <c r="F374" s="39" t="s">
        <v>40</v>
      </c>
      <c r="G374" s="41"/>
      <c r="H374" s="32"/>
      <c r="I374" s="32"/>
      <c r="J374" s="32"/>
      <c r="K374" s="20">
        <v>40000</v>
      </c>
      <c r="L374" s="20">
        <v>5</v>
      </c>
      <c r="M374" s="20">
        <v>416000</v>
      </c>
      <c r="N374" s="84">
        <v>52</v>
      </c>
      <c r="O374" s="32">
        <f>Mar!CL273</f>
        <v>33871</v>
      </c>
      <c r="P374" s="32">
        <f>Mar!CM273</f>
        <v>32844</v>
      </c>
      <c r="Q374" s="32">
        <f>Mar!CK273</f>
        <v>92</v>
      </c>
      <c r="R374" s="435">
        <f>Mar!CL294</f>
        <v>70590</v>
      </c>
      <c r="S374" s="435">
        <f>Mar!CM294</f>
        <v>71352</v>
      </c>
      <c r="T374" s="20"/>
      <c r="U374" s="20"/>
      <c r="V374" s="20">
        <f>O374-T374-U374+V353</f>
        <v>93416</v>
      </c>
      <c r="W374" s="77"/>
      <c r="X374" s="36"/>
    </row>
    <row r="375" spans="1:25" ht="15" customHeight="1">
      <c r="A375" s="427"/>
      <c r="B375" s="431"/>
      <c r="C375" s="434"/>
      <c r="D375" s="113" t="s">
        <v>128</v>
      </c>
      <c r="E375" s="113" t="s">
        <v>24</v>
      </c>
      <c r="F375" s="114" t="s">
        <v>40</v>
      </c>
      <c r="G375" s="170"/>
      <c r="H375" s="158"/>
      <c r="I375" s="125"/>
      <c r="J375" s="125"/>
      <c r="K375" s="18">
        <v>8000</v>
      </c>
      <c r="L375" s="127">
        <v>1</v>
      </c>
      <c r="M375" s="216">
        <v>48000</v>
      </c>
      <c r="N375" s="238">
        <v>6</v>
      </c>
      <c r="O375" s="126">
        <f>Mar!CL274</f>
        <v>20862</v>
      </c>
      <c r="P375" s="125">
        <f>Mar!CM274</f>
        <v>20394</v>
      </c>
      <c r="Q375" s="125">
        <f>Mar!CK274</f>
        <v>56</v>
      </c>
      <c r="R375" s="436"/>
      <c r="S375" s="436"/>
      <c r="T375" s="127"/>
      <c r="U375" s="127"/>
      <c r="V375" s="127">
        <f>O375-T375-U375+V354</f>
        <v>34828</v>
      </c>
      <c r="W375" s="46"/>
      <c r="X375" s="67"/>
    </row>
    <row r="376" spans="1:25" ht="15" customHeight="1">
      <c r="A376" s="427"/>
      <c r="B376" s="442" t="s">
        <v>45</v>
      </c>
      <c r="C376" s="448" t="s">
        <v>59</v>
      </c>
      <c r="D376" s="118" t="s">
        <v>75</v>
      </c>
      <c r="E376" s="131" t="s">
        <v>25</v>
      </c>
      <c r="F376" s="131" t="s">
        <v>57</v>
      </c>
      <c r="G376" s="87"/>
      <c r="H376" s="136"/>
      <c r="I376" s="126"/>
      <c r="J376" s="2"/>
      <c r="K376" s="127">
        <v>5000</v>
      </c>
      <c r="L376" s="18">
        <v>1</v>
      </c>
      <c r="M376" s="18">
        <v>40000</v>
      </c>
      <c r="N376" s="80">
        <v>8</v>
      </c>
      <c r="O376" s="126">
        <f>Mar!CL276</f>
        <v>1493</v>
      </c>
      <c r="P376" s="126">
        <f>Mar!CM276</f>
        <v>2683</v>
      </c>
      <c r="Q376" s="2">
        <f>Mar!CK276</f>
        <v>11</v>
      </c>
      <c r="R376" s="436"/>
      <c r="S376" s="436"/>
      <c r="T376" s="18"/>
      <c r="U376" s="18"/>
      <c r="V376" s="127">
        <f>O376-T376-U376+V355</f>
        <v>84021</v>
      </c>
      <c r="W376" s="46"/>
      <c r="Y376" s="13"/>
    </row>
    <row r="377" spans="1:25">
      <c r="A377" s="427"/>
      <c r="B377" s="439"/>
      <c r="C377" s="440"/>
      <c r="D377" s="118" t="s">
        <v>72</v>
      </c>
      <c r="E377" s="155" t="s">
        <v>24</v>
      </c>
      <c r="F377" s="131" t="s">
        <v>57</v>
      </c>
      <c r="G377" s="136"/>
      <c r="H377" s="136"/>
      <c r="I377" s="126"/>
      <c r="J377" s="126"/>
      <c r="K377" s="127">
        <v>10000</v>
      </c>
      <c r="L377" s="18">
        <v>2</v>
      </c>
      <c r="M377" s="18">
        <v>30000</v>
      </c>
      <c r="N377" s="80">
        <v>6</v>
      </c>
      <c r="O377" s="126">
        <f>Mar!CL277</f>
        <v>5377</v>
      </c>
      <c r="P377" s="126">
        <f>Mar!CM277</f>
        <v>5685</v>
      </c>
      <c r="Q377" s="2">
        <f>Mar!CK277</f>
        <v>25</v>
      </c>
      <c r="R377" s="436"/>
      <c r="S377" s="436"/>
      <c r="T377" s="18"/>
      <c r="U377" s="18"/>
      <c r="V377" s="127">
        <f>O377-T377-U377+V356</f>
        <v>9132</v>
      </c>
      <c r="W377" s="46"/>
      <c r="Y377" s="13"/>
    </row>
    <row r="378" spans="1:25">
      <c r="A378" s="427"/>
      <c r="B378" s="439"/>
      <c r="C378" s="440"/>
      <c r="D378" s="115" t="s">
        <v>79</v>
      </c>
      <c r="E378" s="118" t="s">
        <v>65</v>
      </c>
      <c r="F378" s="131" t="s">
        <v>57</v>
      </c>
      <c r="G378" s="224"/>
      <c r="H378" s="152"/>
      <c r="I378" s="126"/>
      <c r="J378" s="126"/>
      <c r="K378" s="127"/>
      <c r="L378" s="18"/>
      <c r="M378" s="18"/>
      <c r="N378" s="80"/>
      <c r="O378" s="126">
        <f>Mar!CL278</f>
        <v>3300</v>
      </c>
      <c r="P378" s="126">
        <f>Mar!CM278</f>
        <v>1424</v>
      </c>
      <c r="Q378" s="126">
        <f>Mar!CK278</f>
        <v>6</v>
      </c>
      <c r="R378" s="436"/>
      <c r="S378" s="436"/>
      <c r="T378" s="18"/>
      <c r="U378" s="18"/>
      <c r="V378" s="127">
        <f>O378-T378-U378+V358</f>
        <v>3313</v>
      </c>
      <c r="W378" s="46"/>
      <c r="Y378" s="13"/>
    </row>
    <row r="379" spans="1:25" ht="14.25" customHeight="1">
      <c r="A379" s="427"/>
      <c r="B379" s="137" t="s">
        <v>53</v>
      </c>
      <c r="C379" s="157" t="s">
        <v>60</v>
      </c>
      <c r="D379" s="43" t="s">
        <v>130</v>
      </c>
      <c r="E379" s="115" t="s">
        <v>66</v>
      </c>
      <c r="F379" s="118" t="s">
        <v>54</v>
      </c>
      <c r="G379" s="224"/>
      <c r="H379" s="37"/>
      <c r="I379" s="126"/>
      <c r="J379" s="126"/>
      <c r="K379" s="18">
        <v>6000</v>
      </c>
      <c r="L379" s="18">
        <v>1</v>
      </c>
      <c r="M379" s="18">
        <v>48000</v>
      </c>
      <c r="N379" s="80">
        <v>8</v>
      </c>
      <c r="O379" s="126">
        <f>Mar!CL275</f>
        <v>4734</v>
      </c>
      <c r="P379" s="126">
        <f>Mar!CM275</f>
        <v>7950</v>
      </c>
      <c r="Q379" s="126">
        <f>Mar!CK275</f>
        <v>24</v>
      </c>
      <c r="R379" s="436"/>
      <c r="S379" s="436"/>
      <c r="T379" s="18"/>
      <c r="U379" s="18"/>
      <c r="V379" s="127">
        <f>O379-T379-U379+V359</f>
        <v>15791</v>
      </c>
      <c r="W379" s="45"/>
      <c r="X379" s="36"/>
    </row>
    <row r="380" spans="1:25" ht="14.25" customHeight="1">
      <c r="A380" s="427"/>
      <c r="B380" s="122" t="s">
        <v>55</v>
      </c>
      <c r="C380" s="180" t="s">
        <v>133</v>
      </c>
      <c r="D380" s="48" t="s">
        <v>56</v>
      </c>
      <c r="E380" s="424" t="s">
        <v>25</v>
      </c>
      <c r="F380" s="118" t="s">
        <v>67</v>
      </c>
      <c r="G380" s="224"/>
      <c r="H380" s="37"/>
      <c r="I380" s="126"/>
      <c r="J380" s="126"/>
      <c r="K380" s="18"/>
      <c r="L380" s="18"/>
      <c r="M380" s="18">
        <v>2800</v>
      </c>
      <c r="N380" s="80">
        <v>1</v>
      </c>
      <c r="O380" s="126">
        <f>Mar!CL293</f>
        <v>953</v>
      </c>
      <c r="P380" s="126">
        <f>Mar!CM293</f>
        <v>372</v>
      </c>
      <c r="Q380" s="126">
        <f>Mar!CK293</f>
        <v>2</v>
      </c>
      <c r="R380" s="436"/>
      <c r="S380" s="436"/>
      <c r="T380" s="18"/>
      <c r="U380" s="18"/>
      <c r="V380" s="127">
        <f>O380-T380-U380+V360</f>
        <v>1453</v>
      </c>
      <c r="W380" s="45"/>
      <c r="X380" s="67"/>
    </row>
    <row r="381" spans="1:25" ht="14.25" customHeight="1">
      <c r="A381" s="427"/>
      <c r="B381" s="122" t="s">
        <v>122</v>
      </c>
      <c r="C381" s="180" t="s">
        <v>123</v>
      </c>
      <c r="D381" s="48" t="s">
        <v>56</v>
      </c>
      <c r="E381" s="441"/>
      <c r="F381" s="155" t="s">
        <v>64</v>
      </c>
      <c r="G381" s="224"/>
      <c r="H381" s="135"/>
      <c r="I381" s="158"/>
      <c r="J381" s="158"/>
      <c r="K381" s="128"/>
      <c r="L381" s="128"/>
      <c r="M381" s="128">
        <v>6400</v>
      </c>
      <c r="N381" s="164">
        <v>2</v>
      </c>
      <c r="O381" s="158"/>
      <c r="P381" s="158"/>
      <c r="Q381" s="158">
        <f>Mar!CK282</f>
        <v>1</v>
      </c>
      <c r="R381" s="436"/>
      <c r="S381" s="436"/>
      <c r="T381" s="18"/>
      <c r="U381" s="18"/>
      <c r="V381" s="127">
        <f t="shared" ref="V381:V387" si="16">O381-T381-U381+V361</f>
        <v>31304</v>
      </c>
      <c r="W381" s="45"/>
      <c r="X381" s="67"/>
    </row>
    <row r="382" spans="1:25" ht="15.75" customHeight="1">
      <c r="A382" s="427"/>
      <c r="B382" s="137" t="s">
        <v>58</v>
      </c>
      <c r="C382" s="157" t="s">
        <v>243</v>
      </c>
      <c r="D382" s="48" t="s">
        <v>56</v>
      </c>
      <c r="E382" s="441"/>
      <c r="F382" s="118" t="s">
        <v>64</v>
      </c>
      <c r="G382" s="226"/>
      <c r="H382" s="126"/>
      <c r="I382" s="126"/>
      <c r="J382" s="2"/>
      <c r="K382" s="18"/>
      <c r="L382" s="18"/>
      <c r="M382" s="18"/>
      <c r="N382" s="18"/>
      <c r="O382" s="126"/>
      <c r="P382" s="126"/>
      <c r="Q382" s="126">
        <f>Mar!CK283</f>
        <v>1</v>
      </c>
      <c r="R382" s="436"/>
      <c r="S382" s="436"/>
      <c r="T382" s="18"/>
      <c r="U382" s="18"/>
      <c r="V382" s="127">
        <f t="shared" si="16"/>
        <v>8562</v>
      </c>
      <c r="W382" s="45"/>
      <c r="X382" s="67"/>
    </row>
    <row r="383" spans="1:25" ht="15" customHeight="1">
      <c r="A383" s="427"/>
      <c r="B383" s="122" t="s">
        <v>61</v>
      </c>
      <c r="C383" s="180" t="s">
        <v>137</v>
      </c>
      <c r="D383" s="48" t="s">
        <v>56</v>
      </c>
      <c r="E383" s="441"/>
      <c r="F383" s="118" t="s">
        <v>67</v>
      </c>
      <c r="G383" s="119"/>
      <c r="H383" s="126"/>
      <c r="I383" s="126"/>
      <c r="J383" s="2"/>
      <c r="K383" s="18"/>
      <c r="L383" s="18"/>
      <c r="M383" s="18"/>
      <c r="N383" s="18"/>
      <c r="O383" s="126"/>
      <c r="P383" s="126"/>
      <c r="Q383" s="126">
        <f>Mar!CK284</f>
        <v>1</v>
      </c>
      <c r="R383" s="436"/>
      <c r="S383" s="436"/>
      <c r="T383" s="18"/>
      <c r="U383" s="18"/>
      <c r="V383" s="127">
        <f t="shared" si="16"/>
        <v>5844</v>
      </c>
      <c r="W383" s="45"/>
      <c r="X383" s="67"/>
    </row>
    <row r="384" spans="1:25" ht="14.25" customHeight="1">
      <c r="A384" s="427"/>
      <c r="B384" s="122" t="s">
        <v>125</v>
      </c>
      <c r="C384" s="180" t="s">
        <v>88</v>
      </c>
      <c r="D384" s="48" t="s">
        <v>124</v>
      </c>
      <c r="E384" s="441"/>
      <c r="F384" s="118" t="s">
        <v>64</v>
      </c>
      <c r="G384" s="225"/>
      <c r="H384" s="126"/>
      <c r="I384" s="126"/>
      <c r="J384" s="126"/>
      <c r="K384" s="18"/>
      <c r="L384" s="18"/>
      <c r="M384" s="18">
        <v>51200</v>
      </c>
      <c r="N384" s="80">
        <v>7</v>
      </c>
      <c r="O384" s="126"/>
      <c r="P384" s="126"/>
      <c r="Q384" s="126"/>
      <c r="R384" s="436"/>
      <c r="S384" s="436"/>
      <c r="T384" s="18"/>
      <c r="U384" s="18"/>
      <c r="V384" s="127">
        <f t="shared" si="16"/>
        <v>23615</v>
      </c>
      <c r="W384" s="45"/>
      <c r="X384" s="67"/>
    </row>
    <row r="385" spans="1:25" ht="15" customHeight="1">
      <c r="A385" s="427"/>
      <c r="B385" s="137" t="s">
        <v>47</v>
      </c>
      <c r="C385" s="157" t="s">
        <v>100</v>
      </c>
      <c r="D385" s="48" t="s">
        <v>99</v>
      </c>
      <c r="E385" s="441"/>
      <c r="F385" s="118" t="s">
        <v>71</v>
      </c>
      <c r="G385" s="226"/>
      <c r="H385" s="126"/>
      <c r="I385" s="126"/>
      <c r="J385" s="2"/>
      <c r="K385" s="18"/>
      <c r="L385" s="18"/>
      <c r="M385" s="18">
        <v>18000</v>
      </c>
      <c r="N385" s="18">
        <v>3</v>
      </c>
      <c r="O385" s="126"/>
      <c r="P385" s="126"/>
      <c r="Q385" s="126"/>
      <c r="R385" s="436"/>
      <c r="S385" s="436"/>
      <c r="T385" s="18"/>
      <c r="U385" s="18"/>
      <c r="V385" s="127">
        <f t="shared" si="16"/>
        <v>70115</v>
      </c>
      <c r="W385" s="45"/>
      <c r="X385" s="67"/>
    </row>
    <row r="386" spans="1:25" ht="15" customHeight="1">
      <c r="A386" s="427"/>
      <c r="B386" s="122" t="s">
        <v>196</v>
      </c>
      <c r="C386" s="180" t="s">
        <v>63</v>
      </c>
      <c r="D386" s="48" t="s">
        <v>135</v>
      </c>
      <c r="E386" s="441"/>
      <c r="F386" s="118" t="s">
        <v>64</v>
      </c>
      <c r="G386" s="226"/>
      <c r="H386" s="126"/>
      <c r="I386" s="126"/>
      <c r="J386" s="2"/>
      <c r="K386" s="18"/>
      <c r="L386" s="18"/>
      <c r="M386" s="18">
        <v>33200</v>
      </c>
      <c r="N386" s="18">
        <v>4</v>
      </c>
      <c r="O386" s="126"/>
      <c r="P386" s="126"/>
      <c r="Q386" s="126"/>
      <c r="R386" s="436"/>
      <c r="S386" s="436"/>
      <c r="T386" s="18"/>
      <c r="U386" s="18"/>
      <c r="V386" s="127">
        <f t="shared" si="16"/>
        <v>15106</v>
      </c>
      <c r="W386" s="45"/>
      <c r="X386" s="67"/>
    </row>
    <row r="387" spans="1:25" ht="15" customHeight="1">
      <c r="A387" s="427"/>
      <c r="B387" s="122" t="s">
        <v>253</v>
      </c>
      <c r="C387" s="180" t="s">
        <v>252</v>
      </c>
      <c r="D387" s="48" t="s">
        <v>246</v>
      </c>
      <c r="E387" s="441"/>
      <c r="F387" s="118" t="s">
        <v>247</v>
      </c>
      <c r="G387" s="226"/>
      <c r="H387" s="126"/>
      <c r="I387" s="126"/>
      <c r="J387" s="2"/>
      <c r="K387" s="18"/>
      <c r="L387" s="18"/>
      <c r="M387" s="18"/>
      <c r="N387" s="18"/>
      <c r="O387" s="126"/>
      <c r="P387" s="126"/>
      <c r="Q387" s="126">
        <f>Mar!CK285</f>
        <v>1</v>
      </c>
      <c r="R387" s="436"/>
      <c r="S387" s="436"/>
      <c r="T387" s="18"/>
      <c r="U387" s="18"/>
      <c r="V387" s="127">
        <f t="shared" si="16"/>
        <v>503</v>
      </c>
      <c r="W387" s="45"/>
      <c r="X387" s="67"/>
    </row>
    <row r="388" spans="1:25" ht="15" customHeight="1">
      <c r="A388" s="427"/>
      <c r="B388" s="122" t="s">
        <v>131</v>
      </c>
      <c r="C388" s="180" t="s">
        <v>194</v>
      </c>
      <c r="D388" s="48" t="s">
        <v>132</v>
      </c>
      <c r="E388" s="441"/>
      <c r="F388" s="118" t="s">
        <v>64</v>
      </c>
      <c r="G388" s="119"/>
      <c r="H388" s="126"/>
      <c r="I388" s="126"/>
      <c r="J388" s="2"/>
      <c r="K388" s="18"/>
      <c r="L388" s="18"/>
      <c r="M388" s="18"/>
      <c r="N388" s="18"/>
      <c r="O388" s="126"/>
      <c r="P388" s="126"/>
      <c r="Q388" s="126">
        <f>Mar!CK287</f>
        <v>1</v>
      </c>
      <c r="R388" s="436"/>
      <c r="S388" s="436"/>
      <c r="T388" s="18"/>
      <c r="U388" s="18"/>
      <c r="V388" s="18"/>
      <c r="W388" s="45"/>
      <c r="X388" s="67"/>
    </row>
    <row r="389" spans="1:25" ht="15" customHeight="1">
      <c r="A389" s="427"/>
      <c r="B389" s="122" t="s">
        <v>101</v>
      </c>
      <c r="C389" s="180" t="s">
        <v>193</v>
      </c>
      <c r="D389" s="48" t="s">
        <v>102</v>
      </c>
      <c r="E389" s="441"/>
      <c r="F389" s="118" t="s">
        <v>64</v>
      </c>
      <c r="G389" s="119"/>
      <c r="H389" s="126"/>
      <c r="I389" s="126"/>
      <c r="J389" s="2"/>
      <c r="K389" s="18"/>
      <c r="L389" s="18"/>
      <c r="M389" s="18"/>
      <c r="N389" s="18"/>
      <c r="O389" s="126"/>
      <c r="P389" s="126"/>
      <c r="Q389" s="126">
        <f>Mar!CK288</f>
        <v>1</v>
      </c>
      <c r="R389" s="436"/>
      <c r="S389" s="436"/>
      <c r="T389" s="18"/>
      <c r="U389" s="18"/>
      <c r="V389" s="18"/>
      <c r="W389" s="45"/>
      <c r="X389" s="67"/>
    </row>
    <row r="390" spans="1:25" ht="15" customHeight="1">
      <c r="A390" s="427"/>
      <c r="B390" s="122" t="s">
        <v>103</v>
      </c>
      <c r="C390" s="157" t="s">
        <v>197</v>
      </c>
      <c r="D390" s="48" t="s">
        <v>104</v>
      </c>
      <c r="E390" s="441"/>
      <c r="F390" s="118" t="s">
        <v>105</v>
      </c>
      <c r="G390" s="119"/>
      <c r="H390" s="126"/>
      <c r="I390" s="126"/>
      <c r="J390" s="2"/>
      <c r="K390" s="18"/>
      <c r="L390" s="18"/>
      <c r="M390" s="18"/>
      <c r="N390" s="18"/>
      <c r="O390" s="126"/>
      <c r="P390" s="126"/>
      <c r="Q390" s="126">
        <f>Mar!CK289</f>
        <v>1</v>
      </c>
      <c r="R390" s="436"/>
      <c r="S390" s="436"/>
      <c r="T390" s="18"/>
      <c r="U390" s="18"/>
      <c r="V390" s="18"/>
      <c r="W390" s="45"/>
      <c r="X390" s="67"/>
    </row>
    <row r="391" spans="1:25" ht="15" customHeight="1">
      <c r="A391" s="427"/>
      <c r="B391" s="137" t="s">
        <v>112</v>
      </c>
      <c r="C391" s="157" t="s">
        <v>197</v>
      </c>
      <c r="D391" s="48" t="s">
        <v>104</v>
      </c>
      <c r="E391" s="441"/>
      <c r="F391" s="118" t="s">
        <v>113</v>
      </c>
      <c r="G391" s="119"/>
      <c r="H391" s="126"/>
      <c r="I391" s="126"/>
      <c r="J391" s="2"/>
      <c r="K391" s="18"/>
      <c r="L391" s="18"/>
      <c r="M391" s="18"/>
      <c r="N391" s="18"/>
      <c r="O391" s="126"/>
      <c r="P391" s="126"/>
      <c r="Q391" s="126">
        <f>Mar!CK292</f>
        <v>1</v>
      </c>
      <c r="R391" s="436"/>
      <c r="S391" s="436"/>
      <c r="T391" s="18"/>
      <c r="U391" s="18"/>
      <c r="V391" s="18"/>
      <c r="W391" s="45"/>
      <c r="X391" s="67"/>
    </row>
    <row r="392" spans="1:25" ht="15" customHeight="1" thickBot="1">
      <c r="A392" s="428"/>
      <c r="B392" s="44" t="s">
        <v>107</v>
      </c>
      <c r="C392" s="181" t="s">
        <v>195</v>
      </c>
      <c r="D392" s="61" t="s">
        <v>108</v>
      </c>
      <c r="E392" s="447"/>
      <c r="F392" s="133" t="s">
        <v>48</v>
      </c>
      <c r="G392" s="132"/>
      <c r="H392" s="109"/>
      <c r="I392" s="134"/>
      <c r="J392" s="129"/>
      <c r="K392" s="130"/>
      <c r="L392" s="130"/>
      <c r="M392" s="130"/>
      <c r="N392" s="130"/>
      <c r="O392" s="134"/>
      <c r="P392" s="134"/>
      <c r="Q392" s="134">
        <f>Mar!CK291</f>
        <v>1</v>
      </c>
      <c r="R392" s="437"/>
      <c r="S392" s="437"/>
      <c r="T392" s="130"/>
      <c r="U392" s="130"/>
      <c r="V392" s="128"/>
      <c r="W392" s="85"/>
      <c r="X392" s="67"/>
    </row>
    <row r="393" spans="1:25" ht="15" customHeight="1">
      <c r="A393" s="426">
        <v>46104</v>
      </c>
      <c r="B393" s="429" t="s">
        <v>44</v>
      </c>
      <c r="C393" s="432" t="s">
        <v>240</v>
      </c>
      <c r="D393" s="19" t="s">
        <v>37</v>
      </c>
      <c r="E393" s="19" t="s">
        <v>25</v>
      </c>
      <c r="F393" s="39" t="s">
        <v>40</v>
      </c>
      <c r="G393" s="41">
        <v>6047.91</v>
      </c>
      <c r="H393" s="32">
        <v>5744</v>
      </c>
      <c r="I393" s="32"/>
      <c r="J393" s="32"/>
      <c r="K393" s="20">
        <v>96000</v>
      </c>
      <c r="L393" s="20">
        <v>12</v>
      </c>
      <c r="M393" s="20">
        <v>408000</v>
      </c>
      <c r="N393" s="84">
        <v>51</v>
      </c>
      <c r="O393" s="32">
        <f>Mar!CR273</f>
        <v>32803</v>
      </c>
      <c r="P393" s="32">
        <f>Mar!CS273</f>
        <v>35217</v>
      </c>
      <c r="Q393" s="32">
        <f>Mar!CQ273</f>
        <v>94</v>
      </c>
      <c r="R393" s="435">
        <f>Mar!CR294</f>
        <v>78032</v>
      </c>
      <c r="S393" s="435">
        <f>Mar!CS294</f>
        <v>74724</v>
      </c>
      <c r="T393" s="20">
        <v>45866</v>
      </c>
      <c r="U393" s="20">
        <v>7</v>
      </c>
      <c r="V393" s="20">
        <f t="shared" ref="V393:V398" si="17">O393-T393-U393+V374</f>
        <v>80346</v>
      </c>
      <c r="W393" s="77"/>
      <c r="X393" s="36"/>
    </row>
    <row r="394" spans="1:25" ht="15" customHeight="1">
      <c r="A394" s="427"/>
      <c r="B394" s="431"/>
      <c r="C394" s="434"/>
      <c r="D394" s="113" t="s">
        <v>128</v>
      </c>
      <c r="E394" s="113" t="s">
        <v>24</v>
      </c>
      <c r="F394" s="114" t="s">
        <v>40</v>
      </c>
      <c r="G394" s="170">
        <v>2199.2399999999998</v>
      </c>
      <c r="H394" s="135">
        <v>4252.5</v>
      </c>
      <c r="I394" s="125"/>
      <c r="J394" s="125"/>
      <c r="K394" s="211">
        <v>16000</v>
      </c>
      <c r="L394" s="216">
        <v>2</v>
      </c>
      <c r="M394" s="216">
        <v>64000</v>
      </c>
      <c r="N394" s="238">
        <v>8</v>
      </c>
      <c r="O394" s="34">
        <f>Mar!CR274</f>
        <v>25341</v>
      </c>
      <c r="P394" s="125">
        <f>Mar!CS274</f>
        <v>21227</v>
      </c>
      <c r="Q394" s="125">
        <f>Mar!CQ274</f>
        <v>56</v>
      </c>
      <c r="R394" s="436"/>
      <c r="S394" s="436"/>
      <c r="T394" s="127">
        <v>27015</v>
      </c>
      <c r="U394" s="127">
        <v>25</v>
      </c>
      <c r="V394" s="127">
        <f t="shared" si="17"/>
        <v>33129</v>
      </c>
      <c r="W394" s="46"/>
      <c r="X394" s="67"/>
    </row>
    <row r="395" spans="1:25" ht="15" customHeight="1">
      <c r="A395" s="427"/>
      <c r="B395" s="442" t="s">
        <v>45</v>
      </c>
      <c r="C395" s="448" t="s">
        <v>59</v>
      </c>
      <c r="D395" s="118" t="s">
        <v>75</v>
      </c>
      <c r="E395" s="131" t="s">
        <v>25</v>
      </c>
      <c r="F395" s="131" t="s">
        <v>57</v>
      </c>
      <c r="G395" s="87"/>
      <c r="H395" s="136"/>
      <c r="I395" s="126"/>
      <c r="J395" s="2"/>
      <c r="K395" s="216"/>
      <c r="L395" s="211"/>
      <c r="M395" s="211">
        <v>40000</v>
      </c>
      <c r="N395" s="215">
        <v>8</v>
      </c>
      <c r="O395" s="34">
        <f>Mar!CR276</f>
        <v>3728</v>
      </c>
      <c r="P395" s="126">
        <f>Mar!CS276</f>
        <v>2561</v>
      </c>
      <c r="Q395" s="2">
        <f>Mar!CQ276</f>
        <v>11</v>
      </c>
      <c r="R395" s="436"/>
      <c r="S395" s="436"/>
      <c r="T395" s="18"/>
      <c r="U395" s="18"/>
      <c r="V395" s="127">
        <f t="shared" si="17"/>
        <v>87749</v>
      </c>
      <c r="W395" s="46"/>
      <c r="Y395" s="13"/>
    </row>
    <row r="396" spans="1:25">
      <c r="A396" s="427"/>
      <c r="B396" s="439"/>
      <c r="C396" s="440"/>
      <c r="D396" s="118" t="s">
        <v>72</v>
      </c>
      <c r="E396" s="155" t="s">
        <v>24</v>
      </c>
      <c r="F396" s="131" t="s">
        <v>57</v>
      </c>
      <c r="G396" s="136"/>
      <c r="H396" s="136"/>
      <c r="I396" s="126"/>
      <c r="J396" s="126"/>
      <c r="K396" s="127">
        <v>20000</v>
      </c>
      <c r="L396" s="18">
        <v>4</v>
      </c>
      <c r="M396" s="18">
        <v>10000</v>
      </c>
      <c r="N396" s="80">
        <v>2</v>
      </c>
      <c r="O396" s="126">
        <f>Mar!CR277</f>
        <v>5365</v>
      </c>
      <c r="P396" s="126">
        <f>Mar!CS277</f>
        <v>6062</v>
      </c>
      <c r="Q396" s="2">
        <f>Mar!CQ277</f>
        <v>25</v>
      </c>
      <c r="R396" s="436"/>
      <c r="S396" s="436"/>
      <c r="T396" s="18">
        <v>12673</v>
      </c>
      <c r="U396" s="18"/>
      <c r="V396" s="127">
        <f t="shared" si="17"/>
        <v>1824</v>
      </c>
      <c r="W396" s="46"/>
      <c r="Y396" s="13"/>
    </row>
    <row r="397" spans="1:25">
      <c r="A397" s="427"/>
      <c r="B397" s="439"/>
      <c r="C397" s="440"/>
      <c r="D397" s="115" t="s">
        <v>79</v>
      </c>
      <c r="E397" s="118" t="s">
        <v>65</v>
      </c>
      <c r="F397" s="131" t="s">
        <v>57</v>
      </c>
      <c r="G397" s="224"/>
      <c r="H397" s="152"/>
      <c r="I397" s="126"/>
      <c r="J397" s="126"/>
      <c r="K397" s="127"/>
      <c r="L397" s="18"/>
      <c r="M397" s="18"/>
      <c r="N397" s="80"/>
      <c r="O397" s="126"/>
      <c r="P397" s="126">
        <f>Mar!CS278</f>
        <v>1324</v>
      </c>
      <c r="Q397" s="126">
        <f>Mar!CQ278</f>
        <v>6</v>
      </c>
      <c r="R397" s="436"/>
      <c r="S397" s="436"/>
      <c r="T397" s="18"/>
      <c r="U397" s="18"/>
      <c r="V397" s="127">
        <f t="shared" si="17"/>
        <v>3313</v>
      </c>
      <c r="W397" s="46"/>
      <c r="Y397" s="13"/>
    </row>
    <row r="398" spans="1:25" ht="14.25" customHeight="1">
      <c r="A398" s="427"/>
      <c r="B398" s="137" t="s">
        <v>53</v>
      </c>
      <c r="C398" s="157" t="s">
        <v>60</v>
      </c>
      <c r="D398" s="43" t="s">
        <v>130</v>
      </c>
      <c r="E398" s="115" t="s">
        <v>66</v>
      </c>
      <c r="F398" s="118" t="s">
        <v>54</v>
      </c>
      <c r="G398" s="224"/>
      <c r="H398" s="37"/>
      <c r="I398" s="126"/>
      <c r="J398" s="126"/>
      <c r="K398" s="18"/>
      <c r="L398" s="18"/>
      <c r="M398" s="18">
        <v>48000</v>
      </c>
      <c r="N398" s="80">
        <v>8</v>
      </c>
      <c r="O398" s="126">
        <f>Mar!CR275</f>
        <v>10795</v>
      </c>
      <c r="P398" s="126">
        <f>Mar!CS275</f>
        <v>8333</v>
      </c>
      <c r="Q398" s="126">
        <f>Mar!CQ275</f>
        <v>24</v>
      </c>
      <c r="R398" s="436"/>
      <c r="S398" s="436"/>
      <c r="T398" s="18">
        <v>14259</v>
      </c>
      <c r="U398" s="18"/>
      <c r="V398" s="127">
        <f t="shared" si="17"/>
        <v>12327</v>
      </c>
      <c r="W398" s="45"/>
      <c r="X398" s="36"/>
    </row>
    <row r="399" spans="1:25" ht="14.25" customHeight="1">
      <c r="A399" s="427"/>
      <c r="B399" s="122" t="s">
        <v>55</v>
      </c>
      <c r="C399" s="180" t="s">
        <v>133</v>
      </c>
      <c r="D399" s="48" t="s">
        <v>56</v>
      </c>
      <c r="E399" s="424" t="s">
        <v>25</v>
      </c>
      <c r="F399" s="118" t="s">
        <v>67</v>
      </c>
      <c r="G399" s="224"/>
      <c r="H399" s="37"/>
      <c r="I399" s="126"/>
      <c r="J399" s="126"/>
      <c r="K399" s="18"/>
      <c r="L399" s="18"/>
      <c r="M399" s="18">
        <v>2800</v>
      </c>
      <c r="N399" s="80">
        <v>1</v>
      </c>
      <c r="O399" s="126"/>
      <c r="P399" s="126"/>
      <c r="Q399" s="126"/>
      <c r="R399" s="436"/>
      <c r="S399" s="436"/>
      <c r="T399" s="18"/>
      <c r="U399" s="18"/>
      <c r="V399" s="127">
        <f t="shared" ref="V399:V405" si="18">O399-T399-U399+V380</f>
        <v>1453</v>
      </c>
      <c r="W399" s="45"/>
      <c r="X399" s="67"/>
    </row>
    <row r="400" spans="1:25" ht="14.25" customHeight="1">
      <c r="A400" s="427"/>
      <c r="B400" s="122" t="s">
        <v>122</v>
      </c>
      <c r="C400" s="180" t="s">
        <v>123</v>
      </c>
      <c r="D400" s="48" t="s">
        <v>56</v>
      </c>
      <c r="E400" s="441"/>
      <c r="F400" s="155" t="s">
        <v>64</v>
      </c>
      <c r="G400" s="224"/>
      <c r="H400" s="135"/>
      <c r="I400" s="158"/>
      <c r="J400" s="158"/>
      <c r="K400" s="128"/>
      <c r="L400" s="128"/>
      <c r="M400" s="128">
        <v>6400</v>
      </c>
      <c r="N400" s="164">
        <v>2</v>
      </c>
      <c r="O400" s="158"/>
      <c r="P400" s="158"/>
      <c r="Q400" s="158">
        <f>Mar!CQ282</f>
        <v>1</v>
      </c>
      <c r="R400" s="436"/>
      <c r="S400" s="436"/>
      <c r="T400" s="18"/>
      <c r="U400" s="18"/>
      <c r="V400" s="127">
        <f t="shared" si="18"/>
        <v>31304</v>
      </c>
      <c r="W400" s="45"/>
      <c r="X400" s="67"/>
    </row>
    <row r="401" spans="1:26" ht="15.75" customHeight="1">
      <c r="A401" s="427"/>
      <c r="B401" s="137" t="s">
        <v>58</v>
      </c>
      <c r="C401" s="157" t="s">
        <v>243</v>
      </c>
      <c r="D401" s="48" t="s">
        <v>56</v>
      </c>
      <c r="E401" s="441"/>
      <c r="F401" s="118" t="s">
        <v>64</v>
      </c>
      <c r="G401" s="226"/>
      <c r="H401" s="126"/>
      <c r="I401" s="126"/>
      <c r="J401" s="2"/>
      <c r="K401" s="18"/>
      <c r="L401" s="18"/>
      <c r="M401" s="18"/>
      <c r="N401" s="18"/>
      <c r="O401" s="126"/>
      <c r="P401" s="126"/>
      <c r="Q401" s="126">
        <f>Mar!CQ283</f>
        <v>1</v>
      </c>
      <c r="R401" s="436"/>
      <c r="S401" s="436"/>
      <c r="T401" s="18"/>
      <c r="U401" s="18"/>
      <c r="V401" s="127">
        <f t="shared" si="18"/>
        <v>8562</v>
      </c>
      <c r="W401" s="45"/>
      <c r="X401" s="67"/>
    </row>
    <row r="402" spans="1:26" ht="15" customHeight="1">
      <c r="A402" s="427"/>
      <c r="B402" s="122" t="s">
        <v>61</v>
      </c>
      <c r="C402" s="180" t="s">
        <v>137</v>
      </c>
      <c r="D402" s="48" t="s">
        <v>56</v>
      </c>
      <c r="E402" s="441"/>
      <c r="F402" s="118" t="s">
        <v>67</v>
      </c>
      <c r="G402" s="119"/>
      <c r="H402" s="126"/>
      <c r="I402" s="126"/>
      <c r="J402" s="2"/>
      <c r="K402" s="18"/>
      <c r="L402" s="18"/>
      <c r="M402" s="18"/>
      <c r="N402" s="18"/>
      <c r="O402" s="126"/>
      <c r="P402" s="126"/>
      <c r="Q402" s="126">
        <f>Mar!CQ284</f>
        <v>1</v>
      </c>
      <c r="R402" s="436"/>
      <c r="S402" s="436"/>
      <c r="T402" s="18"/>
      <c r="U402" s="18"/>
      <c r="V402" s="127">
        <f t="shared" si="18"/>
        <v>5844</v>
      </c>
      <c r="W402" s="45"/>
      <c r="X402" s="67"/>
      <c r="Y402" s="13"/>
    </row>
    <row r="403" spans="1:26" ht="14.25" customHeight="1">
      <c r="A403" s="427"/>
      <c r="B403" s="122" t="s">
        <v>125</v>
      </c>
      <c r="C403" s="180" t="s">
        <v>88</v>
      </c>
      <c r="D403" s="48" t="s">
        <v>124</v>
      </c>
      <c r="E403" s="441"/>
      <c r="F403" s="118" t="s">
        <v>64</v>
      </c>
      <c r="G403" s="225"/>
      <c r="H403" s="126"/>
      <c r="I403" s="126"/>
      <c r="J403" s="126"/>
      <c r="K403" s="18"/>
      <c r="L403" s="18"/>
      <c r="M403" s="18">
        <v>51200</v>
      </c>
      <c r="N403" s="80">
        <v>7</v>
      </c>
      <c r="O403" s="126"/>
      <c r="P403" s="126"/>
      <c r="Q403" s="126"/>
      <c r="R403" s="436"/>
      <c r="S403" s="436"/>
      <c r="T403" s="18"/>
      <c r="U403" s="18"/>
      <c r="V403" s="127">
        <f t="shared" si="18"/>
        <v>23615</v>
      </c>
      <c r="W403" s="45"/>
      <c r="X403" s="67"/>
      <c r="Z403" s="13"/>
    </row>
    <row r="404" spans="1:26">
      <c r="A404" s="427"/>
      <c r="B404" s="137" t="s">
        <v>47</v>
      </c>
      <c r="C404" s="157" t="s">
        <v>100</v>
      </c>
      <c r="D404" s="48" t="s">
        <v>99</v>
      </c>
      <c r="E404" s="441"/>
      <c r="F404" s="118" t="s">
        <v>71</v>
      </c>
      <c r="G404" s="226"/>
      <c r="H404" s="126"/>
      <c r="I404" s="126"/>
      <c r="J404" s="2"/>
      <c r="K404" s="18"/>
      <c r="L404" s="18"/>
      <c r="M404" s="18">
        <v>18000</v>
      </c>
      <c r="N404" s="18">
        <v>3</v>
      </c>
      <c r="O404" s="126"/>
      <c r="P404" s="126"/>
      <c r="Q404" s="126"/>
      <c r="R404" s="436"/>
      <c r="S404" s="436"/>
      <c r="T404" s="18"/>
      <c r="U404" s="18"/>
      <c r="V404" s="127">
        <f t="shared" si="18"/>
        <v>70115</v>
      </c>
      <c r="W404" s="45"/>
      <c r="X404" s="67"/>
    </row>
    <row r="405" spans="1:26" ht="15" customHeight="1">
      <c r="A405" s="427"/>
      <c r="B405" s="122" t="s">
        <v>196</v>
      </c>
      <c r="C405" s="180" t="s">
        <v>63</v>
      </c>
      <c r="D405" s="48" t="s">
        <v>135</v>
      </c>
      <c r="E405" s="441"/>
      <c r="F405" s="118" t="s">
        <v>64</v>
      </c>
      <c r="G405" s="226"/>
      <c r="H405" s="126"/>
      <c r="I405" s="126"/>
      <c r="J405" s="2"/>
      <c r="K405" s="18"/>
      <c r="L405" s="18"/>
      <c r="M405" s="18">
        <v>33200</v>
      </c>
      <c r="N405" s="18">
        <v>4</v>
      </c>
      <c r="O405" s="126"/>
      <c r="P405" s="126"/>
      <c r="Q405" s="126"/>
      <c r="R405" s="436"/>
      <c r="S405" s="436"/>
      <c r="T405" s="18"/>
      <c r="U405" s="18"/>
      <c r="V405" s="127">
        <f t="shared" si="18"/>
        <v>15106</v>
      </c>
      <c r="W405" s="45"/>
      <c r="X405" s="67"/>
    </row>
    <row r="406" spans="1:26" ht="15" customHeight="1">
      <c r="A406" s="427"/>
      <c r="B406" s="122" t="s">
        <v>253</v>
      </c>
      <c r="C406" s="180" t="s">
        <v>252</v>
      </c>
      <c r="D406" s="48" t="s">
        <v>246</v>
      </c>
      <c r="E406" s="441"/>
      <c r="F406" s="118" t="s">
        <v>247</v>
      </c>
      <c r="G406" s="226"/>
      <c r="H406" s="126"/>
      <c r="I406" s="126"/>
      <c r="J406" s="2"/>
      <c r="K406" s="18"/>
      <c r="L406" s="18"/>
      <c r="M406" s="18"/>
      <c r="N406" s="18"/>
      <c r="O406" s="126"/>
      <c r="P406" s="126"/>
      <c r="Q406" s="126">
        <f>Mar!CQ285</f>
        <v>1</v>
      </c>
      <c r="R406" s="436"/>
      <c r="S406" s="436"/>
      <c r="T406" s="18"/>
      <c r="U406" s="18"/>
      <c r="V406" s="127">
        <f>O406-T406-U406+V387</f>
        <v>503</v>
      </c>
      <c r="W406" s="45"/>
      <c r="X406" s="67"/>
    </row>
    <row r="407" spans="1:26" ht="15" customHeight="1">
      <c r="A407" s="427"/>
      <c r="B407" s="122" t="s">
        <v>131</v>
      </c>
      <c r="C407" s="180" t="s">
        <v>194</v>
      </c>
      <c r="D407" s="48" t="s">
        <v>132</v>
      </c>
      <c r="E407" s="441"/>
      <c r="F407" s="118" t="s">
        <v>64</v>
      </c>
      <c r="G407" s="119"/>
      <c r="H407" s="126"/>
      <c r="I407" s="126"/>
      <c r="J407" s="2"/>
      <c r="K407" s="18"/>
      <c r="L407" s="18"/>
      <c r="M407" s="18"/>
      <c r="N407" s="18"/>
      <c r="O407" s="126"/>
      <c r="P407" s="126"/>
      <c r="Q407" s="126">
        <f>Mar!CQ287</f>
        <v>1</v>
      </c>
      <c r="R407" s="436"/>
      <c r="S407" s="436"/>
      <c r="T407" s="18"/>
      <c r="U407" s="18"/>
      <c r="V407" s="18"/>
      <c r="W407" s="45"/>
      <c r="X407" s="67"/>
    </row>
    <row r="408" spans="1:26" ht="15" customHeight="1">
      <c r="A408" s="427"/>
      <c r="B408" s="122" t="s">
        <v>101</v>
      </c>
      <c r="C408" s="180" t="s">
        <v>193</v>
      </c>
      <c r="D408" s="48" t="s">
        <v>102</v>
      </c>
      <c r="E408" s="441"/>
      <c r="F408" s="118" t="s">
        <v>64</v>
      </c>
      <c r="G408" s="119"/>
      <c r="H408" s="126"/>
      <c r="I408" s="126"/>
      <c r="J408" s="2"/>
      <c r="K408" s="18"/>
      <c r="L408" s="18"/>
      <c r="M408" s="18"/>
      <c r="N408" s="18"/>
      <c r="O408" s="126"/>
      <c r="P408" s="126"/>
      <c r="Q408" s="126">
        <f>Mar!CQ288</f>
        <v>1</v>
      </c>
      <c r="R408" s="436"/>
      <c r="S408" s="436"/>
      <c r="T408" s="18"/>
      <c r="U408" s="18"/>
      <c r="V408" s="18"/>
      <c r="W408" s="45"/>
      <c r="X408" s="67"/>
    </row>
    <row r="409" spans="1:26" ht="15" customHeight="1">
      <c r="A409" s="427"/>
      <c r="B409" s="122" t="s">
        <v>103</v>
      </c>
      <c r="C409" s="157" t="s">
        <v>197</v>
      </c>
      <c r="D409" s="48" t="s">
        <v>104</v>
      </c>
      <c r="E409" s="441"/>
      <c r="F409" s="118" t="s">
        <v>105</v>
      </c>
      <c r="G409" s="119"/>
      <c r="H409" s="126"/>
      <c r="I409" s="126"/>
      <c r="J409" s="2"/>
      <c r="K409" s="18"/>
      <c r="L409" s="18"/>
      <c r="M409" s="18"/>
      <c r="N409" s="18"/>
      <c r="O409" s="126"/>
      <c r="P409" s="126"/>
      <c r="Q409" s="126">
        <f>Mar!CQ289</f>
        <v>1</v>
      </c>
      <c r="R409" s="436"/>
      <c r="S409" s="436"/>
      <c r="T409" s="18"/>
      <c r="U409" s="18"/>
      <c r="V409" s="18"/>
      <c r="W409" s="45"/>
      <c r="X409" s="67"/>
    </row>
    <row r="410" spans="1:26" ht="15" customHeight="1">
      <c r="A410" s="427"/>
      <c r="B410" s="137" t="s">
        <v>112</v>
      </c>
      <c r="C410" s="157" t="s">
        <v>197</v>
      </c>
      <c r="D410" s="48" t="s">
        <v>104</v>
      </c>
      <c r="E410" s="441"/>
      <c r="F410" s="118" t="s">
        <v>113</v>
      </c>
      <c r="G410" s="119"/>
      <c r="H410" s="126"/>
      <c r="I410" s="126"/>
      <c r="J410" s="2"/>
      <c r="K410" s="18"/>
      <c r="L410" s="18"/>
      <c r="M410" s="18"/>
      <c r="N410" s="18"/>
      <c r="O410" s="126"/>
      <c r="P410" s="126"/>
      <c r="Q410" s="126">
        <f>Mar!CQ292</f>
        <v>1</v>
      </c>
      <c r="R410" s="436"/>
      <c r="S410" s="436"/>
      <c r="T410" s="18"/>
      <c r="U410" s="18"/>
      <c r="V410" s="18"/>
      <c r="W410" s="45"/>
      <c r="X410" s="67"/>
    </row>
    <row r="411" spans="1:26" ht="15" customHeight="1" thickBot="1">
      <c r="A411" s="428"/>
      <c r="B411" s="44" t="s">
        <v>107</v>
      </c>
      <c r="C411" s="181" t="s">
        <v>195</v>
      </c>
      <c r="D411" s="61" t="s">
        <v>108</v>
      </c>
      <c r="E411" s="447"/>
      <c r="F411" s="133" t="s">
        <v>48</v>
      </c>
      <c r="G411" s="132"/>
      <c r="H411" s="109"/>
      <c r="I411" s="134"/>
      <c r="J411" s="129"/>
      <c r="K411" s="130"/>
      <c r="L411" s="130"/>
      <c r="M411" s="130"/>
      <c r="N411" s="130"/>
      <c r="O411" s="134"/>
      <c r="P411" s="134"/>
      <c r="Q411" s="134">
        <f>Mar!CQ291</f>
        <v>1</v>
      </c>
      <c r="R411" s="437"/>
      <c r="S411" s="437"/>
      <c r="T411" s="130"/>
      <c r="U411" s="130"/>
      <c r="V411" s="128"/>
      <c r="W411" s="85"/>
      <c r="X411" s="67"/>
    </row>
    <row r="412" spans="1:26" ht="15" customHeight="1">
      <c r="A412" s="426">
        <v>46105</v>
      </c>
      <c r="B412" s="429" t="s">
        <v>44</v>
      </c>
      <c r="C412" s="432" t="s">
        <v>240</v>
      </c>
      <c r="D412" s="19" t="s">
        <v>37</v>
      </c>
      <c r="E412" s="19" t="s">
        <v>25</v>
      </c>
      <c r="F412" s="39" t="s">
        <v>40</v>
      </c>
      <c r="G412" s="41"/>
      <c r="H412" s="32"/>
      <c r="I412" s="32"/>
      <c r="J412" s="32"/>
      <c r="K412" s="20">
        <v>80000</v>
      </c>
      <c r="L412" s="20">
        <v>10</v>
      </c>
      <c r="M412" s="20">
        <v>328000</v>
      </c>
      <c r="N412" s="84">
        <v>41</v>
      </c>
      <c r="O412" s="32">
        <f>Mar!CU273</f>
        <v>27485</v>
      </c>
      <c r="P412" s="32">
        <f>Mar!CV273</f>
        <v>35186</v>
      </c>
      <c r="Q412" s="32">
        <f>Mar!CT273</f>
        <v>94</v>
      </c>
      <c r="R412" s="435">
        <f>Mar!CU294</f>
        <v>72691</v>
      </c>
      <c r="S412" s="435">
        <f>Mar!CV294</f>
        <v>74314</v>
      </c>
      <c r="T412" s="20">
        <v>53752</v>
      </c>
      <c r="U412" s="20">
        <v>7</v>
      </c>
      <c r="V412" s="20">
        <f>O412-T412-U412+V393</f>
        <v>54072</v>
      </c>
      <c r="W412" s="77"/>
      <c r="X412" s="36"/>
    </row>
    <row r="413" spans="1:26" ht="15" customHeight="1">
      <c r="A413" s="427"/>
      <c r="B413" s="431"/>
      <c r="C413" s="434"/>
      <c r="D413" s="113" t="s">
        <v>128</v>
      </c>
      <c r="E413" s="113" t="s">
        <v>24</v>
      </c>
      <c r="F413" s="114" t="s">
        <v>40</v>
      </c>
      <c r="G413" s="170">
        <v>6047.91</v>
      </c>
      <c r="H413" s="158"/>
      <c r="I413" s="125"/>
      <c r="J413" s="125"/>
      <c r="K413" s="127">
        <v>48000</v>
      </c>
      <c r="L413" s="18">
        <v>6</v>
      </c>
      <c r="M413" s="216">
        <v>104000</v>
      </c>
      <c r="N413" s="238">
        <v>13</v>
      </c>
      <c r="O413" s="126">
        <f>Mar!CU274</f>
        <v>27833</v>
      </c>
      <c r="P413" s="125">
        <f>Mar!CV274</f>
        <v>20935</v>
      </c>
      <c r="Q413" s="125">
        <f>Mar!CT274</f>
        <v>56</v>
      </c>
      <c r="R413" s="436"/>
      <c r="S413" s="436"/>
      <c r="T413" s="127">
        <v>17634</v>
      </c>
      <c r="U413" s="127">
        <v>4</v>
      </c>
      <c r="V413" s="127">
        <f>O413-T413-U413+V394</f>
        <v>43324</v>
      </c>
      <c r="W413" s="46"/>
      <c r="X413" s="67"/>
    </row>
    <row r="414" spans="1:26" ht="15" customHeight="1">
      <c r="A414" s="427"/>
      <c r="B414" s="442" t="s">
        <v>45</v>
      </c>
      <c r="C414" s="448" t="s">
        <v>59</v>
      </c>
      <c r="D414" s="118" t="s">
        <v>75</v>
      </c>
      <c r="E414" s="438" t="s">
        <v>25</v>
      </c>
      <c r="F414" s="131" t="s">
        <v>57</v>
      </c>
      <c r="G414" s="87">
        <v>1941.25</v>
      </c>
      <c r="H414" s="136"/>
      <c r="I414" s="126"/>
      <c r="J414" s="2"/>
      <c r="K414" s="127">
        <v>10000</v>
      </c>
      <c r="L414" s="18">
        <v>2</v>
      </c>
      <c r="M414" s="18">
        <v>55000</v>
      </c>
      <c r="N414" s="80">
        <v>11</v>
      </c>
      <c r="O414" s="126">
        <f>Mar!CU276</f>
        <v>3300</v>
      </c>
      <c r="P414" s="126">
        <f>Mar!CV276</f>
        <v>2740</v>
      </c>
      <c r="Q414" s="2">
        <f>Mar!CT276</f>
        <v>11</v>
      </c>
      <c r="R414" s="436"/>
      <c r="S414" s="436"/>
      <c r="T414" s="18"/>
      <c r="U414" s="18"/>
      <c r="V414" s="127">
        <f>O414-T414-U414+V395</f>
        <v>91049</v>
      </c>
      <c r="W414" s="46"/>
      <c r="Y414" s="13"/>
    </row>
    <row r="415" spans="1:26" ht="15" customHeight="1">
      <c r="A415" s="427"/>
      <c r="B415" s="439"/>
      <c r="C415" s="440"/>
      <c r="D415" s="118" t="s">
        <v>94</v>
      </c>
      <c r="E415" s="431"/>
      <c r="F415" s="131"/>
      <c r="G415" s="87"/>
      <c r="H415" s="136">
        <v>1360.8</v>
      </c>
      <c r="I415" s="126"/>
      <c r="J415" s="2"/>
      <c r="K415" s="127"/>
      <c r="L415" s="18"/>
      <c r="M415" s="18"/>
      <c r="N415" s="80"/>
      <c r="O415" s="126"/>
      <c r="P415" s="126"/>
      <c r="Q415" s="2"/>
      <c r="R415" s="436"/>
      <c r="S415" s="436"/>
      <c r="T415" s="18"/>
      <c r="U415" s="18"/>
      <c r="V415" s="127"/>
      <c r="W415" s="46"/>
      <c r="Y415" s="13"/>
    </row>
    <row r="416" spans="1:26">
      <c r="A416" s="427"/>
      <c r="B416" s="439"/>
      <c r="C416" s="440"/>
      <c r="D416" s="118" t="s">
        <v>72</v>
      </c>
      <c r="E416" s="155" t="s">
        <v>24</v>
      </c>
      <c r="F416" s="131" t="s">
        <v>57</v>
      </c>
      <c r="G416" s="136"/>
      <c r="H416" s="136"/>
      <c r="I416" s="126"/>
      <c r="J416" s="126"/>
      <c r="K416" s="127">
        <v>5000</v>
      </c>
      <c r="L416" s="18">
        <v>1</v>
      </c>
      <c r="M416" s="18">
        <v>5000</v>
      </c>
      <c r="N416" s="80">
        <v>1</v>
      </c>
      <c r="O416" s="126">
        <f>Mar!CU277</f>
        <v>1518</v>
      </c>
      <c r="P416" s="126">
        <f>Mar!CV277</f>
        <v>6041</v>
      </c>
      <c r="Q416" s="2">
        <f>Mar!CT277</f>
        <v>25</v>
      </c>
      <c r="R416" s="436"/>
      <c r="S416" s="436"/>
      <c r="T416" s="18"/>
      <c r="U416" s="18"/>
      <c r="V416" s="127">
        <f>O416-T416-U416+V396</f>
        <v>3342</v>
      </c>
      <c r="W416" s="46"/>
      <c r="Y416" s="13"/>
    </row>
    <row r="417" spans="1:25">
      <c r="A417" s="427"/>
      <c r="B417" s="439"/>
      <c r="C417" s="440"/>
      <c r="D417" s="115" t="s">
        <v>79</v>
      </c>
      <c r="E417" s="118" t="s">
        <v>65</v>
      </c>
      <c r="F417" s="131" t="s">
        <v>57</v>
      </c>
      <c r="G417" s="224"/>
      <c r="H417" s="152"/>
      <c r="I417" s="126"/>
      <c r="J417" s="126"/>
      <c r="K417" s="127"/>
      <c r="L417" s="18"/>
      <c r="M417" s="18"/>
      <c r="N417" s="80"/>
      <c r="O417" s="126">
        <f>Mar!CU278</f>
        <v>3325</v>
      </c>
      <c r="P417" s="126">
        <f>Mar!CV278</f>
        <v>1222</v>
      </c>
      <c r="Q417" s="126">
        <f>Mar!CT278</f>
        <v>6</v>
      </c>
      <c r="R417" s="436"/>
      <c r="S417" s="436"/>
      <c r="T417" s="18"/>
      <c r="U417" s="18"/>
      <c r="V417" s="127">
        <f>O417-T417-U417+V397</f>
        <v>6638</v>
      </c>
      <c r="W417" s="46"/>
      <c r="Y417" s="13"/>
    </row>
    <row r="418" spans="1:25" ht="14.25" customHeight="1">
      <c r="A418" s="427"/>
      <c r="B418" s="442" t="s">
        <v>53</v>
      </c>
      <c r="C418" s="444" t="s">
        <v>60</v>
      </c>
      <c r="D418" s="43" t="s">
        <v>130</v>
      </c>
      <c r="E418" s="115" t="s">
        <v>66</v>
      </c>
      <c r="F418" s="118" t="s">
        <v>54</v>
      </c>
      <c r="G418" s="224"/>
      <c r="H418" s="37"/>
      <c r="I418" s="126"/>
      <c r="J418" s="126"/>
      <c r="K418" s="18"/>
      <c r="L418" s="18"/>
      <c r="M418" s="18">
        <v>48000</v>
      </c>
      <c r="N418" s="80">
        <v>8</v>
      </c>
      <c r="O418" s="126">
        <f>Mar!CU275</f>
        <v>9230</v>
      </c>
      <c r="P418" s="126">
        <f>Mar!CV275</f>
        <v>8190</v>
      </c>
      <c r="Q418" s="126">
        <f>Mar!CT275</f>
        <v>24</v>
      </c>
      <c r="R418" s="436"/>
      <c r="S418" s="436"/>
      <c r="T418" s="18">
        <v>14395</v>
      </c>
      <c r="U418" s="18"/>
      <c r="V418" s="127">
        <f>O418-T418-U418+V398</f>
        <v>7162</v>
      </c>
      <c r="W418" s="45"/>
      <c r="X418" s="36"/>
    </row>
    <row r="419" spans="1:25" ht="14.25" customHeight="1">
      <c r="A419" s="427"/>
      <c r="B419" s="443"/>
      <c r="C419" s="446"/>
      <c r="D419" s="43" t="s">
        <v>199</v>
      </c>
      <c r="E419" s="114" t="s">
        <v>25</v>
      </c>
      <c r="F419" s="118"/>
      <c r="G419" s="224"/>
      <c r="H419" s="37">
        <v>1703.4</v>
      </c>
      <c r="I419" s="126"/>
      <c r="J419" s="126"/>
      <c r="K419" s="18"/>
      <c r="L419" s="18"/>
      <c r="M419" s="18"/>
      <c r="N419" s="80"/>
      <c r="O419" s="126"/>
      <c r="P419" s="126"/>
      <c r="Q419" s="126"/>
      <c r="R419" s="436"/>
      <c r="S419" s="436"/>
      <c r="T419" s="18"/>
      <c r="U419" s="18"/>
      <c r="V419" s="127"/>
      <c r="W419" s="45"/>
      <c r="X419" s="67"/>
    </row>
    <row r="420" spans="1:25" ht="14.25" customHeight="1">
      <c r="A420" s="427"/>
      <c r="B420" s="122" t="s">
        <v>55</v>
      </c>
      <c r="C420" s="180" t="s">
        <v>133</v>
      </c>
      <c r="D420" s="48" t="s">
        <v>56</v>
      </c>
      <c r="E420" s="424" t="s">
        <v>25</v>
      </c>
      <c r="F420" s="118" t="s">
        <v>67</v>
      </c>
      <c r="G420" s="224"/>
      <c r="H420" s="37"/>
      <c r="I420" s="126"/>
      <c r="J420" s="126"/>
      <c r="K420" s="18"/>
      <c r="L420" s="18"/>
      <c r="M420" s="18">
        <v>2800</v>
      </c>
      <c r="N420" s="80">
        <v>1</v>
      </c>
      <c r="O420" s="126"/>
      <c r="P420" s="126"/>
      <c r="Q420" s="126"/>
      <c r="R420" s="436"/>
      <c r="S420" s="436"/>
      <c r="T420" s="18"/>
      <c r="U420" s="18"/>
      <c r="V420" s="127">
        <f>O420-T420-U420+V399</f>
        <v>1453</v>
      </c>
      <c r="W420" s="45"/>
      <c r="X420" s="67"/>
    </row>
    <row r="421" spans="1:25" ht="14.25" customHeight="1">
      <c r="A421" s="427"/>
      <c r="B421" s="122" t="s">
        <v>122</v>
      </c>
      <c r="C421" s="180" t="s">
        <v>123</v>
      </c>
      <c r="D421" s="48" t="s">
        <v>56</v>
      </c>
      <c r="E421" s="441"/>
      <c r="F421" s="155" t="s">
        <v>64</v>
      </c>
      <c r="G421" s="224"/>
      <c r="H421" s="135"/>
      <c r="I421" s="158"/>
      <c r="J421" s="158"/>
      <c r="K421" s="128"/>
      <c r="L421" s="128"/>
      <c r="M421" s="128">
        <v>6400</v>
      </c>
      <c r="N421" s="164">
        <v>2</v>
      </c>
      <c r="O421" s="158"/>
      <c r="P421" s="158"/>
      <c r="Q421" s="158">
        <f>Mar!CT282</f>
        <v>1</v>
      </c>
      <c r="R421" s="436"/>
      <c r="S421" s="436"/>
      <c r="T421" s="18"/>
      <c r="U421" s="18"/>
      <c r="V421" s="127">
        <f t="shared" ref="V421:V426" si="19">O421-T421-U421+V400</f>
        <v>31304</v>
      </c>
      <c r="W421" s="45"/>
      <c r="X421" s="67"/>
    </row>
    <row r="422" spans="1:25" ht="15.75" customHeight="1">
      <c r="A422" s="427"/>
      <c r="B422" s="137" t="s">
        <v>58</v>
      </c>
      <c r="C422" s="157" t="s">
        <v>243</v>
      </c>
      <c r="D422" s="48" t="s">
        <v>56</v>
      </c>
      <c r="E422" s="441"/>
      <c r="F422" s="118" t="s">
        <v>64</v>
      </c>
      <c r="G422" s="226"/>
      <c r="H422" s="126"/>
      <c r="I422" s="126"/>
      <c r="J422" s="2"/>
      <c r="K422" s="18"/>
      <c r="L422" s="18"/>
      <c r="M422" s="18"/>
      <c r="N422" s="18"/>
      <c r="O422" s="126"/>
      <c r="P422" s="126"/>
      <c r="Q422" s="126">
        <f>Mar!CT283</f>
        <v>1</v>
      </c>
      <c r="R422" s="436"/>
      <c r="S422" s="436"/>
      <c r="T422" s="18"/>
      <c r="U422" s="18"/>
      <c r="V422" s="127">
        <f t="shared" si="19"/>
        <v>8562</v>
      </c>
      <c r="W422" s="45"/>
      <c r="X422" s="67"/>
    </row>
    <row r="423" spans="1:25" ht="15" customHeight="1">
      <c r="A423" s="427"/>
      <c r="B423" s="122" t="s">
        <v>61</v>
      </c>
      <c r="C423" s="180" t="s">
        <v>137</v>
      </c>
      <c r="D423" s="48" t="s">
        <v>56</v>
      </c>
      <c r="E423" s="441"/>
      <c r="F423" s="118" t="s">
        <v>67</v>
      </c>
      <c r="G423" s="119"/>
      <c r="H423" s="126"/>
      <c r="I423" s="126"/>
      <c r="J423" s="2"/>
      <c r="K423" s="18"/>
      <c r="L423" s="18"/>
      <c r="M423" s="18"/>
      <c r="N423" s="18"/>
      <c r="O423" s="126"/>
      <c r="P423" s="126"/>
      <c r="Q423" s="126">
        <f>Mar!CT284</f>
        <v>1</v>
      </c>
      <c r="R423" s="436"/>
      <c r="S423" s="436"/>
      <c r="T423" s="18"/>
      <c r="U423" s="18"/>
      <c r="V423" s="127">
        <f t="shared" si="19"/>
        <v>5844</v>
      </c>
      <c r="W423" s="45"/>
      <c r="X423" s="67"/>
    </row>
    <row r="424" spans="1:25" ht="14.25" customHeight="1">
      <c r="A424" s="427"/>
      <c r="B424" s="122" t="s">
        <v>125</v>
      </c>
      <c r="C424" s="180" t="s">
        <v>88</v>
      </c>
      <c r="D424" s="48" t="s">
        <v>124</v>
      </c>
      <c r="E424" s="441"/>
      <c r="F424" s="118" t="s">
        <v>64</v>
      </c>
      <c r="G424" s="225"/>
      <c r="H424" s="126"/>
      <c r="I424" s="126"/>
      <c r="J424" s="126"/>
      <c r="K424" s="18"/>
      <c r="L424" s="18"/>
      <c r="M424" s="18">
        <v>51200</v>
      </c>
      <c r="N424" s="80">
        <v>7</v>
      </c>
      <c r="O424" s="126"/>
      <c r="P424" s="126"/>
      <c r="Q424" s="126"/>
      <c r="R424" s="436"/>
      <c r="S424" s="436"/>
      <c r="T424" s="18"/>
      <c r="U424" s="18"/>
      <c r="V424" s="127">
        <f t="shared" si="19"/>
        <v>23615</v>
      </c>
      <c r="W424" s="45"/>
      <c r="X424" s="67"/>
    </row>
    <row r="425" spans="1:25" ht="15" customHeight="1">
      <c r="A425" s="427"/>
      <c r="B425" s="137" t="s">
        <v>47</v>
      </c>
      <c r="C425" s="157" t="s">
        <v>100</v>
      </c>
      <c r="D425" s="48" t="s">
        <v>99</v>
      </c>
      <c r="E425" s="441"/>
      <c r="F425" s="118" t="s">
        <v>71</v>
      </c>
      <c r="G425" s="226"/>
      <c r="H425" s="126"/>
      <c r="I425" s="126"/>
      <c r="J425" s="2"/>
      <c r="K425" s="18"/>
      <c r="L425" s="18"/>
      <c r="M425" s="18">
        <v>18000</v>
      </c>
      <c r="N425" s="18">
        <v>3</v>
      </c>
      <c r="O425" s="126"/>
      <c r="P425" s="126"/>
      <c r="Q425" s="126"/>
      <c r="R425" s="436"/>
      <c r="S425" s="436"/>
      <c r="T425" s="18"/>
      <c r="U425" s="18"/>
      <c r="V425" s="127">
        <f t="shared" si="19"/>
        <v>70115</v>
      </c>
      <c r="W425" s="45"/>
      <c r="X425" s="67"/>
    </row>
    <row r="426" spans="1:25" ht="15" customHeight="1">
      <c r="A426" s="427"/>
      <c r="B426" s="122" t="s">
        <v>196</v>
      </c>
      <c r="C426" s="180" t="s">
        <v>63</v>
      </c>
      <c r="D426" s="48" t="s">
        <v>135</v>
      </c>
      <c r="E426" s="441"/>
      <c r="F426" s="118" t="s">
        <v>64</v>
      </c>
      <c r="G426" s="226"/>
      <c r="H426" s="126"/>
      <c r="I426" s="126"/>
      <c r="J426" s="2"/>
      <c r="K426" s="18"/>
      <c r="L426" s="18"/>
      <c r="M426" s="18">
        <v>33200</v>
      </c>
      <c r="N426" s="18">
        <v>4</v>
      </c>
      <c r="O426" s="126"/>
      <c r="P426" s="126"/>
      <c r="Q426" s="126"/>
      <c r="R426" s="436"/>
      <c r="S426" s="436"/>
      <c r="T426" s="18"/>
      <c r="U426" s="18"/>
      <c r="V426" s="127">
        <f t="shared" si="19"/>
        <v>15106</v>
      </c>
      <c r="W426" s="45"/>
      <c r="X426" s="67"/>
    </row>
    <row r="427" spans="1:25" ht="15" customHeight="1">
      <c r="A427" s="427"/>
      <c r="B427" s="122" t="s">
        <v>253</v>
      </c>
      <c r="C427" s="180" t="s">
        <v>252</v>
      </c>
      <c r="D427" s="48" t="s">
        <v>246</v>
      </c>
      <c r="E427" s="441"/>
      <c r="F427" s="118" t="s">
        <v>247</v>
      </c>
      <c r="G427" s="226"/>
      <c r="H427" s="126"/>
      <c r="I427" s="126"/>
      <c r="J427" s="2"/>
      <c r="K427" s="18"/>
      <c r="L427" s="18"/>
      <c r="M427" s="18"/>
      <c r="N427" s="18"/>
      <c r="O427" s="126"/>
      <c r="P427" s="126"/>
      <c r="Q427" s="126">
        <f>Mar!CT285</f>
        <v>1</v>
      </c>
      <c r="R427" s="436"/>
      <c r="S427" s="436"/>
      <c r="T427" s="18"/>
      <c r="U427" s="18"/>
      <c r="V427" s="127">
        <f>O427-T427-U427+V406</f>
        <v>503</v>
      </c>
      <c r="W427" s="45"/>
      <c r="X427" s="67"/>
    </row>
    <row r="428" spans="1:25" ht="15" customHeight="1">
      <c r="A428" s="427"/>
      <c r="B428" s="122" t="s">
        <v>131</v>
      </c>
      <c r="C428" s="180" t="s">
        <v>194</v>
      </c>
      <c r="D428" s="48" t="s">
        <v>132</v>
      </c>
      <c r="E428" s="441"/>
      <c r="F428" s="118" t="s">
        <v>64</v>
      </c>
      <c r="G428" s="119"/>
      <c r="H428" s="126"/>
      <c r="I428" s="126"/>
      <c r="J428" s="2"/>
      <c r="K428" s="18"/>
      <c r="L428" s="18"/>
      <c r="M428" s="18"/>
      <c r="N428" s="18"/>
      <c r="O428" s="126"/>
      <c r="P428" s="126"/>
      <c r="Q428" s="126">
        <f>Mar!CT287</f>
        <v>1</v>
      </c>
      <c r="R428" s="436"/>
      <c r="S428" s="436"/>
      <c r="T428" s="18"/>
      <c r="U428" s="18"/>
      <c r="V428" s="18"/>
      <c r="W428" s="45"/>
      <c r="X428" s="67"/>
    </row>
    <row r="429" spans="1:25" ht="15" customHeight="1">
      <c r="A429" s="427"/>
      <c r="B429" s="122" t="s">
        <v>101</v>
      </c>
      <c r="C429" s="180" t="s">
        <v>193</v>
      </c>
      <c r="D429" s="48" t="s">
        <v>102</v>
      </c>
      <c r="E429" s="441"/>
      <c r="F429" s="118" t="s">
        <v>64</v>
      </c>
      <c r="G429" s="119"/>
      <c r="H429" s="126"/>
      <c r="I429" s="126"/>
      <c r="J429" s="2"/>
      <c r="K429" s="18"/>
      <c r="L429" s="18"/>
      <c r="M429" s="18"/>
      <c r="N429" s="18"/>
      <c r="O429" s="126"/>
      <c r="P429" s="126"/>
      <c r="Q429" s="126">
        <f>Mar!CT288</f>
        <v>1</v>
      </c>
      <c r="R429" s="436"/>
      <c r="S429" s="436"/>
      <c r="T429" s="18"/>
      <c r="U429" s="18"/>
      <c r="V429" s="18"/>
      <c r="W429" s="45"/>
      <c r="X429" s="67"/>
    </row>
    <row r="430" spans="1:25" ht="15" customHeight="1">
      <c r="A430" s="427"/>
      <c r="B430" s="122" t="s">
        <v>103</v>
      </c>
      <c r="C430" s="157" t="s">
        <v>197</v>
      </c>
      <c r="D430" s="48" t="s">
        <v>104</v>
      </c>
      <c r="E430" s="441"/>
      <c r="F430" s="118" t="s">
        <v>105</v>
      </c>
      <c r="G430" s="119"/>
      <c r="H430" s="126"/>
      <c r="I430" s="126"/>
      <c r="J430" s="2"/>
      <c r="K430" s="18"/>
      <c r="L430" s="18"/>
      <c r="M430" s="18"/>
      <c r="N430" s="18"/>
      <c r="O430" s="126"/>
      <c r="P430" s="126"/>
      <c r="Q430" s="126">
        <f>Mar!CT289</f>
        <v>1</v>
      </c>
      <c r="R430" s="436"/>
      <c r="S430" s="436"/>
      <c r="T430" s="18"/>
      <c r="U430" s="18"/>
      <c r="V430" s="18"/>
      <c r="W430" s="45"/>
      <c r="X430" s="67"/>
    </row>
    <row r="431" spans="1:25" ht="15" customHeight="1">
      <c r="A431" s="427"/>
      <c r="B431" s="137" t="s">
        <v>112</v>
      </c>
      <c r="C431" s="157" t="s">
        <v>197</v>
      </c>
      <c r="D431" s="48" t="s">
        <v>104</v>
      </c>
      <c r="E431" s="441"/>
      <c r="F431" s="118" t="s">
        <v>113</v>
      </c>
      <c r="G431" s="119"/>
      <c r="H431" s="126"/>
      <c r="I431" s="126"/>
      <c r="J431" s="2"/>
      <c r="K431" s="18"/>
      <c r="L431" s="18"/>
      <c r="M431" s="18"/>
      <c r="N431" s="18"/>
      <c r="O431" s="126"/>
      <c r="P431" s="126"/>
      <c r="Q431" s="126">
        <f>Mar!CT292</f>
        <v>1</v>
      </c>
      <c r="R431" s="436"/>
      <c r="S431" s="436"/>
      <c r="T431" s="18"/>
      <c r="U431" s="18"/>
      <c r="V431" s="18"/>
      <c r="W431" s="45"/>
      <c r="X431" s="67"/>
    </row>
    <row r="432" spans="1:25" ht="15" customHeight="1" thickBot="1">
      <c r="A432" s="428"/>
      <c r="B432" s="44" t="s">
        <v>107</v>
      </c>
      <c r="C432" s="181" t="s">
        <v>195</v>
      </c>
      <c r="D432" s="61" t="s">
        <v>108</v>
      </c>
      <c r="E432" s="447"/>
      <c r="F432" s="133" t="s">
        <v>48</v>
      </c>
      <c r="G432" s="132"/>
      <c r="H432" s="109"/>
      <c r="I432" s="134"/>
      <c r="J432" s="129"/>
      <c r="K432" s="130"/>
      <c r="L432" s="130"/>
      <c r="M432" s="130"/>
      <c r="N432" s="130"/>
      <c r="O432" s="134"/>
      <c r="P432" s="134"/>
      <c r="Q432" s="134">
        <f>Mar!CT291</f>
        <v>1</v>
      </c>
      <c r="R432" s="437"/>
      <c r="S432" s="437"/>
      <c r="T432" s="130"/>
      <c r="U432" s="130"/>
      <c r="V432" s="128"/>
      <c r="W432" s="85"/>
      <c r="X432" s="67"/>
    </row>
    <row r="433" spans="1:25" ht="15" customHeight="1">
      <c r="A433" s="426">
        <v>46106</v>
      </c>
      <c r="B433" s="429" t="s">
        <v>44</v>
      </c>
      <c r="C433" s="432" t="s">
        <v>240</v>
      </c>
      <c r="D433" s="19" t="s">
        <v>37</v>
      </c>
      <c r="E433" s="19" t="s">
        <v>25</v>
      </c>
      <c r="F433" s="39" t="s">
        <v>40</v>
      </c>
      <c r="G433" s="41"/>
      <c r="H433" s="32"/>
      <c r="I433" s="32"/>
      <c r="J433" s="32"/>
      <c r="K433" s="20">
        <v>40000</v>
      </c>
      <c r="L433" s="20">
        <v>5</v>
      </c>
      <c r="M433" s="20">
        <v>288000</v>
      </c>
      <c r="N433" s="84">
        <v>36</v>
      </c>
      <c r="O433" s="32">
        <f>Mar!CX273</f>
        <v>40772</v>
      </c>
      <c r="P433" s="32">
        <f>Mar!CY273</f>
        <v>34752</v>
      </c>
      <c r="Q433" s="32">
        <f>Mar!CW273</f>
        <v>94</v>
      </c>
      <c r="R433" s="435">
        <f>Mar!CX294</f>
        <v>71008</v>
      </c>
      <c r="S433" s="435">
        <f>Mar!CY294</f>
        <v>73902</v>
      </c>
      <c r="T433" s="20">
        <v>34478</v>
      </c>
      <c r="U433" s="20">
        <v>187</v>
      </c>
      <c r="V433" s="20">
        <f>O433-T433-U433+V412</f>
        <v>60179</v>
      </c>
      <c r="W433" s="77"/>
      <c r="X433" s="36"/>
    </row>
    <row r="434" spans="1:25" ht="15" customHeight="1">
      <c r="A434" s="427"/>
      <c r="B434" s="431"/>
      <c r="C434" s="434"/>
      <c r="D434" s="113" t="s">
        <v>128</v>
      </c>
      <c r="E434" s="113" t="s">
        <v>24</v>
      </c>
      <c r="F434" s="114" t="s">
        <v>40</v>
      </c>
      <c r="G434" s="170">
        <v>3807.43</v>
      </c>
      <c r="H434" s="158"/>
      <c r="I434" s="125"/>
      <c r="J434" s="125"/>
      <c r="K434" s="18">
        <v>18000</v>
      </c>
      <c r="L434" s="127">
        <v>3</v>
      </c>
      <c r="M434" s="216">
        <v>135400</v>
      </c>
      <c r="N434" s="238">
        <v>17</v>
      </c>
      <c r="O434" s="126">
        <f>Mar!CX274</f>
        <v>10026</v>
      </c>
      <c r="P434" s="125">
        <f>Mar!CY274</f>
        <v>21284</v>
      </c>
      <c r="Q434" s="125">
        <f>Mar!CW274</f>
        <v>56</v>
      </c>
      <c r="R434" s="436"/>
      <c r="S434" s="436"/>
      <c r="T434" s="127">
        <v>17545</v>
      </c>
      <c r="U434" s="127">
        <v>26</v>
      </c>
      <c r="V434" s="127">
        <f>O434-T434-U434+V413</f>
        <v>35779</v>
      </c>
      <c r="W434" s="46"/>
      <c r="X434" s="67"/>
    </row>
    <row r="435" spans="1:25" ht="15" customHeight="1">
      <c r="A435" s="427"/>
      <c r="B435" s="442" t="s">
        <v>45</v>
      </c>
      <c r="C435" s="448" t="s">
        <v>59</v>
      </c>
      <c r="D435" s="118" t="s">
        <v>75</v>
      </c>
      <c r="E435" s="131" t="s">
        <v>25</v>
      </c>
      <c r="F435" s="131" t="s">
        <v>57</v>
      </c>
      <c r="G435" s="87"/>
      <c r="H435" s="136"/>
      <c r="I435" s="126"/>
      <c r="J435" s="2"/>
      <c r="K435" s="127">
        <v>20000</v>
      </c>
      <c r="L435" s="18">
        <v>4</v>
      </c>
      <c r="M435" s="18">
        <v>35000</v>
      </c>
      <c r="N435" s="80">
        <v>7</v>
      </c>
      <c r="O435" s="126">
        <f>Mar!CX276</f>
        <v>3016</v>
      </c>
      <c r="P435" s="126">
        <f>Mar!CY276</f>
        <v>3264</v>
      </c>
      <c r="Q435" s="2">
        <f>Mar!CW276</f>
        <v>14</v>
      </c>
      <c r="R435" s="436"/>
      <c r="S435" s="436"/>
      <c r="T435" s="18"/>
      <c r="U435" s="18"/>
      <c r="V435" s="127">
        <f>O435-T435-U435+V414</f>
        <v>94065</v>
      </c>
      <c r="W435" s="46"/>
      <c r="Y435" s="13"/>
    </row>
    <row r="436" spans="1:25">
      <c r="A436" s="427"/>
      <c r="B436" s="439"/>
      <c r="C436" s="440"/>
      <c r="D436" s="118" t="s">
        <v>72</v>
      </c>
      <c r="E436" s="424" t="s">
        <v>24</v>
      </c>
      <c r="F436" s="131" t="s">
        <v>57</v>
      </c>
      <c r="G436" s="87">
        <v>1941.25</v>
      </c>
      <c r="H436" s="136"/>
      <c r="I436" s="126"/>
      <c r="J436" s="126"/>
      <c r="K436" s="127"/>
      <c r="L436" s="18"/>
      <c r="M436" s="18">
        <v>30000</v>
      </c>
      <c r="N436" s="80">
        <v>6</v>
      </c>
      <c r="O436" s="126">
        <f>Mar!CX277</f>
        <v>9596</v>
      </c>
      <c r="P436" s="126">
        <f>Mar!CY277</f>
        <v>6086</v>
      </c>
      <c r="Q436" s="2">
        <f>Mar!CW277</f>
        <v>25</v>
      </c>
      <c r="R436" s="436"/>
      <c r="S436" s="436"/>
      <c r="T436" s="18"/>
      <c r="U436" s="18"/>
      <c r="V436" s="127">
        <f>O436-T436-U436+V416</f>
        <v>12938</v>
      </c>
      <c r="W436" s="46"/>
      <c r="Y436" s="13"/>
    </row>
    <row r="437" spans="1:25">
      <c r="A437" s="427"/>
      <c r="B437" s="439"/>
      <c r="C437" s="440"/>
      <c r="D437" s="115" t="s">
        <v>73</v>
      </c>
      <c r="E437" s="425"/>
      <c r="F437" s="131"/>
      <c r="G437" s="136"/>
      <c r="H437" s="152">
        <v>1980</v>
      </c>
      <c r="I437" s="126"/>
      <c r="J437" s="126"/>
      <c r="K437" s="127"/>
      <c r="L437" s="18"/>
      <c r="M437" s="18"/>
      <c r="N437" s="80"/>
      <c r="O437" s="126"/>
      <c r="P437" s="126"/>
      <c r="Q437" s="2"/>
      <c r="R437" s="436"/>
      <c r="S437" s="436"/>
      <c r="T437" s="18"/>
      <c r="U437" s="18"/>
      <c r="V437" s="127"/>
      <c r="W437" s="46"/>
      <c r="Y437" s="13"/>
    </row>
    <row r="438" spans="1:25">
      <c r="A438" s="427"/>
      <c r="B438" s="439"/>
      <c r="C438" s="440"/>
      <c r="D438" s="115" t="s">
        <v>79</v>
      </c>
      <c r="E438" s="118" t="s">
        <v>65</v>
      </c>
      <c r="F438" s="131" t="s">
        <v>57</v>
      </c>
      <c r="G438" s="224"/>
      <c r="H438" s="152"/>
      <c r="I438" s="126"/>
      <c r="J438" s="126"/>
      <c r="K438" s="127"/>
      <c r="L438" s="18"/>
      <c r="M438" s="18"/>
      <c r="N438" s="80"/>
      <c r="O438" s="126">
        <f>Mar!CX278</f>
        <v>1668</v>
      </c>
      <c r="P438" s="126">
        <f>Mar!CY278</f>
        <v>440</v>
      </c>
      <c r="Q438" s="126">
        <f>Mar!CW278</f>
        <v>3</v>
      </c>
      <c r="R438" s="436"/>
      <c r="S438" s="436"/>
      <c r="T438" s="18">
        <v>6625</v>
      </c>
      <c r="U438" s="18"/>
      <c r="V438" s="127">
        <f>O438-T438-U438+V417</f>
        <v>1681</v>
      </c>
      <c r="W438" s="46"/>
      <c r="Y438" s="13"/>
    </row>
    <row r="439" spans="1:25" ht="14.25" customHeight="1">
      <c r="A439" s="427"/>
      <c r="B439" s="137" t="s">
        <v>53</v>
      </c>
      <c r="C439" s="157" t="s">
        <v>60</v>
      </c>
      <c r="D439" s="43" t="s">
        <v>130</v>
      </c>
      <c r="E439" s="115" t="s">
        <v>66</v>
      </c>
      <c r="F439" s="118" t="s">
        <v>54</v>
      </c>
      <c r="G439" s="229">
        <v>2558.94</v>
      </c>
      <c r="H439" s="37"/>
      <c r="I439" s="126"/>
      <c r="J439" s="126"/>
      <c r="K439" s="18"/>
      <c r="L439" s="18"/>
      <c r="M439" s="18">
        <v>84000</v>
      </c>
      <c r="N439" s="80">
        <v>14</v>
      </c>
      <c r="O439" s="126">
        <f>Mar!CX275</f>
        <v>5930</v>
      </c>
      <c r="P439" s="126">
        <f>Mar!CY275</f>
        <v>8076</v>
      </c>
      <c r="Q439" s="126">
        <f>Mar!CW275</f>
        <v>24</v>
      </c>
      <c r="R439" s="436"/>
      <c r="S439" s="436"/>
      <c r="T439" s="18">
        <v>6352</v>
      </c>
      <c r="U439" s="18"/>
      <c r="V439" s="127">
        <f>O439-T439-U439+V418</f>
        <v>6740</v>
      </c>
      <c r="W439" s="45"/>
      <c r="X439" s="36"/>
    </row>
    <row r="440" spans="1:25" ht="14.25" customHeight="1">
      <c r="A440" s="427"/>
      <c r="B440" s="122" t="s">
        <v>55</v>
      </c>
      <c r="C440" s="180" t="s">
        <v>133</v>
      </c>
      <c r="D440" s="48" t="s">
        <v>56</v>
      </c>
      <c r="E440" s="424" t="s">
        <v>25</v>
      </c>
      <c r="F440" s="118" t="s">
        <v>67</v>
      </c>
      <c r="G440" s="224"/>
      <c r="H440" s="37"/>
      <c r="I440" s="126"/>
      <c r="J440" s="126"/>
      <c r="K440" s="18"/>
      <c r="L440" s="18"/>
      <c r="M440" s="18">
        <v>2800</v>
      </c>
      <c r="N440" s="80">
        <v>1</v>
      </c>
      <c r="O440" s="126"/>
      <c r="P440" s="126"/>
      <c r="Q440" s="126"/>
      <c r="R440" s="436"/>
      <c r="S440" s="436"/>
      <c r="T440" s="18"/>
      <c r="U440" s="18"/>
      <c r="V440" s="127">
        <f t="shared" ref="V440:V446" si="20">O440-T440-U440+V420</f>
        <v>1453</v>
      </c>
      <c r="W440" s="45"/>
      <c r="X440" s="67"/>
    </row>
    <row r="441" spans="1:25" ht="14.25" customHeight="1">
      <c r="A441" s="427"/>
      <c r="B441" s="122" t="s">
        <v>122</v>
      </c>
      <c r="C441" s="180" t="s">
        <v>123</v>
      </c>
      <c r="D441" s="48" t="s">
        <v>56</v>
      </c>
      <c r="E441" s="441"/>
      <c r="F441" s="155" t="s">
        <v>64</v>
      </c>
      <c r="G441" s="224"/>
      <c r="H441" s="135"/>
      <c r="I441" s="158"/>
      <c r="J441" s="158"/>
      <c r="K441" s="128"/>
      <c r="L441" s="128"/>
      <c r="M441" s="128">
        <v>6400</v>
      </c>
      <c r="N441" s="164">
        <v>2</v>
      </c>
      <c r="O441" s="158"/>
      <c r="P441" s="158"/>
      <c r="Q441" s="158">
        <f>Mar!CW282</f>
        <v>1</v>
      </c>
      <c r="R441" s="436"/>
      <c r="S441" s="436"/>
      <c r="T441" s="18"/>
      <c r="U441" s="18"/>
      <c r="V441" s="127">
        <f t="shared" si="20"/>
        <v>31304</v>
      </c>
      <c r="W441" s="45"/>
      <c r="X441" s="67"/>
    </row>
    <row r="442" spans="1:25" ht="15.75" customHeight="1">
      <c r="A442" s="427"/>
      <c r="B442" s="137" t="s">
        <v>58</v>
      </c>
      <c r="C442" s="157" t="s">
        <v>243</v>
      </c>
      <c r="D442" s="48" t="s">
        <v>56</v>
      </c>
      <c r="E442" s="441"/>
      <c r="F442" s="118" t="s">
        <v>64</v>
      </c>
      <c r="G442" s="226"/>
      <c r="H442" s="126"/>
      <c r="I442" s="126"/>
      <c r="J442" s="2"/>
      <c r="K442" s="18"/>
      <c r="L442" s="18"/>
      <c r="M442" s="18"/>
      <c r="N442" s="18"/>
      <c r="O442" s="126"/>
      <c r="P442" s="126"/>
      <c r="Q442" s="126">
        <f>Mar!CW283</f>
        <v>1</v>
      </c>
      <c r="R442" s="436"/>
      <c r="S442" s="436"/>
      <c r="T442" s="18"/>
      <c r="U442" s="18"/>
      <c r="V442" s="127">
        <f t="shared" si="20"/>
        <v>8562</v>
      </c>
      <c r="W442" s="45"/>
      <c r="X442" s="67"/>
    </row>
    <row r="443" spans="1:25" ht="15" customHeight="1">
      <c r="A443" s="427"/>
      <c r="B443" s="122" t="s">
        <v>61</v>
      </c>
      <c r="C443" s="180" t="s">
        <v>137</v>
      </c>
      <c r="D443" s="48" t="s">
        <v>56</v>
      </c>
      <c r="E443" s="441"/>
      <c r="F443" s="118" t="s">
        <v>67</v>
      </c>
      <c r="G443" s="119"/>
      <c r="H443" s="126"/>
      <c r="I443" s="126"/>
      <c r="J443" s="2"/>
      <c r="K443" s="18"/>
      <c r="L443" s="18"/>
      <c r="M443" s="18"/>
      <c r="N443" s="18"/>
      <c r="O443" s="126"/>
      <c r="P443" s="126"/>
      <c r="Q443" s="126">
        <f>Mar!CW284</f>
        <v>1</v>
      </c>
      <c r="R443" s="436"/>
      <c r="S443" s="436"/>
      <c r="T443" s="18"/>
      <c r="U443" s="18"/>
      <c r="V443" s="127">
        <f t="shared" si="20"/>
        <v>5844</v>
      </c>
      <c r="W443" s="45"/>
      <c r="X443" s="67"/>
    </row>
    <row r="444" spans="1:25" ht="14.25" customHeight="1">
      <c r="A444" s="427"/>
      <c r="B444" s="122" t="s">
        <v>125</v>
      </c>
      <c r="C444" s="180" t="s">
        <v>88</v>
      </c>
      <c r="D444" s="48" t="s">
        <v>124</v>
      </c>
      <c r="E444" s="441"/>
      <c r="F444" s="118" t="s">
        <v>64</v>
      </c>
      <c r="G444" s="225"/>
      <c r="H444" s="126"/>
      <c r="I444" s="126"/>
      <c r="J444" s="126"/>
      <c r="K444" s="18"/>
      <c r="L444" s="18"/>
      <c r="M444" s="18">
        <v>51200</v>
      </c>
      <c r="N444" s="80">
        <v>7</v>
      </c>
      <c r="O444" s="126"/>
      <c r="P444" s="126"/>
      <c r="Q444" s="126"/>
      <c r="R444" s="436"/>
      <c r="S444" s="436"/>
      <c r="T444" s="18"/>
      <c r="U444" s="18"/>
      <c r="V444" s="127">
        <f t="shared" si="20"/>
        <v>23615</v>
      </c>
      <c r="W444" s="45"/>
      <c r="X444" s="67"/>
    </row>
    <row r="445" spans="1:25" ht="15" customHeight="1">
      <c r="A445" s="427"/>
      <c r="B445" s="137" t="s">
        <v>47</v>
      </c>
      <c r="C445" s="157" t="s">
        <v>100</v>
      </c>
      <c r="D445" s="48" t="s">
        <v>99</v>
      </c>
      <c r="E445" s="441"/>
      <c r="F445" s="118" t="s">
        <v>71</v>
      </c>
      <c r="G445" s="226"/>
      <c r="H445" s="126"/>
      <c r="I445" s="126"/>
      <c r="J445" s="2"/>
      <c r="K445" s="18"/>
      <c r="L445" s="18"/>
      <c r="M445" s="18">
        <v>18000</v>
      </c>
      <c r="N445" s="18">
        <v>3</v>
      </c>
      <c r="O445" s="126"/>
      <c r="P445" s="126"/>
      <c r="Q445" s="126"/>
      <c r="R445" s="436"/>
      <c r="S445" s="436"/>
      <c r="T445" s="18">
        <v>6834</v>
      </c>
      <c r="U445" s="18">
        <v>3</v>
      </c>
      <c r="V445" s="127">
        <f t="shared" si="20"/>
        <v>63278</v>
      </c>
      <c r="W445" s="45"/>
      <c r="X445" s="67"/>
    </row>
    <row r="446" spans="1:25" ht="15" customHeight="1">
      <c r="A446" s="427"/>
      <c r="B446" s="122" t="s">
        <v>196</v>
      </c>
      <c r="C446" s="180" t="s">
        <v>63</v>
      </c>
      <c r="D446" s="48" t="s">
        <v>135</v>
      </c>
      <c r="E446" s="441"/>
      <c r="F446" s="118" t="s">
        <v>64</v>
      </c>
      <c r="G446" s="226"/>
      <c r="H446" s="126"/>
      <c r="I446" s="126"/>
      <c r="J446" s="2"/>
      <c r="K446" s="18"/>
      <c r="L446" s="18"/>
      <c r="M446" s="18">
        <v>33200</v>
      </c>
      <c r="N446" s="18">
        <v>4</v>
      </c>
      <c r="O446" s="126"/>
      <c r="P446" s="126"/>
      <c r="Q446" s="126"/>
      <c r="R446" s="436"/>
      <c r="S446" s="436"/>
      <c r="T446" s="18"/>
      <c r="U446" s="18"/>
      <c r="V446" s="127">
        <f t="shared" si="20"/>
        <v>15106</v>
      </c>
      <c r="W446" s="45"/>
      <c r="X446" s="67"/>
    </row>
    <row r="447" spans="1:25" ht="15" customHeight="1">
      <c r="A447" s="427"/>
      <c r="B447" s="122" t="s">
        <v>253</v>
      </c>
      <c r="C447" s="180" t="s">
        <v>252</v>
      </c>
      <c r="D447" s="48" t="s">
        <v>246</v>
      </c>
      <c r="E447" s="441"/>
      <c r="F447" s="118" t="s">
        <v>247</v>
      </c>
      <c r="G447" s="226"/>
      <c r="H447" s="126"/>
      <c r="I447" s="126"/>
      <c r="J447" s="2"/>
      <c r="K447" s="18"/>
      <c r="L447" s="18"/>
      <c r="M447" s="18"/>
      <c r="N447" s="18"/>
      <c r="O447" s="126"/>
      <c r="P447" s="126"/>
      <c r="Q447" s="126">
        <f>Mar!CW285</f>
        <v>1</v>
      </c>
      <c r="R447" s="436"/>
      <c r="S447" s="436"/>
      <c r="T447" s="18"/>
      <c r="U447" s="18"/>
      <c r="V447" s="127">
        <f>O447-T447-U447+V427</f>
        <v>503</v>
      </c>
      <c r="W447" s="45"/>
      <c r="X447" s="67"/>
    </row>
    <row r="448" spans="1:25" ht="15" customHeight="1">
      <c r="A448" s="427"/>
      <c r="B448" s="122" t="s">
        <v>131</v>
      </c>
      <c r="C448" s="180" t="s">
        <v>194</v>
      </c>
      <c r="D448" s="48" t="s">
        <v>132</v>
      </c>
      <c r="E448" s="441"/>
      <c r="F448" s="118" t="s">
        <v>64</v>
      </c>
      <c r="G448" s="119"/>
      <c r="H448" s="126"/>
      <c r="I448" s="126"/>
      <c r="J448" s="2"/>
      <c r="K448" s="18"/>
      <c r="L448" s="18"/>
      <c r="M448" s="18"/>
      <c r="N448" s="18"/>
      <c r="O448" s="126"/>
      <c r="P448" s="126"/>
      <c r="Q448" s="126">
        <f>Mar!CW287</f>
        <v>1</v>
      </c>
      <c r="R448" s="436"/>
      <c r="S448" s="436"/>
      <c r="T448" s="18"/>
      <c r="U448" s="18"/>
      <c r="V448" s="18"/>
      <c r="W448" s="45"/>
      <c r="X448" s="67"/>
    </row>
    <row r="449" spans="1:25" ht="15" customHeight="1">
      <c r="A449" s="427"/>
      <c r="B449" s="122" t="s">
        <v>101</v>
      </c>
      <c r="C449" s="180" t="s">
        <v>193</v>
      </c>
      <c r="D449" s="48" t="s">
        <v>102</v>
      </c>
      <c r="E449" s="441"/>
      <c r="F449" s="118" t="s">
        <v>64</v>
      </c>
      <c r="G449" s="119"/>
      <c r="H449" s="126"/>
      <c r="I449" s="126"/>
      <c r="J449" s="2"/>
      <c r="K449" s="18"/>
      <c r="L449" s="18"/>
      <c r="M449" s="18"/>
      <c r="N449" s="18"/>
      <c r="O449" s="126"/>
      <c r="P449" s="126"/>
      <c r="Q449" s="126">
        <f>Mar!CW288</f>
        <v>1</v>
      </c>
      <c r="R449" s="436"/>
      <c r="S449" s="436"/>
      <c r="T449" s="18"/>
      <c r="U449" s="18"/>
      <c r="V449" s="18"/>
      <c r="W449" s="45"/>
      <c r="X449" s="67"/>
    </row>
    <row r="450" spans="1:25" ht="15" customHeight="1">
      <c r="A450" s="427"/>
      <c r="B450" s="122" t="s">
        <v>103</v>
      </c>
      <c r="C450" s="157" t="s">
        <v>197</v>
      </c>
      <c r="D450" s="48" t="s">
        <v>104</v>
      </c>
      <c r="E450" s="441"/>
      <c r="F450" s="118" t="s">
        <v>105</v>
      </c>
      <c r="G450" s="119"/>
      <c r="H450" s="126"/>
      <c r="I450" s="126"/>
      <c r="J450" s="2"/>
      <c r="K450" s="18"/>
      <c r="L450" s="18"/>
      <c r="M450" s="18"/>
      <c r="N450" s="18"/>
      <c r="O450" s="126"/>
      <c r="P450" s="126"/>
      <c r="Q450" s="126">
        <f>Mar!CW289</f>
        <v>1</v>
      </c>
      <c r="R450" s="436"/>
      <c r="S450" s="436"/>
      <c r="T450" s="18"/>
      <c r="U450" s="18"/>
      <c r="V450" s="18"/>
      <c r="W450" s="45"/>
      <c r="X450" s="67"/>
    </row>
    <row r="451" spans="1:25" ht="15" customHeight="1">
      <c r="A451" s="427"/>
      <c r="B451" s="137" t="s">
        <v>112</v>
      </c>
      <c r="C451" s="157" t="s">
        <v>197</v>
      </c>
      <c r="D451" s="48" t="s">
        <v>104</v>
      </c>
      <c r="E451" s="441"/>
      <c r="F451" s="118" t="s">
        <v>113</v>
      </c>
      <c r="G451" s="119"/>
      <c r="H451" s="126"/>
      <c r="I451" s="126"/>
      <c r="J451" s="2"/>
      <c r="K451" s="18"/>
      <c r="L451" s="18"/>
      <c r="M451" s="18"/>
      <c r="N451" s="18"/>
      <c r="O451" s="126"/>
      <c r="P451" s="126"/>
      <c r="Q451" s="126">
        <f>Mar!CW292</f>
        <v>1</v>
      </c>
      <c r="R451" s="436"/>
      <c r="S451" s="436"/>
      <c r="T451" s="18"/>
      <c r="U451" s="18"/>
      <c r="V451" s="18"/>
      <c r="W451" s="45"/>
      <c r="X451" s="67"/>
    </row>
    <row r="452" spans="1:25" ht="15" customHeight="1" thickBot="1">
      <c r="A452" s="428"/>
      <c r="B452" s="44" t="s">
        <v>107</v>
      </c>
      <c r="C452" s="181" t="s">
        <v>195</v>
      </c>
      <c r="D452" s="61" t="s">
        <v>108</v>
      </c>
      <c r="E452" s="447"/>
      <c r="F452" s="133" t="s">
        <v>48</v>
      </c>
      <c r="G452" s="132"/>
      <c r="H452" s="109"/>
      <c r="I452" s="134"/>
      <c r="J452" s="129"/>
      <c r="K452" s="130"/>
      <c r="L452" s="130"/>
      <c r="M452" s="130"/>
      <c r="N452" s="130"/>
      <c r="O452" s="134"/>
      <c r="P452" s="134"/>
      <c r="Q452" s="134">
        <f>Mar!CW291</f>
        <v>1</v>
      </c>
      <c r="R452" s="437"/>
      <c r="S452" s="437"/>
      <c r="T452" s="130"/>
      <c r="U452" s="130"/>
      <c r="V452" s="128"/>
      <c r="W452" s="85"/>
      <c r="X452" s="67"/>
    </row>
    <row r="453" spans="1:25" ht="15" customHeight="1">
      <c r="A453" s="426">
        <v>46107</v>
      </c>
      <c r="B453" s="429" t="s">
        <v>44</v>
      </c>
      <c r="C453" s="432" t="s">
        <v>240</v>
      </c>
      <c r="D453" s="19" t="s">
        <v>37</v>
      </c>
      <c r="E453" s="19" t="s">
        <v>25</v>
      </c>
      <c r="F453" s="39" t="s">
        <v>40</v>
      </c>
      <c r="G453" s="41"/>
      <c r="H453" s="32">
        <v>3456</v>
      </c>
      <c r="I453" s="32"/>
      <c r="J453" s="32"/>
      <c r="K453" s="20">
        <v>104000</v>
      </c>
      <c r="L453" s="20">
        <v>13</v>
      </c>
      <c r="M453" s="20">
        <v>184000</v>
      </c>
      <c r="N453" s="84">
        <v>23</v>
      </c>
      <c r="O453" s="32">
        <f>Mar!DA273</f>
        <v>30915</v>
      </c>
      <c r="P453" s="32">
        <f>Mar!DB273</f>
        <v>34339</v>
      </c>
      <c r="Q453" s="32">
        <f>Mar!CZ273</f>
        <v>94</v>
      </c>
      <c r="R453" s="435">
        <f>Mar!DA294</f>
        <v>61455</v>
      </c>
      <c r="S453" s="435">
        <f>Mar!DB294</f>
        <v>71017</v>
      </c>
      <c r="T453" s="20">
        <v>35388</v>
      </c>
      <c r="U453" s="20"/>
      <c r="V453" s="20">
        <f>O453-T453-U453+V433</f>
        <v>55706</v>
      </c>
      <c r="W453" s="77"/>
      <c r="X453" s="36"/>
    </row>
    <row r="454" spans="1:25" ht="15" customHeight="1">
      <c r="A454" s="427"/>
      <c r="B454" s="431"/>
      <c r="C454" s="434"/>
      <c r="D454" s="113" t="s">
        <v>128</v>
      </c>
      <c r="E454" s="113" t="s">
        <v>24</v>
      </c>
      <c r="F454" s="114" t="s">
        <v>40</v>
      </c>
      <c r="G454" s="170"/>
      <c r="H454" s="158">
        <v>2430</v>
      </c>
      <c r="I454" s="125"/>
      <c r="J454" s="125"/>
      <c r="K454" s="18"/>
      <c r="L454" s="127"/>
      <c r="M454" s="216">
        <v>135400</v>
      </c>
      <c r="N454" s="238">
        <v>17</v>
      </c>
      <c r="O454" s="126">
        <f>Mar!DA274</f>
        <v>13957</v>
      </c>
      <c r="P454" s="125">
        <f>Mar!DB274</f>
        <v>19134</v>
      </c>
      <c r="Q454" s="125">
        <f>Mar!CZ274</f>
        <v>56</v>
      </c>
      <c r="R454" s="436"/>
      <c r="S454" s="436"/>
      <c r="T454" s="127">
        <v>35679</v>
      </c>
      <c r="U454" s="127">
        <v>12</v>
      </c>
      <c r="V454" s="127">
        <f>O454-T454-U454+V434</f>
        <v>14045</v>
      </c>
      <c r="W454" s="46"/>
      <c r="X454" s="67"/>
    </row>
    <row r="455" spans="1:25" ht="15" customHeight="1">
      <c r="A455" s="427"/>
      <c r="B455" s="442" t="s">
        <v>45</v>
      </c>
      <c r="C455" s="448" t="s">
        <v>59</v>
      </c>
      <c r="D455" s="118" t="s">
        <v>75</v>
      </c>
      <c r="E455" s="131" t="s">
        <v>25</v>
      </c>
      <c r="F455" s="131" t="s">
        <v>57</v>
      </c>
      <c r="G455" s="87"/>
      <c r="H455" s="136"/>
      <c r="I455" s="126"/>
      <c r="J455" s="2"/>
      <c r="K455" s="127">
        <v>15000</v>
      </c>
      <c r="L455" s="18">
        <v>3</v>
      </c>
      <c r="M455" s="211">
        <v>20000</v>
      </c>
      <c r="N455" s="215">
        <v>4</v>
      </c>
      <c r="O455" s="126">
        <f>Mar!DA276</f>
        <v>1689</v>
      </c>
      <c r="P455" s="126">
        <f>Mar!DB276</f>
        <v>3829</v>
      </c>
      <c r="Q455" s="2">
        <f>Mar!CZ276</f>
        <v>16</v>
      </c>
      <c r="R455" s="436"/>
      <c r="S455" s="436"/>
      <c r="T455" s="18"/>
      <c r="U455" s="18"/>
      <c r="V455" s="127">
        <f>O455-T455-U455+V435</f>
        <v>95754</v>
      </c>
      <c r="W455" s="46"/>
      <c r="Y455" s="13"/>
    </row>
    <row r="456" spans="1:25">
      <c r="A456" s="427"/>
      <c r="B456" s="439"/>
      <c r="C456" s="440"/>
      <c r="D456" s="118" t="s">
        <v>72</v>
      </c>
      <c r="E456" s="155" t="s">
        <v>24</v>
      </c>
      <c r="F456" s="131" t="s">
        <v>57</v>
      </c>
      <c r="G456" s="87">
        <v>2717.75</v>
      </c>
      <c r="H456" s="136"/>
      <c r="I456" s="126"/>
      <c r="J456" s="126"/>
      <c r="K456" s="127"/>
      <c r="L456" s="18"/>
      <c r="M456" s="211">
        <v>65000</v>
      </c>
      <c r="N456" s="215">
        <v>13</v>
      </c>
      <c r="O456" s="126">
        <f>Mar!DA277</f>
        <v>8464</v>
      </c>
      <c r="P456" s="126">
        <f>Mar!DB277</f>
        <v>5644</v>
      </c>
      <c r="Q456" s="2">
        <f>Mar!CZ277</f>
        <v>25</v>
      </c>
      <c r="R456" s="436"/>
      <c r="S456" s="436"/>
      <c r="T456" s="18">
        <v>12535</v>
      </c>
      <c r="U456" s="18">
        <v>45</v>
      </c>
      <c r="V456" s="127">
        <f>O456-T456-U456+V436</f>
        <v>8822</v>
      </c>
      <c r="W456" s="46"/>
      <c r="Y456" s="13"/>
    </row>
    <row r="457" spans="1:25">
      <c r="A457" s="427"/>
      <c r="B457" s="439"/>
      <c r="C457" s="440"/>
      <c r="D457" s="115" t="s">
        <v>79</v>
      </c>
      <c r="E457" s="118" t="s">
        <v>65</v>
      </c>
      <c r="F457" s="131" t="s">
        <v>57</v>
      </c>
      <c r="G457" s="224"/>
      <c r="H457" s="152"/>
      <c r="I457" s="126"/>
      <c r="J457" s="126"/>
      <c r="K457" s="127"/>
      <c r="L457" s="18"/>
      <c r="M457" s="211"/>
      <c r="N457" s="215"/>
      <c r="O457" s="126"/>
      <c r="P457" s="126">
        <f>Mar!DB278</f>
        <v>233</v>
      </c>
      <c r="Q457" s="126">
        <f>Mar!CZ278</f>
        <v>1</v>
      </c>
      <c r="R457" s="436"/>
      <c r="S457" s="436"/>
      <c r="T457" s="18"/>
      <c r="U457" s="18"/>
      <c r="V457" s="127">
        <f>O457-T457-U457+V438</f>
        <v>1681</v>
      </c>
      <c r="W457" s="46"/>
      <c r="Y457" s="13"/>
    </row>
    <row r="458" spans="1:25" ht="14.25" customHeight="1">
      <c r="A458" s="427"/>
      <c r="B458" s="442" t="s">
        <v>53</v>
      </c>
      <c r="C458" s="444" t="s">
        <v>60</v>
      </c>
      <c r="D458" s="43" t="s">
        <v>130</v>
      </c>
      <c r="E458" s="115" t="s">
        <v>66</v>
      </c>
      <c r="F458" s="118" t="s">
        <v>54</v>
      </c>
      <c r="G458" s="224"/>
      <c r="H458" s="37"/>
      <c r="I458" s="126"/>
      <c r="J458" s="126"/>
      <c r="K458" s="18">
        <v>6000</v>
      </c>
      <c r="L458" s="18">
        <v>1</v>
      </c>
      <c r="M458" s="18">
        <v>78000</v>
      </c>
      <c r="N458" s="80">
        <v>13</v>
      </c>
      <c r="O458" s="126">
        <f>Mar!DA275</f>
        <v>6430</v>
      </c>
      <c r="P458" s="126">
        <f>Mar!DB275</f>
        <v>7760</v>
      </c>
      <c r="Q458" s="126">
        <f>Mar!CZ275</f>
        <v>24</v>
      </c>
      <c r="R458" s="436"/>
      <c r="S458" s="436"/>
      <c r="T458" s="18">
        <v>6760</v>
      </c>
      <c r="U458" s="18"/>
      <c r="V458" s="127">
        <f>O458-T458-U458+V439</f>
        <v>6410</v>
      </c>
      <c r="W458" s="45"/>
      <c r="X458" s="36"/>
    </row>
    <row r="459" spans="1:25" ht="14.25" customHeight="1">
      <c r="A459" s="427"/>
      <c r="B459" s="443"/>
      <c r="C459" s="446"/>
      <c r="D459" s="43" t="s">
        <v>96</v>
      </c>
      <c r="E459" s="114" t="s">
        <v>25</v>
      </c>
      <c r="F459" s="118"/>
      <c r="G459" s="224"/>
      <c r="H459" s="126">
        <v>612</v>
      </c>
      <c r="I459" s="126"/>
      <c r="J459" s="126"/>
      <c r="K459" s="18"/>
      <c r="L459" s="18"/>
      <c r="M459" s="18"/>
      <c r="N459" s="80"/>
      <c r="O459" s="126"/>
      <c r="P459" s="126"/>
      <c r="Q459" s="126"/>
      <c r="R459" s="436"/>
      <c r="S459" s="436"/>
      <c r="T459" s="18"/>
      <c r="U459" s="18"/>
      <c r="V459" s="127"/>
      <c r="W459" s="45"/>
      <c r="X459" s="67"/>
    </row>
    <row r="460" spans="1:25" ht="14.25" customHeight="1">
      <c r="A460" s="427"/>
      <c r="B460" s="122" t="s">
        <v>55</v>
      </c>
      <c r="C460" s="180" t="s">
        <v>133</v>
      </c>
      <c r="D460" s="48" t="s">
        <v>56</v>
      </c>
      <c r="E460" s="424" t="s">
        <v>25</v>
      </c>
      <c r="F460" s="118" t="s">
        <v>67</v>
      </c>
      <c r="G460" s="224"/>
      <c r="H460" s="37"/>
      <c r="I460" s="126"/>
      <c r="J460" s="126"/>
      <c r="K460" s="18"/>
      <c r="L460" s="18"/>
      <c r="M460" s="18">
        <v>2800</v>
      </c>
      <c r="N460" s="80">
        <v>1</v>
      </c>
      <c r="O460" s="126"/>
      <c r="P460" s="126"/>
      <c r="Q460" s="126"/>
      <c r="R460" s="436"/>
      <c r="S460" s="436"/>
      <c r="T460" s="18">
        <v>953</v>
      </c>
      <c r="U460" s="18"/>
      <c r="V460" s="127">
        <f t="shared" ref="V460:V466" si="21">O460-T460-U460+V440</f>
        <v>500</v>
      </c>
      <c r="W460" s="45"/>
      <c r="X460" s="67"/>
    </row>
    <row r="461" spans="1:25" ht="14.25" customHeight="1">
      <c r="A461" s="427"/>
      <c r="B461" s="122" t="s">
        <v>122</v>
      </c>
      <c r="C461" s="180" t="s">
        <v>123</v>
      </c>
      <c r="D461" s="48" t="s">
        <v>56</v>
      </c>
      <c r="E461" s="441"/>
      <c r="F461" s="155" t="s">
        <v>64</v>
      </c>
      <c r="G461" s="224"/>
      <c r="H461" s="135"/>
      <c r="I461" s="158"/>
      <c r="J461" s="158"/>
      <c r="K461" s="128"/>
      <c r="L461" s="128"/>
      <c r="M461" s="128">
        <v>6400</v>
      </c>
      <c r="N461" s="164">
        <v>2</v>
      </c>
      <c r="O461" s="158"/>
      <c r="P461" s="158"/>
      <c r="Q461" s="158">
        <f>Mar!CZ282</f>
        <v>1</v>
      </c>
      <c r="R461" s="436"/>
      <c r="S461" s="436"/>
      <c r="T461" s="18"/>
      <c r="U461" s="18"/>
      <c r="V461" s="127">
        <f t="shared" si="21"/>
        <v>31304</v>
      </c>
      <c r="W461" s="45"/>
      <c r="X461" s="67"/>
    </row>
    <row r="462" spans="1:25" ht="15.75" customHeight="1">
      <c r="A462" s="427"/>
      <c r="B462" s="137" t="s">
        <v>58</v>
      </c>
      <c r="C462" s="157" t="s">
        <v>243</v>
      </c>
      <c r="D462" s="48" t="s">
        <v>56</v>
      </c>
      <c r="E462" s="441"/>
      <c r="F462" s="118" t="s">
        <v>64</v>
      </c>
      <c r="G462" s="226"/>
      <c r="H462" s="126"/>
      <c r="I462" s="126"/>
      <c r="J462" s="2"/>
      <c r="K462" s="18"/>
      <c r="L462" s="18"/>
      <c r="M462" s="18"/>
      <c r="N462" s="18"/>
      <c r="O462" s="126"/>
      <c r="P462" s="126"/>
      <c r="Q462" s="126">
        <f>Mar!CZ283</f>
        <v>1</v>
      </c>
      <c r="R462" s="436"/>
      <c r="S462" s="436"/>
      <c r="T462" s="18"/>
      <c r="U462" s="18"/>
      <c r="V462" s="127">
        <f t="shared" si="21"/>
        <v>8562</v>
      </c>
      <c r="W462" s="45"/>
      <c r="X462" s="67"/>
    </row>
    <row r="463" spans="1:25" ht="15" customHeight="1">
      <c r="A463" s="427"/>
      <c r="B463" s="122" t="s">
        <v>61</v>
      </c>
      <c r="C463" s="180" t="s">
        <v>137</v>
      </c>
      <c r="D463" s="48" t="s">
        <v>56</v>
      </c>
      <c r="E463" s="441"/>
      <c r="F463" s="118" t="s">
        <v>67</v>
      </c>
      <c r="G463" s="119"/>
      <c r="H463" s="126"/>
      <c r="I463" s="126"/>
      <c r="J463" s="2"/>
      <c r="K463" s="18"/>
      <c r="L463" s="18"/>
      <c r="M463" s="18"/>
      <c r="N463" s="18"/>
      <c r="O463" s="126"/>
      <c r="P463" s="126"/>
      <c r="Q463" s="126">
        <f>Mar!CZ284</f>
        <v>1</v>
      </c>
      <c r="R463" s="436"/>
      <c r="S463" s="436"/>
      <c r="T463" s="18"/>
      <c r="U463" s="18"/>
      <c r="V463" s="127">
        <f t="shared" si="21"/>
        <v>5844</v>
      </c>
      <c r="W463" s="45"/>
      <c r="X463" s="67"/>
    </row>
    <row r="464" spans="1:25" ht="14.25" customHeight="1">
      <c r="A464" s="427"/>
      <c r="B464" s="122" t="s">
        <v>125</v>
      </c>
      <c r="C464" s="180" t="s">
        <v>88</v>
      </c>
      <c r="D464" s="48" t="s">
        <v>124</v>
      </c>
      <c r="E464" s="441"/>
      <c r="F464" s="118" t="s">
        <v>64</v>
      </c>
      <c r="G464" s="225"/>
      <c r="H464" s="126"/>
      <c r="I464" s="126"/>
      <c r="J464" s="126"/>
      <c r="K464" s="18"/>
      <c r="L464" s="18"/>
      <c r="M464" s="18">
        <v>51200</v>
      </c>
      <c r="N464" s="80">
        <v>7</v>
      </c>
      <c r="O464" s="126"/>
      <c r="P464" s="126"/>
      <c r="Q464" s="126"/>
      <c r="R464" s="436"/>
      <c r="S464" s="436"/>
      <c r="T464" s="18"/>
      <c r="U464" s="18"/>
      <c r="V464" s="127">
        <f t="shared" si="21"/>
        <v>23615</v>
      </c>
      <c r="W464" s="45"/>
      <c r="X464" s="67"/>
    </row>
    <row r="465" spans="1:25" ht="15" customHeight="1">
      <c r="A465" s="427"/>
      <c r="B465" s="137" t="s">
        <v>47</v>
      </c>
      <c r="C465" s="157" t="s">
        <v>100</v>
      </c>
      <c r="D465" s="48" t="s">
        <v>99</v>
      </c>
      <c r="E465" s="441"/>
      <c r="F465" s="118" t="s">
        <v>71</v>
      </c>
      <c r="G465" s="226"/>
      <c r="H465" s="126"/>
      <c r="I465" s="126"/>
      <c r="J465" s="2"/>
      <c r="K465" s="18"/>
      <c r="L465" s="18"/>
      <c r="M465" s="18">
        <v>18000</v>
      </c>
      <c r="N465" s="18">
        <v>3</v>
      </c>
      <c r="O465" s="126"/>
      <c r="P465" s="126"/>
      <c r="Q465" s="126"/>
      <c r="R465" s="436"/>
      <c r="S465" s="436"/>
      <c r="T465" s="18"/>
      <c r="U465" s="18"/>
      <c r="V465" s="127">
        <f t="shared" si="21"/>
        <v>63278</v>
      </c>
      <c r="W465" s="45"/>
      <c r="X465" s="67"/>
    </row>
    <row r="466" spans="1:25" ht="15" customHeight="1">
      <c r="A466" s="427"/>
      <c r="B466" s="122" t="s">
        <v>196</v>
      </c>
      <c r="C466" s="180" t="s">
        <v>63</v>
      </c>
      <c r="D466" s="48" t="s">
        <v>135</v>
      </c>
      <c r="E466" s="441"/>
      <c r="F466" s="118" t="s">
        <v>64</v>
      </c>
      <c r="G466" s="226"/>
      <c r="H466" s="126"/>
      <c r="I466" s="126"/>
      <c r="J466" s="2"/>
      <c r="K466" s="18"/>
      <c r="L466" s="18"/>
      <c r="M466" s="18">
        <v>33200</v>
      </c>
      <c r="N466" s="18">
        <v>4</v>
      </c>
      <c r="O466" s="126"/>
      <c r="P466" s="126"/>
      <c r="Q466" s="126"/>
      <c r="R466" s="436"/>
      <c r="S466" s="436"/>
      <c r="T466" s="18"/>
      <c r="U466" s="18"/>
      <c r="V466" s="127">
        <f t="shared" si="21"/>
        <v>15106</v>
      </c>
      <c r="W466" s="45"/>
      <c r="X466" s="67"/>
    </row>
    <row r="467" spans="1:25" ht="15" customHeight="1">
      <c r="A467" s="427"/>
      <c r="B467" s="122" t="s">
        <v>253</v>
      </c>
      <c r="C467" s="180" t="s">
        <v>252</v>
      </c>
      <c r="D467" s="48" t="s">
        <v>246</v>
      </c>
      <c r="E467" s="441"/>
      <c r="F467" s="118" t="s">
        <v>247</v>
      </c>
      <c r="G467" s="226"/>
      <c r="H467" s="126"/>
      <c r="I467" s="126"/>
      <c r="J467" s="2"/>
      <c r="K467" s="18"/>
      <c r="L467" s="18"/>
      <c r="M467" s="18"/>
      <c r="N467" s="18"/>
      <c r="O467" s="126"/>
      <c r="P467" s="126">
        <f>Mar!DB285</f>
        <v>22</v>
      </c>
      <c r="Q467" s="126">
        <f>Mar!CZ285</f>
        <v>1</v>
      </c>
      <c r="R467" s="436"/>
      <c r="S467" s="436"/>
      <c r="T467" s="18"/>
      <c r="U467" s="18"/>
      <c r="V467" s="127">
        <f>O467-T467-U467+V447</f>
        <v>503</v>
      </c>
      <c r="W467" s="45"/>
      <c r="X467" s="67"/>
    </row>
    <row r="468" spans="1:25" ht="15" customHeight="1">
      <c r="A468" s="427"/>
      <c r="B468" s="122" t="s">
        <v>131</v>
      </c>
      <c r="C468" s="180" t="s">
        <v>194</v>
      </c>
      <c r="D468" s="48" t="s">
        <v>132</v>
      </c>
      <c r="E468" s="441"/>
      <c r="F468" s="118" t="s">
        <v>64</v>
      </c>
      <c r="G468" s="119"/>
      <c r="H468" s="126"/>
      <c r="I468" s="126"/>
      <c r="J468" s="2"/>
      <c r="K468" s="18"/>
      <c r="L468" s="18"/>
      <c r="M468" s="18"/>
      <c r="N468" s="18"/>
      <c r="O468" s="126"/>
      <c r="P468" s="126"/>
      <c r="Q468" s="126">
        <f>Mar!CZ287</f>
        <v>1</v>
      </c>
      <c r="R468" s="436"/>
      <c r="S468" s="436"/>
      <c r="T468" s="18"/>
      <c r="U468" s="18"/>
      <c r="V468" s="18"/>
      <c r="W468" s="45"/>
      <c r="X468" s="67"/>
    </row>
    <row r="469" spans="1:25" ht="15" customHeight="1">
      <c r="A469" s="427"/>
      <c r="B469" s="122" t="s">
        <v>101</v>
      </c>
      <c r="C469" s="180" t="s">
        <v>193</v>
      </c>
      <c r="D469" s="48" t="s">
        <v>102</v>
      </c>
      <c r="E469" s="441"/>
      <c r="F469" s="118" t="s">
        <v>64</v>
      </c>
      <c r="G469" s="119"/>
      <c r="H469" s="126"/>
      <c r="I469" s="126"/>
      <c r="J469" s="2"/>
      <c r="K469" s="18"/>
      <c r="L469" s="18"/>
      <c r="M469" s="18"/>
      <c r="N469" s="18"/>
      <c r="O469" s="126"/>
      <c r="P469" s="126"/>
      <c r="Q469" s="126">
        <f>Mar!CZ288</f>
        <v>1</v>
      </c>
      <c r="R469" s="436"/>
      <c r="S469" s="436"/>
      <c r="T469" s="18"/>
      <c r="U469" s="18"/>
      <c r="V469" s="18"/>
      <c r="W469" s="45"/>
      <c r="X469" s="67"/>
    </row>
    <row r="470" spans="1:25" ht="15" customHeight="1">
      <c r="A470" s="427"/>
      <c r="B470" s="122" t="s">
        <v>103</v>
      </c>
      <c r="C470" s="157" t="s">
        <v>197</v>
      </c>
      <c r="D470" s="48" t="s">
        <v>104</v>
      </c>
      <c r="E470" s="441"/>
      <c r="F470" s="118" t="s">
        <v>105</v>
      </c>
      <c r="G470" s="119"/>
      <c r="H470" s="126"/>
      <c r="I470" s="126"/>
      <c r="J470" s="2"/>
      <c r="K470" s="18"/>
      <c r="L470" s="18"/>
      <c r="M470" s="18"/>
      <c r="N470" s="18"/>
      <c r="O470" s="126"/>
      <c r="P470" s="126">
        <f>Mar!DB289</f>
        <v>33</v>
      </c>
      <c r="Q470" s="126">
        <f>Mar!CZ289</f>
        <v>1</v>
      </c>
      <c r="R470" s="436"/>
      <c r="S470" s="436"/>
      <c r="T470" s="18"/>
      <c r="U470" s="18"/>
      <c r="V470" s="18"/>
      <c r="W470" s="45"/>
      <c r="X470" s="67"/>
    </row>
    <row r="471" spans="1:25" ht="15" customHeight="1">
      <c r="A471" s="427"/>
      <c r="B471" s="137" t="s">
        <v>112</v>
      </c>
      <c r="C471" s="157" t="s">
        <v>197</v>
      </c>
      <c r="D471" s="48" t="s">
        <v>104</v>
      </c>
      <c r="E471" s="441"/>
      <c r="F471" s="118" t="s">
        <v>113</v>
      </c>
      <c r="G471" s="119"/>
      <c r="H471" s="126"/>
      <c r="I471" s="126"/>
      <c r="J471" s="2"/>
      <c r="K471" s="18"/>
      <c r="L471" s="18"/>
      <c r="M471" s="18"/>
      <c r="N471" s="18"/>
      <c r="O471" s="126"/>
      <c r="P471" s="126">
        <f>Mar!DB292</f>
        <v>23</v>
      </c>
      <c r="Q471" s="126">
        <f>Mar!CZ292</f>
        <v>1</v>
      </c>
      <c r="R471" s="436"/>
      <c r="S471" s="436"/>
      <c r="T471" s="18"/>
      <c r="U471" s="18"/>
      <c r="V471" s="18"/>
      <c r="W471" s="45"/>
      <c r="X471" s="67"/>
    </row>
    <row r="472" spans="1:25" ht="15" customHeight="1" thickBot="1">
      <c r="A472" s="428"/>
      <c r="B472" s="44" t="s">
        <v>107</v>
      </c>
      <c r="C472" s="181" t="s">
        <v>195</v>
      </c>
      <c r="D472" s="61" t="s">
        <v>108</v>
      </c>
      <c r="E472" s="447"/>
      <c r="F472" s="133" t="s">
        <v>48</v>
      </c>
      <c r="G472" s="132"/>
      <c r="H472" s="109"/>
      <c r="I472" s="134"/>
      <c r="J472" s="129"/>
      <c r="K472" s="130"/>
      <c r="L472" s="130"/>
      <c r="M472" s="130"/>
      <c r="N472" s="130"/>
      <c r="O472" s="134"/>
      <c r="P472" s="134"/>
      <c r="Q472" s="134">
        <f>Mar!CZ291</f>
        <v>1</v>
      </c>
      <c r="R472" s="437"/>
      <c r="S472" s="437"/>
      <c r="T472" s="130"/>
      <c r="U472" s="130"/>
      <c r="V472" s="128"/>
      <c r="W472" s="85"/>
      <c r="X472" s="67"/>
    </row>
    <row r="473" spans="1:25" ht="15" customHeight="1">
      <c r="A473" s="426">
        <v>46108</v>
      </c>
      <c r="B473" s="429" t="s">
        <v>44</v>
      </c>
      <c r="C473" s="432" t="s">
        <v>240</v>
      </c>
      <c r="D473" s="19" t="s">
        <v>37</v>
      </c>
      <c r="E473" s="19" t="s">
        <v>25</v>
      </c>
      <c r="F473" s="39" t="s">
        <v>40</v>
      </c>
      <c r="G473" s="41">
        <v>2749.05</v>
      </c>
      <c r="H473" s="32">
        <v>2304</v>
      </c>
      <c r="I473" s="32"/>
      <c r="J473" s="32"/>
      <c r="K473" s="20">
        <v>8000</v>
      </c>
      <c r="L473" s="20">
        <v>1</v>
      </c>
      <c r="M473" s="20">
        <v>216000</v>
      </c>
      <c r="N473" s="84">
        <v>27</v>
      </c>
      <c r="O473" s="32">
        <f>Mar!DD273</f>
        <v>39826</v>
      </c>
      <c r="P473" s="32">
        <f>Mar!DE273</f>
        <v>35401</v>
      </c>
      <c r="Q473" s="32">
        <f>Mar!DC273</f>
        <v>94</v>
      </c>
      <c r="R473" s="435">
        <f>Mar!DD294</f>
        <v>90220</v>
      </c>
      <c r="S473" s="435">
        <f>Mar!DE294</f>
        <v>74053</v>
      </c>
      <c r="T473" s="20">
        <v>34927</v>
      </c>
      <c r="U473" s="20"/>
      <c r="V473" s="20">
        <f t="shared" ref="V473:V478" si="22">O473-T473-U473+V453</f>
        <v>60605</v>
      </c>
      <c r="W473" s="77"/>
      <c r="X473" s="36"/>
    </row>
    <row r="474" spans="1:25" ht="15" customHeight="1">
      <c r="A474" s="427"/>
      <c r="B474" s="431"/>
      <c r="C474" s="434"/>
      <c r="D474" s="113" t="s">
        <v>128</v>
      </c>
      <c r="E474" s="113" t="s">
        <v>24</v>
      </c>
      <c r="F474" s="114" t="s">
        <v>40</v>
      </c>
      <c r="G474" s="170"/>
      <c r="H474" s="158"/>
      <c r="I474" s="125"/>
      <c r="J474" s="125"/>
      <c r="K474" s="18">
        <v>8000</v>
      </c>
      <c r="L474" s="127">
        <v>1</v>
      </c>
      <c r="M474" s="216">
        <v>127400</v>
      </c>
      <c r="N474" s="238">
        <v>16</v>
      </c>
      <c r="O474" s="126">
        <f>Mar!DD274</f>
        <v>29432</v>
      </c>
      <c r="P474" s="125">
        <f>Mar!DE274</f>
        <v>20314</v>
      </c>
      <c r="Q474" s="125">
        <f>Mar!DC274</f>
        <v>56</v>
      </c>
      <c r="R474" s="436"/>
      <c r="S474" s="436"/>
      <c r="T474" s="127">
        <v>17902</v>
      </c>
      <c r="U474" s="127">
        <v>3</v>
      </c>
      <c r="V474" s="127">
        <f t="shared" si="22"/>
        <v>25572</v>
      </c>
      <c r="W474" s="46"/>
      <c r="X474" s="67"/>
    </row>
    <row r="475" spans="1:25" ht="15" customHeight="1">
      <c r="A475" s="427"/>
      <c r="B475" s="442" t="s">
        <v>45</v>
      </c>
      <c r="C475" s="448" t="s">
        <v>59</v>
      </c>
      <c r="D475" s="118" t="s">
        <v>75</v>
      </c>
      <c r="E475" s="131" t="s">
        <v>25</v>
      </c>
      <c r="F475" s="131" t="s">
        <v>57</v>
      </c>
      <c r="G475" s="87"/>
      <c r="H475" s="136"/>
      <c r="I475" s="126"/>
      <c r="J475" s="2"/>
      <c r="K475" s="127"/>
      <c r="L475" s="18"/>
      <c r="M475" s="18">
        <v>20000</v>
      </c>
      <c r="N475" s="80">
        <v>4</v>
      </c>
      <c r="O475" s="126">
        <f>Mar!DD276</f>
        <v>2897</v>
      </c>
      <c r="P475" s="126">
        <f>Mar!DE276</f>
        <v>3935</v>
      </c>
      <c r="Q475" s="2">
        <f>Mar!DC276</f>
        <v>16</v>
      </c>
      <c r="R475" s="436"/>
      <c r="S475" s="436"/>
      <c r="T475" s="18">
        <v>6389</v>
      </c>
      <c r="U475" s="18"/>
      <c r="V475" s="127">
        <f t="shared" si="22"/>
        <v>92262</v>
      </c>
      <c r="W475" s="46"/>
      <c r="Y475" s="13"/>
    </row>
    <row r="476" spans="1:25">
      <c r="A476" s="427"/>
      <c r="B476" s="439"/>
      <c r="C476" s="440"/>
      <c r="D476" s="118" t="s">
        <v>72</v>
      </c>
      <c r="E476" s="155" t="s">
        <v>24</v>
      </c>
      <c r="F476" s="131" t="s">
        <v>57</v>
      </c>
      <c r="G476" s="136"/>
      <c r="H476" s="136"/>
      <c r="I476" s="126"/>
      <c r="J476" s="126"/>
      <c r="K476" s="127"/>
      <c r="L476" s="18"/>
      <c r="M476" s="18">
        <v>65000</v>
      </c>
      <c r="N476" s="80">
        <v>13</v>
      </c>
      <c r="O476" s="126">
        <f>Mar!DD277</f>
        <v>5187</v>
      </c>
      <c r="P476" s="126">
        <f>Mar!DE277</f>
        <v>5942</v>
      </c>
      <c r="Q476" s="2">
        <f>Mar!DC277</f>
        <v>25</v>
      </c>
      <c r="R476" s="436"/>
      <c r="S476" s="436"/>
      <c r="T476" s="18">
        <v>6066</v>
      </c>
      <c r="U476" s="18">
        <v>2</v>
      </c>
      <c r="V476" s="127">
        <f t="shared" si="22"/>
        <v>7941</v>
      </c>
      <c r="W476" s="46"/>
      <c r="Y476" s="13"/>
    </row>
    <row r="477" spans="1:25">
      <c r="A477" s="427"/>
      <c r="B477" s="439"/>
      <c r="C477" s="440"/>
      <c r="D477" s="115" t="s">
        <v>79</v>
      </c>
      <c r="E477" s="118" t="s">
        <v>65</v>
      </c>
      <c r="F477" s="131" t="s">
        <v>57</v>
      </c>
      <c r="G477" s="224"/>
      <c r="H477" s="152"/>
      <c r="I477" s="126"/>
      <c r="J477" s="126"/>
      <c r="K477" s="127"/>
      <c r="L477" s="18"/>
      <c r="M477" s="18"/>
      <c r="N477" s="80"/>
      <c r="O477" s="126"/>
      <c r="P477" s="126">
        <f>Mar!DE278</f>
        <v>234</v>
      </c>
      <c r="Q477" s="126">
        <f>Mar!DC278</f>
        <v>1</v>
      </c>
      <c r="R477" s="436"/>
      <c r="S477" s="436"/>
      <c r="T477" s="18"/>
      <c r="U477" s="18"/>
      <c r="V477" s="127">
        <f t="shared" si="22"/>
        <v>1681</v>
      </c>
      <c r="W477" s="46"/>
      <c r="Y477" s="13"/>
    </row>
    <row r="478" spans="1:25" ht="14.25" customHeight="1">
      <c r="A478" s="427"/>
      <c r="B478" s="137" t="s">
        <v>53</v>
      </c>
      <c r="C478" s="157" t="s">
        <v>60</v>
      </c>
      <c r="D478" s="43" t="s">
        <v>130</v>
      </c>
      <c r="E478" s="115" t="s">
        <v>66</v>
      </c>
      <c r="F478" s="118" t="s">
        <v>54</v>
      </c>
      <c r="G478" s="224">
        <v>2132.4499999999998</v>
      </c>
      <c r="H478" s="37"/>
      <c r="I478" s="126"/>
      <c r="J478" s="126"/>
      <c r="K478" s="18">
        <v>6000</v>
      </c>
      <c r="L478" s="18">
        <v>1</v>
      </c>
      <c r="M478" s="18">
        <v>102000</v>
      </c>
      <c r="N478" s="80">
        <v>17</v>
      </c>
      <c r="O478" s="126">
        <f>Mar!DD275</f>
        <v>12878</v>
      </c>
      <c r="P478" s="126">
        <f>Mar!DE275</f>
        <v>8189</v>
      </c>
      <c r="Q478" s="126">
        <f>Mar!DC275</f>
        <v>24</v>
      </c>
      <c r="R478" s="436"/>
      <c r="S478" s="436"/>
      <c r="T478" s="18">
        <v>14830</v>
      </c>
      <c r="U478" s="18"/>
      <c r="V478" s="127">
        <f t="shared" si="22"/>
        <v>4458</v>
      </c>
      <c r="W478" s="45"/>
      <c r="X478" s="36"/>
    </row>
    <row r="479" spans="1:25" ht="14.25" customHeight="1">
      <c r="A479" s="427"/>
      <c r="B479" s="122" t="s">
        <v>55</v>
      </c>
      <c r="C479" s="180" t="s">
        <v>133</v>
      </c>
      <c r="D479" s="48" t="s">
        <v>56</v>
      </c>
      <c r="E479" s="424" t="s">
        <v>25</v>
      </c>
      <c r="F479" s="118" t="s">
        <v>67</v>
      </c>
      <c r="G479" s="224"/>
      <c r="H479" s="37"/>
      <c r="I479" s="126"/>
      <c r="J479" s="126"/>
      <c r="K479" s="18"/>
      <c r="L479" s="18"/>
      <c r="M479" s="18">
        <v>2800</v>
      </c>
      <c r="N479" s="80">
        <v>1</v>
      </c>
      <c r="O479" s="126"/>
      <c r="P479" s="126"/>
      <c r="Q479" s="126"/>
      <c r="R479" s="436"/>
      <c r="S479" s="436"/>
      <c r="T479" s="18"/>
      <c r="U479" s="18"/>
      <c r="V479" s="127">
        <f t="shared" ref="V479:V485" si="23">O479-T479-U479+V460</f>
        <v>500</v>
      </c>
      <c r="W479" s="45"/>
      <c r="X479" s="67"/>
    </row>
    <row r="480" spans="1:25" ht="14.25" customHeight="1">
      <c r="A480" s="427"/>
      <c r="B480" s="122" t="s">
        <v>122</v>
      </c>
      <c r="C480" s="180" t="s">
        <v>123</v>
      </c>
      <c r="D480" s="48" t="s">
        <v>56</v>
      </c>
      <c r="E480" s="441"/>
      <c r="F480" s="155" t="s">
        <v>64</v>
      </c>
      <c r="G480" s="224"/>
      <c r="H480" s="135"/>
      <c r="I480" s="158"/>
      <c r="J480" s="158"/>
      <c r="K480" s="128"/>
      <c r="L480" s="128"/>
      <c r="M480" s="128">
        <v>6400</v>
      </c>
      <c r="N480" s="164">
        <v>2</v>
      </c>
      <c r="O480" s="158"/>
      <c r="P480" s="158"/>
      <c r="Q480" s="158">
        <f>Mar!DC282</f>
        <v>1</v>
      </c>
      <c r="R480" s="436"/>
      <c r="S480" s="436"/>
      <c r="T480" s="18"/>
      <c r="U480" s="18"/>
      <c r="V480" s="127">
        <f t="shared" si="23"/>
        <v>31304</v>
      </c>
      <c r="W480" s="45"/>
      <c r="X480" s="67"/>
    </row>
    <row r="481" spans="1:25" ht="15.75" customHeight="1">
      <c r="A481" s="427"/>
      <c r="B481" s="137" t="s">
        <v>58</v>
      </c>
      <c r="C481" s="157" t="s">
        <v>243</v>
      </c>
      <c r="D481" s="48" t="s">
        <v>56</v>
      </c>
      <c r="E481" s="441"/>
      <c r="F481" s="118" t="s">
        <v>64</v>
      </c>
      <c r="G481" s="226"/>
      <c r="H481" s="126"/>
      <c r="I481" s="126"/>
      <c r="J481" s="2"/>
      <c r="K481" s="18"/>
      <c r="L481" s="18"/>
      <c r="M481" s="18"/>
      <c r="N481" s="18"/>
      <c r="O481" s="126"/>
      <c r="P481" s="126"/>
      <c r="Q481" s="126">
        <f>Mar!DC283</f>
        <v>1</v>
      </c>
      <c r="R481" s="436"/>
      <c r="S481" s="436"/>
      <c r="T481" s="18"/>
      <c r="U481" s="18"/>
      <c r="V481" s="127">
        <f t="shared" si="23"/>
        <v>8562</v>
      </c>
      <c r="W481" s="45"/>
      <c r="X481" s="67"/>
    </row>
    <row r="482" spans="1:25" ht="15" customHeight="1">
      <c r="A482" s="427"/>
      <c r="B482" s="122" t="s">
        <v>61</v>
      </c>
      <c r="C482" s="180" t="s">
        <v>137</v>
      </c>
      <c r="D482" s="48" t="s">
        <v>56</v>
      </c>
      <c r="E482" s="441"/>
      <c r="F482" s="118" t="s">
        <v>67</v>
      </c>
      <c r="G482" s="119"/>
      <c r="H482" s="126"/>
      <c r="I482" s="126"/>
      <c r="J482" s="2"/>
      <c r="K482" s="18"/>
      <c r="L482" s="18"/>
      <c r="M482" s="18"/>
      <c r="N482" s="18"/>
      <c r="O482" s="126"/>
      <c r="P482" s="126"/>
      <c r="Q482" s="126">
        <f>Mar!DC284</f>
        <v>1</v>
      </c>
      <c r="R482" s="436"/>
      <c r="S482" s="436"/>
      <c r="T482" s="18"/>
      <c r="U482" s="18"/>
      <c r="V482" s="127">
        <f t="shared" si="23"/>
        <v>5844</v>
      </c>
      <c r="W482" s="45"/>
      <c r="X482" s="67"/>
    </row>
    <row r="483" spans="1:25" ht="14.25" customHeight="1">
      <c r="A483" s="427"/>
      <c r="B483" s="122" t="s">
        <v>125</v>
      </c>
      <c r="C483" s="180" t="s">
        <v>88</v>
      </c>
      <c r="D483" s="48" t="s">
        <v>124</v>
      </c>
      <c r="E483" s="441"/>
      <c r="F483" s="118" t="s">
        <v>64</v>
      </c>
      <c r="G483" s="225"/>
      <c r="H483" s="126"/>
      <c r="I483" s="126"/>
      <c r="J483" s="126"/>
      <c r="K483" s="18"/>
      <c r="L483" s="18"/>
      <c r="M483" s="18">
        <v>51200</v>
      </c>
      <c r="N483" s="80">
        <v>7</v>
      </c>
      <c r="O483" s="126"/>
      <c r="P483" s="126"/>
      <c r="Q483" s="126"/>
      <c r="R483" s="436"/>
      <c r="S483" s="436"/>
      <c r="T483" s="18"/>
      <c r="U483" s="18"/>
      <c r="V483" s="127">
        <f t="shared" si="23"/>
        <v>23615</v>
      </c>
      <c r="W483" s="45"/>
      <c r="X483" s="67"/>
    </row>
    <row r="484" spans="1:25" ht="15" customHeight="1">
      <c r="A484" s="427"/>
      <c r="B484" s="137" t="s">
        <v>47</v>
      </c>
      <c r="C484" s="157" t="s">
        <v>100</v>
      </c>
      <c r="D484" s="48" t="s">
        <v>99</v>
      </c>
      <c r="E484" s="441"/>
      <c r="F484" s="118" t="s">
        <v>71</v>
      </c>
      <c r="G484" s="226"/>
      <c r="H484" s="126"/>
      <c r="I484" s="126"/>
      <c r="J484" s="2"/>
      <c r="K484" s="18"/>
      <c r="L484" s="18"/>
      <c r="M484" s="18">
        <v>18000</v>
      </c>
      <c r="N484" s="18">
        <v>3</v>
      </c>
      <c r="O484" s="126"/>
      <c r="P484" s="126"/>
      <c r="Q484" s="126"/>
      <c r="R484" s="436"/>
      <c r="S484" s="436"/>
      <c r="T484" s="18"/>
      <c r="U484" s="18"/>
      <c r="V484" s="127">
        <f t="shared" si="23"/>
        <v>63278</v>
      </c>
      <c r="W484" s="45"/>
      <c r="X484" s="67"/>
    </row>
    <row r="485" spans="1:25" ht="15" customHeight="1">
      <c r="A485" s="427"/>
      <c r="B485" s="122" t="s">
        <v>196</v>
      </c>
      <c r="C485" s="180" t="s">
        <v>63</v>
      </c>
      <c r="D485" s="48" t="s">
        <v>135</v>
      </c>
      <c r="E485" s="441"/>
      <c r="F485" s="118" t="s">
        <v>64</v>
      </c>
      <c r="G485" s="226"/>
      <c r="H485" s="126"/>
      <c r="I485" s="126"/>
      <c r="J485" s="2"/>
      <c r="K485" s="18"/>
      <c r="L485" s="18"/>
      <c r="M485" s="18">
        <v>33200</v>
      </c>
      <c r="N485" s="18">
        <v>4</v>
      </c>
      <c r="O485" s="126"/>
      <c r="P485" s="126"/>
      <c r="Q485" s="126"/>
      <c r="R485" s="436"/>
      <c r="S485" s="436"/>
      <c r="T485" s="18"/>
      <c r="U485" s="18"/>
      <c r="V485" s="127">
        <f t="shared" si="23"/>
        <v>15106</v>
      </c>
      <c r="W485" s="45"/>
      <c r="X485" s="67"/>
    </row>
    <row r="486" spans="1:25" ht="15" customHeight="1">
      <c r="A486" s="427"/>
      <c r="B486" s="122" t="s">
        <v>253</v>
      </c>
      <c r="C486" s="180" t="s">
        <v>252</v>
      </c>
      <c r="D486" s="48" t="s">
        <v>246</v>
      </c>
      <c r="E486" s="441"/>
      <c r="F486" s="118" t="s">
        <v>247</v>
      </c>
      <c r="G486" s="226"/>
      <c r="H486" s="126"/>
      <c r="I486" s="126"/>
      <c r="J486" s="2"/>
      <c r="K486" s="18"/>
      <c r="L486" s="18"/>
      <c r="M486" s="18"/>
      <c r="N486" s="18"/>
      <c r="O486" s="126"/>
      <c r="P486" s="126">
        <f>Mar!DE285</f>
        <v>13</v>
      </c>
      <c r="Q486" s="126">
        <f>Mar!DC285</f>
        <v>1</v>
      </c>
      <c r="R486" s="436"/>
      <c r="S486" s="436"/>
      <c r="T486" s="18"/>
      <c r="U486" s="18"/>
      <c r="V486" s="127">
        <f>O486-T486-U486+V467</f>
        <v>503</v>
      </c>
      <c r="W486" s="45"/>
      <c r="X486" s="67"/>
    </row>
    <row r="487" spans="1:25" ht="15" customHeight="1">
      <c r="A487" s="427"/>
      <c r="B487" s="122" t="s">
        <v>131</v>
      </c>
      <c r="C487" s="180" t="s">
        <v>194</v>
      </c>
      <c r="D487" s="48" t="s">
        <v>132</v>
      </c>
      <c r="E487" s="441"/>
      <c r="F487" s="118" t="s">
        <v>64</v>
      </c>
      <c r="G487" s="119"/>
      <c r="H487" s="126"/>
      <c r="I487" s="126"/>
      <c r="J487" s="2"/>
      <c r="K487" s="18"/>
      <c r="L487" s="18"/>
      <c r="M487" s="18"/>
      <c r="N487" s="18"/>
      <c r="O487" s="126"/>
      <c r="P487" s="126"/>
      <c r="Q487" s="126">
        <f>Mar!DC287</f>
        <v>1</v>
      </c>
      <c r="R487" s="436"/>
      <c r="S487" s="436"/>
      <c r="T487" s="18"/>
      <c r="U487" s="18"/>
      <c r="V487" s="18"/>
      <c r="W487" s="45"/>
      <c r="X487" s="67"/>
    </row>
    <row r="488" spans="1:25" ht="15" customHeight="1">
      <c r="A488" s="427"/>
      <c r="B488" s="122" t="s">
        <v>101</v>
      </c>
      <c r="C488" s="180" t="s">
        <v>193</v>
      </c>
      <c r="D488" s="48" t="s">
        <v>102</v>
      </c>
      <c r="E488" s="441"/>
      <c r="F488" s="118" t="s">
        <v>64</v>
      </c>
      <c r="G488" s="119"/>
      <c r="H488" s="126"/>
      <c r="I488" s="126"/>
      <c r="J488" s="2"/>
      <c r="K488" s="18"/>
      <c r="L488" s="18"/>
      <c r="M488" s="18"/>
      <c r="N488" s="18"/>
      <c r="O488" s="126"/>
      <c r="P488" s="126"/>
      <c r="Q488" s="126">
        <f>Mar!DC288</f>
        <v>1</v>
      </c>
      <c r="R488" s="436"/>
      <c r="S488" s="436"/>
      <c r="T488" s="18"/>
      <c r="U488" s="18"/>
      <c r="V488" s="18"/>
      <c r="W488" s="45"/>
      <c r="X488" s="67"/>
    </row>
    <row r="489" spans="1:25" ht="15" customHeight="1">
      <c r="A489" s="427"/>
      <c r="B489" s="122" t="s">
        <v>103</v>
      </c>
      <c r="C489" s="157" t="s">
        <v>197</v>
      </c>
      <c r="D489" s="48" t="s">
        <v>104</v>
      </c>
      <c r="E489" s="441"/>
      <c r="F489" s="118" t="s">
        <v>105</v>
      </c>
      <c r="G489" s="119"/>
      <c r="H489" s="126"/>
      <c r="I489" s="126"/>
      <c r="J489" s="2"/>
      <c r="K489" s="18"/>
      <c r="L489" s="18"/>
      <c r="M489" s="18"/>
      <c r="N489" s="18"/>
      <c r="O489" s="126"/>
      <c r="P489" s="126">
        <f>Mar!DE289</f>
        <v>14</v>
      </c>
      <c r="Q489" s="126">
        <f>Mar!DC289</f>
        <v>1</v>
      </c>
      <c r="R489" s="436"/>
      <c r="S489" s="436"/>
      <c r="T489" s="18"/>
      <c r="U489" s="18"/>
      <c r="V489" s="18"/>
      <c r="W489" s="45"/>
      <c r="X489" s="67"/>
    </row>
    <row r="490" spans="1:25" ht="15" customHeight="1">
      <c r="A490" s="427"/>
      <c r="B490" s="137" t="s">
        <v>112</v>
      </c>
      <c r="C490" s="157" t="s">
        <v>197</v>
      </c>
      <c r="D490" s="48" t="s">
        <v>104</v>
      </c>
      <c r="E490" s="441"/>
      <c r="F490" s="118" t="s">
        <v>113</v>
      </c>
      <c r="G490" s="119"/>
      <c r="H490" s="126"/>
      <c r="I490" s="126"/>
      <c r="J490" s="2"/>
      <c r="K490" s="18"/>
      <c r="L490" s="18"/>
      <c r="M490" s="18"/>
      <c r="N490" s="18"/>
      <c r="O490" s="126"/>
      <c r="P490" s="126">
        <f>Mar!DE292</f>
        <v>11</v>
      </c>
      <c r="Q490" s="126">
        <f>Mar!DC292</f>
        <v>1</v>
      </c>
      <c r="R490" s="436"/>
      <c r="S490" s="436"/>
      <c r="T490" s="18"/>
      <c r="U490" s="18"/>
      <c r="V490" s="18"/>
      <c r="W490" s="45"/>
      <c r="X490" s="67"/>
    </row>
    <row r="491" spans="1:25" ht="15" customHeight="1" thickBot="1">
      <c r="A491" s="428"/>
      <c r="B491" s="44" t="s">
        <v>107</v>
      </c>
      <c r="C491" s="181" t="s">
        <v>195</v>
      </c>
      <c r="D491" s="61" t="s">
        <v>108</v>
      </c>
      <c r="E491" s="447"/>
      <c r="F491" s="133" t="s">
        <v>48</v>
      </c>
      <c r="G491" s="132"/>
      <c r="H491" s="109"/>
      <c r="I491" s="134"/>
      <c r="J491" s="129"/>
      <c r="K491" s="130"/>
      <c r="L491" s="130"/>
      <c r="M491" s="130"/>
      <c r="N491" s="130"/>
      <c r="O491" s="134"/>
      <c r="P491" s="134"/>
      <c r="Q491" s="134">
        <f>Mar!DC291</f>
        <v>1</v>
      </c>
      <c r="R491" s="437"/>
      <c r="S491" s="437"/>
      <c r="T491" s="130"/>
      <c r="U491" s="130"/>
      <c r="V491" s="128"/>
      <c r="W491" s="85"/>
      <c r="X491" s="67"/>
    </row>
    <row r="492" spans="1:25" ht="15" customHeight="1">
      <c r="A492" s="426">
        <v>46109</v>
      </c>
      <c r="B492" s="429" t="s">
        <v>44</v>
      </c>
      <c r="C492" s="432" t="s">
        <v>240</v>
      </c>
      <c r="D492" s="19" t="s">
        <v>37</v>
      </c>
      <c r="E492" s="19" t="s">
        <v>25</v>
      </c>
      <c r="F492" s="39" t="s">
        <v>40</v>
      </c>
      <c r="G492" s="168">
        <v>5498.1</v>
      </c>
      <c r="H492" s="32"/>
      <c r="I492" s="32"/>
      <c r="J492" s="32"/>
      <c r="K492" s="20">
        <v>16000</v>
      </c>
      <c r="L492" s="20">
        <v>2</v>
      </c>
      <c r="M492" s="20">
        <v>280000</v>
      </c>
      <c r="N492" s="84">
        <v>35</v>
      </c>
      <c r="O492" s="32">
        <f>Mar!DG273</f>
        <v>29297</v>
      </c>
      <c r="P492" s="32">
        <f>Mar!DH273</f>
        <v>33543</v>
      </c>
      <c r="Q492" s="32">
        <f>Mar!DF273</f>
        <v>94</v>
      </c>
      <c r="R492" s="435">
        <f>Mar!DG294</f>
        <v>74131</v>
      </c>
      <c r="S492" s="435">
        <f>Mar!DH294</f>
        <v>70107</v>
      </c>
      <c r="T492" s="20">
        <v>27589</v>
      </c>
      <c r="U492" s="20">
        <v>5</v>
      </c>
      <c r="V492" s="20">
        <f>O492-T492-U492+V473</f>
        <v>62308</v>
      </c>
      <c r="W492" s="77"/>
      <c r="X492" s="36"/>
    </row>
    <row r="493" spans="1:25" ht="15" customHeight="1">
      <c r="A493" s="427"/>
      <c r="B493" s="431"/>
      <c r="C493" s="434"/>
      <c r="D493" s="113" t="s">
        <v>128</v>
      </c>
      <c r="E493" s="113" t="s">
        <v>24</v>
      </c>
      <c r="F493" s="114" t="s">
        <v>40</v>
      </c>
      <c r="G493" s="170"/>
      <c r="H493" s="158">
        <v>2685</v>
      </c>
      <c r="I493" s="125"/>
      <c r="J493" s="125"/>
      <c r="K493" s="18">
        <v>55700</v>
      </c>
      <c r="L493" s="127">
        <v>7</v>
      </c>
      <c r="M493" s="216">
        <v>71700</v>
      </c>
      <c r="N493" s="238">
        <v>9</v>
      </c>
      <c r="O493" s="126">
        <f>Mar!DG274</f>
        <v>30781</v>
      </c>
      <c r="P493" s="125">
        <f>Mar!DH274</f>
        <v>19612</v>
      </c>
      <c r="Q493" s="125">
        <f>Mar!DF274</f>
        <v>56</v>
      </c>
      <c r="R493" s="436"/>
      <c r="S493" s="436"/>
      <c r="T493" s="127"/>
      <c r="U493" s="127"/>
      <c r="V493" s="127">
        <f>O493-T493-U493+V474</f>
        <v>56353</v>
      </c>
      <c r="W493" s="46"/>
      <c r="X493" s="67"/>
    </row>
    <row r="494" spans="1:25" ht="15" customHeight="1">
      <c r="A494" s="427"/>
      <c r="B494" s="442" t="s">
        <v>45</v>
      </c>
      <c r="C494" s="448" t="s">
        <v>59</v>
      </c>
      <c r="D494" s="118" t="s">
        <v>75</v>
      </c>
      <c r="E494" s="438" t="s">
        <v>25</v>
      </c>
      <c r="F494" s="131" t="s">
        <v>57</v>
      </c>
      <c r="G494" s="87"/>
      <c r="H494" s="136"/>
      <c r="I494" s="126"/>
      <c r="J494" s="2"/>
      <c r="K494" s="127"/>
      <c r="L494" s="18"/>
      <c r="M494" s="18">
        <v>20000</v>
      </c>
      <c r="N494" s="80">
        <v>4</v>
      </c>
      <c r="O494" s="126">
        <f>Mar!DG276</f>
        <v>3300</v>
      </c>
      <c r="P494" s="126">
        <f>Mar!DH276</f>
        <v>3592</v>
      </c>
      <c r="Q494" s="2">
        <f>Mar!DF276</f>
        <v>15</v>
      </c>
      <c r="R494" s="436"/>
      <c r="S494" s="436"/>
      <c r="T494" s="18"/>
      <c r="U494" s="18"/>
      <c r="V494" s="127">
        <f>O494-T494-U494+V475</f>
        <v>95562</v>
      </c>
      <c r="W494" s="46"/>
      <c r="Y494" s="13"/>
    </row>
    <row r="495" spans="1:25" ht="15" customHeight="1">
      <c r="A495" s="427"/>
      <c r="B495" s="439"/>
      <c r="C495" s="440"/>
      <c r="D495" s="118" t="s">
        <v>94</v>
      </c>
      <c r="E495" s="431"/>
      <c r="F495" s="131"/>
      <c r="G495" s="87"/>
      <c r="H495" s="136">
        <v>680.4</v>
      </c>
      <c r="I495" s="126"/>
      <c r="J495" s="2"/>
      <c r="K495" s="127"/>
      <c r="L495" s="18"/>
      <c r="M495" s="18"/>
      <c r="N495" s="80"/>
      <c r="O495" s="126"/>
      <c r="P495" s="126"/>
      <c r="Q495" s="2"/>
      <c r="R495" s="436"/>
      <c r="S495" s="436"/>
      <c r="T495" s="18"/>
      <c r="U495" s="18"/>
      <c r="V495" s="127"/>
      <c r="W495" s="46"/>
      <c r="Y495" s="13"/>
    </row>
    <row r="496" spans="1:25">
      <c r="A496" s="427"/>
      <c r="B496" s="439"/>
      <c r="C496" s="440"/>
      <c r="D496" s="118" t="s">
        <v>72</v>
      </c>
      <c r="E496" s="424" t="s">
        <v>24</v>
      </c>
      <c r="F496" s="131" t="s">
        <v>57</v>
      </c>
      <c r="G496" s="136"/>
      <c r="H496" s="136"/>
      <c r="I496" s="126"/>
      <c r="J496" s="126"/>
      <c r="K496" s="127">
        <v>10000</v>
      </c>
      <c r="L496" s="18">
        <v>2</v>
      </c>
      <c r="M496" s="18">
        <v>55000</v>
      </c>
      <c r="N496" s="80">
        <v>11</v>
      </c>
      <c r="O496" s="126">
        <f>Mar!DG277</f>
        <v>3732</v>
      </c>
      <c r="P496" s="126">
        <f>Mar!DH277</f>
        <v>5599</v>
      </c>
      <c r="Q496" s="2">
        <f>Mar!DF277</f>
        <v>26</v>
      </c>
      <c r="R496" s="436"/>
      <c r="S496" s="436"/>
      <c r="T496" s="18">
        <v>7186</v>
      </c>
      <c r="U496" s="18"/>
      <c r="V496" s="127">
        <f>O496-T496-U496+V476</f>
        <v>4487</v>
      </c>
      <c r="W496" s="46"/>
      <c r="Y496" s="13"/>
    </row>
    <row r="497" spans="1:25">
      <c r="A497" s="427"/>
      <c r="B497" s="439"/>
      <c r="C497" s="440"/>
      <c r="D497" s="115" t="s">
        <v>73</v>
      </c>
      <c r="E497" s="425"/>
      <c r="F497" s="131"/>
      <c r="G497" s="136"/>
      <c r="H497" s="152">
        <v>1980</v>
      </c>
      <c r="I497" s="126"/>
      <c r="J497" s="126"/>
      <c r="K497" s="127"/>
      <c r="L497" s="18"/>
      <c r="M497" s="18"/>
      <c r="N497" s="80"/>
      <c r="O497" s="126"/>
      <c r="P497" s="126"/>
      <c r="Q497" s="2"/>
      <c r="R497" s="436"/>
      <c r="S497" s="436"/>
      <c r="T497" s="18"/>
      <c r="U497" s="18"/>
      <c r="V497" s="127"/>
      <c r="W497" s="46"/>
      <c r="Y497" s="13"/>
    </row>
    <row r="498" spans="1:25">
      <c r="A498" s="427"/>
      <c r="B498" s="439"/>
      <c r="C498" s="440"/>
      <c r="D498" s="115" t="s">
        <v>79</v>
      </c>
      <c r="E498" s="118" t="s">
        <v>65</v>
      </c>
      <c r="F498" s="131" t="s">
        <v>57</v>
      </c>
      <c r="G498" s="224"/>
      <c r="H498" s="152"/>
      <c r="I498" s="126"/>
      <c r="J498" s="126"/>
      <c r="K498" s="127"/>
      <c r="L498" s="18"/>
      <c r="M498" s="18"/>
      <c r="N498" s="80"/>
      <c r="O498" s="126">
        <f>Mar!DG278</f>
        <v>529</v>
      </c>
      <c r="P498" s="126">
        <f>Mar!DH278</f>
        <v>61</v>
      </c>
      <c r="Q498" s="126"/>
      <c r="R498" s="436"/>
      <c r="S498" s="436"/>
      <c r="T498" s="18">
        <v>2197</v>
      </c>
      <c r="U498" s="18"/>
      <c r="V498" s="127"/>
      <c r="W498" s="46"/>
      <c r="Y498" s="13"/>
    </row>
    <row r="499" spans="1:25" ht="14.25" customHeight="1">
      <c r="A499" s="427"/>
      <c r="B499" s="137" t="s">
        <v>53</v>
      </c>
      <c r="C499" s="157" t="s">
        <v>60</v>
      </c>
      <c r="D499" s="43" t="s">
        <v>130</v>
      </c>
      <c r="E499" s="115" t="s">
        <v>66</v>
      </c>
      <c r="F499" s="118" t="s">
        <v>54</v>
      </c>
      <c r="G499" s="224"/>
      <c r="H499" s="37"/>
      <c r="I499" s="126"/>
      <c r="J499" s="126"/>
      <c r="K499" s="18">
        <v>18000</v>
      </c>
      <c r="L499" s="18">
        <v>3</v>
      </c>
      <c r="M499" s="18">
        <v>84000</v>
      </c>
      <c r="N499" s="80">
        <v>14</v>
      </c>
      <c r="O499" s="126">
        <f>Mar!DG275</f>
        <v>6492</v>
      </c>
      <c r="P499" s="126">
        <f>Mar!DH275</f>
        <v>7700</v>
      </c>
      <c r="Q499" s="126">
        <f>Mar!DF275</f>
        <v>24</v>
      </c>
      <c r="R499" s="436"/>
      <c r="S499" s="436"/>
      <c r="T499" s="18">
        <v>6878</v>
      </c>
      <c r="U499" s="18"/>
      <c r="V499" s="127">
        <f>O499-T499-U499+V478</f>
        <v>4072</v>
      </c>
      <c r="W499" s="45"/>
      <c r="X499" s="36"/>
    </row>
    <row r="500" spans="1:25" ht="14.25" customHeight="1">
      <c r="A500" s="427"/>
      <c r="B500" s="122" t="s">
        <v>55</v>
      </c>
      <c r="C500" s="180" t="s">
        <v>133</v>
      </c>
      <c r="D500" s="48" t="s">
        <v>56</v>
      </c>
      <c r="E500" s="424" t="s">
        <v>25</v>
      </c>
      <c r="F500" s="118" t="s">
        <v>67</v>
      </c>
      <c r="G500" s="224"/>
      <c r="H500" s="37"/>
      <c r="I500" s="126"/>
      <c r="J500" s="126"/>
      <c r="K500" s="18"/>
      <c r="L500" s="18"/>
      <c r="M500" s="18">
        <v>2800</v>
      </c>
      <c r="N500" s="80">
        <v>1</v>
      </c>
      <c r="O500" s="126"/>
      <c r="P500" s="126"/>
      <c r="Q500" s="126"/>
      <c r="R500" s="436"/>
      <c r="S500" s="436"/>
      <c r="T500" s="18"/>
      <c r="U500" s="18"/>
      <c r="V500" s="127">
        <f>O500-T500-U500+V479</f>
        <v>500</v>
      </c>
      <c r="W500" s="45"/>
      <c r="X500" s="67"/>
    </row>
    <row r="501" spans="1:25" ht="14.25" customHeight="1">
      <c r="A501" s="427"/>
      <c r="B501" s="122" t="s">
        <v>122</v>
      </c>
      <c r="C501" s="180" t="s">
        <v>123</v>
      </c>
      <c r="D501" s="48" t="s">
        <v>56</v>
      </c>
      <c r="E501" s="441"/>
      <c r="F501" s="155" t="s">
        <v>64</v>
      </c>
      <c r="G501" s="224"/>
      <c r="H501" s="135"/>
      <c r="I501" s="158"/>
      <c r="J501" s="158"/>
      <c r="K501" s="128"/>
      <c r="L501" s="128"/>
      <c r="M501" s="128">
        <v>6400</v>
      </c>
      <c r="N501" s="164">
        <v>2</v>
      </c>
      <c r="O501" s="158"/>
      <c r="P501" s="158"/>
      <c r="Q501" s="158">
        <f>Mar!DF282</f>
        <v>1</v>
      </c>
      <c r="R501" s="436"/>
      <c r="S501" s="436"/>
      <c r="T501" s="18"/>
      <c r="U501" s="18"/>
      <c r="V501" s="127">
        <f t="shared" ref="V501:V506" si="24">O501-T501-U501+V480</f>
        <v>31304</v>
      </c>
      <c r="W501" s="45"/>
      <c r="X501" s="67"/>
    </row>
    <row r="502" spans="1:25" ht="15.75" customHeight="1">
      <c r="A502" s="427"/>
      <c r="B502" s="137" t="s">
        <v>58</v>
      </c>
      <c r="C502" s="157" t="s">
        <v>243</v>
      </c>
      <c r="D502" s="48" t="s">
        <v>56</v>
      </c>
      <c r="E502" s="441"/>
      <c r="F502" s="118" t="s">
        <v>64</v>
      </c>
      <c r="G502" s="226"/>
      <c r="H502" s="126"/>
      <c r="I502" s="126"/>
      <c r="J502" s="2"/>
      <c r="K502" s="18"/>
      <c r="L502" s="18"/>
      <c r="M502" s="18"/>
      <c r="N502" s="18"/>
      <c r="O502" s="126"/>
      <c r="P502" s="126"/>
      <c r="Q502" s="126">
        <f>Mar!DF283</f>
        <v>1</v>
      </c>
      <c r="R502" s="436"/>
      <c r="S502" s="436"/>
      <c r="T502" s="18"/>
      <c r="U502" s="18"/>
      <c r="V502" s="127">
        <f t="shared" si="24"/>
        <v>8562</v>
      </c>
      <c r="W502" s="45"/>
      <c r="X502" s="67"/>
    </row>
    <row r="503" spans="1:25" ht="15" customHeight="1">
      <c r="A503" s="427"/>
      <c r="B503" s="122" t="s">
        <v>61</v>
      </c>
      <c r="C503" s="180" t="s">
        <v>137</v>
      </c>
      <c r="D503" s="48" t="s">
        <v>56</v>
      </c>
      <c r="E503" s="441"/>
      <c r="F503" s="118" t="s">
        <v>67</v>
      </c>
      <c r="G503" s="119"/>
      <c r="H503" s="126"/>
      <c r="I503" s="126"/>
      <c r="J503" s="2"/>
      <c r="K503" s="18"/>
      <c r="L503" s="18"/>
      <c r="M503" s="18"/>
      <c r="N503" s="18"/>
      <c r="O503" s="126"/>
      <c r="P503" s="126"/>
      <c r="Q503" s="126">
        <f>Mar!DF284</f>
        <v>1</v>
      </c>
      <c r="R503" s="436"/>
      <c r="S503" s="436"/>
      <c r="T503" s="18"/>
      <c r="U503" s="18"/>
      <c r="V503" s="127">
        <f t="shared" si="24"/>
        <v>5844</v>
      </c>
      <c r="W503" s="45"/>
      <c r="X503" s="67"/>
    </row>
    <row r="504" spans="1:25" ht="14.25" customHeight="1">
      <c r="A504" s="427"/>
      <c r="B504" s="122" t="s">
        <v>125</v>
      </c>
      <c r="C504" s="180" t="s">
        <v>88</v>
      </c>
      <c r="D504" s="48" t="s">
        <v>124</v>
      </c>
      <c r="E504" s="441"/>
      <c r="F504" s="118" t="s">
        <v>64</v>
      </c>
      <c r="G504" s="225"/>
      <c r="H504" s="126"/>
      <c r="I504" s="126"/>
      <c r="J504" s="126"/>
      <c r="K504" s="18"/>
      <c r="L504" s="18"/>
      <c r="M504" s="18">
        <v>51200</v>
      </c>
      <c r="N504" s="80">
        <v>7</v>
      </c>
      <c r="O504" s="126"/>
      <c r="P504" s="126"/>
      <c r="Q504" s="126"/>
      <c r="R504" s="436"/>
      <c r="S504" s="436"/>
      <c r="T504" s="18"/>
      <c r="U504" s="18"/>
      <c r="V504" s="127">
        <f t="shared" si="24"/>
        <v>23615</v>
      </c>
      <c r="W504" s="45"/>
      <c r="X504" s="67"/>
    </row>
    <row r="505" spans="1:25" ht="15" customHeight="1">
      <c r="A505" s="427"/>
      <c r="B505" s="137" t="s">
        <v>47</v>
      </c>
      <c r="C505" s="157" t="s">
        <v>100</v>
      </c>
      <c r="D505" s="48" t="s">
        <v>99</v>
      </c>
      <c r="E505" s="441"/>
      <c r="F505" s="118" t="s">
        <v>71</v>
      </c>
      <c r="G505" s="226"/>
      <c r="H505" s="126"/>
      <c r="I505" s="126"/>
      <c r="J505" s="2"/>
      <c r="K505" s="18"/>
      <c r="L505" s="18"/>
      <c r="M505" s="18">
        <v>18000</v>
      </c>
      <c r="N505" s="18">
        <v>3</v>
      </c>
      <c r="O505" s="126"/>
      <c r="P505" s="126"/>
      <c r="Q505" s="126"/>
      <c r="R505" s="436"/>
      <c r="S505" s="436"/>
      <c r="T505" s="18"/>
      <c r="U505" s="18"/>
      <c r="V505" s="127">
        <f t="shared" si="24"/>
        <v>63278</v>
      </c>
      <c r="W505" s="45"/>
      <c r="X505" s="67"/>
    </row>
    <row r="506" spans="1:25" ht="15" customHeight="1">
      <c r="A506" s="427"/>
      <c r="B506" s="122" t="s">
        <v>196</v>
      </c>
      <c r="C506" s="180" t="s">
        <v>63</v>
      </c>
      <c r="D506" s="48" t="s">
        <v>135</v>
      </c>
      <c r="E506" s="441"/>
      <c r="F506" s="118" t="s">
        <v>64</v>
      </c>
      <c r="G506" s="226"/>
      <c r="H506" s="126"/>
      <c r="I506" s="126"/>
      <c r="J506" s="2"/>
      <c r="K506" s="18"/>
      <c r="L506" s="18"/>
      <c r="M506" s="18">
        <v>33200</v>
      </c>
      <c r="N506" s="18">
        <v>4</v>
      </c>
      <c r="O506" s="126"/>
      <c r="P506" s="126"/>
      <c r="Q506" s="126"/>
      <c r="R506" s="436"/>
      <c r="S506" s="436"/>
      <c r="T506" s="18"/>
      <c r="U506" s="18"/>
      <c r="V506" s="127">
        <f t="shared" si="24"/>
        <v>15106</v>
      </c>
      <c r="W506" s="45"/>
      <c r="X506" s="67"/>
    </row>
    <row r="507" spans="1:25" ht="15" customHeight="1">
      <c r="A507" s="427"/>
      <c r="B507" s="122" t="s">
        <v>253</v>
      </c>
      <c r="C507" s="180" t="s">
        <v>252</v>
      </c>
      <c r="D507" s="48" t="s">
        <v>246</v>
      </c>
      <c r="E507" s="441"/>
      <c r="F507" s="118" t="s">
        <v>247</v>
      </c>
      <c r="G507" s="226"/>
      <c r="H507" s="126"/>
      <c r="I507" s="126"/>
      <c r="J507" s="2"/>
      <c r="K507" s="18"/>
      <c r="L507" s="18"/>
      <c r="M507" s="18"/>
      <c r="N507" s="18"/>
      <c r="O507" s="126"/>
      <c r="P507" s="126"/>
      <c r="Q507" s="126">
        <f>Mar!DF285</f>
        <v>1</v>
      </c>
      <c r="R507" s="436"/>
      <c r="S507" s="436"/>
      <c r="T507" s="18"/>
      <c r="U507" s="18"/>
      <c r="V507" s="127">
        <f>O507-T507-U507+V486</f>
        <v>503</v>
      </c>
      <c r="W507" s="45"/>
      <c r="X507" s="67"/>
    </row>
    <row r="508" spans="1:25" ht="15" customHeight="1">
      <c r="A508" s="427"/>
      <c r="B508" s="122" t="s">
        <v>131</v>
      </c>
      <c r="C508" s="180" t="s">
        <v>194</v>
      </c>
      <c r="D508" s="48" t="s">
        <v>132</v>
      </c>
      <c r="E508" s="441"/>
      <c r="F508" s="118" t="s">
        <v>64</v>
      </c>
      <c r="G508" s="119"/>
      <c r="H508" s="126"/>
      <c r="I508" s="126"/>
      <c r="J508" s="2"/>
      <c r="K508" s="18"/>
      <c r="L508" s="18"/>
      <c r="M508" s="18"/>
      <c r="N508" s="18"/>
      <c r="O508" s="12"/>
      <c r="P508" s="126"/>
      <c r="Q508" s="126">
        <f>Mar!DF287</f>
        <v>1</v>
      </c>
      <c r="R508" s="436"/>
      <c r="S508" s="436"/>
      <c r="T508" s="18"/>
      <c r="U508" s="18"/>
      <c r="V508" s="18"/>
      <c r="W508" s="45"/>
      <c r="X508" s="67"/>
    </row>
    <row r="509" spans="1:25" ht="15" customHeight="1">
      <c r="A509" s="427"/>
      <c r="B509" s="122" t="s">
        <v>101</v>
      </c>
      <c r="C509" s="180" t="s">
        <v>193</v>
      </c>
      <c r="D509" s="48" t="s">
        <v>102</v>
      </c>
      <c r="E509" s="441"/>
      <c r="F509" s="118" t="s">
        <v>64</v>
      </c>
      <c r="G509" s="119"/>
      <c r="H509" s="126"/>
      <c r="I509" s="126"/>
      <c r="J509" s="2"/>
      <c r="K509" s="18"/>
      <c r="L509" s="18"/>
      <c r="M509" s="18"/>
      <c r="N509" s="18"/>
      <c r="O509" s="126"/>
      <c r="P509" s="126"/>
      <c r="Q509" s="126">
        <f>Mar!DF288</f>
        <v>1</v>
      </c>
      <c r="R509" s="436"/>
      <c r="S509" s="436"/>
      <c r="T509" s="18"/>
      <c r="U509" s="18"/>
      <c r="V509" s="18"/>
      <c r="W509" s="45"/>
      <c r="X509" s="67"/>
    </row>
    <row r="510" spans="1:25" ht="15" customHeight="1">
      <c r="A510" s="427"/>
      <c r="B510" s="122" t="s">
        <v>103</v>
      </c>
      <c r="C510" s="157" t="s">
        <v>197</v>
      </c>
      <c r="D510" s="48" t="s">
        <v>104</v>
      </c>
      <c r="E510" s="441"/>
      <c r="F510" s="118" t="s">
        <v>105</v>
      </c>
      <c r="G510" s="119"/>
      <c r="H510" s="126"/>
      <c r="I510" s="126"/>
      <c r="J510" s="2"/>
      <c r="K510" s="18"/>
      <c r="L510" s="18"/>
      <c r="M510" s="18"/>
      <c r="N510" s="18"/>
      <c r="O510" s="126"/>
      <c r="P510" s="126"/>
      <c r="Q510" s="126">
        <f>Mar!DF289</f>
        <v>1</v>
      </c>
      <c r="R510" s="436"/>
      <c r="S510" s="436"/>
      <c r="T510" s="18"/>
      <c r="U510" s="18"/>
      <c r="V510" s="18"/>
      <c r="W510" s="45"/>
      <c r="X510" s="67"/>
    </row>
    <row r="511" spans="1:25" ht="15" customHeight="1">
      <c r="A511" s="427"/>
      <c r="B511" s="137" t="s">
        <v>112</v>
      </c>
      <c r="C511" s="157" t="s">
        <v>197</v>
      </c>
      <c r="D511" s="48" t="s">
        <v>104</v>
      </c>
      <c r="E511" s="441"/>
      <c r="F511" s="118" t="s">
        <v>113</v>
      </c>
      <c r="G511" s="119"/>
      <c r="H511" s="126"/>
      <c r="I511" s="126"/>
      <c r="J511" s="2"/>
      <c r="K511" s="18"/>
      <c r="L511" s="18"/>
      <c r="M511" s="18"/>
      <c r="N511" s="18"/>
      <c r="O511" s="126"/>
      <c r="P511" s="126"/>
      <c r="Q511" s="126">
        <f>Mar!DF292</f>
        <v>1</v>
      </c>
      <c r="R511" s="436"/>
      <c r="S511" s="436"/>
      <c r="T511" s="18"/>
      <c r="U511" s="18"/>
      <c r="V511" s="18"/>
      <c r="W511" s="45"/>
      <c r="X511" s="67"/>
    </row>
    <row r="512" spans="1:25" ht="15" customHeight="1" thickBot="1">
      <c r="A512" s="428"/>
      <c r="B512" s="44" t="s">
        <v>107</v>
      </c>
      <c r="C512" s="181" t="s">
        <v>195</v>
      </c>
      <c r="D512" s="61" t="s">
        <v>108</v>
      </c>
      <c r="E512" s="447"/>
      <c r="F512" s="133" t="s">
        <v>48</v>
      </c>
      <c r="G512" s="132"/>
      <c r="H512" s="109"/>
      <c r="I512" s="134"/>
      <c r="J512" s="129"/>
      <c r="K512" s="130"/>
      <c r="L512" s="130"/>
      <c r="M512" s="130"/>
      <c r="N512" s="130"/>
      <c r="O512" s="134"/>
      <c r="P512" s="134"/>
      <c r="Q512" s="134">
        <f>Mar!DF291</f>
        <v>1</v>
      </c>
      <c r="R512" s="437"/>
      <c r="S512" s="437"/>
      <c r="T512" s="130"/>
      <c r="U512" s="130"/>
      <c r="V512" s="264"/>
      <c r="W512" s="265"/>
      <c r="X512" s="67"/>
    </row>
    <row r="513" spans="1:24" ht="15" customHeight="1">
      <c r="A513" s="426">
        <v>46111</v>
      </c>
      <c r="B513" s="429" t="s">
        <v>44</v>
      </c>
      <c r="C513" s="432" t="s">
        <v>240</v>
      </c>
      <c r="D513" s="19" t="s">
        <v>37</v>
      </c>
      <c r="E513" s="19" t="s">
        <v>25</v>
      </c>
      <c r="F513" s="39" t="s">
        <v>40</v>
      </c>
      <c r="G513" s="41">
        <v>4398.4799999999996</v>
      </c>
      <c r="H513" s="162">
        <v>5744</v>
      </c>
      <c r="I513" s="125"/>
      <c r="J513" s="250"/>
      <c r="K513" s="127">
        <v>24000</v>
      </c>
      <c r="L513" s="127">
        <v>3</v>
      </c>
      <c r="M513" s="127">
        <v>320000</v>
      </c>
      <c r="N513" s="127">
        <v>40</v>
      </c>
      <c r="O513" s="125">
        <f>Mar!DM273</f>
        <v>29749</v>
      </c>
      <c r="P513" s="125">
        <f>Mar!DN273</f>
        <v>34839</v>
      </c>
      <c r="Q513" s="125">
        <f>Mar!DL273</f>
        <v>94</v>
      </c>
      <c r="R513" s="435">
        <f>Mar!DM294</f>
        <v>58316</v>
      </c>
      <c r="S513" s="435">
        <f>Mar!DN294</f>
        <v>74081</v>
      </c>
      <c r="T513" s="127">
        <v>52073</v>
      </c>
      <c r="U513" s="127">
        <v>16</v>
      </c>
      <c r="V513" s="127">
        <f>O513-T513-U513+V492</f>
        <v>39968</v>
      </c>
      <c r="W513" s="46"/>
      <c r="X513" s="67"/>
    </row>
    <row r="514" spans="1:24" ht="15" customHeight="1">
      <c r="A514" s="427"/>
      <c r="B514" s="431"/>
      <c r="C514" s="434"/>
      <c r="D514" s="113" t="s">
        <v>128</v>
      </c>
      <c r="E514" s="113" t="s">
        <v>24</v>
      </c>
      <c r="F514" s="114" t="s">
        <v>40</v>
      </c>
      <c r="G514" s="170">
        <v>2749.05</v>
      </c>
      <c r="H514" s="38"/>
      <c r="I514" s="126"/>
      <c r="J514" s="2"/>
      <c r="K514" s="18">
        <v>23700</v>
      </c>
      <c r="L514" s="18">
        <v>3</v>
      </c>
      <c r="M514" s="18">
        <v>88000</v>
      </c>
      <c r="N514" s="18">
        <v>11</v>
      </c>
      <c r="O514" s="126">
        <f>Mar!DM274</f>
        <v>15546</v>
      </c>
      <c r="P514" s="126">
        <f>Mar!DN274</f>
        <v>21118</v>
      </c>
      <c r="Q514" s="126">
        <f>Mar!DL274</f>
        <v>56</v>
      </c>
      <c r="R514" s="436"/>
      <c r="S514" s="436"/>
      <c r="T514" s="18">
        <v>33692</v>
      </c>
      <c r="U514" s="18">
        <v>6</v>
      </c>
      <c r="V514" s="18">
        <f>O514-T514-U514+V493</f>
        <v>38201</v>
      </c>
      <c r="W514" s="45"/>
      <c r="X514" s="67"/>
    </row>
    <row r="515" spans="1:24" ht="15" customHeight="1">
      <c r="A515" s="427"/>
      <c r="B515" s="442" t="s">
        <v>45</v>
      </c>
      <c r="C515" s="448" t="s">
        <v>59</v>
      </c>
      <c r="D515" s="118" t="s">
        <v>75</v>
      </c>
      <c r="E515" s="438" t="s">
        <v>25</v>
      </c>
      <c r="F515" s="131" t="s">
        <v>57</v>
      </c>
      <c r="G515" s="87"/>
      <c r="H515" s="38"/>
      <c r="I515" s="126"/>
      <c r="J515" s="2"/>
      <c r="K515" s="18">
        <v>5000</v>
      </c>
      <c r="L515" s="18">
        <v>1</v>
      </c>
      <c r="M515" s="18">
        <v>15000</v>
      </c>
      <c r="N515" s="18">
        <v>3</v>
      </c>
      <c r="O515" s="126">
        <f>Mar!DM276</f>
        <v>5912</v>
      </c>
      <c r="P515" s="126">
        <f>Mar!DN276</f>
        <v>3802</v>
      </c>
      <c r="Q515" s="126">
        <f>Mar!DL276</f>
        <v>15</v>
      </c>
      <c r="R515" s="436"/>
      <c r="S515" s="436"/>
      <c r="T515" s="18"/>
      <c r="U515" s="18"/>
      <c r="V515" s="18">
        <f>O515-T515-U515+V494</f>
        <v>101474</v>
      </c>
      <c r="W515" s="45"/>
      <c r="X515" s="67"/>
    </row>
    <row r="516" spans="1:24" ht="15" customHeight="1">
      <c r="A516" s="427"/>
      <c r="B516" s="439"/>
      <c r="C516" s="440"/>
      <c r="D516" s="118" t="s">
        <v>94</v>
      </c>
      <c r="E516" s="431"/>
      <c r="F516" s="131"/>
      <c r="G516" s="87"/>
      <c r="H516" s="38">
        <v>1620</v>
      </c>
      <c r="I516" s="126"/>
      <c r="J516" s="2"/>
      <c r="K516" s="18"/>
      <c r="L516" s="18"/>
      <c r="M516" s="18"/>
      <c r="N516" s="18"/>
      <c r="O516" s="126"/>
      <c r="P516" s="126"/>
      <c r="Q516" s="126"/>
      <c r="R516" s="436"/>
      <c r="S516" s="436"/>
      <c r="T516" s="18"/>
      <c r="U516" s="18"/>
      <c r="V516" s="18"/>
      <c r="W516" s="45"/>
      <c r="X516" s="67"/>
    </row>
    <row r="517" spans="1:24" ht="15" customHeight="1">
      <c r="A517" s="427"/>
      <c r="B517" s="439"/>
      <c r="C517" s="440"/>
      <c r="D517" s="118" t="s">
        <v>72</v>
      </c>
      <c r="E517" s="155" t="s">
        <v>24</v>
      </c>
      <c r="F517" s="131" t="s">
        <v>57</v>
      </c>
      <c r="G517" s="152">
        <v>3106</v>
      </c>
      <c r="H517" s="38"/>
      <c r="I517" s="126"/>
      <c r="J517" s="2"/>
      <c r="K517" s="18">
        <v>15000</v>
      </c>
      <c r="L517" s="18">
        <v>3</v>
      </c>
      <c r="M517" s="18">
        <v>80000</v>
      </c>
      <c r="N517" s="18">
        <v>16</v>
      </c>
      <c r="O517" s="126">
        <f>Mar!DM277</f>
        <v>3520</v>
      </c>
      <c r="P517" s="126">
        <f>Mar!DN277</f>
        <v>6309</v>
      </c>
      <c r="Q517" s="126">
        <f>Mar!DL277</f>
        <v>26</v>
      </c>
      <c r="R517" s="436"/>
      <c r="S517" s="436"/>
      <c r="T517" s="18">
        <v>5311</v>
      </c>
      <c r="U517" s="18"/>
      <c r="V517" s="18">
        <f>O517-T517-U517+V496</f>
        <v>2696</v>
      </c>
      <c r="W517" s="45"/>
      <c r="X517" s="67"/>
    </row>
    <row r="518" spans="1:24" ht="15" customHeight="1">
      <c r="A518" s="427"/>
      <c r="B518" s="439"/>
      <c r="C518" s="440"/>
      <c r="D518" s="115" t="s">
        <v>79</v>
      </c>
      <c r="E518" s="118" t="s">
        <v>65</v>
      </c>
      <c r="F518" s="131" t="s">
        <v>57</v>
      </c>
      <c r="G518" s="224"/>
      <c r="H518" s="38"/>
      <c r="I518" s="126"/>
      <c r="J518" s="2"/>
      <c r="K518" s="18"/>
      <c r="L518" s="18"/>
      <c r="M518" s="18"/>
      <c r="N518" s="18"/>
      <c r="O518" s="126"/>
      <c r="P518" s="126"/>
      <c r="Q518" s="126"/>
      <c r="R518" s="436"/>
      <c r="S518" s="436"/>
      <c r="T518" s="18"/>
      <c r="U518" s="18"/>
      <c r="V518" s="18"/>
      <c r="W518" s="45"/>
      <c r="X518" s="67"/>
    </row>
    <row r="519" spans="1:24" ht="15" customHeight="1">
      <c r="A519" s="427"/>
      <c r="B519" s="442" t="s">
        <v>53</v>
      </c>
      <c r="C519" s="444" t="s">
        <v>60</v>
      </c>
      <c r="D519" s="43" t="s">
        <v>130</v>
      </c>
      <c r="E519" s="115" t="s">
        <v>66</v>
      </c>
      <c r="F519" s="118" t="s">
        <v>54</v>
      </c>
      <c r="G519" s="224"/>
      <c r="H519" s="38"/>
      <c r="I519" s="126"/>
      <c r="J519" s="2"/>
      <c r="K519" s="18"/>
      <c r="L519" s="18"/>
      <c r="M519" s="18">
        <v>84000</v>
      </c>
      <c r="N519" s="18">
        <v>14</v>
      </c>
      <c r="O519" s="126">
        <f>Mar!DM275</f>
        <v>3589</v>
      </c>
      <c r="P519" s="126">
        <f>Mar!DN275</f>
        <v>8013</v>
      </c>
      <c r="Q519" s="126">
        <f>Mar!DL275</f>
        <v>24</v>
      </c>
      <c r="R519" s="436"/>
      <c r="S519" s="436"/>
      <c r="T519" s="18">
        <v>6754</v>
      </c>
      <c r="U519" s="18"/>
      <c r="V519" s="18">
        <f>O519-T519-U519+V499</f>
        <v>907</v>
      </c>
      <c r="W519" s="45"/>
      <c r="X519" s="67"/>
    </row>
    <row r="520" spans="1:24" ht="15" customHeight="1">
      <c r="A520" s="427"/>
      <c r="B520" s="443"/>
      <c r="C520" s="446"/>
      <c r="D520" s="43" t="s">
        <v>199</v>
      </c>
      <c r="E520" s="114" t="s">
        <v>25</v>
      </c>
      <c r="F520" s="118"/>
      <c r="G520" s="224"/>
      <c r="H520" s="38">
        <v>1836</v>
      </c>
      <c r="I520" s="126"/>
      <c r="J520" s="2"/>
      <c r="K520" s="18"/>
      <c r="L520" s="18"/>
      <c r="M520" s="18"/>
      <c r="N520" s="18"/>
      <c r="O520" s="126"/>
      <c r="P520" s="126"/>
      <c r="Q520" s="126"/>
      <c r="R520" s="436"/>
      <c r="S520" s="436"/>
      <c r="T520" s="18"/>
      <c r="U520" s="18"/>
      <c r="V520" s="18"/>
      <c r="W520" s="45"/>
      <c r="X520" s="67"/>
    </row>
    <row r="521" spans="1:24" ht="15" customHeight="1">
      <c r="A521" s="427"/>
      <c r="B521" s="122" t="s">
        <v>55</v>
      </c>
      <c r="C521" s="180" t="s">
        <v>133</v>
      </c>
      <c r="D521" s="48" t="s">
        <v>56</v>
      </c>
      <c r="E521" s="424" t="s">
        <v>25</v>
      </c>
      <c r="F521" s="118" t="s">
        <v>67</v>
      </c>
      <c r="G521" s="224"/>
      <c r="H521" s="38"/>
      <c r="I521" s="126"/>
      <c r="J521" s="2"/>
      <c r="K521" s="18"/>
      <c r="L521" s="18"/>
      <c r="M521" s="18">
        <v>2800</v>
      </c>
      <c r="N521" s="18">
        <v>1</v>
      </c>
      <c r="O521" s="126"/>
      <c r="P521" s="126"/>
      <c r="Q521" s="126"/>
      <c r="R521" s="436"/>
      <c r="S521" s="436"/>
      <c r="T521" s="18"/>
      <c r="U521" s="18"/>
      <c r="V521" s="18">
        <f>O521-T521-U521+V500</f>
        <v>500</v>
      </c>
      <c r="W521" s="45"/>
      <c r="X521" s="67"/>
    </row>
    <row r="522" spans="1:24" ht="15" customHeight="1">
      <c r="A522" s="427"/>
      <c r="B522" s="122" t="s">
        <v>122</v>
      </c>
      <c r="C522" s="180" t="s">
        <v>123</v>
      </c>
      <c r="D522" s="48" t="s">
        <v>56</v>
      </c>
      <c r="E522" s="441"/>
      <c r="F522" s="155" t="s">
        <v>64</v>
      </c>
      <c r="G522" s="224"/>
      <c r="H522" s="38"/>
      <c r="I522" s="126"/>
      <c r="J522" s="2"/>
      <c r="K522" s="18"/>
      <c r="L522" s="18"/>
      <c r="M522" s="18">
        <v>6400</v>
      </c>
      <c r="N522" s="18">
        <v>2</v>
      </c>
      <c r="O522" s="126"/>
      <c r="P522" s="126"/>
      <c r="Q522" s="126">
        <f>Mar!DL282</f>
        <v>1</v>
      </c>
      <c r="R522" s="436"/>
      <c r="S522" s="436"/>
      <c r="T522" s="18"/>
      <c r="U522" s="18"/>
      <c r="V522" s="18">
        <f t="shared" ref="V522:V528" si="25">O522-T522-U522+V501</f>
        <v>31304</v>
      </c>
      <c r="W522" s="45"/>
      <c r="X522" s="67"/>
    </row>
    <row r="523" spans="1:24" ht="15" customHeight="1">
      <c r="A523" s="427"/>
      <c r="B523" s="137" t="s">
        <v>58</v>
      </c>
      <c r="C523" s="157" t="s">
        <v>243</v>
      </c>
      <c r="D523" s="48" t="s">
        <v>56</v>
      </c>
      <c r="E523" s="441"/>
      <c r="F523" s="118" t="s">
        <v>64</v>
      </c>
      <c r="G523" s="226"/>
      <c r="H523" s="38"/>
      <c r="I523" s="126"/>
      <c r="J523" s="2"/>
      <c r="K523" s="18"/>
      <c r="L523" s="18"/>
      <c r="M523" s="18"/>
      <c r="N523" s="18"/>
      <c r="O523" s="126"/>
      <c r="P523" s="126"/>
      <c r="Q523" s="126">
        <f>Mar!DL283</f>
        <v>1</v>
      </c>
      <c r="R523" s="436"/>
      <c r="S523" s="436"/>
      <c r="T523" s="18"/>
      <c r="U523" s="18"/>
      <c r="V523" s="18">
        <f t="shared" si="25"/>
        <v>8562</v>
      </c>
      <c r="W523" s="45"/>
      <c r="X523" s="67"/>
    </row>
    <row r="524" spans="1:24" ht="15" customHeight="1">
      <c r="A524" s="427"/>
      <c r="B524" s="122" t="s">
        <v>61</v>
      </c>
      <c r="C524" s="180" t="s">
        <v>137</v>
      </c>
      <c r="D524" s="48" t="s">
        <v>56</v>
      </c>
      <c r="E524" s="441"/>
      <c r="F524" s="118" t="s">
        <v>67</v>
      </c>
      <c r="G524" s="119"/>
      <c r="H524" s="38"/>
      <c r="I524" s="126"/>
      <c r="J524" s="2"/>
      <c r="K524" s="18"/>
      <c r="L524" s="18"/>
      <c r="M524" s="18"/>
      <c r="N524" s="18"/>
      <c r="O524" s="126"/>
      <c r="P524" s="126"/>
      <c r="Q524" s="126">
        <f>Mar!DL284</f>
        <v>1</v>
      </c>
      <c r="R524" s="436"/>
      <c r="S524" s="436"/>
      <c r="T524" s="18"/>
      <c r="U524" s="18"/>
      <c r="V524" s="18">
        <f t="shared" si="25"/>
        <v>5844</v>
      </c>
      <c r="W524" s="45"/>
      <c r="X524" s="67"/>
    </row>
    <row r="525" spans="1:24" ht="15" customHeight="1">
      <c r="A525" s="427"/>
      <c r="B525" s="122" t="s">
        <v>125</v>
      </c>
      <c r="C525" s="180" t="s">
        <v>88</v>
      </c>
      <c r="D525" s="48" t="s">
        <v>124</v>
      </c>
      <c r="E525" s="441"/>
      <c r="F525" s="118" t="s">
        <v>64</v>
      </c>
      <c r="G525" s="225"/>
      <c r="H525" s="38"/>
      <c r="I525" s="126"/>
      <c r="J525" s="2"/>
      <c r="K525" s="18"/>
      <c r="L525" s="18"/>
      <c r="M525" s="18">
        <v>51200</v>
      </c>
      <c r="N525" s="18">
        <v>7</v>
      </c>
      <c r="O525" s="126"/>
      <c r="P525" s="126"/>
      <c r="Q525" s="126"/>
      <c r="R525" s="436"/>
      <c r="S525" s="436"/>
      <c r="T525" s="18"/>
      <c r="U525" s="18"/>
      <c r="V525" s="18">
        <f t="shared" si="25"/>
        <v>23615</v>
      </c>
      <c r="W525" s="45"/>
      <c r="X525" s="67"/>
    </row>
    <row r="526" spans="1:24" ht="15" customHeight="1">
      <c r="A526" s="427"/>
      <c r="B526" s="137" t="s">
        <v>47</v>
      </c>
      <c r="C526" s="157" t="s">
        <v>100</v>
      </c>
      <c r="D526" s="48" t="s">
        <v>99</v>
      </c>
      <c r="E526" s="441"/>
      <c r="F526" s="118" t="s">
        <v>71</v>
      </c>
      <c r="G526" s="226"/>
      <c r="H526" s="38"/>
      <c r="I526" s="126"/>
      <c r="J526" s="2"/>
      <c r="K526" s="18"/>
      <c r="L526" s="18"/>
      <c r="M526" s="18">
        <v>18000</v>
      </c>
      <c r="N526" s="18">
        <v>3</v>
      </c>
      <c r="O526" s="126"/>
      <c r="P526" s="126"/>
      <c r="Q526" s="126"/>
      <c r="R526" s="436"/>
      <c r="S526" s="436"/>
      <c r="T526" s="18"/>
      <c r="U526" s="18"/>
      <c r="V526" s="18">
        <f t="shared" si="25"/>
        <v>63278</v>
      </c>
      <c r="W526" s="45"/>
      <c r="X526" s="67"/>
    </row>
    <row r="527" spans="1:24" ht="15" customHeight="1">
      <c r="A527" s="427"/>
      <c r="B527" s="122" t="s">
        <v>196</v>
      </c>
      <c r="C527" s="180" t="s">
        <v>63</v>
      </c>
      <c r="D527" s="48" t="s">
        <v>135</v>
      </c>
      <c r="E527" s="441"/>
      <c r="F527" s="118" t="s">
        <v>64</v>
      </c>
      <c r="G527" s="226"/>
      <c r="H527" s="38"/>
      <c r="I527" s="126"/>
      <c r="J527" s="2"/>
      <c r="K527" s="18"/>
      <c r="L527" s="18"/>
      <c r="M527" s="18">
        <v>33200</v>
      </c>
      <c r="N527" s="18">
        <v>4</v>
      </c>
      <c r="O527" s="126"/>
      <c r="P527" s="126"/>
      <c r="Q527" s="126"/>
      <c r="R527" s="436"/>
      <c r="S527" s="436"/>
      <c r="T527" s="18"/>
      <c r="U527" s="18"/>
      <c r="V527" s="18">
        <f t="shared" si="25"/>
        <v>15106</v>
      </c>
      <c r="W527" s="45"/>
      <c r="X527" s="67"/>
    </row>
    <row r="528" spans="1:24" ht="15" customHeight="1">
      <c r="A528" s="427"/>
      <c r="B528" s="122" t="s">
        <v>253</v>
      </c>
      <c r="C528" s="180" t="s">
        <v>252</v>
      </c>
      <c r="D528" s="48" t="s">
        <v>246</v>
      </c>
      <c r="E528" s="441"/>
      <c r="F528" s="118" t="s">
        <v>247</v>
      </c>
      <c r="G528" s="226"/>
      <c r="H528" s="38"/>
      <c r="I528" s="126"/>
      <c r="J528" s="2"/>
      <c r="K528" s="18"/>
      <c r="L528" s="18"/>
      <c r="M528" s="18"/>
      <c r="N528" s="18"/>
      <c r="O528" s="126"/>
      <c r="P528" s="126"/>
      <c r="Q528" s="126">
        <f>Mar!DL285</f>
        <v>1</v>
      </c>
      <c r="R528" s="436"/>
      <c r="S528" s="436"/>
      <c r="T528" s="18"/>
      <c r="U528" s="18"/>
      <c r="V528" s="18">
        <f t="shared" si="25"/>
        <v>503</v>
      </c>
      <c r="W528" s="45"/>
      <c r="X528" s="67"/>
    </row>
    <row r="529" spans="1:25" ht="15" customHeight="1">
      <c r="A529" s="427"/>
      <c r="B529" s="122" t="s">
        <v>131</v>
      </c>
      <c r="C529" s="180" t="s">
        <v>194</v>
      </c>
      <c r="D529" s="48" t="s">
        <v>132</v>
      </c>
      <c r="E529" s="441"/>
      <c r="F529" s="118" t="s">
        <v>64</v>
      </c>
      <c r="G529" s="119"/>
      <c r="H529" s="38"/>
      <c r="I529" s="126"/>
      <c r="J529" s="2"/>
      <c r="K529" s="18"/>
      <c r="L529" s="18"/>
      <c r="M529" s="18"/>
      <c r="N529" s="18"/>
      <c r="O529" s="126"/>
      <c r="P529" s="126"/>
      <c r="Q529" s="126"/>
      <c r="R529" s="436"/>
      <c r="S529" s="436"/>
      <c r="T529" s="18"/>
      <c r="U529" s="18"/>
      <c r="V529" s="18"/>
      <c r="W529" s="45"/>
      <c r="X529" s="67"/>
    </row>
    <row r="530" spans="1:25" ht="15" customHeight="1">
      <c r="A530" s="427"/>
      <c r="B530" s="122" t="s">
        <v>101</v>
      </c>
      <c r="C530" s="180" t="s">
        <v>193</v>
      </c>
      <c r="D530" s="48" t="s">
        <v>102</v>
      </c>
      <c r="E530" s="441"/>
      <c r="F530" s="118" t="s">
        <v>64</v>
      </c>
      <c r="G530" s="119"/>
      <c r="H530" s="38"/>
      <c r="I530" s="126"/>
      <c r="J530" s="2"/>
      <c r="K530" s="18"/>
      <c r="L530" s="18"/>
      <c r="M530" s="18"/>
      <c r="N530" s="18"/>
      <c r="O530" s="126"/>
      <c r="P530" s="126"/>
      <c r="Q530" s="126">
        <f>Mar!DL288</f>
        <v>1</v>
      </c>
      <c r="R530" s="436"/>
      <c r="S530" s="436"/>
      <c r="T530" s="18"/>
      <c r="U530" s="18"/>
      <c r="V530" s="18"/>
      <c r="W530" s="45"/>
      <c r="X530" s="67"/>
    </row>
    <row r="531" spans="1:25" ht="15" customHeight="1">
      <c r="A531" s="427"/>
      <c r="B531" s="122" t="s">
        <v>103</v>
      </c>
      <c r="C531" s="157" t="s">
        <v>197</v>
      </c>
      <c r="D531" s="48" t="s">
        <v>104</v>
      </c>
      <c r="E531" s="441"/>
      <c r="F531" s="118" t="s">
        <v>105</v>
      </c>
      <c r="G531" s="119"/>
      <c r="H531" s="38"/>
      <c r="I531" s="126"/>
      <c r="J531" s="2"/>
      <c r="K531" s="18"/>
      <c r="L531" s="18"/>
      <c r="M531" s="18"/>
      <c r="N531" s="18"/>
      <c r="O531" s="126"/>
      <c r="P531" s="126"/>
      <c r="Q531" s="126">
        <f>Mar!DL289</f>
        <v>1</v>
      </c>
      <c r="R531" s="436"/>
      <c r="S531" s="436"/>
      <c r="T531" s="18"/>
      <c r="U531" s="18"/>
      <c r="V531" s="18"/>
      <c r="W531" s="45"/>
      <c r="X531" s="67"/>
    </row>
    <row r="532" spans="1:25" ht="15" customHeight="1">
      <c r="A532" s="427"/>
      <c r="B532" s="137" t="s">
        <v>112</v>
      </c>
      <c r="C532" s="157" t="s">
        <v>197</v>
      </c>
      <c r="D532" s="48" t="s">
        <v>104</v>
      </c>
      <c r="E532" s="441"/>
      <c r="F532" s="118" t="s">
        <v>113</v>
      </c>
      <c r="G532" s="119"/>
      <c r="H532" s="38"/>
      <c r="I532" s="126"/>
      <c r="J532" s="2"/>
      <c r="K532" s="18"/>
      <c r="L532" s="18"/>
      <c r="M532" s="18"/>
      <c r="N532" s="18"/>
      <c r="O532" s="126"/>
      <c r="P532" s="126"/>
      <c r="Q532" s="126">
        <f>Mar!DL292</f>
        <v>1</v>
      </c>
      <c r="R532" s="436"/>
      <c r="S532" s="436"/>
      <c r="T532" s="18"/>
      <c r="U532" s="18"/>
      <c r="V532" s="18"/>
      <c r="W532" s="45"/>
      <c r="X532" s="67"/>
    </row>
    <row r="533" spans="1:25" ht="15" customHeight="1">
      <c r="A533" s="427"/>
      <c r="B533" s="137" t="s">
        <v>106</v>
      </c>
      <c r="C533" s="157" t="s">
        <v>141</v>
      </c>
      <c r="D533" s="48" t="s">
        <v>68</v>
      </c>
      <c r="E533" s="441"/>
      <c r="F533" s="118" t="s">
        <v>67</v>
      </c>
      <c r="G533" s="119"/>
      <c r="H533" s="38"/>
      <c r="I533" s="126"/>
      <c r="J533" s="2"/>
      <c r="K533" s="18"/>
      <c r="L533" s="18"/>
      <c r="M533" s="18"/>
      <c r="N533" s="18"/>
      <c r="O533" s="126"/>
      <c r="P533" s="126"/>
      <c r="Q533" s="126"/>
      <c r="R533" s="436"/>
      <c r="S533" s="436"/>
      <c r="T533" s="18"/>
      <c r="U533" s="18"/>
      <c r="V533" s="18"/>
      <c r="W533" s="45"/>
      <c r="X533" s="67"/>
    </row>
    <row r="534" spans="1:25" ht="15" customHeight="1" thickBot="1">
      <c r="A534" s="428"/>
      <c r="B534" s="44" t="s">
        <v>107</v>
      </c>
      <c r="C534" s="181" t="s">
        <v>195</v>
      </c>
      <c r="D534" s="61" t="s">
        <v>108</v>
      </c>
      <c r="E534" s="447"/>
      <c r="F534" s="133" t="s">
        <v>48</v>
      </c>
      <c r="G534" s="132"/>
      <c r="H534" s="261"/>
      <c r="I534" s="262"/>
      <c r="J534" s="263"/>
      <c r="K534" s="264"/>
      <c r="L534" s="264"/>
      <c r="M534" s="264"/>
      <c r="N534" s="264"/>
      <c r="O534" s="262"/>
      <c r="P534" s="262"/>
      <c r="Q534" s="262">
        <f>Mar!DL291</f>
        <v>1</v>
      </c>
      <c r="R534" s="437"/>
      <c r="S534" s="437"/>
      <c r="T534" s="264"/>
      <c r="U534" s="264"/>
      <c r="V534" s="264"/>
      <c r="W534" s="265"/>
      <c r="X534" s="67"/>
    </row>
    <row r="535" spans="1:25" ht="15" customHeight="1">
      <c r="A535" s="426">
        <v>46112</v>
      </c>
      <c r="B535" s="429" t="s">
        <v>44</v>
      </c>
      <c r="C535" s="432" t="s">
        <v>240</v>
      </c>
      <c r="D535" s="19" t="s">
        <v>37</v>
      </c>
      <c r="E535" s="19" t="s">
        <v>25</v>
      </c>
      <c r="F535" s="39" t="s">
        <v>40</v>
      </c>
      <c r="G535" s="41"/>
      <c r="H535" s="32"/>
      <c r="I535" s="32"/>
      <c r="J535" s="32"/>
      <c r="K535" s="20">
        <v>64000</v>
      </c>
      <c r="L535" s="20">
        <v>8</v>
      </c>
      <c r="M535" s="20">
        <v>256000</v>
      </c>
      <c r="N535" s="84">
        <v>32</v>
      </c>
      <c r="O535" s="32">
        <f>Mar!DP273</f>
        <v>47329</v>
      </c>
      <c r="P535" s="32">
        <f>Mar!DQ273</f>
        <v>32163</v>
      </c>
      <c r="Q535" s="32">
        <f>Mar!DO273</f>
        <v>94</v>
      </c>
      <c r="R535" s="435">
        <f>Mar!DP294</f>
        <v>82607</v>
      </c>
      <c r="S535" s="435">
        <f>Mar!DQ294</f>
        <v>68671</v>
      </c>
      <c r="T535" s="20">
        <v>51405</v>
      </c>
      <c r="U535" s="233">
        <v>5</v>
      </c>
      <c r="V535" s="233">
        <f>O535-T535-U535+V513</f>
        <v>35887</v>
      </c>
      <c r="W535" s="77"/>
      <c r="X535" s="36"/>
    </row>
    <row r="536" spans="1:25" ht="15" customHeight="1">
      <c r="A536" s="427"/>
      <c r="B536" s="431"/>
      <c r="C536" s="434"/>
      <c r="D536" s="113" t="s">
        <v>128</v>
      </c>
      <c r="E536" s="113" t="s">
        <v>24</v>
      </c>
      <c r="F536" s="114" t="s">
        <v>40</v>
      </c>
      <c r="G536" s="170">
        <v>4948.29</v>
      </c>
      <c r="H536" s="158">
        <v>2430</v>
      </c>
      <c r="I536" s="125"/>
      <c r="J536" s="125"/>
      <c r="K536" s="18"/>
      <c r="L536" s="127"/>
      <c r="M536" s="216">
        <v>160000</v>
      </c>
      <c r="N536" s="238">
        <v>20</v>
      </c>
      <c r="O536" s="126">
        <f>Mar!DP274</f>
        <v>11722</v>
      </c>
      <c r="P536" s="125">
        <f>Mar!DQ274</f>
        <v>19362</v>
      </c>
      <c r="Q536" s="125">
        <f>Mar!DO274</f>
        <v>56</v>
      </c>
      <c r="R536" s="436"/>
      <c r="S536" s="436"/>
      <c r="T536" s="127">
        <v>25951</v>
      </c>
      <c r="U536" s="216">
        <v>305</v>
      </c>
      <c r="V536" s="216">
        <f>O536-T536-U536+V514</f>
        <v>23667</v>
      </c>
      <c r="W536" s="46"/>
      <c r="X536" s="67"/>
    </row>
    <row r="537" spans="1:25" ht="15" customHeight="1">
      <c r="A537" s="427"/>
      <c r="B537" s="442" t="s">
        <v>45</v>
      </c>
      <c r="C537" s="448" t="s">
        <v>59</v>
      </c>
      <c r="D537" s="118" t="s">
        <v>75</v>
      </c>
      <c r="E537" s="438" t="s">
        <v>25</v>
      </c>
      <c r="F537" s="131" t="s">
        <v>57</v>
      </c>
      <c r="G537" s="87"/>
      <c r="H537" s="136"/>
      <c r="I537" s="126"/>
      <c r="J537" s="2"/>
      <c r="K537" s="127">
        <v>5000</v>
      </c>
      <c r="L537" s="18">
        <v>1</v>
      </c>
      <c r="M537" s="18">
        <v>10000</v>
      </c>
      <c r="N537" s="80">
        <v>2</v>
      </c>
      <c r="O537" s="126">
        <f>Mar!DP276</f>
        <v>5060</v>
      </c>
      <c r="P537" s="126">
        <f>Mar!DQ276</f>
        <v>3505</v>
      </c>
      <c r="Q537" s="2">
        <f>Mar!DO276</f>
        <v>15</v>
      </c>
      <c r="R537" s="436"/>
      <c r="S537" s="436"/>
      <c r="T537" s="18"/>
      <c r="U537" s="211"/>
      <c r="V537" s="216">
        <f>O537-T537-U537+V515</f>
        <v>106534</v>
      </c>
      <c r="W537" s="46"/>
      <c r="Y537" s="13"/>
    </row>
    <row r="538" spans="1:25" ht="15" customHeight="1">
      <c r="A538" s="427"/>
      <c r="B538" s="439"/>
      <c r="C538" s="440"/>
      <c r="D538" s="118" t="s">
        <v>94</v>
      </c>
      <c r="E538" s="431"/>
      <c r="F538" s="131"/>
      <c r="G538" s="87"/>
      <c r="H538" s="152"/>
      <c r="I538" s="126"/>
      <c r="J538" s="2"/>
      <c r="K538" s="127"/>
      <c r="L538" s="18"/>
      <c r="M538" s="18"/>
      <c r="N538" s="80"/>
      <c r="O538" s="126"/>
      <c r="P538" s="126"/>
      <c r="Q538" s="2"/>
      <c r="R538" s="436"/>
      <c r="S538" s="436"/>
      <c r="T538" s="18"/>
      <c r="U538" s="18"/>
      <c r="V538" s="127"/>
      <c r="W538" s="46"/>
      <c r="Y538" s="13"/>
    </row>
    <row r="539" spans="1:25">
      <c r="A539" s="427"/>
      <c r="B539" s="439"/>
      <c r="C539" s="440"/>
      <c r="D539" s="118" t="s">
        <v>72</v>
      </c>
      <c r="E539" s="155" t="s">
        <v>24</v>
      </c>
      <c r="F539" s="131" t="s">
        <v>57</v>
      </c>
      <c r="G539" s="152"/>
      <c r="H539" s="136"/>
      <c r="I539" s="126"/>
      <c r="J539" s="126"/>
      <c r="K539" s="127">
        <v>5000</v>
      </c>
      <c r="L539" s="18">
        <v>1</v>
      </c>
      <c r="M539" s="18">
        <v>75000</v>
      </c>
      <c r="N539" s="80">
        <v>15</v>
      </c>
      <c r="O539" s="126">
        <f>Mar!DP277</f>
        <v>5930</v>
      </c>
      <c r="P539" s="126">
        <f>Mar!DQ277</f>
        <v>5778</v>
      </c>
      <c r="Q539" s="2">
        <f>Mar!DO277</f>
        <v>26</v>
      </c>
      <c r="R539" s="436"/>
      <c r="S539" s="436"/>
      <c r="T539" s="18">
        <v>6364</v>
      </c>
      <c r="U539" s="211">
        <v>35</v>
      </c>
      <c r="V539" s="216">
        <f>O539-T539-U539+V517</f>
        <v>2227</v>
      </c>
      <c r="W539" s="46"/>
      <c r="Y539" s="13"/>
    </row>
    <row r="540" spans="1:25">
      <c r="A540" s="427"/>
      <c r="B540" s="439"/>
      <c r="C540" s="440"/>
      <c r="D540" s="115" t="s">
        <v>79</v>
      </c>
      <c r="E540" s="118" t="s">
        <v>65</v>
      </c>
      <c r="F540" s="131" t="s">
        <v>57</v>
      </c>
      <c r="G540" s="224"/>
      <c r="H540" s="152"/>
      <c r="I540" s="126"/>
      <c r="J540" s="126"/>
      <c r="K540" s="127"/>
      <c r="L540" s="18"/>
      <c r="M540" s="18"/>
      <c r="N540" s="80"/>
      <c r="O540" s="126"/>
      <c r="P540" s="126">
        <f>Mar!DQ278</f>
        <v>174</v>
      </c>
      <c r="Q540" s="126">
        <f>Mar!DO278</f>
        <v>1</v>
      </c>
      <c r="R540" s="436"/>
      <c r="S540" s="436"/>
      <c r="T540" s="18"/>
      <c r="U540" s="18"/>
      <c r="V540" s="127"/>
      <c r="W540" s="46"/>
      <c r="Y540" s="13"/>
    </row>
    <row r="541" spans="1:25" ht="14.25" customHeight="1">
      <c r="A541" s="427"/>
      <c r="B541" s="442" t="s">
        <v>53</v>
      </c>
      <c r="C541" s="444" t="s">
        <v>60</v>
      </c>
      <c r="D541" s="43" t="s">
        <v>130</v>
      </c>
      <c r="E541" s="115" t="s">
        <v>66</v>
      </c>
      <c r="F541" s="118" t="s">
        <v>54</v>
      </c>
      <c r="G541" s="224"/>
      <c r="H541" s="37"/>
      <c r="I541" s="126"/>
      <c r="J541" s="126"/>
      <c r="K541" s="18">
        <v>18000</v>
      </c>
      <c r="L541" s="18">
        <v>3</v>
      </c>
      <c r="M541" s="18">
        <v>66000</v>
      </c>
      <c r="N541" s="80">
        <v>11</v>
      </c>
      <c r="O541" s="126">
        <f>Mar!DP275</f>
        <v>12566</v>
      </c>
      <c r="P541" s="126">
        <f>Mar!DQ275</f>
        <v>7403</v>
      </c>
      <c r="Q541" s="126">
        <f>Mar!DO275</f>
        <v>24</v>
      </c>
      <c r="R541" s="436"/>
      <c r="S541" s="436"/>
      <c r="T541" s="18">
        <v>6472</v>
      </c>
      <c r="U541" s="211"/>
      <c r="V541" s="216">
        <f>O541-T541-U541+V519</f>
        <v>7001</v>
      </c>
      <c r="W541" s="45"/>
      <c r="X541" s="36"/>
    </row>
    <row r="542" spans="1:25" ht="14.25" customHeight="1">
      <c r="A542" s="427"/>
      <c r="B542" s="443"/>
      <c r="C542" s="446"/>
      <c r="D542" s="43" t="s">
        <v>199</v>
      </c>
      <c r="E542" s="114" t="s">
        <v>25</v>
      </c>
      <c r="F542" s="118"/>
      <c r="G542" s="224"/>
      <c r="H542" s="126"/>
      <c r="I542" s="126"/>
      <c r="J542" s="126"/>
      <c r="K542" s="18"/>
      <c r="L542" s="18"/>
      <c r="M542" s="18"/>
      <c r="N542" s="80"/>
      <c r="O542" s="126"/>
      <c r="P542" s="126"/>
      <c r="Q542" s="126"/>
      <c r="R542" s="436"/>
      <c r="S542" s="436"/>
      <c r="T542" s="18"/>
      <c r="U542" s="18"/>
      <c r="V542" s="127"/>
      <c r="W542" s="45"/>
      <c r="X542" s="67"/>
    </row>
    <row r="543" spans="1:25" ht="14.25" customHeight="1">
      <c r="A543" s="427"/>
      <c r="B543" s="122" t="s">
        <v>55</v>
      </c>
      <c r="C543" s="180" t="s">
        <v>133</v>
      </c>
      <c r="D543" s="48" t="s">
        <v>56</v>
      </c>
      <c r="E543" s="424" t="s">
        <v>25</v>
      </c>
      <c r="F543" s="118" t="s">
        <v>67</v>
      </c>
      <c r="G543" s="224"/>
      <c r="H543" s="37"/>
      <c r="I543" s="126"/>
      <c r="J543" s="126"/>
      <c r="K543" s="18"/>
      <c r="L543" s="18"/>
      <c r="M543" s="18">
        <v>2800</v>
      </c>
      <c r="N543" s="80">
        <v>1</v>
      </c>
      <c r="O543" s="126"/>
      <c r="P543" s="126"/>
      <c r="Q543" s="126"/>
      <c r="R543" s="436"/>
      <c r="S543" s="436"/>
      <c r="T543" s="18"/>
      <c r="U543" s="211"/>
      <c r="V543" s="216">
        <f>O543-T543-U543+V521</f>
        <v>500</v>
      </c>
      <c r="W543" s="45"/>
      <c r="X543" s="67"/>
    </row>
    <row r="544" spans="1:25" ht="14.25" customHeight="1">
      <c r="A544" s="427"/>
      <c r="B544" s="122" t="s">
        <v>122</v>
      </c>
      <c r="C544" s="180" t="s">
        <v>123</v>
      </c>
      <c r="D544" s="48" t="s">
        <v>56</v>
      </c>
      <c r="E544" s="441"/>
      <c r="F544" s="155" t="s">
        <v>64</v>
      </c>
      <c r="G544" s="224"/>
      <c r="H544" s="135"/>
      <c r="I544" s="158"/>
      <c r="J544" s="158"/>
      <c r="K544" s="128"/>
      <c r="L544" s="128"/>
      <c r="M544" s="128">
        <v>6400</v>
      </c>
      <c r="N544" s="164">
        <v>2</v>
      </c>
      <c r="O544" s="158"/>
      <c r="P544" s="158"/>
      <c r="Q544" s="158">
        <f>Mar!DO282</f>
        <v>1</v>
      </c>
      <c r="R544" s="436"/>
      <c r="S544" s="436"/>
      <c r="T544" s="18"/>
      <c r="U544" s="211"/>
      <c r="V544" s="216">
        <f t="shared" ref="V544:V550" si="26">O544-T544-U544+V522</f>
        <v>31304</v>
      </c>
      <c r="W544" s="45"/>
      <c r="X544" s="67"/>
    </row>
    <row r="545" spans="1:24" ht="15.75" customHeight="1">
      <c r="A545" s="427"/>
      <c r="B545" s="137" t="s">
        <v>58</v>
      </c>
      <c r="C545" s="157" t="s">
        <v>243</v>
      </c>
      <c r="D545" s="48" t="s">
        <v>56</v>
      </c>
      <c r="E545" s="441"/>
      <c r="F545" s="118" t="s">
        <v>64</v>
      </c>
      <c r="G545" s="226"/>
      <c r="H545" s="126"/>
      <c r="I545" s="126"/>
      <c r="J545" s="2"/>
      <c r="K545" s="18"/>
      <c r="L545" s="18"/>
      <c r="M545" s="18"/>
      <c r="N545" s="18"/>
      <c r="O545" s="126"/>
      <c r="P545" s="126"/>
      <c r="Q545" s="126">
        <f>Mar!DO283</f>
        <v>1</v>
      </c>
      <c r="R545" s="436"/>
      <c r="S545" s="436"/>
      <c r="T545" s="18"/>
      <c r="U545" s="18"/>
      <c r="V545" s="127">
        <f t="shared" si="26"/>
        <v>8562</v>
      </c>
      <c r="W545" s="45"/>
      <c r="X545" s="67"/>
    </row>
    <row r="546" spans="1:24" ht="15" customHeight="1">
      <c r="A546" s="427"/>
      <c r="B546" s="122" t="s">
        <v>61</v>
      </c>
      <c r="C546" s="180" t="s">
        <v>137</v>
      </c>
      <c r="D546" s="48" t="s">
        <v>56</v>
      </c>
      <c r="E546" s="441"/>
      <c r="F546" s="118" t="s">
        <v>67</v>
      </c>
      <c r="G546" s="119"/>
      <c r="H546" s="126"/>
      <c r="I546" s="126"/>
      <c r="J546" s="2"/>
      <c r="K546" s="18"/>
      <c r="L546" s="18"/>
      <c r="M546" s="18"/>
      <c r="N546" s="18"/>
      <c r="O546" s="126"/>
      <c r="P546" s="126"/>
      <c r="Q546" s="126">
        <f>Mar!DO284</f>
        <v>1</v>
      </c>
      <c r="R546" s="436"/>
      <c r="S546" s="436"/>
      <c r="T546" s="18"/>
      <c r="U546" s="18"/>
      <c r="V546" s="127">
        <f t="shared" si="26"/>
        <v>5844</v>
      </c>
      <c r="W546" s="45"/>
      <c r="X546" s="67"/>
    </row>
    <row r="547" spans="1:24" ht="14.25" customHeight="1">
      <c r="A547" s="427"/>
      <c r="B547" s="122" t="s">
        <v>125</v>
      </c>
      <c r="C547" s="180" t="s">
        <v>88</v>
      </c>
      <c r="D547" s="48" t="s">
        <v>124</v>
      </c>
      <c r="E547" s="441"/>
      <c r="F547" s="118" t="s">
        <v>64</v>
      </c>
      <c r="G547" s="225"/>
      <c r="H547" s="126"/>
      <c r="I547" s="126"/>
      <c r="J547" s="126"/>
      <c r="K547" s="18"/>
      <c r="L547" s="18"/>
      <c r="M547" s="18">
        <v>51200</v>
      </c>
      <c r="N547" s="80">
        <v>7</v>
      </c>
      <c r="O547" s="126"/>
      <c r="P547" s="126"/>
      <c r="Q547" s="126"/>
      <c r="R547" s="436"/>
      <c r="S547" s="436"/>
      <c r="T547" s="18"/>
      <c r="U547" s="18"/>
      <c r="V547" s="127">
        <f t="shared" si="26"/>
        <v>23615</v>
      </c>
      <c r="W547" s="45"/>
      <c r="X547" s="67"/>
    </row>
    <row r="548" spans="1:24" ht="15" customHeight="1">
      <c r="A548" s="427"/>
      <c r="B548" s="137" t="s">
        <v>47</v>
      </c>
      <c r="C548" s="157" t="s">
        <v>100</v>
      </c>
      <c r="D548" s="48" t="s">
        <v>99</v>
      </c>
      <c r="E548" s="441"/>
      <c r="F548" s="118" t="s">
        <v>71</v>
      </c>
      <c r="G548" s="226"/>
      <c r="H548" s="126"/>
      <c r="I548" s="126"/>
      <c r="J548" s="2"/>
      <c r="K548" s="18"/>
      <c r="L548" s="18"/>
      <c r="M548" s="18">
        <v>18000</v>
      </c>
      <c r="N548" s="18">
        <v>3</v>
      </c>
      <c r="O548" s="126"/>
      <c r="P548" s="126"/>
      <c r="Q548" s="126"/>
      <c r="R548" s="436"/>
      <c r="S548" s="436"/>
      <c r="T548" s="18"/>
      <c r="U548" s="18"/>
      <c r="V548" s="127">
        <f t="shared" si="26"/>
        <v>63278</v>
      </c>
      <c r="W548" s="45"/>
      <c r="X548" s="67"/>
    </row>
    <row r="549" spans="1:24" ht="15" customHeight="1">
      <c r="A549" s="427"/>
      <c r="B549" s="122" t="s">
        <v>196</v>
      </c>
      <c r="C549" s="180" t="s">
        <v>63</v>
      </c>
      <c r="D549" s="48" t="s">
        <v>135</v>
      </c>
      <c r="E549" s="441"/>
      <c r="F549" s="118" t="s">
        <v>64</v>
      </c>
      <c r="G549" s="226"/>
      <c r="H549" s="126"/>
      <c r="I549" s="126"/>
      <c r="J549" s="2"/>
      <c r="K549" s="18"/>
      <c r="L549" s="18"/>
      <c r="M549" s="18">
        <v>33200</v>
      </c>
      <c r="N549" s="18">
        <v>4</v>
      </c>
      <c r="O549" s="126"/>
      <c r="P549" s="126"/>
      <c r="Q549" s="126"/>
      <c r="R549" s="436"/>
      <c r="S549" s="436"/>
      <c r="T549" s="18"/>
      <c r="U549" s="18"/>
      <c r="V549" s="127">
        <f t="shared" si="26"/>
        <v>15106</v>
      </c>
      <c r="W549" s="45"/>
      <c r="X549" s="67"/>
    </row>
    <row r="550" spans="1:24" ht="15" customHeight="1">
      <c r="A550" s="427"/>
      <c r="B550" s="122" t="s">
        <v>253</v>
      </c>
      <c r="C550" s="180" t="s">
        <v>252</v>
      </c>
      <c r="D550" s="48" t="s">
        <v>246</v>
      </c>
      <c r="E550" s="441"/>
      <c r="F550" s="118" t="s">
        <v>247</v>
      </c>
      <c r="G550" s="226"/>
      <c r="H550" s="126"/>
      <c r="I550" s="126"/>
      <c r="J550" s="2"/>
      <c r="K550" s="18"/>
      <c r="L550" s="18"/>
      <c r="M550" s="18"/>
      <c r="N550" s="18"/>
      <c r="O550" s="126"/>
      <c r="P550" s="126"/>
      <c r="Q550" s="126">
        <f>Mar!DO285</f>
        <v>1</v>
      </c>
      <c r="R550" s="436"/>
      <c r="S550" s="436"/>
      <c r="T550" s="18"/>
      <c r="U550" s="18"/>
      <c r="V550" s="127">
        <f t="shared" si="26"/>
        <v>503</v>
      </c>
      <c r="W550" s="45"/>
      <c r="X550" s="67"/>
    </row>
    <row r="551" spans="1:24" ht="15" customHeight="1">
      <c r="A551" s="427"/>
      <c r="B551" s="122" t="s">
        <v>131</v>
      </c>
      <c r="C551" s="180" t="s">
        <v>194</v>
      </c>
      <c r="D551" s="48" t="s">
        <v>132</v>
      </c>
      <c r="E551" s="441"/>
      <c r="F551" s="118" t="s">
        <v>64</v>
      </c>
      <c r="G551" s="119"/>
      <c r="H551" s="126"/>
      <c r="I551" s="126"/>
      <c r="J551" s="2"/>
      <c r="K551" s="18"/>
      <c r="L551" s="18"/>
      <c r="M551" s="18"/>
      <c r="N551" s="18"/>
      <c r="O551" s="126"/>
      <c r="P551" s="126"/>
      <c r="Q551" s="126"/>
      <c r="R551" s="436"/>
      <c r="S551" s="436"/>
      <c r="T551" s="18"/>
      <c r="U551" s="18"/>
      <c r="V551" s="18"/>
      <c r="W551" s="45"/>
      <c r="X551" s="67"/>
    </row>
    <row r="552" spans="1:24" ht="15" customHeight="1">
      <c r="A552" s="427"/>
      <c r="B552" s="122" t="s">
        <v>101</v>
      </c>
      <c r="C552" s="180" t="s">
        <v>193</v>
      </c>
      <c r="D552" s="48" t="s">
        <v>102</v>
      </c>
      <c r="E552" s="441"/>
      <c r="F552" s="118" t="s">
        <v>64</v>
      </c>
      <c r="G552" s="119"/>
      <c r="H552" s="126"/>
      <c r="I552" s="126"/>
      <c r="J552" s="2"/>
      <c r="K552" s="18"/>
      <c r="L552" s="18"/>
      <c r="M552" s="18"/>
      <c r="N552" s="18"/>
      <c r="O552" s="126"/>
      <c r="P552" s="126"/>
      <c r="Q552" s="126">
        <f>Mar!DO288</f>
        <v>1</v>
      </c>
      <c r="R552" s="436"/>
      <c r="S552" s="436"/>
      <c r="T552" s="18"/>
      <c r="U552" s="18"/>
      <c r="V552" s="18"/>
      <c r="W552" s="45"/>
      <c r="X552" s="67"/>
    </row>
    <row r="553" spans="1:24" ht="15" customHeight="1">
      <c r="A553" s="427"/>
      <c r="B553" s="122" t="s">
        <v>103</v>
      </c>
      <c r="C553" s="157" t="s">
        <v>197</v>
      </c>
      <c r="D553" s="48" t="s">
        <v>104</v>
      </c>
      <c r="E553" s="441"/>
      <c r="F553" s="118" t="s">
        <v>105</v>
      </c>
      <c r="G553" s="119"/>
      <c r="H553" s="126"/>
      <c r="I553" s="126"/>
      <c r="J553" s="2"/>
      <c r="K553" s="18"/>
      <c r="L553" s="18"/>
      <c r="M553" s="18"/>
      <c r="N553" s="18"/>
      <c r="O553" s="126"/>
      <c r="P553" s="126"/>
      <c r="Q553" s="126">
        <f>Mar!DO289</f>
        <v>1</v>
      </c>
      <c r="R553" s="436"/>
      <c r="S553" s="436"/>
      <c r="T553" s="18"/>
      <c r="U553" s="18"/>
      <c r="V553" s="18"/>
      <c r="W553" s="45"/>
      <c r="X553" s="67"/>
    </row>
    <row r="554" spans="1:24" ht="15" customHeight="1">
      <c r="A554" s="427"/>
      <c r="B554" s="137" t="s">
        <v>112</v>
      </c>
      <c r="C554" s="157" t="s">
        <v>197</v>
      </c>
      <c r="D554" s="48" t="s">
        <v>104</v>
      </c>
      <c r="E554" s="441"/>
      <c r="F554" s="118" t="s">
        <v>113</v>
      </c>
      <c r="G554" s="119"/>
      <c r="H554" s="126"/>
      <c r="I554" s="126"/>
      <c r="J554" s="2"/>
      <c r="K554" s="18"/>
      <c r="L554" s="18"/>
      <c r="M554" s="18"/>
      <c r="N554" s="18"/>
      <c r="O554" s="126"/>
      <c r="P554" s="126"/>
      <c r="Q554" s="126">
        <f>Mar!DO292</f>
        <v>1</v>
      </c>
      <c r="R554" s="436"/>
      <c r="S554" s="436"/>
      <c r="T554" s="18"/>
      <c r="U554" s="18"/>
      <c r="V554" s="18"/>
      <c r="W554" s="45"/>
      <c r="X554" s="67"/>
    </row>
    <row r="555" spans="1:24" ht="15" customHeight="1">
      <c r="A555" s="427"/>
      <c r="B555" s="137" t="s">
        <v>106</v>
      </c>
      <c r="C555" s="157" t="s">
        <v>141</v>
      </c>
      <c r="D555" s="48" t="s">
        <v>68</v>
      </c>
      <c r="E555" s="441"/>
      <c r="F555" s="118" t="s">
        <v>67</v>
      </c>
      <c r="G555" s="266">
        <v>228.13</v>
      </c>
      <c r="H555" s="126"/>
      <c r="I555" s="126"/>
      <c r="J555" s="2"/>
      <c r="K555" s="18">
        <v>2000</v>
      </c>
      <c r="L555" s="18">
        <v>1</v>
      </c>
      <c r="M555" s="18"/>
      <c r="N555" s="18"/>
      <c r="O555" s="126"/>
      <c r="P555" s="126">
        <f>Mar!DQ290</f>
        <v>286</v>
      </c>
      <c r="Q555" s="126">
        <f>Mar!DO290</f>
        <v>1</v>
      </c>
      <c r="R555" s="436"/>
      <c r="S555" s="436"/>
      <c r="T555" s="18"/>
      <c r="U555" s="18"/>
      <c r="V555" s="18"/>
      <c r="W555" s="45"/>
      <c r="X555" s="67"/>
    </row>
    <row r="556" spans="1:24" ht="15" customHeight="1" thickBot="1">
      <c r="A556" s="428"/>
      <c r="B556" s="44" t="s">
        <v>107</v>
      </c>
      <c r="C556" s="181" t="s">
        <v>195</v>
      </c>
      <c r="D556" s="61" t="s">
        <v>108</v>
      </c>
      <c r="E556" s="447"/>
      <c r="F556" s="133" t="s">
        <v>48</v>
      </c>
      <c r="G556" s="132"/>
      <c r="H556" s="109"/>
      <c r="I556" s="134"/>
      <c r="J556" s="129"/>
      <c r="K556" s="130"/>
      <c r="L556" s="130"/>
      <c r="M556" s="130"/>
      <c r="N556" s="130"/>
      <c r="O556" s="134"/>
      <c r="P556" s="134"/>
      <c r="Q556" s="134">
        <f>Mar!DO291</f>
        <v>1</v>
      </c>
      <c r="R556" s="437"/>
      <c r="S556" s="437"/>
      <c r="T556" s="130"/>
      <c r="U556" s="130"/>
      <c r="V556" s="128"/>
      <c r="W556" s="85"/>
      <c r="X556" s="67"/>
    </row>
    <row r="557" spans="1:24" ht="17.25" customHeight="1">
      <c r="A557" s="450" t="s">
        <v>237</v>
      </c>
      <c r="B557" s="429" t="s">
        <v>44</v>
      </c>
      <c r="C557" s="432" t="s">
        <v>241</v>
      </c>
      <c r="D557" s="19" t="s">
        <v>37</v>
      </c>
      <c r="E557" s="19" t="s">
        <v>25</v>
      </c>
      <c r="F557" s="39" t="s">
        <v>40</v>
      </c>
      <c r="G557" s="47">
        <f>SUMIF($D$4:$D$556,"SC-1020",$G$4:$G$556)</f>
        <v>75873.78</v>
      </c>
      <c r="H557" s="183">
        <f>SUMIF($D$4:$D$556,"SC-1020",$H$4:$H$556)</f>
        <v>51744</v>
      </c>
      <c r="I557" s="481">
        <f>SUM(I4:I556)</f>
        <v>231</v>
      </c>
      <c r="J557" s="478">
        <f>SUM(J4:J556)</f>
        <v>22.6</v>
      </c>
      <c r="K557" s="30">
        <f>SUMIFS($K$4:$K$556,$D$4:$D$556,"SC-1020",$F$4:$F$556,"65""")</f>
        <v>872000</v>
      </c>
      <c r="L557" s="30">
        <f>SUMIFS($L$4:$L$556,$D$4:$D$556,"SC-1020",$F$4:$F$556,"65""")</f>
        <v>109</v>
      </c>
      <c r="M557" s="30">
        <f t="shared" ref="M557:N559" si="27">M535</f>
        <v>256000</v>
      </c>
      <c r="N557" s="30">
        <f t="shared" si="27"/>
        <v>32</v>
      </c>
      <c r="O557" s="30">
        <f>SUMIFS($O$4:$O$556,$D$4:$D$556,"SC-1020",$F$4:$F$556,"65""")</f>
        <v>782790</v>
      </c>
      <c r="P557" s="30">
        <f>SUMIFS($P$4:$P$556,$D$4:$D$556,"SC-1020",$F$4:$F$556,"65""")</f>
        <v>786192</v>
      </c>
      <c r="Q557" s="30"/>
      <c r="R557" s="453">
        <f>SUM(R4:R556)</f>
        <v>1865324</v>
      </c>
      <c r="S557" s="453">
        <f>SUM(S4:S556)</f>
        <v>1849039</v>
      </c>
      <c r="T557" s="208">
        <f>SUMIFS($T$4:$T$556,$D$4:$D$556,"SC-1020",$F$4:$F$556,"65""")</f>
        <v>779319</v>
      </c>
      <c r="U557" s="194">
        <f>SUMIFS($U$4:$U$556,$D$4:$D$556,"SC-1020",$F$4:$F$556,"65""")</f>
        <v>385</v>
      </c>
      <c r="V557" s="208">
        <f>V535</f>
        <v>35887</v>
      </c>
      <c r="W557" s="19"/>
    </row>
    <row r="558" spans="1:24" ht="17.25" customHeight="1">
      <c r="A558" s="451"/>
      <c r="B558" s="431"/>
      <c r="C558" s="434"/>
      <c r="D558" s="119" t="s">
        <v>128</v>
      </c>
      <c r="E558" s="115" t="s">
        <v>24</v>
      </c>
      <c r="F558" s="118" t="s">
        <v>40</v>
      </c>
      <c r="G558" s="47">
        <f>SUMIF($D$4:$D$556,"011-4",$G$4:$G$556)</f>
        <v>35613.93</v>
      </c>
      <c r="H558" s="196">
        <f>SUMIF($D$4:$D$556,"011-4",$H$4:$H$556)</f>
        <v>33956.5</v>
      </c>
      <c r="I558" s="482"/>
      <c r="J558" s="479"/>
      <c r="K558" s="12">
        <f>SUMIFS($K$4:$K$556,$D$4:$D$556,"011-4",$F$4:$F$556,"65""")</f>
        <v>528200</v>
      </c>
      <c r="L558" s="12">
        <f>SUMIFS($L$4:$L$556,$D$4:$D$556,"011-4",$F$4:$F$556,"65""")</f>
        <v>67</v>
      </c>
      <c r="M558" s="12">
        <f t="shared" si="27"/>
        <v>160000</v>
      </c>
      <c r="N558" s="12">
        <f t="shared" si="27"/>
        <v>20</v>
      </c>
      <c r="O558" s="12">
        <f>SUMIFS($O$4:$O$556,$D$4:$D$556,"011-4",$F$4:$F$556,"65""")</f>
        <v>486016</v>
      </c>
      <c r="P558" s="12">
        <f>SUMIFS($P$4:$P$556,$D$4:$D$556,"011-4",$F$4:$F$556,"65""")</f>
        <v>498913</v>
      </c>
      <c r="Q558" s="117"/>
      <c r="R558" s="454"/>
      <c r="S558" s="454"/>
      <c r="T558" s="194">
        <f>SUMIFS($T$4:$T$556,$D$4:$D$556,"011-4",$F$4:$F$556,"65""")</f>
        <v>479011</v>
      </c>
      <c r="U558" s="194">
        <f>SUMIFS($U$4:$U$556,$D$4:$D$556,"011-4",$F$4:$F$556,"65""")</f>
        <v>1946</v>
      </c>
      <c r="V558" s="194">
        <f>V536</f>
        <v>23667</v>
      </c>
      <c r="W558" s="113"/>
    </row>
    <row r="559" spans="1:24" ht="17.25" customHeight="1">
      <c r="A559" s="451"/>
      <c r="B559" s="452" t="s">
        <v>45</v>
      </c>
      <c r="C559" s="471" t="s">
        <v>59</v>
      </c>
      <c r="D559" s="118" t="s">
        <v>75</v>
      </c>
      <c r="E559" s="441" t="s">
        <v>25</v>
      </c>
      <c r="F559" s="119" t="s">
        <v>57</v>
      </c>
      <c r="G559" s="12">
        <f>SUMIF($D$4:$D$556,"AAZ43",$G$4:$G$556)</f>
        <v>6212</v>
      </c>
      <c r="H559" s="12"/>
      <c r="I559" s="482"/>
      <c r="J559" s="479"/>
      <c r="K559" s="12">
        <f>SUMIFS($K$4:$K$556,$D$4:$D$556,"AAZ43",$F$4:$F$556,"66.5""")</f>
        <v>105900</v>
      </c>
      <c r="L559" s="12">
        <f>SUMIFS($L$4:$L$556,$D$4:$D$556,"AAZ43",$F$4:$F$556,"66.5""")</f>
        <v>21</v>
      </c>
      <c r="M559" s="12">
        <f t="shared" si="27"/>
        <v>10000</v>
      </c>
      <c r="N559" s="12">
        <f t="shared" si="27"/>
        <v>2</v>
      </c>
      <c r="O559" s="12">
        <f>SUMIFS($O$4:$O$556,$D$4:$D$556,"AAZ43",$F$4:$F$556,"66.5""")</f>
        <v>79109</v>
      </c>
      <c r="P559" s="12">
        <f>SUMIFS($P$4:$P$556,$D$4:$D$556,"AAZ43",$F$4:$F$556,"66.5""")</f>
        <v>78610</v>
      </c>
      <c r="Q559" s="12"/>
      <c r="R559" s="454"/>
      <c r="S559" s="454"/>
      <c r="T559" s="117">
        <f>SUMIFS($T$4:$T$556,$D$4:$D$556,"AAZ43",$F$4:$F$556,"66.5""")</f>
        <v>59286</v>
      </c>
      <c r="U559" s="194">
        <f>SUMIFS($U$4:$U$556,$D$4:$D$556,"AAZ43",$F$4:$F$556,"66.5""")</f>
        <v>3</v>
      </c>
      <c r="V559" s="183">
        <f>V537</f>
        <v>106534</v>
      </c>
      <c r="W559" s="119"/>
    </row>
    <row r="560" spans="1:24" ht="17.25" customHeight="1">
      <c r="A560" s="451"/>
      <c r="B560" s="452"/>
      <c r="C560" s="471"/>
      <c r="D560" s="48" t="s">
        <v>94</v>
      </c>
      <c r="E560" s="425"/>
      <c r="F560" s="119"/>
      <c r="G560" s="47"/>
      <c r="H560" s="218">
        <f>SUMIF($D$4:$D$556,"AAZ86",$H$4:$H$556)</f>
        <v>8845.2000000000007</v>
      </c>
      <c r="I560" s="482"/>
      <c r="J560" s="479"/>
      <c r="K560" s="12"/>
      <c r="L560" s="12"/>
      <c r="M560" s="12"/>
      <c r="N560" s="12"/>
      <c r="O560" s="12"/>
      <c r="P560" s="12"/>
      <c r="Q560" s="12"/>
      <c r="R560" s="454"/>
      <c r="S560" s="454"/>
      <c r="T560" s="117"/>
      <c r="U560" s="117"/>
      <c r="V560" s="183"/>
      <c r="W560" s="12"/>
    </row>
    <row r="561" spans="1:30" ht="17.25" customHeight="1">
      <c r="A561" s="451"/>
      <c r="B561" s="452"/>
      <c r="C561" s="471"/>
      <c r="D561" s="118" t="s">
        <v>72</v>
      </c>
      <c r="E561" s="424" t="s">
        <v>24</v>
      </c>
      <c r="F561" s="119" t="s">
        <v>57</v>
      </c>
      <c r="G561" s="12">
        <f>SUMIF($D$4:$D$556,"1800A",$G$4:$G$556)</f>
        <v>15530</v>
      </c>
      <c r="H561" s="119"/>
      <c r="I561" s="482"/>
      <c r="J561" s="479"/>
      <c r="K561" s="12">
        <f>SUMIFS($K$4:$K$556,$D$4:$D$556,"1800A",$F$4:$F$556,"66.5""")</f>
        <v>155000</v>
      </c>
      <c r="L561" s="12">
        <f>SUMIFS($L$4:$L$556,$D$4:$D$556,"1800A",$F$4:$F$556,"66.5""")</f>
        <v>31</v>
      </c>
      <c r="M561" s="12">
        <f>M539</f>
        <v>75000</v>
      </c>
      <c r="N561" s="12">
        <f>N539</f>
        <v>15</v>
      </c>
      <c r="O561" s="12">
        <f>SUMIFS($O$4:$O$556,$D$4:$D$556,"1800A",$F$4:$F$556,"66.5""")</f>
        <v>146615</v>
      </c>
      <c r="P561" s="12">
        <f>SUMIFS($P$4:$P$556,$D$4:$D$556,"1800A",$F$4:$F$556,"66.5""")</f>
        <v>146285</v>
      </c>
      <c r="Q561" s="12"/>
      <c r="R561" s="454"/>
      <c r="S561" s="454"/>
      <c r="T561" s="194">
        <f>SUMIFS($T$4:$T$556,$D$4:$D$556,"1800A",$F$4:$F$556,"66.5""")</f>
        <v>149228</v>
      </c>
      <c r="U561" s="194">
        <f>SUMIFS($U$4:$U$556,$D$4:$D$556,"1800A",$F$4:$F$556,"66.5""")</f>
        <v>438</v>
      </c>
      <c r="V561" s="183">
        <f>V539</f>
        <v>2227</v>
      </c>
      <c r="W561" s="119"/>
    </row>
    <row r="562" spans="1:30" ht="17.25" customHeight="1">
      <c r="A562" s="451"/>
      <c r="B562" s="452"/>
      <c r="C562" s="471"/>
      <c r="D562" s="115" t="s">
        <v>73</v>
      </c>
      <c r="E562" s="425"/>
      <c r="F562" s="119"/>
      <c r="G562" s="12"/>
      <c r="H562" s="183">
        <f>SUMIF($D$4:$D$556,"1801D",$H$4:$H$556)</f>
        <v>14520</v>
      </c>
      <c r="I562" s="482"/>
      <c r="J562" s="479"/>
      <c r="K562" s="12"/>
      <c r="L562" s="12"/>
      <c r="M562" s="12"/>
      <c r="N562" s="12"/>
      <c r="O562" s="12"/>
      <c r="P562" s="12"/>
      <c r="Q562" s="12"/>
      <c r="R562" s="454"/>
      <c r="S562" s="454"/>
      <c r="T562" s="194"/>
      <c r="U562" s="194"/>
      <c r="V562" s="183"/>
      <c r="W562" s="119"/>
    </row>
    <row r="563" spans="1:30" ht="17.25" customHeight="1">
      <c r="A563" s="451"/>
      <c r="B563" s="452"/>
      <c r="C563" s="471"/>
      <c r="D563" s="115" t="s">
        <v>79</v>
      </c>
      <c r="E563" s="424" t="s">
        <v>65</v>
      </c>
      <c r="F563" s="119" t="s">
        <v>57</v>
      </c>
      <c r="G563" s="47"/>
      <c r="H563" s="119"/>
      <c r="I563" s="482"/>
      <c r="J563" s="479"/>
      <c r="K563" s="12">
        <f>SUMIFS($K$4:$K$556,$D$4:$D$556,"DJ-234",$F$4:$F$556,"66.5""")</f>
        <v>54000</v>
      </c>
      <c r="L563" s="12">
        <f>SUMIFS($L$4:$L$556,$D$4:$D$556,"DJ-234",$F$4:$F$556,"66.5""")</f>
        <v>11</v>
      </c>
      <c r="M563" s="12"/>
      <c r="N563" s="12"/>
      <c r="O563" s="12">
        <f>SUMIFS($O$4:$O$556,$D$4:$D$556,"DJ-234",$F$4:$F$556,"66.5""")</f>
        <v>71249</v>
      </c>
      <c r="P563" s="12">
        <f>SUMIFS($P$4:$P$556,$D$4:$D$556,"DJ-234",$F$4:$F$556,"66.5""")</f>
        <v>61801</v>
      </c>
      <c r="Q563" s="12"/>
      <c r="R563" s="454"/>
      <c r="S563" s="454"/>
      <c r="T563" s="117">
        <f>SUMIFS($T$4:$T$556,$D$4:$D$556,"DJ-234",$F$4:$F$556,"66.5""")</f>
        <v>83258</v>
      </c>
      <c r="U563" s="194">
        <f>SUMIFS($U$4:$U$556,$D$4:$D$556,"DJ-234",$F$4:$F$556,"66.5""")</f>
        <v>6</v>
      </c>
      <c r="V563" s="183">
        <f>V540</f>
        <v>0</v>
      </c>
      <c r="W563" s="119"/>
    </row>
    <row r="564" spans="1:30" ht="17.25" customHeight="1">
      <c r="A564" s="451"/>
      <c r="B564" s="452"/>
      <c r="C564" s="471"/>
      <c r="D564" s="115" t="s">
        <v>80</v>
      </c>
      <c r="E564" s="441"/>
      <c r="F564" s="119"/>
      <c r="G564" s="119"/>
      <c r="H564" s="218">
        <f>SUMIF($D$4:$D$556,"DJ-232A",$H$4:$H$556)</f>
        <v>6129.8</v>
      </c>
      <c r="I564" s="482"/>
      <c r="J564" s="479"/>
      <c r="K564" s="12"/>
      <c r="L564" s="12"/>
      <c r="M564" s="12"/>
      <c r="N564" s="12"/>
      <c r="O564" s="12"/>
      <c r="P564" s="12"/>
      <c r="Q564" s="119"/>
      <c r="R564" s="454"/>
      <c r="S564" s="454"/>
      <c r="T564" s="117"/>
      <c r="U564" s="117"/>
      <c r="V564" s="183"/>
      <c r="W564" s="119"/>
    </row>
    <row r="565" spans="1:30" ht="17.25" customHeight="1">
      <c r="A565" s="451"/>
      <c r="B565" s="452"/>
      <c r="C565" s="471"/>
      <c r="D565" s="115" t="s">
        <v>42</v>
      </c>
      <c r="E565" s="118" t="s">
        <v>25</v>
      </c>
      <c r="F565" s="119"/>
      <c r="G565" s="119"/>
      <c r="H565" s="12"/>
      <c r="I565" s="482"/>
      <c r="J565" s="479"/>
      <c r="K565" s="12"/>
      <c r="L565" s="12"/>
      <c r="M565" s="12">
        <v>2743</v>
      </c>
      <c r="N565" s="12">
        <v>1</v>
      </c>
      <c r="O565" s="12"/>
      <c r="P565" s="12"/>
      <c r="Q565" s="119"/>
      <c r="R565" s="454"/>
      <c r="S565" s="454"/>
      <c r="T565" s="117"/>
      <c r="U565" s="117"/>
      <c r="V565" s="183"/>
      <c r="W565" s="119"/>
    </row>
    <row r="566" spans="1:30" ht="17.25" customHeight="1">
      <c r="A566" s="451"/>
      <c r="B566" s="442" t="s">
        <v>53</v>
      </c>
      <c r="C566" s="444" t="s">
        <v>60</v>
      </c>
      <c r="D566" s="43" t="s">
        <v>130</v>
      </c>
      <c r="E566" s="210" t="s">
        <v>66</v>
      </c>
      <c r="F566" s="118" t="s">
        <v>54</v>
      </c>
      <c r="G566" s="47">
        <f>SUMIF($D$4:$D$556,"RD225Z,DR1074Z",$G$4:$G$556)</f>
        <v>11941.720000000001</v>
      </c>
      <c r="H566" s="113"/>
      <c r="I566" s="482"/>
      <c r="J566" s="479"/>
      <c r="K566" s="12">
        <f>SUMIFS($K$4:$K$556,$D$4:$D$556,"RD225Z,DR1074Z",$F$4:$F$556,"67""")</f>
        <v>191400</v>
      </c>
      <c r="L566" s="12">
        <f>SUMIFS($L$4:$L$556,$D$4:$D$556,"RD225Z,DR1074Z",$F$4:$F$556,"67""")</f>
        <v>33</v>
      </c>
      <c r="M566" s="12">
        <f>M541</f>
        <v>66000</v>
      </c>
      <c r="N566" s="12">
        <f>N541</f>
        <v>11</v>
      </c>
      <c r="O566" s="12">
        <f>SUMIFS($O$4:$O$556,$D$4:$D$556,"RD225Z,DR1074Z",$F$4:$F$556,"67""")</f>
        <v>224693</v>
      </c>
      <c r="P566" s="12">
        <f>SUMIFS($P$4:$P$556,$D$4:$D$556,"RD225Z,DR1074Z",$F$4:$F$556,"67""")</f>
        <v>221755</v>
      </c>
      <c r="Q566" s="12"/>
      <c r="R566" s="454"/>
      <c r="S566" s="454"/>
      <c r="T566" s="117">
        <f>SUMIFS($T$4:$T$556,$D$4:$D$556,"RD225Z,DR1074Z",$F$4:$F$556,"67""")</f>
        <v>228384</v>
      </c>
      <c r="U566" s="194">
        <f>SUMIFS($U$4:$U$556,$D$4:$D$556,"RD225Z,DR1074Z",$F$4:$F$556,"67""")</f>
        <v>10</v>
      </c>
      <c r="V566" s="183">
        <f>V541</f>
        <v>7001</v>
      </c>
      <c r="W566" s="119"/>
      <c r="AD566" s="13"/>
    </row>
    <row r="567" spans="1:30" ht="17.25" customHeight="1">
      <c r="A567" s="451"/>
      <c r="B567" s="439"/>
      <c r="C567" s="445"/>
      <c r="D567" s="48" t="s">
        <v>199</v>
      </c>
      <c r="E567" s="115" t="s">
        <v>25</v>
      </c>
      <c r="F567" s="119"/>
      <c r="G567" s="12"/>
      <c r="H567" s="218">
        <f>SUMIF($D$4:$D$556,"RD225Z",$H$4:$H$556)</f>
        <v>11335.6</v>
      </c>
      <c r="I567" s="482"/>
      <c r="J567" s="479"/>
      <c r="K567" s="12"/>
      <c r="L567" s="12"/>
      <c r="M567" s="12"/>
      <c r="N567" s="12"/>
      <c r="O567" s="12"/>
      <c r="P567" s="117"/>
      <c r="Q567" s="119"/>
      <c r="R567" s="454"/>
      <c r="S567" s="454"/>
      <c r="T567" s="117"/>
      <c r="U567" s="117"/>
      <c r="V567" s="191"/>
      <c r="W567" s="119"/>
    </row>
    <row r="568" spans="1:30" ht="17.25" customHeight="1">
      <c r="A568" s="451"/>
      <c r="B568" s="443"/>
      <c r="C568" s="446"/>
      <c r="D568" s="48" t="s">
        <v>96</v>
      </c>
      <c r="E568" s="113" t="s">
        <v>65</v>
      </c>
      <c r="F568" s="119"/>
      <c r="G568" s="47"/>
      <c r="H568" s="183">
        <f>SUMIF($D$4:$D$556,"DR1075Z",$H$4:$H$556)</f>
        <v>1836</v>
      </c>
      <c r="I568" s="482"/>
      <c r="J568" s="479"/>
      <c r="K568" s="12"/>
      <c r="L568" s="12"/>
      <c r="M568" s="12"/>
      <c r="N568" s="12"/>
      <c r="O568" s="12"/>
      <c r="P568" s="117"/>
      <c r="Q568" s="119"/>
      <c r="R568" s="454"/>
      <c r="S568" s="454"/>
      <c r="T568" s="117"/>
      <c r="U568" s="117"/>
      <c r="V568" s="191"/>
      <c r="W568" s="119"/>
    </row>
    <row r="569" spans="1:30" ht="17.25" customHeight="1">
      <c r="A569" s="451"/>
      <c r="B569" s="442" t="s">
        <v>55</v>
      </c>
      <c r="C569" s="444" t="s">
        <v>133</v>
      </c>
      <c r="D569" s="43" t="s">
        <v>56</v>
      </c>
      <c r="E569" s="430" t="s">
        <v>25</v>
      </c>
      <c r="F569" s="48" t="s">
        <v>67</v>
      </c>
      <c r="G569" s="196"/>
      <c r="H569" s="31"/>
      <c r="I569" s="482"/>
      <c r="J569" s="479"/>
      <c r="K569" s="183">
        <f>SUMIFS($K$4:$K$556,$D$4:$D$556,"ACZ07",$F$4:$F$556,"56""",$C$4:$C$556,"P/OX 600D*300D, 64T, 135GR/SQM, recycle 67%")</f>
        <v>2000</v>
      </c>
      <c r="L569" s="183">
        <f>SUMIFS($L$4:$L$556,$D$4:$D$556,"ACZ07",$F$4:$F$556,"56""",$C$4:$C$556,"P/OX 600D*300D, 64T, 135GR/SQM, recycle 67%")</f>
        <v>2</v>
      </c>
      <c r="M569" s="117">
        <f>M543</f>
        <v>2800</v>
      </c>
      <c r="N569" s="117">
        <f>N543</f>
        <v>1</v>
      </c>
      <c r="O569" s="183">
        <f>SUMIFS($O$4:$O$556,$D$4:$D$556,"ACZ07",$F$4:$F$556,"56""",$C$4:$C$556,"P/OX 600D*300D, 64T, 135GR/SQM, recycle 67%")</f>
        <v>1953</v>
      </c>
      <c r="P569" s="183">
        <f>SUMIFS($P$4:$P$556,$D$4:$D$556,"ACZ07",$F$4:$F$556,"56""",$C$4:$C$556,"P/OX 600D*300D, 64T, 135GR/SQM, recycle 67%")</f>
        <v>1953</v>
      </c>
      <c r="Q569" s="117"/>
      <c r="R569" s="454"/>
      <c r="S569" s="454"/>
      <c r="T569" s="183">
        <f>SUMIFS($T$4:$T$556,$D$4:$D$556,"ACZ07",$F$4:$F$556,"56""",$C$4:$C$556,"P/OX 600D*300D, 64T, 135GR/SQM, recycle 67%")</f>
        <v>1953</v>
      </c>
      <c r="U569" s="183"/>
      <c r="V569" s="183">
        <f>V543</f>
        <v>500</v>
      </c>
      <c r="W569" s="2"/>
      <c r="Y569" s="13"/>
    </row>
    <row r="570" spans="1:30" ht="17.25" customHeight="1">
      <c r="A570" s="451"/>
      <c r="B570" s="443"/>
      <c r="C570" s="446"/>
      <c r="D570" s="43" t="s">
        <v>68</v>
      </c>
      <c r="E570" s="430"/>
      <c r="F570" s="48"/>
      <c r="G570" s="47"/>
      <c r="H570" s="183">
        <f>SUMIF($D$4:$D$556,"1T3035ZC-35",$H$4:$H$556)</f>
        <v>144</v>
      </c>
      <c r="I570" s="482"/>
      <c r="J570" s="479"/>
      <c r="K570" s="12"/>
      <c r="L570" s="12"/>
      <c r="M570" s="117"/>
      <c r="N570" s="117"/>
      <c r="O570" s="12"/>
      <c r="P570" s="12"/>
      <c r="Q570" s="117"/>
      <c r="R570" s="454"/>
      <c r="S570" s="454"/>
      <c r="T570" s="117"/>
      <c r="U570" s="117"/>
      <c r="V570" s="183"/>
      <c r="W570" s="2"/>
      <c r="Y570" s="13"/>
      <c r="Z570" s="13"/>
    </row>
    <row r="571" spans="1:30" s="4" customFormat="1" ht="17.25" customHeight="1">
      <c r="A571" s="451"/>
      <c r="B571" s="442" t="s">
        <v>122</v>
      </c>
      <c r="C571" s="444" t="s">
        <v>123</v>
      </c>
      <c r="D571" s="48" t="s">
        <v>56</v>
      </c>
      <c r="E571" s="430"/>
      <c r="F571" s="48" t="s">
        <v>64</v>
      </c>
      <c r="G571" s="196">
        <f>SUMIFS($G$4:$G$556,$D$4:$D$556,"ACZ07",$F$4:$F$556,"60""",$C$4:$C$556,"P/OX 300D* P/SPUN 10'S, Recycle 60""")</f>
        <v>375.84</v>
      </c>
      <c r="H571" s="183"/>
      <c r="I571" s="482"/>
      <c r="J571" s="479"/>
      <c r="K571" s="183">
        <f>SUMIFS($K$4:$K$556,$D$4:$D$556,"ACZ07",$F$4:$F$556,"60""",$C$4:$C$556,"P/OX 300D* P/SPUN 10'S, Recycle 60""")</f>
        <v>3240</v>
      </c>
      <c r="L571" s="183">
        <f>SUMIFS($L$4:$L$556,$D$4:$D$556,"ACZ07",$F$4:$F$556,"60""",$C$4:$C$556,"P/OX 300D* P/SPUN 10'S, Recycle 60""")</f>
        <v>1</v>
      </c>
      <c r="M571" s="194">
        <f>M544</f>
        <v>6400</v>
      </c>
      <c r="N571" s="194">
        <f>N544</f>
        <v>2</v>
      </c>
      <c r="O571" s="183">
        <f>SUMIFS($O$4:$O$556,$D$4:$D$556,"ACZ07",$F$4:$F$556,"60""",$C$4:$C$556,"P/OX 300D* P/SPUN 10'S, Recycle 60""")</f>
        <v>500</v>
      </c>
      <c r="P571" s="183">
        <f>SUMIFS($P$4:$P$556,$D$4:$D$556,"ACZ07",$F$4:$F$556,"60""",$C$4:$C$556,"P/OX 300D* P/SPUN 10'S, Recycle 60""")</f>
        <v>500</v>
      </c>
      <c r="Q571" s="194"/>
      <c r="R571" s="454"/>
      <c r="S571" s="454"/>
      <c r="T571" s="183">
        <f>SUMIFS($T$4:$T$556,$D$4:$D$556,"ACZ07",$F$4:$F$556,"60""",$C$4:$C$556,"P/OX 300D* P/SPUN 10'S, Recycle 60""")</f>
        <v>500</v>
      </c>
      <c r="U571" s="194"/>
      <c r="V571" s="183">
        <f>V544</f>
        <v>31304</v>
      </c>
      <c r="W571" s="6"/>
      <c r="Y571" s="219"/>
    </row>
    <row r="572" spans="1:30" s="4" customFormat="1" ht="17.25" customHeight="1">
      <c r="A572" s="451"/>
      <c r="B572" s="443"/>
      <c r="C572" s="446"/>
      <c r="D572" s="48" t="s">
        <v>129</v>
      </c>
      <c r="E572" s="430"/>
      <c r="F572" s="48"/>
      <c r="G572" s="218"/>
      <c r="H572" s="183"/>
      <c r="I572" s="482"/>
      <c r="J572" s="479"/>
      <c r="K572" s="194"/>
      <c r="L572" s="194"/>
      <c r="M572" s="194"/>
      <c r="N572" s="194"/>
      <c r="O572" s="183"/>
      <c r="P572" s="183"/>
      <c r="Q572" s="194"/>
      <c r="R572" s="454"/>
      <c r="S572" s="454"/>
      <c r="T572" s="194"/>
      <c r="U572" s="194"/>
      <c r="V572" s="183"/>
      <c r="W572" s="6"/>
      <c r="Y572" s="219"/>
    </row>
    <row r="573" spans="1:30" s="4" customFormat="1" ht="17.25" customHeight="1">
      <c r="A573" s="451"/>
      <c r="B573" s="442" t="s">
        <v>58</v>
      </c>
      <c r="C573" s="444" t="s">
        <v>243</v>
      </c>
      <c r="D573" s="48" t="s">
        <v>56</v>
      </c>
      <c r="E573" s="430"/>
      <c r="F573" s="59" t="s">
        <v>64</v>
      </c>
      <c r="G573" s="183">
        <f>SUMIFS($G$4:$G$556,$D$4:$D$556,"ACZ07",$F$4:$F$556,"60""",$C$4:$C$556,"P/OX 300D* P/SPUN 16'S, Recycle 60""")</f>
        <v>348</v>
      </c>
      <c r="H573" s="183"/>
      <c r="I573" s="482"/>
      <c r="J573" s="479"/>
      <c r="K573" s="183">
        <f>SUMIFS($K$4:$K$556,$D$4:$D$556,"ACZ07",$F$4:$F$556,"60""",$C$4:$C$556,"P/OX 300D* P/SPUN 16'S, Recycle 60""")</f>
        <v>3000</v>
      </c>
      <c r="L573" s="183">
        <f>SUMIFS($L$4:$L$556,$D$4:$D$556,"ACZ07",$F$4:$F$556,"60""",$C$4:$C$556,"P/OX 300D* P/SPUN 16'S, Recycle 60""")</f>
        <v>1</v>
      </c>
      <c r="M573" s="191"/>
      <c r="N573" s="183"/>
      <c r="O573" s="183">
        <f>SUMIFS($O$4:$O$556,$D$4:$D$556,"ACZ07",$F$4:$F$556,"60""",$C$4:$C$556,"P/OX 300D* P/SPUN 16'S, Recycle 60""")</f>
        <v>500</v>
      </c>
      <c r="P573" s="183">
        <f>SUMIFS($P$4:$P$556,$D$4:$D$556,"ACZ07",$F$4:$F$556,"60""",$C$4:$C$556,"P/OX 300D* P/SPUN 16'S, Recycle 60""")</f>
        <v>500</v>
      </c>
      <c r="Q573" s="183"/>
      <c r="R573" s="454"/>
      <c r="S573" s="454"/>
      <c r="T573" s="183">
        <f>SUMIFS($T$4:$T$556,$D$4:$D$556,"ACZ07",$F$4:$F$556,"60""",$C$4:$C$556,"P/OX 300D* P/SPUN 16'S, Recycle 60""")</f>
        <v>500</v>
      </c>
      <c r="U573" s="191"/>
      <c r="V573" s="191">
        <f>V545</f>
        <v>8562</v>
      </c>
      <c r="W573" s="122"/>
    </row>
    <row r="574" spans="1:30" s="4" customFormat="1" ht="17.25" customHeight="1">
      <c r="A574" s="451"/>
      <c r="B574" s="443"/>
      <c r="C574" s="446"/>
      <c r="D574" s="48" t="s">
        <v>92</v>
      </c>
      <c r="E574" s="430"/>
      <c r="F574" s="59"/>
      <c r="G574" s="191"/>
      <c r="H574" s="196"/>
      <c r="I574" s="482"/>
      <c r="J574" s="479"/>
      <c r="K574" s="218"/>
      <c r="L574" s="218"/>
      <c r="M574" s="191"/>
      <c r="N574" s="183"/>
      <c r="O574" s="183"/>
      <c r="P574" s="183"/>
      <c r="Q574" s="183"/>
      <c r="R574" s="454"/>
      <c r="S574" s="454"/>
      <c r="T574" s="194"/>
      <c r="U574" s="191"/>
      <c r="V574" s="191"/>
      <c r="W574" s="122"/>
    </row>
    <row r="575" spans="1:30" s="4" customFormat="1" ht="17.25" customHeight="1">
      <c r="A575" s="451"/>
      <c r="B575" s="122" t="s">
        <v>61</v>
      </c>
      <c r="C575" s="180" t="s">
        <v>137</v>
      </c>
      <c r="D575" s="48" t="s">
        <v>56</v>
      </c>
      <c r="E575" s="430"/>
      <c r="F575" s="59" t="s">
        <v>67</v>
      </c>
      <c r="G575" s="183">
        <f>SUMIFS($G$4:$G$556,$D$4:$D$556,"ACZ07",$F$4:$F$556,"56""",$C$4:$C$556,"P/OX 300D* P/SPUN 10'S, Recycle 56""")</f>
        <v>348</v>
      </c>
      <c r="H575" s="191"/>
      <c r="I575" s="482"/>
      <c r="J575" s="479"/>
      <c r="K575" s="183">
        <f>SUMIFS($K$4:$K$556,$D$4:$D$556,"ACZ07",$F$4:$F$556,"56""",$C$4:$C$556,"P/OX 300D* P/SPUN 10'S, Recycle 56""")</f>
        <v>3000</v>
      </c>
      <c r="L575" s="183">
        <f>SUMIFS($L$4:$L$556,$D$4:$D$556,"ACZ07",$F$4:$F$556,"56""",$C$4:$C$556,"P/OX 300D* P/SPUN 10'S, Recycle 56""")</f>
        <v>1</v>
      </c>
      <c r="M575" s="183"/>
      <c r="N575" s="183"/>
      <c r="O575" s="183">
        <f>SUMIFS($O$4:$O$556,$D$4:$D$556,"ACZ07",$F$4:$F$556,"56""",$C$4:$C$556,"P/OX 300D* P/SPUN 10'S, Recycle 56""")</f>
        <v>525</v>
      </c>
      <c r="P575" s="183">
        <f>SUMIFS($P$4:$P$556,$D$4:$D$556,"ACZ07",$F$4:$F$556,"56""",$C$4:$C$556,"P/OX 300D* P/SPUN 10'S, Recycle 56""")</f>
        <v>525</v>
      </c>
      <c r="Q575" s="183"/>
      <c r="R575" s="454"/>
      <c r="S575" s="454"/>
      <c r="T575" s="183">
        <f>SUMIFS($T$4:$T$556,$D$4:$D$556,"ACZ07",$F$4:$F$556,"56""",$C$4:$C$556,"P/OX 300D* P/SPUN 10'S, Recycle 56""")</f>
        <v>500</v>
      </c>
      <c r="U575" s="183"/>
      <c r="V575" s="191">
        <f>V546</f>
        <v>5844</v>
      </c>
      <c r="W575" s="122"/>
    </row>
    <row r="576" spans="1:30" s="4" customFormat="1" ht="17.25" customHeight="1">
      <c r="A576" s="451"/>
      <c r="B576" s="122" t="s">
        <v>125</v>
      </c>
      <c r="C576" s="180" t="s">
        <v>88</v>
      </c>
      <c r="D576" s="48" t="s">
        <v>124</v>
      </c>
      <c r="E576" s="430"/>
      <c r="F576" s="48" t="s">
        <v>64</v>
      </c>
      <c r="G576" s="218"/>
      <c r="H576" s="183">
        <f>SUMIF($D$4:$D$556,"SC-1004",$H$4:$H$556)</f>
        <v>1152</v>
      </c>
      <c r="I576" s="482"/>
      <c r="J576" s="479"/>
      <c r="K576" s="183">
        <f>SUMIFS($K$4:$K$556,$D$4:$D$556,"SC-1004",$F$4:$F$556,"60""")</f>
        <v>7400</v>
      </c>
      <c r="L576" s="183">
        <f>SUMIFS($L$4:$L$556,$D$4:$D$556,"SC-1004",$F$4:$F$556,"60""")</f>
        <v>1</v>
      </c>
      <c r="M576" s="194">
        <f>M547</f>
        <v>51200</v>
      </c>
      <c r="N576" s="194">
        <f>N547</f>
        <v>7</v>
      </c>
      <c r="O576" s="183">
        <f>SUMIFS($O$4:$O$556,$D$4:$D$556,"SC-1004",$F$4:$F$556,"60""")</f>
        <v>27733</v>
      </c>
      <c r="P576" s="183">
        <f>SUMIFS($P$4:$P$556,$D$4:$D$556,"SC-1004",$F$4:$F$556,"60""")</f>
        <v>19386</v>
      </c>
      <c r="Q576" s="194"/>
      <c r="R576" s="454"/>
      <c r="S576" s="454"/>
      <c r="T576" s="194">
        <f>SUMIFS($T$4:$T$556,$D$4:$D$556,"SC-1004",$F$4:$F$556,"60""")</f>
        <v>26566</v>
      </c>
      <c r="U576" s="194"/>
      <c r="V576" s="183">
        <f>V547</f>
        <v>23615</v>
      </c>
      <c r="W576" s="6"/>
      <c r="Y576" s="219"/>
    </row>
    <row r="577" spans="1:25" s="4" customFormat="1" ht="17.25" customHeight="1">
      <c r="A577" s="451"/>
      <c r="B577" s="442" t="s">
        <v>47</v>
      </c>
      <c r="C577" s="472" t="s">
        <v>100</v>
      </c>
      <c r="D577" s="89" t="s">
        <v>99</v>
      </c>
      <c r="E577" s="430"/>
      <c r="F577" s="89" t="s">
        <v>71</v>
      </c>
      <c r="G577" s="47"/>
      <c r="H577" s="221"/>
      <c r="I577" s="482"/>
      <c r="J577" s="479"/>
      <c r="K577" s="183">
        <f>SUMIFS($K$4:$K$556,$D$4:$D$556,"RD159Z",$F$4:$F$556,"60.5""")</f>
        <v>12000</v>
      </c>
      <c r="L577" s="183">
        <f>SUMIFS($L$4:$L$556,$D$4:$D$556,"RD159Z",$F$4:$F$556,"60.5""")</f>
        <v>2</v>
      </c>
      <c r="M577" s="221">
        <f>M548</f>
        <v>18000</v>
      </c>
      <c r="N577" s="221">
        <f>N548</f>
        <v>3</v>
      </c>
      <c r="O577" s="221">
        <f>SUMIFS($O$4:$O$556,$D$4:$D$556,"RD159Z",$F$4:$F$556,"60.5""")</f>
        <v>23438</v>
      </c>
      <c r="P577" s="221">
        <f>SUMIFS($P$4:$P$556,$D$4:$D$556,"RD159Z",$F$4:$F$556,"60.5""")</f>
        <v>16391</v>
      </c>
      <c r="Q577" s="221"/>
      <c r="R577" s="454"/>
      <c r="S577" s="454"/>
      <c r="T577" s="194">
        <f>SUMIFS($T$4:$T$556,$D$4:$D$556,"RD159Z",$F$4:$F$556,"60.5""")</f>
        <v>17060</v>
      </c>
      <c r="U577" s="194">
        <f>SUMIFS($U$4:$U$556,$D$4:$D$556,"RD159Z",$F$4:$F$556,"60.5""")</f>
        <v>27</v>
      </c>
      <c r="V577" s="183">
        <f>V548</f>
        <v>63278</v>
      </c>
      <c r="W577" s="122"/>
    </row>
    <row r="578" spans="1:25" s="4" customFormat="1" ht="17.25" customHeight="1">
      <c r="A578" s="451"/>
      <c r="B578" s="439"/>
      <c r="C578" s="473"/>
      <c r="D578" s="59" t="s">
        <v>121</v>
      </c>
      <c r="E578" s="430"/>
      <c r="F578" s="59"/>
      <c r="G578" s="191"/>
      <c r="H578" s="183">
        <f>SUMIF($D$4:$D$556,"RD152Z",$H$4:$H$556)</f>
        <v>1224</v>
      </c>
      <c r="I578" s="482"/>
      <c r="J578" s="479"/>
      <c r="K578" s="191"/>
      <c r="L578" s="191"/>
      <c r="M578" s="191"/>
      <c r="N578" s="191"/>
      <c r="O578" s="183"/>
      <c r="P578" s="183"/>
      <c r="Q578" s="183"/>
      <c r="R578" s="454"/>
      <c r="S578" s="454"/>
      <c r="T578" s="183"/>
      <c r="U578" s="191"/>
      <c r="V578" s="191"/>
      <c r="W578" s="122"/>
    </row>
    <row r="579" spans="1:25" s="4" customFormat="1" ht="17.25" customHeight="1">
      <c r="A579" s="451"/>
      <c r="B579" s="122" t="s">
        <v>196</v>
      </c>
      <c r="C579" s="180" t="s">
        <v>63</v>
      </c>
      <c r="D579" s="48" t="s">
        <v>135</v>
      </c>
      <c r="E579" s="430"/>
      <c r="F579" s="59" t="s">
        <v>64</v>
      </c>
      <c r="G579" s="47">
        <f>SUMIF($D$4:$D$556,"XB080718",$G$4:$G$556)</f>
        <v>1946.35</v>
      </c>
      <c r="H579" s="218">
        <f>SUMIF($D$4:$D$556,"XB080718",$H$4:$H$556)</f>
        <v>433.5</v>
      </c>
      <c r="I579" s="482"/>
      <c r="J579" s="479"/>
      <c r="K579" s="183">
        <f>SUMIFS($K$4:$K$556,$D$4:$D$556,"XB080718",$F$4:$F$556,"60""")</f>
        <v>8300</v>
      </c>
      <c r="L579" s="183">
        <f>SUMIFS($L$4:$L$556,$D$4:$D$556,"XB080718",$F$4:$F$556,"60""")</f>
        <v>1</v>
      </c>
      <c r="M579" s="191">
        <f>M549</f>
        <v>33200</v>
      </c>
      <c r="N579" s="183">
        <f>N549</f>
        <v>4</v>
      </c>
      <c r="O579" s="183">
        <f>SUMIFS($O$4:$O$556,$D$4:$D$556,"XB080718",$F$4:$F$556,"60""")</f>
        <v>15958</v>
      </c>
      <c r="P579" s="183">
        <f>SUMIFS($P$4:$P$556,$D$4:$D$556,"XB080718",$F$4:$F$556,"60""")</f>
        <v>11830</v>
      </c>
      <c r="Q579" s="183"/>
      <c r="R579" s="454"/>
      <c r="S579" s="454"/>
      <c r="T579" s="194">
        <f>SUMIFS($T$4:$T$556,$D$4:$D$556,"XB080718",$F$4:$F$556,"60""")</f>
        <v>16697</v>
      </c>
      <c r="U579" s="191"/>
      <c r="V579" s="191">
        <f>V549</f>
        <v>15106</v>
      </c>
      <c r="W579" s="122"/>
    </row>
    <row r="580" spans="1:25" s="4" customFormat="1" ht="17.25" customHeight="1">
      <c r="A580" s="451"/>
      <c r="B580" s="122" t="s">
        <v>253</v>
      </c>
      <c r="C580" s="180" t="s">
        <v>252</v>
      </c>
      <c r="D580" s="48" t="s">
        <v>246</v>
      </c>
      <c r="E580" s="430"/>
      <c r="F580" s="59" t="s">
        <v>247</v>
      </c>
      <c r="G580" s="47">
        <f>SUMIF($D$4:$D$556,"SC-1012",$G$4:$G$556)</f>
        <v>201.96</v>
      </c>
      <c r="H580" s="183"/>
      <c r="I580" s="482"/>
      <c r="J580" s="479"/>
      <c r="K580" s="183">
        <f>SUMIFS($K$4:$K$556,$D$4:$D$556,"SC-1012",$F$4:$F$556,"76.8""")</f>
        <v>3000</v>
      </c>
      <c r="L580" s="183">
        <f>SUMIFS($L$4:$L$556,$D$4:$D$556,"SC-1012",$F$4:$F$556,"76.8""")</f>
        <v>2</v>
      </c>
      <c r="M580" s="191"/>
      <c r="N580" s="183"/>
      <c r="O580" s="183">
        <f>SUMIFS($O$4:$O$556,$D$4:$D$556,"SC-1012",$F$4:$F$556,"76.8""")</f>
        <v>953</v>
      </c>
      <c r="P580" s="183">
        <f>SUMIFS($P$4:$P$556,$D$4:$D$556,"SC-1012",$F$4:$F$556,"76.8""")</f>
        <v>988</v>
      </c>
      <c r="Q580" s="183"/>
      <c r="R580" s="454"/>
      <c r="S580" s="454"/>
      <c r="T580" s="183">
        <f>SUMIFS($T$4:$T$556,$D$4:$D$556,"SC-1012",$F$4:$F$556,"76.8""")</f>
        <v>450</v>
      </c>
      <c r="U580" s="191"/>
      <c r="V580" s="191">
        <f>V550</f>
        <v>503</v>
      </c>
      <c r="W580" s="122"/>
    </row>
    <row r="581" spans="1:25" s="4" customFormat="1" ht="17.25" customHeight="1">
      <c r="A581" s="451"/>
      <c r="B581" s="442" t="s">
        <v>249</v>
      </c>
      <c r="C581" s="444" t="s">
        <v>250</v>
      </c>
      <c r="D581" s="48" t="s">
        <v>251</v>
      </c>
      <c r="E581" s="430"/>
      <c r="F581" s="59" t="s">
        <v>64</v>
      </c>
      <c r="G581" s="47">
        <f>SUMIF($D$4:$D$556,"H20126",$G$4:$G$556)</f>
        <v>84.36</v>
      </c>
      <c r="H581" s="218"/>
      <c r="I581" s="482"/>
      <c r="J581" s="479"/>
      <c r="K581" s="183">
        <f>SUMIFS($K$4:$K$556,$D$4:$D$556,"H20126",$F$4:$F$556,"60""")</f>
        <v>900</v>
      </c>
      <c r="L581" s="183">
        <f>SUMIFS($L$4:$L$556,$D$4:$D$556,"H20126",$F$4:$F$556,"60""")</f>
        <v>1</v>
      </c>
      <c r="M581" s="191"/>
      <c r="N581" s="183"/>
      <c r="O581" s="183">
        <f>SUMIFS($O$4:$O$556,$D$4:$D$556,"H20126",$F$4:$F$556,"60""")</f>
        <v>868</v>
      </c>
      <c r="P581" s="183">
        <f>SUMIFS($P$4:$P$556,$D$4:$D$556,"H20126",$F$4:$F$556,"60""")</f>
        <v>868</v>
      </c>
      <c r="Q581" s="183"/>
      <c r="R581" s="454"/>
      <c r="S581" s="454"/>
      <c r="T581" s="183">
        <f>SUMIFS($T$4:$T$556,$D$4:$D$556,"H20126",$F$4:$F$556,"60""")</f>
        <v>868</v>
      </c>
      <c r="U581" s="191"/>
      <c r="V581" s="191"/>
      <c r="W581" s="122"/>
    </row>
    <row r="582" spans="1:25" s="4" customFormat="1" ht="17.25" customHeight="1">
      <c r="A582" s="451"/>
      <c r="B582" s="443"/>
      <c r="C582" s="446"/>
      <c r="D582" s="48" t="s">
        <v>248</v>
      </c>
      <c r="E582" s="430"/>
      <c r="F582" s="59"/>
      <c r="G582" s="47"/>
      <c r="H582" s="183">
        <f>SUMIF($D$4:$D$556,"H20123",$H$4:$H$556)</f>
        <v>96</v>
      </c>
      <c r="I582" s="482"/>
      <c r="J582" s="479"/>
      <c r="K582" s="191"/>
      <c r="L582" s="191"/>
      <c r="M582" s="191"/>
      <c r="N582" s="183"/>
      <c r="O582" s="183"/>
      <c r="P582" s="183"/>
      <c r="Q582" s="183"/>
      <c r="R582" s="454"/>
      <c r="S582" s="454"/>
      <c r="T582" s="194"/>
      <c r="U582" s="191"/>
      <c r="V582" s="191"/>
      <c r="W582" s="122"/>
    </row>
    <row r="583" spans="1:25" s="4" customFormat="1" ht="17.25" customHeight="1">
      <c r="A583" s="451"/>
      <c r="B583" s="122" t="s">
        <v>101</v>
      </c>
      <c r="C583" s="180" t="s">
        <v>193</v>
      </c>
      <c r="D583" s="48" t="s">
        <v>102</v>
      </c>
      <c r="E583" s="430"/>
      <c r="F583" s="48" t="s">
        <v>64</v>
      </c>
      <c r="G583" s="183"/>
      <c r="H583" s="218">
        <f>SUMIF($D$4:$D$556,"XB061218",$H$4:$H$556)</f>
        <v>25.5</v>
      </c>
      <c r="I583" s="482"/>
      <c r="J583" s="479"/>
      <c r="K583" s="191"/>
      <c r="L583" s="191"/>
      <c r="M583" s="183"/>
      <c r="N583" s="183"/>
      <c r="O583" s="183">
        <f>SUMIFS($O$4:$O$556,$D$4:$D$556,"XB061218",$F$4:$F$556,"60""")</f>
        <v>1001</v>
      </c>
      <c r="P583" s="183">
        <f>SUMIFS($P$4:$P$556,$D$4:$D$556,"XB061218",$F$4:$F$556,"60""")</f>
        <v>764</v>
      </c>
      <c r="Q583" s="183"/>
      <c r="R583" s="454"/>
      <c r="S583" s="454"/>
      <c r="T583" s="183">
        <f>SUMIFS($T$4:$T$556,$D$4:$D$556,"XB061218",$F$4:$F$556,"60""")</f>
        <v>1001</v>
      </c>
      <c r="U583" s="183"/>
      <c r="V583" s="183"/>
      <c r="W583" s="122"/>
      <c r="Y583" s="219"/>
    </row>
    <row r="584" spans="1:25" ht="17.25" customHeight="1">
      <c r="A584" s="451"/>
      <c r="B584" s="122" t="s">
        <v>131</v>
      </c>
      <c r="C584" s="180" t="s">
        <v>194</v>
      </c>
      <c r="D584" s="48" t="s">
        <v>132</v>
      </c>
      <c r="E584" s="430"/>
      <c r="F584" s="59" t="s">
        <v>64</v>
      </c>
      <c r="G584" s="47"/>
      <c r="H584" s="49"/>
      <c r="I584" s="482"/>
      <c r="J584" s="479"/>
      <c r="K584" s="12"/>
      <c r="L584" s="12"/>
      <c r="M584" s="116"/>
      <c r="N584" s="12"/>
      <c r="O584" s="183">
        <f>SUMIFS($O$4:$O$556,$D$4:$D$556,"M5101413",$F$4:$F$556,"60""")</f>
        <v>500</v>
      </c>
      <c r="P584" s="183">
        <f>SUMIFS($P$4:$P$556,$D$4:$D$556,"M5101413",$F$4:$F$556,"60""")</f>
        <v>500</v>
      </c>
      <c r="Q584" s="12"/>
      <c r="R584" s="454"/>
      <c r="S584" s="454"/>
      <c r="T584" s="183">
        <f>SUMIFS($T$4:$T$556,$D$4:$D$556,"M5101413",$F$4:$F$556,"60""")</f>
        <v>500</v>
      </c>
      <c r="U584" s="116"/>
      <c r="V584" s="191"/>
      <c r="W584" s="119"/>
    </row>
    <row r="585" spans="1:25" ht="17.25" customHeight="1">
      <c r="A585" s="451"/>
      <c r="B585" s="122" t="s">
        <v>103</v>
      </c>
      <c r="C585" s="157" t="s">
        <v>197</v>
      </c>
      <c r="D585" s="48" t="s">
        <v>104</v>
      </c>
      <c r="E585" s="430"/>
      <c r="F585" s="59" t="s">
        <v>105</v>
      </c>
      <c r="G585" s="116"/>
      <c r="H585" s="49"/>
      <c r="I585" s="482"/>
      <c r="J585" s="479"/>
      <c r="K585" s="12"/>
      <c r="L585" s="12"/>
      <c r="M585" s="116"/>
      <c r="N585" s="116"/>
      <c r="O585" s="183">
        <f>SUMIFS($O$4:$O$556,$D$4:$D$556," RD159Z",$F$4:$F$556,"95""")</f>
        <v>0</v>
      </c>
      <c r="P585" s="183">
        <f>SUMIFS($P$4:$P$556,$D$4:$D$556," RD159Z",$F$4:$F$556,"95""")</f>
        <v>47</v>
      </c>
      <c r="Q585" s="12"/>
      <c r="R585" s="454"/>
      <c r="S585" s="454"/>
      <c r="T585" s="12"/>
      <c r="U585" s="116"/>
      <c r="V585" s="191"/>
      <c r="W585" s="119"/>
    </row>
    <row r="586" spans="1:25" ht="17.25" customHeight="1">
      <c r="A586" s="451"/>
      <c r="B586" s="442" t="s">
        <v>112</v>
      </c>
      <c r="C586" s="444" t="s">
        <v>197</v>
      </c>
      <c r="D586" s="48" t="s">
        <v>104</v>
      </c>
      <c r="E586" s="430"/>
      <c r="F586" s="59" t="s">
        <v>113</v>
      </c>
      <c r="G586" s="116"/>
      <c r="H586" s="184"/>
      <c r="I586" s="482"/>
      <c r="J586" s="479"/>
      <c r="K586" s="12"/>
      <c r="L586" s="12"/>
      <c r="M586" s="116"/>
      <c r="N586" s="116"/>
      <c r="O586" s="183">
        <f>SUMIFS($O$4:$O$556,$D$4:$D$556," RD159Z",$F$4:$F$556,"94""")</f>
        <v>0</v>
      </c>
      <c r="P586" s="183">
        <f>SUMIFS($P$4:$P$556,$D$4:$D$556," RD159Z",$F$4:$F$556,"94""")</f>
        <v>34</v>
      </c>
      <c r="Q586" s="12"/>
      <c r="R586" s="454"/>
      <c r="S586" s="454"/>
      <c r="T586" s="12"/>
      <c r="U586" s="116"/>
      <c r="V586" s="191"/>
      <c r="W586" s="131"/>
    </row>
    <row r="587" spans="1:25" ht="17.25" customHeight="1">
      <c r="A587" s="451"/>
      <c r="B587" s="443"/>
      <c r="C587" s="446"/>
      <c r="D587" s="48" t="s">
        <v>85</v>
      </c>
      <c r="E587" s="430"/>
      <c r="F587" s="59"/>
      <c r="G587" s="116"/>
      <c r="H587" s="183">
        <f>SUMIF($D$4:$D$556,"X040218",$H$4:$H$556)</f>
        <v>120</v>
      </c>
      <c r="I587" s="482"/>
      <c r="J587" s="479"/>
      <c r="K587" s="116"/>
      <c r="L587" s="116"/>
      <c r="M587" s="116"/>
      <c r="N587" s="116"/>
      <c r="O587" s="12"/>
      <c r="P587" s="12"/>
      <c r="Q587" s="12"/>
      <c r="R587" s="454"/>
      <c r="S587" s="454"/>
      <c r="T587" s="12"/>
      <c r="U587" s="116"/>
      <c r="V587" s="191"/>
      <c r="W587" s="131"/>
    </row>
    <row r="588" spans="1:25" s="4" customFormat="1" ht="17.25" customHeight="1">
      <c r="A588" s="451"/>
      <c r="B588" s="442" t="s">
        <v>106</v>
      </c>
      <c r="C588" s="444" t="s">
        <v>141</v>
      </c>
      <c r="D588" s="48" t="s">
        <v>68</v>
      </c>
      <c r="E588" s="430"/>
      <c r="F588" s="59" t="s">
        <v>67</v>
      </c>
      <c r="G588" s="47">
        <f>SUMIF($D$4:$D$556,"1T3035ZC-35",$G$4:$G$556)</f>
        <v>228.13</v>
      </c>
      <c r="H588" s="193"/>
      <c r="I588" s="482"/>
      <c r="J588" s="479"/>
      <c r="K588" s="183">
        <f>SUMIFS($K$4:$K$556,$D$4:$D$556,"1T3035ZC-35",$F$4:$F$556,"56""")</f>
        <v>2000</v>
      </c>
      <c r="L588" s="183">
        <f>SUMIFS($L$4:$L$556,$D$4:$D$556,"1T3035ZC-35",$F$4:$F$556,"56""")</f>
        <v>1</v>
      </c>
      <c r="M588" s="191"/>
      <c r="N588" s="191"/>
      <c r="O588" s="183">
        <f>SUMIFS($O$4:$O$556,$D$4:$D$556,"1T3035ZC-35",$F$4:$F$556,"56""")</f>
        <v>923</v>
      </c>
      <c r="P588" s="183">
        <f>SUMIFS($P$4:$P$556,$D$4:$D$556,"1T3035ZC-35",$F$4:$F$556,"56""")</f>
        <v>1197</v>
      </c>
      <c r="Q588" s="183"/>
      <c r="R588" s="454"/>
      <c r="S588" s="454"/>
      <c r="T588" s="183">
        <f>SUMIFS($T$4:$T$556,$D$4:$D$556,"1T3035ZC-35",$F$4:$F$556,"56""")</f>
        <v>923</v>
      </c>
      <c r="U588" s="191"/>
      <c r="V588" s="191"/>
      <c r="W588" s="137"/>
    </row>
    <row r="589" spans="1:25" ht="17.25" customHeight="1">
      <c r="A589" s="451"/>
      <c r="B589" s="443"/>
      <c r="C589" s="446"/>
      <c r="D589" s="59" t="s">
        <v>109</v>
      </c>
      <c r="E589" s="430"/>
      <c r="F589" s="59"/>
      <c r="G589" s="116"/>
      <c r="H589" s="183">
        <f>SUMIF($D$4:$D$556,"1T2587ZC-46",$H$4:$H$556)</f>
        <v>108</v>
      </c>
      <c r="I589" s="482"/>
      <c r="J589" s="479"/>
      <c r="K589" s="116"/>
      <c r="L589" s="116"/>
      <c r="M589" s="116"/>
      <c r="N589" s="116"/>
      <c r="O589" s="12"/>
      <c r="P589" s="12"/>
      <c r="Q589" s="12"/>
      <c r="R589" s="454"/>
      <c r="S589" s="454"/>
      <c r="T589" s="116"/>
      <c r="U589" s="116"/>
      <c r="V589" s="116"/>
      <c r="W589" s="131"/>
    </row>
    <row r="590" spans="1:25" ht="18" customHeight="1" thickBot="1">
      <c r="A590" s="451"/>
      <c r="B590" s="122" t="s">
        <v>107</v>
      </c>
      <c r="C590" s="180" t="s">
        <v>195</v>
      </c>
      <c r="D590" s="48" t="s">
        <v>108</v>
      </c>
      <c r="E590" s="430"/>
      <c r="F590" s="48" t="s">
        <v>48</v>
      </c>
      <c r="G590" s="12"/>
      <c r="H590" s="49"/>
      <c r="I590" s="483"/>
      <c r="J590" s="480"/>
      <c r="K590" s="116"/>
      <c r="L590" s="116"/>
      <c r="M590" s="12"/>
      <c r="N590" s="12"/>
      <c r="O590" s="121"/>
      <c r="P590" s="121"/>
      <c r="Q590" s="117"/>
      <c r="R590" s="454"/>
      <c r="S590" s="454"/>
      <c r="T590" s="116"/>
      <c r="U590" s="12"/>
      <c r="V590" s="12"/>
      <c r="W590" s="119"/>
    </row>
    <row r="591" spans="1:25" s="247" customFormat="1" ht="17.25" customHeight="1" thickBot="1">
      <c r="A591" s="242" t="s">
        <v>5</v>
      </c>
      <c r="B591" s="243"/>
      <c r="C591" s="244"/>
      <c r="D591" s="243"/>
      <c r="E591" s="243"/>
      <c r="F591" s="243"/>
      <c r="G591" s="245">
        <f>SUM(G557:G590)</f>
        <v>148704.06999999998</v>
      </c>
      <c r="H591" s="245">
        <f>SUM(H557:H590)</f>
        <v>131670.1</v>
      </c>
      <c r="I591" s="246">
        <f>SUM(I557:I590)</f>
        <v>231</v>
      </c>
      <c r="J591" s="245">
        <f>SUM(J557:J590)</f>
        <v>22.6</v>
      </c>
      <c r="K591" s="246">
        <f t="shared" ref="K591:P591" si="28">SUM(K557:K590)</f>
        <v>1951340</v>
      </c>
      <c r="L591" s="246">
        <f t="shared" si="28"/>
        <v>285</v>
      </c>
      <c r="M591" s="246">
        <f t="shared" si="28"/>
        <v>681343</v>
      </c>
      <c r="N591" s="246">
        <f t="shared" si="28"/>
        <v>98</v>
      </c>
      <c r="O591" s="246">
        <f>SUM(O557:O590)</f>
        <v>1865324</v>
      </c>
      <c r="P591" s="246">
        <f t="shared" si="28"/>
        <v>1849039</v>
      </c>
      <c r="Q591" s="246"/>
      <c r="R591" s="246">
        <f>SUM(R557:R590)</f>
        <v>1865324</v>
      </c>
      <c r="S591" s="246">
        <f>SUM(S557:S590)</f>
        <v>1849039</v>
      </c>
      <c r="T591" s="246">
        <f>SUM(T557:T590)</f>
        <v>1846004</v>
      </c>
      <c r="U591" s="246">
        <f>SUM(U557:U590)</f>
        <v>2815</v>
      </c>
      <c r="V591" s="246">
        <f>SUM(V557:V590)</f>
        <v>324028</v>
      </c>
      <c r="W591" s="243"/>
      <c r="Y591" s="248"/>
    </row>
    <row r="592" spans="1:25">
      <c r="G592" s="103"/>
      <c r="P592" s="29"/>
      <c r="Q592" s="13"/>
    </row>
    <row r="593" spans="1:24">
      <c r="G593" s="195"/>
      <c r="K593" s="13"/>
      <c r="L593" s="13"/>
      <c r="M593" s="13"/>
      <c r="N593" s="13"/>
      <c r="Q593" s="13"/>
    </row>
    <row r="594" spans="1:24">
      <c r="H594" s="103"/>
      <c r="K594" s="13"/>
      <c r="L594" s="13"/>
      <c r="M594" s="13"/>
      <c r="N594" s="13"/>
      <c r="Q594" s="13"/>
      <c r="W594" s="13"/>
    </row>
    <row r="595" spans="1:24" ht="15.75">
      <c r="B595" s="241"/>
      <c r="H595" s="103"/>
      <c r="K595" s="13"/>
      <c r="L595" s="13"/>
      <c r="M595" s="13"/>
      <c r="N595" s="13"/>
      <c r="Q595" s="13"/>
    </row>
    <row r="596" spans="1:24">
      <c r="K596" s="13"/>
      <c r="L596" s="13"/>
      <c r="M596" s="13"/>
      <c r="N596" s="13"/>
      <c r="Q596" s="13"/>
      <c r="W596" s="13"/>
    </row>
    <row r="597" spans="1:24">
      <c r="K597" s="13"/>
      <c r="L597" s="13"/>
      <c r="M597" s="13"/>
      <c r="N597" s="13"/>
      <c r="Q597" s="13"/>
    </row>
    <row r="598" spans="1:24">
      <c r="H598" s="103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</row>
    <row r="600" spans="1:24">
      <c r="X600" s="4"/>
    </row>
    <row r="605" spans="1:24" s="4" customFormat="1">
      <c r="A605" s="15"/>
      <c r="B605" s="1"/>
      <c r="C605" s="7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3"/>
      <c r="P605" s="13"/>
      <c r="Q605" s="1"/>
      <c r="R605" s="13"/>
      <c r="S605" s="13"/>
      <c r="T605" s="13"/>
      <c r="U605" s="13"/>
      <c r="V605" s="13"/>
      <c r="W605" s="1"/>
      <c r="X605" s="1"/>
    </row>
    <row r="609" spans="8:8">
      <c r="H609" s="103"/>
    </row>
  </sheetData>
  <mergeCells count="326">
    <mergeCell ref="S492:S512"/>
    <mergeCell ref="B494:B498"/>
    <mergeCell ref="C494:C498"/>
    <mergeCell ref="E496:E497"/>
    <mergeCell ref="E500:E512"/>
    <mergeCell ref="E494:E495"/>
    <mergeCell ref="A473:A491"/>
    <mergeCell ref="B473:B474"/>
    <mergeCell ref="C473:C474"/>
    <mergeCell ref="R473:R491"/>
    <mergeCell ref="S473:S491"/>
    <mergeCell ref="B475:B477"/>
    <mergeCell ref="C475:C477"/>
    <mergeCell ref="E479:E491"/>
    <mergeCell ref="A492:A512"/>
    <mergeCell ref="B492:B493"/>
    <mergeCell ref="C492:C493"/>
    <mergeCell ref="R492:R512"/>
    <mergeCell ref="S412:S432"/>
    <mergeCell ref="B414:B417"/>
    <mergeCell ref="C414:C417"/>
    <mergeCell ref="B418:B419"/>
    <mergeCell ref="C418:C419"/>
    <mergeCell ref="E420:E432"/>
    <mergeCell ref="E414:E415"/>
    <mergeCell ref="A393:A411"/>
    <mergeCell ref="B393:B394"/>
    <mergeCell ref="C393:C394"/>
    <mergeCell ref="R393:R411"/>
    <mergeCell ref="S393:S411"/>
    <mergeCell ref="B395:B397"/>
    <mergeCell ref="C395:C397"/>
    <mergeCell ref="E399:E411"/>
    <mergeCell ref="A412:A432"/>
    <mergeCell ref="B412:B413"/>
    <mergeCell ref="C412:C413"/>
    <mergeCell ref="R412:R432"/>
    <mergeCell ref="C355:C358"/>
    <mergeCell ref="E356:E357"/>
    <mergeCell ref="E360:E373"/>
    <mergeCell ref="A374:A392"/>
    <mergeCell ref="B374:B375"/>
    <mergeCell ref="C374:C375"/>
    <mergeCell ref="R374:R392"/>
    <mergeCell ref="S374:S392"/>
    <mergeCell ref="B376:B378"/>
    <mergeCell ref="C376:C378"/>
    <mergeCell ref="E380:E392"/>
    <mergeCell ref="A353:A373"/>
    <mergeCell ref="B353:B354"/>
    <mergeCell ref="C353:C354"/>
    <mergeCell ref="R353:R373"/>
    <mergeCell ref="S353:S373"/>
    <mergeCell ref="B355:B358"/>
    <mergeCell ref="B371:B372"/>
    <mergeCell ref="C371:C372"/>
    <mergeCell ref="A312:A332"/>
    <mergeCell ref="B312:B313"/>
    <mergeCell ref="C312:C313"/>
    <mergeCell ref="R312:R332"/>
    <mergeCell ref="S312:S332"/>
    <mergeCell ref="B314:B317"/>
    <mergeCell ref="C314:C317"/>
    <mergeCell ref="E319:E332"/>
    <mergeCell ref="E314:E315"/>
    <mergeCell ref="A289:A311"/>
    <mergeCell ref="B289:B290"/>
    <mergeCell ref="C289:C290"/>
    <mergeCell ref="R289:R311"/>
    <mergeCell ref="S289:S311"/>
    <mergeCell ref="B291:B294"/>
    <mergeCell ref="C291:C294"/>
    <mergeCell ref="E292:E293"/>
    <mergeCell ref="B295:B296"/>
    <mergeCell ref="C295:C296"/>
    <mergeCell ref="E297:E311"/>
    <mergeCell ref="C309:C310"/>
    <mergeCell ref="B309:B310"/>
    <mergeCell ref="I289:I311"/>
    <mergeCell ref="A267:A288"/>
    <mergeCell ref="B267:B268"/>
    <mergeCell ref="C267:C268"/>
    <mergeCell ref="R267:R288"/>
    <mergeCell ref="S267:S288"/>
    <mergeCell ref="B269:B271"/>
    <mergeCell ref="C269:C272"/>
    <mergeCell ref="E271:E272"/>
    <mergeCell ref="B273:B274"/>
    <mergeCell ref="C273:C274"/>
    <mergeCell ref="E275:E288"/>
    <mergeCell ref="A225:A245"/>
    <mergeCell ref="B225:B226"/>
    <mergeCell ref="C225:C226"/>
    <mergeCell ref="R225:R245"/>
    <mergeCell ref="S225:S245"/>
    <mergeCell ref="B227:B229"/>
    <mergeCell ref="C227:C229"/>
    <mergeCell ref="B230:B231"/>
    <mergeCell ref="C230:C231"/>
    <mergeCell ref="E232:E245"/>
    <mergeCell ref="A204:A224"/>
    <mergeCell ref="B204:B205"/>
    <mergeCell ref="C204:C205"/>
    <mergeCell ref="R204:R224"/>
    <mergeCell ref="S204:S224"/>
    <mergeCell ref="B206:B209"/>
    <mergeCell ref="C206:C209"/>
    <mergeCell ref="E211:E224"/>
    <mergeCell ref="E206:E207"/>
    <mergeCell ref="A183:A203"/>
    <mergeCell ref="B183:B184"/>
    <mergeCell ref="C183:C184"/>
    <mergeCell ref="R183:R203"/>
    <mergeCell ref="S183:S203"/>
    <mergeCell ref="B185:B188"/>
    <mergeCell ref="C185:C188"/>
    <mergeCell ref="E186:E187"/>
    <mergeCell ref="E190:E203"/>
    <mergeCell ref="A160:A182"/>
    <mergeCell ref="B160:B161"/>
    <mergeCell ref="C160:C161"/>
    <mergeCell ref="R160:R182"/>
    <mergeCell ref="S160:S182"/>
    <mergeCell ref="B162:B164"/>
    <mergeCell ref="C162:C164"/>
    <mergeCell ref="E166:E182"/>
    <mergeCell ref="B171:B172"/>
    <mergeCell ref="C171:C172"/>
    <mergeCell ref="B175:B176"/>
    <mergeCell ref="C175:C176"/>
    <mergeCell ref="E69:E70"/>
    <mergeCell ref="A66:A88"/>
    <mergeCell ref="B66:B67"/>
    <mergeCell ref="C66:C67"/>
    <mergeCell ref="R66:R88"/>
    <mergeCell ref="S66:S88"/>
    <mergeCell ref="E74:E88"/>
    <mergeCell ref="B79:B80"/>
    <mergeCell ref="C79:C80"/>
    <mergeCell ref="C86:C87"/>
    <mergeCell ref="B86:B87"/>
    <mergeCell ref="C68:C72"/>
    <mergeCell ref="B68:B72"/>
    <mergeCell ref="E71:E72"/>
    <mergeCell ref="A44:A65"/>
    <mergeCell ref="B44:B45"/>
    <mergeCell ref="C44:C45"/>
    <mergeCell ref="R44:R65"/>
    <mergeCell ref="S44:S65"/>
    <mergeCell ref="B46:B49"/>
    <mergeCell ref="C46:C49"/>
    <mergeCell ref="E46:E47"/>
    <mergeCell ref="E51:E65"/>
    <mergeCell ref="B57:B58"/>
    <mergeCell ref="C57:C58"/>
    <mergeCell ref="C51:C52"/>
    <mergeCell ref="B51:B52"/>
    <mergeCell ref="W2:W3"/>
    <mergeCell ref="B573:B574"/>
    <mergeCell ref="C573:C574"/>
    <mergeCell ref="L2:L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  <mergeCell ref="V2:V3"/>
    <mergeCell ref="M2:M3"/>
    <mergeCell ref="N2:N3"/>
    <mergeCell ref="O2:O3"/>
    <mergeCell ref="P2:P3"/>
    <mergeCell ref="Q2:Q3"/>
    <mergeCell ref="R2:S2"/>
    <mergeCell ref="A535:A556"/>
    <mergeCell ref="B535:B536"/>
    <mergeCell ref="C535:C536"/>
    <mergeCell ref="R535:R556"/>
    <mergeCell ref="S535:S556"/>
    <mergeCell ref="B537:B540"/>
    <mergeCell ref="E543:E556"/>
    <mergeCell ref="C541:C542"/>
    <mergeCell ref="B541:B542"/>
    <mergeCell ref="C537:C540"/>
    <mergeCell ref="E537:E538"/>
    <mergeCell ref="A557:A590"/>
    <mergeCell ref="B557:B558"/>
    <mergeCell ref="C557:C558"/>
    <mergeCell ref="I557:I590"/>
    <mergeCell ref="J557:J590"/>
    <mergeCell ref="C569:C570"/>
    <mergeCell ref="E569:E590"/>
    <mergeCell ref="B571:B572"/>
    <mergeCell ref="C571:C572"/>
    <mergeCell ref="B577:B578"/>
    <mergeCell ref="C577:C578"/>
    <mergeCell ref="B586:B587"/>
    <mergeCell ref="C586:C587"/>
    <mergeCell ref="S557:S590"/>
    <mergeCell ref="B559:B565"/>
    <mergeCell ref="C559:C565"/>
    <mergeCell ref="E559:E560"/>
    <mergeCell ref="E561:E562"/>
    <mergeCell ref="E563:E564"/>
    <mergeCell ref="B566:B568"/>
    <mergeCell ref="C566:C568"/>
    <mergeCell ref="B569:B570"/>
    <mergeCell ref="R557:R590"/>
    <mergeCell ref="B588:B589"/>
    <mergeCell ref="C588:C589"/>
    <mergeCell ref="B581:B582"/>
    <mergeCell ref="C581:C582"/>
    <mergeCell ref="A4:A22"/>
    <mergeCell ref="B4:B5"/>
    <mergeCell ref="C4:C5"/>
    <mergeCell ref="R4:R22"/>
    <mergeCell ref="S4:S22"/>
    <mergeCell ref="B6:B8"/>
    <mergeCell ref="C6:C8"/>
    <mergeCell ref="E10:E22"/>
    <mergeCell ref="A23:A43"/>
    <mergeCell ref="B23:B24"/>
    <mergeCell ref="C23:C24"/>
    <mergeCell ref="R23:R43"/>
    <mergeCell ref="S23:S43"/>
    <mergeCell ref="E30:E43"/>
    <mergeCell ref="B35:B36"/>
    <mergeCell ref="C35:C36"/>
    <mergeCell ref="C25:C28"/>
    <mergeCell ref="B25:B28"/>
    <mergeCell ref="E27:E28"/>
    <mergeCell ref="A89:A114"/>
    <mergeCell ref="B89:B90"/>
    <mergeCell ref="C89:C90"/>
    <mergeCell ref="R89:R114"/>
    <mergeCell ref="S89:S114"/>
    <mergeCell ref="B91:B94"/>
    <mergeCell ref="C91:C95"/>
    <mergeCell ref="E92:E93"/>
    <mergeCell ref="E94:E95"/>
    <mergeCell ref="B96:B97"/>
    <mergeCell ref="C96:C97"/>
    <mergeCell ref="E98:E114"/>
    <mergeCell ref="B103:B104"/>
    <mergeCell ref="C103:C104"/>
    <mergeCell ref="B107:B108"/>
    <mergeCell ref="C107:C108"/>
    <mergeCell ref="J89:J114"/>
    <mergeCell ref="A115:A136"/>
    <mergeCell ref="B115:B116"/>
    <mergeCell ref="C115:C116"/>
    <mergeCell ref="R115:R136"/>
    <mergeCell ref="S115:S136"/>
    <mergeCell ref="B117:B119"/>
    <mergeCell ref="C117:C119"/>
    <mergeCell ref="B120:B121"/>
    <mergeCell ref="C120:C121"/>
    <mergeCell ref="E122:E136"/>
    <mergeCell ref="A137:A159"/>
    <mergeCell ref="B137:B138"/>
    <mergeCell ref="C137:C138"/>
    <mergeCell ref="R137:R159"/>
    <mergeCell ref="S137:S159"/>
    <mergeCell ref="B139:B141"/>
    <mergeCell ref="C139:C141"/>
    <mergeCell ref="B142:B143"/>
    <mergeCell ref="C142:C143"/>
    <mergeCell ref="E144:E159"/>
    <mergeCell ref="B152:B153"/>
    <mergeCell ref="C152:C153"/>
    <mergeCell ref="A246:A266"/>
    <mergeCell ref="B246:B247"/>
    <mergeCell ref="C246:C247"/>
    <mergeCell ref="R246:R266"/>
    <mergeCell ref="S246:S266"/>
    <mergeCell ref="B248:B250"/>
    <mergeCell ref="C248:C251"/>
    <mergeCell ref="E250:E251"/>
    <mergeCell ref="E253:E266"/>
    <mergeCell ref="A333:A352"/>
    <mergeCell ref="B333:B334"/>
    <mergeCell ref="C333:C334"/>
    <mergeCell ref="R333:R352"/>
    <mergeCell ref="S333:S352"/>
    <mergeCell ref="B335:B337"/>
    <mergeCell ref="C335:C337"/>
    <mergeCell ref="B338:B339"/>
    <mergeCell ref="C338:C339"/>
    <mergeCell ref="E340:E352"/>
    <mergeCell ref="S513:S534"/>
    <mergeCell ref="R513:R534"/>
    <mergeCell ref="A513:A534"/>
    <mergeCell ref="B513:B514"/>
    <mergeCell ref="C513:C514"/>
    <mergeCell ref="B515:B518"/>
    <mergeCell ref="C515:C518"/>
    <mergeCell ref="E515:E516"/>
    <mergeCell ref="B519:B520"/>
    <mergeCell ref="C519:C520"/>
    <mergeCell ref="E521:E534"/>
    <mergeCell ref="S453:S472"/>
    <mergeCell ref="B455:B457"/>
    <mergeCell ref="C455:C457"/>
    <mergeCell ref="B458:B459"/>
    <mergeCell ref="C458:C459"/>
    <mergeCell ref="E460:E472"/>
    <mergeCell ref="A433:A452"/>
    <mergeCell ref="B433:B434"/>
    <mergeCell ref="C433:C434"/>
    <mergeCell ref="R433:R452"/>
    <mergeCell ref="S433:S452"/>
    <mergeCell ref="C453:C454"/>
    <mergeCell ref="R453:R472"/>
    <mergeCell ref="B435:B438"/>
    <mergeCell ref="C435:C438"/>
    <mergeCell ref="A453:A472"/>
    <mergeCell ref="B453:B454"/>
    <mergeCell ref="E436:E437"/>
    <mergeCell ref="E440:E452"/>
  </mergeCells>
  <pageMargins left="0.16" right="0.16" top="0.16" bottom="1.29" header="0.16" footer="0.16"/>
  <pageSetup paperSize="9" scale="4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O303"/>
  <sheetViews>
    <sheetView zoomScale="80" zoomScaleNormal="80" workbookViewId="0">
      <pane xSplit="1" ySplit="4" topLeftCell="AB209" activePane="bottomRight" state="frozen"/>
      <selection activeCell="K16" sqref="K16"/>
      <selection pane="topRight" activeCell="K16" sqref="K16"/>
      <selection pane="bottomLeft" activeCell="K16" sqref="K16"/>
      <selection pane="bottomRight" activeCell="AM171" sqref="AM171"/>
    </sheetView>
  </sheetViews>
  <sheetFormatPr defaultRowHeight="15"/>
  <cols>
    <col min="1" max="1" width="89.140625" style="4" customWidth="1"/>
    <col min="2" max="2" width="10.7109375" style="4" hidden="1" customWidth="1"/>
    <col min="3" max="3" width="9.140625" style="4" hidden="1" customWidth="1"/>
    <col min="4" max="4" width="9.7109375" style="4" hidden="1" customWidth="1"/>
    <col min="5" max="27" width="21" style="139" hidden="1" customWidth="1"/>
    <col min="28" max="29" width="9.140625" style="4" customWidth="1"/>
    <col min="30" max="30" width="10.28515625" style="4" customWidth="1"/>
    <col min="31" max="32" width="9.140625" style="4" customWidth="1"/>
    <col min="33" max="33" width="10.28515625" style="4" customWidth="1"/>
    <col min="34" max="35" width="9.140625" style="4" customWidth="1"/>
    <col min="36" max="36" width="9.7109375" style="4" customWidth="1"/>
    <col min="37" max="38" width="9.140625" style="4" customWidth="1"/>
    <col min="39" max="39" width="10.85546875" style="4" customWidth="1"/>
    <col min="40" max="41" width="9.140625" style="4" customWidth="1"/>
    <col min="42" max="42" width="9.85546875" style="4" customWidth="1"/>
    <col min="43" max="44" width="9.140625" style="4" customWidth="1"/>
    <col min="45" max="45" width="9.7109375" style="4" customWidth="1"/>
    <col min="46" max="47" width="9.140625" style="4" customWidth="1"/>
    <col min="48" max="48" width="9.7109375" style="4" customWidth="1"/>
    <col min="49" max="50" width="9.140625" style="4" customWidth="1"/>
    <col min="51" max="51" width="9.85546875" style="4" customWidth="1"/>
    <col min="52" max="53" width="9.140625" style="4" customWidth="1"/>
    <col min="54" max="54" width="9.5703125" style="4" customWidth="1"/>
    <col min="55" max="56" width="9.140625" style="4" customWidth="1"/>
    <col min="57" max="57" width="10.28515625" style="4" customWidth="1"/>
    <col min="58" max="58" width="9.7109375" style="4" customWidth="1"/>
    <col min="59" max="59" width="9.140625" style="4" customWidth="1"/>
    <col min="60" max="60" width="10.28515625" style="4" customWidth="1"/>
    <col min="61" max="62" width="9.140625" style="4" customWidth="1"/>
    <col min="63" max="63" width="10.42578125" style="4" customWidth="1"/>
    <col min="64" max="64" width="9.140625" style="4" customWidth="1"/>
    <col min="65" max="65" width="10.28515625" style="4" customWidth="1"/>
    <col min="66" max="66" width="10.42578125" style="4" customWidth="1"/>
    <col min="67" max="68" width="9.140625" style="4" customWidth="1"/>
    <col min="69" max="69" width="10" style="4" customWidth="1"/>
    <col min="70" max="71" width="9.140625" style="4" customWidth="1"/>
    <col min="72" max="72" width="9.85546875" style="4" customWidth="1"/>
    <col min="73" max="74" width="9.140625" style="4" customWidth="1"/>
    <col min="75" max="75" width="9.5703125" style="4" customWidth="1"/>
    <col min="76" max="77" width="9.140625" style="4" customWidth="1"/>
    <col min="78" max="78" width="10.28515625" style="4" customWidth="1"/>
    <col min="79" max="79" width="9.7109375" style="4" customWidth="1"/>
    <col min="80" max="80" width="9.140625" style="4" customWidth="1"/>
    <col min="81" max="81" width="10.42578125" style="4" customWidth="1"/>
    <col min="82" max="83" width="9.140625" style="4" customWidth="1"/>
    <col min="84" max="84" width="9.5703125" style="4" customWidth="1"/>
    <col min="85" max="86" width="9.140625" style="4" customWidth="1"/>
    <col min="87" max="87" width="10.28515625" style="4" customWidth="1"/>
    <col min="88" max="88" width="10.7109375" style="4" customWidth="1"/>
    <col min="89" max="89" width="9.140625" style="4" customWidth="1"/>
    <col min="90" max="90" width="10.42578125" style="4" customWidth="1"/>
    <col min="91" max="91" width="9.140625" style="4" customWidth="1"/>
    <col min="92" max="92" width="10.7109375" style="4" customWidth="1"/>
    <col min="93" max="93" width="9.85546875" style="4" customWidth="1"/>
    <col min="94" max="95" width="9.140625" style="4" customWidth="1"/>
    <col min="96" max="96" width="10.7109375" style="4" customWidth="1"/>
    <col min="97" max="98" width="9.140625" style="4" customWidth="1"/>
    <col min="99" max="99" width="10.7109375" style="4" customWidth="1"/>
    <col min="100" max="100" width="9.7109375" style="4" customWidth="1"/>
    <col min="101" max="101" width="9.140625" style="4" customWidth="1"/>
    <col min="102" max="102" width="9.85546875" style="4" customWidth="1"/>
    <col min="103" max="104" width="9.140625" style="4" customWidth="1"/>
    <col min="105" max="105" width="9.5703125" style="4" customWidth="1"/>
    <col min="106" max="107" width="9.140625" style="4" customWidth="1"/>
    <col min="108" max="108" width="9.7109375" style="4" customWidth="1"/>
    <col min="109" max="109" width="10.7109375" style="4" customWidth="1"/>
    <col min="110" max="110" width="9.140625" style="4" customWidth="1"/>
    <col min="111" max="111" width="9.7109375" style="4" customWidth="1"/>
    <col min="112" max="112" width="10.7109375" style="4" customWidth="1"/>
    <col min="113" max="113" width="9.140625" style="4" customWidth="1"/>
    <col min="114" max="114" width="9.7109375" style="4" customWidth="1"/>
    <col min="115" max="115" width="10.7109375" style="4" customWidth="1"/>
    <col min="116" max="116" width="9.140625" style="4" customWidth="1"/>
    <col min="117" max="117" width="9.7109375" style="4" customWidth="1"/>
    <col min="118" max="16384" width="9.140625" style="5"/>
  </cols>
  <sheetData>
    <row r="1" spans="1:117" ht="44.25" customHeight="1">
      <c r="A1" s="21" t="s">
        <v>93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14"/>
      <c r="BH1" s="11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M1" s="14"/>
      <c r="CN1" s="14"/>
      <c r="CO1" s="14"/>
      <c r="CP1" s="14"/>
      <c r="CV1" s="14"/>
      <c r="DA1" s="14"/>
      <c r="DB1" s="14"/>
      <c r="DC1" s="14"/>
      <c r="DD1" s="14"/>
    </row>
    <row r="2" spans="1:117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BL2" s="258"/>
      <c r="BM2" s="258"/>
      <c r="BN2" s="4">
        <f>SUBTOTAL(2,BN5:BN268)</f>
        <v>227</v>
      </c>
      <c r="BO2" s="258"/>
      <c r="BP2" s="258"/>
      <c r="BQ2" s="4">
        <f>SUBTOTAL(2,BQ5:BQ268)</f>
        <v>227</v>
      </c>
      <c r="BR2" s="258"/>
      <c r="BS2" s="258"/>
      <c r="BT2" s="4">
        <f>SUBTOTAL(2,BT5:BT268)</f>
        <v>227</v>
      </c>
      <c r="BU2" s="258"/>
      <c r="BV2" s="258"/>
      <c r="BW2" s="4">
        <f>SUBTOTAL(2,BW5:BW268)</f>
        <v>227</v>
      </c>
      <c r="BX2" s="258"/>
      <c r="BY2" s="258"/>
      <c r="BZ2" s="4">
        <f>SUBTOTAL(2,BZ5:BZ268)</f>
        <v>227</v>
      </c>
      <c r="CA2" s="258"/>
      <c r="CB2" s="258"/>
      <c r="CD2" s="258"/>
      <c r="CE2" s="258"/>
      <c r="CG2" s="258"/>
      <c r="CH2" s="258"/>
      <c r="CJ2" s="258"/>
      <c r="CK2" s="258"/>
      <c r="CM2" s="258"/>
      <c r="CN2" s="258"/>
    </row>
    <row r="3" spans="1:117" ht="20.25" customHeight="1">
      <c r="A3" s="6"/>
      <c r="B3" s="240">
        <v>46112</v>
      </c>
      <c r="C3" s="6" t="s">
        <v>26</v>
      </c>
      <c r="D3" s="6" t="s">
        <v>0</v>
      </c>
      <c r="E3" s="33" t="s">
        <v>36</v>
      </c>
      <c r="F3" s="33" t="s">
        <v>36</v>
      </c>
      <c r="G3" s="33" t="s">
        <v>36</v>
      </c>
      <c r="H3" s="33" t="s">
        <v>36</v>
      </c>
      <c r="I3" s="33" t="s">
        <v>36</v>
      </c>
      <c r="J3" s="33" t="s">
        <v>36</v>
      </c>
      <c r="K3" s="33" t="s">
        <v>36</v>
      </c>
      <c r="L3" s="33" t="s">
        <v>36</v>
      </c>
      <c r="M3" s="33" t="s">
        <v>36</v>
      </c>
      <c r="N3" s="33" t="s">
        <v>36</v>
      </c>
      <c r="O3" s="33" t="s">
        <v>36</v>
      </c>
      <c r="P3" s="33" t="s">
        <v>36</v>
      </c>
      <c r="Q3" s="33" t="s">
        <v>36</v>
      </c>
      <c r="R3" s="33" t="s">
        <v>36</v>
      </c>
      <c r="S3" s="33" t="s">
        <v>36</v>
      </c>
      <c r="T3" s="33" t="s">
        <v>36</v>
      </c>
      <c r="U3" s="33" t="s">
        <v>36</v>
      </c>
      <c r="V3" s="33" t="s">
        <v>36</v>
      </c>
      <c r="W3" s="33" t="s">
        <v>36</v>
      </c>
      <c r="X3" s="33" t="s">
        <v>36</v>
      </c>
      <c r="Y3" s="33" t="s">
        <v>36</v>
      </c>
      <c r="Z3" s="33" t="s">
        <v>36</v>
      </c>
      <c r="AA3" s="33" t="s">
        <v>36</v>
      </c>
      <c r="AB3" s="6" t="s">
        <v>258</v>
      </c>
      <c r="AC3" s="6" t="s">
        <v>4</v>
      </c>
      <c r="AD3" s="6" t="s">
        <v>0</v>
      </c>
      <c r="AE3" s="6" t="s">
        <v>259</v>
      </c>
      <c r="AF3" s="6" t="s">
        <v>4</v>
      </c>
      <c r="AG3" s="6" t="s">
        <v>0</v>
      </c>
      <c r="AH3" s="6" t="s">
        <v>260</v>
      </c>
      <c r="AI3" s="6" t="s">
        <v>4</v>
      </c>
      <c r="AJ3" s="6" t="s">
        <v>2</v>
      </c>
      <c r="AK3" s="6" t="s">
        <v>261</v>
      </c>
      <c r="AL3" s="6" t="s">
        <v>26</v>
      </c>
      <c r="AM3" s="6" t="s">
        <v>0</v>
      </c>
      <c r="AN3" s="6" t="s">
        <v>262</v>
      </c>
      <c r="AO3" s="6" t="s">
        <v>4</v>
      </c>
      <c r="AP3" s="6" t="s">
        <v>0</v>
      </c>
      <c r="AQ3" s="6" t="s">
        <v>263</v>
      </c>
      <c r="AR3" s="6" t="s">
        <v>4</v>
      </c>
      <c r="AS3" s="6" t="s">
        <v>0</v>
      </c>
      <c r="AT3" s="6" t="s">
        <v>264</v>
      </c>
      <c r="AU3" s="6" t="s">
        <v>4</v>
      </c>
      <c r="AV3" s="6" t="s">
        <v>0</v>
      </c>
      <c r="AW3" s="6" t="s">
        <v>265</v>
      </c>
      <c r="AX3" s="6" t="s">
        <v>4</v>
      </c>
      <c r="AY3" s="6" t="s">
        <v>0</v>
      </c>
      <c r="AZ3" s="6" t="s">
        <v>266</v>
      </c>
      <c r="BA3" s="6" t="s">
        <v>4</v>
      </c>
      <c r="BB3" s="6" t="s">
        <v>0</v>
      </c>
      <c r="BC3" s="6" t="s">
        <v>267</v>
      </c>
      <c r="BD3" s="6" t="s">
        <v>4</v>
      </c>
      <c r="BE3" s="6" t="s">
        <v>0</v>
      </c>
      <c r="BF3" s="6" t="s">
        <v>268</v>
      </c>
      <c r="BG3" s="6" t="s">
        <v>26</v>
      </c>
      <c r="BH3" s="6" t="s">
        <v>2</v>
      </c>
      <c r="BI3" s="6" t="s">
        <v>269</v>
      </c>
      <c r="BJ3" s="6" t="s">
        <v>26</v>
      </c>
      <c r="BK3" s="6" t="s">
        <v>2</v>
      </c>
      <c r="BL3" s="6" t="s">
        <v>270</v>
      </c>
      <c r="BM3" s="6" t="s">
        <v>26</v>
      </c>
      <c r="BN3" s="6" t="s">
        <v>2</v>
      </c>
      <c r="BO3" s="6" t="s">
        <v>271</v>
      </c>
      <c r="BP3" s="6" t="s">
        <v>26</v>
      </c>
      <c r="BQ3" s="6" t="s">
        <v>2</v>
      </c>
      <c r="BR3" s="6" t="s">
        <v>272</v>
      </c>
      <c r="BS3" s="6" t="s">
        <v>26</v>
      </c>
      <c r="BT3" s="6" t="s">
        <v>2</v>
      </c>
      <c r="BU3" s="6" t="s">
        <v>273</v>
      </c>
      <c r="BV3" s="6" t="s">
        <v>26</v>
      </c>
      <c r="BW3" s="6" t="s">
        <v>0</v>
      </c>
      <c r="BX3" s="6" t="s">
        <v>274</v>
      </c>
      <c r="BY3" s="6" t="s">
        <v>26</v>
      </c>
      <c r="BZ3" s="6" t="s">
        <v>0</v>
      </c>
      <c r="CA3" s="6" t="s">
        <v>275</v>
      </c>
      <c r="CB3" s="6" t="s">
        <v>26</v>
      </c>
      <c r="CC3" s="6" t="s">
        <v>0</v>
      </c>
      <c r="CD3" s="6" t="s">
        <v>276</v>
      </c>
      <c r="CE3" s="6" t="s">
        <v>26</v>
      </c>
      <c r="CF3" s="6" t="s">
        <v>0</v>
      </c>
      <c r="CG3" s="6" t="s">
        <v>277</v>
      </c>
      <c r="CH3" s="6" t="s">
        <v>26</v>
      </c>
      <c r="CI3" s="6" t="s">
        <v>0</v>
      </c>
      <c r="CJ3" s="6" t="s">
        <v>278</v>
      </c>
      <c r="CK3" s="6" t="s">
        <v>26</v>
      </c>
      <c r="CL3" s="6" t="s">
        <v>0</v>
      </c>
      <c r="CM3" s="6" t="s">
        <v>279</v>
      </c>
      <c r="CN3" s="6" t="s">
        <v>26</v>
      </c>
      <c r="CO3" s="6" t="s">
        <v>0</v>
      </c>
      <c r="CP3" s="6" t="s">
        <v>280</v>
      </c>
      <c r="CQ3" s="6" t="s">
        <v>26</v>
      </c>
      <c r="CR3" s="6" t="s">
        <v>0</v>
      </c>
      <c r="CS3" s="6" t="s">
        <v>281</v>
      </c>
      <c r="CT3" s="6" t="s">
        <v>26</v>
      </c>
      <c r="CU3" s="6" t="s">
        <v>0</v>
      </c>
      <c r="CV3" s="6" t="s">
        <v>282</v>
      </c>
      <c r="CW3" s="6" t="s">
        <v>26</v>
      </c>
      <c r="CX3" s="6" t="s">
        <v>0</v>
      </c>
      <c r="CY3" s="6" t="s">
        <v>283</v>
      </c>
      <c r="CZ3" s="6" t="s">
        <v>26</v>
      </c>
      <c r="DA3" s="6" t="s">
        <v>0</v>
      </c>
      <c r="DB3" s="6" t="s">
        <v>284</v>
      </c>
      <c r="DC3" s="6" t="s">
        <v>4</v>
      </c>
      <c r="DD3" s="6" t="s">
        <v>0</v>
      </c>
      <c r="DE3" s="6" t="s">
        <v>285</v>
      </c>
      <c r="DF3" s="6" t="s">
        <v>26</v>
      </c>
      <c r="DG3" s="6" t="s">
        <v>0</v>
      </c>
      <c r="DH3" s="6" t="s">
        <v>286</v>
      </c>
      <c r="DI3" s="6" t="s">
        <v>26</v>
      </c>
      <c r="DJ3" s="6" t="s">
        <v>0</v>
      </c>
      <c r="DK3" s="6" t="s">
        <v>287</v>
      </c>
      <c r="DL3" s="6" t="s">
        <v>26</v>
      </c>
      <c r="DM3" s="6" t="s">
        <v>0</v>
      </c>
    </row>
    <row r="4" spans="1:117">
      <c r="A4" s="6" t="s">
        <v>35</v>
      </c>
      <c r="B4" s="6"/>
      <c r="C4" s="6"/>
      <c r="D4" s="6"/>
      <c r="E4" s="140">
        <v>46112</v>
      </c>
      <c r="F4" s="140">
        <v>46113</v>
      </c>
      <c r="G4" s="140">
        <v>46114</v>
      </c>
      <c r="H4" s="140">
        <v>46115</v>
      </c>
      <c r="I4" s="140">
        <v>46116</v>
      </c>
      <c r="J4" s="140">
        <v>46118</v>
      </c>
      <c r="K4" s="140">
        <v>46119</v>
      </c>
      <c r="L4" s="140">
        <v>46120</v>
      </c>
      <c r="M4" s="140">
        <v>46121</v>
      </c>
      <c r="N4" s="140">
        <v>46122</v>
      </c>
      <c r="O4" s="140">
        <v>46123</v>
      </c>
      <c r="P4" s="140">
        <v>46125</v>
      </c>
      <c r="Q4" s="140">
        <v>46126</v>
      </c>
      <c r="R4" s="140">
        <v>46127</v>
      </c>
      <c r="S4" s="140">
        <v>46128</v>
      </c>
      <c r="T4" s="140">
        <v>46129</v>
      </c>
      <c r="U4" s="140">
        <v>46130</v>
      </c>
      <c r="V4" s="140">
        <v>46132</v>
      </c>
      <c r="W4" s="140">
        <v>46133</v>
      </c>
      <c r="X4" s="140">
        <v>46134</v>
      </c>
      <c r="Y4" s="140">
        <v>46135</v>
      </c>
      <c r="Z4" s="140">
        <v>46136</v>
      </c>
      <c r="AA4" s="140">
        <v>46137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</row>
    <row r="5" spans="1:117">
      <c r="A5" s="6">
        <v>1</v>
      </c>
      <c r="B5" s="6">
        <v>889</v>
      </c>
      <c r="C5" s="6"/>
      <c r="D5" s="6">
        <v>358</v>
      </c>
      <c r="E5" s="33" t="s">
        <v>37</v>
      </c>
      <c r="F5" s="33" t="s">
        <v>37</v>
      </c>
      <c r="G5" s="33" t="s">
        <v>37</v>
      </c>
      <c r="H5" s="33" t="s">
        <v>37</v>
      </c>
      <c r="I5" s="33" t="s">
        <v>37</v>
      </c>
      <c r="J5" s="33" t="s">
        <v>37</v>
      </c>
      <c r="K5" s="33" t="s">
        <v>37</v>
      </c>
      <c r="L5" s="33" t="s">
        <v>37</v>
      </c>
      <c r="M5" s="33" t="s">
        <v>37</v>
      </c>
      <c r="N5" s="33" t="s">
        <v>37</v>
      </c>
      <c r="O5" s="33" t="s">
        <v>37</v>
      </c>
      <c r="P5" s="148" t="s">
        <v>37</v>
      </c>
      <c r="Q5" s="33" t="s">
        <v>37</v>
      </c>
      <c r="R5" s="33" t="s">
        <v>37</v>
      </c>
      <c r="S5" s="33" t="s">
        <v>37</v>
      </c>
      <c r="T5" s="33" t="s">
        <v>37</v>
      </c>
      <c r="U5" s="33" t="s">
        <v>37</v>
      </c>
      <c r="V5" s="33" t="s">
        <v>37</v>
      </c>
      <c r="W5" s="33" t="s">
        <v>37</v>
      </c>
      <c r="X5" s="33" t="s">
        <v>37</v>
      </c>
      <c r="Y5" s="33" t="s">
        <v>37</v>
      </c>
      <c r="Z5" s="33" t="s">
        <v>37</v>
      </c>
      <c r="AA5" s="33" t="s">
        <v>37</v>
      </c>
      <c r="AB5" s="6">
        <v>1297</v>
      </c>
      <c r="AC5" s="6"/>
      <c r="AD5" s="35">
        <f>AC5+AB5-B5</f>
        <v>408</v>
      </c>
      <c r="AE5" s="6">
        <v>353</v>
      </c>
      <c r="AF5" s="6">
        <v>1311</v>
      </c>
      <c r="AG5" s="35">
        <f>AF5+AE5-AB5</f>
        <v>367</v>
      </c>
      <c r="AH5" s="35">
        <v>748</v>
      </c>
      <c r="AI5" s="35"/>
      <c r="AJ5" s="35">
        <f>AI5+AH5-AE5</f>
        <v>395</v>
      </c>
      <c r="AK5" s="35">
        <v>1098</v>
      </c>
      <c r="AL5" s="6"/>
      <c r="AM5" s="35">
        <f>AL5+AK5-AH5</f>
        <v>350</v>
      </c>
      <c r="AN5" s="6"/>
      <c r="AO5" s="6"/>
      <c r="AP5" s="34"/>
      <c r="AQ5" s="35">
        <v>1488</v>
      </c>
      <c r="AR5" s="35"/>
      <c r="AS5" s="35">
        <f>AR5+AQ5-AK5</f>
        <v>390</v>
      </c>
      <c r="AT5" s="6">
        <v>312</v>
      </c>
      <c r="AU5" s="6">
        <v>1560</v>
      </c>
      <c r="AV5" s="35">
        <f>AU5+AT5-AQ5</f>
        <v>384</v>
      </c>
      <c r="AW5" s="6">
        <v>700</v>
      </c>
      <c r="AX5" s="6"/>
      <c r="AY5" s="35">
        <f>AX5+AW5-AT5</f>
        <v>388</v>
      </c>
      <c r="AZ5" s="35">
        <v>21</v>
      </c>
      <c r="BA5" s="35">
        <v>1045</v>
      </c>
      <c r="BB5" s="35">
        <f>BA5+AZ5-AW5</f>
        <v>366</v>
      </c>
      <c r="BC5" s="6">
        <v>402</v>
      </c>
      <c r="BD5" s="6"/>
      <c r="BE5" s="35">
        <f>BD5+BC5-AZ5</f>
        <v>381</v>
      </c>
      <c r="BF5" s="6">
        <v>782</v>
      </c>
      <c r="BG5" s="6"/>
      <c r="BH5" s="6">
        <f>BG5+BF5-BC5</f>
        <v>380</v>
      </c>
      <c r="BI5" s="6"/>
      <c r="BJ5" s="6"/>
      <c r="BK5" s="6"/>
      <c r="BL5" s="6">
        <v>292</v>
      </c>
      <c r="BM5" s="6">
        <v>825</v>
      </c>
      <c r="BN5" s="6">
        <f>BM5+BL5-BF5</f>
        <v>335</v>
      </c>
      <c r="BO5" s="6">
        <v>676</v>
      </c>
      <c r="BP5" s="6"/>
      <c r="BQ5" s="35">
        <f>BP5+BO5-BL5</f>
        <v>384</v>
      </c>
      <c r="BR5" s="6">
        <v>1070</v>
      </c>
      <c r="BS5" s="6"/>
      <c r="BT5" s="6">
        <f>BS5+BR5-BO5</f>
        <v>394</v>
      </c>
      <c r="BU5" s="6">
        <v>1450</v>
      </c>
      <c r="BV5" s="6"/>
      <c r="BW5" s="35">
        <f>BV5+BU5-BR5</f>
        <v>380</v>
      </c>
      <c r="BX5" s="6">
        <v>285</v>
      </c>
      <c r="BY5" s="6">
        <v>1560</v>
      </c>
      <c r="BZ5" s="6">
        <f>BY5+BX5-BU5</f>
        <v>395</v>
      </c>
      <c r="CA5" s="6">
        <v>658</v>
      </c>
      <c r="CB5" s="6"/>
      <c r="CC5" s="6">
        <f>CB5+CA5-BX5</f>
        <v>373</v>
      </c>
      <c r="CD5" s="6"/>
      <c r="CE5" s="6"/>
      <c r="CF5" s="6"/>
      <c r="CG5" s="6">
        <v>1062</v>
      </c>
      <c r="CH5" s="6"/>
      <c r="CI5" s="6">
        <f>CH5+CG5-CA5</f>
        <v>404</v>
      </c>
      <c r="CJ5" s="6">
        <v>367</v>
      </c>
      <c r="CK5" s="6">
        <v>1079</v>
      </c>
      <c r="CL5" s="6">
        <f>CK5+CJ5-CG5</f>
        <v>384</v>
      </c>
      <c r="CM5" s="6">
        <v>745</v>
      </c>
      <c r="CN5" s="6"/>
      <c r="CO5" s="6">
        <f>CN5+CM5-CJ5</f>
        <v>378</v>
      </c>
      <c r="CP5" s="6">
        <v>257</v>
      </c>
      <c r="CQ5" s="6">
        <v>848</v>
      </c>
      <c r="CR5" s="6">
        <f>CQ5+CP5-CM5</f>
        <v>360</v>
      </c>
      <c r="CS5" s="6">
        <v>646</v>
      </c>
      <c r="CT5" s="6"/>
      <c r="CU5" s="6">
        <f>CT5+CS5-CP5</f>
        <v>389</v>
      </c>
      <c r="CV5" s="6">
        <v>850</v>
      </c>
      <c r="CW5" s="6"/>
      <c r="CX5" s="6">
        <f>CW5+CV5-CS5</f>
        <v>204</v>
      </c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</row>
    <row r="6" spans="1:117">
      <c r="A6" s="6">
        <v>2</v>
      </c>
      <c r="B6" s="6">
        <v>1015</v>
      </c>
      <c r="C6" s="6"/>
      <c r="D6" s="6">
        <v>357</v>
      </c>
      <c r="E6" s="33" t="s">
        <v>128</v>
      </c>
      <c r="F6" s="33" t="s">
        <v>128</v>
      </c>
      <c r="G6" s="33" t="s">
        <v>128</v>
      </c>
      <c r="H6" s="33" t="s">
        <v>128</v>
      </c>
      <c r="I6" s="33" t="s">
        <v>128</v>
      </c>
      <c r="J6" s="33" t="s">
        <v>128</v>
      </c>
      <c r="K6" s="33" t="s">
        <v>128</v>
      </c>
      <c r="L6" s="33" t="s">
        <v>128</v>
      </c>
      <c r="M6" s="33" t="s">
        <v>128</v>
      </c>
      <c r="N6" s="33" t="s">
        <v>128</v>
      </c>
      <c r="O6" s="33" t="s">
        <v>128</v>
      </c>
      <c r="P6" s="148" t="s">
        <v>128</v>
      </c>
      <c r="Q6" s="33" t="s">
        <v>128</v>
      </c>
      <c r="R6" s="33" t="s">
        <v>128</v>
      </c>
      <c r="S6" s="33" t="s">
        <v>128</v>
      </c>
      <c r="T6" s="33" t="s">
        <v>128</v>
      </c>
      <c r="U6" s="33" t="s">
        <v>128</v>
      </c>
      <c r="V6" s="33" t="s">
        <v>128</v>
      </c>
      <c r="W6" s="33" t="s">
        <v>128</v>
      </c>
      <c r="X6" s="33" t="s">
        <v>128</v>
      </c>
      <c r="Y6" s="33" t="s">
        <v>128</v>
      </c>
      <c r="Z6" s="33" t="s">
        <v>128</v>
      </c>
      <c r="AA6" s="33" t="s">
        <v>128</v>
      </c>
      <c r="AB6" s="6">
        <v>1424</v>
      </c>
      <c r="AC6" s="6"/>
      <c r="AD6" s="35">
        <f t="shared" ref="AD6:AD69" si="0">AC6+AB6-B6</f>
        <v>409</v>
      </c>
      <c r="AE6" s="6">
        <v>235</v>
      </c>
      <c r="AF6" s="6">
        <v>1560</v>
      </c>
      <c r="AG6" s="35">
        <f t="shared" ref="AG6:AG69" si="1">AF6+AE6-AB6</f>
        <v>371</v>
      </c>
      <c r="AH6" s="35">
        <v>624</v>
      </c>
      <c r="AI6" s="35"/>
      <c r="AJ6" s="35">
        <f t="shared" ref="AJ6:AJ69" si="2">AI6+AH6-AE6</f>
        <v>389</v>
      </c>
      <c r="AK6" s="6">
        <v>984</v>
      </c>
      <c r="AL6" s="6"/>
      <c r="AM6" s="35">
        <f t="shared" ref="AM6:AM69" si="3">AL6+AK6-AH6</f>
        <v>360</v>
      </c>
      <c r="AN6" s="6"/>
      <c r="AO6" s="6"/>
      <c r="AP6" s="34"/>
      <c r="AQ6" s="35">
        <v>1370</v>
      </c>
      <c r="AR6" s="35"/>
      <c r="AS6" s="35">
        <f t="shared" ref="AS6:AS69" si="4">AR6+AQ6-AK6</f>
        <v>386</v>
      </c>
      <c r="AT6" s="6">
        <v>198</v>
      </c>
      <c r="AU6" s="6">
        <v>1560</v>
      </c>
      <c r="AV6" s="35">
        <f t="shared" ref="AV6:AV69" si="5">AU6+AT6-AQ6</f>
        <v>388</v>
      </c>
      <c r="AW6" s="6">
        <v>581</v>
      </c>
      <c r="AX6" s="6"/>
      <c r="AY6" s="35">
        <f t="shared" ref="AY6:AY69" si="6">AX6+AW6-AT6</f>
        <v>383</v>
      </c>
      <c r="AZ6" s="35">
        <v>970</v>
      </c>
      <c r="BA6" s="35"/>
      <c r="BB6" s="35">
        <f t="shared" ref="BB6:BB69" si="7">BA6+AZ6-AW6</f>
        <v>389</v>
      </c>
      <c r="BC6" s="6">
        <v>1363</v>
      </c>
      <c r="BD6" s="6"/>
      <c r="BE6" s="35">
        <f t="shared" ref="BE6:BE69" si="8">BD6+BC6-AZ6</f>
        <v>393</v>
      </c>
      <c r="BF6" s="6">
        <v>0</v>
      </c>
      <c r="BG6" s="6">
        <v>1623</v>
      </c>
      <c r="BH6" s="6">
        <f t="shared" ref="BH6:BH69" si="9">BG6+BF6-BC6</f>
        <v>260</v>
      </c>
      <c r="BI6" s="6"/>
      <c r="BJ6" s="6"/>
      <c r="BK6" s="6"/>
      <c r="BL6" s="6">
        <v>363</v>
      </c>
      <c r="BM6" s="6"/>
      <c r="BN6" s="6">
        <f t="shared" ref="BN6:BN69" si="10">BM6+BL6-BF6</f>
        <v>363</v>
      </c>
      <c r="BO6" s="6">
        <v>735</v>
      </c>
      <c r="BP6" s="6"/>
      <c r="BQ6" s="35">
        <f t="shared" ref="BQ6:BQ69" si="11">BP6+BO6-BL6</f>
        <v>372</v>
      </c>
      <c r="BR6" s="6">
        <v>343</v>
      </c>
      <c r="BS6" s="6">
        <v>767</v>
      </c>
      <c r="BT6" s="6">
        <f t="shared" ref="BT6:BT69" si="12">BS6+BR6-BO6</f>
        <v>375</v>
      </c>
      <c r="BU6" s="6">
        <v>724</v>
      </c>
      <c r="BV6" s="6"/>
      <c r="BW6" s="35">
        <f t="shared" ref="BW6:BW69" si="13">BV6+BU6-BR6</f>
        <v>381</v>
      </c>
      <c r="BX6" s="6">
        <v>1116</v>
      </c>
      <c r="BY6" s="6"/>
      <c r="BZ6" s="6">
        <f t="shared" ref="BZ6:BZ69" si="14">BY6+BX6-BU6</f>
        <v>392</v>
      </c>
      <c r="CA6" s="6">
        <v>1479</v>
      </c>
      <c r="CB6" s="6"/>
      <c r="CC6" s="6">
        <f t="shared" ref="CC6:CC69" si="15">CB6+CA6-BX6</f>
        <v>363</v>
      </c>
      <c r="CD6" s="6"/>
      <c r="CE6" s="6"/>
      <c r="CF6" s="6"/>
      <c r="CG6" s="6">
        <v>311</v>
      </c>
      <c r="CH6" s="6">
        <v>1560</v>
      </c>
      <c r="CI6" s="6">
        <f t="shared" ref="CI6:CI69" si="16">CH6+CG6-CA6</f>
        <v>392</v>
      </c>
      <c r="CJ6" s="6">
        <v>710</v>
      </c>
      <c r="CK6" s="6"/>
      <c r="CL6" s="6">
        <f t="shared" ref="CL6:CL69" si="17">CK6+CJ6-CG6</f>
        <v>399</v>
      </c>
      <c r="CM6" s="6">
        <v>213</v>
      </c>
      <c r="CN6" s="6">
        <v>877</v>
      </c>
      <c r="CO6" s="6">
        <f t="shared" ref="CO6:CO69" si="18">CN6+CM6-CJ6</f>
        <v>380</v>
      </c>
      <c r="CP6" s="6">
        <v>602</v>
      </c>
      <c r="CQ6" s="6"/>
      <c r="CR6" s="6">
        <f t="shared" ref="CR6:CR69" si="19">CQ6+CP6-CM6</f>
        <v>389</v>
      </c>
      <c r="CS6" s="6">
        <v>1001</v>
      </c>
      <c r="CT6" s="6"/>
      <c r="CU6" s="6">
        <f t="shared" ref="CU6:CU69" si="20">CT6+CS6-CP6</f>
        <v>399</v>
      </c>
      <c r="CV6" s="6">
        <v>1214</v>
      </c>
      <c r="CW6" s="6"/>
      <c r="CX6" s="6">
        <f t="shared" ref="CX6:CX69" si="21">CW6+CV6-CS6</f>
        <v>213</v>
      </c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</row>
    <row r="7" spans="1:117">
      <c r="A7" s="6">
        <v>3</v>
      </c>
      <c r="B7" s="6">
        <v>1083</v>
      </c>
      <c r="C7" s="6"/>
      <c r="D7" s="6">
        <v>355</v>
      </c>
      <c r="E7" s="33" t="s">
        <v>37</v>
      </c>
      <c r="F7" s="33" t="s">
        <v>37</v>
      </c>
      <c r="G7" s="33" t="s">
        <v>37</v>
      </c>
      <c r="H7" s="148" t="s">
        <v>37</v>
      </c>
      <c r="I7" s="33" t="s">
        <v>37</v>
      </c>
      <c r="J7" s="33" t="s">
        <v>37</v>
      </c>
      <c r="K7" s="33" t="s">
        <v>37</v>
      </c>
      <c r="L7" s="33" t="s">
        <v>37</v>
      </c>
      <c r="M7" s="33" t="s">
        <v>37</v>
      </c>
      <c r="N7" s="33" t="s">
        <v>37</v>
      </c>
      <c r="O7" s="33" t="s">
        <v>37</v>
      </c>
      <c r="P7" s="33" t="s">
        <v>37</v>
      </c>
      <c r="Q7" s="33" t="s">
        <v>37</v>
      </c>
      <c r="R7" s="33" t="s">
        <v>37</v>
      </c>
      <c r="S7" s="33" t="s">
        <v>37</v>
      </c>
      <c r="T7" s="33" t="s">
        <v>37</v>
      </c>
      <c r="U7" s="33" t="s">
        <v>37</v>
      </c>
      <c r="V7" s="33" t="s">
        <v>37</v>
      </c>
      <c r="W7" s="33" t="s">
        <v>37</v>
      </c>
      <c r="X7" s="33" t="s">
        <v>37</v>
      </c>
      <c r="Y7" s="33" t="s">
        <v>37</v>
      </c>
      <c r="Z7" s="33" t="s">
        <v>37</v>
      </c>
      <c r="AA7" s="33" t="s">
        <v>37</v>
      </c>
      <c r="AB7" s="6">
        <v>1489</v>
      </c>
      <c r="AC7" s="6"/>
      <c r="AD7" s="35">
        <f t="shared" si="0"/>
        <v>406</v>
      </c>
      <c r="AE7" s="6">
        <v>1849</v>
      </c>
      <c r="AF7" s="6"/>
      <c r="AG7" s="35">
        <f t="shared" si="1"/>
        <v>360</v>
      </c>
      <c r="AH7" s="35">
        <v>295</v>
      </c>
      <c r="AI7" s="35">
        <v>1911</v>
      </c>
      <c r="AJ7" s="35">
        <f t="shared" si="2"/>
        <v>357</v>
      </c>
      <c r="AK7" s="35">
        <v>661</v>
      </c>
      <c r="AL7" s="6"/>
      <c r="AM7" s="35">
        <f t="shared" si="3"/>
        <v>366</v>
      </c>
      <c r="AN7" s="6"/>
      <c r="AO7" s="6"/>
      <c r="AP7" s="34"/>
      <c r="AQ7" s="35">
        <v>1047</v>
      </c>
      <c r="AR7" s="35"/>
      <c r="AS7" s="35">
        <f t="shared" si="4"/>
        <v>386</v>
      </c>
      <c r="AT7" s="6">
        <v>1439</v>
      </c>
      <c r="AU7" s="6"/>
      <c r="AV7" s="35">
        <f t="shared" si="5"/>
        <v>392</v>
      </c>
      <c r="AW7" s="6">
        <v>269</v>
      </c>
      <c r="AX7" s="6">
        <v>1560</v>
      </c>
      <c r="AY7" s="35">
        <f t="shared" si="6"/>
        <v>390</v>
      </c>
      <c r="AZ7" s="35">
        <v>653</v>
      </c>
      <c r="BA7" s="35"/>
      <c r="BB7" s="35">
        <f t="shared" si="7"/>
        <v>384</v>
      </c>
      <c r="BC7" s="6">
        <v>1045</v>
      </c>
      <c r="BD7" s="6"/>
      <c r="BE7" s="35">
        <f t="shared" si="8"/>
        <v>392</v>
      </c>
      <c r="BF7" s="6">
        <v>1435</v>
      </c>
      <c r="BG7" s="6"/>
      <c r="BH7" s="6">
        <f t="shared" si="9"/>
        <v>390</v>
      </c>
      <c r="BI7" s="6"/>
      <c r="BJ7" s="6"/>
      <c r="BK7" s="6"/>
      <c r="BL7" s="6">
        <v>252</v>
      </c>
      <c r="BM7" s="6">
        <v>1560</v>
      </c>
      <c r="BN7" s="6">
        <f t="shared" si="10"/>
        <v>377</v>
      </c>
      <c r="BO7" s="6">
        <v>637</v>
      </c>
      <c r="BP7" s="6"/>
      <c r="BQ7" s="35">
        <f t="shared" si="11"/>
        <v>385</v>
      </c>
      <c r="BR7" s="6">
        <v>1023</v>
      </c>
      <c r="BS7" s="6"/>
      <c r="BT7" s="6">
        <f t="shared" si="12"/>
        <v>386</v>
      </c>
      <c r="BU7" s="6">
        <v>1405</v>
      </c>
      <c r="BV7" s="6"/>
      <c r="BW7" s="35">
        <f t="shared" si="13"/>
        <v>382</v>
      </c>
      <c r="BX7" s="6">
        <v>243</v>
      </c>
      <c r="BY7" s="6">
        <v>1560</v>
      </c>
      <c r="BZ7" s="6">
        <f t="shared" si="14"/>
        <v>398</v>
      </c>
      <c r="CA7" s="6">
        <v>3</v>
      </c>
      <c r="CB7" s="6">
        <v>606</v>
      </c>
      <c r="CC7" s="6">
        <f t="shared" si="15"/>
        <v>366</v>
      </c>
      <c r="CD7" s="6"/>
      <c r="CE7" s="6"/>
      <c r="CF7" s="6"/>
      <c r="CG7" s="6">
        <v>404</v>
      </c>
      <c r="CH7" s="6"/>
      <c r="CI7" s="6">
        <f t="shared" si="16"/>
        <v>401</v>
      </c>
      <c r="CJ7" s="6">
        <v>790</v>
      </c>
      <c r="CK7" s="6"/>
      <c r="CL7" s="6">
        <f t="shared" si="17"/>
        <v>386</v>
      </c>
      <c r="CM7" s="6">
        <v>1172</v>
      </c>
      <c r="CN7" s="6"/>
      <c r="CO7" s="6">
        <f t="shared" si="18"/>
        <v>382</v>
      </c>
      <c r="CP7" s="6">
        <v>1553</v>
      </c>
      <c r="CQ7" s="6"/>
      <c r="CR7" s="6">
        <f t="shared" si="19"/>
        <v>381</v>
      </c>
      <c r="CS7" s="6">
        <v>381</v>
      </c>
      <c r="CT7" s="6">
        <v>1560</v>
      </c>
      <c r="CU7" s="6">
        <f t="shared" si="20"/>
        <v>388</v>
      </c>
      <c r="CV7" s="6">
        <v>589</v>
      </c>
      <c r="CW7" s="6"/>
      <c r="CX7" s="6">
        <f t="shared" si="21"/>
        <v>208</v>
      </c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</row>
    <row r="8" spans="1:117">
      <c r="A8" s="6">
        <v>4</v>
      </c>
      <c r="B8" s="6">
        <v>271</v>
      </c>
      <c r="C8" s="6">
        <v>1560</v>
      </c>
      <c r="D8" s="6">
        <v>363</v>
      </c>
      <c r="E8" s="33" t="s">
        <v>37</v>
      </c>
      <c r="F8" s="33" t="s">
        <v>37</v>
      </c>
      <c r="G8" s="33" t="s">
        <v>37</v>
      </c>
      <c r="H8" s="33" t="s">
        <v>37</v>
      </c>
      <c r="I8" s="33" t="s">
        <v>37</v>
      </c>
      <c r="J8" s="33" t="s">
        <v>37</v>
      </c>
      <c r="K8" s="33" t="s">
        <v>37</v>
      </c>
      <c r="L8" s="33" t="s">
        <v>37</v>
      </c>
      <c r="M8" s="33" t="s">
        <v>37</v>
      </c>
      <c r="N8" s="33" t="s">
        <v>37</v>
      </c>
      <c r="O8" s="33" t="s">
        <v>37</v>
      </c>
      <c r="P8" s="33" t="s">
        <v>37</v>
      </c>
      <c r="Q8" s="33" t="s">
        <v>37</v>
      </c>
      <c r="R8" s="33" t="s">
        <v>37</v>
      </c>
      <c r="S8" s="33" t="s">
        <v>37</v>
      </c>
      <c r="T8" s="33" t="s">
        <v>37</v>
      </c>
      <c r="U8" s="33" t="s">
        <v>37</v>
      </c>
      <c r="V8" s="148" t="s">
        <v>307</v>
      </c>
      <c r="W8" s="33" t="s">
        <v>307</v>
      </c>
      <c r="X8" s="33" t="s">
        <v>307</v>
      </c>
      <c r="Y8" s="33" t="s">
        <v>307</v>
      </c>
      <c r="Z8" s="33" t="s">
        <v>307</v>
      </c>
      <c r="AA8" s="33" t="s">
        <v>307</v>
      </c>
      <c r="AB8" s="6">
        <v>676</v>
      </c>
      <c r="AC8" s="6"/>
      <c r="AD8" s="35">
        <f t="shared" si="0"/>
        <v>405</v>
      </c>
      <c r="AE8" s="6">
        <v>1049</v>
      </c>
      <c r="AF8" s="6"/>
      <c r="AG8" s="35">
        <f t="shared" si="1"/>
        <v>373</v>
      </c>
      <c r="AH8" s="35">
        <v>1434</v>
      </c>
      <c r="AI8" s="35"/>
      <c r="AJ8" s="35">
        <f t="shared" si="2"/>
        <v>385</v>
      </c>
      <c r="AK8" s="6">
        <v>222</v>
      </c>
      <c r="AL8" s="6">
        <v>1560</v>
      </c>
      <c r="AM8" s="35">
        <f t="shared" si="3"/>
        <v>348</v>
      </c>
      <c r="AN8" s="6"/>
      <c r="AO8" s="6"/>
      <c r="AP8" s="34"/>
      <c r="AQ8" s="35">
        <v>604</v>
      </c>
      <c r="AR8" s="35"/>
      <c r="AS8" s="35">
        <f t="shared" si="4"/>
        <v>382</v>
      </c>
      <c r="AT8" s="6">
        <v>990</v>
      </c>
      <c r="AU8" s="6"/>
      <c r="AV8" s="35">
        <f t="shared" si="5"/>
        <v>386</v>
      </c>
      <c r="AW8" s="6">
        <v>1375</v>
      </c>
      <c r="AX8" s="6"/>
      <c r="AY8" s="35">
        <f t="shared" si="6"/>
        <v>385</v>
      </c>
      <c r="AZ8" s="35">
        <v>206</v>
      </c>
      <c r="BA8" s="35">
        <v>1560</v>
      </c>
      <c r="BB8" s="35">
        <f t="shared" si="7"/>
        <v>391</v>
      </c>
      <c r="BC8" s="6">
        <v>586</v>
      </c>
      <c r="BD8" s="6"/>
      <c r="BE8" s="35">
        <f t="shared" si="8"/>
        <v>380</v>
      </c>
      <c r="BF8" s="6">
        <v>934</v>
      </c>
      <c r="BG8" s="6"/>
      <c r="BH8" s="6">
        <f t="shared" si="9"/>
        <v>348</v>
      </c>
      <c r="BI8" s="6"/>
      <c r="BJ8" s="6"/>
      <c r="BK8" s="6"/>
      <c r="BL8" s="6">
        <v>1335</v>
      </c>
      <c r="BM8" s="6"/>
      <c r="BN8" s="6">
        <f t="shared" si="10"/>
        <v>401</v>
      </c>
      <c r="BO8" s="6">
        <v>169</v>
      </c>
      <c r="BP8" s="6">
        <v>1550</v>
      </c>
      <c r="BQ8" s="35">
        <f t="shared" si="11"/>
        <v>384</v>
      </c>
      <c r="BR8" s="6">
        <v>554</v>
      </c>
      <c r="BS8" s="6"/>
      <c r="BT8" s="6">
        <f t="shared" si="12"/>
        <v>385</v>
      </c>
      <c r="BU8" s="6">
        <v>930</v>
      </c>
      <c r="BV8" s="6"/>
      <c r="BW8" s="35">
        <f t="shared" si="13"/>
        <v>376</v>
      </c>
      <c r="BX8" s="6">
        <v>1322</v>
      </c>
      <c r="BY8" s="6"/>
      <c r="BZ8" s="6">
        <f t="shared" si="14"/>
        <v>392</v>
      </c>
      <c r="CA8" s="6">
        <v>0</v>
      </c>
      <c r="CB8" s="6">
        <v>1648</v>
      </c>
      <c r="CC8" s="6">
        <f t="shared" si="15"/>
        <v>326</v>
      </c>
      <c r="CD8" s="6"/>
      <c r="CE8" s="6"/>
      <c r="CF8" s="6"/>
      <c r="CG8" s="6">
        <v>382</v>
      </c>
      <c r="CH8" s="6"/>
      <c r="CI8" s="6">
        <f t="shared" si="16"/>
        <v>382</v>
      </c>
      <c r="CJ8" s="6">
        <v>759</v>
      </c>
      <c r="CK8" s="6"/>
      <c r="CL8" s="6">
        <f t="shared" si="17"/>
        <v>377</v>
      </c>
      <c r="CM8" s="6">
        <v>1103</v>
      </c>
      <c r="CN8" s="6"/>
      <c r="CO8" s="6">
        <f t="shared" si="18"/>
        <v>344</v>
      </c>
      <c r="CP8" s="6">
        <v>30</v>
      </c>
      <c r="CQ8" s="6">
        <v>1424</v>
      </c>
      <c r="CR8" s="6">
        <f t="shared" si="19"/>
        <v>351</v>
      </c>
      <c r="CS8" s="6">
        <v>397</v>
      </c>
      <c r="CT8" s="6"/>
      <c r="CU8" s="6">
        <f t="shared" si="20"/>
        <v>367</v>
      </c>
      <c r="CV8" s="6">
        <v>596</v>
      </c>
      <c r="CW8" s="6"/>
      <c r="CX8" s="6">
        <f t="shared" si="21"/>
        <v>199</v>
      </c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</row>
    <row r="9" spans="1:117">
      <c r="A9" s="6">
        <v>5</v>
      </c>
      <c r="B9" s="6">
        <v>1137</v>
      </c>
      <c r="C9" s="6"/>
      <c r="D9" s="6">
        <v>343</v>
      </c>
      <c r="E9" s="33" t="s">
        <v>37</v>
      </c>
      <c r="F9" s="33" t="s">
        <v>37</v>
      </c>
      <c r="G9" s="33" t="s">
        <v>37</v>
      </c>
      <c r="H9" s="33" t="s">
        <v>37</v>
      </c>
      <c r="I9" s="148" t="s">
        <v>37</v>
      </c>
      <c r="J9" s="33" t="s">
        <v>37</v>
      </c>
      <c r="K9" s="33" t="s">
        <v>37</v>
      </c>
      <c r="L9" s="33" t="s">
        <v>37</v>
      </c>
      <c r="M9" s="33" t="s">
        <v>37</v>
      </c>
      <c r="N9" s="33" t="s">
        <v>37</v>
      </c>
      <c r="O9" s="33" t="s">
        <v>37</v>
      </c>
      <c r="P9" s="33" t="s">
        <v>37</v>
      </c>
      <c r="Q9" s="33" t="s">
        <v>37</v>
      </c>
      <c r="R9" s="33" t="s">
        <v>37</v>
      </c>
      <c r="S9" s="33" t="s">
        <v>37</v>
      </c>
      <c r="T9" s="33" t="s">
        <v>37</v>
      </c>
      <c r="U9" s="33" t="s">
        <v>37</v>
      </c>
      <c r="V9" s="33" t="s">
        <v>37</v>
      </c>
      <c r="W9" s="33" t="s">
        <v>37</v>
      </c>
      <c r="X9" s="33" t="s">
        <v>37</v>
      </c>
      <c r="Y9" s="33" t="s">
        <v>37</v>
      </c>
      <c r="Z9" s="33" t="s">
        <v>37</v>
      </c>
      <c r="AA9" s="33" t="s">
        <v>37</v>
      </c>
      <c r="AB9" s="6">
        <v>1531</v>
      </c>
      <c r="AC9" s="6"/>
      <c r="AD9" s="35">
        <f t="shared" si="0"/>
        <v>394</v>
      </c>
      <c r="AE9" s="6">
        <v>338</v>
      </c>
      <c r="AF9" s="6">
        <v>1560</v>
      </c>
      <c r="AG9" s="35">
        <f t="shared" si="1"/>
        <v>367</v>
      </c>
      <c r="AH9" s="35">
        <v>0</v>
      </c>
      <c r="AI9" s="35">
        <v>538</v>
      </c>
      <c r="AJ9" s="35">
        <f t="shared" si="2"/>
        <v>200</v>
      </c>
      <c r="AK9" s="35">
        <v>308</v>
      </c>
      <c r="AL9" s="6"/>
      <c r="AM9" s="35">
        <f t="shared" si="3"/>
        <v>308</v>
      </c>
      <c r="AN9" s="6"/>
      <c r="AO9" s="6"/>
      <c r="AP9" s="34"/>
      <c r="AQ9" s="35">
        <v>679</v>
      </c>
      <c r="AR9" s="35"/>
      <c r="AS9" s="35">
        <f t="shared" si="4"/>
        <v>371</v>
      </c>
      <c r="AT9" s="6">
        <v>1050</v>
      </c>
      <c r="AU9" s="6"/>
      <c r="AV9" s="35">
        <f t="shared" si="5"/>
        <v>371</v>
      </c>
      <c r="AW9" s="6">
        <v>1432</v>
      </c>
      <c r="AX9" s="6"/>
      <c r="AY9" s="35">
        <f t="shared" si="6"/>
        <v>382</v>
      </c>
      <c r="AZ9" s="35">
        <v>238</v>
      </c>
      <c r="BA9" s="35">
        <v>1560</v>
      </c>
      <c r="BB9" s="35">
        <f t="shared" si="7"/>
        <v>366</v>
      </c>
      <c r="BC9" s="6">
        <v>625</v>
      </c>
      <c r="BD9" s="6"/>
      <c r="BE9" s="35">
        <f t="shared" si="8"/>
        <v>387</v>
      </c>
      <c r="BF9" s="6">
        <v>971</v>
      </c>
      <c r="BG9" s="6"/>
      <c r="BH9" s="6">
        <f t="shared" si="9"/>
        <v>346</v>
      </c>
      <c r="BI9" s="6"/>
      <c r="BJ9" s="6"/>
      <c r="BK9" s="6"/>
      <c r="BL9" s="6">
        <v>1361</v>
      </c>
      <c r="BM9" s="6"/>
      <c r="BN9" s="6">
        <f t="shared" si="10"/>
        <v>390</v>
      </c>
      <c r="BO9" s="6">
        <v>187</v>
      </c>
      <c r="BP9" s="6">
        <v>1560</v>
      </c>
      <c r="BQ9" s="35">
        <f t="shared" si="11"/>
        <v>386</v>
      </c>
      <c r="BR9" s="6">
        <v>574</v>
      </c>
      <c r="BS9" s="6"/>
      <c r="BT9" s="6">
        <f t="shared" si="12"/>
        <v>387</v>
      </c>
      <c r="BU9" s="6">
        <v>960</v>
      </c>
      <c r="BV9" s="6"/>
      <c r="BW9" s="35">
        <f t="shared" si="13"/>
        <v>386</v>
      </c>
      <c r="BX9" s="6">
        <v>1344</v>
      </c>
      <c r="BY9" s="6"/>
      <c r="BZ9" s="6">
        <f t="shared" si="14"/>
        <v>384</v>
      </c>
      <c r="CA9" s="6">
        <v>229</v>
      </c>
      <c r="CB9" s="6">
        <v>1462</v>
      </c>
      <c r="CC9" s="6">
        <f t="shared" si="15"/>
        <v>347</v>
      </c>
      <c r="CD9" s="6"/>
      <c r="CE9" s="6"/>
      <c r="CF9" s="6"/>
      <c r="CG9" s="6">
        <v>626</v>
      </c>
      <c r="CH9" s="6"/>
      <c r="CI9" s="6">
        <f t="shared" si="16"/>
        <v>397</v>
      </c>
      <c r="CJ9" s="6">
        <v>1007</v>
      </c>
      <c r="CK9" s="6"/>
      <c r="CL9" s="6">
        <f t="shared" si="17"/>
        <v>381</v>
      </c>
      <c r="CM9" s="6">
        <v>1358</v>
      </c>
      <c r="CN9" s="6"/>
      <c r="CO9" s="6">
        <f t="shared" si="18"/>
        <v>351</v>
      </c>
      <c r="CP9" s="6">
        <v>168</v>
      </c>
      <c r="CQ9" s="6">
        <v>1560</v>
      </c>
      <c r="CR9" s="6">
        <f t="shared" si="19"/>
        <v>370</v>
      </c>
      <c r="CS9" s="6">
        <v>552</v>
      </c>
      <c r="CT9" s="6"/>
      <c r="CU9" s="6">
        <f t="shared" si="20"/>
        <v>384</v>
      </c>
      <c r="CV9" s="6">
        <v>756</v>
      </c>
      <c r="CW9" s="6"/>
      <c r="CX9" s="6">
        <f t="shared" si="21"/>
        <v>204</v>
      </c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</row>
    <row r="10" spans="1:117">
      <c r="A10" s="6">
        <v>6</v>
      </c>
      <c r="B10" s="6">
        <v>953</v>
      </c>
      <c r="C10" s="6"/>
      <c r="D10" s="6">
        <v>345</v>
      </c>
      <c r="E10" s="33" t="s">
        <v>128</v>
      </c>
      <c r="F10" s="33" t="s">
        <v>128</v>
      </c>
      <c r="G10" s="33" t="s">
        <v>128</v>
      </c>
      <c r="H10" s="33" t="s">
        <v>128</v>
      </c>
      <c r="I10" s="33" t="s">
        <v>128</v>
      </c>
      <c r="J10" s="33" t="s">
        <v>128</v>
      </c>
      <c r="K10" s="33" t="s">
        <v>128</v>
      </c>
      <c r="L10" s="33" t="s">
        <v>128</v>
      </c>
      <c r="M10" s="33" t="s">
        <v>128</v>
      </c>
      <c r="N10" s="33" t="s">
        <v>128</v>
      </c>
      <c r="O10" s="33" t="s">
        <v>128</v>
      </c>
      <c r="P10" s="33" t="s">
        <v>128</v>
      </c>
      <c r="Q10" s="33" t="s">
        <v>128</v>
      </c>
      <c r="R10" s="33" t="s">
        <v>128</v>
      </c>
      <c r="S10" s="33" t="s">
        <v>128</v>
      </c>
      <c r="T10" s="33" t="s">
        <v>128</v>
      </c>
      <c r="U10" s="33" t="s">
        <v>128</v>
      </c>
      <c r="V10" s="33" t="s">
        <v>128</v>
      </c>
      <c r="W10" s="148" t="s">
        <v>307</v>
      </c>
      <c r="X10" s="33" t="s">
        <v>307</v>
      </c>
      <c r="Y10" s="33" t="s">
        <v>307</v>
      </c>
      <c r="Z10" s="33" t="s">
        <v>307</v>
      </c>
      <c r="AA10" s="33" t="s">
        <v>307</v>
      </c>
      <c r="AB10" s="6">
        <v>1360</v>
      </c>
      <c r="AC10" s="6"/>
      <c r="AD10" s="35">
        <f t="shared" si="0"/>
        <v>407</v>
      </c>
      <c r="AE10" s="6">
        <v>179</v>
      </c>
      <c r="AF10" s="6">
        <v>1560</v>
      </c>
      <c r="AG10" s="35">
        <f t="shared" si="1"/>
        <v>379</v>
      </c>
      <c r="AH10" s="35">
        <v>569</v>
      </c>
      <c r="AI10" s="35"/>
      <c r="AJ10" s="35">
        <f t="shared" si="2"/>
        <v>390</v>
      </c>
      <c r="AK10" s="6">
        <v>937</v>
      </c>
      <c r="AL10" s="6"/>
      <c r="AM10" s="35">
        <f t="shared" si="3"/>
        <v>368</v>
      </c>
      <c r="AN10" s="6"/>
      <c r="AO10" s="6"/>
      <c r="AP10" s="34"/>
      <c r="AQ10" s="35">
        <v>1326</v>
      </c>
      <c r="AR10" s="35"/>
      <c r="AS10" s="35">
        <f t="shared" si="4"/>
        <v>389</v>
      </c>
      <c r="AT10" s="6">
        <v>156</v>
      </c>
      <c r="AU10" s="6">
        <v>1560</v>
      </c>
      <c r="AV10" s="35">
        <f t="shared" si="5"/>
        <v>390</v>
      </c>
      <c r="AW10" s="6">
        <v>552</v>
      </c>
      <c r="AX10" s="6"/>
      <c r="AY10" s="35">
        <f t="shared" si="6"/>
        <v>396</v>
      </c>
      <c r="AZ10" s="35">
        <v>939</v>
      </c>
      <c r="BA10" s="35"/>
      <c r="BB10" s="35">
        <f t="shared" si="7"/>
        <v>387</v>
      </c>
      <c r="BC10" s="6">
        <v>1334</v>
      </c>
      <c r="BD10" s="6"/>
      <c r="BE10" s="35">
        <f t="shared" si="8"/>
        <v>395</v>
      </c>
      <c r="BF10" s="6">
        <v>153</v>
      </c>
      <c r="BG10" s="6">
        <v>1560</v>
      </c>
      <c r="BH10" s="6">
        <f t="shared" si="9"/>
        <v>379</v>
      </c>
      <c r="BI10" s="6"/>
      <c r="BJ10" s="6"/>
      <c r="BK10" s="6"/>
      <c r="BL10" s="6">
        <v>546</v>
      </c>
      <c r="BM10" s="6"/>
      <c r="BN10" s="6">
        <f t="shared" si="10"/>
        <v>393</v>
      </c>
      <c r="BO10" s="6">
        <v>935</v>
      </c>
      <c r="BP10" s="6"/>
      <c r="BQ10" s="35">
        <f t="shared" si="11"/>
        <v>389</v>
      </c>
      <c r="BR10" s="6">
        <v>1331</v>
      </c>
      <c r="BS10" s="6"/>
      <c r="BT10" s="6">
        <f t="shared" si="12"/>
        <v>396</v>
      </c>
      <c r="BU10" s="6">
        <v>165</v>
      </c>
      <c r="BV10" s="6">
        <v>1560</v>
      </c>
      <c r="BW10" s="35">
        <f t="shared" si="13"/>
        <v>394</v>
      </c>
      <c r="BX10" s="6">
        <v>567</v>
      </c>
      <c r="BY10" s="6"/>
      <c r="BZ10" s="6">
        <f t="shared" si="14"/>
        <v>402</v>
      </c>
      <c r="CA10" s="6">
        <v>945</v>
      </c>
      <c r="CB10" s="6"/>
      <c r="CC10" s="6">
        <f t="shared" si="15"/>
        <v>378</v>
      </c>
      <c r="CD10" s="6"/>
      <c r="CE10" s="6"/>
      <c r="CF10" s="6"/>
      <c r="CG10" s="6">
        <v>0</v>
      </c>
      <c r="CH10" s="6">
        <v>1318</v>
      </c>
      <c r="CI10" s="6">
        <f t="shared" si="16"/>
        <v>373</v>
      </c>
      <c r="CJ10" s="6">
        <v>374</v>
      </c>
      <c r="CK10" s="6"/>
      <c r="CL10" s="6">
        <f t="shared" si="17"/>
        <v>374</v>
      </c>
      <c r="CM10" s="6">
        <v>770</v>
      </c>
      <c r="CN10" s="6"/>
      <c r="CO10" s="6">
        <f t="shared" si="18"/>
        <v>396</v>
      </c>
      <c r="CP10" s="6">
        <v>1174</v>
      </c>
      <c r="CQ10" s="6"/>
      <c r="CR10" s="6">
        <f t="shared" si="19"/>
        <v>404</v>
      </c>
      <c r="CS10" s="6">
        <v>16</v>
      </c>
      <c r="CT10" s="6">
        <v>1560</v>
      </c>
      <c r="CU10" s="6">
        <f t="shared" si="20"/>
        <v>402</v>
      </c>
      <c r="CV10" s="6">
        <v>234</v>
      </c>
      <c r="CW10" s="6"/>
      <c r="CX10" s="6">
        <f t="shared" si="21"/>
        <v>218</v>
      </c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</row>
    <row r="11" spans="1:117">
      <c r="A11" s="6">
        <v>7</v>
      </c>
      <c r="B11" s="6">
        <v>302</v>
      </c>
      <c r="C11" s="6">
        <v>1560</v>
      </c>
      <c r="D11" s="6">
        <v>341</v>
      </c>
      <c r="E11" s="33" t="s">
        <v>37</v>
      </c>
      <c r="F11" s="33" t="s">
        <v>37</v>
      </c>
      <c r="G11" s="33" t="s">
        <v>37</v>
      </c>
      <c r="H11" s="33" t="s">
        <v>37</v>
      </c>
      <c r="I11" s="33" t="s">
        <v>37</v>
      </c>
      <c r="J11" s="148" t="s">
        <v>37</v>
      </c>
      <c r="K11" s="33" t="s">
        <v>37</v>
      </c>
      <c r="L11" s="33" t="s">
        <v>37</v>
      </c>
      <c r="M11" s="33" t="s">
        <v>37</v>
      </c>
      <c r="N11" s="33" t="s">
        <v>37</v>
      </c>
      <c r="O11" s="33" t="s">
        <v>37</v>
      </c>
      <c r="P11" s="33" t="s">
        <v>37</v>
      </c>
      <c r="Q11" s="33" t="s">
        <v>37</v>
      </c>
      <c r="R11" s="33" t="s">
        <v>37</v>
      </c>
      <c r="S11" s="33" t="s">
        <v>37</v>
      </c>
      <c r="T11" s="33" t="s">
        <v>37</v>
      </c>
      <c r="U11" s="33" t="s">
        <v>37</v>
      </c>
      <c r="V11" s="33" t="s">
        <v>37</v>
      </c>
      <c r="W11" s="33" t="s">
        <v>37</v>
      </c>
      <c r="X11" s="33" t="s">
        <v>37</v>
      </c>
      <c r="Y11" s="33" t="s">
        <v>37</v>
      </c>
      <c r="Z11" s="33" t="s">
        <v>37</v>
      </c>
      <c r="AA11" s="33" t="s">
        <v>37</v>
      </c>
      <c r="AB11" s="6">
        <v>684</v>
      </c>
      <c r="AC11" s="35"/>
      <c r="AD11" s="35">
        <f t="shared" si="0"/>
        <v>382</v>
      </c>
      <c r="AE11" s="6">
        <v>1070</v>
      </c>
      <c r="AF11" s="35"/>
      <c r="AG11" s="35">
        <f t="shared" si="1"/>
        <v>386</v>
      </c>
      <c r="AH11" s="35">
        <v>1463</v>
      </c>
      <c r="AI11" s="35"/>
      <c r="AJ11" s="35">
        <f t="shared" si="2"/>
        <v>393</v>
      </c>
      <c r="AK11" s="35">
        <v>0</v>
      </c>
      <c r="AL11" s="6">
        <v>1655</v>
      </c>
      <c r="AM11" s="35">
        <f t="shared" si="3"/>
        <v>192</v>
      </c>
      <c r="AN11" s="6"/>
      <c r="AO11" s="6"/>
      <c r="AP11" s="34"/>
      <c r="AQ11" s="35">
        <v>358</v>
      </c>
      <c r="AR11" s="35"/>
      <c r="AS11" s="35">
        <f t="shared" si="4"/>
        <v>358</v>
      </c>
      <c r="AT11" s="6">
        <v>747</v>
      </c>
      <c r="AU11" s="6"/>
      <c r="AV11" s="35">
        <f t="shared" si="5"/>
        <v>389</v>
      </c>
      <c r="AW11" s="6">
        <v>1143</v>
      </c>
      <c r="AX11" s="6"/>
      <c r="AY11" s="35">
        <f t="shared" si="6"/>
        <v>396</v>
      </c>
      <c r="AZ11" s="35">
        <v>1531</v>
      </c>
      <c r="BA11" s="35"/>
      <c r="BB11" s="35">
        <f t="shared" si="7"/>
        <v>388</v>
      </c>
      <c r="BC11" s="6">
        <v>338</v>
      </c>
      <c r="BD11" s="6">
        <v>1560</v>
      </c>
      <c r="BE11" s="35">
        <f t="shared" si="8"/>
        <v>367</v>
      </c>
      <c r="BF11" s="6">
        <v>714</v>
      </c>
      <c r="BG11" s="6"/>
      <c r="BH11" s="6">
        <f t="shared" si="9"/>
        <v>376</v>
      </c>
      <c r="BI11" s="6"/>
      <c r="BJ11" s="6"/>
      <c r="BK11" s="6"/>
      <c r="BL11" s="6">
        <v>1114</v>
      </c>
      <c r="BM11" s="6"/>
      <c r="BN11" s="6">
        <f t="shared" si="10"/>
        <v>400</v>
      </c>
      <c r="BO11" s="6">
        <v>1494</v>
      </c>
      <c r="BP11" s="6"/>
      <c r="BQ11" s="35">
        <f t="shared" si="11"/>
        <v>380</v>
      </c>
      <c r="BR11" s="6">
        <v>2</v>
      </c>
      <c r="BS11" s="6">
        <f>1560+312</f>
        <v>1872</v>
      </c>
      <c r="BT11" s="6">
        <f t="shared" si="12"/>
        <v>380</v>
      </c>
      <c r="BU11" s="6">
        <v>385</v>
      </c>
      <c r="BV11" s="6"/>
      <c r="BW11" s="35">
        <f t="shared" si="13"/>
        <v>383</v>
      </c>
      <c r="BX11" s="6">
        <v>758</v>
      </c>
      <c r="BY11" s="6"/>
      <c r="BZ11" s="6">
        <f t="shared" si="14"/>
        <v>373</v>
      </c>
      <c r="CA11" s="6">
        <v>1127</v>
      </c>
      <c r="CB11" s="6"/>
      <c r="CC11" s="6">
        <f t="shared" si="15"/>
        <v>369</v>
      </c>
      <c r="CD11" s="6"/>
      <c r="CE11" s="6"/>
      <c r="CF11" s="6"/>
      <c r="CG11" s="6">
        <v>1529</v>
      </c>
      <c r="CH11" s="6"/>
      <c r="CI11" s="6">
        <f t="shared" si="16"/>
        <v>402</v>
      </c>
      <c r="CJ11" s="6">
        <v>361</v>
      </c>
      <c r="CK11" s="6">
        <v>1560</v>
      </c>
      <c r="CL11" s="6">
        <f t="shared" si="17"/>
        <v>392</v>
      </c>
      <c r="CM11" s="6">
        <v>744</v>
      </c>
      <c r="CN11" s="6"/>
      <c r="CO11" s="6">
        <f t="shared" si="18"/>
        <v>383</v>
      </c>
      <c r="CP11" s="6">
        <v>1131</v>
      </c>
      <c r="CQ11" s="6"/>
      <c r="CR11" s="6">
        <f t="shared" si="19"/>
        <v>387</v>
      </c>
      <c r="CS11" s="6">
        <v>1517</v>
      </c>
      <c r="CT11" s="6"/>
      <c r="CU11" s="6">
        <f t="shared" si="20"/>
        <v>386</v>
      </c>
      <c r="CV11" s="6">
        <v>156</v>
      </c>
      <c r="CW11" s="6">
        <v>1560</v>
      </c>
      <c r="CX11" s="6">
        <f t="shared" si="21"/>
        <v>199</v>
      </c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</row>
    <row r="12" spans="1:117">
      <c r="A12" s="6">
        <v>8</v>
      </c>
      <c r="B12" s="6">
        <v>979</v>
      </c>
      <c r="C12" s="6"/>
      <c r="D12" s="6">
        <v>346</v>
      </c>
      <c r="E12" s="33" t="s">
        <v>128</v>
      </c>
      <c r="F12" s="33" t="s">
        <v>128</v>
      </c>
      <c r="G12" s="33" t="s">
        <v>128</v>
      </c>
      <c r="H12" s="33" t="s">
        <v>128</v>
      </c>
      <c r="I12" s="33" t="s">
        <v>128</v>
      </c>
      <c r="J12" s="33" t="s">
        <v>128</v>
      </c>
      <c r="K12" s="33" t="s">
        <v>128</v>
      </c>
      <c r="L12" s="33" t="s">
        <v>128</v>
      </c>
      <c r="M12" s="33" t="s">
        <v>128</v>
      </c>
      <c r="N12" s="33" t="s">
        <v>128</v>
      </c>
      <c r="O12" s="33" t="s">
        <v>128</v>
      </c>
      <c r="P12" s="148" t="s">
        <v>128</v>
      </c>
      <c r="Q12" s="33" t="s">
        <v>128</v>
      </c>
      <c r="R12" s="33" t="s">
        <v>128</v>
      </c>
      <c r="S12" s="33" t="s">
        <v>128</v>
      </c>
      <c r="T12" s="33" t="s">
        <v>128</v>
      </c>
      <c r="U12" s="33" t="s">
        <v>128</v>
      </c>
      <c r="V12" s="33" t="s">
        <v>128</v>
      </c>
      <c r="W12" s="33" t="s">
        <v>128</v>
      </c>
      <c r="X12" s="33" t="s">
        <v>128</v>
      </c>
      <c r="Y12" s="33" t="s">
        <v>128</v>
      </c>
      <c r="Z12" s="33" t="s">
        <v>128</v>
      </c>
      <c r="AA12" s="33" t="s">
        <v>128</v>
      </c>
      <c r="AB12" s="35">
        <v>1364</v>
      </c>
      <c r="AC12" s="35"/>
      <c r="AD12" s="35">
        <f t="shared" si="0"/>
        <v>385</v>
      </c>
      <c r="AE12" s="35">
        <v>168</v>
      </c>
      <c r="AF12" s="35">
        <v>1560</v>
      </c>
      <c r="AG12" s="35">
        <f t="shared" si="1"/>
        <v>364</v>
      </c>
      <c r="AH12" s="35">
        <v>540</v>
      </c>
      <c r="AI12" s="35"/>
      <c r="AJ12" s="35">
        <f t="shared" si="2"/>
        <v>372</v>
      </c>
      <c r="AK12" s="35">
        <v>9</v>
      </c>
      <c r="AL12" s="35">
        <v>872</v>
      </c>
      <c r="AM12" s="35">
        <f t="shared" si="3"/>
        <v>341</v>
      </c>
      <c r="AN12" s="35"/>
      <c r="AO12" s="35"/>
      <c r="AP12" s="34"/>
      <c r="AQ12" s="35">
        <v>385</v>
      </c>
      <c r="AR12" s="35"/>
      <c r="AS12" s="35">
        <f t="shared" si="4"/>
        <v>376</v>
      </c>
      <c r="AT12" s="6">
        <v>767</v>
      </c>
      <c r="AU12" s="6"/>
      <c r="AV12" s="35">
        <f t="shared" si="5"/>
        <v>382</v>
      </c>
      <c r="AW12" s="35">
        <v>1157</v>
      </c>
      <c r="AX12" s="35"/>
      <c r="AY12" s="35">
        <f t="shared" si="6"/>
        <v>390</v>
      </c>
      <c r="AZ12" s="35">
        <v>1543</v>
      </c>
      <c r="BA12" s="35"/>
      <c r="BB12" s="35">
        <f t="shared" si="7"/>
        <v>386</v>
      </c>
      <c r="BC12" s="6">
        <v>364</v>
      </c>
      <c r="BD12" s="6">
        <v>1560</v>
      </c>
      <c r="BE12" s="35">
        <f t="shared" si="8"/>
        <v>381</v>
      </c>
      <c r="BF12" s="6">
        <v>717</v>
      </c>
      <c r="BG12" s="6"/>
      <c r="BH12" s="6">
        <f t="shared" si="9"/>
        <v>353</v>
      </c>
      <c r="BI12" s="6"/>
      <c r="BJ12" s="35"/>
      <c r="BK12" s="6"/>
      <c r="BL12" s="6">
        <v>365</v>
      </c>
      <c r="BM12" s="6">
        <v>727</v>
      </c>
      <c r="BN12" s="6">
        <f t="shared" si="10"/>
        <v>375</v>
      </c>
      <c r="BO12" s="6">
        <v>731</v>
      </c>
      <c r="BP12" s="6"/>
      <c r="BQ12" s="35">
        <f t="shared" si="11"/>
        <v>366</v>
      </c>
      <c r="BR12" s="6">
        <v>1109</v>
      </c>
      <c r="BS12" s="6"/>
      <c r="BT12" s="6">
        <f t="shared" si="12"/>
        <v>378</v>
      </c>
      <c r="BU12" s="6">
        <v>1481</v>
      </c>
      <c r="BV12" s="6"/>
      <c r="BW12" s="35">
        <f t="shared" si="13"/>
        <v>372</v>
      </c>
      <c r="BX12" s="6">
        <v>295</v>
      </c>
      <c r="BY12" s="35">
        <v>1560</v>
      </c>
      <c r="BZ12" s="6">
        <f t="shared" si="14"/>
        <v>374</v>
      </c>
      <c r="CA12" s="6">
        <v>650</v>
      </c>
      <c r="CB12" s="6"/>
      <c r="CC12" s="6">
        <f t="shared" si="15"/>
        <v>355</v>
      </c>
      <c r="CD12" s="6"/>
      <c r="CE12" s="35"/>
      <c r="CF12" s="6"/>
      <c r="CG12" s="6">
        <v>1034</v>
      </c>
      <c r="CH12" s="6"/>
      <c r="CI12" s="6">
        <f t="shared" si="16"/>
        <v>384</v>
      </c>
      <c r="CJ12" s="6">
        <v>1419</v>
      </c>
      <c r="CK12" s="6"/>
      <c r="CL12" s="6">
        <f t="shared" si="17"/>
        <v>385</v>
      </c>
      <c r="CM12" s="6">
        <v>284</v>
      </c>
      <c r="CN12" s="6">
        <v>1529</v>
      </c>
      <c r="CO12" s="6">
        <f t="shared" si="18"/>
        <v>394</v>
      </c>
      <c r="CP12" s="6">
        <v>683</v>
      </c>
      <c r="CQ12" s="6"/>
      <c r="CR12" s="6">
        <f t="shared" si="19"/>
        <v>399</v>
      </c>
      <c r="CS12" s="6">
        <v>1073</v>
      </c>
      <c r="CT12" s="6"/>
      <c r="CU12" s="6">
        <f t="shared" si="20"/>
        <v>390</v>
      </c>
      <c r="CV12" s="6">
        <v>1287</v>
      </c>
      <c r="CW12" s="6"/>
      <c r="CX12" s="6">
        <f t="shared" si="21"/>
        <v>214</v>
      </c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</row>
    <row r="13" spans="1:117">
      <c r="A13" s="6">
        <v>9</v>
      </c>
      <c r="B13" s="6">
        <v>297</v>
      </c>
      <c r="C13" s="6"/>
      <c r="D13" s="6">
        <v>297</v>
      </c>
      <c r="E13" s="148" t="s">
        <v>37</v>
      </c>
      <c r="F13" s="33" t="s">
        <v>37</v>
      </c>
      <c r="G13" s="33" t="s">
        <v>37</v>
      </c>
      <c r="H13" s="33" t="s">
        <v>37</v>
      </c>
      <c r="I13" s="33" t="s">
        <v>37</v>
      </c>
      <c r="J13" s="33" t="s">
        <v>37</v>
      </c>
      <c r="K13" s="33" t="s">
        <v>37</v>
      </c>
      <c r="L13" s="33" t="s">
        <v>37</v>
      </c>
      <c r="M13" s="33" t="s">
        <v>37</v>
      </c>
      <c r="N13" s="33" t="s">
        <v>37</v>
      </c>
      <c r="O13" s="33" t="s">
        <v>37</v>
      </c>
      <c r="P13" s="33" t="s">
        <v>37</v>
      </c>
      <c r="Q13" s="33" t="s">
        <v>37</v>
      </c>
      <c r="R13" s="33" t="s">
        <v>37</v>
      </c>
      <c r="S13" s="33" t="s">
        <v>37</v>
      </c>
      <c r="T13" s="33" t="s">
        <v>37</v>
      </c>
      <c r="U13" s="33" t="s">
        <v>37</v>
      </c>
      <c r="V13" s="33" t="s">
        <v>37</v>
      </c>
      <c r="W13" s="33" t="s">
        <v>37</v>
      </c>
      <c r="X13" s="33" t="s">
        <v>37</v>
      </c>
      <c r="Y13" s="33" t="s">
        <v>37</v>
      </c>
      <c r="Z13" s="148" t="s">
        <v>307</v>
      </c>
      <c r="AA13" s="33" t="s">
        <v>307</v>
      </c>
      <c r="AB13" s="35">
        <v>705</v>
      </c>
      <c r="AC13" s="35"/>
      <c r="AD13" s="35">
        <f t="shared" si="0"/>
        <v>408</v>
      </c>
      <c r="AE13" s="35">
        <v>1090</v>
      </c>
      <c r="AF13" s="35"/>
      <c r="AG13" s="35">
        <f t="shared" si="1"/>
        <v>385</v>
      </c>
      <c r="AH13" s="35">
        <v>1483</v>
      </c>
      <c r="AI13" s="35"/>
      <c r="AJ13" s="35">
        <f t="shared" si="2"/>
        <v>393</v>
      </c>
      <c r="AK13" s="35">
        <v>288</v>
      </c>
      <c r="AL13" s="35">
        <v>1560</v>
      </c>
      <c r="AM13" s="35">
        <f t="shared" si="3"/>
        <v>365</v>
      </c>
      <c r="AN13" s="6"/>
      <c r="AO13" s="6"/>
      <c r="AP13" s="34"/>
      <c r="AQ13" s="35">
        <v>679</v>
      </c>
      <c r="AR13" s="35"/>
      <c r="AS13" s="35">
        <f t="shared" si="4"/>
        <v>391</v>
      </c>
      <c r="AT13" s="6">
        <v>1067</v>
      </c>
      <c r="AU13" s="6"/>
      <c r="AV13" s="35">
        <f t="shared" si="5"/>
        <v>388</v>
      </c>
      <c r="AW13" s="6">
        <v>1453</v>
      </c>
      <c r="AX13" s="6"/>
      <c r="AY13" s="35">
        <f t="shared" si="6"/>
        <v>386</v>
      </c>
      <c r="AZ13" s="6">
        <v>272</v>
      </c>
      <c r="BA13" s="6">
        <v>1560</v>
      </c>
      <c r="BB13" s="35">
        <f t="shared" si="7"/>
        <v>379</v>
      </c>
      <c r="BC13" s="6">
        <v>639</v>
      </c>
      <c r="BD13" s="6"/>
      <c r="BE13" s="35">
        <f t="shared" si="8"/>
        <v>367</v>
      </c>
      <c r="BF13" s="6">
        <v>1019</v>
      </c>
      <c r="BG13" s="6"/>
      <c r="BH13" s="6">
        <f t="shared" si="9"/>
        <v>380</v>
      </c>
      <c r="BI13" s="6"/>
      <c r="BJ13" s="35"/>
      <c r="BK13" s="6"/>
      <c r="BL13" s="6">
        <v>1414</v>
      </c>
      <c r="BM13" s="6"/>
      <c r="BN13" s="6">
        <f t="shared" si="10"/>
        <v>395</v>
      </c>
      <c r="BO13" s="6">
        <v>239</v>
      </c>
      <c r="BP13" s="6">
        <v>1560</v>
      </c>
      <c r="BQ13" s="35">
        <f t="shared" si="11"/>
        <v>385</v>
      </c>
      <c r="BR13" s="6">
        <v>631</v>
      </c>
      <c r="BS13" s="6"/>
      <c r="BT13" s="6">
        <f t="shared" si="12"/>
        <v>392</v>
      </c>
      <c r="BU13" s="6">
        <v>1022</v>
      </c>
      <c r="BV13" s="6"/>
      <c r="BW13" s="35">
        <f t="shared" si="13"/>
        <v>391</v>
      </c>
      <c r="BX13" s="6">
        <v>1422</v>
      </c>
      <c r="BY13" s="35"/>
      <c r="BZ13" s="6">
        <f t="shared" si="14"/>
        <v>400</v>
      </c>
      <c r="CA13" s="6">
        <v>239</v>
      </c>
      <c r="CB13" s="6">
        <v>1560</v>
      </c>
      <c r="CC13" s="6">
        <f t="shared" si="15"/>
        <v>377</v>
      </c>
      <c r="CD13" s="6"/>
      <c r="CE13" s="35"/>
      <c r="CF13" s="6"/>
      <c r="CG13" s="6">
        <v>638</v>
      </c>
      <c r="CH13" s="6"/>
      <c r="CI13" s="6">
        <f t="shared" si="16"/>
        <v>399</v>
      </c>
      <c r="CJ13" s="6">
        <v>1007</v>
      </c>
      <c r="CK13" s="6"/>
      <c r="CL13" s="6">
        <f t="shared" si="17"/>
        <v>369</v>
      </c>
      <c r="CM13" s="6">
        <v>1344</v>
      </c>
      <c r="CN13" s="6"/>
      <c r="CO13" s="6">
        <f t="shared" si="18"/>
        <v>337</v>
      </c>
      <c r="CP13" s="6">
        <v>0</v>
      </c>
      <c r="CQ13" s="6">
        <v>1628</v>
      </c>
      <c r="CR13" s="6">
        <f t="shared" si="19"/>
        <v>284</v>
      </c>
      <c r="CS13" s="6">
        <v>367</v>
      </c>
      <c r="CT13" s="6"/>
      <c r="CU13" s="6">
        <f t="shared" si="20"/>
        <v>367</v>
      </c>
      <c r="CV13" s="6">
        <v>30</v>
      </c>
      <c r="CW13" s="6">
        <v>511</v>
      </c>
      <c r="CX13" s="6">
        <f t="shared" si="21"/>
        <v>174</v>
      </c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</row>
    <row r="14" spans="1:117">
      <c r="A14" s="6">
        <v>10</v>
      </c>
      <c r="B14" s="6">
        <v>1510</v>
      </c>
      <c r="C14" s="6"/>
      <c r="D14" s="6">
        <v>360</v>
      </c>
      <c r="E14" s="33" t="s">
        <v>128</v>
      </c>
      <c r="F14" s="33" t="s">
        <v>128</v>
      </c>
      <c r="G14" s="33" t="s">
        <v>128</v>
      </c>
      <c r="H14" s="33" t="s">
        <v>128</v>
      </c>
      <c r="I14" s="148" t="s">
        <v>128</v>
      </c>
      <c r="J14" s="33" t="s">
        <v>128</v>
      </c>
      <c r="K14" s="33" t="s">
        <v>128</v>
      </c>
      <c r="L14" s="33" t="s">
        <v>128</v>
      </c>
      <c r="M14" s="33" t="s">
        <v>128</v>
      </c>
      <c r="N14" s="33" t="s">
        <v>128</v>
      </c>
      <c r="O14" s="33" t="s">
        <v>128</v>
      </c>
      <c r="P14" s="33" t="s">
        <v>128</v>
      </c>
      <c r="Q14" s="33" t="s">
        <v>128</v>
      </c>
      <c r="R14" s="33" t="s">
        <v>128</v>
      </c>
      <c r="S14" s="33" t="s">
        <v>128</v>
      </c>
      <c r="T14" s="33" t="s">
        <v>128</v>
      </c>
      <c r="U14" s="33" t="s">
        <v>128</v>
      </c>
      <c r="V14" s="33" t="s">
        <v>128</v>
      </c>
      <c r="W14" s="33" t="s">
        <v>128</v>
      </c>
      <c r="X14" s="33" t="s">
        <v>128</v>
      </c>
      <c r="Y14" s="33" t="s">
        <v>128</v>
      </c>
      <c r="Z14" s="33" t="s">
        <v>128</v>
      </c>
      <c r="AA14" s="33" t="s">
        <v>128</v>
      </c>
      <c r="AB14" s="6">
        <v>327</v>
      </c>
      <c r="AC14" s="6">
        <v>1560</v>
      </c>
      <c r="AD14" s="35">
        <f t="shared" si="0"/>
        <v>377</v>
      </c>
      <c r="AE14" s="6">
        <v>168</v>
      </c>
      <c r="AF14" s="6">
        <v>531</v>
      </c>
      <c r="AG14" s="35">
        <f t="shared" si="1"/>
        <v>372</v>
      </c>
      <c r="AH14" s="35">
        <v>0</v>
      </c>
      <c r="AI14" s="35">
        <v>542</v>
      </c>
      <c r="AJ14" s="35">
        <f t="shared" si="2"/>
        <v>374</v>
      </c>
      <c r="AK14" s="6">
        <v>329</v>
      </c>
      <c r="AL14" s="6"/>
      <c r="AM14" s="35">
        <f t="shared" si="3"/>
        <v>329</v>
      </c>
      <c r="AN14" s="6"/>
      <c r="AO14" s="6"/>
      <c r="AP14" s="34"/>
      <c r="AQ14" s="35">
        <v>720</v>
      </c>
      <c r="AR14" s="35"/>
      <c r="AS14" s="35">
        <f t="shared" si="4"/>
        <v>391</v>
      </c>
      <c r="AT14" s="6">
        <v>1107</v>
      </c>
      <c r="AU14" s="6"/>
      <c r="AV14" s="35">
        <f t="shared" si="5"/>
        <v>387</v>
      </c>
      <c r="AW14" s="6">
        <v>1496</v>
      </c>
      <c r="AX14" s="6"/>
      <c r="AY14" s="35">
        <f t="shared" si="6"/>
        <v>389</v>
      </c>
      <c r="AZ14" s="35">
        <v>328</v>
      </c>
      <c r="BA14" s="35">
        <v>1560</v>
      </c>
      <c r="BB14" s="35">
        <f t="shared" si="7"/>
        <v>392</v>
      </c>
      <c r="BC14" s="6">
        <v>297</v>
      </c>
      <c r="BD14" s="6">
        <v>409</v>
      </c>
      <c r="BE14" s="35">
        <f t="shared" si="8"/>
        <v>378</v>
      </c>
      <c r="BF14" s="6">
        <v>676</v>
      </c>
      <c r="BG14" s="6"/>
      <c r="BH14" s="6">
        <f t="shared" si="9"/>
        <v>379</v>
      </c>
      <c r="BI14" s="6"/>
      <c r="BJ14" s="6"/>
      <c r="BK14" s="6"/>
      <c r="BL14" s="6">
        <v>1075</v>
      </c>
      <c r="BM14" s="6"/>
      <c r="BN14" s="6">
        <f t="shared" si="10"/>
        <v>399</v>
      </c>
      <c r="BO14" s="6">
        <v>1463</v>
      </c>
      <c r="BP14" s="6"/>
      <c r="BQ14" s="35">
        <f t="shared" si="11"/>
        <v>388</v>
      </c>
      <c r="BR14" s="6">
        <v>293</v>
      </c>
      <c r="BS14" s="6">
        <v>1560</v>
      </c>
      <c r="BT14" s="6">
        <f t="shared" si="12"/>
        <v>390</v>
      </c>
      <c r="BU14" s="6">
        <v>686</v>
      </c>
      <c r="BV14" s="6"/>
      <c r="BW14" s="35">
        <f t="shared" si="13"/>
        <v>393</v>
      </c>
      <c r="BX14" s="6">
        <v>1080</v>
      </c>
      <c r="BY14" s="6"/>
      <c r="BZ14" s="6">
        <f t="shared" si="14"/>
        <v>394</v>
      </c>
      <c r="CA14" s="6">
        <v>1457</v>
      </c>
      <c r="CB14" s="6"/>
      <c r="CC14" s="6">
        <f t="shared" si="15"/>
        <v>377</v>
      </c>
      <c r="CD14" s="6"/>
      <c r="CE14" s="6"/>
      <c r="CF14" s="6"/>
      <c r="CG14" s="6">
        <v>300</v>
      </c>
      <c r="CH14" s="6">
        <v>1560</v>
      </c>
      <c r="CI14" s="6">
        <f t="shared" si="16"/>
        <v>403</v>
      </c>
      <c r="CJ14" s="6">
        <v>702</v>
      </c>
      <c r="CK14" s="6"/>
      <c r="CL14" s="6">
        <f t="shared" si="17"/>
        <v>402</v>
      </c>
      <c r="CM14" s="6">
        <v>1095</v>
      </c>
      <c r="CN14" s="6"/>
      <c r="CO14" s="6">
        <f t="shared" si="18"/>
        <v>393</v>
      </c>
      <c r="CP14" s="6">
        <v>1496</v>
      </c>
      <c r="CQ14" s="6"/>
      <c r="CR14" s="6">
        <f t="shared" si="19"/>
        <v>401</v>
      </c>
      <c r="CS14" s="6">
        <v>294</v>
      </c>
      <c r="CT14" s="6">
        <v>1597</v>
      </c>
      <c r="CU14" s="6">
        <f t="shared" si="20"/>
        <v>395</v>
      </c>
      <c r="CV14" s="6">
        <v>511</v>
      </c>
      <c r="CW14" s="6"/>
      <c r="CX14" s="6">
        <f t="shared" si="21"/>
        <v>217</v>
      </c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</row>
    <row r="15" spans="1:117">
      <c r="A15" s="6">
        <v>11</v>
      </c>
      <c r="B15" s="6">
        <v>1371</v>
      </c>
      <c r="C15" s="6"/>
      <c r="D15" s="6">
        <v>353</v>
      </c>
      <c r="E15" s="232" t="s">
        <v>128</v>
      </c>
      <c r="F15" s="232" t="s">
        <v>128</v>
      </c>
      <c r="G15" s="232" t="s">
        <v>128</v>
      </c>
      <c r="H15" s="232" t="s">
        <v>128</v>
      </c>
      <c r="I15" s="232" t="s">
        <v>128</v>
      </c>
      <c r="J15" s="232" t="s">
        <v>128</v>
      </c>
      <c r="K15" s="232" t="s">
        <v>128</v>
      </c>
      <c r="L15" s="232" t="s">
        <v>128</v>
      </c>
      <c r="M15" s="232" t="s">
        <v>128</v>
      </c>
      <c r="N15" s="232" t="s">
        <v>128</v>
      </c>
      <c r="O15" s="232" t="s">
        <v>128</v>
      </c>
      <c r="P15" s="232" t="s">
        <v>128</v>
      </c>
      <c r="Q15" s="231" t="s">
        <v>128</v>
      </c>
      <c r="R15" s="232" t="s">
        <v>128</v>
      </c>
      <c r="S15" s="232" t="s">
        <v>128</v>
      </c>
      <c r="T15" s="232" t="s">
        <v>128</v>
      </c>
      <c r="U15" s="232" t="s">
        <v>128</v>
      </c>
      <c r="V15" s="232" t="s">
        <v>128</v>
      </c>
      <c r="W15" s="232" t="s">
        <v>128</v>
      </c>
      <c r="X15" s="232" t="s">
        <v>128</v>
      </c>
      <c r="Y15" s="232" t="s">
        <v>128</v>
      </c>
      <c r="Z15" s="232" t="s">
        <v>128</v>
      </c>
      <c r="AA15" s="232" t="s">
        <v>128</v>
      </c>
      <c r="AB15" s="6">
        <v>206</v>
      </c>
      <c r="AC15" s="6">
        <v>1570</v>
      </c>
      <c r="AD15" s="35">
        <f t="shared" si="0"/>
        <v>405</v>
      </c>
      <c r="AE15" s="6">
        <v>588</v>
      </c>
      <c r="AF15" s="6"/>
      <c r="AG15" s="35">
        <f t="shared" si="1"/>
        <v>382</v>
      </c>
      <c r="AH15" s="35">
        <v>972</v>
      </c>
      <c r="AI15" s="35"/>
      <c r="AJ15" s="35">
        <f t="shared" si="2"/>
        <v>384</v>
      </c>
      <c r="AK15" s="6">
        <v>1329</v>
      </c>
      <c r="AL15" s="6"/>
      <c r="AM15" s="35">
        <f t="shared" si="3"/>
        <v>357</v>
      </c>
      <c r="AN15" s="6"/>
      <c r="AO15" s="6"/>
      <c r="AP15" s="34"/>
      <c r="AQ15" s="35">
        <v>152</v>
      </c>
      <c r="AR15" s="35">
        <v>1560</v>
      </c>
      <c r="AS15" s="35">
        <f t="shared" si="4"/>
        <v>383</v>
      </c>
      <c r="AT15" s="6">
        <v>543</v>
      </c>
      <c r="AU15" s="6"/>
      <c r="AV15" s="35">
        <f t="shared" si="5"/>
        <v>391</v>
      </c>
      <c r="AW15" s="6">
        <v>934</v>
      </c>
      <c r="AX15" s="6"/>
      <c r="AY15" s="35">
        <f t="shared" si="6"/>
        <v>391</v>
      </c>
      <c r="AZ15" s="6">
        <v>1306</v>
      </c>
      <c r="BA15" s="6"/>
      <c r="BB15" s="35">
        <f t="shared" si="7"/>
        <v>372</v>
      </c>
      <c r="BC15" s="6">
        <v>132</v>
      </c>
      <c r="BD15" s="6">
        <v>1560</v>
      </c>
      <c r="BE15" s="35">
        <f t="shared" si="8"/>
        <v>386</v>
      </c>
      <c r="BF15" s="6">
        <v>510</v>
      </c>
      <c r="BG15" s="6"/>
      <c r="BH15" s="6">
        <f t="shared" si="9"/>
        <v>378</v>
      </c>
      <c r="BI15" s="6"/>
      <c r="BJ15" s="35"/>
      <c r="BK15" s="6"/>
      <c r="BL15" s="6">
        <v>0</v>
      </c>
      <c r="BM15" s="6">
        <v>889</v>
      </c>
      <c r="BN15" s="6">
        <f t="shared" si="10"/>
        <v>379</v>
      </c>
      <c r="BO15" s="6">
        <v>365</v>
      </c>
      <c r="BP15" s="6"/>
      <c r="BQ15" s="35">
        <f t="shared" si="11"/>
        <v>365</v>
      </c>
      <c r="BR15" s="6">
        <v>758</v>
      </c>
      <c r="BS15" s="6"/>
      <c r="BT15" s="6">
        <f t="shared" si="12"/>
        <v>393</v>
      </c>
      <c r="BU15" s="6">
        <v>1151</v>
      </c>
      <c r="BV15" s="6"/>
      <c r="BW15" s="35">
        <f t="shared" si="13"/>
        <v>393</v>
      </c>
      <c r="BX15" s="6">
        <v>1548</v>
      </c>
      <c r="BY15" s="35"/>
      <c r="BZ15" s="6">
        <f t="shared" si="14"/>
        <v>397</v>
      </c>
      <c r="CA15" s="6">
        <v>362</v>
      </c>
      <c r="CB15" s="6">
        <v>1560</v>
      </c>
      <c r="CC15" s="6">
        <f t="shared" si="15"/>
        <v>374</v>
      </c>
      <c r="CD15" s="6"/>
      <c r="CE15" s="35"/>
      <c r="CF15" s="6"/>
      <c r="CG15" s="6">
        <v>762</v>
      </c>
      <c r="CH15" s="6"/>
      <c r="CI15" s="6">
        <f t="shared" si="16"/>
        <v>400</v>
      </c>
      <c r="CJ15" s="6">
        <v>1164</v>
      </c>
      <c r="CK15" s="6"/>
      <c r="CL15" s="6">
        <f t="shared" si="17"/>
        <v>402</v>
      </c>
      <c r="CM15" s="6">
        <v>1</v>
      </c>
      <c r="CN15" s="6">
        <v>1560</v>
      </c>
      <c r="CO15" s="6">
        <f t="shared" si="18"/>
        <v>397</v>
      </c>
      <c r="CP15" s="6">
        <v>400</v>
      </c>
      <c r="CQ15" s="6"/>
      <c r="CR15" s="6">
        <f t="shared" si="19"/>
        <v>399</v>
      </c>
      <c r="CS15" s="6">
        <v>802</v>
      </c>
      <c r="CT15" s="6"/>
      <c r="CU15" s="6">
        <f t="shared" si="20"/>
        <v>402</v>
      </c>
      <c r="CV15" s="6">
        <v>1021</v>
      </c>
      <c r="CW15" s="6"/>
      <c r="CX15" s="6">
        <f t="shared" si="21"/>
        <v>219</v>
      </c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</row>
    <row r="16" spans="1:117">
      <c r="A16" s="6">
        <v>12</v>
      </c>
      <c r="B16" s="6">
        <v>902</v>
      </c>
      <c r="C16" s="6"/>
      <c r="D16" s="6">
        <v>357</v>
      </c>
      <c r="E16" s="230" t="s">
        <v>128</v>
      </c>
      <c r="F16" s="230" t="s">
        <v>128</v>
      </c>
      <c r="G16" s="230" t="s">
        <v>128</v>
      </c>
      <c r="H16" s="230" t="s">
        <v>128</v>
      </c>
      <c r="I16" s="230" t="s">
        <v>128</v>
      </c>
      <c r="J16" s="230" t="s">
        <v>128</v>
      </c>
      <c r="K16" s="230" t="s">
        <v>128</v>
      </c>
      <c r="L16" s="230" t="s">
        <v>128</v>
      </c>
      <c r="M16" s="230" t="s">
        <v>128</v>
      </c>
      <c r="N16" s="230" t="s">
        <v>128</v>
      </c>
      <c r="O16" s="227" t="s">
        <v>128</v>
      </c>
      <c r="P16" s="230" t="s">
        <v>128</v>
      </c>
      <c r="Q16" s="230" t="s">
        <v>128</v>
      </c>
      <c r="R16" s="230" t="s">
        <v>128</v>
      </c>
      <c r="S16" s="230" t="s">
        <v>128</v>
      </c>
      <c r="T16" s="230" t="s">
        <v>128</v>
      </c>
      <c r="U16" s="230" t="s">
        <v>128</v>
      </c>
      <c r="V16" s="230" t="s">
        <v>128</v>
      </c>
      <c r="W16" s="230" t="s">
        <v>128</v>
      </c>
      <c r="X16" s="230" t="s">
        <v>128</v>
      </c>
      <c r="Y16" s="230" t="s">
        <v>128</v>
      </c>
      <c r="Z16" s="230" t="s">
        <v>128</v>
      </c>
      <c r="AA16" s="230" t="s">
        <v>128</v>
      </c>
      <c r="AB16" s="35">
        <v>1305</v>
      </c>
      <c r="AC16" s="35"/>
      <c r="AD16" s="35">
        <f t="shared" si="0"/>
        <v>403</v>
      </c>
      <c r="AE16" s="35">
        <v>123</v>
      </c>
      <c r="AF16" s="35">
        <v>1560</v>
      </c>
      <c r="AG16" s="35">
        <f t="shared" si="1"/>
        <v>378</v>
      </c>
      <c r="AH16" s="35">
        <v>509</v>
      </c>
      <c r="AI16" s="35"/>
      <c r="AJ16" s="35">
        <f t="shared" si="2"/>
        <v>386</v>
      </c>
      <c r="AK16" s="6">
        <v>868</v>
      </c>
      <c r="AL16" s="35"/>
      <c r="AM16" s="35">
        <f t="shared" si="3"/>
        <v>359</v>
      </c>
      <c r="AN16" s="6"/>
      <c r="AO16" s="6"/>
      <c r="AP16" s="34"/>
      <c r="AQ16" s="35">
        <v>1250</v>
      </c>
      <c r="AR16" s="35"/>
      <c r="AS16" s="35">
        <f t="shared" si="4"/>
        <v>382</v>
      </c>
      <c r="AT16" s="6">
        <v>76</v>
      </c>
      <c r="AU16" s="6">
        <v>1560</v>
      </c>
      <c r="AV16" s="35">
        <f t="shared" si="5"/>
        <v>386</v>
      </c>
      <c r="AW16" s="6">
        <v>453</v>
      </c>
      <c r="AX16" s="6"/>
      <c r="AY16" s="35">
        <f t="shared" si="6"/>
        <v>377</v>
      </c>
      <c r="AZ16" s="6">
        <v>842</v>
      </c>
      <c r="BA16" s="6"/>
      <c r="BB16" s="35">
        <f t="shared" si="7"/>
        <v>389</v>
      </c>
      <c r="BC16" s="6">
        <v>0</v>
      </c>
      <c r="BD16" s="6">
        <v>1103</v>
      </c>
      <c r="BE16" s="35">
        <f t="shared" si="8"/>
        <v>261</v>
      </c>
      <c r="BF16" s="6">
        <v>332</v>
      </c>
      <c r="BG16" s="6"/>
      <c r="BH16" s="6">
        <f t="shared" si="9"/>
        <v>332</v>
      </c>
      <c r="BI16" s="6"/>
      <c r="BJ16" s="35"/>
      <c r="BK16" s="6"/>
      <c r="BL16" s="6">
        <v>722</v>
      </c>
      <c r="BM16" s="6"/>
      <c r="BN16" s="6">
        <f t="shared" si="10"/>
        <v>390</v>
      </c>
      <c r="BO16" s="6">
        <v>1107</v>
      </c>
      <c r="BP16" s="6"/>
      <c r="BQ16" s="35">
        <f t="shared" si="11"/>
        <v>385</v>
      </c>
      <c r="BR16" s="6">
        <v>1493</v>
      </c>
      <c r="BS16" s="6"/>
      <c r="BT16" s="6">
        <f t="shared" si="12"/>
        <v>386</v>
      </c>
      <c r="BU16" s="6">
        <v>306</v>
      </c>
      <c r="BV16" s="6">
        <v>1555</v>
      </c>
      <c r="BW16" s="35">
        <f t="shared" si="13"/>
        <v>368</v>
      </c>
      <c r="BX16" s="6">
        <v>692</v>
      </c>
      <c r="BY16" s="35"/>
      <c r="BZ16" s="6">
        <f t="shared" si="14"/>
        <v>386</v>
      </c>
      <c r="CA16" s="6">
        <v>6</v>
      </c>
      <c r="CB16" s="6">
        <v>1037</v>
      </c>
      <c r="CC16" s="6">
        <f t="shared" si="15"/>
        <v>351</v>
      </c>
      <c r="CD16" s="6"/>
      <c r="CE16" s="35"/>
      <c r="CF16" s="6"/>
      <c r="CG16" s="6">
        <v>405</v>
      </c>
      <c r="CH16" s="6"/>
      <c r="CI16" s="6">
        <f t="shared" si="16"/>
        <v>399</v>
      </c>
      <c r="CJ16" s="6">
        <v>809</v>
      </c>
      <c r="CK16" s="6"/>
      <c r="CL16" s="6">
        <f t="shared" si="17"/>
        <v>404</v>
      </c>
      <c r="CM16" s="6">
        <v>1193</v>
      </c>
      <c r="CN16" s="6"/>
      <c r="CO16" s="6">
        <f t="shared" si="18"/>
        <v>384</v>
      </c>
      <c r="CP16" s="6">
        <v>21</v>
      </c>
      <c r="CQ16" s="6">
        <v>1560</v>
      </c>
      <c r="CR16" s="6">
        <f t="shared" si="19"/>
        <v>388</v>
      </c>
      <c r="CS16" s="6">
        <v>415</v>
      </c>
      <c r="CT16" s="6"/>
      <c r="CU16" s="6">
        <f t="shared" si="20"/>
        <v>394</v>
      </c>
      <c r="CV16" s="6">
        <v>625</v>
      </c>
      <c r="CW16" s="6"/>
      <c r="CX16" s="6">
        <f t="shared" si="21"/>
        <v>210</v>
      </c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</row>
    <row r="17" spans="1:117">
      <c r="A17" s="6">
        <v>13</v>
      </c>
      <c r="B17" s="6">
        <v>1464</v>
      </c>
      <c r="C17" s="6"/>
      <c r="D17" s="6">
        <v>355</v>
      </c>
      <c r="E17" s="222" t="s">
        <v>37</v>
      </c>
      <c r="F17" s="222" t="s">
        <v>37</v>
      </c>
      <c r="G17" s="222" t="s">
        <v>37</v>
      </c>
      <c r="H17" s="222" t="s">
        <v>37</v>
      </c>
      <c r="I17" s="222" t="s">
        <v>37</v>
      </c>
      <c r="J17" s="222" t="s">
        <v>37</v>
      </c>
      <c r="K17" s="222" t="s">
        <v>37</v>
      </c>
      <c r="L17" s="222" t="s">
        <v>37</v>
      </c>
      <c r="M17" s="217" t="s">
        <v>37</v>
      </c>
      <c r="N17" s="222" t="s">
        <v>37</v>
      </c>
      <c r="O17" s="222" t="s">
        <v>37</v>
      </c>
      <c r="P17" s="222" t="s">
        <v>37</v>
      </c>
      <c r="Q17" s="222" t="s">
        <v>37</v>
      </c>
      <c r="R17" s="222" t="s">
        <v>37</v>
      </c>
      <c r="S17" s="222" t="s">
        <v>37</v>
      </c>
      <c r="T17" s="222" t="s">
        <v>37</v>
      </c>
      <c r="U17" s="222" t="s">
        <v>37</v>
      </c>
      <c r="V17" s="222" t="s">
        <v>37</v>
      </c>
      <c r="W17" s="222" t="s">
        <v>37</v>
      </c>
      <c r="X17" s="222" t="s">
        <v>37</v>
      </c>
      <c r="Y17" s="222" t="s">
        <v>37</v>
      </c>
      <c r="Z17" s="222" t="s">
        <v>37</v>
      </c>
      <c r="AA17" s="222" t="s">
        <v>37</v>
      </c>
      <c r="AB17" s="6">
        <v>309</v>
      </c>
      <c r="AC17" s="6">
        <v>1560</v>
      </c>
      <c r="AD17" s="35">
        <f t="shared" si="0"/>
        <v>405</v>
      </c>
      <c r="AE17" s="6">
        <v>690</v>
      </c>
      <c r="AF17" s="6"/>
      <c r="AG17" s="35">
        <f t="shared" si="1"/>
        <v>381</v>
      </c>
      <c r="AH17" s="35">
        <v>1081</v>
      </c>
      <c r="AI17" s="35"/>
      <c r="AJ17" s="35">
        <f t="shared" si="2"/>
        <v>391</v>
      </c>
      <c r="AK17" s="6">
        <v>1449</v>
      </c>
      <c r="AL17" s="6"/>
      <c r="AM17" s="35">
        <f t="shared" si="3"/>
        <v>368</v>
      </c>
      <c r="AN17" s="6"/>
      <c r="AO17" s="6"/>
      <c r="AP17" s="34"/>
      <c r="AQ17" s="35">
        <v>276</v>
      </c>
      <c r="AR17" s="35">
        <v>1560</v>
      </c>
      <c r="AS17" s="35">
        <f t="shared" si="4"/>
        <v>387</v>
      </c>
      <c r="AT17" s="6">
        <v>654</v>
      </c>
      <c r="AU17" s="6"/>
      <c r="AV17" s="35">
        <f t="shared" si="5"/>
        <v>378</v>
      </c>
      <c r="AW17" s="6">
        <v>0</v>
      </c>
      <c r="AX17" s="6">
        <v>922</v>
      </c>
      <c r="AY17" s="35">
        <f t="shared" si="6"/>
        <v>268</v>
      </c>
      <c r="AZ17" s="35">
        <v>346</v>
      </c>
      <c r="BA17" s="35"/>
      <c r="BB17" s="35">
        <f t="shared" si="7"/>
        <v>346</v>
      </c>
      <c r="BC17" s="6">
        <v>232</v>
      </c>
      <c r="BD17" s="6">
        <v>500</v>
      </c>
      <c r="BE17" s="35">
        <f t="shared" si="8"/>
        <v>386</v>
      </c>
      <c r="BF17" s="35">
        <v>606</v>
      </c>
      <c r="BG17" s="6"/>
      <c r="BH17" s="6">
        <f t="shared" si="9"/>
        <v>374</v>
      </c>
      <c r="BI17" s="6"/>
      <c r="BJ17" s="6"/>
      <c r="BK17" s="6"/>
      <c r="BL17" s="6">
        <v>1004</v>
      </c>
      <c r="BM17" s="6"/>
      <c r="BN17" s="6">
        <f t="shared" si="10"/>
        <v>398</v>
      </c>
      <c r="BO17" s="6">
        <v>1371</v>
      </c>
      <c r="BP17" s="6"/>
      <c r="BQ17" s="35">
        <f t="shared" si="11"/>
        <v>367</v>
      </c>
      <c r="BR17" s="6">
        <v>205</v>
      </c>
      <c r="BS17" s="6">
        <v>1560</v>
      </c>
      <c r="BT17" s="6">
        <f t="shared" si="12"/>
        <v>394</v>
      </c>
      <c r="BU17" s="6">
        <v>596</v>
      </c>
      <c r="BV17" s="6"/>
      <c r="BW17" s="35">
        <f t="shared" si="13"/>
        <v>391</v>
      </c>
      <c r="BX17" s="6">
        <v>994</v>
      </c>
      <c r="BY17" s="6"/>
      <c r="BZ17" s="6">
        <f t="shared" si="14"/>
        <v>398</v>
      </c>
      <c r="CA17" s="6">
        <v>1370</v>
      </c>
      <c r="CB17" s="6"/>
      <c r="CC17" s="6">
        <f t="shared" si="15"/>
        <v>376</v>
      </c>
      <c r="CD17" s="6"/>
      <c r="CE17" s="6"/>
      <c r="CF17" s="6"/>
      <c r="CG17" s="6">
        <v>19</v>
      </c>
      <c r="CH17" s="6">
        <v>1755</v>
      </c>
      <c r="CI17" s="6">
        <f t="shared" si="16"/>
        <v>404</v>
      </c>
      <c r="CJ17" s="6">
        <v>409</v>
      </c>
      <c r="CK17" s="6"/>
      <c r="CL17" s="6">
        <f t="shared" si="17"/>
        <v>390</v>
      </c>
      <c r="CM17" s="6">
        <v>792</v>
      </c>
      <c r="CN17" s="6"/>
      <c r="CO17" s="6">
        <f t="shared" si="18"/>
        <v>383</v>
      </c>
      <c r="CP17" s="6">
        <v>1179</v>
      </c>
      <c r="CQ17" s="6"/>
      <c r="CR17" s="6">
        <f t="shared" si="19"/>
        <v>387</v>
      </c>
      <c r="CS17" s="6">
        <v>2</v>
      </c>
      <c r="CT17" s="6">
        <v>1560</v>
      </c>
      <c r="CU17" s="6">
        <f t="shared" si="20"/>
        <v>383</v>
      </c>
      <c r="CV17" s="6">
        <v>210</v>
      </c>
      <c r="CW17" s="6"/>
      <c r="CX17" s="6">
        <f t="shared" si="21"/>
        <v>208</v>
      </c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</row>
    <row r="18" spans="1:117">
      <c r="A18" s="6">
        <v>14</v>
      </c>
      <c r="B18" s="6">
        <v>1266</v>
      </c>
      <c r="C18" s="6"/>
      <c r="D18" s="6">
        <v>358</v>
      </c>
      <c r="E18" s="33" t="s">
        <v>128</v>
      </c>
      <c r="F18" s="33" t="s">
        <v>128</v>
      </c>
      <c r="G18" s="33" t="s">
        <v>128</v>
      </c>
      <c r="H18" s="33" t="s">
        <v>128</v>
      </c>
      <c r="I18" s="33" t="s">
        <v>128</v>
      </c>
      <c r="J18" s="33" t="s">
        <v>128</v>
      </c>
      <c r="K18" s="148" t="s">
        <v>128</v>
      </c>
      <c r="L18" s="33" t="s">
        <v>128</v>
      </c>
      <c r="M18" s="33" t="s">
        <v>128</v>
      </c>
      <c r="N18" s="33" t="s">
        <v>128</v>
      </c>
      <c r="O18" s="33" t="s">
        <v>128</v>
      </c>
      <c r="P18" s="33" t="s">
        <v>128</v>
      </c>
      <c r="Q18" s="33" t="s">
        <v>128</v>
      </c>
      <c r="R18" s="33" t="s">
        <v>128</v>
      </c>
      <c r="S18" s="33" t="s">
        <v>128</v>
      </c>
      <c r="T18" s="33" t="s">
        <v>128</v>
      </c>
      <c r="U18" s="33" t="s">
        <v>128</v>
      </c>
      <c r="V18" s="33" t="s">
        <v>128</v>
      </c>
      <c r="W18" s="33" t="s">
        <v>128</v>
      </c>
      <c r="X18" s="33" t="s">
        <v>128</v>
      </c>
      <c r="Y18" s="33" t="s">
        <v>128</v>
      </c>
      <c r="Z18" s="33" t="s">
        <v>128</v>
      </c>
      <c r="AA18" s="33" t="s">
        <v>128</v>
      </c>
      <c r="AB18" s="35">
        <v>114</v>
      </c>
      <c r="AC18" s="35">
        <v>1560</v>
      </c>
      <c r="AD18" s="35">
        <f t="shared" si="0"/>
        <v>408</v>
      </c>
      <c r="AE18" s="35">
        <v>494</v>
      </c>
      <c r="AF18" s="35"/>
      <c r="AG18" s="35">
        <f t="shared" si="1"/>
        <v>380</v>
      </c>
      <c r="AH18" s="35">
        <v>885</v>
      </c>
      <c r="AI18" s="35"/>
      <c r="AJ18" s="35">
        <f t="shared" si="2"/>
        <v>391</v>
      </c>
      <c r="AK18" s="35">
        <v>1234</v>
      </c>
      <c r="AL18" s="35"/>
      <c r="AM18" s="35">
        <f t="shared" si="3"/>
        <v>349</v>
      </c>
      <c r="AN18" s="35"/>
      <c r="AO18" s="35"/>
      <c r="AP18" s="34"/>
      <c r="AQ18" s="35">
        <v>0</v>
      </c>
      <c r="AR18" s="35">
        <v>1591</v>
      </c>
      <c r="AS18" s="35">
        <f t="shared" si="4"/>
        <v>357</v>
      </c>
      <c r="AT18" s="6">
        <v>330</v>
      </c>
      <c r="AU18" s="6"/>
      <c r="AV18" s="35">
        <f t="shared" si="5"/>
        <v>330</v>
      </c>
      <c r="AW18" s="6">
        <v>714</v>
      </c>
      <c r="AX18" s="6"/>
      <c r="AY18" s="35">
        <f t="shared" si="6"/>
        <v>384</v>
      </c>
      <c r="AZ18" s="35">
        <v>1095</v>
      </c>
      <c r="BA18" s="35"/>
      <c r="BB18" s="35">
        <f t="shared" si="7"/>
        <v>381</v>
      </c>
      <c r="BC18" s="6">
        <v>1483</v>
      </c>
      <c r="BD18" s="6"/>
      <c r="BE18" s="35">
        <f t="shared" si="8"/>
        <v>388</v>
      </c>
      <c r="BF18" s="6">
        <v>284</v>
      </c>
      <c r="BG18" s="6">
        <v>1560</v>
      </c>
      <c r="BH18" s="6">
        <f t="shared" si="9"/>
        <v>361</v>
      </c>
      <c r="BI18" s="6"/>
      <c r="BJ18" s="6"/>
      <c r="BK18" s="6"/>
      <c r="BL18" s="6">
        <v>674</v>
      </c>
      <c r="BM18" s="6"/>
      <c r="BN18" s="6">
        <f t="shared" si="10"/>
        <v>390</v>
      </c>
      <c r="BO18" s="6">
        <v>1056</v>
      </c>
      <c r="BP18" s="6"/>
      <c r="BQ18" s="35">
        <f t="shared" si="11"/>
        <v>382</v>
      </c>
      <c r="BR18" s="6">
        <v>1443</v>
      </c>
      <c r="BS18" s="6"/>
      <c r="BT18" s="6">
        <f t="shared" si="12"/>
        <v>387</v>
      </c>
      <c r="BU18" s="6">
        <v>270</v>
      </c>
      <c r="BV18" s="6">
        <v>1560</v>
      </c>
      <c r="BW18" s="35">
        <f t="shared" si="13"/>
        <v>387</v>
      </c>
      <c r="BX18" s="6">
        <v>663</v>
      </c>
      <c r="BY18" s="6"/>
      <c r="BZ18" s="6">
        <f t="shared" si="14"/>
        <v>393</v>
      </c>
      <c r="CA18" s="6">
        <v>1033</v>
      </c>
      <c r="CB18" s="6"/>
      <c r="CC18" s="6">
        <f t="shared" si="15"/>
        <v>370</v>
      </c>
      <c r="CD18" s="6"/>
      <c r="CE18" s="6"/>
      <c r="CF18" s="6"/>
      <c r="CG18" s="6">
        <v>1429</v>
      </c>
      <c r="CH18" s="6"/>
      <c r="CI18" s="6">
        <f t="shared" si="16"/>
        <v>396</v>
      </c>
      <c r="CJ18" s="6">
        <v>274</v>
      </c>
      <c r="CK18" s="6">
        <v>1554</v>
      </c>
      <c r="CL18" s="6">
        <f t="shared" si="17"/>
        <v>399</v>
      </c>
      <c r="CM18" s="6">
        <v>671</v>
      </c>
      <c r="CN18" s="6"/>
      <c r="CO18" s="6">
        <f t="shared" si="18"/>
        <v>397</v>
      </c>
      <c r="CP18" s="6">
        <v>1070</v>
      </c>
      <c r="CQ18" s="6"/>
      <c r="CR18" s="6">
        <f t="shared" si="19"/>
        <v>399</v>
      </c>
      <c r="CS18" s="6">
        <v>1469</v>
      </c>
      <c r="CT18" s="6"/>
      <c r="CU18" s="6">
        <f t="shared" si="20"/>
        <v>399</v>
      </c>
      <c r="CV18" s="6">
        <v>136</v>
      </c>
      <c r="CW18" s="6">
        <v>1560</v>
      </c>
      <c r="CX18" s="6">
        <f t="shared" si="21"/>
        <v>227</v>
      </c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</row>
    <row r="19" spans="1:117">
      <c r="A19" s="6">
        <v>15</v>
      </c>
      <c r="B19" s="6">
        <v>622</v>
      </c>
      <c r="C19" s="6"/>
      <c r="D19" s="6">
        <v>353</v>
      </c>
      <c r="E19" s="33" t="s">
        <v>37</v>
      </c>
      <c r="F19" s="33" t="s">
        <v>37</v>
      </c>
      <c r="G19" s="33" t="s">
        <v>37</v>
      </c>
      <c r="H19" s="33" t="s">
        <v>37</v>
      </c>
      <c r="I19" s="33" t="s">
        <v>37</v>
      </c>
      <c r="J19" s="33" t="s">
        <v>37</v>
      </c>
      <c r="K19" s="33" t="s">
        <v>37</v>
      </c>
      <c r="L19" s="33" t="s">
        <v>37</v>
      </c>
      <c r="M19" s="33" t="s">
        <v>37</v>
      </c>
      <c r="N19" s="33" t="s">
        <v>37</v>
      </c>
      <c r="O19" s="33" t="s">
        <v>37</v>
      </c>
      <c r="P19" s="33" t="s">
        <v>37</v>
      </c>
      <c r="Q19" s="33" t="s">
        <v>37</v>
      </c>
      <c r="R19" s="33" t="s">
        <v>37</v>
      </c>
      <c r="S19" s="33" t="s">
        <v>37</v>
      </c>
      <c r="T19" s="33" t="s">
        <v>37</v>
      </c>
      <c r="U19" s="33" t="s">
        <v>37</v>
      </c>
      <c r="V19" s="33" t="s">
        <v>37</v>
      </c>
      <c r="W19" s="33" t="s">
        <v>37</v>
      </c>
      <c r="X19" s="33" t="s">
        <v>37</v>
      </c>
      <c r="Y19" s="148" t="s">
        <v>307</v>
      </c>
      <c r="Z19" s="33" t="s">
        <v>307</v>
      </c>
      <c r="AA19" s="33" t="s">
        <v>307</v>
      </c>
      <c r="AB19" s="35">
        <v>1026</v>
      </c>
      <c r="AC19" s="35"/>
      <c r="AD19" s="35">
        <f t="shared" si="0"/>
        <v>404</v>
      </c>
      <c r="AE19" s="35">
        <v>1409</v>
      </c>
      <c r="AF19" s="35"/>
      <c r="AG19" s="35">
        <f t="shared" si="1"/>
        <v>383</v>
      </c>
      <c r="AH19" s="35">
        <v>239</v>
      </c>
      <c r="AI19" s="35">
        <v>1560</v>
      </c>
      <c r="AJ19" s="35">
        <f t="shared" si="2"/>
        <v>390</v>
      </c>
      <c r="AK19" s="35">
        <v>601</v>
      </c>
      <c r="AL19" s="35"/>
      <c r="AM19" s="35">
        <f t="shared" si="3"/>
        <v>362</v>
      </c>
      <c r="AN19" s="35"/>
      <c r="AO19" s="35"/>
      <c r="AP19" s="34"/>
      <c r="AQ19" s="35">
        <v>984</v>
      </c>
      <c r="AR19" s="35"/>
      <c r="AS19" s="35">
        <f t="shared" si="4"/>
        <v>383</v>
      </c>
      <c r="AT19" s="6">
        <v>241</v>
      </c>
      <c r="AU19" s="6">
        <v>1111</v>
      </c>
      <c r="AV19" s="35">
        <f t="shared" si="5"/>
        <v>368</v>
      </c>
      <c r="AW19" s="35">
        <v>615</v>
      </c>
      <c r="AX19" s="35"/>
      <c r="AY19" s="35">
        <f t="shared" si="6"/>
        <v>374</v>
      </c>
      <c r="AZ19" s="35">
        <v>1001</v>
      </c>
      <c r="BA19" s="35"/>
      <c r="BB19" s="35">
        <f t="shared" si="7"/>
        <v>386</v>
      </c>
      <c r="BC19" s="35">
        <v>1388</v>
      </c>
      <c r="BD19" s="35"/>
      <c r="BE19" s="35">
        <f t="shared" si="8"/>
        <v>387</v>
      </c>
      <c r="BF19" s="35">
        <v>195</v>
      </c>
      <c r="BG19" s="35">
        <v>1560</v>
      </c>
      <c r="BH19" s="6">
        <f t="shared" si="9"/>
        <v>367</v>
      </c>
      <c r="BI19" s="35"/>
      <c r="BJ19" s="35"/>
      <c r="BK19" s="6"/>
      <c r="BL19" s="35">
        <v>490</v>
      </c>
      <c r="BM19" s="6"/>
      <c r="BN19" s="6">
        <f t="shared" si="10"/>
        <v>295</v>
      </c>
      <c r="BO19" s="6">
        <v>845</v>
      </c>
      <c r="BP19" s="6"/>
      <c r="BQ19" s="35">
        <f t="shared" si="11"/>
        <v>355</v>
      </c>
      <c r="BR19" s="6">
        <v>1235</v>
      </c>
      <c r="BS19" s="6"/>
      <c r="BT19" s="6">
        <f t="shared" si="12"/>
        <v>390</v>
      </c>
      <c r="BU19" s="6">
        <v>56</v>
      </c>
      <c r="BV19" s="6">
        <v>1560</v>
      </c>
      <c r="BW19" s="35">
        <f t="shared" si="13"/>
        <v>381</v>
      </c>
      <c r="BX19" s="6">
        <v>444</v>
      </c>
      <c r="BY19" s="6"/>
      <c r="BZ19" s="6">
        <f t="shared" si="14"/>
        <v>388</v>
      </c>
      <c r="CA19" s="6">
        <v>2</v>
      </c>
      <c r="CB19" s="6">
        <v>790</v>
      </c>
      <c r="CC19" s="6">
        <f t="shared" si="15"/>
        <v>348</v>
      </c>
      <c r="CD19" s="6"/>
      <c r="CE19" s="6"/>
      <c r="CF19" s="6"/>
      <c r="CG19" s="6">
        <v>388</v>
      </c>
      <c r="CH19" s="6"/>
      <c r="CI19" s="6">
        <f t="shared" si="16"/>
        <v>386</v>
      </c>
      <c r="CJ19" s="6">
        <v>763</v>
      </c>
      <c r="CK19" s="6"/>
      <c r="CL19" s="6">
        <f t="shared" si="17"/>
        <v>375</v>
      </c>
      <c r="CM19" s="6">
        <v>1139</v>
      </c>
      <c r="CN19" s="6"/>
      <c r="CO19" s="6">
        <f t="shared" si="18"/>
        <v>376</v>
      </c>
      <c r="CP19" s="6">
        <v>286</v>
      </c>
      <c r="CQ19" s="6">
        <v>1227</v>
      </c>
      <c r="CR19" s="6">
        <f t="shared" si="19"/>
        <v>374</v>
      </c>
      <c r="CS19" s="6">
        <v>670</v>
      </c>
      <c r="CT19" s="6"/>
      <c r="CU19" s="6">
        <f t="shared" si="20"/>
        <v>384</v>
      </c>
      <c r="CV19" s="6">
        <v>879</v>
      </c>
      <c r="CW19" s="6"/>
      <c r="CX19" s="6">
        <f t="shared" si="21"/>
        <v>209</v>
      </c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</row>
    <row r="20" spans="1:117" s="65" customFormat="1">
      <c r="A20" s="63">
        <v>16</v>
      </c>
      <c r="B20" s="63">
        <v>985</v>
      </c>
      <c r="C20" s="63"/>
      <c r="D20" s="6">
        <v>362</v>
      </c>
      <c r="E20" s="33" t="s">
        <v>128</v>
      </c>
      <c r="F20" s="33" t="s">
        <v>128</v>
      </c>
      <c r="G20" s="33" t="s">
        <v>128</v>
      </c>
      <c r="H20" s="33" t="s">
        <v>128</v>
      </c>
      <c r="I20" s="33" t="s">
        <v>128</v>
      </c>
      <c r="J20" s="33" t="s">
        <v>128</v>
      </c>
      <c r="K20" s="33" t="s">
        <v>128</v>
      </c>
      <c r="L20" s="33" t="s">
        <v>128</v>
      </c>
      <c r="M20" s="33" t="s">
        <v>128</v>
      </c>
      <c r="N20" s="33" t="s">
        <v>128</v>
      </c>
      <c r="O20" s="33" t="s">
        <v>128</v>
      </c>
      <c r="P20" s="33" t="s">
        <v>128</v>
      </c>
      <c r="Q20" s="33" t="s">
        <v>128</v>
      </c>
      <c r="R20" s="33" t="s">
        <v>128</v>
      </c>
      <c r="S20" s="33" t="s">
        <v>128</v>
      </c>
      <c r="T20" s="148" t="s">
        <v>307</v>
      </c>
      <c r="U20" s="33" t="s">
        <v>307</v>
      </c>
      <c r="V20" s="33" t="s">
        <v>307</v>
      </c>
      <c r="W20" s="33" t="s">
        <v>307</v>
      </c>
      <c r="X20" s="33" t="s">
        <v>307</v>
      </c>
      <c r="Y20" s="33" t="s">
        <v>307</v>
      </c>
      <c r="Z20" s="33" t="s">
        <v>307</v>
      </c>
      <c r="AA20" s="33" t="s">
        <v>307</v>
      </c>
      <c r="AB20" s="63">
        <v>1388</v>
      </c>
      <c r="AC20" s="63"/>
      <c r="AD20" s="35">
        <f t="shared" si="0"/>
        <v>403</v>
      </c>
      <c r="AE20" s="63">
        <v>205</v>
      </c>
      <c r="AF20" s="63">
        <v>1560</v>
      </c>
      <c r="AG20" s="35">
        <f t="shared" si="1"/>
        <v>377</v>
      </c>
      <c r="AH20" s="66">
        <v>590</v>
      </c>
      <c r="AI20" s="66"/>
      <c r="AJ20" s="35">
        <f t="shared" si="2"/>
        <v>385</v>
      </c>
      <c r="AK20" s="63">
        <v>950</v>
      </c>
      <c r="AL20" s="63"/>
      <c r="AM20" s="35">
        <f t="shared" si="3"/>
        <v>360</v>
      </c>
      <c r="AN20" s="6"/>
      <c r="AO20" s="6"/>
      <c r="AP20" s="34"/>
      <c r="AQ20" s="66">
        <v>1337</v>
      </c>
      <c r="AR20" s="66"/>
      <c r="AS20" s="35">
        <f t="shared" si="4"/>
        <v>387</v>
      </c>
      <c r="AT20" s="63">
        <v>169</v>
      </c>
      <c r="AU20" s="63">
        <v>1560</v>
      </c>
      <c r="AV20" s="35">
        <f t="shared" si="5"/>
        <v>392</v>
      </c>
      <c r="AW20" s="63">
        <v>568</v>
      </c>
      <c r="AX20" s="63"/>
      <c r="AY20" s="35">
        <f t="shared" si="6"/>
        <v>399</v>
      </c>
      <c r="AZ20" s="66">
        <v>966</v>
      </c>
      <c r="BA20" s="66"/>
      <c r="BB20" s="35">
        <f t="shared" si="7"/>
        <v>398</v>
      </c>
      <c r="BC20" s="63">
        <v>1364</v>
      </c>
      <c r="BD20" s="63"/>
      <c r="BE20" s="35">
        <f t="shared" si="8"/>
        <v>398</v>
      </c>
      <c r="BF20" s="63">
        <v>188</v>
      </c>
      <c r="BG20" s="63">
        <v>1533</v>
      </c>
      <c r="BH20" s="6">
        <f t="shared" si="9"/>
        <v>357</v>
      </c>
      <c r="BI20" s="63"/>
      <c r="BJ20" s="63"/>
      <c r="BK20" s="6"/>
      <c r="BL20" s="63">
        <v>588</v>
      </c>
      <c r="BM20" s="63"/>
      <c r="BN20" s="6">
        <f t="shared" si="10"/>
        <v>400</v>
      </c>
      <c r="BO20" s="63">
        <v>976</v>
      </c>
      <c r="BP20" s="63"/>
      <c r="BQ20" s="35">
        <f t="shared" si="11"/>
        <v>388</v>
      </c>
      <c r="BR20" s="63">
        <v>1369</v>
      </c>
      <c r="BS20" s="63"/>
      <c r="BT20" s="6">
        <f t="shared" si="12"/>
        <v>393</v>
      </c>
      <c r="BU20" s="63">
        <v>0</v>
      </c>
      <c r="BV20" s="63">
        <v>1651</v>
      </c>
      <c r="BW20" s="35">
        <f t="shared" si="13"/>
        <v>282</v>
      </c>
      <c r="BX20" s="63">
        <v>319</v>
      </c>
      <c r="BY20" s="63"/>
      <c r="BZ20" s="6">
        <f t="shared" si="14"/>
        <v>319</v>
      </c>
      <c r="CA20" s="63">
        <v>696</v>
      </c>
      <c r="CB20" s="63"/>
      <c r="CC20" s="6">
        <f t="shared" si="15"/>
        <v>377</v>
      </c>
      <c r="CD20" s="63"/>
      <c r="CE20" s="63"/>
      <c r="CF20" s="6"/>
      <c r="CG20" s="63">
        <v>1078</v>
      </c>
      <c r="CH20" s="63"/>
      <c r="CI20" s="6">
        <f t="shared" si="16"/>
        <v>382</v>
      </c>
      <c r="CJ20" s="63">
        <v>1479</v>
      </c>
      <c r="CK20" s="63"/>
      <c r="CL20" s="6">
        <f t="shared" si="17"/>
        <v>401</v>
      </c>
      <c r="CM20" s="63">
        <v>44</v>
      </c>
      <c r="CN20" s="63">
        <v>1820</v>
      </c>
      <c r="CO20" s="6">
        <f t="shared" si="18"/>
        <v>385</v>
      </c>
      <c r="CP20" s="63">
        <v>437</v>
      </c>
      <c r="CQ20" s="63"/>
      <c r="CR20" s="6">
        <f t="shared" si="19"/>
        <v>393</v>
      </c>
      <c r="CS20" s="63">
        <v>825</v>
      </c>
      <c r="CT20" s="63"/>
      <c r="CU20" s="6">
        <f t="shared" si="20"/>
        <v>388</v>
      </c>
      <c r="CV20" s="63">
        <v>1038</v>
      </c>
      <c r="CW20" s="63"/>
      <c r="CX20" s="6">
        <f t="shared" si="21"/>
        <v>213</v>
      </c>
      <c r="CY20" s="63"/>
      <c r="CZ20" s="63"/>
      <c r="DA20" s="6"/>
      <c r="DB20" s="63"/>
      <c r="DC20" s="63"/>
      <c r="DD20" s="6"/>
      <c r="DE20" s="63"/>
      <c r="DF20" s="63"/>
      <c r="DG20" s="6"/>
      <c r="DH20" s="63"/>
      <c r="DI20" s="63"/>
      <c r="DJ20" s="6"/>
      <c r="DK20" s="63"/>
      <c r="DL20" s="63"/>
      <c r="DM20" s="6"/>
    </row>
    <row r="21" spans="1:117">
      <c r="A21" s="6">
        <v>17</v>
      </c>
      <c r="B21" s="6">
        <v>415</v>
      </c>
      <c r="C21" s="6"/>
      <c r="D21" s="6">
        <v>359</v>
      </c>
      <c r="E21" s="33" t="s">
        <v>37</v>
      </c>
      <c r="F21" s="33" t="s">
        <v>37</v>
      </c>
      <c r="G21" s="33" t="s">
        <v>37</v>
      </c>
      <c r="H21" s="33" t="s">
        <v>37</v>
      </c>
      <c r="I21" s="33" t="s">
        <v>37</v>
      </c>
      <c r="J21" s="33" t="s">
        <v>37</v>
      </c>
      <c r="K21" s="33" t="s">
        <v>37</v>
      </c>
      <c r="L21" s="148" t="s">
        <v>37</v>
      </c>
      <c r="M21" s="33" t="s">
        <v>37</v>
      </c>
      <c r="N21" s="33" t="s">
        <v>37</v>
      </c>
      <c r="O21" s="33" t="s">
        <v>37</v>
      </c>
      <c r="P21" s="33" t="s">
        <v>37</v>
      </c>
      <c r="Q21" s="33" t="s">
        <v>37</v>
      </c>
      <c r="R21" s="33" t="s">
        <v>37</v>
      </c>
      <c r="S21" s="33" t="s">
        <v>37</v>
      </c>
      <c r="T21" s="33" t="s">
        <v>37</v>
      </c>
      <c r="U21" s="33" t="s">
        <v>37</v>
      </c>
      <c r="V21" s="33" t="s">
        <v>37</v>
      </c>
      <c r="W21" s="33" t="s">
        <v>37</v>
      </c>
      <c r="X21" s="33" t="s">
        <v>37</v>
      </c>
      <c r="Y21" s="33" t="s">
        <v>37</v>
      </c>
      <c r="Z21" s="33" t="s">
        <v>37</v>
      </c>
      <c r="AA21" s="33" t="s">
        <v>37</v>
      </c>
      <c r="AB21" s="6">
        <v>824</v>
      </c>
      <c r="AC21" s="6"/>
      <c r="AD21" s="35">
        <f t="shared" si="0"/>
        <v>409</v>
      </c>
      <c r="AE21" s="6">
        <v>1188</v>
      </c>
      <c r="AF21" s="6"/>
      <c r="AG21" s="35">
        <f t="shared" si="1"/>
        <v>364</v>
      </c>
      <c r="AH21" s="35">
        <v>15</v>
      </c>
      <c r="AI21" s="35">
        <v>1560</v>
      </c>
      <c r="AJ21" s="35">
        <f t="shared" si="2"/>
        <v>387</v>
      </c>
      <c r="AK21" s="6">
        <v>377</v>
      </c>
      <c r="AL21" s="6"/>
      <c r="AM21" s="35">
        <f t="shared" si="3"/>
        <v>362</v>
      </c>
      <c r="AN21" s="6"/>
      <c r="AO21" s="6"/>
      <c r="AP21" s="34"/>
      <c r="AQ21" s="35">
        <v>766</v>
      </c>
      <c r="AR21" s="35"/>
      <c r="AS21" s="35">
        <f t="shared" si="4"/>
        <v>389</v>
      </c>
      <c r="AT21" s="6">
        <v>1149</v>
      </c>
      <c r="AU21" s="6"/>
      <c r="AV21" s="35">
        <f t="shared" si="5"/>
        <v>383</v>
      </c>
      <c r="AW21" s="6">
        <v>340</v>
      </c>
      <c r="AX21" s="6">
        <v>1180</v>
      </c>
      <c r="AY21" s="35">
        <f t="shared" si="6"/>
        <v>371</v>
      </c>
      <c r="AZ21" s="35">
        <v>726</v>
      </c>
      <c r="BA21" s="35"/>
      <c r="BB21" s="35">
        <f t="shared" si="7"/>
        <v>386</v>
      </c>
      <c r="BC21" s="6">
        <v>1115</v>
      </c>
      <c r="BD21" s="6"/>
      <c r="BE21" s="35">
        <f t="shared" si="8"/>
        <v>389</v>
      </c>
      <c r="BF21" s="6">
        <v>4</v>
      </c>
      <c r="BG21" s="6">
        <v>1434</v>
      </c>
      <c r="BH21" s="6">
        <f t="shared" si="9"/>
        <v>323</v>
      </c>
      <c r="BI21" s="6"/>
      <c r="BJ21" s="6"/>
      <c r="BK21" s="6"/>
      <c r="BL21" s="6">
        <v>398</v>
      </c>
      <c r="BM21" s="6"/>
      <c r="BN21" s="6">
        <f t="shared" si="10"/>
        <v>394</v>
      </c>
      <c r="BO21" s="6">
        <v>777</v>
      </c>
      <c r="BP21" s="6"/>
      <c r="BQ21" s="35">
        <f t="shared" si="11"/>
        <v>379</v>
      </c>
      <c r="BR21" s="6">
        <v>1156</v>
      </c>
      <c r="BS21" s="6"/>
      <c r="BT21" s="6">
        <f t="shared" si="12"/>
        <v>379</v>
      </c>
      <c r="BU21" s="6">
        <v>1526</v>
      </c>
      <c r="BV21" s="6"/>
      <c r="BW21" s="35">
        <f t="shared" si="13"/>
        <v>370</v>
      </c>
      <c r="BX21" s="6">
        <v>342</v>
      </c>
      <c r="BY21" s="6">
        <v>1560</v>
      </c>
      <c r="BZ21" s="6">
        <f t="shared" si="14"/>
        <v>376</v>
      </c>
      <c r="CA21" s="6">
        <v>353</v>
      </c>
      <c r="CB21" s="6">
        <v>345</v>
      </c>
      <c r="CC21" s="6">
        <f t="shared" si="15"/>
        <v>356</v>
      </c>
      <c r="CD21" s="6"/>
      <c r="CE21" s="6"/>
      <c r="CF21" s="6"/>
      <c r="CG21" s="6">
        <v>756</v>
      </c>
      <c r="CH21" s="6"/>
      <c r="CI21" s="6">
        <f t="shared" si="16"/>
        <v>403</v>
      </c>
      <c r="CJ21" s="6">
        <v>1134</v>
      </c>
      <c r="CK21" s="6"/>
      <c r="CL21" s="6">
        <f t="shared" si="17"/>
        <v>378</v>
      </c>
      <c r="CM21" s="6">
        <v>1513</v>
      </c>
      <c r="CN21" s="6"/>
      <c r="CO21" s="6">
        <f t="shared" si="18"/>
        <v>379</v>
      </c>
      <c r="CP21" s="6">
        <v>337</v>
      </c>
      <c r="CQ21" s="6">
        <v>1560</v>
      </c>
      <c r="CR21" s="6">
        <f t="shared" si="19"/>
        <v>384</v>
      </c>
      <c r="CS21" s="6">
        <v>726</v>
      </c>
      <c r="CT21" s="6"/>
      <c r="CU21" s="6">
        <f t="shared" si="20"/>
        <v>389</v>
      </c>
      <c r="CV21" s="6">
        <v>926</v>
      </c>
      <c r="CW21" s="6"/>
      <c r="CX21" s="6">
        <f t="shared" si="21"/>
        <v>200</v>
      </c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</row>
    <row r="22" spans="1:117">
      <c r="A22" s="6">
        <v>18</v>
      </c>
      <c r="B22" s="6">
        <v>0</v>
      </c>
      <c r="C22" s="6">
        <v>1049</v>
      </c>
      <c r="D22" s="6">
        <v>301</v>
      </c>
      <c r="E22" s="33" t="s">
        <v>128</v>
      </c>
      <c r="F22" s="148" t="s">
        <v>128</v>
      </c>
      <c r="G22" s="33" t="s">
        <v>128</v>
      </c>
      <c r="H22" s="33" t="s">
        <v>128</v>
      </c>
      <c r="I22" s="33" t="s">
        <v>128</v>
      </c>
      <c r="J22" s="33" t="s">
        <v>128</v>
      </c>
      <c r="K22" s="33" t="s">
        <v>128</v>
      </c>
      <c r="L22" s="33" t="s">
        <v>128</v>
      </c>
      <c r="M22" s="33" t="s">
        <v>128</v>
      </c>
      <c r="N22" s="33" t="s">
        <v>128</v>
      </c>
      <c r="O22" s="33" t="s">
        <v>128</v>
      </c>
      <c r="P22" s="33" t="s">
        <v>128</v>
      </c>
      <c r="Q22" s="33" t="s">
        <v>128</v>
      </c>
      <c r="R22" s="33" t="s">
        <v>128</v>
      </c>
      <c r="S22" s="33" t="s">
        <v>128</v>
      </c>
      <c r="T22" s="33" t="s">
        <v>128</v>
      </c>
      <c r="U22" s="33" t="s">
        <v>128</v>
      </c>
      <c r="V22" s="33" t="s">
        <v>128</v>
      </c>
      <c r="W22" s="33" t="s">
        <v>128</v>
      </c>
      <c r="X22" s="33" t="s">
        <v>128</v>
      </c>
      <c r="Y22" s="33" t="s">
        <v>128</v>
      </c>
      <c r="Z22" s="33" t="s">
        <v>128</v>
      </c>
      <c r="AA22" s="148" t="s">
        <v>307</v>
      </c>
      <c r="AB22" s="6">
        <v>338</v>
      </c>
      <c r="AC22" s="6"/>
      <c r="AD22" s="35">
        <f t="shared" si="0"/>
        <v>338</v>
      </c>
      <c r="AE22" s="6">
        <v>725</v>
      </c>
      <c r="AF22" s="6"/>
      <c r="AG22" s="35">
        <f t="shared" si="1"/>
        <v>387</v>
      </c>
      <c r="AH22" s="35">
        <v>1116</v>
      </c>
      <c r="AI22" s="35"/>
      <c r="AJ22" s="35">
        <f t="shared" si="2"/>
        <v>391</v>
      </c>
      <c r="AK22" s="6">
        <v>1483</v>
      </c>
      <c r="AL22" s="6"/>
      <c r="AM22" s="35">
        <f t="shared" si="3"/>
        <v>367</v>
      </c>
      <c r="AN22" s="6"/>
      <c r="AO22" s="6"/>
      <c r="AP22" s="34"/>
      <c r="AQ22" s="35">
        <v>313</v>
      </c>
      <c r="AR22" s="35">
        <v>1560</v>
      </c>
      <c r="AS22" s="35">
        <f t="shared" si="4"/>
        <v>390</v>
      </c>
      <c r="AT22" s="6">
        <v>692</v>
      </c>
      <c r="AU22" s="6"/>
      <c r="AV22" s="35">
        <f t="shared" si="5"/>
        <v>379</v>
      </c>
      <c r="AW22" s="6">
        <v>1079</v>
      </c>
      <c r="AX22" s="6"/>
      <c r="AY22" s="35">
        <f t="shared" si="6"/>
        <v>387</v>
      </c>
      <c r="AZ22" s="35">
        <v>1469</v>
      </c>
      <c r="BA22" s="35"/>
      <c r="BB22" s="35">
        <f t="shared" si="7"/>
        <v>390</v>
      </c>
      <c r="BC22" s="6">
        <v>298</v>
      </c>
      <c r="BD22" s="6">
        <v>1560</v>
      </c>
      <c r="BE22" s="35">
        <f t="shared" si="8"/>
        <v>389</v>
      </c>
      <c r="BF22" s="6">
        <v>679</v>
      </c>
      <c r="BG22" s="6"/>
      <c r="BH22" s="6">
        <f t="shared" si="9"/>
        <v>381</v>
      </c>
      <c r="BI22" s="6"/>
      <c r="BJ22" s="6"/>
      <c r="BK22" s="6"/>
      <c r="BL22" s="6">
        <v>1070</v>
      </c>
      <c r="BM22" s="6"/>
      <c r="BN22" s="6">
        <f t="shared" si="10"/>
        <v>391</v>
      </c>
      <c r="BO22" s="6">
        <v>1445</v>
      </c>
      <c r="BP22" s="6"/>
      <c r="BQ22" s="35">
        <f t="shared" si="11"/>
        <v>375</v>
      </c>
      <c r="BR22" s="6">
        <v>261</v>
      </c>
      <c r="BS22" s="6">
        <v>1560</v>
      </c>
      <c r="BT22" s="6">
        <f t="shared" si="12"/>
        <v>376</v>
      </c>
      <c r="BU22" s="6">
        <v>643</v>
      </c>
      <c r="BV22" s="6"/>
      <c r="BW22" s="35">
        <f t="shared" si="13"/>
        <v>382</v>
      </c>
      <c r="BX22" s="6">
        <v>1029</v>
      </c>
      <c r="BY22" s="6"/>
      <c r="BZ22" s="6">
        <f t="shared" si="14"/>
        <v>386</v>
      </c>
      <c r="CA22" s="6">
        <v>1397</v>
      </c>
      <c r="CB22" s="6"/>
      <c r="CC22" s="6">
        <f t="shared" si="15"/>
        <v>368</v>
      </c>
      <c r="CD22" s="6"/>
      <c r="CE22" s="6"/>
      <c r="CF22" s="6"/>
      <c r="CG22" s="6">
        <v>241</v>
      </c>
      <c r="CH22" s="6">
        <v>1550</v>
      </c>
      <c r="CI22" s="6">
        <f t="shared" si="16"/>
        <v>394</v>
      </c>
      <c r="CJ22" s="6">
        <v>630</v>
      </c>
      <c r="CK22" s="6"/>
      <c r="CL22" s="6">
        <f t="shared" si="17"/>
        <v>389</v>
      </c>
      <c r="CM22" s="6">
        <v>352</v>
      </c>
      <c r="CN22" s="6">
        <v>661</v>
      </c>
      <c r="CO22" s="6">
        <f t="shared" si="18"/>
        <v>383</v>
      </c>
      <c r="CP22" s="6">
        <v>745</v>
      </c>
      <c r="CQ22" s="6"/>
      <c r="CR22" s="6">
        <f t="shared" si="19"/>
        <v>393</v>
      </c>
      <c r="CS22" s="6">
        <v>0</v>
      </c>
      <c r="CT22" s="6">
        <v>1034</v>
      </c>
      <c r="CU22" s="6">
        <f t="shared" si="20"/>
        <v>289</v>
      </c>
      <c r="CV22" s="6">
        <v>196</v>
      </c>
      <c r="CW22" s="6"/>
      <c r="CX22" s="6">
        <f t="shared" si="21"/>
        <v>196</v>
      </c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</row>
    <row r="23" spans="1:117">
      <c r="A23" s="6">
        <v>19</v>
      </c>
      <c r="B23" s="6">
        <v>1418</v>
      </c>
      <c r="C23" s="6"/>
      <c r="D23" s="6">
        <v>359</v>
      </c>
      <c r="E23" s="33" t="s">
        <v>37</v>
      </c>
      <c r="F23" s="33" t="s">
        <v>37</v>
      </c>
      <c r="G23" s="33" t="s">
        <v>37</v>
      </c>
      <c r="H23" s="33" t="s">
        <v>37</v>
      </c>
      <c r="I23" s="33" t="s">
        <v>37</v>
      </c>
      <c r="J23" s="33" t="s">
        <v>37</v>
      </c>
      <c r="K23" s="33" t="s">
        <v>37</v>
      </c>
      <c r="L23" s="33" t="s">
        <v>37</v>
      </c>
      <c r="M23" s="33" t="s">
        <v>37</v>
      </c>
      <c r="N23" s="33" t="s">
        <v>37</v>
      </c>
      <c r="O23" s="33" t="s">
        <v>37</v>
      </c>
      <c r="P23" s="33" t="s">
        <v>37</v>
      </c>
      <c r="Q23" s="33" t="s">
        <v>37</v>
      </c>
      <c r="R23" s="33" t="s">
        <v>37</v>
      </c>
      <c r="S23" s="148" t="s">
        <v>128</v>
      </c>
      <c r="T23" s="33" t="s">
        <v>128</v>
      </c>
      <c r="U23" s="33" t="s">
        <v>128</v>
      </c>
      <c r="V23" s="33" t="s">
        <v>128</v>
      </c>
      <c r="W23" s="33" t="s">
        <v>128</v>
      </c>
      <c r="X23" s="33" t="s">
        <v>128</v>
      </c>
      <c r="Y23" s="33" t="s">
        <v>128</v>
      </c>
      <c r="Z23" s="33" t="s">
        <v>128</v>
      </c>
      <c r="AA23" s="33" t="s">
        <v>128</v>
      </c>
      <c r="AB23" s="6">
        <v>266</v>
      </c>
      <c r="AC23" s="35">
        <v>1560</v>
      </c>
      <c r="AD23" s="35">
        <f t="shared" si="0"/>
        <v>408</v>
      </c>
      <c r="AE23" s="6">
        <v>652</v>
      </c>
      <c r="AF23" s="35"/>
      <c r="AG23" s="35">
        <f t="shared" si="1"/>
        <v>386</v>
      </c>
      <c r="AH23" s="35">
        <v>1045</v>
      </c>
      <c r="AI23" s="35"/>
      <c r="AJ23" s="35">
        <f t="shared" si="2"/>
        <v>393</v>
      </c>
      <c r="AK23" s="6">
        <v>1414</v>
      </c>
      <c r="AL23" s="6"/>
      <c r="AM23" s="35">
        <f t="shared" si="3"/>
        <v>369</v>
      </c>
      <c r="AN23" s="6"/>
      <c r="AO23" s="6"/>
      <c r="AP23" s="34"/>
      <c r="AQ23" s="35">
        <v>234</v>
      </c>
      <c r="AR23" s="35">
        <v>1560</v>
      </c>
      <c r="AS23" s="35">
        <f t="shared" si="4"/>
        <v>380</v>
      </c>
      <c r="AT23" s="6">
        <v>624</v>
      </c>
      <c r="AU23" s="6"/>
      <c r="AV23" s="35">
        <f t="shared" si="5"/>
        <v>390</v>
      </c>
      <c r="AW23" s="6">
        <v>1013</v>
      </c>
      <c r="AX23" s="6"/>
      <c r="AY23" s="35">
        <f t="shared" si="6"/>
        <v>389</v>
      </c>
      <c r="AZ23" s="35">
        <v>1398</v>
      </c>
      <c r="BA23" s="35"/>
      <c r="BB23" s="35">
        <f t="shared" si="7"/>
        <v>385</v>
      </c>
      <c r="BC23" s="6">
        <v>240</v>
      </c>
      <c r="BD23" s="6">
        <v>1504</v>
      </c>
      <c r="BE23" s="35">
        <f t="shared" si="8"/>
        <v>346</v>
      </c>
      <c r="BF23" s="6">
        <v>609</v>
      </c>
      <c r="BG23" s="6"/>
      <c r="BH23" s="6">
        <f t="shared" si="9"/>
        <v>369</v>
      </c>
      <c r="BI23" s="6"/>
      <c r="BJ23" s="6"/>
      <c r="BK23" s="6"/>
      <c r="BL23" s="6">
        <v>998</v>
      </c>
      <c r="BM23" s="6"/>
      <c r="BN23" s="6">
        <f t="shared" si="10"/>
        <v>389</v>
      </c>
      <c r="BO23" s="6">
        <v>1370</v>
      </c>
      <c r="BP23" s="6"/>
      <c r="BQ23" s="35">
        <f t="shared" si="11"/>
        <v>372</v>
      </c>
      <c r="BR23" s="6">
        <v>0</v>
      </c>
      <c r="BS23" s="6">
        <v>1673</v>
      </c>
      <c r="BT23" s="6">
        <f t="shared" si="12"/>
        <v>303</v>
      </c>
      <c r="BU23" s="6">
        <v>348</v>
      </c>
      <c r="BV23" s="6"/>
      <c r="BW23" s="35">
        <f t="shared" si="13"/>
        <v>348</v>
      </c>
      <c r="BX23" s="6">
        <v>743</v>
      </c>
      <c r="BY23" s="6"/>
      <c r="BZ23" s="6">
        <f t="shared" si="14"/>
        <v>395</v>
      </c>
      <c r="CA23" s="6">
        <v>1113</v>
      </c>
      <c r="CB23" s="6"/>
      <c r="CC23" s="6">
        <f t="shared" si="15"/>
        <v>370</v>
      </c>
      <c r="CD23" s="6"/>
      <c r="CE23" s="6"/>
      <c r="CF23" s="6"/>
      <c r="CG23" s="6">
        <v>1517</v>
      </c>
      <c r="CH23" s="6"/>
      <c r="CI23" s="6">
        <f t="shared" si="16"/>
        <v>404</v>
      </c>
      <c r="CJ23" s="6">
        <v>361</v>
      </c>
      <c r="CK23" s="6">
        <v>1560</v>
      </c>
      <c r="CL23" s="6">
        <f t="shared" si="17"/>
        <v>404</v>
      </c>
      <c r="CM23" s="6">
        <v>758</v>
      </c>
      <c r="CN23" s="6"/>
      <c r="CO23" s="6">
        <f t="shared" si="18"/>
        <v>397</v>
      </c>
      <c r="CP23" s="6">
        <v>197</v>
      </c>
      <c r="CQ23" s="6">
        <v>941</v>
      </c>
      <c r="CR23" s="6">
        <f t="shared" si="19"/>
        <v>380</v>
      </c>
      <c r="CS23" s="6">
        <v>595</v>
      </c>
      <c r="CT23" s="6"/>
      <c r="CU23" s="6">
        <f t="shared" si="20"/>
        <v>398</v>
      </c>
      <c r="CV23" s="6">
        <v>815</v>
      </c>
      <c r="CW23" s="6"/>
      <c r="CX23" s="6">
        <f t="shared" si="21"/>
        <v>220</v>
      </c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</row>
    <row r="24" spans="1:117">
      <c r="A24" s="6">
        <v>20</v>
      </c>
      <c r="B24" s="6">
        <v>977</v>
      </c>
      <c r="C24" s="6"/>
      <c r="D24" s="6">
        <v>352</v>
      </c>
      <c r="E24" s="257" t="s">
        <v>37</v>
      </c>
      <c r="F24" s="257" t="s">
        <v>37</v>
      </c>
      <c r="G24" s="257" t="s">
        <v>37</v>
      </c>
      <c r="H24" s="257" t="s">
        <v>37</v>
      </c>
      <c r="I24" s="256" t="s">
        <v>37</v>
      </c>
      <c r="J24" s="257" t="s">
        <v>37</v>
      </c>
      <c r="K24" s="257" t="s">
        <v>37</v>
      </c>
      <c r="L24" s="257" t="s">
        <v>37</v>
      </c>
      <c r="M24" s="257" t="s">
        <v>37</v>
      </c>
      <c r="N24" s="257" t="s">
        <v>37</v>
      </c>
      <c r="O24" s="257" t="s">
        <v>37</v>
      </c>
      <c r="P24" s="257" t="s">
        <v>37</v>
      </c>
      <c r="Q24" s="257" t="s">
        <v>37</v>
      </c>
      <c r="R24" s="257" t="s">
        <v>37</v>
      </c>
      <c r="S24" s="257" t="s">
        <v>37</v>
      </c>
      <c r="T24" s="257" t="s">
        <v>37</v>
      </c>
      <c r="U24" s="257" t="s">
        <v>37</v>
      </c>
      <c r="V24" s="257" t="s">
        <v>37</v>
      </c>
      <c r="W24" s="257" t="s">
        <v>37</v>
      </c>
      <c r="X24" s="257" t="s">
        <v>37</v>
      </c>
      <c r="Y24" s="257" t="s">
        <v>37</v>
      </c>
      <c r="Z24" s="257" t="s">
        <v>37</v>
      </c>
      <c r="AA24" s="257" t="s">
        <v>37</v>
      </c>
      <c r="AB24" s="6">
        <v>1389</v>
      </c>
      <c r="AC24" s="6"/>
      <c r="AD24" s="35">
        <f t="shared" si="0"/>
        <v>412</v>
      </c>
      <c r="AE24" s="6">
        <v>204</v>
      </c>
      <c r="AF24" s="6">
        <v>1560</v>
      </c>
      <c r="AG24" s="35">
        <f t="shared" si="1"/>
        <v>375</v>
      </c>
      <c r="AH24" s="35">
        <v>0</v>
      </c>
      <c r="AI24" s="35">
        <v>507</v>
      </c>
      <c r="AJ24" s="35">
        <f t="shared" si="2"/>
        <v>303</v>
      </c>
      <c r="AK24" s="35">
        <v>336</v>
      </c>
      <c r="AL24" s="6"/>
      <c r="AM24" s="35">
        <f t="shared" si="3"/>
        <v>336</v>
      </c>
      <c r="AN24" s="6"/>
      <c r="AO24" s="6"/>
      <c r="AP24" s="34"/>
      <c r="AQ24" s="35">
        <v>723</v>
      </c>
      <c r="AR24" s="35"/>
      <c r="AS24" s="35">
        <f t="shared" si="4"/>
        <v>387</v>
      </c>
      <c r="AT24" s="6">
        <v>1104</v>
      </c>
      <c r="AU24" s="6"/>
      <c r="AV24" s="35">
        <f t="shared" si="5"/>
        <v>381</v>
      </c>
      <c r="AW24" s="6">
        <v>302</v>
      </c>
      <c r="AX24" s="6">
        <v>1186</v>
      </c>
      <c r="AY24" s="35">
        <f t="shared" si="6"/>
        <v>384</v>
      </c>
      <c r="AZ24" s="35">
        <v>688</v>
      </c>
      <c r="BA24" s="35"/>
      <c r="BB24" s="35">
        <f t="shared" si="7"/>
        <v>386</v>
      </c>
      <c r="BC24" s="6">
        <v>1080</v>
      </c>
      <c r="BD24" s="6"/>
      <c r="BE24" s="35">
        <f t="shared" si="8"/>
        <v>392</v>
      </c>
      <c r="BF24" s="6">
        <v>1461</v>
      </c>
      <c r="BG24" s="6"/>
      <c r="BH24" s="6">
        <f t="shared" si="9"/>
        <v>381</v>
      </c>
      <c r="BI24" s="6"/>
      <c r="BJ24" s="6"/>
      <c r="BK24" s="6"/>
      <c r="BL24" s="6">
        <v>302</v>
      </c>
      <c r="BM24" s="6">
        <v>1560</v>
      </c>
      <c r="BN24" s="6">
        <f t="shared" si="10"/>
        <v>401</v>
      </c>
      <c r="BO24" s="6">
        <v>683</v>
      </c>
      <c r="BP24" s="6"/>
      <c r="BQ24" s="35">
        <f t="shared" si="11"/>
        <v>381</v>
      </c>
      <c r="BR24" s="6">
        <v>1082</v>
      </c>
      <c r="BS24" s="6"/>
      <c r="BT24" s="6">
        <f t="shared" si="12"/>
        <v>399</v>
      </c>
      <c r="BU24" s="6">
        <v>1472</v>
      </c>
      <c r="BV24" s="6"/>
      <c r="BW24" s="35">
        <f t="shared" si="13"/>
        <v>390</v>
      </c>
      <c r="BX24" s="6">
        <v>311</v>
      </c>
      <c r="BY24" s="6">
        <v>1560</v>
      </c>
      <c r="BZ24" s="6">
        <f t="shared" si="14"/>
        <v>399</v>
      </c>
      <c r="CA24" s="6">
        <v>684</v>
      </c>
      <c r="CB24" s="6"/>
      <c r="CC24" s="6">
        <f t="shared" si="15"/>
        <v>373</v>
      </c>
      <c r="CD24" s="6"/>
      <c r="CE24" s="6"/>
      <c r="CF24" s="6"/>
      <c r="CG24" s="6">
        <v>1092</v>
      </c>
      <c r="CH24" s="6"/>
      <c r="CI24" s="6">
        <f t="shared" si="16"/>
        <v>408</v>
      </c>
      <c r="CJ24" s="6">
        <v>1477</v>
      </c>
      <c r="CK24" s="6"/>
      <c r="CL24" s="6">
        <f t="shared" si="17"/>
        <v>385</v>
      </c>
      <c r="CM24" s="6">
        <v>292</v>
      </c>
      <c r="CN24" s="6">
        <v>1560</v>
      </c>
      <c r="CO24" s="6">
        <f t="shared" si="18"/>
        <v>375</v>
      </c>
      <c r="CP24" s="6">
        <v>678</v>
      </c>
      <c r="CQ24" s="6"/>
      <c r="CR24" s="6">
        <f t="shared" si="19"/>
        <v>386</v>
      </c>
      <c r="CS24" s="6">
        <v>1066</v>
      </c>
      <c r="CT24" s="6"/>
      <c r="CU24" s="6">
        <f t="shared" si="20"/>
        <v>388</v>
      </c>
      <c r="CV24" s="6">
        <v>1273</v>
      </c>
      <c r="CW24" s="6"/>
      <c r="CX24" s="6">
        <f t="shared" si="21"/>
        <v>207</v>
      </c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</row>
    <row r="25" spans="1:117">
      <c r="A25" s="6">
        <v>21</v>
      </c>
      <c r="B25" s="6">
        <v>803</v>
      </c>
      <c r="C25" s="6"/>
      <c r="D25" s="6">
        <v>327</v>
      </c>
      <c r="E25" s="33" t="s">
        <v>37</v>
      </c>
      <c r="F25" s="33" t="s">
        <v>37</v>
      </c>
      <c r="G25" s="33" t="s">
        <v>37</v>
      </c>
      <c r="H25" s="33" t="s">
        <v>37</v>
      </c>
      <c r="I25" s="33" t="s">
        <v>37</v>
      </c>
      <c r="J25" s="33" t="s">
        <v>37</v>
      </c>
      <c r="K25" s="33" t="s">
        <v>37</v>
      </c>
      <c r="L25" s="33" t="s">
        <v>37</v>
      </c>
      <c r="M25" s="33" t="s">
        <v>37</v>
      </c>
      <c r="N25" s="33" t="s">
        <v>37</v>
      </c>
      <c r="O25" s="33" t="s">
        <v>37</v>
      </c>
      <c r="P25" s="33" t="s">
        <v>37</v>
      </c>
      <c r="Q25" s="33" t="s">
        <v>37</v>
      </c>
      <c r="R25" s="33" t="s">
        <v>37</v>
      </c>
      <c r="S25" s="33" t="s">
        <v>37</v>
      </c>
      <c r="T25" s="33" t="s">
        <v>37</v>
      </c>
      <c r="U25" s="148" t="s">
        <v>307</v>
      </c>
      <c r="V25" s="33" t="s">
        <v>307</v>
      </c>
      <c r="W25" s="33" t="s">
        <v>307</v>
      </c>
      <c r="X25" s="33" t="s">
        <v>307</v>
      </c>
      <c r="Y25" s="33" t="s">
        <v>307</v>
      </c>
      <c r="Z25" s="33" t="s">
        <v>307</v>
      </c>
      <c r="AA25" s="33" t="s">
        <v>307</v>
      </c>
      <c r="AB25" s="6">
        <v>1178</v>
      </c>
      <c r="AC25" s="6"/>
      <c r="AD25" s="35">
        <f t="shared" si="0"/>
        <v>375</v>
      </c>
      <c r="AE25" s="6">
        <v>323</v>
      </c>
      <c r="AF25" s="6">
        <v>1212</v>
      </c>
      <c r="AG25" s="35">
        <f t="shared" si="1"/>
        <v>357</v>
      </c>
      <c r="AH25" s="35">
        <v>699</v>
      </c>
      <c r="AI25" s="35"/>
      <c r="AJ25" s="35">
        <f t="shared" si="2"/>
        <v>376</v>
      </c>
      <c r="AK25" s="6">
        <v>1047</v>
      </c>
      <c r="AL25" s="6"/>
      <c r="AM25" s="35">
        <f t="shared" si="3"/>
        <v>348</v>
      </c>
      <c r="AN25" s="6"/>
      <c r="AO25" s="6"/>
      <c r="AP25" s="34"/>
      <c r="AQ25" s="35">
        <v>1417</v>
      </c>
      <c r="AR25" s="35"/>
      <c r="AS25" s="35">
        <f t="shared" si="4"/>
        <v>370</v>
      </c>
      <c r="AT25" s="6">
        <v>260</v>
      </c>
      <c r="AU25" s="6">
        <v>1527</v>
      </c>
      <c r="AV25" s="35">
        <f t="shared" si="5"/>
        <v>370</v>
      </c>
      <c r="AW25" s="6">
        <v>625</v>
      </c>
      <c r="AX25" s="6"/>
      <c r="AY25" s="35">
        <f t="shared" si="6"/>
        <v>365</v>
      </c>
      <c r="AZ25" s="35">
        <v>997</v>
      </c>
      <c r="BA25" s="35"/>
      <c r="BB25" s="35">
        <f t="shared" si="7"/>
        <v>372</v>
      </c>
      <c r="BC25" s="6">
        <v>1366</v>
      </c>
      <c r="BD25" s="6"/>
      <c r="BE25" s="35">
        <f t="shared" si="8"/>
        <v>369</v>
      </c>
      <c r="BF25" s="6">
        <v>165</v>
      </c>
      <c r="BG25" s="6">
        <v>1560</v>
      </c>
      <c r="BH25" s="6">
        <f t="shared" si="9"/>
        <v>359</v>
      </c>
      <c r="BI25" s="6"/>
      <c r="BJ25" s="6"/>
      <c r="BK25" s="6"/>
      <c r="BL25" s="6">
        <v>92</v>
      </c>
      <c r="BM25" s="6">
        <v>424</v>
      </c>
      <c r="BN25" s="6">
        <f t="shared" si="10"/>
        <v>351</v>
      </c>
      <c r="BO25" s="6">
        <v>450</v>
      </c>
      <c r="BP25" s="6"/>
      <c r="BQ25" s="35">
        <f t="shared" si="11"/>
        <v>358</v>
      </c>
      <c r="BR25" s="6">
        <v>810</v>
      </c>
      <c r="BS25" s="6"/>
      <c r="BT25" s="6">
        <f t="shared" si="12"/>
        <v>360</v>
      </c>
      <c r="BU25" s="6">
        <v>1186</v>
      </c>
      <c r="BV25" s="6"/>
      <c r="BW25" s="35">
        <f t="shared" si="13"/>
        <v>376</v>
      </c>
      <c r="BX25" s="6">
        <v>0</v>
      </c>
      <c r="BY25" s="6">
        <v>1573</v>
      </c>
      <c r="BZ25" s="6">
        <f t="shared" si="14"/>
        <v>387</v>
      </c>
      <c r="CA25" s="6">
        <v>316</v>
      </c>
      <c r="CB25" s="6"/>
      <c r="CC25" s="6">
        <f t="shared" si="15"/>
        <v>316</v>
      </c>
      <c r="CD25" s="6"/>
      <c r="CE25" s="6"/>
      <c r="CF25" s="6"/>
      <c r="CG25" s="6">
        <v>659</v>
      </c>
      <c r="CH25" s="6"/>
      <c r="CI25" s="6">
        <f t="shared" si="16"/>
        <v>343</v>
      </c>
      <c r="CJ25" s="6">
        <v>1020</v>
      </c>
      <c r="CK25" s="6"/>
      <c r="CL25" s="6">
        <f t="shared" si="17"/>
        <v>361</v>
      </c>
      <c r="CM25" s="6">
        <v>1369</v>
      </c>
      <c r="CN25" s="6"/>
      <c r="CO25" s="6">
        <f t="shared" si="18"/>
        <v>349</v>
      </c>
      <c r="CP25" s="6">
        <v>176</v>
      </c>
      <c r="CQ25" s="6">
        <v>1560</v>
      </c>
      <c r="CR25" s="6">
        <f t="shared" si="19"/>
        <v>367</v>
      </c>
      <c r="CS25" s="6">
        <v>559</v>
      </c>
      <c r="CT25" s="6"/>
      <c r="CU25" s="6">
        <f t="shared" si="20"/>
        <v>383</v>
      </c>
      <c r="CV25" s="6">
        <v>766</v>
      </c>
      <c r="CW25" s="6"/>
      <c r="CX25" s="6">
        <f t="shared" si="21"/>
        <v>207</v>
      </c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</row>
    <row r="26" spans="1:117">
      <c r="A26" s="6">
        <v>22</v>
      </c>
      <c r="B26" s="6">
        <v>73</v>
      </c>
      <c r="C26" s="6">
        <v>1560</v>
      </c>
      <c r="D26" s="6">
        <v>354</v>
      </c>
      <c r="E26" s="33" t="s">
        <v>37</v>
      </c>
      <c r="F26" s="33" t="s">
        <v>37</v>
      </c>
      <c r="G26" s="33" t="s">
        <v>37</v>
      </c>
      <c r="H26" s="33" t="s">
        <v>37</v>
      </c>
      <c r="I26" s="33" t="s">
        <v>37</v>
      </c>
      <c r="J26" s="33" t="s">
        <v>37</v>
      </c>
      <c r="K26" s="33" t="s">
        <v>37</v>
      </c>
      <c r="L26" s="33" t="s">
        <v>37</v>
      </c>
      <c r="M26" s="33" t="s">
        <v>37</v>
      </c>
      <c r="N26" s="33" t="s">
        <v>37</v>
      </c>
      <c r="O26" s="33" t="s">
        <v>37</v>
      </c>
      <c r="P26" s="33" t="s">
        <v>37</v>
      </c>
      <c r="Q26" s="33" t="s">
        <v>37</v>
      </c>
      <c r="R26" s="33" t="s">
        <v>37</v>
      </c>
      <c r="S26" s="148" t="s">
        <v>128</v>
      </c>
      <c r="T26" s="33" t="s">
        <v>128</v>
      </c>
      <c r="U26" s="33" t="s">
        <v>128</v>
      </c>
      <c r="V26" s="33" t="s">
        <v>128</v>
      </c>
      <c r="W26" s="33" t="s">
        <v>128</v>
      </c>
      <c r="X26" s="33" t="s">
        <v>128</v>
      </c>
      <c r="Y26" s="33" t="s">
        <v>128</v>
      </c>
      <c r="Z26" s="33" t="s">
        <v>128</v>
      </c>
      <c r="AA26" s="33" t="s">
        <v>128</v>
      </c>
      <c r="AB26" s="6">
        <v>481</v>
      </c>
      <c r="AC26" s="6"/>
      <c r="AD26" s="35">
        <f t="shared" si="0"/>
        <v>408</v>
      </c>
      <c r="AE26" s="6">
        <v>862</v>
      </c>
      <c r="AF26" s="6"/>
      <c r="AG26" s="35">
        <f t="shared" si="1"/>
        <v>381</v>
      </c>
      <c r="AH26" s="35">
        <v>1243</v>
      </c>
      <c r="AI26" s="35"/>
      <c r="AJ26" s="35">
        <f t="shared" si="2"/>
        <v>381</v>
      </c>
      <c r="AK26" s="6">
        <v>47</v>
      </c>
      <c r="AL26" s="6">
        <v>1560</v>
      </c>
      <c r="AM26" s="35">
        <f t="shared" si="3"/>
        <v>364</v>
      </c>
      <c r="AN26" s="6"/>
      <c r="AO26" s="6"/>
      <c r="AP26" s="34"/>
      <c r="AQ26" s="35">
        <v>433</v>
      </c>
      <c r="AR26" s="35"/>
      <c r="AS26" s="35">
        <f t="shared" si="4"/>
        <v>386</v>
      </c>
      <c r="AT26" s="6">
        <v>126</v>
      </c>
      <c r="AU26" s="6">
        <v>683</v>
      </c>
      <c r="AV26" s="35">
        <f t="shared" si="5"/>
        <v>376</v>
      </c>
      <c r="AW26" s="6">
        <v>515</v>
      </c>
      <c r="AX26" s="6"/>
      <c r="AY26" s="35">
        <f t="shared" si="6"/>
        <v>389</v>
      </c>
      <c r="AZ26" s="35">
        <v>899</v>
      </c>
      <c r="BA26" s="35"/>
      <c r="BB26" s="35">
        <f t="shared" si="7"/>
        <v>384</v>
      </c>
      <c r="BC26" s="6">
        <v>161</v>
      </c>
      <c r="BD26" s="6">
        <v>1120</v>
      </c>
      <c r="BE26" s="35">
        <f t="shared" si="8"/>
        <v>382</v>
      </c>
      <c r="BF26" s="6">
        <v>543</v>
      </c>
      <c r="BG26" s="6"/>
      <c r="BH26" s="6">
        <f t="shared" si="9"/>
        <v>382</v>
      </c>
      <c r="BI26" s="6"/>
      <c r="BJ26" s="6"/>
      <c r="BK26" s="6"/>
      <c r="BL26" s="6">
        <v>938</v>
      </c>
      <c r="BM26" s="6"/>
      <c r="BN26" s="6">
        <f t="shared" si="10"/>
        <v>395</v>
      </c>
      <c r="BO26" s="6">
        <v>1317</v>
      </c>
      <c r="BP26" s="6"/>
      <c r="BQ26" s="35">
        <f t="shared" si="11"/>
        <v>379</v>
      </c>
      <c r="BR26" s="6">
        <v>0</v>
      </c>
      <c r="BS26" s="6">
        <v>1657</v>
      </c>
      <c r="BT26" s="6">
        <f t="shared" si="12"/>
        <v>340</v>
      </c>
      <c r="BU26" s="6">
        <v>361</v>
      </c>
      <c r="BV26" s="6"/>
      <c r="BW26" s="35">
        <f t="shared" si="13"/>
        <v>361</v>
      </c>
      <c r="BX26" s="6">
        <v>760</v>
      </c>
      <c r="BY26" s="6"/>
      <c r="BZ26" s="6">
        <f t="shared" si="14"/>
        <v>399</v>
      </c>
      <c r="CA26" s="6">
        <v>1130</v>
      </c>
      <c r="CB26" s="6"/>
      <c r="CC26" s="6">
        <f t="shared" si="15"/>
        <v>370</v>
      </c>
      <c r="CD26" s="6"/>
      <c r="CE26" s="6"/>
      <c r="CF26" s="6"/>
      <c r="CG26" s="6">
        <v>1530</v>
      </c>
      <c r="CH26" s="6"/>
      <c r="CI26" s="6">
        <f t="shared" si="16"/>
        <v>400</v>
      </c>
      <c r="CJ26" s="6">
        <v>363</v>
      </c>
      <c r="CK26" s="6">
        <v>1561</v>
      </c>
      <c r="CL26" s="6">
        <f t="shared" si="17"/>
        <v>394</v>
      </c>
      <c r="CM26" s="6">
        <v>764</v>
      </c>
      <c r="CN26" s="6"/>
      <c r="CO26" s="6">
        <f t="shared" si="18"/>
        <v>401</v>
      </c>
      <c r="CP26" s="6">
        <v>1171</v>
      </c>
      <c r="CQ26" s="6"/>
      <c r="CR26" s="6">
        <f t="shared" si="19"/>
        <v>407</v>
      </c>
      <c r="CS26" s="6">
        <v>12</v>
      </c>
      <c r="CT26" s="6">
        <v>1560</v>
      </c>
      <c r="CU26" s="6">
        <f t="shared" si="20"/>
        <v>401</v>
      </c>
      <c r="CV26" s="6">
        <v>232</v>
      </c>
      <c r="CW26" s="6"/>
      <c r="CX26" s="6">
        <f t="shared" si="21"/>
        <v>220</v>
      </c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</row>
    <row r="27" spans="1:117">
      <c r="A27" s="6">
        <v>23</v>
      </c>
      <c r="B27" s="6">
        <v>329</v>
      </c>
      <c r="C27" s="6"/>
      <c r="D27" s="6">
        <v>329</v>
      </c>
      <c r="E27" s="148" t="s">
        <v>37</v>
      </c>
      <c r="F27" s="33" t="s">
        <v>37</v>
      </c>
      <c r="G27" s="33" t="s">
        <v>37</v>
      </c>
      <c r="H27" s="33" t="s">
        <v>37</v>
      </c>
      <c r="I27" s="33" t="s">
        <v>37</v>
      </c>
      <c r="J27" s="33" t="s">
        <v>37</v>
      </c>
      <c r="K27" s="33" t="s">
        <v>37</v>
      </c>
      <c r="L27" s="33" t="s">
        <v>37</v>
      </c>
      <c r="M27" s="33" t="s">
        <v>37</v>
      </c>
      <c r="N27" s="33" t="s">
        <v>37</v>
      </c>
      <c r="O27" s="33" t="s">
        <v>37</v>
      </c>
      <c r="P27" s="33" t="s">
        <v>37</v>
      </c>
      <c r="Q27" s="33" t="s">
        <v>37</v>
      </c>
      <c r="R27" s="33" t="s">
        <v>37</v>
      </c>
      <c r="S27" s="33" t="s">
        <v>37</v>
      </c>
      <c r="T27" s="33" t="s">
        <v>37</v>
      </c>
      <c r="U27" s="33" t="s">
        <v>37</v>
      </c>
      <c r="V27" s="33" t="s">
        <v>37</v>
      </c>
      <c r="W27" s="33" t="s">
        <v>37</v>
      </c>
      <c r="X27" s="33" t="s">
        <v>37</v>
      </c>
      <c r="Y27" s="33" t="s">
        <v>37</v>
      </c>
      <c r="Z27" s="148" t="s">
        <v>307</v>
      </c>
      <c r="AA27" s="33" t="s">
        <v>307</v>
      </c>
      <c r="AB27" s="35">
        <v>735</v>
      </c>
      <c r="AC27" s="35"/>
      <c r="AD27" s="35">
        <f t="shared" si="0"/>
        <v>406</v>
      </c>
      <c r="AE27" s="35">
        <v>27</v>
      </c>
      <c r="AF27" s="35">
        <v>1071</v>
      </c>
      <c r="AG27" s="35">
        <f t="shared" si="1"/>
        <v>363</v>
      </c>
      <c r="AH27" s="35">
        <v>419</v>
      </c>
      <c r="AI27" s="35"/>
      <c r="AJ27" s="35">
        <f t="shared" si="2"/>
        <v>392</v>
      </c>
      <c r="AK27" s="35">
        <v>786</v>
      </c>
      <c r="AL27" s="35"/>
      <c r="AM27" s="35">
        <f t="shared" si="3"/>
        <v>367</v>
      </c>
      <c r="AN27" s="35"/>
      <c r="AO27" s="35"/>
      <c r="AP27" s="34"/>
      <c r="AQ27" s="35">
        <v>1168</v>
      </c>
      <c r="AR27" s="35"/>
      <c r="AS27" s="35">
        <f t="shared" si="4"/>
        <v>382</v>
      </c>
      <c r="AT27" s="6">
        <v>1</v>
      </c>
      <c r="AU27" s="6">
        <v>1560</v>
      </c>
      <c r="AV27" s="35">
        <f t="shared" si="5"/>
        <v>393</v>
      </c>
      <c r="AW27" s="35">
        <v>387</v>
      </c>
      <c r="AX27" s="35"/>
      <c r="AY27" s="35">
        <f t="shared" si="6"/>
        <v>386</v>
      </c>
      <c r="AZ27" s="35">
        <v>757</v>
      </c>
      <c r="BA27" s="35"/>
      <c r="BB27" s="35">
        <f t="shared" si="7"/>
        <v>370</v>
      </c>
      <c r="BC27" s="35">
        <v>1151</v>
      </c>
      <c r="BD27" s="35"/>
      <c r="BE27" s="35">
        <f t="shared" si="8"/>
        <v>394</v>
      </c>
      <c r="BF27" s="35">
        <v>1534</v>
      </c>
      <c r="BG27" s="35"/>
      <c r="BH27" s="6">
        <f t="shared" si="9"/>
        <v>383</v>
      </c>
      <c r="BI27" s="35"/>
      <c r="BJ27" s="35"/>
      <c r="BK27" s="6"/>
      <c r="BL27" s="35">
        <v>369</v>
      </c>
      <c r="BM27" s="35">
        <v>1560</v>
      </c>
      <c r="BN27" s="6">
        <f t="shared" si="10"/>
        <v>395</v>
      </c>
      <c r="BO27" s="6">
        <v>753</v>
      </c>
      <c r="BP27" s="6"/>
      <c r="BQ27" s="35">
        <f t="shared" si="11"/>
        <v>384</v>
      </c>
      <c r="BR27" s="35">
        <v>1146</v>
      </c>
      <c r="BS27" s="35"/>
      <c r="BT27" s="6">
        <f t="shared" si="12"/>
        <v>393</v>
      </c>
      <c r="BU27" s="35">
        <v>1535</v>
      </c>
      <c r="BV27" s="6"/>
      <c r="BW27" s="35">
        <f t="shared" si="13"/>
        <v>389</v>
      </c>
      <c r="BX27" s="35">
        <v>358</v>
      </c>
      <c r="BY27" s="35">
        <v>1560</v>
      </c>
      <c r="BZ27" s="6">
        <f t="shared" si="14"/>
        <v>383</v>
      </c>
      <c r="CA27" s="35">
        <v>733</v>
      </c>
      <c r="CB27" s="35"/>
      <c r="CC27" s="6">
        <f t="shared" si="15"/>
        <v>375</v>
      </c>
      <c r="CD27" s="6"/>
      <c r="CE27" s="35"/>
      <c r="CF27" s="6"/>
      <c r="CG27" s="6">
        <v>1133</v>
      </c>
      <c r="CH27" s="6"/>
      <c r="CI27" s="6">
        <f t="shared" si="16"/>
        <v>400</v>
      </c>
      <c r="CJ27" s="6">
        <v>1524</v>
      </c>
      <c r="CK27" s="6"/>
      <c r="CL27" s="6">
        <f t="shared" si="17"/>
        <v>391</v>
      </c>
      <c r="CM27" s="6">
        <v>344</v>
      </c>
      <c r="CN27" s="6">
        <v>1560</v>
      </c>
      <c r="CO27" s="6">
        <f t="shared" si="18"/>
        <v>380</v>
      </c>
      <c r="CP27" s="6">
        <v>0</v>
      </c>
      <c r="CQ27" s="6">
        <v>549</v>
      </c>
      <c r="CR27" s="6">
        <f t="shared" si="19"/>
        <v>205</v>
      </c>
      <c r="CS27" s="6">
        <v>369</v>
      </c>
      <c r="CT27" s="6"/>
      <c r="CU27" s="6">
        <f t="shared" si="20"/>
        <v>369</v>
      </c>
      <c r="CV27" s="6">
        <v>583</v>
      </c>
      <c r="CW27" s="6"/>
      <c r="CX27" s="6">
        <f t="shared" si="21"/>
        <v>214</v>
      </c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</row>
    <row r="28" spans="1:117">
      <c r="A28" s="6">
        <v>24</v>
      </c>
      <c r="B28" s="6">
        <v>0</v>
      </c>
      <c r="C28" s="6">
        <v>1556</v>
      </c>
      <c r="D28" s="6">
        <v>168</v>
      </c>
      <c r="E28" s="33" t="s">
        <v>37</v>
      </c>
      <c r="F28" s="148" t="s">
        <v>37</v>
      </c>
      <c r="G28" s="33" t="s">
        <v>37</v>
      </c>
      <c r="H28" s="33" t="s">
        <v>37</v>
      </c>
      <c r="I28" s="33" t="s">
        <v>37</v>
      </c>
      <c r="J28" s="33" t="s">
        <v>37</v>
      </c>
      <c r="K28" s="33" t="s">
        <v>37</v>
      </c>
      <c r="L28" s="33" t="s">
        <v>37</v>
      </c>
      <c r="M28" s="33" t="s">
        <v>37</v>
      </c>
      <c r="N28" s="33" t="s">
        <v>37</v>
      </c>
      <c r="O28" s="33" t="s">
        <v>37</v>
      </c>
      <c r="P28" s="33" t="s">
        <v>37</v>
      </c>
      <c r="Q28" s="33" t="s">
        <v>37</v>
      </c>
      <c r="R28" s="33" t="s">
        <v>37</v>
      </c>
      <c r="S28" s="33" t="s">
        <v>37</v>
      </c>
      <c r="T28" s="33" t="s">
        <v>37</v>
      </c>
      <c r="U28" s="33" t="s">
        <v>37</v>
      </c>
      <c r="V28" s="33" t="s">
        <v>37</v>
      </c>
      <c r="W28" s="33" t="s">
        <v>37</v>
      </c>
      <c r="X28" s="33" t="s">
        <v>37</v>
      </c>
      <c r="Y28" s="33" t="s">
        <v>37</v>
      </c>
      <c r="Z28" s="33" t="s">
        <v>37</v>
      </c>
      <c r="AA28" s="148" t="s">
        <v>37</v>
      </c>
      <c r="AB28" s="6">
        <v>366</v>
      </c>
      <c r="AC28" s="6"/>
      <c r="AD28" s="35">
        <f t="shared" si="0"/>
        <v>366</v>
      </c>
      <c r="AE28" s="6">
        <v>756</v>
      </c>
      <c r="AF28" s="6"/>
      <c r="AG28" s="35">
        <f t="shared" si="1"/>
        <v>390</v>
      </c>
      <c r="AH28" s="35">
        <v>1153</v>
      </c>
      <c r="AI28" s="35"/>
      <c r="AJ28" s="35">
        <f t="shared" si="2"/>
        <v>397</v>
      </c>
      <c r="AK28" s="6">
        <v>1525</v>
      </c>
      <c r="AL28" s="6"/>
      <c r="AM28" s="35">
        <f t="shared" si="3"/>
        <v>372</v>
      </c>
      <c r="AN28" s="6"/>
      <c r="AO28" s="6"/>
      <c r="AP28" s="34"/>
      <c r="AQ28" s="35">
        <v>357</v>
      </c>
      <c r="AR28" s="35">
        <v>1560</v>
      </c>
      <c r="AS28" s="35">
        <f t="shared" si="4"/>
        <v>392</v>
      </c>
      <c r="AT28" s="6">
        <v>744</v>
      </c>
      <c r="AU28" s="6"/>
      <c r="AV28" s="35">
        <f t="shared" si="5"/>
        <v>387</v>
      </c>
      <c r="AW28" s="6">
        <v>321</v>
      </c>
      <c r="AX28" s="6">
        <v>804</v>
      </c>
      <c r="AY28" s="35">
        <f t="shared" si="6"/>
        <v>381</v>
      </c>
      <c r="AZ28" s="6">
        <v>712</v>
      </c>
      <c r="BA28" s="6"/>
      <c r="BB28" s="35">
        <f t="shared" si="7"/>
        <v>391</v>
      </c>
      <c r="BC28" s="6">
        <v>1106</v>
      </c>
      <c r="BD28" s="6"/>
      <c r="BE28" s="35">
        <f t="shared" si="8"/>
        <v>394</v>
      </c>
      <c r="BF28" s="6">
        <v>14</v>
      </c>
      <c r="BG28" s="6">
        <v>1466</v>
      </c>
      <c r="BH28" s="6">
        <f t="shared" si="9"/>
        <v>374</v>
      </c>
      <c r="BI28" s="6"/>
      <c r="BJ28" s="35"/>
      <c r="BK28" s="6"/>
      <c r="BL28" s="6">
        <v>414</v>
      </c>
      <c r="BM28" s="6"/>
      <c r="BN28" s="6">
        <f t="shared" si="10"/>
        <v>400</v>
      </c>
      <c r="BO28" s="6">
        <v>800</v>
      </c>
      <c r="BP28" s="6"/>
      <c r="BQ28" s="35">
        <f t="shared" si="11"/>
        <v>386</v>
      </c>
      <c r="BR28" s="6">
        <v>190</v>
      </c>
      <c r="BS28" s="6">
        <v>994</v>
      </c>
      <c r="BT28" s="6">
        <f t="shared" si="12"/>
        <v>384</v>
      </c>
      <c r="BU28" s="6">
        <v>578</v>
      </c>
      <c r="BV28" s="6"/>
      <c r="BW28" s="35">
        <f t="shared" si="13"/>
        <v>388</v>
      </c>
      <c r="BX28" s="6">
        <v>974</v>
      </c>
      <c r="BY28" s="35"/>
      <c r="BZ28" s="6">
        <f t="shared" si="14"/>
        <v>396</v>
      </c>
      <c r="CA28" s="6">
        <v>1322</v>
      </c>
      <c r="CB28" s="6"/>
      <c r="CC28" s="6">
        <f t="shared" si="15"/>
        <v>348</v>
      </c>
      <c r="CD28" s="6"/>
      <c r="CE28" s="35"/>
      <c r="CF28" s="6"/>
      <c r="CG28" s="6">
        <v>146</v>
      </c>
      <c r="CH28" s="6">
        <v>1560</v>
      </c>
      <c r="CI28" s="6">
        <f t="shared" si="16"/>
        <v>384</v>
      </c>
      <c r="CJ28" s="6">
        <v>538</v>
      </c>
      <c r="CK28" s="6"/>
      <c r="CL28" s="6">
        <f t="shared" si="17"/>
        <v>392</v>
      </c>
      <c r="CM28" s="6">
        <v>920</v>
      </c>
      <c r="CN28" s="6"/>
      <c r="CO28" s="6">
        <f t="shared" si="18"/>
        <v>382</v>
      </c>
      <c r="CP28" s="6">
        <v>1307</v>
      </c>
      <c r="CQ28" s="6"/>
      <c r="CR28" s="6">
        <f t="shared" si="19"/>
        <v>387</v>
      </c>
      <c r="CS28" s="6">
        <v>0</v>
      </c>
      <c r="CT28" s="6">
        <v>1560</v>
      </c>
      <c r="CU28" s="6">
        <f t="shared" si="20"/>
        <v>253</v>
      </c>
      <c r="CV28" s="6">
        <v>176</v>
      </c>
      <c r="CW28" s="6"/>
      <c r="CX28" s="6">
        <f t="shared" si="21"/>
        <v>176</v>
      </c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</row>
    <row r="29" spans="1:117">
      <c r="A29" s="6">
        <v>25</v>
      </c>
      <c r="B29" s="6">
        <v>313</v>
      </c>
      <c r="C29" s="6">
        <v>1560</v>
      </c>
      <c r="D29" s="6">
        <v>359</v>
      </c>
      <c r="E29" s="33" t="s">
        <v>37</v>
      </c>
      <c r="F29" s="33" t="s">
        <v>37</v>
      </c>
      <c r="G29" s="33" t="s">
        <v>37</v>
      </c>
      <c r="H29" s="33" t="s">
        <v>37</v>
      </c>
      <c r="I29" s="33" t="s">
        <v>37</v>
      </c>
      <c r="J29" s="33" t="s">
        <v>37</v>
      </c>
      <c r="K29" s="33" t="s">
        <v>37</v>
      </c>
      <c r="L29" s="33" t="s">
        <v>37</v>
      </c>
      <c r="M29" s="33" t="s">
        <v>37</v>
      </c>
      <c r="N29" s="33" t="s">
        <v>37</v>
      </c>
      <c r="O29" s="33" t="s">
        <v>37</v>
      </c>
      <c r="P29" s="33" t="s">
        <v>37</v>
      </c>
      <c r="Q29" s="33" t="s">
        <v>37</v>
      </c>
      <c r="R29" s="33" t="s">
        <v>37</v>
      </c>
      <c r="S29" s="33" t="s">
        <v>37</v>
      </c>
      <c r="T29" s="33" t="s">
        <v>37</v>
      </c>
      <c r="U29" s="33" t="s">
        <v>37</v>
      </c>
      <c r="V29" s="148" t="s">
        <v>307</v>
      </c>
      <c r="W29" s="33" t="s">
        <v>307</v>
      </c>
      <c r="X29" s="33" t="s">
        <v>307</v>
      </c>
      <c r="Y29" s="33" t="s">
        <v>307</v>
      </c>
      <c r="Z29" s="33" t="s">
        <v>307</v>
      </c>
      <c r="AA29" s="33" t="s">
        <v>307</v>
      </c>
      <c r="AB29" s="6">
        <v>716</v>
      </c>
      <c r="AC29" s="6"/>
      <c r="AD29" s="35">
        <f t="shared" si="0"/>
        <v>403</v>
      </c>
      <c r="AE29" s="6">
        <v>1082</v>
      </c>
      <c r="AF29" s="6"/>
      <c r="AG29" s="35">
        <f t="shared" si="1"/>
        <v>366</v>
      </c>
      <c r="AH29" s="35">
        <v>1452</v>
      </c>
      <c r="AI29" s="35"/>
      <c r="AJ29" s="35">
        <f t="shared" si="2"/>
        <v>370</v>
      </c>
      <c r="AK29" s="6">
        <v>235</v>
      </c>
      <c r="AL29" s="6">
        <v>1555</v>
      </c>
      <c r="AM29" s="35">
        <f t="shared" si="3"/>
        <v>338</v>
      </c>
      <c r="AN29" s="6"/>
      <c r="AO29" s="6"/>
      <c r="AP29" s="34"/>
      <c r="AQ29" s="35">
        <v>600</v>
      </c>
      <c r="AR29" s="35"/>
      <c r="AS29" s="35">
        <f t="shared" si="4"/>
        <v>365</v>
      </c>
      <c r="AT29" s="6">
        <v>987</v>
      </c>
      <c r="AU29" s="6"/>
      <c r="AV29" s="35">
        <f t="shared" si="5"/>
        <v>387</v>
      </c>
      <c r="AW29" s="6">
        <v>1370</v>
      </c>
      <c r="AX29" s="6"/>
      <c r="AY29" s="35">
        <f t="shared" si="6"/>
        <v>383</v>
      </c>
      <c r="AZ29" s="35">
        <v>190</v>
      </c>
      <c r="BA29" s="35">
        <v>1560</v>
      </c>
      <c r="BB29" s="35">
        <f t="shared" si="7"/>
        <v>380</v>
      </c>
      <c r="BC29" s="6">
        <v>566</v>
      </c>
      <c r="BD29" s="6"/>
      <c r="BE29" s="35">
        <f t="shared" si="8"/>
        <v>376</v>
      </c>
      <c r="BF29" s="6">
        <v>934</v>
      </c>
      <c r="BG29" s="6"/>
      <c r="BH29" s="6">
        <f t="shared" si="9"/>
        <v>368</v>
      </c>
      <c r="BI29" s="6"/>
      <c r="BJ29" s="6"/>
      <c r="BK29" s="6"/>
      <c r="BL29" s="6">
        <v>1311</v>
      </c>
      <c r="BM29" s="6"/>
      <c r="BN29" s="6">
        <f t="shared" si="10"/>
        <v>377</v>
      </c>
      <c r="BO29" s="6">
        <v>132</v>
      </c>
      <c r="BP29" s="6">
        <v>1560</v>
      </c>
      <c r="BQ29" s="35">
        <f t="shared" si="11"/>
        <v>381</v>
      </c>
      <c r="BR29" s="6">
        <v>524</v>
      </c>
      <c r="BS29" s="6"/>
      <c r="BT29" s="6">
        <f t="shared" si="12"/>
        <v>392</v>
      </c>
      <c r="BU29" s="6">
        <v>904</v>
      </c>
      <c r="BV29" s="6"/>
      <c r="BW29" s="35">
        <f t="shared" si="13"/>
        <v>380</v>
      </c>
      <c r="BX29" s="6">
        <v>1297</v>
      </c>
      <c r="BY29" s="6"/>
      <c r="BZ29" s="6">
        <f t="shared" si="14"/>
        <v>393</v>
      </c>
      <c r="CA29" s="6">
        <v>0</v>
      </c>
      <c r="CB29" s="6">
        <v>1620</v>
      </c>
      <c r="CC29" s="6">
        <f t="shared" si="15"/>
        <v>323</v>
      </c>
      <c r="CD29" s="6"/>
      <c r="CE29" s="6"/>
      <c r="CF29" s="6"/>
      <c r="CG29" s="6">
        <v>367</v>
      </c>
      <c r="CH29" s="6"/>
      <c r="CI29" s="6">
        <f t="shared" si="16"/>
        <v>367</v>
      </c>
      <c r="CJ29" s="6">
        <v>760</v>
      </c>
      <c r="CK29" s="6"/>
      <c r="CL29" s="6">
        <f t="shared" si="17"/>
        <v>393</v>
      </c>
      <c r="CM29" s="6">
        <v>1138</v>
      </c>
      <c r="CN29" s="6"/>
      <c r="CO29" s="6">
        <f t="shared" si="18"/>
        <v>378</v>
      </c>
      <c r="CP29" s="6">
        <v>1527</v>
      </c>
      <c r="CQ29" s="6"/>
      <c r="CR29" s="6">
        <f t="shared" si="19"/>
        <v>389</v>
      </c>
      <c r="CS29" s="6">
        <v>297</v>
      </c>
      <c r="CT29" s="6">
        <v>1626</v>
      </c>
      <c r="CU29" s="6">
        <f t="shared" si="20"/>
        <v>396</v>
      </c>
      <c r="CV29" s="6">
        <v>508</v>
      </c>
      <c r="CW29" s="6"/>
      <c r="CX29" s="6">
        <f t="shared" si="21"/>
        <v>211</v>
      </c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</row>
    <row r="30" spans="1:117">
      <c r="A30" s="6">
        <v>26</v>
      </c>
      <c r="B30" s="6">
        <v>917</v>
      </c>
      <c r="C30" s="6"/>
      <c r="D30" s="6">
        <v>345</v>
      </c>
      <c r="E30" s="33" t="s">
        <v>128</v>
      </c>
      <c r="F30" s="33" t="s">
        <v>128</v>
      </c>
      <c r="G30" s="33" t="s">
        <v>128</v>
      </c>
      <c r="H30" s="33" t="s">
        <v>128</v>
      </c>
      <c r="I30" s="33" t="s">
        <v>128</v>
      </c>
      <c r="J30" s="33" t="s">
        <v>128</v>
      </c>
      <c r="K30" s="33" t="s">
        <v>128</v>
      </c>
      <c r="L30" s="33" t="s">
        <v>128</v>
      </c>
      <c r="M30" s="33" t="s">
        <v>128</v>
      </c>
      <c r="N30" s="33" t="s">
        <v>128</v>
      </c>
      <c r="O30" s="33" t="s">
        <v>128</v>
      </c>
      <c r="P30" s="33" t="s">
        <v>128</v>
      </c>
      <c r="Q30" s="33" t="s">
        <v>128</v>
      </c>
      <c r="R30" s="33" t="s">
        <v>128</v>
      </c>
      <c r="S30" s="33" t="s">
        <v>128</v>
      </c>
      <c r="T30" s="148" t="s">
        <v>307</v>
      </c>
      <c r="U30" s="33" t="s">
        <v>307</v>
      </c>
      <c r="V30" s="33" t="s">
        <v>307</v>
      </c>
      <c r="W30" s="33" t="s">
        <v>307</v>
      </c>
      <c r="X30" s="33" t="s">
        <v>307</v>
      </c>
      <c r="Y30" s="33" t="s">
        <v>307</v>
      </c>
      <c r="Z30" s="33" t="s">
        <v>307</v>
      </c>
      <c r="AA30" s="33" t="s">
        <v>307</v>
      </c>
      <c r="AB30" s="6">
        <v>1321</v>
      </c>
      <c r="AC30" s="6"/>
      <c r="AD30" s="35">
        <f t="shared" si="0"/>
        <v>404</v>
      </c>
      <c r="AE30" s="6">
        <v>136</v>
      </c>
      <c r="AF30" s="6">
        <v>1560</v>
      </c>
      <c r="AG30" s="35">
        <f t="shared" si="1"/>
        <v>375</v>
      </c>
      <c r="AH30" s="35">
        <v>518</v>
      </c>
      <c r="AI30" s="35"/>
      <c r="AJ30" s="35">
        <f t="shared" si="2"/>
        <v>382</v>
      </c>
      <c r="AK30" s="6">
        <v>879</v>
      </c>
      <c r="AL30" s="6"/>
      <c r="AM30" s="35">
        <f t="shared" si="3"/>
        <v>361</v>
      </c>
      <c r="AN30" s="6"/>
      <c r="AO30" s="6"/>
      <c r="AP30" s="34"/>
      <c r="AQ30" s="35">
        <v>1263</v>
      </c>
      <c r="AR30" s="35"/>
      <c r="AS30" s="35">
        <f t="shared" si="4"/>
        <v>384</v>
      </c>
      <c r="AT30" s="6">
        <v>229</v>
      </c>
      <c r="AU30" s="6">
        <v>1417</v>
      </c>
      <c r="AV30" s="35">
        <f t="shared" si="5"/>
        <v>383</v>
      </c>
      <c r="AW30" s="6">
        <v>610</v>
      </c>
      <c r="AX30" s="6"/>
      <c r="AY30" s="35">
        <f t="shared" si="6"/>
        <v>381</v>
      </c>
      <c r="AZ30" s="35">
        <v>978</v>
      </c>
      <c r="BA30" s="35"/>
      <c r="BB30" s="35">
        <f t="shared" si="7"/>
        <v>368</v>
      </c>
      <c r="BC30" s="6">
        <v>1364</v>
      </c>
      <c r="BD30" s="6"/>
      <c r="BE30" s="35">
        <f t="shared" si="8"/>
        <v>386</v>
      </c>
      <c r="BF30" s="6">
        <v>179</v>
      </c>
      <c r="BG30" s="6">
        <v>1560</v>
      </c>
      <c r="BH30" s="6">
        <f t="shared" si="9"/>
        <v>375</v>
      </c>
      <c r="BI30" s="6"/>
      <c r="BJ30" s="6"/>
      <c r="BK30" s="6"/>
      <c r="BL30" s="6">
        <v>562</v>
      </c>
      <c r="BM30" s="6"/>
      <c r="BN30" s="6">
        <f t="shared" si="10"/>
        <v>383</v>
      </c>
      <c r="BO30" s="6">
        <v>937</v>
      </c>
      <c r="BP30" s="6"/>
      <c r="BQ30" s="35">
        <f t="shared" si="11"/>
        <v>375</v>
      </c>
      <c r="BR30" s="6">
        <v>1316</v>
      </c>
      <c r="BS30" s="6"/>
      <c r="BT30" s="6">
        <f t="shared" si="12"/>
        <v>379</v>
      </c>
      <c r="BU30" s="6">
        <v>1700</v>
      </c>
      <c r="BV30" s="6"/>
      <c r="BW30" s="35">
        <f t="shared" si="13"/>
        <v>384</v>
      </c>
      <c r="BX30" s="6">
        <v>296</v>
      </c>
      <c r="BY30" s="6">
        <v>1760</v>
      </c>
      <c r="BZ30" s="6">
        <f t="shared" si="14"/>
        <v>356</v>
      </c>
      <c r="CA30" s="6">
        <v>662</v>
      </c>
      <c r="CB30" s="6"/>
      <c r="CC30" s="6">
        <f t="shared" si="15"/>
        <v>366</v>
      </c>
      <c r="CD30" s="6"/>
      <c r="CE30" s="6"/>
      <c r="CF30" s="6"/>
      <c r="CG30" s="6">
        <v>1047</v>
      </c>
      <c r="CH30" s="6"/>
      <c r="CI30" s="6">
        <f t="shared" si="16"/>
        <v>385</v>
      </c>
      <c r="CJ30" s="6">
        <v>1445</v>
      </c>
      <c r="CK30" s="6"/>
      <c r="CL30" s="6">
        <f t="shared" si="17"/>
        <v>398</v>
      </c>
      <c r="CM30" s="6">
        <v>275</v>
      </c>
      <c r="CN30" s="6">
        <v>1560</v>
      </c>
      <c r="CO30" s="6">
        <f t="shared" si="18"/>
        <v>390</v>
      </c>
      <c r="CP30" s="6">
        <v>673</v>
      </c>
      <c r="CQ30" s="6"/>
      <c r="CR30" s="6">
        <f t="shared" si="19"/>
        <v>398</v>
      </c>
      <c r="CS30" s="6">
        <v>1064</v>
      </c>
      <c r="CT30" s="6"/>
      <c r="CU30" s="6">
        <f t="shared" si="20"/>
        <v>391</v>
      </c>
      <c r="CV30" s="6">
        <v>1282</v>
      </c>
      <c r="CW30" s="6"/>
      <c r="CX30" s="6">
        <f t="shared" si="21"/>
        <v>218</v>
      </c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</row>
    <row r="31" spans="1:117">
      <c r="A31" s="6">
        <v>27</v>
      </c>
      <c r="B31" s="6">
        <v>682</v>
      </c>
      <c r="C31" s="6"/>
      <c r="D31" s="6">
        <v>359</v>
      </c>
      <c r="E31" s="33" t="s">
        <v>37</v>
      </c>
      <c r="F31" s="33" t="s">
        <v>37</v>
      </c>
      <c r="G31" s="33" t="s">
        <v>37</v>
      </c>
      <c r="H31" s="33" t="s">
        <v>37</v>
      </c>
      <c r="I31" s="33" t="s">
        <v>37</v>
      </c>
      <c r="J31" s="33" t="s">
        <v>37</v>
      </c>
      <c r="K31" s="33" t="s">
        <v>37</v>
      </c>
      <c r="L31" s="33" t="s">
        <v>37</v>
      </c>
      <c r="M31" s="33" t="s">
        <v>37</v>
      </c>
      <c r="N31" s="33" t="s">
        <v>37</v>
      </c>
      <c r="O31" s="33" t="s">
        <v>37</v>
      </c>
      <c r="P31" s="33" t="s">
        <v>37</v>
      </c>
      <c r="Q31" s="33" t="s">
        <v>37</v>
      </c>
      <c r="R31" s="33" t="s">
        <v>37</v>
      </c>
      <c r="S31" s="33" t="s">
        <v>37</v>
      </c>
      <c r="T31" s="33" t="s">
        <v>37</v>
      </c>
      <c r="U31" s="148" t="s">
        <v>307</v>
      </c>
      <c r="V31" s="33" t="s">
        <v>307</v>
      </c>
      <c r="W31" s="33" t="s">
        <v>307</v>
      </c>
      <c r="X31" s="33" t="s">
        <v>307</v>
      </c>
      <c r="Y31" s="33" t="s">
        <v>307</v>
      </c>
      <c r="Z31" s="33" t="s">
        <v>307</v>
      </c>
      <c r="AA31" s="33" t="s">
        <v>307</v>
      </c>
      <c r="AB31" s="6">
        <v>953</v>
      </c>
      <c r="AC31" s="6"/>
      <c r="AD31" s="35">
        <f t="shared" si="0"/>
        <v>271</v>
      </c>
      <c r="AE31" s="6">
        <v>1328</v>
      </c>
      <c r="AF31" s="6"/>
      <c r="AG31" s="35">
        <f t="shared" si="1"/>
        <v>375</v>
      </c>
      <c r="AH31" s="35">
        <v>182</v>
      </c>
      <c r="AI31" s="35">
        <v>1540</v>
      </c>
      <c r="AJ31" s="35">
        <f t="shared" si="2"/>
        <v>394</v>
      </c>
      <c r="AK31" s="6">
        <v>550</v>
      </c>
      <c r="AL31" s="6"/>
      <c r="AM31" s="35">
        <f t="shared" si="3"/>
        <v>368</v>
      </c>
      <c r="AN31" s="6"/>
      <c r="AO31" s="6"/>
      <c r="AP31" s="34"/>
      <c r="AQ31" s="35">
        <v>939</v>
      </c>
      <c r="AR31" s="35"/>
      <c r="AS31" s="35">
        <f t="shared" si="4"/>
        <v>389</v>
      </c>
      <c r="AT31" s="6">
        <v>1329</v>
      </c>
      <c r="AU31" s="6"/>
      <c r="AV31" s="35">
        <f t="shared" si="5"/>
        <v>390</v>
      </c>
      <c r="AW31" s="6">
        <v>154</v>
      </c>
      <c r="AX31" s="6">
        <v>1560</v>
      </c>
      <c r="AY31" s="35">
        <f t="shared" si="6"/>
        <v>385</v>
      </c>
      <c r="AZ31" s="35">
        <v>545</v>
      </c>
      <c r="BA31" s="35"/>
      <c r="BB31" s="35">
        <f t="shared" si="7"/>
        <v>391</v>
      </c>
      <c r="BC31" s="6">
        <v>934</v>
      </c>
      <c r="BD31" s="6"/>
      <c r="BE31" s="35">
        <f t="shared" si="8"/>
        <v>389</v>
      </c>
      <c r="BF31" s="6">
        <v>1267</v>
      </c>
      <c r="BG31" s="6"/>
      <c r="BH31" s="6">
        <f t="shared" si="9"/>
        <v>333</v>
      </c>
      <c r="BI31" s="6"/>
      <c r="BJ31" s="6"/>
      <c r="BK31" s="6"/>
      <c r="BL31" s="6">
        <v>86</v>
      </c>
      <c r="BM31" s="6">
        <v>1560</v>
      </c>
      <c r="BN31" s="6">
        <f t="shared" si="10"/>
        <v>379</v>
      </c>
      <c r="BO31" s="6">
        <v>451</v>
      </c>
      <c r="BP31" s="6"/>
      <c r="BQ31" s="35">
        <f t="shared" si="11"/>
        <v>365</v>
      </c>
      <c r="BR31" s="6">
        <v>830</v>
      </c>
      <c r="BS31" s="6"/>
      <c r="BT31" s="6">
        <f t="shared" si="12"/>
        <v>379</v>
      </c>
      <c r="BU31" s="6">
        <v>1192</v>
      </c>
      <c r="BV31" s="6"/>
      <c r="BW31" s="35">
        <f t="shared" si="13"/>
        <v>362</v>
      </c>
      <c r="BX31" s="6">
        <v>1578</v>
      </c>
      <c r="BY31" s="6"/>
      <c r="BZ31" s="6">
        <f t="shared" si="14"/>
        <v>386</v>
      </c>
      <c r="CA31" s="6">
        <v>300</v>
      </c>
      <c r="CB31" s="6">
        <v>1629</v>
      </c>
      <c r="CC31" s="6">
        <f t="shared" si="15"/>
        <v>351</v>
      </c>
      <c r="CD31" s="6"/>
      <c r="CE31" s="6"/>
      <c r="CF31" s="6"/>
      <c r="CG31" s="6">
        <v>699</v>
      </c>
      <c r="CH31" s="6"/>
      <c r="CI31" s="6">
        <f t="shared" si="16"/>
        <v>399</v>
      </c>
      <c r="CJ31" s="6">
        <v>1089</v>
      </c>
      <c r="CK31" s="6"/>
      <c r="CL31" s="6">
        <f t="shared" si="17"/>
        <v>390</v>
      </c>
      <c r="CM31" s="6">
        <v>1475</v>
      </c>
      <c r="CN31" s="6"/>
      <c r="CO31" s="6">
        <f t="shared" si="18"/>
        <v>386</v>
      </c>
      <c r="CP31" s="6">
        <v>306</v>
      </c>
      <c r="CQ31" s="6">
        <v>1560</v>
      </c>
      <c r="CR31" s="6">
        <f t="shared" si="19"/>
        <v>391</v>
      </c>
      <c r="CS31" s="6">
        <v>700</v>
      </c>
      <c r="CT31" s="6"/>
      <c r="CU31" s="6">
        <f t="shared" si="20"/>
        <v>394</v>
      </c>
      <c r="CV31" s="6">
        <v>914</v>
      </c>
      <c r="CW31" s="6"/>
      <c r="CX31" s="6">
        <f t="shared" si="21"/>
        <v>214</v>
      </c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</row>
    <row r="32" spans="1:117">
      <c r="A32" s="6">
        <v>28</v>
      </c>
      <c r="B32" s="6">
        <v>1001</v>
      </c>
      <c r="C32" s="6"/>
      <c r="D32" s="6">
        <v>356</v>
      </c>
      <c r="E32" s="33" t="s">
        <v>128</v>
      </c>
      <c r="F32" s="33" t="s">
        <v>128</v>
      </c>
      <c r="G32" s="33" t="s">
        <v>128</v>
      </c>
      <c r="H32" s="33" t="s">
        <v>128</v>
      </c>
      <c r="I32" s="33" t="s">
        <v>128</v>
      </c>
      <c r="J32" s="33" t="s">
        <v>128</v>
      </c>
      <c r="K32" s="33" t="s">
        <v>128</v>
      </c>
      <c r="L32" s="33" t="s">
        <v>128</v>
      </c>
      <c r="M32" s="33" t="s">
        <v>128</v>
      </c>
      <c r="N32" s="148" t="s">
        <v>128</v>
      </c>
      <c r="O32" s="33" t="s">
        <v>128</v>
      </c>
      <c r="P32" s="33" t="s">
        <v>128</v>
      </c>
      <c r="Q32" s="33" t="s">
        <v>128</v>
      </c>
      <c r="R32" s="33" t="s">
        <v>128</v>
      </c>
      <c r="S32" s="33" t="s">
        <v>128</v>
      </c>
      <c r="T32" s="33" t="s">
        <v>128</v>
      </c>
      <c r="U32" s="33" t="s">
        <v>128</v>
      </c>
      <c r="V32" s="33" t="s">
        <v>128</v>
      </c>
      <c r="W32" s="33" t="s">
        <v>128</v>
      </c>
      <c r="X32" s="33" t="s">
        <v>128</v>
      </c>
      <c r="Y32" s="33" t="s">
        <v>128</v>
      </c>
      <c r="Z32" s="33" t="s">
        <v>128</v>
      </c>
      <c r="AA32" s="33" t="s">
        <v>128</v>
      </c>
      <c r="AB32" s="35">
        <v>1396</v>
      </c>
      <c r="AC32" s="35"/>
      <c r="AD32" s="35">
        <f t="shared" si="0"/>
        <v>395</v>
      </c>
      <c r="AE32" s="35">
        <v>203</v>
      </c>
      <c r="AF32" s="35">
        <v>1575</v>
      </c>
      <c r="AG32" s="35">
        <f t="shared" si="1"/>
        <v>382</v>
      </c>
      <c r="AH32" s="35">
        <v>595</v>
      </c>
      <c r="AI32" s="35"/>
      <c r="AJ32" s="35">
        <f t="shared" si="2"/>
        <v>392</v>
      </c>
      <c r="AK32" s="35">
        <v>964</v>
      </c>
      <c r="AL32" s="35"/>
      <c r="AM32" s="35">
        <f t="shared" si="3"/>
        <v>369</v>
      </c>
      <c r="AN32" s="6"/>
      <c r="AO32" s="6"/>
      <c r="AP32" s="34"/>
      <c r="AQ32" s="35">
        <v>1352</v>
      </c>
      <c r="AR32" s="35"/>
      <c r="AS32" s="35">
        <f t="shared" si="4"/>
        <v>388</v>
      </c>
      <c r="AT32" s="6">
        <v>180</v>
      </c>
      <c r="AU32" s="6">
        <v>1560</v>
      </c>
      <c r="AV32" s="35">
        <f t="shared" si="5"/>
        <v>388</v>
      </c>
      <c r="AW32" s="6">
        <v>570</v>
      </c>
      <c r="AX32" s="6"/>
      <c r="AY32" s="35">
        <f t="shared" si="6"/>
        <v>390</v>
      </c>
      <c r="AZ32" s="6">
        <v>0</v>
      </c>
      <c r="BA32" s="6">
        <v>764</v>
      </c>
      <c r="BB32" s="35">
        <f t="shared" si="7"/>
        <v>194</v>
      </c>
      <c r="BC32" s="6">
        <v>361</v>
      </c>
      <c r="BD32" s="6"/>
      <c r="BE32" s="35">
        <f t="shared" si="8"/>
        <v>361</v>
      </c>
      <c r="BF32" s="6">
        <v>721</v>
      </c>
      <c r="BG32" s="6"/>
      <c r="BH32" s="6">
        <f t="shared" si="9"/>
        <v>360</v>
      </c>
      <c r="BI32" s="6"/>
      <c r="BJ32" s="35"/>
      <c r="BK32" s="6"/>
      <c r="BL32" s="6">
        <v>1090</v>
      </c>
      <c r="BM32" s="6"/>
      <c r="BN32" s="6">
        <f t="shared" si="10"/>
        <v>369</v>
      </c>
      <c r="BO32" s="6">
        <v>1469</v>
      </c>
      <c r="BP32" s="6"/>
      <c r="BQ32" s="35">
        <f t="shared" si="11"/>
        <v>379</v>
      </c>
      <c r="BR32" s="6">
        <v>297</v>
      </c>
      <c r="BS32" s="6">
        <v>1560</v>
      </c>
      <c r="BT32" s="6">
        <f t="shared" si="12"/>
        <v>388</v>
      </c>
      <c r="BU32" s="6">
        <v>689</v>
      </c>
      <c r="BV32" s="6"/>
      <c r="BW32" s="35">
        <f t="shared" si="13"/>
        <v>392</v>
      </c>
      <c r="BX32" s="6">
        <v>1087</v>
      </c>
      <c r="BY32" s="35"/>
      <c r="BZ32" s="6">
        <f t="shared" si="14"/>
        <v>398</v>
      </c>
      <c r="CA32" s="6">
        <v>1464</v>
      </c>
      <c r="CB32" s="6"/>
      <c r="CC32" s="6">
        <f t="shared" si="15"/>
        <v>377</v>
      </c>
      <c r="CD32" s="6"/>
      <c r="CE32" s="35"/>
      <c r="CF32" s="6"/>
      <c r="CG32" s="6">
        <v>301</v>
      </c>
      <c r="CH32" s="6">
        <v>1560</v>
      </c>
      <c r="CI32" s="6">
        <f t="shared" si="16"/>
        <v>397</v>
      </c>
      <c r="CJ32" s="6">
        <v>707</v>
      </c>
      <c r="CK32" s="6"/>
      <c r="CL32" s="6">
        <f t="shared" si="17"/>
        <v>406</v>
      </c>
      <c r="CM32" s="6">
        <v>1103</v>
      </c>
      <c r="CN32" s="6"/>
      <c r="CO32" s="6">
        <f t="shared" si="18"/>
        <v>396</v>
      </c>
      <c r="CP32" s="6">
        <v>1502</v>
      </c>
      <c r="CQ32" s="6"/>
      <c r="CR32" s="6">
        <f t="shared" si="19"/>
        <v>399</v>
      </c>
      <c r="CS32" s="6">
        <v>301</v>
      </c>
      <c r="CT32" s="6">
        <v>1598</v>
      </c>
      <c r="CU32" s="6">
        <f t="shared" si="20"/>
        <v>397</v>
      </c>
      <c r="CV32" s="6">
        <v>515</v>
      </c>
      <c r="CW32" s="6"/>
      <c r="CX32" s="6">
        <f t="shared" si="21"/>
        <v>214</v>
      </c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</row>
    <row r="33" spans="1:117">
      <c r="A33" s="6">
        <v>29</v>
      </c>
      <c r="B33" s="6">
        <v>328</v>
      </c>
      <c r="C33" s="6"/>
      <c r="D33" s="6">
        <v>328</v>
      </c>
      <c r="E33" s="148" t="s">
        <v>37</v>
      </c>
      <c r="F33" s="33" t="s">
        <v>37</v>
      </c>
      <c r="G33" s="33" t="s">
        <v>37</v>
      </c>
      <c r="H33" s="33" t="s">
        <v>37</v>
      </c>
      <c r="I33" s="33" t="s">
        <v>37</v>
      </c>
      <c r="J33" s="33" t="s">
        <v>37</v>
      </c>
      <c r="K33" s="33" t="s">
        <v>37</v>
      </c>
      <c r="L33" s="33" t="s">
        <v>37</v>
      </c>
      <c r="M33" s="33" t="s">
        <v>37</v>
      </c>
      <c r="N33" s="33" t="s">
        <v>37</v>
      </c>
      <c r="O33" s="33" t="s">
        <v>37</v>
      </c>
      <c r="P33" s="33" t="s">
        <v>37</v>
      </c>
      <c r="Q33" s="33" t="s">
        <v>37</v>
      </c>
      <c r="R33" s="33" t="s">
        <v>37</v>
      </c>
      <c r="S33" s="33" t="s">
        <v>37</v>
      </c>
      <c r="T33" s="33" t="s">
        <v>37</v>
      </c>
      <c r="U33" s="33" t="s">
        <v>37</v>
      </c>
      <c r="V33" s="33" t="s">
        <v>37</v>
      </c>
      <c r="W33" s="33" t="s">
        <v>37</v>
      </c>
      <c r="X33" s="33" t="s">
        <v>37</v>
      </c>
      <c r="Y33" s="33" t="s">
        <v>37</v>
      </c>
      <c r="Z33" s="148" t="s">
        <v>307</v>
      </c>
      <c r="AA33" s="33" t="s">
        <v>307</v>
      </c>
      <c r="AB33" s="35">
        <v>734</v>
      </c>
      <c r="AC33" s="35"/>
      <c r="AD33" s="35">
        <f t="shared" si="0"/>
        <v>406</v>
      </c>
      <c r="AE33" s="35">
        <v>319</v>
      </c>
      <c r="AF33" s="35">
        <v>777</v>
      </c>
      <c r="AG33" s="35">
        <f t="shared" si="1"/>
        <v>362</v>
      </c>
      <c r="AH33" s="35">
        <v>703</v>
      </c>
      <c r="AI33" s="35"/>
      <c r="AJ33" s="35">
        <f t="shared" si="2"/>
        <v>384</v>
      </c>
      <c r="AK33" s="35">
        <v>1047</v>
      </c>
      <c r="AL33" s="35"/>
      <c r="AM33" s="35">
        <f t="shared" si="3"/>
        <v>344</v>
      </c>
      <c r="AN33" s="35"/>
      <c r="AO33" s="35"/>
      <c r="AP33" s="34"/>
      <c r="AQ33" s="35">
        <v>1433</v>
      </c>
      <c r="AR33" s="35"/>
      <c r="AS33" s="35">
        <f t="shared" si="4"/>
        <v>386</v>
      </c>
      <c r="AT33" s="6">
        <v>275</v>
      </c>
      <c r="AU33" s="6">
        <v>1510</v>
      </c>
      <c r="AV33" s="35">
        <f t="shared" si="5"/>
        <v>352</v>
      </c>
      <c r="AW33" s="6">
        <v>655</v>
      </c>
      <c r="AX33" s="6"/>
      <c r="AY33" s="35">
        <f t="shared" si="6"/>
        <v>380</v>
      </c>
      <c r="AZ33" s="6">
        <v>1040</v>
      </c>
      <c r="BA33" s="6"/>
      <c r="BB33" s="35">
        <f t="shared" si="7"/>
        <v>385</v>
      </c>
      <c r="BC33" s="6">
        <v>1417</v>
      </c>
      <c r="BD33" s="6"/>
      <c r="BE33" s="35">
        <f t="shared" si="8"/>
        <v>377</v>
      </c>
      <c r="BF33" s="6">
        <v>234</v>
      </c>
      <c r="BG33" s="6">
        <v>1560</v>
      </c>
      <c r="BH33" s="6">
        <f t="shared" si="9"/>
        <v>377</v>
      </c>
      <c r="BI33" s="6"/>
      <c r="BJ33" s="35"/>
      <c r="BK33" s="6"/>
      <c r="BL33" s="6">
        <v>624</v>
      </c>
      <c r="BM33" s="6"/>
      <c r="BN33" s="6">
        <f t="shared" si="10"/>
        <v>390</v>
      </c>
      <c r="BO33" s="6">
        <v>998</v>
      </c>
      <c r="BP33" s="6"/>
      <c r="BQ33" s="35">
        <f t="shared" si="11"/>
        <v>374</v>
      </c>
      <c r="BR33" s="6">
        <v>1374</v>
      </c>
      <c r="BS33" s="6"/>
      <c r="BT33" s="6">
        <f t="shared" si="12"/>
        <v>376</v>
      </c>
      <c r="BU33" s="6">
        <v>190</v>
      </c>
      <c r="BV33" s="6">
        <v>1560</v>
      </c>
      <c r="BW33" s="35">
        <f t="shared" si="13"/>
        <v>376</v>
      </c>
      <c r="BX33" s="6">
        <v>569</v>
      </c>
      <c r="BY33" s="35"/>
      <c r="BZ33" s="6">
        <f t="shared" si="14"/>
        <v>379</v>
      </c>
      <c r="CA33" s="6">
        <v>925</v>
      </c>
      <c r="CB33" s="6"/>
      <c r="CC33" s="6">
        <f t="shared" si="15"/>
        <v>356</v>
      </c>
      <c r="CD33" s="6"/>
      <c r="CE33" s="35"/>
      <c r="CF33" s="6"/>
      <c r="CG33" s="6">
        <v>1312</v>
      </c>
      <c r="CH33" s="6"/>
      <c r="CI33" s="6">
        <f t="shared" si="16"/>
        <v>387</v>
      </c>
      <c r="CJ33" s="6">
        <v>135</v>
      </c>
      <c r="CK33" s="6">
        <v>1560</v>
      </c>
      <c r="CL33" s="6">
        <f t="shared" si="17"/>
        <v>383</v>
      </c>
      <c r="CM33" s="6">
        <v>513</v>
      </c>
      <c r="CN33" s="6"/>
      <c r="CO33" s="6">
        <f t="shared" si="18"/>
        <v>378</v>
      </c>
      <c r="CP33" s="6">
        <v>863</v>
      </c>
      <c r="CQ33" s="6"/>
      <c r="CR33" s="6">
        <f t="shared" si="19"/>
        <v>350</v>
      </c>
      <c r="CS33" s="6">
        <v>372</v>
      </c>
      <c r="CT33" s="6">
        <v>875</v>
      </c>
      <c r="CU33" s="6">
        <f t="shared" si="20"/>
        <v>384</v>
      </c>
      <c r="CV33" s="6">
        <v>589</v>
      </c>
      <c r="CW33" s="6"/>
      <c r="CX33" s="6">
        <f t="shared" si="21"/>
        <v>217</v>
      </c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</row>
    <row r="34" spans="1:117">
      <c r="A34" s="6">
        <v>30</v>
      </c>
      <c r="B34" s="6">
        <v>67</v>
      </c>
      <c r="C34" s="6">
        <v>525</v>
      </c>
      <c r="D34" s="6">
        <v>350</v>
      </c>
      <c r="E34" s="33" t="s">
        <v>128</v>
      </c>
      <c r="F34" s="33" t="s">
        <v>128</v>
      </c>
      <c r="G34" s="33" t="s">
        <v>128</v>
      </c>
      <c r="H34" s="33" t="s">
        <v>128</v>
      </c>
      <c r="I34" s="33" t="s">
        <v>128</v>
      </c>
      <c r="J34" s="33" t="s">
        <v>128</v>
      </c>
      <c r="K34" s="33" t="s">
        <v>128</v>
      </c>
      <c r="L34" s="33" t="s">
        <v>128</v>
      </c>
      <c r="M34" s="33" t="s">
        <v>128</v>
      </c>
      <c r="N34" s="33" t="s">
        <v>128</v>
      </c>
      <c r="O34" s="33" t="s">
        <v>128</v>
      </c>
      <c r="P34" s="33" t="s">
        <v>128</v>
      </c>
      <c r="Q34" s="33" t="s">
        <v>128</v>
      </c>
      <c r="R34" s="33" t="s">
        <v>128</v>
      </c>
      <c r="S34" s="33" t="s">
        <v>128</v>
      </c>
      <c r="T34" s="33" t="s">
        <v>128</v>
      </c>
      <c r="U34" s="148" t="s">
        <v>307</v>
      </c>
      <c r="V34" s="33" t="s">
        <v>307</v>
      </c>
      <c r="W34" s="33" t="s">
        <v>307</v>
      </c>
      <c r="X34" s="33" t="s">
        <v>307</v>
      </c>
      <c r="Y34" s="33" t="s">
        <v>307</v>
      </c>
      <c r="Z34" s="33" t="s">
        <v>307</v>
      </c>
      <c r="AA34" s="33" t="s">
        <v>307</v>
      </c>
      <c r="AB34" s="6">
        <v>434</v>
      </c>
      <c r="AC34" s="6"/>
      <c r="AD34" s="35">
        <f t="shared" si="0"/>
        <v>367</v>
      </c>
      <c r="AE34" s="6">
        <v>794</v>
      </c>
      <c r="AF34" s="6"/>
      <c r="AG34" s="35">
        <f t="shared" si="1"/>
        <v>360</v>
      </c>
      <c r="AH34" s="35">
        <v>1161</v>
      </c>
      <c r="AI34" s="35"/>
      <c r="AJ34" s="35">
        <f t="shared" si="2"/>
        <v>367</v>
      </c>
      <c r="AK34" s="6">
        <v>1507</v>
      </c>
      <c r="AL34" s="6"/>
      <c r="AM34" s="35">
        <f t="shared" si="3"/>
        <v>346</v>
      </c>
      <c r="AN34" s="6"/>
      <c r="AO34" s="6"/>
      <c r="AP34" s="34"/>
      <c r="AQ34" s="35">
        <v>314</v>
      </c>
      <c r="AR34" s="35">
        <v>1560</v>
      </c>
      <c r="AS34" s="35">
        <f t="shared" si="4"/>
        <v>367</v>
      </c>
      <c r="AT34" s="6">
        <v>692</v>
      </c>
      <c r="AU34" s="6"/>
      <c r="AV34" s="35">
        <f t="shared" si="5"/>
        <v>378</v>
      </c>
      <c r="AW34" s="6">
        <v>1076</v>
      </c>
      <c r="AX34" s="6"/>
      <c r="AY34" s="35">
        <f t="shared" si="6"/>
        <v>384</v>
      </c>
      <c r="AZ34" s="35">
        <v>1460</v>
      </c>
      <c r="BA34" s="35"/>
      <c r="BB34" s="35">
        <f t="shared" si="7"/>
        <v>384</v>
      </c>
      <c r="BC34" s="6">
        <v>273</v>
      </c>
      <c r="BD34" s="6">
        <v>1560</v>
      </c>
      <c r="BE34" s="35">
        <f t="shared" si="8"/>
        <v>373</v>
      </c>
      <c r="BF34" s="6">
        <v>649</v>
      </c>
      <c r="BG34" s="6"/>
      <c r="BH34" s="6">
        <f t="shared" si="9"/>
        <v>376</v>
      </c>
      <c r="BI34" s="6"/>
      <c r="BJ34" s="6"/>
      <c r="BK34" s="6"/>
      <c r="BL34" s="6">
        <v>1037</v>
      </c>
      <c r="BM34" s="6"/>
      <c r="BN34" s="6">
        <f t="shared" si="10"/>
        <v>388</v>
      </c>
      <c r="BO34" s="6">
        <v>1417</v>
      </c>
      <c r="BP34" s="6"/>
      <c r="BQ34" s="35">
        <f t="shared" si="11"/>
        <v>380</v>
      </c>
      <c r="BR34" s="6">
        <v>234</v>
      </c>
      <c r="BS34" s="6">
        <v>1560</v>
      </c>
      <c r="BT34" s="6">
        <f t="shared" si="12"/>
        <v>377</v>
      </c>
      <c r="BU34" s="6">
        <v>616</v>
      </c>
      <c r="BV34" s="6"/>
      <c r="BW34" s="35">
        <f t="shared" si="13"/>
        <v>382</v>
      </c>
      <c r="BX34" s="6">
        <v>1004</v>
      </c>
      <c r="BY34" s="6"/>
      <c r="BZ34" s="6">
        <f t="shared" si="14"/>
        <v>388</v>
      </c>
      <c r="CA34" s="6">
        <v>275</v>
      </c>
      <c r="CB34" s="6">
        <v>1059</v>
      </c>
      <c r="CC34" s="6">
        <f t="shared" si="15"/>
        <v>330</v>
      </c>
      <c r="CD34" s="6"/>
      <c r="CE34" s="6"/>
      <c r="CF34" s="6"/>
      <c r="CG34" s="6">
        <v>650</v>
      </c>
      <c r="CH34" s="6"/>
      <c r="CI34" s="6">
        <f t="shared" si="16"/>
        <v>375</v>
      </c>
      <c r="CJ34" s="6">
        <v>1039</v>
      </c>
      <c r="CK34" s="6"/>
      <c r="CL34" s="6">
        <f t="shared" si="17"/>
        <v>389</v>
      </c>
      <c r="CM34" s="6">
        <v>353</v>
      </c>
      <c r="CN34" s="6">
        <v>1057</v>
      </c>
      <c r="CO34" s="6">
        <f t="shared" si="18"/>
        <v>371</v>
      </c>
      <c r="CP34" s="6">
        <v>731</v>
      </c>
      <c r="CQ34" s="6"/>
      <c r="CR34" s="6">
        <f t="shared" si="19"/>
        <v>378</v>
      </c>
      <c r="CS34" s="6">
        <v>1111</v>
      </c>
      <c r="CT34" s="6"/>
      <c r="CU34" s="6">
        <f t="shared" si="20"/>
        <v>380</v>
      </c>
      <c r="CV34" s="6">
        <v>1317</v>
      </c>
      <c r="CW34" s="6"/>
      <c r="CX34" s="6">
        <f t="shared" si="21"/>
        <v>206</v>
      </c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</row>
    <row r="35" spans="1:117">
      <c r="A35" s="6">
        <v>31</v>
      </c>
      <c r="B35" s="6">
        <v>0</v>
      </c>
      <c r="C35" s="6">
        <v>1571</v>
      </c>
      <c r="D35" s="6">
        <v>351</v>
      </c>
      <c r="E35" s="33" t="s">
        <v>37</v>
      </c>
      <c r="F35" s="148" t="s">
        <v>37</v>
      </c>
      <c r="G35" s="33" t="s">
        <v>37</v>
      </c>
      <c r="H35" s="33" t="s">
        <v>37</v>
      </c>
      <c r="I35" s="33" t="s">
        <v>37</v>
      </c>
      <c r="J35" s="33" t="s">
        <v>37</v>
      </c>
      <c r="K35" s="33" t="s">
        <v>37</v>
      </c>
      <c r="L35" s="33" t="s">
        <v>37</v>
      </c>
      <c r="M35" s="33" t="s">
        <v>37</v>
      </c>
      <c r="N35" s="33" t="s">
        <v>37</v>
      </c>
      <c r="O35" s="33" t="s">
        <v>37</v>
      </c>
      <c r="P35" s="33" t="s">
        <v>37</v>
      </c>
      <c r="Q35" s="33" t="s">
        <v>37</v>
      </c>
      <c r="R35" s="33" t="s">
        <v>37</v>
      </c>
      <c r="S35" s="33" t="s">
        <v>37</v>
      </c>
      <c r="T35" s="33" t="s">
        <v>37</v>
      </c>
      <c r="U35" s="33" t="s">
        <v>37</v>
      </c>
      <c r="V35" s="33" t="s">
        <v>37</v>
      </c>
      <c r="W35" s="33" t="s">
        <v>37</v>
      </c>
      <c r="X35" s="33" t="s">
        <v>37</v>
      </c>
      <c r="Y35" s="33" t="s">
        <v>37</v>
      </c>
      <c r="Z35" s="33" t="s">
        <v>37</v>
      </c>
      <c r="AA35" s="148" t="s">
        <v>37</v>
      </c>
      <c r="AB35" s="6">
        <v>360</v>
      </c>
      <c r="AC35" s="6"/>
      <c r="AD35" s="35">
        <f t="shared" si="0"/>
        <v>360</v>
      </c>
      <c r="AE35" s="6">
        <v>747</v>
      </c>
      <c r="AF35" s="6"/>
      <c r="AG35" s="35">
        <f t="shared" si="1"/>
        <v>387</v>
      </c>
      <c r="AH35" s="35">
        <v>1137</v>
      </c>
      <c r="AI35" s="35"/>
      <c r="AJ35" s="35">
        <f t="shared" si="2"/>
        <v>390</v>
      </c>
      <c r="AK35" s="6">
        <v>1502</v>
      </c>
      <c r="AL35" s="6"/>
      <c r="AM35" s="35">
        <f t="shared" si="3"/>
        <v>365</v>
      </c>
      <c r="AN35" s="6"/>
      <c r="AO35" s="6"/>
      <c r="AP35" s="34"/>
      <c r="AQ35" s="35">
        <v>331</v>
      </c>
      <c r="AR35" s="35">
        <v>1560</v>
      </c>
      <c r="AS35" s="35">
        <f t="shared" si="4"/>
        <v>389</v>
      </c>
      <c r="AT35" s="6">
        <v>719</v>
      </c>
      <c r="AU35" s="6"/>
      <c r="AV35" s="35">
        <f t="shared" si="5"/>
        <v>388</v>
      </c>
      <c r="AW35" s="6">
        <v>1107</v>
      </c>
      <c r="AX35" s="6"/>
      <c r="AY35" s="35">
        <f t="shared" si="6"/>
        <v>388</v>
      </c>
      <c r="AZ35" s="35">
        <v>1496</v>
      </c>
      <c r="BA35" s="35"/>
      <c r="BB35" s="35">
        <f t="shared" si="7"/>
        <v>389</v>
      </c>
      <c r="BC35" s="6">
        <v>300</v>
      </c>
      <c r="BD35" s="6">
        <v>1560</v>
      </c>
      <c r="BE35" s="35">
        <f t="shared" si="8"/>
        <v>364</v>
      </c>
      <c r="BF35" s="6">
        <v>675</v>
      </c>
      <c r="BG35" s="6"/>
      <c r="BH35" s="6">
        <f t="shared" si="9"/>
        <v>375</v>
      </c>
      <c r="BI35" s="6"/>
      <c r="BJ35" s="6"/>
      <c r="BK35" s="6"/>
      <c r="BL35" s="6">
        <v>1066</v>
      </c>
      <c r="BM35" s="6"/>
      <c r="BN35" s="6">
        <f t="shared" si="10"/>
        <v>391</v>
      </c>
      <c r="BO35" s="6">
        <v>1443</v>
      </c>
      <c r="BP35" s="6"/>
      <c r="BQ35" s="35">
        <f t="shared" si="11"/>
        <v>377</v>
      </c>
      <c r="BR35" s="6">
        <v>267</v>
      </c>
      <c r="BS35" s="6">
        <v>1560</v>
      </c>
      <c r="BT35" s="6">
        <f t="shared" si="12"/>
        <v>384</v>
      </c>
      <c r="BU35" s="6">
        <v>645</v>
      </c>
      <c r="BV35" s="6"/>
      <c r="BW35" s="35">
        <f t="shared" si="13"/>
        <v>378</v>
      </c>
      <c r="BX35" s="6">
        <v>1021</v>
      </c>
      <c r="BY35" s="6"/>
      <c r="BZ35" s="6">
        <f t="shared" si="14"/>
        <v>376</v>
      </c>
      <c r="CA35" s="6">
        <v>1384</v>
      </c>
      <c r="CB35" s="6"/>
      <c r="CC35" s="6">
        <f t="shared" si="15"/>
        <v>363</v>
      </c>
      <c r="CD35" s="6"/>
      <c r="CE35" s="6"/>
      <c r="CF35" s="6"/>
      <c r="CG35" s="6">
        <v>209</v>
      </c>
      <c r="CH35" s="6">
        <v>1562</v>
      </c>
      <c r="CI35" s="6">
        <f t="shared" si="16"/>
        <v>387</v>
      </c>
      <c r="CJ35" s="6">
        <v>581</v>
      </c>
      <c r="CK35" s="6"/>
      <c r="CL35" s="6">
        <f t="shared" si="17"/>
        <v>372</v>
      </c>
      <c r="CM35" s="6">
        <v>956</v>
      </c>
      <c r="CN35" s="6"/>
      <c r="CO35" s="6">
        <f t="shared" si="18"/>
        <v>375</v>
      </c>
      <c r="CP35" s="6">
        <v>1327</v>
      </c>
      <c r="CQ35" s="6"/>
      <c r="CR35" s="6">
        <f t="shared" si="19"/>
        <v>371</v>
      </c>
      <c r="CS35" s="6">
        <v>0</v>
      </c>
      <c r="CT35" s="6">
        <v>1587</v>
      </c>
      <c r="CU35" s="6">
        <f t="shared" si="20"/>
        <v>260</v>
      </c>
      <c r="CV35" s="6">
        <v>182</v>
      </c>
      <c r="CW35" s="6"/>
      <c r="CX35" s="6">
        <f t="shared" si="21"/>
        <v>182</v>
      </c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</row>
    <row r="36" spans="1:117">
      <c r="A36" s="6">
        <v>32</v>
      </c>
      <c r="B36" s="6">
        <v>333</v>
      </c>
      <c r="C36" s="6"/>
      <c r="D36" s="6">
        <v>333</v>
      </c>
      <c r="E36" s="148" t="s">
        <v>37</v>
      </c>
      <c r="F36" s="33" t="s">
        <v>37</v>
      </c>
      <c r="G36" s="33" t="s">
        <v>37</v>
      </c>
      <c r="H36" s="33" t="s">
        <v>37</v>
      </c>
      <c r="I36" s="33" t="s">
        <v>37</v>
      </c>
      <c r="J36" s="33" t="s">
        <v>37</v>
      </c>
      <c r="K36" s="33" t="s">
        <v>37</v>
      </c>
      <c r="L36" s="33" t="s">
        <v>37</v>
      </c>
      <c r="M36" s="33" t="s">
        <v>37</v>
      </c>
      <c r="N36" s="33" t="s">
        <v>37</v>
      </c>
      <c r="O36" s="33" t="s">
        <v>37</v>
      </c>
      <c r="P36" s="33" t="s">
        <v>37</v>
      </c>
      <c r="Q36" s="33" t="s">
        <v>37</v>
      </c>
      <c r="R36" s="33" t="s">
        <v>37</v>
      </c>
      <c r="S36" s="33" t="s">
        <v>37</v>
      </c>
      <c r="T36" s="33" t="s">
        <v>37</v>
      </c>
      <c r="U36" s="33" t="s">
        <v>37</v>
      </c>
      <c r="V36" s="33" t="s">
        <v>37</v>
      </c>
      <c r="W36" s="33" t="s">
        <v>37</v>
      </c>
      <c r="X36" s="33" t="s">
        <v>37</v>
      </c>
      <c r="Y36" s="33" t="s">
        <v>37</v>
      </c>
      <c r="Z36" s="148" t="s">
        <v>37</v>
      </c>
      <c r="AA36" s="33" t="s">
        <v>37</v>
      </c>
      <c r="AB36" s="6">
        <v>734</v>
      </c>
      <c r="AC36" s="6"/>
      <c r="AD36" s="35">
        <f t="shared" si="0"/>
        <v>401</v>
      </c>
      <c r="AE36" s="6">
        <v>1119</v>
      </c>
      <c r="AF36" s="6"/>
      <c r="AG36" s="35">
        <f t="shared" si="1"/>
        <v>385</v>
      </c>
      <c r="AH36" s="35">
        <v>1512</v>
      </c>
      <c r="AI36" s="35"/>
      <c r="AJ36" s="35">
        <f t="shared" si="2"/>
        <v>393</v>
      </c>
      <c r="AK36" s="6">
        <v>317</v>
      </c>
      <c r="AL36" s="6">
        <v>1560</v>
      </c>
      <c r="AM36" s="35">
        <f t="shared" si="3"/>
        <v>365</v>
      </c>
      <c r="AN36" s="6"/>
      <c r="AO36" s="6"/>
      <c r="AP36" s="34"/>
      <c r="AQ36" s="35">
        <v>701</v>
      </c>
      <c r="AR36" s="35"/>
      <c r="AS36" s="35">
        <f t="shared" si="4"/>
        <v>384</v>
      </c>
      <c r="AT36" s="6">
        <v>1093</v>
      </c>
      <c r="AU36" s="6"/>
      <c r="AV36" s="35">
        <f t="shared" si="5"/>
        <v>392</v>
      </c>
      <c r="AW36" s="6">
        <v>1469</v>
      </c>
      <c r="AX36" s="6"/>
      <c r="AY36" s="35">
        <f t="shared" si="6"/>
        <v>376</v>
      </c>
      <c r="AZ36" s="35">
        <v>358</v>
      </c>
      <c r="BA36" s="35">
        <v>1500</v>
      </c>
      <c r="BB36" s="35">
        <f t="shared" si="7"/>
        <v>389</v>
      </c>
      <c r="BC36" s="6">
        <v>730</v>
      </c>
      <c r="BD36" s="6"/>
      <c r="BE36" s="35">
        <f t="shared" si="8"/>
        <v>372</v>
      </c>
      <c r="BF36" s="6">
        <v>11</v>
      </c>
      <c r="BG36" s="6">
        <v>1089</v>
      </c>
      <c r="BH36" s="6">
        <f t="shared" si="9"/>
        <v>370</v>
      </c>
      <c r="BI36" s="6"/>
      <c r="BJ36" s="6"/>
      <c r="BK36" s="6"/>
      <c r="BL36" s="6">
        <v>407</v>
      </c>
      <c r="BM36" s="6"/>
      <c r="BN36" s="6">
        <f t="shared" si="10"/>
        <v>396</v>
      </c>
      <c r="BO36" s="6">
        <v>783</v>
      </c>
      <c r="BP36" s="6"/>
      <c r="BQ36" s="35">
        <f t="shared" si="11"/>
        <v>376</v>
      </c>
      <c r="BR36" s="6">
        <v>380</v>
      </c>
      <c r="BS36" s="6">
        <v>788</v>
      </c>
      <c r="BT36" s="6">
        <f t="shared" si="12"/>
        <v>385</v>
      </c>
      <c r="BU36" s="6">
        <v>763</v>
      </c>
      <c r="BV36" s="6"/>
      <c r="BW36" s="35">
        <f t="shared" si="13"/>
        <v>383</v>
      </c>
      <c r="BX36" s="6">
        <v>1163</v>
      </c>
      <c r="BY36" s="6"/>
      <c r="BZ36" s="6">
        <f t="shared" si="14"/>
        <v>400</v>
      </c>
      <c r="CA36" s="6">
        <v>1537</v>
      </c>
      <c r="CB36" s="6"/>
      <c r="CC36" s="6">
        <f t="shared" si="15"/>
        <v>374</v>
      </c>
      <c r="CD36" s="6"/>
      <c r="CE36" s="6"/>
      <c r="CF36" s="6"/>
      <c r="CG36" s="6">
        <v>366</v>
      </c>
      <c r="CH36" s="6">
        <v>1560</v>
      </c>
      <c r="CI36" s="6">
        <f t="shared" si="16"/>
        <v>389</v>
      </c>
      <c r="CJ36" s="6">
        <v>755</v>
      </c>
      <c r="CK36" s="6"/>
      <c r="CL36" s="6">
        <f t="shared" si="17"/>
        <v>389</v>
      </c>
      <c r="CM36" s="6">
        <v>242</v>
      </c>
      <c r="CN36" s="6">
        <v>889</v>
      </c>
      <c r="CO36" s="6">
        <f t="shared" si="18"/>
        <v>376</v>
      </c>
      <c r="CP36" s="6">
        <v>0</v>
      </c>
      <c r="CQ36" s="6">
        <v>467</v>
      </c>
      <c r="CR36" s="6">
        <f t="shared" si="19"/>
        <v>225</v>
      </c>
      <c r="CS36" s="6">
        <v>369</v>
      </c>
      <c r="CT36" s="6"/>
      <c r="CU36" s="6">
        <f t="shared" si="20"/>
        <v>369</v>
      </c>
      <c r="CV36" s="6">
        <v>577</v>
      </c>
      <c r="CW36" s="6"/>
      <c r="CX36" s="6">
        <f t="shared" si="21"/>
        <v>208</v>
      </c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</row>
    <row r="37" spans="1:117">
      <c r="A37" s="6">
        <v>33</v>
      </c>
      <c r="B37" s="6">
        <v>687</v>
      </c>
      <c r="C37" s="6"/>
      <c r="D37" s="6">
        <v>347</v>
      </c>
      <c r="E37" s="33" t="s">
        <v>37</v>
      </c>
      <c r="F37" s="33" t="s">
        <v>37</v>
      </c>
      <c r="G37" s="33" t="s">
        <v>37</v>
      </c>
      <c r="H37" s="33" t="s">
        <v>37</v>
      </c>
      <c r="I37" s="33" t="s">
        <v>37</v>
      </c>
      <c r="J37" s="33" t="s">
        <v>37</v>
      </c>
      <c r="K37" s="33" t="s">
        <v>37</v>
      </c>
      <c r="L37" s="33" t="s">
        <v>37</v>
      </c>
      <c r="M37" s="33" t="s">
        <v>37</v>
      </c>
      <c r="N37" s="33" t="s">
        <v>37</v>
      </c>
      <c r="O37" s="33" t="s">
        <v>37</v>
      </c>
      <c r="P37" s="33" t="s">
        <v>37</v>
      </c>
      <c r="Q37" s="33" t="s">
        <v>37</v>
      </c>
      <c r="R37" s="33" t="s">
        <v>37</v>
      </c>
      <c r="S37" s="33" t="s">
        <v>37</v>
      </c>
      <c r="T37" s="33" t="s">
        <v>37</v>
      </c>
      <c r="U37" s="33" t="s">
        <v>37</v>
      </c>
      <c r="V37" s="33" t="s">
        <v>37</v>
      </c>
      <c r="W37" s="33" t="s">
        <v>37</v>
      </c>
      <c r="X37" s="33" t="s">
        <v>37</v>
      </c>
      <c r="Y37" s="148" t="s">
        <v>307</v>
      </c>
      <c r="Z37" s="33" t="s">
        <v>307</v>
      </c>
      <c r="AA37" s="33" t="s">
        <v>307</v>
      </c>
      <c r="AB37" s="35">
        <v>1064</v>
      </c>
      <c r="AC37" s="35"/>
      <c r="AD37" s="35">
        <f t="shared" si="0"/>
        <v>377</v>
      </c>
      <c r="AE37" s="35">
        <v>1444</v>
      </c>
      <c r="AF37" s="35"/>
      <c r="AG37" s="35">
        <f t="shared" si="1"/>
        <v>380</v>
      </c>
      <c r="AH37" s="35">
        <v>273</v>
      </c>
      <c r="AI37" s="35">
        <v>1560</v>
      </c>
      <c r="AJ37" s="35">
        <f t="shared" si="2"/>
        <v>389</v>
      </c>
      <c r="AK37" s="35">
        <v>218</v>
      </c>
      <c r="AL37" s="35">
        <v>414</v>
      </c>
      <c r="AM37" s="35">
        <f t="shared" si="3"/>
        <v>359</v>
      </c>
      <c r="AN37" s="35"/>
      <c r="AO37" s="35"/>
      <c r="AP37" s="34"/>
      <c r="AQ37" s="35">
        <v>586</v>
      </c>
      <c r="AR37" s="35"/>
      <c r="AS37" s="35">
        <f t="shared" si="4"/>
        <v>368</v>
      </c>
      <c r="AT37" s="6">
        <v>974</v>
      </c>
      <c r="AU37" s="6"/>
      <c r="AV37" s="35">
        <f t="shared" si="5"/>
        <v>388</v>
      </c>
      <c r="AW37" s="35">
        <v>1370</v>
      </c>
      <c r="AX37" s="35"/>
      <c r="AY37" s="35">
        <f t="shared" si="6"/>
        <v>396</v>
      </c>
      <c r="AZ37" s="6">
        <v>197</v>
      </c>
      <c r="BA37" s="6">
        <v>1560</v>
      </c>
      <c r="BB37" s="35">
        <f t="shared" si="7"/>
        <v>387</v>
      </c>
      <c r="BC37" s="6">
        <v>573</v>
      </c>
      <c r="BD37" s="6"/>
      <c r="BE37" s="35">
        <f t="shared" si="8"/>
        <v>376</v>
      </c>
      <c r="BF37" s="6">
        <v>958</v>
      </c>
      <c r="BG37" s="6"/>
      <c r="BH37" s="6">
        <f t="shared" si="9"/>
        <v>385</v>
      </c>
      <c r="BI37" s="6"/>
      <c r="BJ37" s="6"/>
      <c r="BK37" s="6"/>
      <c r="BL37" s="6">
        <v>293</v>
      </c>
      <c r="BM37" s="6">
        <v>1062</v>
      </c>
      <c r="BN37" s="6">
        <f t="shared" si="10"/>
        <v>397</v>
      </c>
      <c r="BO37" s="6">
        <v>670</v>
      </c>
      <c r="BP37" s="6"/>
      <c r="BQ37" s="35">
        <f t="shared" si="11"/>
        <v>377</v>
      </c>
      <c r="BR37" s="6">
        <v>1067</v>
      </c>
      <c r="BS37" s="6"/>
      <c r="BT37" s="6">
        <f t="shared" si="12"/>
        <v>397</v>
      </c>
      <c r="BU37" s="6">
        <v>1462</v>
      </c>
      <c r="BV37" s="6"/>
      <c r="BW37" s="35">
        <f t="shared" si="13"/>
        <v>395</v>
      </c>
      <c r="BX37" s="6">
        <v>302</v>
      </c>
      <c r="BY37" s="6">
        <v>1560</v>
      </c>
      <c r="BZ37" s="6">
        <f t="shared" si="14"/>
        <v>400</v>
      </c>
      <c r="CA37" s="6">
        <v>682</v>
      </c>
      <c r="CB37" s="6"/>
      <c r="CC37" s="6">
        <f t="shared" si="15"/>
        <v>380</v>
      </c>
      <c r="CD37" s="6"/>
      <c r="CE37" s="6"/>
      <c r="CF37" s="6"/>
      <c r="CG37" s="6">
        <v>1090</v>
      </c>
      <c r="CH37" s="6"/>
      <c r="CI37" s="6">
        <f t="shared" si="16"/>
        <v>408</v>
      </c>
      <c r="CJ37" s="6">
        <v>1484</v>
      </c>
      <c r="CK37" s="6"/>
      <c r="CL37" s="6">
        <f t="shared" si="17"/>
        <v>394</v>
      </c>
      <c r="CM37" s="6">
        <v>0</v>
      </c>
      <c r="CN37" s="6">
        <v>1683</v>
      </c>
      <c r="CO37" s="6">
        <f t="shared" si="18"/>
        <v>199</v>
      </c>
      <c r="CP37" s="6">
        <v>357</v>
      </c>
      <c r="CQ37" s="6"/>
      <c r="CR37" s="6">
        <f t="shared" si="19"/>
        <v>357</v>
      </c>
      <c r="CS37" s="6">
        <v>129</v>
      </c>
      <c r="CT37" s="6">
        <v>617</v>
      </c>
      <c r="CU37" s="6">
        <f t="shared" si="20"/>
        <v>389</v>
      </c>
      <c r="CV37" s="6">
        <v>344</v>
      </c>
      <c r="CW37" s="6"/>
      <c r="CX37" s="6">
        <f t="shared" si="21"/>
        <v>215</v>
      </c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</row>
    <row r="38" spans="1:117">
      <c r="A38" s="6">
        <v>34</v>
      </c>
      <c r="B38" s="6">
        <v>130</v>
      </c>
      <c r="C38" s="6">
        <v>1326</v>
      </c>
      <c r="D38" s="6">
        <v>352</v>
      </c>
      <c r="E38" s="33" t="s">
        <v>128</v>
      </c>
      <c r="F38" s="33" t="s">
        <v>128</v>
      </c>
      <c r="G38" s="33" t="s">
        <v>128</v>
      </c>
      <c r="H38" s="33" t="s">
        <v>128</v>
      </c>
      <c r="I38" s="33" t="s">
        <v>128</v>
      </c>
      <c r="J38" s="33" t="s">
        <v>128</v>
      </c>
      <c r="K38" s="33" t="s">
        <v>128</v>
      </c>
      <c r="L38" s="33" t="s">
        <v>128</v>
      </c>
      <c r="M38" s="148" t="s">
        <v>128</v>
      </c>
      <c r="N38" s="33" t="s">
        <v>128</v>
      </c>
      <c r="O38" s="33" t="s">
        <v>128</v>
      </c>
      <c r="P38" s="33" t="s">
        <v>128</v>
      </c>
      <c r="Q38" s="33" t="s">
        <v>128</v>
      </c>
      <c r="R38" s="33" t="s">
        <v>128</v>
      </c>
      <c r="S38" s="33" t="s">
        <v>128</v>
      </c>
      <c r="T38" s="33" t="s">
        <v>128</v>
      </c>
      <c r="U38" s="33" t="s">
        <v>128</v>
      </c>
      <c r="V38" s="33" t="s">
        <v>128</v>
      </c>
      <c r="W38" s="33" t="s">
        <v>128</v>
      </c>
      <c r="X38" s="33" t="s">
        <v>128</v>
      </c>
      <c r="Y38" s="33" t="s">
        <v>128</v>
      </c>
      <c r="Z38" s="148" t="s">
        <v>307</v>
      </c>
      <c r="AA38" s="33" t="s">
        <v>307</v>
      </c>
      <c r="AB38" s="35">
        <v>538</v>
      </c>
      <c r="AC38" s="35"/>
      <c r="AD38" s="35">
        <f t="shared" si="0"/>
        <v>408</v>
      </c>
      <c r="AE38" s="35">
        <v>905</v>
      </c>
      <c r="AF38" s="35"/>
      <c r="AG38" s="35">
        <f t="shared" si="1"/>
        <v>367</v>
      </c>
      <c r="AH38" s="35">
        <v>243</v>
      </c>
      <c r="AI38" s="35">
        <v>1038</v>
      </c>
      <c r="AJ38" s="35">
        <f t="shared" si="2"/>
        <v>376</v>
      </c>
      <c r="AK38" s="35">
        <v>151</v>
      </c>
      <c r="AL38" s="35">
        <v>454</v>
      </c>
      <c r="AM38" s="35">
        <f t="shared" si="3"/>
        <v>362</v>
      </c>
      <c r="AN38" s="35"/>
      <c r="AO38" s="35"/>
      <c r="AP38" s="34"/>
      <c r="AQ38" s="35">
        <v>542</v>
      </c>
      <c r="AR38" s="35"/>
      <c r="AS38" s="35">
        <f t="shared" si="4"/>
        <v>391</v>
      </c>
      <c r="AT38" s="6">
        <v>932</v>
      </c>
      <c r="AU38" s="6"/>
      <c r="AV38" s="35">
        <f t="shared" si="5"/>
        <v>390</v>
      </c>
      <c r="AW38" s="35">
        <v>0</v>
      </c>
      <c r="AX38" s="6">
        <v>1257</v>
      </c>
      <c r="AY38" s="35">
        <f t="shared" si="6"/>
        <v>325</v>
      </c>
      <c r="AZ38" s="6">
        <v>338</v>
      </c>
      <c r="BA38" s="6"/>
      <c r="BB38" s="35">
        <f t="shared" si="7"/>
        <v>338</v>
      </c>
      <c r="BC38" s="6">
        <v>707</v>
      </c>
      <c r="BD38" s="6"/>
      <c r="BE38" s="35">
        <f t="shared" si="8"/>
        <v>369</v>
      </c>
      <c r="BF38" s="6">
        <v>1068</v>
      </c>
      <c r="BG38" s="6"/>
      <c r="BH38" s="6">
        <f t="shared" si="9"/>
        <v>361</v>
      </c>
      <c r="BI38" s="6"/>
      <c r="BJ38" s="6"/>
      <c r="BK38" s="6"/>
      <c r="BL38" s="6">
        <v>1470</v>
      </c>
      <c r="BM38" s="6"/>
      <c r="BN38" s="6">
        <f t="shared" si="10"/>
        <v>402</v>
      </c>
      <c r="BO38" s="6">
        <v>298</v>
      </c>
      <c r="BP38" s="6">
        <v>1560</v>
      </c>
      <c r="BQ38" s="35">
        <f t="shared" si="11"/>
        <v>388</v>
      </c>
      <c r="BR38" s="6">
        <v>673</v>
      </c>
      <c r="BS38" s="6"/>
      <c r="BT38" s="6">
        <f t="shared" si="12"/>
        <v>375</v>
      </c>
      <c r="BU38" s="6">
        <v>1066</v>
      </c>
      <c r="BV38" s="6"/>
      <c r="BW38" s="35">
        <f t="shared" si="13"/>
        <v>393</v>
      </c>
      <c r="BX38" s="6">
        <v>1453</v>
      </c>
      <c r="BY38" s="6"/>
      <c r="BZ38" s="6">
        <f t="shared" si="14"/>
        <v>387</v>
      </c>
      <c r="CA38" s="6">
        <v>265</v>
      </c>
      <c r="CB38" s="6">
        <v>1560</v>
      </c>
      <c r="CC38" s="6">
        <f t="shared" si="15"/>
        <v>372</v>
      </c>
      <c r="CD38" s="6"/>
      <c r="CE38" s="6"/>
      <c r="CF38" s="6"/>
      <c r="CG38" s="6">
        <v>666</v>
      </c>
      <c r="CH38" s="6"/>
      <c r="CI38" s="6">
        <f t="shared" si="16"/>
        <v>401</v>
      </c>
      <c r="CJ38" s="6">
        <v>1063</v>
      </c>
      <c r="CK38" s="6"/>
      <c r="CL38" s="6">
        <f t="shared" si="17"/>
        <v>397</v>
      </c>
      <c r="CM38" s="6">
        <v>1450</v>
      </c>
      <c r="CN38" s="6"/>
      <c r="CO38" s="6">
        <f t="shared" si="18"/>
        <v>387</v>
      </c>
      <c r="CP38" s="6">
        <v>0</v>
      </c>
      <c r="CQ38" s="6">
        <v>1664</v>
      </c>
      <c r="CR38" s="6">
        <f t="shared" si="19"/>
        <v>214</v>
      </c>
      <c r="CS38" s="6">
        <v>378</v>
      </c>
      <c r="CT38" s="6"/>
      <c r="CU38" s="6">
        <f t="shared" si="20"/>
        <v>378</v>
      </c>
      <c r="CV38" s="6">
        <v>592</v>
      </c>
      <c r="CW38" s="6"/>
      <c r="CX38" s="6">
        <f t="shared" si="21"/>
        <v>214</v>
      </c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</row>
    <row r="39" spans="1:117">
      <c r="A39" s="6">
        <v>35</v>
      </c>
      <c r="B39" s="6">
        <v>607</v>
      </c>
      <c r="C39" s="6"/>
      <c r="D39" s="6">
        <v>356</v>
      </c>
      <c r="E39" s="33" t="s">
        <v>37</v>
      </c>
      <c r="F39" s="33" t="s">
        <v>37</v>
      </c>
      <c r="G39" s="33" t="s">
        <v>37</v>
      </c>
      <c r="H39" s="33" t="s">
        <v>37</v>
      </c>
      <c r="I39" s="33" t="s">
        <v>37</v>
      </c>
      <c r="J39" s="33" t="s">
        <v>37</v>
      </c>
      <c r="K39" s="33" t="s">
        <v>37</v>
      </c>
      <c r="L39" s="33" t="s">
        <v>37</v>
      </c>
      <c r="M39" s="33" t="s">
        <v>37</v>
      </c>
      <c r="N39" s="33" t="s">
        <v>37</v>
      </c>
      <c r="O39" s="33" t="s">
        <v>37</v>
      </c>
      <c r="P39" s="33" t="s">
        <v>37</v>
      </c>
      <c r="Q39" s="33" t="s">
        <v>37</v>
      </c>
      <c r="R39" s="33" t="s">
        <v>37</v>
      </c>
      <c r="S39" s="33" t="s">
        <v>37</v>
      </c>
      <c r="T39" s="33" t="s">
        <v>37</v>
      </c>
      <c r="U39" s="33" t="s">
        <v>37</v>
      </c>
      <c r="V39" s="33" t="s">
        <v>37</v>
      </c>
      <c r="W39" s="33" t="s">
        <v>37</v>
      </c>
      <c r="X39" s="33" t="s">
        <v>37</v>
      </c>
      <c r="Y39" s="148" t="s">
        <v>307</v>
      </c>
      <c r="Z39" s="33" t="s">
        <v>307</v>
      </c>
      <c r="AA39" s="33" t="s">
        <v>307</v>
      </c>
      <c r="AB39" s="6">
        <v>1014</v>
      </c>
      <c r="AC39" s="6"/>
      <c r="AD39" s="35">
        <f t="shared" si="0"/>
        <v>407</v>
      </c>
      <c r="AE39" s="6">
        <v>1401</v>
      </c>
      <c r="AF39" s="6"/>
      <c r="AG39" s="35">
        <f t="shared" si="1"/>
        <v>387</v>
      </c>
      <c r="AH39" s="35">
        <v>232</v>
      </c>
      <c r="AI39" s="35">
        <v>1560</v>
      </c>
      <c r="AJ39" s="35">
        <f t="shared" si="2"/>
        <v>391</v>
      </c>
      <c r="AK39" s="6">
        <v>600</v>
      </c>
      <c r="AL39" s="6"/>
      <c r="AM39" s="35">
        <f t="shared" si="3"/>
        <v>368</v>
      </c>
      <c r="AN39" s="6"/>
      <c r="AO39" s="6"/>
      <c r="AP39" s="34"/>
      <c r="AQ39" s="35">
        <v>992</v>
      </c>
      <c r="AR39" s="35"/>
      <c r="AS39" s="35">
        <f t="shared" si="4"/>
        <v>392</v>
      </c>
      <c r="AT39" s="6">
        <v>1381</v>
      </c>
      <c r="AU39" s="6"/>
      <c r="AV39" s="35">
        <f t="shared" si="5"/>
        <v>389</v>
      </c>
      <c r="AW39" s="6">
        <v>206</v>
      </c>
      <c r="AX39" s="6">
        <v>1560</v>
      </c>
      <c r="AY39" s="35">
        <f t="shared" si="6"/>
        <v>385</v>
      </c>
      <c r="AZ39" s="35">
        <v>94</v>
      </c>
      <c r="BA39" s="35">
        <v>497</v>
      </c>
      <c r="BB39" s="35">
        <f t="shared" si="7"/>
        <v>385</v>
      </c>
      <c r="BC39" s="6">
        <v>491</v>
      </c>
      <c r="BD39" s="6"/>
      <c r="BE39" s="35">
        <f t="shared" si="8"/>
        <v>397</v>
      </c>
      <c r="BF39" s="6">
        <v>867</v>
      </c>
      <c r="BG39" s="6"/>
      <c r="BH39" s="6">
        <f t="shared" si="9"/>
        <v>376</v>
      </c>
      <c r="BI39" s="6"/>
      <c r="BJ39" s="6"/>
      <c r="BK39" s="6"/>
      <c r="BL39" s="6">
        <v>301</v>
      </c>
      <c r="BM39" s="6">
        <v>972</v>
      </c>
      <c r="BN39" s="6">
        <f t="shared" si="10"/>
        <v>406</v>
      </c>
      <c r="BO39" s="6">
        <v>692</v>
      </c>
      <c r="BP39" s="6"/>
      <c r="BQ39" s="35">
        <f t="shared" si="11"/>
        <v>391</v>
      </c>
      <c r="BR39" s="6">
        <v>1090</v>
      </c>
      <c r="BS39" s="6"/>
      <c r="BT39" s="6">
        <f t="shared" si="12"/>
        <v>398</v>
      </c>
      <c r="BU39" s="6">
        <v>1489</v>
      </c>
      <c r="BV39" s="6"/>
      <c r="BW39" s="35">
        <f t="shared" si="13"/>
        <v>399</v>
      </c>
      <c r="BX39" s="35">
        <v>333</v>
      </c>
      <c r="BY39" s="6">
        <v>1560</v>
      </c>
      <c r="BZ39" s="6">
        <f t="shared" si="14"/>
        <v>404</v>
      </c>
      <c r="CA39" s="6">
        <v>9</v>
      </c>
      <c r="CB39" s="6">
        <v>701</v>
      </c>
      <c r="CC39" s="6">
        <f t="shared" si="15"/>
        <v>377</v>
      </c>
      <c r="CD39" s="6"/>
      <c r="CE39" s="6"/>
      <c r="CF39" s="6"/>
      <c r="CG39" s="6">
        <v>417</v>
      </c>
      <c r="CH39" s="6"/>
      <c r="CI39" s="6">
        <f t="shared" si="16"/>
        <v>408</v>
      </c>
      <c r="CJ39" s="6">
        <v>808</v>
      </c>
      <c r="CK39" s="6"/>
      <c r="CL39" s="6">
        <f t="shared" si="17"/>
        <v>391</v>
      </c>
      <c r="CM39" s="6">
        <v>0</v>
      </c>
      <c r="CN39" s="6">
        <v>1002</v>
      </c>
      <c r="CO39" s="6">
        <f t="shared" si="18"/>
        <v>194</v>
      </c>
      <c r="CP39" s="6">
        <v>371</v>
      </c>
      <c r="CQ39" s="6"/>
      <c r="CR39" s="6">
        <f t="shared" si="19"/>
        <v>371</v>
      </c>
      <c r="CS39" s="6">
        <v>771</v>
      </c>
      <c r="CT39" s="6"/>
      <c r="CU39" s="6">
        <f t="shared" si="20"/>
        <v>400</v>
      </c>
      <c r="CV39" s="6">
        <v>988</v>
      </c>
      <c r="CW39" s="6"/>
      <c r="CX39" s="6">
        <f t="shared" si="21"/>
        <v>217</v>
      </c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</row>
    <row r="40" spans="1:117" ht="14.25" customHeight="1">
      <c r="A40" s="6">
        <v>36</v>
      </c>
      <c r="B40" s="6">
        <v>1054</v>
      </c>
      <c r="C40" s="6"/>
      <c r="D40" s="6">
        <v>357</v>
      </c>
      <c r="E40" s="33" t="s">
        <v>37</v>
      </c>
      <c r="F40" s="33" t="s">
        <v>37</v>
      </c>
      <c r="G40" s="33" t="s">
        <v>37</v>
      </c>
      <c r="H40" s="33" t="s">
        <v>37</v>
      </c>
      <c r="I40" s="33" t="s">
        <v>37</v>
      </c>
      <c r="J40" s="33" t="s">
        <v>37</v>
      </c>
      <c r="K40" s="33" t="s">
        <v>37</v>
      </c>
      <c r="L40" s="33" t="s">
        <v>37</v>
      </c>
      <c r="M40" s="33" t="s">
        <v>37</v>
      </c>
      <c r="N40" s="33" t="s">
        <v>37</v>
      </c>
      <c r="O40" s="33" t="s">
        <v>37</v>
      </c>
      <c r="P40" s="33" t="s">
        <v>37</v>
      </c>
      <c r="Q40" s="33" t="s">
        <v>37</v>
      </c>
      <c r="R40" s="33" t="s">
        <v>37</v>
      </c>
      <c r="S40" s="33" t="s">
        <v>37</v>
      </c>
      <c r="T40" s="148" t="s">
        <v>37</v>
      </c>
      <c r="U40" s="33" t="s">
        <v>37</v>
      </c>
      <c r="V40" s="33" t="s">
        <v>37</v>
      </c>
      <c r="W40" s="33" t="s">
        <v>37</v>
      </c>
      <c r="X40" s="33" t="s">
        <v>37</v>
      </c>
      <c r="Y40" s="33" t="s">
        <v>37</v>
      </c>
      <c r="Z40" s="33" t="s">
        <v>37</v>
      </c>
      <c r="AA40" s="33" t="s">
        <v>37</v>
      </c>
      <c r="AB40" s="6">
        <v>1466</v>
      </c>
      <c r="AC40" s="6"/>
      <c r="AD40" s="35">
        <f t="shared" si="0"/>
        <v>412</v>
      </c>
      <c r="AE40" s="6">
        <v>285</v>
      </c>
      <c r="AF40" s="6">
        <v>1560</v>
      </c>
      <c r="AG40" s="35">
        <f t="shared" si="1"/>
        <v>379</v>
      </c>
      <c r="AH40" s="35">
        <v>670</v>
      </c>
      <c r="AI40" s="35"/>
      <c r="AJ40" s="35">
        <f t="shared" si="2"/>
        <v>385</v>
      </c>
      <c r="AK40" s="6">
        <v>1034</v>
      </c>
      <c r="AL40" s="6"/>
      <c r="AM40" s="35">
        <f t="shared" si="3"/>
        <v>364</v>
      </c>
      <c r="AN40" s="6"/>
      <c r="AO40" s="6"/>
      <c r="AP40" s="34"/>
      <c r="AQ40" s="35">
        <v>1416</v>
      </c>
      <c r="AR40" s="35"/>
      <c r="AS40" s="35">
        <f t="shared" si="4"/>
        <v>382</v>
      </c>
      <c r="AT40" s="6">
        <v>249</v>
      </c>
      <c r="AU40" s="6">
        <v>1560</v>
      </c>
      <c r="AV40" s="35">
        <f t="shared" si="5"/>
        <v>393</v>
      </c>
      <c r="AW40" s="6">
        <v>628</v>
      </c>
      <c r="AX40" s="6"/>
      <c r="AY40" s="35">
        <f t="shared" si="6"/>
        <v>379</v>
      </c>
      <c r="AZ40" s="35">
        <v>126</v>
      </c>
      <c r="BA40" s="35">
        <v>880</v>
      </c>
      <c r="BB40" s="35">
        <f t="shared" si="7"/>
        <v>378</v>
      </c>
      <c r="BC40" s="6">
        <v>521</v>
      </c>
      <c r="BD40" s="6"/>
      <c r="BE40" s="35">
        <f t="shared" si="8"/>
        <v>395</v>
      </c>
      <c r="BF40" s="6">
        <v>904</v>
      </c>
      <c r="BG40" s="6"/>
      <c r="BH40" s="6">
        <f t="shared" si="9"/>
        <v>383</v>
      </c>
      <c r="BI40" s="6"/>
      <c r="BJ40" s="6"/>
      <c r="BK40" s="6"/>
      <c r="BL40" s="6">
        <v>361</v>
      </c>
      <c r="BM40" s="6">
        <v>933</v>
      </c>
      <c r="BN40" s="6">
        <f t="shared" si="10"/>
        <v>390</v>
      </c>
      <c r="BO40" s="6">
        <v>750</v>
      </c>
      <c r="BP40" s="6"/>
      <c r="BQ40" s="35">
        <f t="shared" si="11"/>
        <v>389</v>
      </c>
      <c r="BR40" s="6">
        <v>1142</v>
      </c>
      <c r="BS40" s="6"/>
      <c r="BT40" s="6">
        <f t="shared" si="12"/>
        <v>392</v>
      </c>
      <c r="BU40" s="6">
        <v>0</v>
      </c>
      <c r="BV40" s="6">
        <v>1335</v>
      </c>
      <c r="BW40" s="35">
        <f t="shared" si="13"/>
        <v>193</v>
      </c>
      <c r="BX40" s="6">
        <v>343</v>
      </c>
      <c r="BY40" s="6"/>
      <c r="BZ40" s="6">
        <f t="shared" si="14"/>
        <v>343</v>
      </c>
      <c r="CA40" s="6">
        <v>716</v>
      </c>
      <c r="CB40" s="6"/>
      <c r="CC40" s="6">
        <f t="shared" si="15"/>
        <v>373</v>
      </c>
      <c r="CD40" s="6"/>
      <c r="CE40" s="6"/>
      <c r="CF40" s="6"/>
      <c r="CG40" s="6">
        <v>1112</v>
      </c>
      <c r="CH40" s="6"/>
      <c r="CI40" s="6">
        <f t="shared" si="16"/>
        <v>396</v>
      </c>
      <c r="CJ40" s="6">
        <v>0</v>
      </c>
      <c r="CK40" s="6">
        <v>1495</v>
      </c>
      <c r="CL40" s="6">
        <f t="shared" si="17"/>
        <v>383</v>
      </c>
      <c r="CM40" s="6">
        <v>387</v>
      </c>
      <c r="CN40" s="6"/>
      <c r="CO40" s="6">
        <f t="shared" si="18"/>
        <v>387</v>
      </c>
      <c r="CP40" s="6">
        <v>777</v>
      </c>
      <c r="CQ40" s="6"/>
      <c r="CR40" s="6">
        <f t="shared" si="19"/>
        <v>390</v>
      </c>
      <c r="CS40" s="6">
        <v>1163</v>
      </c>
      <c r="CT40" s="6"/>
      <c r="CU40" s="6">
        <f t="shared" si="20"/>
        <v>386</v>
      </c>
      <c r="CV40" s="6">
        <v>1368</v>
      </c>
      <c r="CW40" s="6"/>
      <c r="CX40" s="6">
        <f t="shared" si="21"/>
        <v>205</v>
      </c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</row>
    <row r="41" spans="1:117">
      <c r="A41" s="6">
        <v>37</v>
      </c>
      <c r="B41" s="6">
        <v>881</v>
      </c>
      <c r="C41" s="6"/>
      <c r="D41" s="6">
        <v>330</v>
      </c>
      <c r="E41" s="33" t="s">
        <v>128</v>
      </c>
      <c r="F41" s="33" t="s">
        <v>128</v>
      </c>
      <c r="G41" s="33" t="s">
        <v>128</v>
      </c>
      <c r="H41" s="33" t="s">
        <v>128</v>
      </c>
      <c r="I41" s="33" t="s">
        <v>128</v>
      </c>
      <c r="J41" s="33" t="s">
        <v>128</v>
      </c>
      <c r="K41" s="33" t="s">
        <v>128</v>
      </c>
      <c r="L41" s="33" t="s">
        <v>128</v>
      </c>
      <c r="M41" s="33" t="s">
        <v>128</v>
      </c>
      <c r="N41" s="33" t="s">
        <v>128</v>
      </c>
      <c r="O41" s="33" t="s">
        <v>128</v>
      </c>
      <c r="P41" s="33" t="s">
        <v>128</v>
      </c>
      <c r="Q41" s="33" t="s">
        <v>128</v>
      </c>
      <c r="R41" s="33" t="s">
        <v>128</v>
      </c>
      <c r="S41" s="33" t="s">
        <v>128</v>
      </c>
      <c r="T41" s="33" t="s">
        <v>128</v>
      </c>
      <c r="U41" s="148" t="s">
        <v>307</v>
      </c>
      <c r="V41" s="33" t="s">
        <v>307</v>
      </c>
      <c r="W41" s="33" t="s">
        <v>307</v>
      </c>
      <c r="X41" s="33" t="s">
        <v>307</v>
      </c>
      <c r="Y41" s="33" t="s">
        <v>307</v>
      </c>
      <c r="Z41" s="33" t="s">
        <v>307</v>
      </c>
      <c r="AA41" s="33" t="s">
        <v>307</v>
      </c>
      <c r="AB41" s="6">
        <v>79</v>
      </c>
      <c r="AC41" s="6">
        <v>1185</v>
      </c>
      <c r="AD41" s="35">
        <f t="shared" si="0"/>
        <v>383</v>
      </c>
      <c r="AE41" s="6">
        <v>455</v>
      </c>
      <c r="AF41" s="6"/>
      <c r="AG41" s="35">
        <f t="shared" si="1"/>
        <v>376</v>
      </c>
      <c r="AH41" s="35">
        <v>840</v>
      </c>
      <c r="AI41" s="35"/>
      <c r="AJ41" s="35">
        <f t="shared" si="2"/>
        <v>385</v>
      </c>
      <c r="AK41" s="6">
        <v>1202</v>
      </c>
      <c r="AL41" s="6"/>
      <c r="AM41" s="35">
        <f t="shared" si="3"/>
        <v>362</v>
      </c>
      <c r="AN41" s="6"/>
      <c r="AO41" s="6"/>
      <c r="AP41" s="34"/>
      <c r="AQ41" s="35">
        <v>19</v>
      </c>
      <c r="AR41" s="35">
        <v>1560</v>
      </c>
      <c r="AS41" s="35">
        <f t="shared" si="4"/>
        <v>377</v>
      </c>
      <c r="AT41" s="6">
        <v>399</v>
      </c>
      <c r="AU41" s="6"/>
      <c r="AV41" s="35">
        <f t="shared" si="5"/>
        <v>380</v>
      </c>
      <c r="AW41" s="6">
        <v>779</v>
      </c>
      <c r="AX41" s="6"/>
      <c r="AY41" s="35">
        <f t="shared" si="6"/>
        <v>380</v>
      </c>
      <c r="AZ41" s="35">
        <v>1159</v>
      </c>
      <c r="BA41" s="35"/>
      <c r="BB41" s="35">
        <f t="shared" si="7"/>
        <v>380</v>
      </c>
      <c r="BC41" s="6">
        <v>1540</v>
      </c>
      <c r="BD41" s="6"/>
      <c r="BE41" s="35">
        <f t="shared" si="8"/>
        <v>381</v>
      </c>
      <c r="BF41" s="6">
        <v>349</v>
      </c>
      <c r="BG41" s="6">
        <v>1560</v>
      </c>
      <c r="BH41" s="6">
        <f t="shared" si="9"/>
        <v>369</v>
      </c>
      <c r="BI41" s="6"/>
      <c r="BJ41" s="6"/>
      <c r="BK41" s="6"/>
      <c r="BL41" s="6">
        <v>737</v>
      </c>
      <c r="BM41" s="6"/>
      <c r="BN41" s="6">
        <f t="shared" si="10"/>
        <v>388</v>
      </c>
      <c r="BO41" s="6">
        <v>1109</v>
      </c>
      <c r="BP41" s="6"/>
      <c r="BQ41" s="35">
        <f t="shared" si="11"/>
        <v>372</v>
      </c>
      <c r="BR41" s="6">
        <v>1489</v>
      </c>
      <c r="BS41" s="6"/>
      <c r="BT41" s="6">
        <f t="shared" si="12"/>
        <v>380</v>
      </c>
      <c r="BU41" s="6">
        <v>1868</v>
      </c>
      <c r="BV41" s="6"/>
      <c r="BW41" s="35">
        <f t="shared" si="13"/>
        <v>379</v>
      </c>
      <c r="BX41" s="6">
        <v>0</v>
      </c>
      <c r="BY41" s="6">
        <v>2019</v>
      </c>
      <c r="BZ41" s="6">
        <f t="shared" si="14"/>
        <v>151</v>
      </c>
      <c r="CA41" s="6">
        <v>324</v>
      </c>
      <c r="CB41" s="6"/>
      <c r="CC41" s="6">
        <f t="shared" si="15"/>
        <v>324</v>
      </c>
      <c r="CD41" s="6"/>
      <c r="CE41" s="6"/>
      <c r="CF41" s="6"/>
      <c r="CG41" s="6">
        <v>709</v>
      </c>
      <c r="CH41" s="6"/>
      <c r="CI41" s="6">
        <f t="shared" si="16"/>
        <v>385</v>
      </c>
      <c r="CJ41" s="6">
        <v>1103</v>
      </c>
      <c r="CK41" s="6"/>
      <c r="CL41" s="6">
        <f t="shared" si="17"/>
        <v>394</v>
      </c>
      <c r="CM41" s="6">
        <v>1495</v>
      </c>
      <c r="CN41" s="6"/>
      <c r="CO41" s="6">
        <f t="shared" si="18"/>
        <v>392</v>
      </c>
      <c r="CP41" s="6">
        <v>333</v>
      </c>
      <c r="CQ41" s="6">
        <v>1560</v>
      </c>
      <c r="CR41" s="6">
        <f t="shared" si="19"/>
        <v>398</v>
      </c>
      <c r="CS41" s="6">
        <v>720</v>
      </c>
      <c r="CT41" s="6"/>
      <c r="CU41" s="6">
        <f t="shared" si="20"/>
        <v>387</v>
      </c>
      <c r="CV41" s="6">
        <v>935</v>
      </c>
      <c r="CW41" s="6"/>
      <c r="CX41" s="6">
        <f t="shared" si="21"/>
        <v>215</v>
      </c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</row>
    <row r="42" spans="1:117">
      <c r="A42" s="6">
        <v>38</v>
      </c>
      <c r="B42" s="6">
        <v>1327</v>
      </c>
      <c r="C42" s="6"/>
      <c r="D42" s="6">
        <v>358</v>
      </c>
      <c r="E42" s="33" t="s">
        <v>37</v>
      </c>
      <c r="F42" s="33" t="s">
        <v>37</v>
      </c>
      <c r="G42" s="33" t="s">
        <v>37</v>
      </c>
      <c r="H42" s="33" t="s">
        <v>37</v>
      </c>
      <c r="I42" s="33" t="s">
        <v>37</v>
      </c>
      <c r="J42" s="33" t="s">
        <v>37</v>
      </c>
      <c r="K42" s="33" t="s">
        <v>37</v>
      </c>
      <c r="L42" s="33" t="s">
        <v>37</v>
      </c>
      <c r="M42" s="33" t="s">
        <v>37</v>
      </c>
      <c r="N42" s="33" t="s">
        <v>37</v>
      </c>
      <c r="O42" s="33" t="s">
        <v>37</v>
      </c>
      <c r="P42" s="33" t="s">
        <v>37</v>
      </c>
      <c r="Q42" s="33" t="s">
        <v>37</v>
      </c>
      <c r="R42" s="33" t="s">
        <v>37</v>
      </c>
      <c r="S42" s="148" t="s">
        <v>313</v>
      </c>
      <c r="T42" s="33" t="s">
        <v>313</v>
      </c>
      <c r="U42" s="33" t="s">
        <v>313</v>
      </c>
      <c r="V42" s="33" t="s">
        <v>313</v>
      </c>
      <c r="W42" s="33" t="s">
        <v>313</v>
      </c>
      <c r="X42" s="148" t="s">
        <v>37</v>
      </c>
      <c r="Y42" s="33" t="s">
        <v>37</v>
      </c>
      <c r="Z42" s="33" t="s">
        <v>37</v>
      </c>
      <c r="AA42" s="33" t="s">
        <v>37</v>
      </c>
      <c r="AB42" s="6">
        <v>161</v>
      </c>
      <c r="AC42" s="6">
        <v>1560</v>
      </c>
      <c r="AD42" s="35">
        <f t="shared" si="0"/>
        <v>394</v>
      </c>
      <c r="AE42" s="6">
        <v>541</v>
      </c>
      <c r="AF42" s="6"/>
      <c r="AG42" s="35">
        <f t="shared" si="1"/>
        <v>380</v>
      </c>
      <c r="AH42" s="35">
        <v>929</v>
      </c>
      <c r="AI42" s="35"/>
      <c r="AJ42" s="35">
        <f t="shared" si="2"/>
        <v>388</v>
      </c>
      <c r="AK42" s="6">
        <v>1297</v>
      </c>
      <c r="AL42" s="6"/>
      <c r="AM42" s="35">
        <f t="shared" si="3"/>
        <v>368</v>
      </c>
      <c r="AN42" s="6"/>
      <c r="AO42" s="6"/>
      <c r="AP42" s="34"/>
      <c r="AQ42" s="35">
        <v>129</v>
      </c>
      <c r="AR42" s="35">
        <v>1560</v>
      </c>
      <c r="AS42" s="35">
        <f t="shared" si="4"/>
        <v>392</v>
      </c>
      <c r="AT42" s="6">
        <v>486</v>
      </c>
      <c r="AU42" s="6"/>
      <c r="AV42" s="35">
        <f t="shared" si="5"/>
        <v>357</v>
      </c>
      <c r="AW42" s="6">
        <v>871</v>
      </c>
      <c r="AX42" s="6"/>
      <c r="AY42" s="35">
        <f t="shared" si="6"/>
        <v>385</v>
      </c>
      <c r="AZ42" s="35">
        <v>1253</v>
      </c>
      <c r="BA42" s="35"/>
      <c r="BB42" s="35">
        <f t="shared" si="7"/>
        <v>382</v>
      </c>
      <c r="BC42" s="6">
        <v>71</v>
      </c>
      <c r="BD42" s="6">
        <v>1560</v>
      </c>
      <c r="BE42" s="35">
        <f t="shared" si="8"/>
        <v>378</v>
      </c>
      <c r="BF42" s="6">
        <v>440</v>
      </c>
      <c r="BG42" s="6"/>
      <c r="BH42" s="6">
        <f t="shared" si="9"/>
        <v>369</v>
      </c>
      <c r="BI42" s="6"/>
      <c r="BJ42" s="6"/>
      <c r="BK42" s="6"/>
      <c r="BL42" s="6">
        <v>801</v>
      </c>
      <c r="BM42" s="6"/>
      <c r="BN42" s="6">
        <f t="shared" si="10"/>
        <v>361</v>
      </c>
      <c r="BO42" s="6">
        <v>1174</v>
      </c>
      <c r="BP42" s="6"/>
      <c r="BQ42" s="35">
        <f t="shared" si="11"/>
        <v>373</v>
      </c>
      <c r="BR42" s="6">
        <v>1561</v>
      </c>
      <c r="BS42" s="6"/>
      <c r="BT42" s="6">
        <f t="shared" si="12"/>
        <v>387</v>
      </c>
      <c r="BU42" s="6">
        <v>118</v>
      </c>
      <c r="BV42" s="6">
        <v>1641</v>
      </c>
      <c r="BW42" s="35">
        <f t="shared" si="13"/>
        <v>198</v>
      </c>
      <c r="BX42" s="35">
        <v>386</v>
      </c>
      <c r="BY42" s="6"/>
      <c r="BZ42" s="6">
        <f t="shared" si="14"/>
        <v>268</v>
      </c>
      <c r="CA42" s="6">
        <v>0</v>
      </c>
      <c r="CB42" s="6">
        <v>500</v>
      </c>
      <c r="CC42" s="6">
        <f t="shared" si="15"/>
        <v>114</v>
      </c>
      <c r="CD42" s="6"/>
      <c r="CE42" s="6"/>
      <c r="CF42" s="6"/>
      <c r="CG42" s="6">
        <v>155</v>
      </c>
      <c r="CH42" s="6"/>
      <c r="CI42" s="6">
        <f t="shared" si="16"/>
        <v>155</v>
      </c>
      <c r="CJ42" s="6">
        <v>242</v>
      </c>
      <c r="CK42" s="6">
        <v>157</v>
      </c>
      <c r="CL42" s="6">
        <f t="shared" si="17"/>
        <v>244</v>
      </c>
      <c r="CM42" s="6">
        <v>285</v>
      </c>
      <c r="CN42" s="6">
        <v>283</v>
      </c>
      <c r="CO42" s="6">
        <f t="shared" si="18"/>
        <v>326</v>
      </c>
      <c r="CP42" s="6">
        <v>679</v>
      </c>
      <c r="CQ42" s="6"/>
      <c r="CR42" s="6">
        <f t="shared" si="19"/>
        <v>394</v>
      </c>
      <c r="CS42" s="6">
        <v>1070</v>
      </c>
      <c r="CT42" s="6"/>
      <c r="CU42" s="6">
        <f t="shared" si="20"/>
        <v>391</v>
      </c>
      <c r="CV42" s="6">
        <v>203</v>
      </c>
      <c r="CW42" s="6">
        <v>1071</v>
      </c>
      <c r="CX42" s="6">
        <f t="shared" si="21"/>
        <v>204</v>
      </c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</row>
    <row r="43" spans="1:117">
      <c r="A43" s="6">
        <v>39</v>
      </c>
      <c r="B43" s="6">
        <v>547</v>
      </c>
      <c r="C43" s="6"/>
      <c r="D43" s="6">
        <v>353</v>
      </c>
      <c r="E43" s="33" t="s">
        <v>37</v>
      </c>
      <c r="F43" s="33" t="s">
        <v>37</v>
      </c>
      <c r="G43" s="33" t="s">
        <v>37</v>
      </c>
      <c r="H43" s="33" t="s">
        <v>37</v>
      </c>
      <c r="I43" s="33" t="s">
        <v>37</v>
      </c>
      <c r="J43" s="33" t="s">
        <v>37</v>
      </c>
      <c r="K43" s="33" t="s">
        <v>37</v>
      </c>
      <c r="L43" s="33" t="s">
        <v>37</v>
      </c>
      <c r="M43" s="33" t="s">
        <v>37</v>
      </c>
      <c r="N43" s="33" t="s">
        <v>37</v>
      </c>
      <c r="O43" s="33" t="s">
        <v>37</v>
      </c>
      <c r="P43" s="33" t="s">
        <v>37</v>
      </c>
      <c r="Q43" s="33" t="s">
        <v>37</v>
      </c>
      <c r="R43" s="33" t="s">
        <v>37</v>
      </c>
      <c r="S43" s="33" t="s">
        <v>37</v>
      </c>
      <c r="T43" s="33" t="s">
        <v>37</v>
      </c>
      <c r="U43" s="33" t="s">
        <v>37</v>
      </c>
      <c r="V43" s="148" t="s">
        <v>307</v>
      </c>
      <c r="W43" s="33" t="s">
        <v>307</v>
      </c>
      <c r="X43" s="33" t="s">
        <v>307</v>
      </c>
      <c r="Y43" s="33" t="s">
        <v>307</v>
      </c>
      <c r="Z43" s="33" t="s">
        <v>307</v>
      </c>
      <c r="AA43" s="33" t="s">
        <v>307</v>
      </c>
      <c r="AB43" s="6">
        <v>949</v>
      </c>
      <c r="AC43" s="6"/>
      <c r="AD43" s="35">
        <f t="shared" si="0"/>
        <v>402</v>
      </c>
      <c r="AE43" s="6">
        <v>1325</v>
      </c>
      <c r="AF43" s="6"/>
      <c r="AG43" s="35">
        <f t="shared" si="1"/>
        <v>376</v>
      </c>
      <c r="AH43" s="35">
        <v>142</v>
      </c>
      <c r="AI43" s="35">
        <v>1560</v>
      </c>
      <c r="AJ43" s="35">
        <f t="shared" si="2"/>
        <v>377</v>
      </c>
      <c r="AK43" s="6">
        <v>505</v>
      </c>
      <c r="AL43" s="6"/>
      <c r="AM43" s="35">
        <f t="shared" si="3"/>
        <v>363</v>
      </c>
      <c r="AN43" s="6"/>
      <c r="AO43" s="6"/>
      <c r="AP43" s="34"/>
      <c r="AQ43" s="35">
        <v>888</v>
      </c>
      <c r="AR43" s="35"/>
      <c r="AS43" s="35">
        <f t="shared" si="4"/>
        <v>383</v>
      </c>
      <c r="AT43" s="6">
        <v>1273</v>
      </c>
      <c r="AU43" s="6"/>
      <c r="AV43" s="35">
        <f t="shared" si="5"/>
        <v>385</v>
      </c>
      <c r="AW43" s="6">
        <v>98</v>
      </c>
      <c r="AX43" s="6">
        <v>1560</v>
      </c>
      <c r="AY43" s="35">
        <f t="shared" si="6"/>
        <v>385</v>
      </c>
      <c r="AZ43" s="35">
        <v>485</v>
      </c>
      <c r="BA43" s="35"/>
      <c r="BB43" s="35">
        <f t="shared" si="7"/>
        <v>387</v>
      </c>
      <c r="BC43" s="6">
        <v>870</v>
      </c>
      <c r="BD43" s="6"/>
      <c r="BE43" s="35">
        <f t="shared" si="8"/>
        <v>385</v>
      </c>
      <c r="BF43" s="6">
        <v>5</v>
      </c>
      <c r="BG43" s="6">
        <v>1212</v>
      </c>
      <c r="BH43" s="6">
        <f t="shared" si="9"/>
        <v>347</v>
      </c>
      <c r="BI43" s="6"/>
      <c r="BJ43" s="6"/>
      <c r="BK43" s="6"/>
      <c r="BL43" s="6">
        <v>401</v>
      </c>
      <c r="BM43" s="6"/>
      <c r="BN43" s="6">
        <f t="shared" si="10"/>
        <v>396</v>
      </c>
      <c r="BO43" s="6">
        <v>611</v>
      </c>
      <c r="BP43" s="6"/>
      <c r="BQ43" s="35">
        <f t="shared" si="11"/>
        <v>210</v>
      </c>
      <c r="BR43" s="6">
        <v>361</v>
      </c>
      <c r="BS43" s="6">
        <v>611</v>
      </c>
      <c r="BT43" s="6">
        <f t="shared" si="12"/>
        <v>361</v>
      </c>
      <c r="BU43" s="6">
        <v>748</v>
      </c>
      <c r="BV43" s="6"/>
      <c r="BW43" s="35">
        <f t="shared" si="13"/>
        <v>387</v>
      </c>
      <c r="BX43" s="6">
        <v>1138</v>
      </c>
      <c r="BY43" s="6"/>
      <c r="BZ43" s="6">
        <f t="shared" si="14"/>
        <v>390</v>
      </c>
      <c r="CA43" s="6">
        <v>0</v>
      </c>
      <c r="CB43" s="6">
        <v>1330</v>
      </c>
      <c r="CC43" s="6">
        <f t="shared" si="15"/>
        <v>192</v>
      </c>
      <c r="CD43" s="6"/>
      <c r="CE43" s="6"/>
      <c r="CF43" s="6"/>
      <c r="CG43" s="6">
        <v>369</v>
      </c>
      <c r="CH43" s="6"/>
      <c r="CI43" s="6">
        <f t="shared" si="16"/>
        <v>369</v>
      </c>
      <c r="CJ43" s="6">
        <v>124</v>
      </c>
      <c r="CK43" s="6">
        <v>638</v>
      </c>
      <c r="CL43" s="6">
        <f t="shared" si="17"/>
        <v>393</v>
      </c>
      <c r="CM43" s="6">
        <v>520</v>
      </c>
      <c r="CN43" s="6"/>
      <c r="CO43" s="6">
        <f t="shared" si="18"/>
        <v>396</v>
      </c>
      <c r="CP43" s="6">
        <v>920</v>
      </c>
      <c r="CQ43" s="6"/>
      <c r="CR43" s="6">
        <f t="shared" si="19"/>
        <v>400</v>
      </c>
      <c r="CS43" s="6">
        <v>1316</v>
      </c>
      <c r="CT43" s="6"/>
      <c r="CU43" s="6">
        <f t="shared" si="20"/>
        <v>396</v>
      </c>
      <c r="CV43" s="6">
        <v>1531</v>
      </c>
      <c r="CW43" s="6"/>
      <c r="CX43" s="6">
        <f t="shared" si="21"/>
        <v>215</v>
      </c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</row>
    <row r="44" spans="1:117">
      <c r="A44" s="6">
        <v>40</v>
      </c>
      <c r="B44" s="6">
        <v>1609</v>
      </c>
      <c r="C44" s="6"/>
      <c r="D44" s="6">
        <v>348</v>
      </c>
      <c r="E44" s="255" t="s">
        <v>128</v>
      </c>
      <c r="F44" s="255" t="s">
        <v>128</v>
      </c>
      <c r="G44" s="254" t="s">
        <v>128</v>
      </c>
      <c r="H44" s="255" t="s">
        <v>128</v>
      </c>
      <c r="I44" s="255" t="s">
        <v>128</v>
      </c>
      <c r="J44" s="255" t="s">
        <v>128</v>
      </c>
      <c r="K44" s="255" t="s">
        <v>128</v>
      </c>
      <c r="L44" s="255" t="s">
        <v>128</v>
      </c>
      <c r="M44" s="255" t="s">
        <v>128</v>
      </c>
      <c r="N44" s="255" t="s">
        <v>128</v>
      </c>
      <c r="O44" s="255" t="s">
        <v>128</v>
      </c>
      <c r="P44" s="255" t="s">
        <v>128</v>
      </c>
      <c r="Q44" s="255" t="s">
        <v>128</v>
      </c>
      <c r="R44" s="255" t="s">
        <v>128</v>
      </c>
      <c r="S44" s="255" t="s">
        <v>128</v>
      </c>
      <c r="T44" s="255" t="s">
        <v>128</v>
      </c>
      <c r="U44" s="255" t="s">
        <v>128</v>
      </c>
      <c r="V44" s="255" t="s">
        <v>128</v>
      </c>
      <c r="W44" s="255" t="s">
        <v>128</v>
      </c>
      <c r="X44" s="255" t="s">
        <v>128</v>
      </c>
      <c r="Y44" s="255" t="s">
        <v>128</v>
      </c>
      <c r="Z44" s="255" t="s">
        <v>128</v>
      </c>
      <c r="AA44" s="255" t="s">
        <v>128</v>
      </c>
      <c r="AB44" s="6">
        <v>0</v>
      </c>
      <c r="AC44" s="6">
        <f>1642+158</f>
        <v>1800</v>
      </c>
      <c r="AD44" s="35">
        <f t="shared" si="0"/>
        <v>191</v>
      </c>
      <c r="AE44" s="6">
        <v>324</v>
      </c>
      <c r="AF44" s="6"/>
      <c r="AG44" s="35">
        <f t="shared" si="1"/>
        <v>324</v>
      </c>
      <c r="AH44" s="35">
        <v>702</v>
      </c>
      <c r="AI44" s="35"/>
      <c r="AJ44" s="35">
        <f t="shared" si="2"/>
        <v>378</v>
      </c>
      <c r="AK44" s="6">
        <v>1055</v>
      </c>
      <c r="AL44" s="6"/>
      <c r="AM44" s="35">
        <f t="shared" si="3"/>
        <v>353</v>
      </c>
      <c r="AN44" s="6"/>
      <c r="AO44" s="6"/>
      <c r="AP44" s="34"/>
      <c r="AQ44" s="35">
        <v>1434</v>
      </c>
      <c r="AR44" s="35"/>
      <c r="AS44" s="35">
        <f t="shared" si="4"/>
        <v>379</v>
      </c>
      <c r="AT44" s="6">
        <v>249</v>
      </c>
      <c r="AU44" s="6">
        <v>1560</v>
      </c>
      <c r="AV44" s="35">
        <f t="shared" si="5"/>
        <v>375</v>
      </c>
      <c r="AW44" s="6">
        <v>629</v>
      </c>
      <c r="AX44" s="6"/>
      <c r="AY44" s="35">
        <f t="shared" si="6"/>
        <v>380</v>
      </c>
      <c r="AZ44" s="35">
        <v>1003</v>
      </c>
      <c r="BA44" s="35"/>
      <c r="BB44" s="35">
        <f t="shared" si="7"/>
        <v>374</v>
      </c>
      <c r="BC44" s="6">
        <v>1381</v>
      </c>
      <c r="BD44" s="6"/>
      <c r="BE44" s="35">
        <f t="shared" si="8"/>
        <v>378</v>
      </c>
      <c r="BF44" s="6">
        <v>185</v>
      </c>
      <c r="BG44" s="6">
        <v>1560</v>
      </c>
      <c r="BH44" s="6">
        <f t="shared" si="9"/>
        <v>364</v>
      </c>
      <c r="BI44" s="6"/>
      <c r="BJ44" s="6"/>
      <c r="BK44" s="6"/>
      <c r="BL44" s="6">
        <v>573</v>
      </c>
      <c r="BM44" s="6"/>
      <c r="BN44" s="6">
        <f t="shared" si="10"/>
        <v>388</v>
      </c>
      <c r="BO44" s="6">
        <v>945</v>
      </c>
      <c r="BP44" s="6"/>
      <c r="BQ44" s="35">
        <f t="shared" si="11"/>
        <v>372</v>
      </c>
      <c r="BR44" s="6">
        <v>1318</v>
      </c>
      <c r="BS44" s="6"/>
      <c r="BT44" s="6">
        <f t="shared" si="12"/>
        <v>373</v>
      </c>
      <c r="BU44" s="6">
        <v>183</v>
      </c>
      <c r="BV44" s="6">
        <v>1504</v>
      </c>
      <c r="BW44" s="35">
        <f t="shared" si="13"/>
        <v>369</v>
      </c>
      <c r="BX44" s="6">
        <v>565</v>
      </c>
      <c r="BY44" s="6"/>
      <c r="BZ44" s="6">
        <f t="shared" si="14"/>
        <v>382</v>
      </c>
      <c r="CA44" s="6">
        <v>935</v>
      </c>
      <c r="CB44" s="6"/>
      <c r="CC44" s="6">
        <f t="shared" si="15"/>
        <v>370</v>
      </c>
      <c r="CD44" s="6"/>
      <c r="CE44" s="6"/>
      <c r="CF44" s="6"/>
      <c r="CG44" s="6">
        <v>265</v>
      </c>
      <c r="CH44" s="6">
        <v>1053</v>
      </c>
      <c r="CI44" s="6">
        <f t="shared" si="16"/>
        <v>383</v>
      </c>
      <c r="CJ44" s="6">
        <v>651</v>
      </c>
      <c r="CK44" s="6"/>
      <c r="CL44" s="6">
        <f t="shared" si="17"/>
        <v>386</v>
      </c>
      <c r="CM44" s="6">
        <v>187</v>
      </c>
      <c r="CN44" s="6">
        <v>837</v>
      </c>
      <c r="CO44" s="6">
        <f t="shared" si="18"/>
        <v>373</v>
      </c>
      <c r="CP44" s="6">
        <v>569</v>
      </c>
      <c r="CQ44" s="6"/>
      <c r="CR44" s="6">
        <f t="shared" si="19"/>
        <v>382</v>
      </c>
      <c r="CS44" s="6">
        <v>955</v>
      </c>
      <c r="CT44" s="6"/>
      <c r="CU44" s="6">
        <f t="shared" si="20"/>
        <v>386</v>
      </c>
      <c r="CV44" s="6">
        <v>1161</v>
      </c>
      <c r="CW44" s="6"/>
      <c r="CX44" s="6">
        <f t="shared" si="21"/>
        <v>206</v>
      </c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</row>
    <row r="45" spans="1:117">
      <c r="A45" s="6">
        <v>41</v>
      </c>
      <c r="B45" s="6">
        <v>582</v>
      </c>
      <c r="C45" s="6"/>
      <c r="D45" s="6">
        <v>355</v>
      </c>
      <c r="E45" s="33" t="s">
        <v>128</v>
      </c>
      <c r="F45" s="33" t="s">
        <v>128</v>
      </c>
      <c r="G45" s="33" t="s">
        <v>128</v>
      </c>
      <c r="H45" s="33" t="s">
        <v>128</v>
      </c>
      <c r="I45" s="33" t="s">
        <v>128</v>
      </c>
      <c r="J45" s="33" t="s">
        <v>128</v>
      </c>
      <c r="K45" s="33" t="s">
        <v>128</v>
      </c>
      <c r="L45" s="33" t="s">
        <v>128</v>
      </c>
      <c r="M45" s="33" t="s">
        <v>128</v>
      </c>
      <c r="N45" s="148" t="s">
        <v>128</v>
      </c>
      <c r="O45" s="33" t="s">
        <v>128</v>
      </c>
      <c r="P45" s="33" t="s">
        <v>128</v>
      </c>
      <c r="Q45" s="33" t="s">
        <v>128</v>
      </c>
      <c r="R45" s="33" t="s">
        <v>128</v>
      </c>
      <c r="S45" s="33" t="s">
        <v>128</v>
      </c>
      <c r="T45" s="33" t="s">
        <v>128</v>
      </c>
      <c r="U45" s="33" t="s">
        <v>128</v>
      </c>
      <c r="V45" s="33" t="s">
        <v>128</v>
      </c>
      <c r="W45" s="33" t="s">
        <v>128</v>
      </c>
      <c r="X45" s="33" t="s">
        <v>128</v>
      </c>
      <c r="Y45" s="33" t="s">
        <v>128</v>
      </c>
      <c r="Z45" s="33" t="s">
        <v>128</v>
      </c>
      <c r="AA45" s="33" t="s">
        <v>128</v>
      </c>
      <c r="AB45" s="6">
        <v>991</v>
      </c>
      <c r="AC45" s="6"/>
      <c r="AD45" s="35">
        <f t="shared" si="0"/>
        <v>409</v>
      </c>
      <c r="AE45" s="6">
        <v>1378</v>
      </c>
      <c r="AF45" s="6"/>
      <c r="AG45" s="35">
        <f t="shared" si="1"/>
        <v>387</v>
      </c>
      <c r="AH45" s="35">
        <v>192</v>
      </c>
      <c r="AI45" s="35">
        <v>1560</v>
      </c>
      <c r="AJ45" s="35">
        <f t="shared" si="2"/>
        <v>374</v>
      </c>
      <c r="AK45" s="6">
        <v>556</v>
      </c>
      <c r="AL45" s="6"/>
      <c r="AM45" s="35">
        <f t="shared" si="3"/>
        <v>364</v>
      </c>
      <c r="AN45" s="6"/>
      <c r="AO45" s="6"/>
      <c r="AP45" s="34"/>
      <c r="AQ45" s="35">
        <v>948</v>
      </c>
      <c r="AR45" s="35"/>
      <c r="AS45" s="35">
        <f t="shared" si="4"/>
        <v>392</v>
      </c>
      <c r="AT45" s="6">
        <v>1333</v>
      </c>
      <c r="AU45" s="6"/>
      <c r="AV45" s="35">
        <f t="shared" si="5"/>
        <v>385</v>
      </c>
      <c r="AW45" s="6">
        <v>1715</v>
      </c>
      <c r="AX45" s="6"/>
      <c r="AY45" s="35">
        <f t="shared" si="6"/>
        <v>382</v>
      </c>
      <c r="AZ45" s="35">
        <v>0</v>
      </c>
      <c r="BA45" s="35">
        <v>1863</v>
      </c>
      <c r="BB45" s="35">
        <f t="shared" si="7"/>
        <v>148</v>
      </c>
      <c r="BC45" s="6">
        <v>123</v>
      </c>
      <c r="BD45" s="6">
        <v>90</v>
      </c>
      <c r="BE45" s="35">
        <f t="shared" si="8"/>
        <v>213</v>
      </c>
      <c r="BF45" s="6">
        <v>497</v>
      </c>
      <c r="BG45" s="6"/>
      <c r="BH45" s="6">
        <f t="shared" si="9"/>
        <v>374</v>
      </c>
      <c r="BI45" s="6"/>
      <c r="BJ45" s="6"/>
      <c r="BK45" s="6"/>
      <c r="BL45" s="6">
        <v>891</v>
      </c>
      <c r="BM45" s="6"/>
      <c r="BN45" s="6">
        <f t="shared" si="10"/>
        <v>394</v>
      </c>
      <c r="BO45" s="6">
        <v>1271</v>
      </c>
      <c r="BP45" s="6"/>
      <c r="BQ45" s="35">
        <f t="shared" si="11"/>
        <v>380</v>
      </c>
      <c r="BR45" s="6">
        <v>90</v>
      </c>
      <c r="BS45" s="6">
        <v>1560</v>
      </c>
      <c r="BT45" s="6">
        <f t="shared" si="12"/>
        <v>379</v>
      </c>
      <c r="BU45" s="6">
        <v>477</v>
      </c>
      <c r="BV45" s="6"/>
      <c r="BW45" s="35">
        <f t="shared" si="13"/>
        <v>387</v>
      </c>
      <c r="BX45" s="6">
        <v>865</v>
      </c>
      <c r="BY45" s="6"/>
      <c r="BZ45" s="6">
        <f t="shared" si="14"/>
        <v>388</v>
      </c>
      <c r="CA45" s="6">
        <v>1235</v>
      </c>
      <c r="CB45" s="6"/>
      <c r="CC45" s="6">
        <f t="shared" si="15"/>
        <v>370</v>
      </c>
      <c r="CD45" s="6"/>
      <c r="CE45" s="6"/>
      <c r="CF45" s="6"/>
      <c r="CG45" s="6">
        <v>70</v>
      </c>
      <c r="CH45" s="6">
        <v>1560</v>
      </c>
      <c r="CI45" s="6">
        <f t="shared" si="16"/>
        <v>395</v>
      </c>
      <c r="CJ45" s="6">
        <v>467</v>
      </c>
      <c r="CK45" s="6"/>
      <c r="CL45" s="6">
        <f t="shared" si="17"/>
        <v>397</v>
      </c>
      <c r="CM45" s="6">
        <v>862</v>
      </c>
      <c r="CN45" s="6"/>
      <c r="CO45" s="6">
        <f t="shared" si="18"/>
        <v>395</v>
      </c>
      <c r="CP45" s="6">
        <v>1259</v>
      </c>
      <c r="CQ45" s="6"/>
      <c r="CR45" s="6">
        <f t="shared" si="19"/>
        <v>397</v>
      </c>
      <c r="CS45" s="6">
        <v>95</v>
      </c>
      <c r="CT45" s="6">
        <v>1560</v>
      </c>
      <c r="CU45" s="6">
        <f t="shared" si="20"/>
        <v>396</v>
      </c>
      <c r="CV45" s="6">
        <v>310</v>
      </c>
      <c r="CW45" s="6"/>
      <c r="CX45" s="6">
        <f t="shared" si="21"/>
        <v>215</v>
      </c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</row>
    <row r="46" spans="1:117">
      <c r="A46" s="6">
        <v>42</v>
      </c>
      <c r="B46" s="6">
        <v>1038</v>
      </c>
      <c r="C46" s="6"/>
      <c r="D46" s="6">
        <v>337</v>
      </c>
      <c r="E46" s="33" t="s">
        <v>128</v>
      </c>
      <c r="F46" s="33" t="s">
        <v>128</v>
      </c>
      <c r="G46" s="33" t="s">
        <v>128</v>
      </c>
      <c r="H46" s="33" t="s">
        <v>128</v>
      </c>
      <c r="I46" s="33" t="s">
        <v>128</v>
      </c>
      <c r="J46" s="33" t="s">
        <v>128</v>
      </c>
      <c r="K46" s="33" t="s">
        <v>128</v>
      </c>
      <c r="L46" s="33" t="s">
        <v>128</v>
      </c>
      <c r="M46" s="33" t="s">
        <v>128</v>
      </c>
      <c r="N46" s="33" t="s">
        <v>128</v>
      </c>
      <c r="O46" s="33" t="s">
        <v>128</v>
      </c>
      <c r="P46" s="33" t="s">
        <v>128</v>
      </c>
      <c r="Q46" s="33" t="s">
        <v>128</v>
      </c>
      <c r="R46" s="33" t="s">
        <v>128</v>
      </c>
      <c r="S46" s="33" t="s">
        <v>128</v>
      </c>
      <c r="T46" s="33" t="s">
        <v>128</v>
      </c>
      <c r="U46" s="33" t="s">
        <v>128</v>
      </c>
      <c r="V46" s="33" t="s">
        <v>128</v>
      </c>
      <c r="W46" s="33" t="s">
        <v>128</v>
      </c>
      <c r="X46" s="148" t="s">
        <v>307</v>
      </c>
      <c r="Y46" s="33" t="s">
        <v>307</v>
      </c>
      <c r="Z46" s="33" t="s">
        <v>307</v>
      </c>
      <c r="AA46" s="33" t="s">
        <v>307</v>
      </c>
      <c r="AB46" s="6">
        <v>1445</v>
      </c>
      <c r="AC46" s="6"/>
      <c r="AD46" s="35">
        <f t="shared" si="0"/>
        <v>407</v>
      </c>
      <c r="AE46" s="6">
        <v>266</v>
      </c>
      <c r="AF46" s="6">
        <v>1563</v>
      </c>
      <c r="AG46" s="35">
        <f t="shared" si="1"/>
        <v>384</v>
      </c>
      <c r="AH46" s="35">
        <v>658</v>
      </c>
      <c r="AI46" s="35"/>
      <c r="AJ46" s="35">
        <f t="shared" si="2"/>
        <v>392</v>
      </c>
      <c r="AK46" s="6">
        <v>1027</v>
      </c>
      <c r="AL46" s="6"/>
      <c r="AM46" s="35">
        <f t="shared" si="3"/>
        <v>369</v>
      </c>
      <c r="AN46" s="6"/>
      <c r="AO46" s="6"/>
      <c r="AP46" s="34"/>
      <c r="AQ46" s="35">
        <v>1416</v>
      </c>
      <c r="AR46" s="35"/>
      <c r="AS46" s="35">
        <f t="shared" si="4"/>
        <v>389</v>
      </c>
      <c r="AT46" s="35">
        <v>239</v>
      </c>
      <c r="AU46" s="6">
        <v>1560</v>
      </c>
      <c r="AV46" s="35">
        <f t="shared" si="5"/>
        <v>383</v>
      </c>
      <c r="AW46" s="6">
        <v>624</v>
      </c>
      <c r="AX46" s="6"/>
      <c r="AY46" s="35">
        <f t="shared" si="6"/>
        <v>385</v>
      </c>
      <c r="AZ46" s="35">
        <v>1001</v>
      </c>
      <c r="BA46" s="35"/>
      <c r="BB46" s="35">
        <f t="shared" si="7"/>
        <v>377</v>
      </c>
      <c r="BC46" s="6">
        <v>1380</v>
      </c>
      <c r="BD46" s="6"/>
      <c r="BE46" s="35">
        <f t="shared" si="8"/>
        <v>379</v>
      </c>
      <c r="BF46" s="6">
        <v>190</v>
      </c>
      <c r="BG46" s="6">
        <v>1560</v>
      </c>
      <c r="BH46" s="6">
        <f t="shared" si="9"/>
        <v>370</v>
      </c>
      <c r="BI46" s="6"/>
      <c r="BJ46" s="6"/>
      <c r="BK46" s="6"/>
      <c r="BL46" s="6">
        <v>584</v>
      </c>
      <c r="BM46" s="6"/>
      <c r="BN46" s="6">
        <f t="shared" si="10"/>
        <v>394</v>
      </c>
      <c r="BO46" s="6">
        <v>964</v>
      </c>
      <c r="BP46" s="6"/>
      <c r="BQ46" s="35">
        <f t="shared" si="11"/>
        <v>380</v>
      </c>
      <c r="BR46" s="6">
        <v>1343</v>
      </c>
      <c r="BS46" s="6"/>
      <c r="BT46" s="6">
        <f t="shared" si="12"/>
        <v>379</v>
      </c>
      <c r="BU46" s="6">
        <v>167</v>
      </c>
      <c r="BV46" s="6">
        <v>1562</v>
      </c>
      <c r="BW46" s="35">
        <f t="shared" si="13"/>
        <v>386</v>
      </c>
      <c r="BX46" s="6">
        <v>553</v>
      </c>
      <c r="BY46" s="6"/>
      <c r="BZ46" s="6">
        <f t="shared" si="14"/>
        <v>386</v>
      </c>
      <c r="CA46" s="6">
        <v>925</v>
      </c>
      <c r="CB46" s="6"/>
      <c r="CC46" s="6">
        <f t="shared" si="15"/>
        <v>372</v>
      </c>
      <c r="CD46" s="6"/>
      <c r="CE46" s="6"/>
      <c r="CF46" s="6"/>
      <c r="CG46" s="6">
        <v>1320</v>
      </c>
      <c r="CH46" s="6"/>
      <c r="CI46" s="6">
        <f t="shared" si="16"/>
        <v>395</v>
      </c>
      <c r="CJ46" s="6">
        <v>0</v>
      </c>
      <c r="CK46" s="6">
        <v>1629</v>
      </c>
      <c r="CL46" s="6">
        <f t="shared" si="17"/>
        <v>309</v>
      </c>
      <c r="CM46" s="6">
        <v>292</v>
      </c>
      <c r="CN46" s="6"/>
      <c r="CO46" s="6">
        <f t="shared" si="18"/>
        <v>292</v>
      </c>
      <c r="CP46" s="6">
        <v>668</v>
      </c>
      <c r="CQ46" s="6"/>
      <c r="CR46" s="6">
        <f t="shared" si="19"/>
        <v>376</v>
      </c>
      <c r="CS46" s="6">
        <v>1053</v>
      </c>
      <c r="CT46" s="6"/>
      <c r="CU46" s="6">
        <f t="shared" si="20"/>
        <v>385</v>
      </c>
      <c r="CV46" s="6">
        <v>1259</v>
      </c>
      <c r="CW46" s="6"/>
      <c r="CX46" s="6">
        <f t="shared" si="21"/>
        <v>206</v>
      </c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</row>
    <row r="47" spans="1:117">
      <c r="A47" s="6">
        <v>43</v>
      </c>
      <c r="B47" s="6">
        <v>977</v>
      </c>
      <c r="C47" s="6"/>
      <c r="D47" s="6">
        <v>354</v>
      </c>
      <c r="E47" s="33" t="s">
        <v>37</v>
      </c>
      <c r="F47" s="33" t="s">
        <v>37</v>
      </c>
      <c r="G47" s="33" t="s">
        <v>37</v>
      </c>
      <c r="H47" s="33" t="s">
        <v>37</v>
      </c>
      <c r="I47" s="33" t="s">
        <v>37</v>
      </c>
      <c r="J47" s="33" t="s">
        <v>37</v>
      </c>
      <c r="K47" s="33" t="s">
        <v>37</v>
      </c>
      <c r="L47" s="33" t="s">
        <v>37</v>
      </c>
      <c r="M47" s="33" t="s">
        <v>37</v>
      </c>
      <c r="N47" s="33" t="s">
        <v>37</v>
      </c>
      <c r="O47" s="33" t="s">
        <v>37</v>
      </c>
      <c r="P47" s="148" t="s">
        <v>37</v>
      </c>
      <c r="Q47" s="33" t="s">
        <v>37</v>
      </c>
      <c r="R47" s="33" t="s">
        <v>37</v>
      </c>
      <c r="S47" s="33" t="s">
        <v>37</v>
      </c>
      <c r="T47" s="33" t="s">
        <v>37</v>
      </c>
      <c r="U47" s="33" t="s">
        <v>37</v>
      </c>
      <c r="V47" s="33" t="s">
        <v>37</v>
      </c>
      <c r="W47" s="33" t="s">
        <v>37</v>
      </c>
      <c r="X47" s="33" t="s">
        <v>37</v>
      </c>
      <c r="Y47" s="33" t="s">
        <v>37</v>
      </c>
      <c r="Z47" s="33" t="s">
        <v>37</v>
      </c>
      <c r="AA47" s="33" t="s">
        <v>37</v>
      </c>
      <c r="AB47" s="6">
        <v>1387</v>
      </c>
      <c r="AC47" s="6"/>
      <c r="AD47" s="35">
        <f t="shared" si="0"/>
        <v>410</v>
      </c>
      <c r="AE47" s="6">
        <v>205</v>
      </c>
      <c r="AF47" s="6">
        <v>1560</v>
      </c>
      <c r="AG47" s="35">
        <f t="shared" si="1"/>
        <v>378</v>
      </c>
      <c r="AH47" s="35">
        <v>592</v>
      </c>
      <c r="AI47" s="35"/>
      <c r="AJ47" s="35">
        <f t="shared" si="2"/>
        <v>387</v>
      </c>
      <c r="AK47" s="6">
        <v>961</v>
      </c>
      <c r="AL47" s="6"/>
      <c r="AM47" s="35">
        <f t="shared" si="3"/>
        <v>369</v>
      </c>
      <c r="AN47" s="6"/>
      <c r="AO47" s="6"/>
      <c r="AP47" s="34"/>
      <c r="AQ47" s="35">
        <v>1348</v>
      </c>
      <c r="AR47" s="35"/>
      <c r="AS47" s="35">
        <f t="shared" si="4"/>
        <v>387</v>
      </c>
      <c r="AT47" s="6">
        <v>169</v>
      </c>
      <c r="AU47" s="6">
        <v>1560</v>
      </c>
      <c r="AV47" s="35">
        <f t="shared" si="5"/>
        <v>381</v>
      </c>
      <c r="AW47" s="6">
        <v>555</v>
      </c>
      <c r="AX47" s="6"/>
      <c r="AY47" s="35">
        <f t="shared" si="6"/>
        <v>386</v>
      </c>
      <c r="AZ47" s="35">
        <v>933</v>
      </c>
      <c r="BA47" s="35"/>
      <c r="BB47" s="35">
        <f t="shared" si="7"/>
        <v>378</v>
      </c>
      <c r="BC47" s="6">
        <v>318</v>
      </c>
      <c r="BD47" s="6">
        <v>990</v>
      </c>
      <c r="BE47" s="35">
        <f t="shared" si="8"/>
        <v>375</v>
      </c>
      <c r="BF47" s="6">
        <v>0</v>
      </c>
      <c r="BG47" s="6">
        <v>620</v>
      </c>
      <c r="BH47" s="6">
        <f t="shared" si="9"/>
        <v>302</v>
      </c>
      <c r="BI47" s="6"/>
      <c r="BJ47" s="6"/>
      <c r="BK47" s="6"/>
      <c r="BL47" s="6">
        <v>343</v>
      </c>
      <c r="BM47" s="6"/>
      <c r="BN47" s="6">
        <f t="shared" si="10"/>
        <v>343</v>
      </c>
      <c r="BO47" s="6">
        <v>718</v>
      </c>
      <c r="BP47" s="6"/>
      <c r="BQ47" s="35">
        <f t="shared" si="11"/>
        <v>375</v>
      </c>
      <c r="BR47" s="6">
        <v>1086</v>
      </c>
      <c r="BS47" s="6"/>
      <c r="BT47" s="6">
        <f t="shared" si="12"/>
        <v>368</v>
      </c>
      <c r="BU47" s="6">
        <v>1474</v>
      </c>
      <c r="BV47" s="6"/>
      <c r="BW47" s="35">
        <f t="shared" si="13"/>
        <v>388</v>
      </c>
      <c r="BX47" s="6">
        <v>305</v>
      </c>
      <c r="BY47" s="6">
        <v>1561</v>
      </c>
      <c r="BZ47" s="6">
        <f t="shared" si="14"/>
        <v>392</v>
      </c>
      <c r="CA47" s="6">
        <v>668</v>
      </c>
      <c r="CB47" s="6"/>
      <c r="CC47" s="6">
        <f t="shared" si="15"/>
        <v>363</v>
      </c>
      <c r="CD47" s="6"/>
      <c r="CE47" s="6"/>
      <c r="CF47" s="6"/>
      <c r="CG47" s="6">
        <v>1061</v>
      </c>
      <c r="CH47" s="6"/>
      <c r="CI47" s="6">
        <f t="shared" si="16"/>
        <v>393</v>
      </c>
      <c r="CJ47" s="6">
        <v>1448</v>
      </c>
      <c r="CK47" s="6"/>
      <c r="CL47" s="6">
        <f t="shared" si="17"/>
        <v>387</v>
      </c>
      <c r="CM47" s="6">
        <v>262</v>
      </c>
      <c r="CN47" s="6">
        <v>1570</v>
      </c>
      <c r="CO47" s="6">
        <f t="shared" si="18"/>
        <v>384</v>
      </c>
      <c r="CP47" s="6">
        <v>649</v>
      </c>
      <c r="CQ47" s="6"/>
      <c r="CR47" s="6">
        <f t="shared" si="19"/>
        <v>387</v>
      </c>
      <c r="CS47" s="6">
        <v>1037</v>
      </c>
      <c r="CT47" s="6"/>
      <c r="CU47" s="6">
        <f t="shared" si="20"/>
        <v>388</v>
      </c>
      <c r="CV47" s="6">
        <v>1243</v>
      </c>
      <c r="CW47" s="6"/>
      <c r="CX47" s="6">
        <f t="shared" si="21"/>
        <v>206</v>
      </c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</row>
    <row r="48" spans="1:117">
      <c r="A48" s="6">
        <v>44</v>
      </c>
      <c r="B48" s="6">
        <v>597</v>
      </c>
      <c r="C48" s="6"/>
      <c r="D48" s="6">
        <v>356</v>
      </c>
      <c r="E48" s="33" t="s">
        <v>128</v>
      </c>
      <c r="F48" s="33" t="s">
        <v>128</v>
      </c>
      <c r="G48" s="33" t="s">
        <v>128</v>
      </c>
      <c r="H48" s="33" t="s">
        <v>128</v>
      </c>
      <c r="I48" s="33" t="s">
        <v>128</v>
      </c>
      <c r="J48" s="33" t="s">
        <v>128</v>
      </c>
      <c r="K48" s="33" t="s">
        <v>128</v>
      </c>
      <c r="L48" s="33" t="s">
        <v>128</v>
      </c>
      <c r="M48" s="33" t="s">
        <v>128</v>
      </c>
      <c r="N48" s="33" t="s">
        <v>128</v>
      </c>
      <c r="O48" s="148" t="s">
        <v>128</v>
      </c>
      <c r="P48" s="33" t="s">
        <v>128</v>
      </c>
      <c r="Q48" s="33" t="s">
        <v>128</v>
      </c>
      <c r="R48" s="33" t="s">
        <v>128</v>
      </c>
      <c r="S48" s="33" t="s">
        <v>128</v>
      </c>
      <c r="T48" s="33" t="s">
        <v>128</v>
      </c>
      <c r="U48" s="33" t="s">
        <v>128</v>
      </c>
      <c r="V48" s="33" t="s">
        <v>128</v>
      </c>
      <c r="W48" s="33" t="s">
        <v>128</v>
      </c>
      <c r="X48" s="33" t="s">
        <v>128</v>
      </c>
      <c r="Y48" s="33" t="s">
        <v>128</v>
      </c>
      <c r="Z48" s="33" t="s">
        <v>128</v>
      </c>
      <c r="AA48" s="33" t="s">
        <v>128</v>
      </c>
      <c r="AB48" s="6">
        <v>383</v>
      </c>
      <c r="AC48" s="6">
        <v>601</v>
      </c>
      <c r="AD48" s="35">
        <f t="shared" si="0"/>
        <v>387</v>
      </c>
      <c r="AE48" s="6">
        <v>766</v>
      </c>
      <c r="AF48" s="6"/>
      <c r="AG48" s="35">
        <f t="shared" si="1"/>
        <v>383</v>
      </c>
      <c r="AH48" s="35">
        <v>1152</v>
      </c>
      <c r="AI48" s="35"/>
      <c r="AJ48" s="35">
        <f t="shared" si="2"/>
        <v>386</v>
      </c>
      <c r="AK48" s="6">
        <v>1510</v>
      </c>
      <c r="AL48" s="6"/>
      <c r="AM48" s="35">
        <f t="shared" si="3"/>
        <v>358</v>
      </c>
      <c r="AN48" s="6"/>
      <c r="AO48" s="6"/>
      <c r="AP48" s="34"/>
      <c r="AQ48" s="35">
        <v>329</v>
      </c>
      <c r="AR48" s="35">
        <v>1570</v>
      </c>
      <c r="AS48" s="35">
        <f t="shared" si="4"/>
        <v>389</v>
      </c>
      <c r="AT48" s="6">
        <v>710</v>
      </c>
      <c r="AU48" s="6"/>
      <c r="AV48" s="35">
        <f t="shared" si="5"/>
        <v>381</v>
      </c>
      <c r="AW48" s="6">
        <v>1097</v>
      </c>
      <c r="AX48" s="6"/>
      <c r="AY48" s="35">
        <f t="shared" si="6"/>
        <v>387</v>
      </c>
      <c r="AZ48" s="35">
        <v>1471</v>
      </c>
      <c r="BA48" s="35"/>
      <c r="BB48" s="35">
        <f t="shared" si="7"/>
        <v>374</v>
      </c>
      <c r="BC48" s="6">
        <v>1847</v>
      </c>
      <c r="BD48" s="6"/>
      <c r="BE48" s="35">
        <f t="shared" si="8"/>
        <v>376</v>
      </c>
      <c r="BF48" s="6">
        <v>244</v>
      </c>
      <c r="BG48" s="6">
        <v>1931</v>
      </c>
      <c r="BH48" s="6">
        <f t="shared" si="9"/>
        <v>328</v>
      </c>
      <c r="BI48" s="6"/>
      <c r="BJ48" s="6"/>
      <c r="BK48" s="6"/>
      <c r="BL48" s="6">
        <v>634</v>
      </c>
      <c r="BM48" s="6"/>
      <c r="BN48" s="6">
        <f t="shared" si="10"/>
        <v>390</v>
      </c>
      <c r="BO48" s="6">
        <v>1013</v>
      </c>
      <c r="BP48" s="6"/>
      <c r="BQ48" s="35">
        <f t="shared" si="11"/>
        <v>379</v>
      </c>
      <c r="BR48" s="6">
        <v>1397</v>
      </c>
      <c r="BS48" s="6"/>
      <c r="BT48" s="6">
        <f t="shared" si="12"/>
        <v>384</v>
      </c>
      <c r="BU48" s="6">
        <v>216</v>
      </c>
      <c r="BV48" s="6">
        <v>1560</v>
      </c>
      <c r="BW48" s="35">
        <f t="shared" si="13"/>
        <v>379</v>
      </c>
      <c r="BX48" s="6">
        <v>606</v>
      </c>
      <c r="BY48" s="6"/>
      <c r="BZ48" s="6">
        <f t="shared" si="14"/>
        <v>390</v>
      </c>
      <c r="CA48" s="6">
        <v>973</v>
      </c>
      <c r="CB48" s="6"/>
      <c r="CC48" s="6">
        <f t="shared" si="15"/>
        <v>367</v>
      </c>
      <c r="CD48" s="6"/>
      <c r="CE48" s="6"/>
      <c r="CF48" s="6"/>
      <c r="CG48" s="6">
        <v>1363</v>
      </c>
      <c r="CH48" s="6"/>
      <c r="CI48" s="6">
        <f t="shared" si="16"/>
        <v>390</v>
      </c>
      <c r="CJ48" s="6">
        <v>251</v>
      </c>
      <c r="CK48" s="6">
        <v>1505</v>
      </c>
      <c r="CL48" s="6">
        <f t="shared" si="17"/>
        <v>393</v>
      </c>
      <c r="CM48" s="6">
        <v>613</v>
      </c>
      <c r="CN48" s="6"/>
      <c r="CO48" s="6">
        <f t="shared" si="18"/>
        <v>362</v>
      </c>
      <c r="CP48" s="6">
        <v>985</v>
      </c>
      <c r="CQ48" s="6"/>
      <c r="CR48" s="6">
        <f t="shared" si="19"/>
        <v>372</v>
      </c>
      <c r="CS48" s="6">
        <v>1320</v>
      </c>
      <c r="CT48" s="6"/>
      <c r="CU48" s="6">
        <f t="shared" si="20"/>
        <v>335</v>
      </c>
      <c r="CV48" s="6">
        <v>1502</v>
      </c>
      <c r="CW48" s="6"/>
      <c r="CX48" s="6">
        <f t="shared" si="21"/>
        <v>182</v>
      </c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</row>
    <row r="49" spans="1:117">
      <c r="A49" s="6">
        <v>45</v>
      </c>
      <c r="B49" s="6">
        <v>888</v>
      </c>
      <c r="C49" s="6"/>
      <c r="D49" s="6">
        <v>356</v>
      </c>
      <c r="E49" s="33" t="s">
        <v>128</v>
      </c>
      <c r="F49" s="33" t="s">
        <v>128</v>
      </c>
      <c r="G49" s="33" t="s">
        <v>128</v>
      </c>
      <c r="H49" s="33" t="s">
        <v>128</v>
      </c>
      <c r="I49" s="33" t="s">
        <v>128</v>
      </c>
      <c r="J49" s="33" t="s">
        <v>128</v>
      </c>
      <c r="K49" s="33" t="s">
        <v>128</v>
      </c>
      <c r="L49" s="33" t="s">
        <v>128</v>
      </c>
      <c r="M49" s="33" t="s">
        <v>128</v>
      </c>
      <c r="N49" s="33" t="s">
        <v>128</v>
      </c>
      <c r="O49" s="33" t="s">
        <v>128</v>
      </c>
      <c r="P49" s="148" t="s">
        <v>128</v>
      </c>
      <c r="Q49" s="33" t="s">
        <v>128</v>
      </c>
      <c r="R49" s="33" t="s">
        <v>128</v>
      </c>
      <c r="S49" s="33" t="s">
        <v>128</v>
      </c>
      <c r="T49" s="33" t="s">
        <v>128</v>
      </c>
      <c r="U49" s="33" t="s">
        <v>128</v>
      </c>
      <c r="V49" s="33" t="s">
        <v>128</v>
      </c>
      <c r="W49" s="33" t="s">
        <v>128</v>
      </c>
      <c r="X49" s="33" t="s">
        <v>128</v>
      </c>
      <c r="Y49" s="33" t="s">
        <v>128</v>
      </c>
      <c r="Z49" s="33" t="s">
        <v>128</v>
      </c>
      <c r="AA49" s="33" t="s">
        <v>128</v>
      </c>
      <c r="AB49" s="6">
        <v>1300</v>
      </c>
      <c r="AC49" s="6"/>
      <c r="AD49" s="35">
        <f t="shared" si="0"/>
        <v>412</v>
      </c>
      <c r="AE49" s="6">
        <v>124</v>
      </c>
      <c r="AF49" s="6">
        <v>1560</v>
      </c>
      <c r="AG49" s="35">
        <f t="shared" si="1"/>
        <v>384</v>
      </c>
      <c r="AH49" s="35">
        <v>514</v>
      </c>
      <c r="AI49" s="35"/>
      <c r="AJ49" s="35">
        <f t="shared" si="2"/>
        <v>390</v>
      </c>
      <c r="AK49" s="6">
        <v>883</v>
      </c>
      <c r="AL49" s="6"/>
      <c r="AM49" s="35">
        <f t="shared" si="3"/>
        <v>369</v>
      </c>
      <c r="AN49" s="6"/>
      <c r="AO49" s="6"/>
      <c r="AP49" s="34"/>
      <c r="AQ49" s="35">
        <v>1274</v>
      </c>
      <c r="AR49" s="35"/>
      <c r="AS49" s="35">
        <f t="shared" si="4"/>
        <v>391</v>
      </c>
      <c r="AT49" s="6">
        <v>96</v>
      </c>
      <c r="AU49" s="6">
        <v>1560</v>
      </c>
      <c r="AV49" s="35">
        <f t="shared" si="5"/>
        <v>382</v>
      </c>
      <c r="AW49" s="6">
        <v>481</v>
      </c>
      <c r="AX49" s="6"/>
      <c r="AY49" s="35">
        <f t="shared" si="6"/>
        <v>385</v>
      </c>
      <c r="AZ49" s="35">
        <v>858</v>
      </c>
      <c r="BA49" s="35"/>
      <c r="BB49" s="35">
        <f t="shared" si="7"/>
        <v>377</v>
      </c>
      <c r="BC49" s="6">
        <v>1236</v>
      </c>
      <c r="BD49" s="6"/>
      <c r="BE49" s="35">
        <f t="shared" si="8"/>
        <v>378</v>
      </c>
      <c r="BF49" s="6">
        <v>0</v>
      </c>
      <c r="BG49" s="6">
        <v>1604</v>
      </c>
      <c r="BH49" s="6">
        <f t="shared" si="9"/>
        <v>368</v>
      </c>
      <c r="BI49" s="6"/>
      <c r="BJ49" s="6"/>
      <c r="BK49" s="6"/>
      <c r="BL49" s="6">
        <v>354</v>
      </c>
      <c r="BM49" s="6"/>
      <c r="BN49" s="6">
        <f t="shared" si="10"/>
        <v>354</v>
      </c>
      <c r="BO49" s="6">
        <v>734</v>
      </c>
      <c r="BP49" s="6"/>
      <c r="BQ49" s="35">
        <f t="shared" si="11"/>
        <v>380</v>
      </c>
      <c r="BR49" s="6">
        <v>1122</v>
      </c>
      <c r="BS49" s="6"/>
      <c r="BT49" s="6">
        <f t="shared" si="12"/>
        <v>388</v>
      </c>
      <c r="BU49" s="6">
        <v>1510</v>
      </c>
      <c r="BV49" s="6"/>
      <c r="BW49" s="35">
        <f t="shared" si="13"/>
        <v>388</v>
      </c>
      <c r="BX49" s="6">
        <v>341</v>
      </c>
      <c r="BY49" s="6">
        <v>1560</v>
      </c>
      <c r="BZ49" s="6">
        <f t="shared" si="14"/>
        <v>391</v>
      </c>
      <c r="CA49" s="6">
        <v>493</v>
      </c>
      <c r="CB49" s="6"/>
      <c r="CC49" s="6">
        <f t="shared" si="15"/>
        <v>152</v>
      </c>
      <c r="CD49" s="6"/>
      <c r="CE49" s="6"/>
      <c r="CF49" s="6"/>
      <c r="CG49" s="6">
        <v>882</v>
      </c>
      <c r="CH49" s="6"/>
      <c r="CI49" s="6">
        <f t="shared" si="16"/>
        <v>389</v>
      </c>
      <c r="CJ49" s="6">
        <v>1284</v>
      </c>
      <c r="CK49" s="6"/>
      <c r="CL49" s="6">
        <f t="shared" si="17"/>
        <v>402</v>
      </c>
      <c r="CM49" s="6">
        <v>121</v>
      </c>
      <c r="CN49" s="6">
        <v>1561</v>
      </c>
      <c r="CO49" s="6">
        <f t="shared" si="18"/>
        <v>398</v>
      </c>
      <c r="CP49" s="6">
        <v>512</v>
      </c>
      <c r="CQ49" s="6"/>
      <c r="CR49" s="6">
        <f t="shared" si="19"/>
        <v>391</v>
      </c>
      <c r="CS49" s="6">
        <v>915</v>
      </c>
      <c r="CT49" s="6"/>
      <c r="CU49" s="6">
        <f t="shared" si="20"/>
        <v>403</v>
      </c>
      <c r="CV49" s="6">
        <v>1130</v>
      </c>
      <c r="CW49" s="6"/>
      <c r="CX49" s="6">
        <f t="shared" si="21"/>
        <v>215</v>
      </c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</row>
    <row r="50" spans="1:117">
      <c r="A50" s="6">
        <v>46</v>
      </c>
      <c r="B50" s="6">
        <v>47</v>
      </c>
      <c r="C50" s="6">
        <v>1560</v>
      </c>
      <c r="D50" s="6">
        <v>358</v>
      </c>
      <c r="E50" s="33" t="s">
        <v>128</v>
      </c>
      <c r="F50" s="33" t="s">
        <v>128</v>
      </c>
      <c r="G50" s="148" t="s">
        <v>128</v>
      </c>
      <c r="H50" s="33" t="s">
        <v>128</v>
      </c>
      <c r="I50" s="33" t="s">
        <v>128</v>
      </c>
      <c r="J50" s="33" t="s">
        <v>128</v>
      </c>
      <c r="K50" s="33" t="s">
        <v>128</v>
      </c>
      <c r="L50" s="33" t="s">
        <v>128</v>
      </c>
      <c r="M50" s="33" t="s">
        <v>128</v>
      </c>
      <c r="N50" s="33" t="s">
        <v>128</v>
      </c>
      <c r="O50" s="33" t="s">
        <v>128</v>
      </c>
      <c r="P50" s="33" t="s">
        <v>128</v>
      </c>
      <c r="Q50" s="33" t="s">
        <v>128</v>
      </c>
      <c r="R50" s="33" t="s">
        <v>128</v>
      </c>
      <c r="S50" s="33" t="s">
        <v>128</v>
      </c>
      <c r="T50" s="33" t="s">
        <v>128</v>
      </c>
      <c r="U50" s="33" t="s">
        <v>128</v>
      </c>
      <c r="V50" s="33" t="s">
        <v>128</v>
      </c>
      <c r="W50" s="33" t="s">
        <v>128</v>
      </c>
      <c r="X50" s="33" t="s">
        <v>128</v>
      </c>
      <c r="Y50" s="33" t="s">
        <v>128</v>
      </c>
      <c r="Z50" s="33" t="s">
        <v>128</v>
      </c>
      <c r="AA50" s="33" t="s">
        <v>128</v>
      </c>
      <c r="AB50" s="6">
        <v>459</v>
      </c>
      <c r="AC50" s="6"/>
      <c r="AD50" s="35">
        <f t="shared" si="0"/>
        <v>412</v>
      </c>
      <c r="AE50" s="6">
        <v>264</v>
      </c>
      <c r="AF50" s="6">
        <v>569</v>
      </c>
      <c r="AG50" s="35">
        <f t="shared" si="1"/>
        <v>374</v>
      </c>
      <c r="AH50" s="35">
        <v>650</v>
      </c>
      <c r="AI50" s="35"/>
      <c r="AJ50" s="35">
        <f t="shared" si="2"/>
        <v>386</v>
      </c>
      <c r="AK50" s="6">
        <v>1017</v>
      </c>
      <c r="AL50" s="6"/>
      <c r="AM50" s="35">
        <f t="shared" si="3"/>
        <v>367</v>
      </c>
      <c r="AN50" s="6"/>
      <c r="AO50" s="6"/>
      <c r="AP50" s="34"/>
      <c r="AQ50" s="35">
        <v>4</v>
      </c>
      <c r="AR50" s="35">
        <v>1397</v>
      </c>
      <c r="AS50" s="35">
        <f t="shared" si="4"/>
        <v>384</v>
      </c>
      <c r="AT50" s="6">
        <v>364</v>
      </c>
      <c r="AU50" s="6"/>
      <c r="AV50" s="35">
        <f t="shared" si="5"/>
        <v>360</v>
      </c>
      <c r="AW50" s="6">
        <v>739</v>
      </c>
      <c r="AX50" s="6"/>
      <c r="AY50" s="35">
        <f t="shared" si="6"/>
        <v>375</v>
      </c>
      <c r="AZ50" s="35">
        <v>1102</v>
      </c>
      <c r="BA50" s="35"/>
      <c r="BB50" s="35">
        <f t="shared" si="7"/>
        <v>363</v>
      </c>
      <c r="BC50" s="35">
        <v>1476</v>
      </c>
      <c r="BD50" s="6"/>
      <c r="BE50" s="35">
        <f t="shared" si="8"/>
        <v>374</v>
      </c>
      <c r="BF50" s="6">
        <v>239</v>
      </c>
      <c r="BG50" s="6">
        <v>1560</v>
      </c>
      <c r="BH50" s="6">
        <f t="shared" si="9"/>
        <v>323</v>
      </c>
      <c r="BI50" s="6"/>
      <c r="BJ50" s="6"/>
      <c r="BK50" s="6"/>
      <c r="BL50" s="6">
        <v>621</v>
      </c>
      <c r="BM50" s="6"/>
      <c r="BN50" s="6">
        <f t="shared" si="10"/>
        <v>382</v>
      </c>
      <c r="BO50" s="6">
        <v>988</v>
      </c>
      <c r="BP50" s="6"/>
      <c r="BQ50" s="35">
        <f t="shared" si="11"/>
        <v>367</v>
      </c>
      <c r="BR50" s="6">
        <v>1362</v>
      </c>
      <c r="BS50" s="6"/>
      <c r="BT50" s="6">
        <f t="shared" si="12"/>
        <v>374</v>
      </c>
      <c r="BU50" s="6">
        <v>175</v>
      </c>
      <c r="BV50" s="6">
        <v>1560</v>
      </c>
      <c r="BW50" s="35">
        <f t="shared" si="13"/>
        <v>373</v>
      </c>
      <c r="BX50" s="6">
        <v>556</v>
      </c>
      <c r="BY50" s="6"/>
      <c r="BZ50" s="6">
        <f t="shared" si="14"/>
        <v>381</v>
      </c>
      <c r="CA50" s="6">
        <v>919</v>
      </c>
      <c r="CB50" s="6"/>
      <c r="CC50" s="6">
        <f t="shared" si="15"/>
        <v>363</v>
      </c>
      <c r="CD50" s="6"/>
      <c r="CE50" s="6"/>
      <c r="CF50" s="6"/>
      <c r="CG50" s="6">
        <v>1297</v>
      </c>
      <c r="CH50" s="6"/>
      <c r="CI50" s="6">
        <f t="shared" si="16"/>
        <v>378</v>
      </c>
      <c r="CJ50" s="6">
        <v>125</v>
      </c>
      <c r="CK50" s="6">
        <v>1560</v>
      </c>
      <c r="CL50" s="6">
        <f t="shared" si="17"/>
        <v>388</v>
      </c>
      <c r="CM50" s="6">
        <v>518</v>
      </c>
      <c r="CN50" s="6"/>
      <c r="CO50" s="6">
        <f t="shared" si="18"/>
        <v>393</v>
      </c>
      <c r="CP50" s="6">
        <v>895</v>
      </c>
      <c r="CQ50" s="6"/>
      <c r="CR50" s="6">
        <f t="shared" si="19"/>
        <v>377</v>
      </c>
      <c r="CS50" s="6">
        <v>1293</v>
      </c>
      <c r="CT50" s="6"/>
      <c r="CU50" s="6">
        <f t="shared" si="20"/>
        <v>398</v>
      </c>
      <c r="CV50" s="6">
        <v>1506</v>
      </c>
      <c r="CW50" s="6"/>
      <c r="CX50" s="6">
        <f t="shared" si="21"/>
        <v>213</v>
      </c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</row>
    <row r="51" spans="1:117">
      <c r="A51" s="6">
        <v>47</v>
      </c>
      <c r="B51" s="6">
        <v>123</v>
      </c>
      <c r="C51" s="6">
        <v>1560</v>
      </c>
      <c r="D51" s="6">
        <v>357</v>
      </c>
      <c r="E51" s="33" t="s">
        <v>37</v>
      </c>
      <c r="F51" s="33" t="s">
        <v>37</v>
      </c>
      <c r="G51" s="33" t="s">
        <v>37</v>
      </c>
      <c r="H51" s="33" t="s">
        <v>37</v>
      </c>
      <c r="I51" s="33" t="s">
        <v>37</v>
      </c>
      <c r="J51" s="33" t="s">
        <v>37</v>
      </c>
      <c r="K51" s="33" t="s">
        <v>37</v>
      </c>
      <c r="L51" s="33" t="s">
        <v>37</v>
      </c>
      <c r="M51" s="33" t="s">
        <v>37</v>
      </c>
      <c r="N51" s="33" t="s">
        <v>37</v>
      </c>
      <c r="O51" s="33" t="s">
        <v>37</v>
      </c>
      <c r="P51" s="33" t="s">
        <v>37</v>
      </c>
      <c r="Q51" s="33" t="s">
        <v>37</v>
      </c>
      <c r="R51" s="148" t="s">
        <v>128</v>
      </c>
      <c r="S51" s="33" t="s">
        <v>128</v>
      </c>
      <c r="T51" s="33" t="s">
        <v>128</v>
      </c>
      <c r="U51" s="33" t="s">
        <v>128</v>
      </c>
      <c r="V51" s="33" t="s">
        <v>128</v>
      </c>
      <c r="W51" s="33" t="s">
        <v>128</v>
      </c>
      <c r="X51" s="33" t="s">
        <v>128</v>
      </c>
      <c r="Y51" s="33" t="s">
        <v>128</v>
      </c>
      <c r="Z51" s="33" t="s">
        <v>128</v>
      </c>
      <c r="AA51" s="33" t="s">
        <v>128</v>
      </c>
      <c r="AB51" s="35">
        <v>529</v>
      </c>
      <c r="AC51" s="35"/>
      <c r="AD51" s="35">
        <f t="shared" si="0"/>
        <v>406</v>
      </c>
      <c r="AE51" s="35">
        <v>914</v>
      </c>
      <c r="AF51" s="35"/>
      <c r="AG51" s="35">
        <f t="shared" si="1"/>
        <v>385</v>
      </c>
      <c r="AH51" s="35">
        <v>1305</v>
      </c>
      <c r="AI51" s="35"/>
      <c r="AJ51" s="35">
        <f t="shared" si="2"/>
        <v>391</v>
      </c>
      <c r="AK51" s="6">
        <v>110</v>
      </c>
      <c r="AL51" s="6">
        <v>1560</v>
      </c>
      <c r="AM51" s="35">
        <f t="shared" si="3"/>
        <v>365</v>
      </c>
      <c r="AN51" s="6"/>
      <c r="AO51" s="6"/>
      <c r="AP51" s="34"/>
      <c r="AQ51" s="35">
        <v>501</v>
      </c>
      <c r="AR51" s="35"/>
      <c r="AS51" s="35">
        <f t="shared" si="4"/>
        <v>391</v>
      </c>
      <c r="AT51" s="6">
        <v>884</v>
      </c>
      <c r="AU51" s="6"/>
      <c r="AV51" s="35">
        <f t="shared" si="5"/>
        <v>383</v>
      </c>
      <c r="AW51" s="6">
        <v>311</v>
      </c>
      <c r="AX51" s="6">
        <v>955</v>
      </c>
      <c r="AY51" s="35">
        <f t="shared" si="6"/>
        <v>382</v>
      </c>
      <c r="AZ51" s="6">
        <v>698</v>
      </c>
      <c r="BA51" s="6"/>
      <c r="BB51" s="35">
        <f t="shared" si="7"/>
        <v>387</v>
      </c>
      <c r="BC51" s="6">
        <v>1080</v>
      </c>
      <c r="BD51" s="6"/>
      <c r="BE51" s="35">
        <f t="shared" si="8"/>
        <v>382</v>
      </c>
      <c r="BF51" s="6">
        <v>8</v>
      </c>
      <c r="BG51" s="6">
        <v>1434</v>
      </c>
      <c r="BH51" s="6">
        <f t="shared" si="9"/>
        <v>362</v>
      </c>
      <c r="BI51" s="6"/>
      <c r="BJ51" s="35"/>
      <c r="BK51" s="6"/>
      <c r="BL51" s="6">
        <v>400</v>
      </c>
      <c r="BM51" s="6"/>
      <c r="BN51" s="6">
        <f t="shared" si="10"/>
        <v>392</v>
      </c>
      <c r="BO51" s="6">
        <v>779</v>
      </c>
      <c r="BP51" s="6"/>
      <c r="BQ51" s="35">
        <f t="shared" si="11"/>
        <v>379</v>
      </c>
      <c r="BR51" s="6">
        <v>341</v>
      </c>
      <c r="BS51" s="6">
        <v>786</v>
      </c>
      <c r="BT51" s="6">
        <f t="shared" si="12"/>
        <v>348</v>
      </c>
      <c r="BU51" s="6">
        <v>724</v>
      </c>
      <c r="BV51" s="6"/>
      <c r="BW51" s="35">
        <f t="shared" si="13"/>
        <v>383</v>
      </c>
      <c r="BX51" s="6">
        <v>1112</v>
      </c>
      <c r="BY51" s="35"/>
      <c r="BZ51" s="6">
        <f t="shared" si="14"/>
        <v>388</v>
      </c>
      <c r="CA51" s="6">
        <v>238</v>
      </c>
      <c r="CB51" s="6">
        <v>1241</v>
      </c>
      <c r="CC51" s="6">
        <f t="shared" si="15"/>
        <v>367</v>
      </c>
      <c r="CD51" s="6"/>
      <c r="CE51" s="35"/>
      <c r="CF51" s="6"/>
      <c r="CG51" s="6">
        <v>636</v>
      </c>
      <c r="CH51" s="6"/>
      <c r="CI51" s="6">
        <f t="shared" si="16"/>
        <v>398</v>
      </c>
      <c r="CJ51" s="6">
        <v>1034</v>
      </c>
      <c r="CK51" s="6"/>
      <c r="CL51" s="6">
        <f t="shared" si="17"/>
        <v>398</v>
      </c>
      <c r="CM51" s="6">
        <v>1433</v>
      </c>
      <c r="CN51" s="6"/>
      <c r="CO51" s="6">
        <f t="shared" si="18"/>
        <v>399</v>
      </c>
      <c r="CP51" s="6">
        <v>300</v>
      </c>
      <c r="CQ51" s="6">
        <v>1528</v>
      </c>
      <c r="CR51" s="6">
        <f t="shared" si="19"/>
        <v>395</v>
      </c>
      <c r="CS51" s="6">
        <v>692</v>
      </c>
      <c r="CT51" s="6"/>
      <c r="CU51" s="6">
        <f t="shared" si="20"/>
        <v>392</v>
      </c>
      <c r="CV51" s="6">
        <v>908</v>
      </c>
      <c r="CW51" s="6"/>
      <c r="CX51" s="6">
        <f t="shared" si="21"/>
        <v>216</v>
      </c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</row>
    <row r="52" spans="1:117">
      <c r="A52" s="6">
        <v>48</v>
      </c>
      <c r="B52" s="6">
        <v>965</v>
      </c>
      <c r="C52" s="6"/>
      <c r="D52" s="6">
        <v>360</v>
      </c>
      <c r="E52" s="33" t="s">
        <v>37</v>
      </c>
      <c r="F52" s="33" t="s">
        <v>37</v>
      </c>
      <c r="G52" s="33" t="s">
        <v>37</v>
      </c>
      <c r="H52" s="33" t="s">
        <v>37</v>
      </c>
      <c r="I52" s="33" t="s">
        <v>37</v>
      </c>
      <c r="J52" s="33" t="s">
        <v>37</v>
      </c>
      <c r="K52" s="33" t="s">
        <v>37</v>
      </c>
      <c r="L52" s="33" t="s">
        <v>37</v>
      </c>
      <c r="M52" s="33" t="s">
        <v>37</v>
      </c>
      <c r="N52" s="33" t="s">
        <v>37</v>
      </c>
      <c r="O52" s="33" t="s">
        <v>37</v>
      </c>
      <c r="P52" s="148" t="s">
        <v>37</v>
      </c>
      <c r="Q52" s="33" t="s">
        <v>37</v>
      </c>
      <c r="R52" s="33" t="s">
        <v>37</v>
      </c>
      <c r="S52" s="33" t="s">
        <v>37</v>
      </c>
      <c r="T52" s="33" t="s">
        <v>37</v>
      </c>
      <c r="U52" s="33" t="s">
        <v>37</v>
      </c>
      <c r="V52" s="33" t="s">
        <v>37</v>
      </c>
      <c r="W52" s="33" t="s">
        <v>37</v>
      </c>
      <c r="X52" s="33" t="s">
        <v>37</v>
      </c>
      <c r="Y52" s="33" t="s">
        <v>37</v>
      </c>
      <c r="Z52" s="33" t="s">
        <v>37</v>
      </c>
      <c r="AA52" s="33" t="s">
        <v>37</v>
      </c>
      <c r="AB52" s="35">
        <v>1370</v>
      </c>
      <c r="AC52" s="35"/>
      <c r="AD52" s="35">
        <f t="shared" si="0"/>
        <v>405</v>
      </c>
      <c r="AE52" s="35">
        <v>187</v>
      </c>
      <c r="AF52" s="35">
        <v>1560</v>
      </c>
      <c r="AG52" s="35">
        <f t="shared" si="1"/>
        <v>377</v>
      </c>
      <c r="AH52" s="35">
        <v>580</v>
      </c>
      <c r="AI52" s="35"/>
      <c r="AJ52" s="35">
        <f t="shared" si="2"/>
        <v>393</v>
      </c>
      <c r="AK52" s="35">
        <v>157</v>
      </c>
      <c r="AL52" s="35">
        <v>783</v>
      </c>
      <c r="AM52" s="35">
        <f t="shared" si="3"/>
        <v>360</v>
      </c>
      <c r="AN52" s="6"/>
      <c r="AO52" s="6"/>
      <c r="AP52" s="34"/>
      <c r="AQ52" s="35">
        <v>495</v>
      </c>
      <c r="AR52" s="35"/>
      <c r="AS52" s="35">
        <f t="shared" si="4"/>
        <v>338</v>
      </c>
      <c r="AT52" s="6">
        <v>368</v>
      </c>
      <c r="AU52" s="6">
        <v>497</v>
      </c>
      <c r="AV52" s="35">
        <f t="shared" si="5"/>
        <v>370</v>
      </c>
      <c r="AW52" s="6">
        <v>755</v>
      </c>
      <c r="AX52" s="6"/>
      <c r="AY52" s="35">
        <f t="shared" si="6"/>
        <v>387</v>
      </c>
      <c r="AZ52" s="35">
        <v>1141</v>
      </c>
      <c r="BA52" s="35"/>
      <c r="BB52" s="35">
        <f t="shared" si="7"/>
        <v>386</v>
      </c>
      <c r="BC52" s="6">
        <v>1517</v>
      </c>
      <c r="BD52" s="6"/>
      <c r="BE52" s="35">
        <f t="shared" si="8"/>
        <v>376</v>
      </c>
      <c r="BF52" s="6">
        <v>0</v>
      </c>
      <c r="BG52" s="6">
        <v>1869</v>
      </c>
      <c r="BH52" s="6">
        <f t="shared" si="9"/>
        <v>352</v>
      </c>
      <c r="BI52" s="6"/>
      <c r="BJ52" s="6"/>
      <c r="BK52" s="6"/>
      <c r="BL52" s="6">
        <v>360</v>
      </c>
      <c r="BM52" s="6"/>
      <c r="BN52" s="6">
        <f t="shared" si="10"/>
        <v>360</v>
      </c>
      <c r="BO52" s="6">
        <v>741</v>
      </c>
      <c r="BP52" s="6"/>
      <c r="BQ52" s="35">
        <f t="shared" si="11"/>
        <v>381</v>
      </c>
      <c r="BR52" s="6">
        <v>1128</v>
      </c>
      <c r="BS52" s="6"/>
      <c r="BT52" s="6">
        <f t="shared" si="12"/>
        <v>387</v>
      </c>
      <c r="BU52" s="6">
        <v>1516</v>
      </c>
      <c r="BV52" s="6"/>
      <c r="BW52" s="35">
        <f t="shared" si="13"/>
        <v>388</v>
      </c>
      <c r="BX52" s="6">
        <v>349</v>
      </c>
      <c r="BY52" s="6">
        <v>1560</v>
      </c>
      <c r="BZ52" s="6">
        <f t="shared" si="14"/>
        <v>393</v>
      </c>
      <c r="CA52" s="6">
        <v>711</v>
      </c>
      <c r="CB52" s="6"/>
      <c r="CC52" s="6">
        <f t="shared" si="15"/>
        <v>362</v>
      </c>
      <c r="CD52" s="6"/>
      <c r="CE52" s="6"/>
      <c r="CF52" s="6"/>
      <c r="CG52" s="6">
        <v>1104</v>
      </c>
      <c r="CH52" s="6"/>
      <c r="CI52" s="6">
        <f t="shared" si="16"/>
        <v>393</v>
      </c>
      <c r="CJ52" s="6">
        <v>1494</v>
      </c>
      <c r="CK52" s="6"/>
      <c r="CL52" s="6">
        <f t="shared" si="17"/>
        <v>390</v>
      </c>
      <c r="CM52" s="6">
        <v>307</v>
      </c>
      <c r="CN52" s="6">
        <v>1560</v>
      </c>
      <c r="CO52" s="6">
        <f t="shared" si="18"/>
        <v>373</v>
      </c>
      <c r="CP52" s="6">
        <v>693</v>
      </c>
      <c r="CQ52" s="6"/>
      <c r="CR52" s="6">
        <f t="shared" si="19"/>
        <v>386</v>
      </c>
      <c r="CS52" s="6">
        <v>1080</v>
      </c>
      <c r="CT52" s="6"/>
      <c r="CU52" s="6">
        <f t="shared" si="20"/>
        <v>387</v>
      </c>
      <c r="CV52" s="6">
        <v>1286</v>
      </c>
      <c r="CW52" s="6"/>
      <c r="CX52" s="6">
        <f t="shared" si="21"/>
        <v>206</v>
      </c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</row>
    <row r="53" spans="1:117">
      <c r="A53" s="6">
        <v>49</v>
      </c>
      <c r="B53" s="6">
        <v>1155</v>
      </c>
      <c r="C53" s="6"/>
      <c r="D53" s="6">
        <v>321</v>
      </c>
      <c r="E53" s="33" t="s">
        <v>130</v>
      </c>
      <c r="F53" s="33" t="s">
        <v>130</v>
      </c>
      <c r="G53" s="33" t="s">
        <v>130</v>
      </c>
      <c r="H53" s="33" t="s">
        <v>130</v>
      </c>
      <c r="I53" s="33" t="s">
        <v>130</v>
      </c>
      <c r="J53" s="148" t="s">
        <v>130</v>
      </c>
      <c r="K53" s="33" t="s">
        <v>130</v>
      </c>
      <c r="L53" s="33" t="s">
        <v>130</v>
      </c>
      <c r="M53" s="33" t="s">
        <v>130</v>
      </c>
      <c r="N53" s="33" t="s">
        <v>130</v>
      </c>
      <c r="O53" s="33" t="s">
        <v>130</v>
      </c>
      <c r="P53" s="33" t="s">
        <v>130</v>
      </c>
      <c r="Q53" s="33" t="s">
        <v>130</v>
      </c>
      <c r="R53" s="33" t="s">
        <v>130</v>
      </c>
      <c r="S53" s="33" t="s">
        <v>130</v>
      </c>
      <c r="T53" s="33" t="s">
        <v>130</v>
      </c>
      <c r="U53" s="33" t="s">
        <v>130</v>
      </c>
      <c r="V53" s="33" t="s">
        <v>130</v>
      </c>
      <c r="W53" s="33" t="s">
        <v>130</v>
      </c>
      <c r="X53" s="33" t="s">
        <v>130</v>
      </c>
      <c r="Y53" s="33" t="s">
        <v>130</v>
      </c>
      <c r="Z53" s="33" t="s">
        <v>130</v>
      </c>
      <c r="AA53" s="148" t="s">
        <v>37</v>
      </c>
      <c r="AB53" s="35">
        <v>334</v>
      </c>
      <c r="AC53" s="35">
        <v>1188</v>
      </c>
      <c r="AD53" s="35">
        <f t="shared" si="0"/>
        <v>367</v>
      </c>
      <c r="AE53" s="35">
        <v>675</v>
      </c>
      <c r="AF53" s="35"/>
      <c r="AG53" s="35">
        <f t="shared" si="1"/>
        <v>341</v>
      </c>
      <c r="AH53" s="35">
        <v>1028</v>
      </c>
      <c r="AI53" s="35"/>
      <c r="AJ53" s="35">
        <f t="shared" si="2"/>
        <v>353</v>
      </c>
      <c r="AK53" s="35">
        <v>0</v>
      </c>
      <c r="AL53" s="35">
        <v>1234</v>
      </c>
      <c r="AM53" s="35">
        <f t="shared" si="3"/>
        <v>206</v>
      </c>
      <c r="AN53" s="6"/>
      <c r="AO53" s="35"/>
      <c r="AP53" s="34"/>
      <c r="AQ53" s="35">
        <v>335</v>
      </c>
      <c r="AR53" s="35"/>
      <c r="AS53" s="35">
        <f t="shared" si="4"/>
        <v>335</v>
      </c>
      <c r="AT53" s="6">
        <v>681</v>
      </c>
      <c r="AU53" s="6"/>
      <c r="AV53" s="35">
        <f t="shared" si="5"/>
        <v>346</v>
      </c>
      <c r="AW53" s="6">
        <v>1026</v>
      </c>
      <c r="AX53" s="6"/>
      <c r="AY53" s="35">
        <f t="shared" si="6"/>
        <v>345</v>
      </c>
      <c r="AZ53" s="6">
        <v>174</v>
      </c>
      <c r="BA53" s="6">
        <v>1200</v>
      </c>
      <c r="BB53" s="35">
        <f t="shared" si="7"/>
        <v>348</v>
      </c>
      <c r="BC53" s="6">
        <v>513</v>
      </c>
      <c r="BD53" s="6"/>
      <c r="BE53" s="35">
        <f t="shared" si="8"/>
        <v>339</v>
      </c>
      <c r="BF53" s="6">
        <v>847</v>
      </c>
      <c r="BG53" s="6"/>
      <c r="BH53" s="6">
        <f t="shared" si="9"/>
        <v>334</v>
      </c>
      <c r="BI53" s="6"/>
      <c r="BJ53" s="35"/>
      <c r="BK53" s="6"/>
      <c r="BL53" s="6">
        <v>1191</v>
      </c>
      <c r="BM53" s="6"/>
      <c r="BN53" s="6">
        <f t="shared" si="10"/>
        <v>344</v>
      </c>
      <c r="BO53" s="6">
        <v>329</v>
      </c>
      <c r="BP53" s="6">
        <v>1200</v>
      </c>
      <c r="BQ53" s="35">
        <f t="shared" si="11"/>
        <v>338</v>
      </c>
      <c r="BR53" s="6">
        <v>679</v>
      </c>
      <c r="BS53" s="6"/>
      <c r="BT53" s="6">
        <f t="shared" si="12"/>
        <v>350</v>
      </c>
      <c r="BU53" s="6">
        <v>1024</v>
      </c>
      <c r="BV53" s="6"/>
      <c r="BW53" s="35">
        <f t="shared" si="13"/>
        <v>345</v>
      </c>
      <c r="BX53" s="6">
        <v>167</v>
      </c>
      <c r="BY53" s="35">
        <v>1200</v>
      </c>
      <c r="BZ53" s="6">
        <f t="shared" si="14"/>
        <v>343</v>
      </c>
      <c r="CA53" s="6">
        <v>494</v>
      </c>
      <c r="CB53" s="6"/>
      <c r="CC53" s="6">
        <f t="shared" si="15"/>
        <v>327</v>
      </c>
      <c r="CD53" s="6"/>
      <c r="CE53" s="35"/>
      <c r="CF53" s="6"/>
      <c r="CG53" s="6">
        <v>846</v>
      </c>
      <c r="CH53" s="6"/>
      <c r="CI53" s="6">
        <f t="shared" si="16"/>
        <v>352</v>
      </c>
      <c r="CJ53" s="6">
        <v>1194</v>
      </c>
      <c r="CK53" s="6"/>
      <c r="CL53" s="6">
        <f t="shared" si="17"/>
        <v>348</v>
      </c>
      <c r="CM53" s="6">
        <v>337</v>
      </c>
      <c r="CN53" s="6">
        <v>1200</v>
      </c>
      <c r="CO53" s="6">
        <f t="shared" si="18"/>
        <v>343</v>
      </c>
      <c r="CP53" s="6">
        <v>681</v>
      </c>
      <c r="CQ53" s="6"/>
      <c r="CR53" s="6">
        <f t="shared" si="19"/>
        <v>344</v>
      </c>
      <c r="CS53" s="6">
        <v>1030</v>
      </c>
      <c r="CT53" s="6"/>
      <c r="CU53" s="6">
        <f t="shared" si="20"/>
        <v>349</v>
      </c>
      <c r="CV53" s="6">
        <v>112</v>
      </c>
      <c r="CW53" s="6">
        <v>1102</v>
      </c>
      <c r="CX53" s="6">
        <f t="shared" si="21"/>
        <v>184</v>
      </c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</row>
    <row r="54" spans="1:117">
      <c r="A54" s="6">
        <v>50</v>
      </c>
      <c r="B54" s="6">
        <v>259</v>
      </c>
      <c r="C54" s="6">
        <v>1200</v>
      </c>
      <c r="D54" s="6">
        <v>321</v>
      </c>
      <c r="E54" s="169" t="s">
        <v>130</v>
      </c>
      <c r="F54" s="169" t="s">
        <v>130</v>
      </c>
      <c r="G54" s="169" t="s">
        <v>130</v>
      </c>
      <c r="H54" s="169" t="s">
        <v>130</v>
      </c>
      <c r="I54" s="167" t="s">
        <v>130</v>
      </c>
      <c r="J54" s="169" t="s">
        <v>130</v>
      </c>
      <c r="K54" s="169" t="s">
        <v>130</v>
      </c>
      <c r="L54" s="169" t="s">
        <v>130</v>
      </c>
      <c r="M54" s="169" t="s">
        <v>130</v>
      </c>
      <c r="N54" s="169" t="s">
        <v>130</v>
      </c>
      <c r="O54" s="169" t="s">
        <v>130</v>
      </c>
      <c r="P54" s="169" t="s">
        <v>130</v>
      </c>
      <c r="Q54" s="169" t="s">
        <v>130</v>
      </c>
      <c r="R54" s="169" t="s">
        <v>130</v>
      </c>
      <c r="S54" s="169" t="s">
        <v>130</v>
      </c>
      <c r="T54" s="169" t="s">
        <v>130</v>
      </c>
      <c r="U54" s="169" t="s">
        <v>130</v>
      </c>
      <c r="V54" s="169" t="s">
        <v>130</v>
      </c>
      <c r="W54" s="169" t="s">
        <v>130</v>
      </c>
      <c r="X54" s="169" t="s">
        <v>130</v>
      </c>
      <c r="Y54" s="169" t="s">
        <v>130</v>
      </c>
      <c r="Z54" s="169" t="s">
        <v>130</v>
      </c>
      <c r="AA54" s="283" t="s">
        <v>37</v>
      </c>
      <c r="AB54" s="6">
        <v>624</v>
      </c>
      <c r="AC54" s="6"/>
      <c r="AD54" s="35">
        <f t="shared" si="0"/>
        <v>365</v>
      </c>
      <c r="AE54" s="6">
        <v>963</v>
      </c>
      <c r="AF54" s="6"/>
      <c r="AG54" s="35">
        <f t="shared" si="1"/>
        <v>339</v>
      </c>
      <c r="AH54" s="35">
        <v>0</v>
      </c>
      <c r="AI54" s="35">
        <v>1124</v>
      </c>
      <c r="AJ54" s="35">
        <f t="shared" si="2"/>
        <v>161</v>
      </c>
      <c r="AK54" s="6">
        <v>315</v>
      </c>
      <c r="AL54" s="6"/>
      <c r="AM54" s="35">
        <f t="shared" si="3"/>
        <v>315</v>
      </c>
      <c r="AN54" s="6"/>
      <c r="AO54" s="6"/>
      <c r="AP54" s="34"/>
      <c r="AQ54" s="35">
        <v>659</v>
      </c>
      <c r="AR54" s="35"/>
      <c r="AS54" s="35">
        <f t="shared" si="4"/>
        <v>344</v>
      </c>
      <c r="AT54" s="6">
        <v>994</v>
      </c>
      <c r="AU54" s="6"/>
      <c r="AV54" s="35">
        <f t="shared" si="5"/>
        <v>335</v>
      </c>
      <c r="AW54" s="6">
        <v>123</v>
      </c>
      <c r="AX54" s="6">
        <v>1200</v>
      </c>
      <c r="AY54" s="35">
        <f t="shared" si="6"/>
        <v>329</v>
      </c>
      <c r="AZ54" s="35">
        <v>463</v>
      </c>
      <c r="BA54" s="35"/>
      <c r="BB54" s="35">
        <f t="shared" si="7"/>
        <v>340</v>
      </c>
      <c r="BC54" s="6">
        <v>796</v>
      </c>
      <c r="BD54" s="6"/>
      <c r="BE54" s="35">
        <f t="shared" si="8"/>
        <v>333</v>
      </c>
      <c r="BF54" s="6">
        <v>1117</v>
      </c>
      <c r="BG54" s="6"/>
      <c r="BH54" s="6">
        <f t="shared" si="9"/>
        <v>321</v>
      </c>
      <c r="BI54" s="6"/>
      <c r="BJ54" s="6"/>
      <c r="BK54" s="6"/>
      <c r="BL54" s="6">
        <v>261</v>
      </c>
      <c r="BM54" s="6">
        <v>1200</v>
      </c>
      <c r="BN54" s="6">
        <f t="shared" si="10"/>
        <v>344</v>
      </c>
      <c r="BO54" s="6">
        <v>587</v>
      </c>
      <c r="BP54" s="6"/>
      <c r="BQ54" s="35">
        <f t="shared" si="11"/>
        <v>326</v>
      </c>
      <c r="BR54" s="6">
        <v>234</v>
      </c>
      <c r="BS54" s="6">
        <v>697</v>
      </c>
      <c r="BT54" s="6">
        <f t="shared" si="12"/>
        <v>344</v>
      </c>
      <c r="BU54" s="6">
        <v>582</v>
      </c>
      <c r="BV54" s="6"/>
      <c r="BW54" s="35">
        <f t="shared" si="13"/>
        <v>348</v>
      </c>
      <c r="BX54" s="6">
        <v>929</v>
      </c>
      <c r="BY54" s="6"/>
      <c r="BZ54" s="6">
        <f t="shared" si="14"/>
        <v>347</v>
      </c>
      <c r="CA54" s="6">
        <v>55</v>
      </c>
      <c r="CB54" s="6">
        <v>1200</v>
      </c>
      <c r="CC54" s="6">
        <f t="shared" si="15"/>
        <v>326</v>
      </c>
      <c r="CD54" s="6"/>
      <c r="CE54" s="6"/>
      <c r="CF54" s="6"/>
      <c r="CG54" s="6">
        <v>384</v>
      </c>
      <c r="CH54" s="6"/>
      <c r="CI54" s="6">
        <f t="shared" si="16"/>
        <v>329</v>
      </c>
      <c r="CJ54" s="6">
        <v>728</v>
      </c>
      <c r="CK54" s="6"/>
      <c r="CL54" s="6">
        <f t="shared" si="17"/>
        <v>344</v>
      </c>
      <c r="CM54" s="6">
        <v>1066</v>
      </c>
      <c r="CN54" s="6"/>
      <c r="CO54" s="6">
        <f t="shared" si="18"/>
        <v>338</v>
      </c>
      <c r="CP54" s="6">
        <v>206</v>
      </c>
      <c r="CQ54" s="6">
        <v>1200</v>
      </c>
      <c r="CR54" s="6">
        <f t="shared" si="19"/>
        <v>340</v>
      </c>
      <c r="CS54" s="6">
        <v>0</v>
      </c>
      <c r="CT54" s="6">
        <v>400</v>
      </c>
      <c r="CU54" s="6">
        <f t="shared" si="20"/>
        <v>194</v>
      </c>
      <c r="CV54" s="6">
        <v>194</v>
      </c>
      <c r="CW54" s="6"/>
      <c r="CX54" s="6">
        <f t="shared" si="21"/>
        <v>194</v>
      </c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</row>
    <row r="55" spans="1:117">
      <c r="A55" s="6">
        <v>51</v>
      </c>
      <c r="B55" s="6">
        <v>888</v>
      </c>
      <c r="C55" s="6"/>
      <c r="D55" s="6">
        <v>311</v>
      </c>
      <c r="E55" s="33" t="s">
        <v>130</v>
      </c>
      <c r="F55" s="33" t="s">
        <v>130</v>
      </c>
      <c r="G55" s="33" t="s">
        <v>130</v>
      </c>
      <c r="H55" s="33" t="s">
        <v>130</v>
      </c>
      <c r="I55" s="33" t="s">
        <v>130</v>
      </c>
      <c r="J55" s="33" t="s">
        <v>130</v>
      </c>
      <c r="K55" s="33" t="s">
        <v>130</v>
      </c>
      <c r="L55" s="33" t="s">
        <v>130</v>
      </c>
      <c r="M55" s="33" t="s">
        <v>130</v>
      </c>
      <c r="N55" s="33" t="s">
        <v>130</v>
      </c>
      <c r="O55" s="33" t="s">
        <v>130</v>
      </c>
      <c r="P55" s="33" t="s">
        <v>130</v>
      </c>
      <c r="Q55" s="33" t="s">
        <v>130</v>
      </c>
      <c r="R55" s="33" t="s">
        <v>130</v>
      </c>
      <c r="S55" s="33" t="s">
        <v>130</v>
      </c>
      <c r="T55" s="33" t="s">
        <v>130</v>
      </c>
      <c r="U55" s="148" t="s">
        <v>307</v>
      </c>
      <c r="V55" s="33" t="s">
        <v>307</v>
      </c>
      <c r="W55" s="33" t="s">
        <v>307</v>
      </c>
      <c r="X55" s="33" t="s">
        <v>307</v>
      </c>
      <c r="Y55" s="33" t="s">
        <v>307</v>
      </c>
      <c r="Z55" s="33" t="s">
        <v>307</v>
      </c>
      <c r="AA55" s="33" t="s">
        <v>307</v>
      </c>
      <c r="AB55" s="6">
        <v>50</v>
      </c>
      <c r="AC55" s="6">
        <v>1200</v>
      </c>
      <c r="AD55" s="35">
        <f t="shared" si="0"/>
        <v>362</v>
      </c>
      <c r="AE55" s="6">
        <v>371</v>
      </c>
      <c r="AF55" s="6"/>
      <c r="AG55" s="35">
        <f t="shared" si="1"/>
        <v>321</v>
      </c>
      <c r="AH55" s="35">
        <v>693</v>
      </c>
      <c r="AI55" s="35"/>
      <c r="AJ55" s="35">
        <f t="shared" si="2"/>
        <v>322</v>
      </c>
      <c r="AK55" s="6">
        <v>215</v>
      </c>
      <c r="AL55" s="6">
        <v>787</v>
      </c>
      <c r="AM55" s="35">
        <f t="shared" si="3"/>
        <v>309</v>
      </c>
      <c r="AN55" s="6"/>
      <c r="AO55" s="6"/>
      <c r="AP55" s="34"/>
      <c r="AQ55" s="35">
        <v>557</v>
      </c>
      <c r="AR55" s="35"/>
      <c r="AS55" s="35">
        <f t="shared" si="4"/>
        <v>342</v>
      </c>
      <c r="AT55" s="6">
        <v>894</v>
      </c>
      <c r="AU55" s="6"/>
      <c r="AV55" s="35">
        <f t="shared" si="5"/>
        <v>337</v>
      </c>
      <c r="AW55" s="6">
        <v>28</v>
      </c>
      <c r="AX55" s="6">
        <v>1200</v>
      </c>
      <c r="AY55" s="35">
        <f t="shared" si="6"/>
        <v>334</v>
      </c>
      <c r="AZ55" s="35">
        <v>372</v>
      </c>
      <c r="BA55" s="35"/>
      <c r="BB55" s="35">
        <f t="shared" si="7"/>
        <v>344</v>
      </c>
      <c r="BC55" s="6">
        <v>715</v>
      </c>
      <c r="BD55" s="6"/>
      <c r="BE55" s="35">
        <f t="shared" si="8"/>
        <v>343</v>
      </c>
      <c r="BF55" s="6">
        <v>1046</v>
      </c>
      <c r="BG55" s="6"/>
      <c r="BH55" s="6">
        <f t="shared" si="9"/>
        <v>331</v>
      </c>
      <c r="BI55" s="6"/>
      <c r="BJ55" s="6"/>
      <c r="BK55" s="6"/>
      <c r="BL55" s="6">
        <v>194</v>
      </c>
      <c r="BM55" s="6">
        <v>1200</v>
      </c>
      <c r="BN55" s="6">
        <f t="shared" si="10"/>
        <v>348</v>
      </c>
      <c r="BO55" s="6">
        <v>532</v>
      </c>
      <c r="BP55" s="6"/>
      <c r="BQ55" s="35">
        <f t="shared" si="11"/>
        <v>338</v>
      </c>
      <c r="BR55" s="6">
        <v>879</v>
      </c>
      <c r="BS55" s="6"/>
      <c r="BT55" s="6">
        <f t="shared" si="12"/>
        <v>347</v>
      </c>
      <c r="BU55" s="6">
        <v>1224</v>
      </c>
      <c r="BV55" s="6"/>
      <c r="BW55" s="35">
        <f t="shared" si="13"/>
        <v>345</v>
      </c>
      <c r="BX55" s="6">
        <v>0</v>
      </c>
      <c r="BY55" s="6">
        <v>1521</v>
      </c>
      <c r="BZ55" s="6">
        <f t="shared" si="14"/>
        <v>297</v>
      </c>
      <c r="CA55" s="6">
        <v>323</v>
      </c>
      <c r="CB55" s="6"/>
      <c r="CC55" s="6">
        <f t="shared" si="15"/>
        <v>323</v>
      </c>
      <c r="CD55" s="6"/>
      <c r="CE55" s="6"/>
      <c r="CF55" s="6"/>
      <c r="CG55" s="6">
        <v>722</v>
      </c>
      <c r="CH55" s="6"/>
      <c r="CI55" s="6">
        <f t="shared" si="16"/>
        <v>399</v>
      </c>
      <c r="CJ55" s="6">
        <v>1113</v>
      </c>
      <c r="CK55" s="6"/>
      <c r="CL55" s="6">
        <f t="shared" si="17"/>
        <v>391</v>
      </c>
      <c r="CM55" s="6">
        <v>1491</v>
      </c>
      <c r="CN55" s="6"/>
      <c r="CO55" s="6">
        <f t="shared" si="18"/>
        <v>378</v>
      </c>
      <c r="CP55" s="6">
        <v>317</v>
      </c>
      <c r="CQ55" s="6">
        <v>1560</v>
      </c>
      <c r="CR55" s="6">
        <f t="shared" si="19"/>
        <v>386</v>
      </c>
      <c r="CS55" s="6">
        <v>701</v>
      </c>
      <c r="CT55" s="6"/>
      <c r="CU55" s="6">
        <f t="shared" si="20"/>
        <v>384</v>
      </c>
      <c r="CV55" s="6">
        <v>908</v>
      </c>
      <c r="CW55" s="6"/>
      <c r="CX55" s="6">
        <f t="shared" si="21"/>
        <v>207</v>
      </c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</row>
    <row r="56" spans="1:117">
      <c r="A56" s="272">
        <v>52</v>
      </c>
      <c r="B56" s="6">
        <v>976</v>
      </c>
      <c r="C56" s="6"/>
      <c r="D56" s="6">
        <v>326</v>
      </c>
      <c r="E56" s="33" t="s">
        <v>130</v>
      </c>
      <c r="F56" s="148" t="s">
        <v>130</v>
      </c>
      <c r="G56" s="33" t="s">
        <v>130</v>
      </c>
      <c r="H56" s="33" t="s">
        <v>130</v>
      </c>
      <c r="I56" s="33" t="s">
        <v>130</v>
      </c>
      <c r="J56" s="33" t="s">
        <v>130</v>
      </c>
      <c r="K56" s="33" t="s">
        <v>130</v>
      </c>
      <c r="L56" s="33" t="s">
        <v>130</v>
      </c>
      <c r="M56" s="33" t="s">
        <v>130</v>
      </c>
      <c r="N56" s="33" t="s">
        <v>130</v>
      </c>
      <c r="O56" s="33" t="s">
        <v>130</v>
      </c>
      <c r="P56" s="33" t="s">
        <v>130</v>
      </c>
      <c r="Q56" s="33" t="s">
        <v>130</v>
      </c>
      <c r="R56" s="33" t="s">
        <v>130</v>
      </c>
      <c r="S56" s="33" t="s">
        <v>130</v>
      </c>
      <c r="T56" s="33" t="s">
        <v>130</v>
      </c>
      <c r="U56" s="33" t="s">
        <v>130</v>
      </c>
      <c r="V56" s="33" t="s">
        <v>130</v>
      </c>
      <c r="W56" s="33" t="s">
        <v>130</v>
      </c>
      <c r="X56" s="148" t="s">
        <v>130</v>
      </c>
      <c r="Y56" s="33" t="s">
        <v>130</v>
      </c>
      <c r="Z56" s="33" t="s">
        <v>130</v>
      </c>
      <c r="AA56" s="33" t="s">
        <v>130</v>
      </c>
      <c r="AB56" s="6">
        <v>234</v>
      </c>
      <c r="AC56" s="6">
        <v>1104</v>
      </c>
      <c r="AD56" s="35">
        <f t="shared" si="0"/>
        <v>362</v>
      </c>
      <c r="AE56" s="6">
        <v>582</v>
      </c>
      <c r="AF56" s="6"/>
      <c r="AG56" s="35">
        <f t="shared" si="1"/>
        <v>348</v>
      </c>
      <c r="AH56" s="35">
        <v>935</v>
      </c>
      <c r="AI56" s="35"/>
      <c r="AJ56" s="35">
        <f t="shared" si="2"/>
        <v>353</v>
      </c>
      <c r="AK56" s="6">
        <v>65</v>
      </c>
      <c r="AL56" s="6">
        <v>1200</v>
      </c>
      <c r="AM56" s="35">
        <f t="shared" si="3"/>
        <v>330</v>
      </c>
      <c r="AN56" s="6"/>
      <c r="AO56" s="6"/>
      <c r="AP56" s="34"/>
      <c r="AQ56" s="35">
        <v>417</v>
      </c>
      <c r="AR56" s="35"/>
      <c r="AS56" s="35">
        <f t="shared" si="4"/>
        <v>352</v>
      </c>
      <c r="AT56" s="6">
        <v>764</v>
      </c>
      <c r="AU56" s="6"/>
      <c r="AV56" s="35">
        <f t="shared" si="5"/>
        <v>347</v>
      </c>
      <c r="AW56" s="6">
        <v>1111</v>
      </c>
      <c r="AX56" s="6"/>
      <c r="AY56" s="35">
        <f t="shared" si="6"/>
        <v>347</v>
      </c>
      <c r="AZ56" s="35">
        <v>267</v>
      </c>
      <c r="BA56" s="35">
        <v>1190</v>
      </c>
      <c r="BB56" s="35">
        <f t="shared" si="7"/>
        <v>346</v>
      </c>
      <c r="BC56" s="35">
        <v>605</v>
      </c>
      <c r="BD56" s="6"/>
      <c r="BE56" s="35">
        <f t="shared" si="8"/>
        <v>338</v>
      </c>
      <c r="BF56" s="35">
        <v>945</v>
      </c>
      <c r="BG56" s="6"/>
      <c r="BH56" s="6">
        <f t="shared" si="9"/>
        <v>340</v>
      </c>
      <c r="BI56" s="6"/>
      <c r="BJ56" s="6"/>
      <c r="BK56" s="6"/>
      <c r="BL56" s="6">
        <v>102</v>
      </c>
      <c r="BM56" s="6">
        <v>1200</v>
      </c>
      <c r="BN56" s="6">
        <f t="shared" si="10"/>
        <v>357</v>
      </c>
      <c r="BO56" s="6">
        <v>439</v>
      </c>
      <c r="BP56" s="6"/>
      <c r="BQ56" s="35">
        <f t="shared" si="11"/>
        <v>337</v>
      </c>
      <c r="BR56" s="6">
        <v>781</v>
      </c>
      <c r="BS56" s="6"/>
      <c r="BT56" s="6">
        <f t="shared" si="12"/>
        <v>342</v>
      </c>
      <c r="BU56" s="6">
        <v>1123</v>
      </c>
      <c r="BV56" s="6"/>
      <c r="BW56" s="35">
        <f t="shared" si="13"/>
        <v>342</v>
      </c>
      <c r="BX56" s="6">
        <v>269</v>
      </c>
      <c r="BY56" s="6">
        <v>1200</v>
      </c>
      <c r="BZ56" s="6">
        <f t="shared" si="14"/>
        <v>346</v>
      </c>
      <c r="CA56" s="6">
        <v>600</v>
      </c>
      <c r="CB56" s="6"/>
      <c r="CC56" s="6">
        <f t="shared" si="15"/>
        <v>331</v>
      </c>
      <c r="CD56" s="6"/>
      <c r="CE56" s="6"/>
      <c r="CF56" s="6"/>
      <c r="CG56" s="6">
        <v>949</v>
      </c>
      <c r="CH56" s="6"/>
      <c r="CI56" s="6">
        <f t="shared" si="16"/>
        <v>349</v>
      </c>
      <c r="CJ56" s="6">
        <v>0</v>
      </c>
      <c r="CK56" s="6">
        <v>1105</v>
      </c>
      <c r="CL56" s="6">
        <f t="shared" si="17"/>
        <v>156</v>
      </c>
      <c r="CM56" s="6">
        <v>290</v>
      </c>
      <c r="CN56" s="6"/>
      <c r="CO56" s="6">
        <f t="shared" si="18"/>
        <v>290</v>
      </c>
      <c r="CP56" s="6">
        <v>631</v>
      </c>
      <c r="CQ56" s="6"/>
      <c r="CR56" s="6">
        <f t="shared" si="19"/>
        <v>341</v>
      </c>
      <c r="CS56" s="6">
        <v>973</v>
      </c>
      <c r="CT56" s="6"/>
      <c r="CU56" s="6">
        <f t="shared" si="20"/>
        <v>342</v>
      </c>
      <c r="CV56" s="6">
        <v>1156</v>
      </c>
      <c r="CW56" s="6"/>
      <c r="CX56" s="6">
        <f t="shared" si="21"/>
        <v>183</v>
      </c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</row>
    <row r="57" spans="1:117">
      <c r="A57" s="272">
        <v>53</v>
      </c>
      <c r="B57" s="6">
        <v>854</v>
      </c>
      <c r="C57" s="6"/>
      <c r="D57" s="6">
        <v>324</v>
      </c>
      <c r="E57" s="169" t="s">
        <v>130</v>
      </c>
      <c r="F57" s="169" t="s">
        <v>130</v>
      </c>
      <c r="G57" s="167" t="s">
        <v>130</v>
      </c>
      <c r="H57" s="169" t="s">
        <v>130</v>
      </c>
      <c r="I57" s="169" t="s">
        <v>130</v>
      </c>
      <c r="J57" s="169" t="s">
        <v>130</v>
      </c>
      <c r="K57" s="169" t="s">
        <v>130</v>
      </c>
      <c r="L57" s="169" t="s">
        <v>130</v>
      </c>
      <c r="M57" s="169" t="s">
        <v>130</v>
      </c>
      <c r="N57" s="169" t="s">
        <v>130</v>
      </c>
      <c r="O57" s="169" t="s">
        <v>130</v>
      </c>
      <c r="P57" s="169" t="s">
        <v>130</v>
      </c>
      <c r="Q57" s="169" t="s">
        <v>130</v>
      </c>
      <c r="R57" s="169" t="s">
        <v>130</v>
      </c>
      <c r="S57" s="169" t="s">
        <v>130</v>
      </c>
      <c r="T57" s="169" t="s">
        <v>130</v>
      </c>
      <c r="U57" s="169" t="s">
        <v>130</v>
      </c>
      <c r="V57" s="169" t="s">
        <v>130</v>
      </c>
      <c r="W57" s="169" t="s">
        <v>130</v>
      </c>
      <c r="X57" s="169" t="s">
        <v>130</v>
      </c>
      <c r="Y57" s="167" t="s">
        <v>130</v>
      </c>
      <c r="Z57" s="169" t="s">
        <v>130</v>
      </c>
      <c r="AA57" s="169" t="s">
        <v>130</v>
      </c>
      <c r="AB57" s="6">
        <v>1224</v>
      </c>
      <c r="AC57" s="6"/>
      <c r="AD57" s="35">
        <f t="shared" si="0"/>
        <v>370</v>
      </c>
      <c r="AE57" s="6">
        <v>245</v>
      </c>
      <c r="AF57" s="6">
        <v>1310</v>
      </c>
      <c r="AG57" s="35">
        <f t="shared" si="1"/>
        <v>331</v>
      </c>
      <c r="AH57" s="35">
        <v>597</v>
      </c>
      <c r="AI57" s="35"/>
      <c r="AJ57" s="35">
        <f t="shared" si="2"/>
        <v>352</v>
      </c>
      <c r="AK57" s="6">
        <v>927</v>
      </c>
      <c r="AL57" s="6"/>
      <c r="AM57" s="35">
        <f t="shared" si="3"/>
        <v>330</v>
      </c>
      <c r="AN57" s="6"/>
      <c r="AO57" s="6"/>
      <c r="AP57" s="34"/>
      <c r="AQ57" s="35">
        <v>78</v>
      </c>
      <c r="AR57" s="35">
        <v>1200</v>
      </c>
      <c r="AS57" s="35">
        <f t="shared" si="4"/>
        <v>351</v>
      </c>
      <c r="AT57" s="6">
        <v>423</v>
      </c>
      <c r="AU57" s="6"/>
      <c r="AV57" s="35">
        <f t="shared" si="5"/>
        <v>345</v>
      </c>
      <c r="AW57" s="6">
        <v>770</v>
      </c>
      <c r="AX57" s="6"/>
      <c r="AY57" s="35">
        <f t="shared" si="6"/>
        <v>347</v>
      </c>
      <c r="AZ57" s="35">
        <v>1118</v>
      </c>
      <c r="BA57" s="35"/>
      <c r="BB57" s="35">
        <f t="shared" si="7"/>
        <v>348</v>
      </c>
      <c r="BC57" s="6">
        <v>254</v>
      </c>
      <c r="BD57" s="6">
        <v>1200</v>
      </c>
      <c r="BE57" s="35">
        <f t="shared" si="8"/>
        <v>336</v>
      </c>
      <c r="BF57" s="6">
        <v>591</v>
      </c>
      <c r="BG57" s="6"/>
      <c r="BH57" s="6">
        <f t="shared" si="9"/>
        <v>337</v>
      </c>
      <c r="BI57" s="6"/>
      <c r="BJ57" s="6"/>
      <c r="BK57" s="6"/>
      <c r="BL57" s="6">
        <v>945</v>
      </c>
      <c r="BM57" s="6"/>
      <c r="BN57" s="6">
        <f t="shared" si="10"/>
        <v>354</v>
      </c>
      <c r="BO57" s="6">
        <v>83</v>
      </c>
      <c r="BP57" s="6">
        <v>1200</v>
      </c>
      <c r="BQ57" s="35">
        <f t="shared" si="11"/>
        <v>338</v>
      </c>
      <c r="BR57" s="6">
        <v>427</v>
      </c>
      <c r="BS57" s="6"/>
      <c r="BT57" s="6">
        <f t="shared" si="12"/>
        <v>344</v>
      </c>
      <c r="BU57" s="6">
        <v>774</v>
      </c>
      <c r="BV57" s="6"/>
      <c r="BW57" s="35">
        <f t="shared" si="13"/>
        <v>347</v>
      </c>
      <c r="BX57" s="6">
        <v>1114</v>
      </c>
      <c r="BY57" s="6"/>
      <c r="BZ57" s="6">
        <f t="shared" si="14"/>
        <v>340</v>
      </c>
      <c r="CA57" s="6">
        <v>242</v>
      </c>
      <c r="CB57" s="6">
        <v>1200</v>
      </c>
      <c r="CC57" s="6">
        <f t="shared" si="15"/>
        <v>328</v>
      </c>
      <c r="CD57" s="6"/>
      <c r="CE57" s="6"/>
      <c r="CF57" s="6"/>
      <c r="CG57" s="6">
        <v>591</v>
      </c>
      <c r="CH57" s="6"/>
      <c r="CI57" s="6">
        <f t="shared" si="16"/>
        <v>349</v>
      </c>
      <c r="CJ57" s="6">
        <v>939</v>
      </c>
      <c r="CK57" s="6"/>
      <c r="CL57" s="6">
        <f t="shared" si="17"/>
        <v>348</v>
      </c>
      <c r="CM57" s="6">
        <v>0</v>
      </c>
      <c r="CN57" s="6">
        <v>1109</v>
      </c>
      <c r="CO57" s="6">
        <f t="shared" si="18"/>
        <v>170</v>
      </c>
      <c r="CP57" s="6">
        <v>327</v>
      </c>
      <c r="CQ57" s="6"/>
      <c r="CR57" s="6">
        <f t="shared" si="19"/>
        <v>327</v>
      </c>
      <c r="CS57" s="6">
        <v>674</v>
      </c>
      <c r="CT57" s="6"/>
      <c r="CU57" s="6">
        <f t="shared" si="20"/>
        <v>347</v>
      </c>
      <c r="CV57" s="6">
        <v>858</v>
      </c>
      <c r="CW57" s="6"/>
      <c r="CX57" s="6">
        <f t="shared" si="21"/>
        <v>184</v>
      </c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</row>
    <row r="58" spans="1:117">
      <c r="A58" s="272">
        <v>54</v>
      </c>
      <c r="B58" s="6">
        <v>47</v>
      </c>
      <c r="C58" s="6">
        <v>1200</v>
      </c>
      <c r="D58" s="6">
        <v>313</v>
      </c>
      <c r="E58" s="33" t="s">
        <v>130</v>
      </c>
      <c r="F58" s="33" t="s">
        <v>130</v>
      </c>
      <c r="G58" s="33" t="s">
        <v>130</v>
      </c>
      <c r="H58" s="33" t="s">
        <v>130</v>
      </c>
      <c r="I58" s="33" t="s">
        <v>130</v>
      </c>
      <c r="J58" s="33" t="s">
        <v>130</v>
      </c>
      <c r="K58" s="33" t="s">
        <v>130</v>
      </c>
      <c r="L58" s="33" t="s">
        <v>130</v>
      </c>
      <c r="M58" s="148" t="s">
        <v>130</v>
      </c>
      <c r="N58" s="33" t="s">
        <v>130</v>
      </c>
      <c r="O58" s="33" t="s">
        <v>130</v>
      </c>
      <c r="P58" s="33" t="s">
        <v>130</v>
      </c>
      <c r="Q58" s="33" t="s">
        <v>130</v>
      </c>
      <c r="R58" s="33" t="s">
        <v>130</v>
      </c>
      <c r="S58" s="33" t="s">
        <v>130</v>
      </c>
      <c r="T58" s="33" t="s">
        <v>130</v>
      </c>
      <c r="U58" s="33" t="s">
        <v>130</v>
      </c>
      <c r="V58" s="33" t="s">
        <v>130</v>
      </c>
      <c r="W58" s="33" t="s">
        <v>130</v>
      </c>
      <c r="X58" s="33" t="s">
        <v>130</v>
      </c>
      <c r="Y58" s="33" t="s">
        <v>130</v>
      </c>
      <c r="Z58" s="33" t="s">
        <v>130</v>
      </c>
      <c r="AA58" s="33" t="s">
        <v>130</v>
      </c>
      <c r="AB58" s="35">
        <v>411</v>
      </c>
      <c r="AC58" s="35"/>
      <c r="AD58" s="35">
        <f t="shared" si="0"/>
        <v>364</v>
      </c>
      <c r="AE58" s="35">
        <v>756</v>
      </c>
      <c r="AF58" s="35"/>
      <c r="AG58" s="35">
        <f t="shared" si="1"/>
        <v>345</v>
      </c>
      <c r="AH58" s="35">
        <v>1103</v>
      </c>
      <c r="AI58" s="35"/>
      <c r="AJ58" s="35">
        <f t="shared" si="2"/>
        <v>347</v>
      </c>
      <c r="AK58" s="6">
        <v>201</v>
      </c>
      <c r="AL58" s="35">
        <v>1200</v>
      </c>
      <c r="AM58" s="35">
        <f t="shared" si="3"/>
        <v>298</v>
      </c>
      <c r="AN58" s="6"/>
      <c r="AO58" s="6"/>
      <c r="AP58" s="34"/>
      <c r="AQ58" s="35">
        <v>549</v>
      </c>
      <c r="AR58" s="35"/>
      <c r="AS58" s="35">
        <f t="shared" si="4"/>
        <v>348</v>
      </c>
      <c r="AT58" s="6">
        <v>891</v>
      </c>
      <c r="AU58" s="6"/>
      <c r="AV58" s="35">
        <f t="shared" si="5"/>
        <v>342</v>
      </c>
      <c r="AW58" s="6">
        <v>0</v>
      </c>
      <c r="AX58" s="6">
        <v>1082</v>
      </c>
      <c r="AY58" s="35">
        <f t="shared" si="6"/>
        <v>191</v>
      </c>
      <c r="AZ58" s="6">
        <v>323</v>
      </c>
      <c r="BA58" s="6"/>
      <c r="BB58" s="35">
        <f t="shared" si="7"/>
        <v>323</v>
      </c>
      <c r="BC58" s="6">
        <v>663</v>
      </c>
      <c r="BD58" s="6"/>
      <c r="BE58" s="35">
        <f t="shared" si="8"/>
        <v>340</v>
      </c>
      <c r="BF58" s="6">
        <v>998</v>
      </c>
      <c r="BG58" s="6"/>
      <c r="BH58" s="6">
        <f t="shared" si="9"/>
        <v>335</v>
      </c>
      <c r="BI58" s="6"/>
      <c r="BJ58" s="35"/>
      <c r="BK58" s="6"/>
      <c r="BL58" s="6">
        <v>149</v>
      </c>
      <c r="BM58" s="6">
        <v>1196</v>
      </c>
      <c r="BN58" s="6">
        <f t="shared" si="10"/>
        <v>347</v>
      </c>
      <c r="BO58" s="6">
        <v>486</v>
      </c>
      <c r="BP58" s="6"/>
      <c r="BQ58" s="35">
        <f t="shared" si="11"/>
        <v>337</v>
      </c>
      <c r="BR58" s="6">
        <v>827</v>
      </c>
      <c r="BS58" s="6"/>
      <c r="BT58" s="6">
        <f t="shared" si="12"/>
        <v>341</v>
      </c>
      <c r="BU58" s="6">
        <v>1167</v>
      </c>
      <c r="BV58" s="6"/>
      <c r="BW58" s="35">
        <f t="shared" si="13"/>
        <v>340</v>
      </c>
      <c r="BX58" s="6">
        <v>311</v>
      </c>
      <c r="BY58" s="35">
        <v>1200</v>
      </c>
      <c r="BZ58" s="6">
        <f t="shared" si="14"/>
        <v>344</v>
      </c>
      <c r="CA58" s="6">
        <v>614</v>
      </c>
      <c r="CB58" s="6"/>
      <c r="CC58" s="6">
        <f t="shared" si="15"/>
        <v>303</v>
      </c>
      <c r="CD58" s="6"/>
      <c r="CE58" s="35"/>
      <c r="CF58" s="6"/>
      <c r="CG58" s="6">
        <v>943</v>
      </c>
      <c r="CH58" s="6"/>
      <c r="CI58" s="6">
        <f t="shared" si="16"/>
        <v>329</v>
      </c>
      <c r="CJ58" s="6">
        <v>74</v>
      </c>
      <c r="CK58" s="6">
        <v>1200</v>
      </c>
      <c r="CL58" s="6">
        <f t="shared" si="17"/>
        <v>331</v>
      </c>
      <c r="CM58" s="6">
        <v>408</v>
      </c>
      <c r="CN58" s="6"/>
      <c r="CO58" s="6">
        <f t="shared" si="18"/>
        <v>334</v>
      </c>
      <c r="CP58" s="6">
        <v>749</v>
      </c>
      <c r="CQ58" s="6"/>
      <c r="CR58" s="6">
        <f t="shared" si="19"/>
        <v>341</v>
      </c>
      <c r="CS58" s="6">
        <v>1090</v>
      </c>
      <c r="CT58" s="6"/>
      <c r="CU58" s="6">
        <f t="shared" si="20"/>
        <v>341</v>
      </c>
      <c r="CV58" s="6">
        <v>65</v>
      </c>
      <c r="CW58" s="6">
        <v>1210</v>
      </c>
      <c r="CX58" s="6">
        <f t="shared" si="21"/>
        <v>185</v>
      </c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</row>
    <row r="59" spans="1:117">
      <c r="A59" s="6">
        <v>55</v>
      </c>
      <c r="B59" s="6">
        <v>296</v>
      </c>
      <c r="C59" s="6">
        <v>662</v>
      </c>
      <c r="D59" s="6">
        <v>303</v>
      </c>
      <c r="E59" s="33" t="s">
        <v>130</v>
      </c>
      <c r="F59" s="33" t="s">
        <v>130</v>
      </c>
      <c r="G59" s="33" t="s">
        <v>130</v>
      </c>
      <c r="H59" s="33" t="s">
        <v>130</v>
      </c>
      <c r="I59" s="33" t="s">
        <v>130</v>
      </c>
      <c r="J59" s="33" t="s">
        <v>130</v>
      </c>
      <c r="K59" s="33" t="s">
        <v>130</v>
      </c>
      <c r="L59" s="33" t="s">
        <v>130</v>
      </c>
      <c r="M59" s="33" t="s">
        <v>130</v>
      </c>
      <c r="N59" s="33" t="s">
        <v>130</v>
      </c>
      <c r="O59" s="33" t="s">
        <v>130</v>
      </c>
      <c r="P59" s="33" t="s">
        <v>130</v>
      </c>
      <c r="Q59" s="33" t="s">
        <v>130</v>
      </c>
      <c r="R59" s="33" t="s">
        <v>130</v>
      </c>
      <c r="S59" s="33" t="s">
        <v>130</v>
      </c>
      <c r="T59" s="33" t="s">
        <v>130</v>
      </c>
      <c r="U59" s="148" t="s">
        <v>307</v>
      </c>
      <c r="V59" s="33" t="s">
        <v>307</v>
      </c>
      <c r="W59" s="33" t="s">
        <v>307</v>
      </c>
      <c r="X59" s="33" t="s">
        <v>307</v>
      </c>
      <c r="Y59" s="33" t="s">
        <v>307</v>
      </c>
      <c r="Z59" s="33" t="s">
        <v>307</v>
      </c>
      <c r="AA59" s="33" t="s">
        <v>307</v>
      </c>
      <c r="AB59" s="6">
        <v>665</v>
      </c>
      <c r="AC59" s="6"/>
      <c r="AD59" s="35">
        <f t="shared" si="0"/>
        <v>369</v>
      </c>
      <c r="AE59" s="6">
        <v>1008</v>
      </c>
      <c r="AF59" s="6"/>
      <c r="AG59" s="35">
        <f t="shared" si="1"/>
        <v>343</v>
      </c>
      <c r="AH59" s="35">
        <v>157</v>
      </c>
      <c r="AI59" s="35">
        <v>1200</v>
      </c>
      <c r="AJ59" s="35">
        <f t="shared" si="2"/>
        <v>349</v>
      </c>
      <c r="AK59" s="6">
        <v>489</v>
      </c>
      <c r="AL59" s="6"/>
      <c r="AM59" s="35">
        <f t="shared" si="3"/>
        <v>332</v>
      </c>
      <c r="AN59" s="6"/>
      <c r="AO59" s="6"/>
      <c r="AP59" s="34"/>
      <c r="AQ59" s="35">
        <v>835</v>
      </c>
      <c r="AR59" s="35"/>
      <c r="AS59" s="35">
        <f t="shared" si="4"/>
        <v>346</v>
      </c>
      <c r="AT59" s="6">
        <v>1182</v>
      </c>
      <c r="AU59" s="6"/>
      <c r="AV59" s="35">
        <f t="shared" si="5"/>
        <v>347</v>
      </c>
      <c r="AW59" s="6">
        <v>328</v>
      </c>
      <c r="AX59" s="6">
        <v>1200</v>
      </c>
      <c r="AY59" s="35">
        <f t="shared" si="6"/>
        <v>346</v>
      </c>
      <c r="AZ59" s="35">
        <v>660</v>
      </c>
      <c r="BA59" s="35"/>
      <c r="BB59" s="35">
        <f t="shared" si="7"/>
        <v>332</v>
      </c>
      <c r="BC59" s="6">
        <v>1010</v>
      </c>
      <c r="BD59" s="6"/>
      <c r="BE59" s="35">
        <f t="shared" si="8"/>
        <v>350</v>
      </c>
      <c r="BF59" s="6">
        <v>145</v>
      </c>
      <c r="BG59" s="6">
        <v>1200</v>
      </c>
      <c r="BH59" s="6">
        <f t="shared" si="9"/>
        <v>335</v>
      </c>
      <c r="BI59" s="6"/>
      <c r="BJ59" s="6"/>
      <c r="BK59" s="6"/>
      <c r="BL59" s="6">
        <v>498</v>
      </c>
      <c r="BM59" s="6"/>
      <c r="BN59" s="6">
        <f t="shared" si="10"/>
        <v>353</v>
      </c>
      <c r="BO59" s="6">
        <v>821</v>
      </c>
      <c r="BP59" s="6"/>
      <c r="BQ59" s="35">
        <f t="shared" si="11"/>
        <v>323</v>
      </c>
      <c r="BR59" s="6">
        <v>1167</v>
      </c>
      <c r="BS59" s="6"/>
      <c r="BT59" s="6">
        <f t="shared" si="12"/>
        <v>346</v>
      </c>
      <c r="BU59" s="6">
        <v>1513</v>
      </c>
      <c r="BV59" s="6"/>
      <c r="BW59" s="35">
        <f t="shared" si="13"/>
        <v>346</v>
      </c>
      <c r="BX59" s="6">
        <v>0</v>
      </c>
      <c r="BY59" s="6">
        <v>1634</v>
      </c>
      <c r="BZ59" s="6">
        <f t="shared" si="14"/>
        <v>121</v>
      </c>
      <c r="CA59" s="6">
        <v>332</v>
      </c>
      <c r="CB59" s="6"/>
      <c r="CC59" s="6">
        <f t="shared" si="15"/>
        <v>332</v>
      </c>
      <c r="CD59" s="6"/>
      <c r="CE59" s="6"/>
      <c r="CF59" s="6"/>
      <c r="CG59" s="6">
        <v>724</v>
      </c>
      <c r="CH59" s="6"/>
      <c r="CI59" s="6">
        <f t="shared" si="16"/>
        <v>392</v>
      </c>
      <c r="CJ59" s="6">
        <v>1123</v>
      </c>
      <c r="CK59" s="6"/>
      <c r="CL59" s="6">
        <f t="shared" si="17"/>
        <v>399</v>
      </c>
      <c r="CM59" s="6">
        <v>1509</v>
      </c>
      <c r="CN59" s="6"/>
      <c r="CO59" s="6">
        <f t="shared" si="18"/>
        <v>386</v>
      </c>
      <c r="CP59" s="6">
        <v>331</v>
      </c>
      <c r="CQ59" s="6">
        <v>1560</v>
      </c>
      <c r="CR59" s="6">
        <f t="shared" si="19"/>
        <v>382</v>
      </c>
      <c r="CS59" s="6">
        <v>720</v>
      </c>
      <c r="CT59" s="6"/>
      <c r="CU59" s="6">
        <f t="shared" si="20"/>
        <v>389</v>
      </c>
      <c r="CV59" s="6">
        <v>925</v>
      </c>
      <c r="CW59" s="6"/>
      <c r="CX59" s="6">
        <f t="shared" si="21"/>
        <v>205</v>
      </c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</row>
    <row r="60" spans="1:117">
      <c r="A60" s="272">
        <v>56</v>
      </c>
      <c r="B60" s="6">
        <v>213</v>
      </c>
      <c r="C60" s="6">
        <v>1200</v>
      </c>
      <c r="D60" s="6">
        <v>317</v>
      </c>
      <c r="E60" s="33" t="s">
        <v>130</v>
      </c>
      <c r="F60" s="33" t="s">
        <v>130</v>
      </c>
      <c r="G60" s="33" t="s">
        <v>130</v>
      </c>
      <c r="H60" s="148" t="s">
        <v>130</v>
      </c>
      <c r="I60" s="33" t="s">
        <v>130</v>
      </c>
      <c r="J60" s="33" t="s">
        <v>130</v>
      </c>
      <c r="K60" s="33" t="s">
        <v>130</v>
      </c>
      <c r="L60" s="33" t="s">
        <v>130</v>
      </c>
      <c r="M60" s="33" t="s">
        <v>130</v>
      </c>
      <c r="N60" s="33" t="s">
        <v>130</v>
      </c>
      <c r="O60" s="33" t="s">
        <v>130</v>
      </c>
      <c r="P60" s="33" t="s">
        <v>130</v>
      </c>
      <c r="Q60" s="33" t="s">
        <v>130</v>
      </c>
      <c r="R60" s="33" t="s">
        <v>130</v>
      </c>
      <c r="S60" s="33" t="s">
        <v>130</v>
      </c>
      <c r="T60" s="33" t="s">
        <v>130</v>
      </c>
      <c r="U60" s="33" t="s">
        <v>130</v>
      </c>
      <c r="V60" s="33" t="s">
        <v>130</v>
      </c>
      <c r="W60" s="33" t="s">
        <v>130</v>
      </c>
      <c r="X60" s="33" t="s">
        <v>130</v>
      </c>
      <c r="Y60" s="148" t="s">
        <v>320</v>
      </c>
      <c r="Z60" s="33" t="s">
        <v>320</v>
      </c>
      <c r="AA60" s="33" t="s">
        <v>320</v>
      </c>
      <c r="AB60" s="35">
        <v>575</v>
      </c>
      <c r="AC60" s="35"/>
      <c r="AD60" s="35">
        <f t="shared" si="0"/>
        <v>362</v>
      </c>
      <c r="AE60" s="35">
        <v>917</v>
      </c>
      <c r="AF60" s="35"/>
      <c r="AG60" s="35">
        <f t="shared" si="1"/>
        <v>342</v>
      </c>
      <c r="AH60" s="35">
        <v>258</v>
      </c>
      <c r="AI60" s="35">
        <v>982</v>
      </c>
      <c r="AJ60" s="35">
        <f t="shared" si="2"/>
        <v>323</v>
      </c>
      <c r="AK60" s="6">
        <v>580</v>
      </c>
      <c r="AL60" s="35"/>
      <c r="AM60" s="35">
        <f t="shared" si="3"/>
        <v>322</v>
      </c>
      <c r="AN60" s="6"/>
      <c r="AO60" s="6"/>
      <c r="AP60" s="34"/>
      <c r="AQ60" s="35">
        <v>926</v>
      </c>
      <c r="AR60" s="35"/>
      <c r="AS60" s="35">
        <f t="shared" si="4"/>
        <v>346</v>
      </c>
      <c r="AT60" s="6">
        <v>64</v>
      </c>
      <c r="AU60" s="6">
        <v>1200</v>
      </c>
      <c r="AV60" s="35">
        <f t="shared" si="5"/>
        <v>338</v>
      </c>
      <c r="AW60" s="6">
        <v>403</v>
      </c>
      <c r="AX60" s="6"/>
      <c r="AY60" s="35">
        <f t="shared" si="6"/>
        <v>339</v>
      </c>
      <c r="AZ60" s="6">
        <v>746</v>
      </c>
      <c r="BA60" s="6"/>
      <c r="BB60" s="35">
        <f t="shared" si="7"/>
        <v>343</v>
      </c>
      <c r="BC60" s="6">
        <v>1087</v>
      </c>
      <c r="BD60" s="6"/>
      <c r="BE60" s="35">
        <f t="shared" si="8"/>
        <v>341</v>
      </c>
      <c r="BF60" s="6">
        <v>218</v>
      </c>
      <c r="BG60" s="6">
        <v>1200</v>
      </c>
      <c r="BH60" s="6">
        <f t="shared" si="9"/>
        <v>331</v>
      </c>
      <c r="BI60" s="6"/>
      <c r="BJ60" s="35"/>
      <c r="BK60" s="6"/>
      <c r="BL60" s="6">
        <v>565</v>
      </c>
      <c r="BM60" s="6"/>
      <c r="BN60" s="6">
        <f t="shared" si="10"/>
        <v>347</v>
      </c>
      <c r="BO60" s="6">
        <v>899</v>
      </c>
      <c r="BP60" s="6"/>
      <c r="BQ60" s="35">
        <f t="shared" si="11"/>
        <v>334</v>
      </c>
      <c r="BR60" s="6">
        <v>37</v>
      </c>
      <c r="BS60" s="6">
        <v>1200</v>
      </c>
      <c r="BT60" s="6">
        <f t="shared" si="12"/>
        <v>338</v>
      </c>
      <c r="BU60" s="6">
        <v>377</v>
      </c>
      <c r="BV60" s="6"/>
      <c r="BW60" s="35">
        <f t="shared" si="13"/>
        <v>340</v>
      </c>
      <c r="BX60" s="6">
        <v>716</v>
      </c>
      <c r="BY60" s="35"/>
      <c r="BZ60" s="6">
        <f t="shared" si="14"/>
        <v>339</v>
      </c>
      <c r="CA60" s="6">
        <v>1038</v>
      </c>
      <c r="CB60" s="6"/>
      <c r="CC60" s="6">
        <f t="shared" si="15"/>
        <v>322</v>
      </c>
      <c r="CD60" s="6"/>
      <c r="CE60" s="35"/>
      <c r="CF60" s="6"/>
      <c r="CG60" s="6">
        <v>179</v>
      </c>
      <c r="CH60" s="6">
        <v>1205</v>
      </c>
      <c r="CI60" s="6">
        <f t="shared" si="16"/>
        <v>346</v>
      </c>
      <c r="CJ60" s="6">
        <v>520</v>
      </c>
      <c r="CK60" s="6"/>
      <c r="CL60" s="6">
        <f t="shared" si="17"/>
        <v>341</v>
      </c>
      <c r="CM60" s="6">
        <v>860</v>
      </c>
      <c r="CN60" s="6"/>
      <c r="CO60" s="6">
        <f t="shared" si="18"/>
        <v>340</v>
      </c>
      <c r="CP60" s="6">
        <v>215</v>
      </c>
      <c r="CQ60" s="6">
        <v>962</v>
      </c>
      <c r="CR60" s="6">
        <f t="shared" si="19"/>
        <v>317</v>
      </c>
      <c r="CS60" s="6">
        <v>557</v>
      </c>
      <c r="CT60" s="6"/>
      <c r="CU60" s="6">
        <f t="shared" si="20"/>
        <v>342</v>
      </c>
      <c r="CV60" s="6">
        <v>737</v>
      </c>
      <c r="CW60" s="6"/>
      <c r="CX60" s="6">
        <f t="shared" si="21"/>
        <v>180</v>
      </c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</row>
    <row r="61" spans="1:117" s="51" customFormat="1">
      <c r="A61" s="282">
        <v>57</v>
      </c>
      <c r="B61" s="50">
        <v>298</v>
      </c>
      <c r="C61" s="50"/>
      <c r="D61" s="6">
        <v>298</v>
      </c>
      <c r="E61" s="148" t="s">
        <v>130</v>
      </c>
      <c r="F61" s="33" t="s">
        <v>130</v>
      </c>
      <c r="G61" s="33" t="s">
        <v>130</v>
      </c>
      <c r="H61" s="33" t="s">
        <v>130</v>
      </c>
      <c r="I61" s="33" t="s">
        <v>130</v>
      </c>
      <c r="J61" s="33" t="s">
        <v>130</v>
      </c>
      <c r="K61" s="33" t="s">
        <v>130</v>
      </c>
      <c r="L61" s="33" t="s">
        <v>130</v>
      </c>
      <c r="M61" s="33" t="s">
        <v>130</v>
      </c>
      <c r="N61" s="33" t="s">
        <v>130</v>
      </c>
      <c r="O61" s="33" t="s">
        <v>130</v>
      </c>
      <c r="P61" s="33" t="s">
        <v>130</v>
      </c>
      <c r="Q61" s="33" t="s">
        <v>130</v>
      </c>
      <c r="R61" s="33" t="s">
        <v>130</v>
      </c>
      <c r="S61" s="33" t="s">
        <v>130</v>
      </c>
      <c r="T61" s="33" t="s">
        <v>130</v>
      </c>
      <c r="U61" s="33" t="s">
        <v>130</v>
      </c>
      <c r="V61" s="148" t="s">
        <v>130</v>
      </c>
      <c r="W61" s="33" t="s">
        <v>130</v>
      </c>
      <c r="X61" s="33" t="s">
        <v>130</v>
      </c>
      <c r="Y61" s="33" t="s">
        <v>130</v>
      </c>
      <c r="Z61" s="33" t="s">
        <v>130</v>
      </c>
      <c r="AA61" s="33" t="s">
        <v>130</v>
      </c>
      <c r="AB61" s="50">
        <v>648</v>
      </c>
      <c r="AC61" s="50"/>
      <c r="AD61" s="35">
        <f t="shared" si="0"/>
        <v>350</v>
      </c>
      <c r="AE61" s="50">
        <v>990</v>
      </c>
      <c r="AF61" s="50"/>
      <c r="AG61" s="35">
        <f t="shared" si="1"/>
        <v>342</v>
      </c>
      <c r="AH61" s="96">
        <v>158</v>
      </c>
      <c r="AI61" s="96">
        <v>1185</v>
      </c>
      <c r="AJ61" s="35">
        <f t="shared" si="2"/>
        <v>353</v>
      </c>
      <c r="AK61" s="50">
        <v>489</v>
      </c>
      <c r="AL61" s="50"/>
      <c r="AM61" s="35">
        <f t="shared" si="3"/>
        <v>331</v>
      </c>
      <c r="AN61" s="6"/>
      <c r="AO61" s="6"/>
      <c r="AP61" s="34"/>
      <c r="AQ61" s="96">
        <v>838</v>
      </c>
      <c r="AR61" s="96"/>
      <c r="AS61" s="35">
        <f t="shared" si="4"/>
        <v>349</v>
      </c>
      <c r="AT61" s="50">
        <v>1183</v>
      </c>
      <c r="AU61" s="50"/>
      <c r="AV61" s="35">
        <f t="shared" si="5"/>
        <v>345</v>
      </c>
      <c r="AW61" s="50">
        <v>314</v>
      </c>
      <c r="AX61" s="50">
        <v>1200</v>
      </c>
      <c r="AY61" s="35">
        <f t="shared" si="6"/>
        <v>331</v>
      </c>
      <c r="AZ61" s="96">
        <v>663</v>
      </c>
      <c r="BA61" s="96"/>
      <c r="BB61" s="35">
        <f t="shared" si="7"/>
        <v>349</v>
      </c>
      <c r="BC61" s="50">
        <v>1013</v>
      </c>
      <c r="BD61" s="50"/>
      <c r="BE61" s="35">
        <f t="shared" si="8"/>
        <v>350</v>
      </c>
      <c r="BF61" s="50">
        <v>151</v>
      </c>
      <c r="BG61" s="50">
        <v>1200</v>
      </c>
      <c r="BH61" s="6">
        <f t="shared" si="9"/>
        <v>338</v>
      </c>
      <c r="BI61" s="50"/>
      <c r="BJ61" s="50"/>
      <c r="BK61" s="6"/>
      <c r="BL61" s="50">
        <v>507</v>
      </c>
      <c r="BM61" s="50"/>
      <c r="BN61" s="6">
        <f t="shared" si="10"/>
        <v>356</v>
      </c>
      <c r="BO61" s="50">
        <v>850</v>
      </c>
      <c r="BP61" s="50"/>
      <c r="BQ61" s="35">
        <f t="shared" si="11"/>
        <v>343</v>
      </c>
      <c r="BR61" s="50">
        <v>1198</v>
      </c>
      <c r="BS61" s="50"/>
      <c r="BT61" s="6">
        <f t="shared" si="12"/>
        <v>348</v>
      </c>
      <c r="BU61" s="50">
        <v>346</v>
      </c>
      <c r="BV61" s="50">
        <v>1200</v>
      </c>
      <c r="BW61" s="35">
        <f t="shared" si="13"/>
        <v>348</v>
      </c>
      <c r="BX61" s="50">
        <v>695</v>
      </c>
      <c r="BY61" s="50"/>
      <c r="BZ61" s="6">
        <f t="shared" si="14"/>
        <v>349</v>
      </c>
      <c r="CA61" s="50">
        <v>1024</v>
      </c>
      <c r="CB61" s="50"/>
      <c r="CC61" s="6">
        <f t="shared" si="15"/>
        <v>329</v>
      </c>
      <c r="CD61" s="50"/>
      <c r="CE61" s="50"/>
      <c r="CF61" s="6"/>
      <c r="CG61" s="50">
        <v>243</v>
      </c>
      <c r="CH61" s="50">
        <v>1118</v>
      </c>
      <c r="CI61" s="6">
        <f t="shared" si="16"/>
        <v>337</v>
      </c>
      <c r="CJ61" s="50">
        <v>593</v>
      </c>
      <c r="CK61" s="50"/>
      <c r="CL61" s="6">
        <f t="shared" si="17"/>
        <v>350</v>
      </c>
      <c r="CM61" s="50">
        <v>938</v>
      </c>
      <c r="CN61" s="50"/>
      <c r="CO61" s="6">
        <f t="shared" si="18"/>
        <v>345</v>
      </c>
      <c r="CP61" s="50">
        <v>83</v>
      </c>
      <c r="CQ61" s="50">
        <v>1200</v>
      </c>
      <c r="CR61" s="6">
        <f t="shared" si="19"/>
        <v>345</v>
      </c>
      <c r="CS61" s="50">
        <v>433</v>
      </c>
      <c r="CT61" s="50"/>
      <c r="CU61" s="6">
        <f t="shared" si="20"/>
        <v>350</v>
      </c>
      <c r="CV61" s="50">
        <v>620</v>
      </c>
      <c r="CW61" s="50"/>
      <c r="CX61" s="6">
        <f t="shared" si="21"/>
        <v>187</v>
      </c>
      <c r="CY61" s="50"/>
      <c r="CZ61" s="50"/>
      <c r="DA61" s="6"/>
      <c r="DB61" s="50"/>
      <c r="DC61" s="50"/>
      <c r="DD61" s="6"/>
      <c r="DE61" s="50"/>
      <c r="DF61" s="50"/>
      <c r="DG61" s="6"/>
      <c r="DH61" s="50"/>
      <c r="DI61" s="50"/>
      <c r="DJ61" s="6"/>
      <c r="DK61" s="50"/>
      <c r="DL61" s="50"/>
      <c r="DM61" s="6"/>
    </row>
    <row r="62" spans="1:117">
      <c r="A62" s="272">
        <v>58</v>
      </c>
      <c r="B62" s="6">
        <v>878</v>
      </c>
      <c r="C62" s="6"/>
      <c r="D62" s="6">
        <v>324</v>
      </c>
      <c r="E62" s="33" t="s">
        <v>130</v>
      </c>
      <c r="F62" s="33" t="s">
        <v>130</v>
      </c>
      <c r="G62" s="33" t="s">
        <v>130</v>
      </c>
      <c r="H62" s="33" t="s">
        <v>130</v>
      </c>
      <c r="I62" s="33" t="s">
        <v>130</v>
      </c>
      <c r="J62" s="33" t="s">
        <v>130</v>
      </c>
      <c r="K62" s="148" t="s">
        <v>130</v>
      </c>
      <c r="L62" s="33" t="s">
        <v>130</v>
      </c>
      <c r="M62" s="33" t="s">
        <v>130</v>
      </c>
      <c r="N62" s="33" t="s">
        <v>130</v>
      </c>
      <c r="O62" s="33" t="s">
        <v>130</v>
      </c>
      <c r="P62" s="33" t="s">
        <v>130</v>
      </c>
      <c r="Q62" s="33" t="s">
        <v>130</v>
      </c>
      <c r="R62" s="33" t="s">
        <v>130</v>
      </c>
      <c r="S62" s="33" t="s">
        <v>130</v>
      </c>
      <c r="T62" s="33" t="s">
        <v>130</v>
      </c>
      <c r="U62" s="33" t="s">
        <v>130</v>
      </c>
      <c r="V62" s="33" t="s">
        <v>130</v>
      </c>
      <c r="W62" s="33" t="s">
        <v>130</v>
      </c>
      <c r="X62" s="33" t="s">
        <v>130</v>
      </c>
      <c r="Y62" s="33" t="s">
        <v>130</v>
      </c>
      <c r="Z62" s="33" t="s">
        <v>130</v>
      </c>
      <c r="AA62" s="33" t="s">
        <v>130</v>
      </c>
      <c r="AB62" s="35">
        <v>45</v>
      </c>
      <c r="AC62" s="35">
        <v>1200</v>
      </c>
      <c r="AD62" s="35">
        <f t="shared" si="0"/>
        <v>367</v>
      </c>
      <c r="AE62" s="35">
        <v>392</v>
      </c>
      <c r="AF62" s="35"/>
      <c r="AG62" s="35">
        <f t="shared" si="1"/>
        <v>347</v>
      </c>
      <c r="AH62" s="35">
        <v>741</v>
      </c>
      <c r="AI62" s="35"/>
      <c r="AJ62" s="35">
        <f t="shared" si="2"/>
        <v>349</v>
      </c>
      <c r="AK62" s="6">
        <v>1073</v>
      </c>
      <c r="AL62" s="35"/>
      <c r="AM62" s="35">
        <f t="shared" si="3"/>
        <v>332</v>
      </c>
      <c r="AN62" s="6"/>
      <c r="AO62" s="6"/>
      <c r="AP62" s="34"/>
      <c r="AQ62" s="35">
        <v>0</v>
      </c>
      <c r="AR62" s="35">
        <v>1363</v>
      </c>
      <c r="AS62" s="35">
        <f t="shared" si="4"/>
        <v>290</v>
      </c>
      <c r="AT62" s="6">
        <v>328</v>
      </c>
      <c r="AU62" s="6"/>
      <c r="AV62" s="35">
        <f t="shared" si="5"/>
        <v>328</v>
      </c>
      <c r="AW62" s="6">
        <v>676</v>
      </c>
      <c r="AX62" s="6"/>
      <c r="AY62" s="35">
        <f t="shared" si="6"/>
        <v>348</v>
      </c>
      <c r="AZ62" s="6">
        <v>1024</v>
      </c>
      <c r="BA62" s="6"/>
      <c r="BB62" s="35">
        <f t="shared" si="7"/>
        <v>348</v>
      </c>
      <c r="BC62" s="6">
        <v>166</v>
      </c>
      <c r="BD62" s="6">
        <v>1200</v>
      </c>
      <c r="BE62" s="35">
        <f t="shared" si="8"/>
        <v>342</v>
      </c>
      <c r="BF62" s="6">
        <v>503</v>
      </c>
      <c r="BG62" s="6"/>
      <c r="BH62" s="6">
        <f t="shared" si="9"/>
        <v>337</v>
      </c>
      <c r="BI62" s="6"/>
      <c r="BJ62" s="35"/>
      <c r="BK62" s="6"/>
      <c r="BL62" s="6">
        <v>853</v>
      </c>
      <c r="BM62" s="6"/>
      <c r="BN62" s="6">
        <f t="shared" si="10"/>
        <v>350</v>
      </c>
      <c r="BO62" s="6">
        <v>1191</v>
      </c>
      <c r="BP62" s="6"/>
      <c r="BQ62" s="35">
        <f t="shared" si="11"/>
        <v>338</v>
      </c>
      <c r="BR62" s="6">
        <v>336</v>
      </c>
      <c r="BS62" s="6">
        <v>1200</v>
      </c>
      <c r="BT62" s="6">
        <f t="shared" si="12"/>
        <v>345</v>
      </c>
      <c r="BU62" s="6">
        <v>682</v>
      </c>
      <c r="BV62" s="6"/>
      <c r="BW62" s="35">
        <f t="shared" si="13"/>
        <v>346</v>
      </c>
      <c r="BX62" s="6">
        <v>1031</v>
      </c>
      <c r="BY62" s="35"/>
      <c r="BZ62" s="6">
        <f t="shared" si="14"/>
        <v>349</v>
      </c>
      <c r="CA62" s="6">
        <v>155</v>
      </c>
      <c r="CB62" s="6">
        <v>1200</v>
      </c>
      <c r="CC62" s="6">
        <f t="shared" si="15"/>
        <v>324</v>
      </c>
      <c r="CD62" s="6"/>
      <c r="CE62" s="35"/>
      <c r="CF62" s="6"/>
      <c r="CG62" s="6">
        <v>506</v>
      </c>
      <c r="CH62" s="6"/>
      <c r="CI62" s="6">
        <f t="shared" si="16"/>
        <v>351</v>
      </c>
      <c r="CJ62" s="6">
        <v>850</v>
      </c>
      <c r="CK62" s="6"/>
      <c r="CL62" s="6">
        <f t="shared" si="17"/>
        <v>344</v>
      </c>
      <c r="CM62" s="6">
        <v>1181</v>
      </c>
      <c r="CN62" s="6"/>
      <c r="CO62" s="6">
        <f t="shared" si="18"/>
        <v>331</v>
      </c>
      <c r="CP62" s="6">
        <v>309</v>
      </c>
      <c r="CQ62" s="6">
        <v>1200</v>
      </c>
      <c r="CR62" s="6">
        <f t="shared" si="19"/>
        <v>328</v>
      </c>
      <c r="CS62" s="6">
        <v>656</v>
      </c>
      <c r="CT62" s="6"/>
      <c r="CU62" s="6">
        <f t="shared" si="20"/>
        <v>347</v>
      </c>
      <c r="CV62" s="6">
        <v>840</v>
      </c>
      <c r="CW62" s="6"/>
      <c r="CX62" s="6">
        <f t="shared" si="21"/>
        <v>184</v>
      </c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</row>
    <row r="63" spans="1:117">
      <c r="A63" s="6">
        <v>59</v>
      </c>
      <c r="B63" s="6">
        <v>1135</v>
      </c>
      <c r="C63" s="6"/>
      <c r="D63" s="6">
        <v>324</v>
      </c>
      <c r="E63" s="33" t="s">
        <v>130</v>
      </c>
      <c r="F63" s="33" t="s">
        <v>130</v>
      </c>
      <c r="G63" s="33" t="s">
        <v>130</v>
      </c>
      <c r="H63" s="33" t="s">
        <v>130</v>
      </c>
      <c r="I63" s="33" t="s">
        <v>130</v>
      </c>
      <c r="J63" s="148" t="s">
        <v>130</v>
      </c>
      <c r="K63" s="33" t="s">
        <v>130</v>
      </c>
      <c r="L63" s="33" t="s">
        <v>130</v>
      </c>
      <c r="M63" s="33" t="s">
        <v>130</v>
      </c>
      <c r="N63" s="33" t="s">
        <v>130</v>
      </c>
      <c r="O63" s="33" t="s">
        <v>130</v>
      </c>
      <c r="P63" s="33" t="s">
        <v>130</v>
      </c>
      <c r="Q63" s="33" t="s">
        <v>130</v>
      </c>
      <c r="R63" s="33" t="s">
        <v>130</v>
      </c>
      <c r="S63" s="33" t="s">
        <v>130</v>
      </c>
      <c r="T63" s="33" t="s">
        <v>130</v>
      </c>
      <c r="U63" s="33" t="s">
        <v>130</v>
      </c>
      <c r="V63" s="33" t="s">
        <v>130</v>
      </c>
      <c r="W63" s="33" t="s">
        <v>130</v>
      </c>
      <c r="X63" s="33" t="s">
        <v>130</v>
      </c>
      <c r="Y63" s="33" t="s">
        <v>130</v>
      </c>
      <c r="Z63" s="33" t="s">
        <v>130</v>
      </c>
      <c r="AA63" s="33" t="s">
        <v>130</v>
      </c>
      <c r="AB63" s="35">
        <v>289</v>
      </c>
      <c r="AC63" s="35">
        <v>1200</v>
      </c>
      <c r="AD63" s="35">
        <f t="shared" si="0"/>
        <v>354</v>
      </c>
      <c r="AE63" s="35">
        <v>163</v>
      </c>
      <c r="AF63" s="35">
        <v>450</v>
      </c>
      <c r="AG63" s="35">
        <f t="shared" si="1"/>
        <v>324</v>
      </c>
      <c r="AH63" s="35">
        <v>513</v>
      </c>
      <c r="AI63" s="35"/>
      <c r="AJ63" s="35">
        <f t="shared" si="2"/>
        <v>350</v>
      </c>
      <c r="AK63" s="35">
        <v>0</v>
      </c>
      <c r="AL63" s="35">
        <v>665</v>
      </c>
      <c r="AM63" s="35">
        <f t="shared" si="3"/>
        <v>152</v>
      </c>
      <c r="AN63" s="6"/>
      <c r="AO63" s="6"/>
      <c r="AP63" s="34"/>
      <c r="AQ63" s="35">
        <v>339</v>
      </c>
      <c r="AR63" s="35"/>
      <c r="AS63" s="35">
        <f t="shared" si="4"/>
        <v>339</v>
      </c>
      <c r="AT63" s="6">
        <v>683</v>
      </c>
      <c r="AU63" s="6"/>
      <c r="AV63" s="35">
        <f t="shared" si="5"/>
        <v>344</v>
      </c>
      <c r="AW63" s="6">
        <v>1028</v>
      </c>
      <c r="AX63" s="6"/>
      <c r="AY63" s="35">
        <f t="shared" si="6"/>
        <v>345</v>
      </c>
      <c r="AZ63" s="6">
        <v>171</v>
      </c>
      <c r="BA63" s="6">
        <v>1200</v>
      </c>
      <c r="BB63" s="35">
        <f t="shared" si="7"/>
        <v>343</v>
      </c>
      <c r="BC63" s="6">
        <v>515</v>
      </c>
      <c r="BD63" s="6"/>
      <c r="BE63" s="35">
        <f t="shared" si="8"/>
        <v>344</v>
      </c>
      <c r="BF63" s="6">
        <v>850</v>
      </c>
      <c r="BG63" s="6"/>
      <c r="BH63" s="6">
        <f t="shared" si="9"/>
        <v>335</v>
      </c>
      <c r="BI63" s="6"/>
      <c r="BJ63" s="35"/>
      <c r="BK63" s="6"/>
      <c r="BL63" s="6">
        <v>1193</v>
      </c>
      <c r="BM63" s="6"/>
      <c r="BN63" s="6">
        <f t="shared" si="10"/>
        <v>343</v>
      </c>
      <c r="BO63" s="6">
        <v>317</v>
      </c>
      <c r="BP63" s="6">
        <v>1200</v>
      </c>
      <c r="BQ63" s="35">
        <f t="shared" si="11"/>
        <v>324</v>
      </c>
      <c r="BR63" s="6">
        <v>664</v>
      </c>
      <c r="BS63" s="6"/>
      <c r="BT63" s="6">
        <f t="shared" si="12"/>
        <v>347</v>
      </c>
      <c r="BU63" s="6">
        <v>997</v>
      </c>
      <c r="BV63" s="6"/>
      <c r="BW63" s="35">
        <f t="shared" si="13"/>
        <v>333</v>
      </c>
      <c r="BX63" s="6">
        <v>124</v>
      </c>
      <c r="BY63" s="35">
        <v>1200</v>
      </c>
      <c r="BZ63" s="6">
        <f t="shared" si="14"/>
        <v>327</v>
      </c>
      <c r="CA63" s="6">
        <v>450</v>
      </c>
      <c r="CB63" s="6"/>
      <c r="CC63" s="6">
        <f t="shared" si="15"/>
        <v>326</v>
      </c>
      <c r="CD63" s="6"/>
      <c r="CE63" s="35"/>
      <c r="CF63" s="6"/>
      <c r="CG63" s="6">
        <v>797</v>
      </c>
      <c r="CH63" s="6"/>
      <c r="CI63" s="6">
        <f t="shared" si="16"/>
        <v>347</v>
      </c>
      <c r="CJ63" s="6">
        <v>939</v>
      </c>
      <c r="CK63" s="6"/>
      <c r="CL63" s="6">
        <f t="shared" si="17"/>
        <v>142</v>
      </c>
      <c r="CM63" s="6">
        <v>333</v>
      </c>
      <c r="CN63" s="6">
        <v>940</v>
      </c>
      <c r="CO63" s="6">
        <f t="shared" si="18"/>
        <v>334</v>
      </c>
      <c r="CP63" s="6">
        <v>678</v>
      </c>
      <c r="CQ63" s="6"/>
      <c r="CR63" s="6">
        <f t="shared" si="19"/>
        <v>345</v>
      </c>
      <c r="CS63" s="6">
        <v>1024</v>
      </c>
      <c r="CT63" s="6"/>
      <c r="CU63" s="6">
        <f t="shared" si="20"/>
        <v>346</v>
      </c>
      <c r="CV63" s="6">
        <v>1209</v>
      </c>
      <c r="CW63" s="6"/>
      <c r="CX63" s="6">
        <f t="shared" si="21"/>
        <v>185</v>
      </c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</row>
    <row r="64" spans="1:117">
      <c r="A64" s="272">
        <v>60</v>
      </c>
      <c r="B64" s="6">
        <v>144</v>
      </c>
      <c r="C64" s="6">
        <v>1200</v>
      </c>
      <c r="D64" s="6">
        <v>324</v>
      </c>
      <c r="E64" s="33" t="s">
        <v>130</v>
      </c>
      <c r="F64" s="33" t="s">
        <v>130</v>
      </c>
      <c r="G64" s="33" t="s">
        <v>130</v>
      </c>
      <c r="H64" s="33" t="s">
        <v>130</v>
      </c>
      <c r="I64" s="33" t="s">
        <v>130</v>
      </c>
      <c r="J64" s="33" t="s">
        <v>130</v>
      </c>
      <c r="K64" s="33" t="s">
        <v>130</v>
      </c>
      <c r="L64" s="148" t="s">
        <v>130</v>
      </c>
      <c r="M64" s="33" t="s">
        <v>130</v>
      </c>
      <c r="N64" s="33" t="s">
        <v>130</v>
      </c>
      <c r="O64" s="33" t="s">
        <v>130</v>
      </c>
      <c r="P64" s="33" t="s">
        <v>130</v>
      </c>
      <c r="Q64" s="33" t="s">
        <v>130</v>
      </c>
      <c r="R64" s="33" t="s">
        <v>130</v>
      </c>
      <c r="S64" s="33" t="s">
        <v>130</v>
      </c>
      <c r="T64" s="33" t="s">
        <v>130</v>
      </c>
      <c r="U64" s="33" t="s">
        <v>130</v>
      </c>
      <c r="V64" s="33" t="s">
        <v>130</v>
      </c>
      <c r="W64" s="33" t="s">
        <v>130</v>
      </c>
      <c r="X64" s="33" t="s">
        <v>130</v>
      </c>
      <c r="Y64" s="33" t="s">
        <v>130</v>
      </c>
      <c r="Z64" s="33" t="s">
        <v>130</v>
      </c>
      <c r="AA64" s="33" t="s">
        <v>130</v>
      </c>
      <c r="AB64" s="6">
        <v>510</v>
      </c>
      <c r="AC64" s="6"/>
      <c r="AD64" s="35">
        <f t="shared" si="0"/>
        <v>366</v>
      </c>
      <c r="AE64" s="6">
        <v>856</v>
      </c>
      <c r="AF64" s="6"/>
      <c r="AG64" s="35">
        <f t="shared" si="1"/>
        <v>346</v>
      </c>
      <c r="AH64" s="35">
        <v>10</v>
      </c>
      <c r="AI64" s="35">
        <v>1200</v>
      </c>
      <c r="AJ64" s="35">
        <f t="shared" si="2"/>
        <v>354</v>
      </c>
      <c r="AK64" s="6">
        <v>319</v>
      </c>
      <c r="AL64" s="6"/>
      <c r="AM64" s="35">
        <f t="shared" si="3"/>
        <v>309</v>
      </c>
      <c r="AN64" s="6"/>
      <c r="AO64" s="6"/>
      <c r="AP64" s="34"/>
      <c r="AQ64" s="35">
        <v>669</v>
      </c>
      <c r="AR64" s="35"/>
      <c r="AS64" s="35">
        <f t="shared" si="4"/>
        <v>350</v>
      </c>
      <c r="AT64" s="6">
        <v>1012</v>
      </c>
      <c r="AU64" s="6"/>
      <c r="AV64" s="35">
        <f t="shared" si="5"/>
        <v>343</v>
      </c>
      <c r="AW64" s="6">
        <v>219</v>
      </c>
      <c r="AX64" s="6">
        <v>1114</v>
      </c>
      <c r="AY64" s="35">
        <f t="shared" si="6"/>
        <v>321</v>
      </c>
      <c r="AZ64" s="35">
        <v>558</v>
      </c>
      <c r="BA64" s="35"/>
      <c r="BB64" s="35">
        <f t="shared" si="7"/>
        <v>339</v>
      </c>
      <c r="BC64" s="6">
        <v>902</v>
      </c>
      <c r="BD64" s="6"/>
      <c r="BE64" s="35">
        <f t="shared" si="8"/>
        <v>344</v>
      </c>
      <c r="BF64" s="6">
        <v>1188</v>
      </c>
      <c r="BG64" s="6"/>
      <c r="BH64" s="6">
        <f t="shared" si="9"/>
        <v>286</v>
      </c>
      <c r="BI64" s="6"/>
      <c r="BJ64" s="6"/>
      <c r="BK64" s="6"/>
      <c r="BL64" s="6">
        <v>343</v>
      </c>
      <c r="BM64" s="6">
        <v>1200</v>
      </c>
      <c r="BN64" s="6">
        <f t="shared" si="10"/>
        <v>355</v>
      </c>
      <c r="BO64" s="6">
        <v>673</v>
      </c>
      <c r="BP64" s="6"/>
      <c r="BQ64" s="35">
        <f t="shared" si="11"/>
        <v>330</v>
      </c>
      <c r="BR64" s="6">
        <v>1011</v>
      </c>
      <c r="BS64" s="6"/>
      <c r="BT64" s="6">
        <f t="shared" si="12"/>
        <v>338</v>
      </c>
      <c r="BU64" s="6">
        <v>143</v>
      </c>
      <c r="BV64" s="6">
        <v>1200</v>
      </c>
      <c r="BW64" s="35">
        <f t="shared" si="13"/>
        <v>332</v>
      </c>
      <c r="BX64" s="6">
        <v>492</v>
      </c>
      <c r="BY64" s="6"/>
      <c r="BZ64" s="6">
        <f t="shared" si="14"/>
        <v>349</v>
      </c>
      <c r="CA64" s="6">
        <v>819</v>
      </c>
      <c r="CB64" s="6"/>
      <c r="CC64" s="6">
        <f t="shared" si="15"/>
        <v>327</v>
      </c>
      <c r="CD64" s="6"/>
      <c r="CE64" s="6"/>
      <c r="CF64" s="6"/>
      <c r="CG64" s="6">
        <v>1171</v>
      </c>
      <c r="CH64" s="6"/>
      <c r="CI64" s="6">
        <f t="shared" si="16"/>
        <v>352</v>
      </c>
      <c r="CJ64" s="6">
        <v>319</v>
      </c>
      <c r="CK64" s="6">
        <v>1200</v>
      </c>
      <c r="CL64" s="6">
        <f t="shared" si="17"/>
        <v>348</v>
      </c>
      <c r="CM64" s="6">
        <v>661</v>
      </c>
      <c r="CN64" s="6"/>
      <c r="CO64" s="6">
        <f t="shared" si="18"/>
        <v>342</v>
      </c>
      <c r="CP64" s="6">
        <v>1008</v>
      </c>
      <c r="CQ64" s="6"/>
      <c r="CR64" s="6">
        <f t="shared" si="19"/>
        <v>347</v>
      </c>
      <c r="CS64" s="6">
        <v>158</v>
      </c>
      <c r="CT64" s="6">
        <v>1200</v>
      </c>
      <c r="CU64" s="6">
        <f t="shared" si="20"/>
        <v>350</v>
      </c>
      <c r="CV64" s="6">
        <v>346</v>
      </c>
      <c r="CW64" s="6"/>
      <c r="CX64" s="6">
        <f t="shared" si="21"/>
        <v>188</v>
      </c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</row>
    <row r="65" spans="1:117">
      <c r="A65" s="272">
        <v>61</v>
      </c>
      <c r="B65" s="6">
        <v>0</v>
      </c>
      <c r="C65" s="6">
        <v>1021</v>
      </c>
      <c r="D65" s="6">
        <v>144</v>
      </c>
      <c r="E65" s="33" t="s">
        <v>130</v>
      </c>
      <c r="F65" s="148" t="s">
        <v>130</v>
      </c>
      <c r="G65" s="33" t="s">
        <v>130</v>
      </c>
      <c r="H65" s="33" t="s">
        <v>130</v>
      </c>
      <c r="I65" s="33" t="s">
        <v>130</v>
      </c>
      <c r="J65" s="33" t="s">
        <v>130</v>
      </c>
      <c r="K65" s="33" t="s">
        <v>130</v>
      </c>
      <c r="L65" s="33" t="s">
        <v>130</v>
      </c>
      <c r="M65" s="33" t="s">
        <v>130</v>
      </c>
      <c r="N65" s="33" t="s">
        <v>130</v>
      </c>
      <c r="O65" s="33" t="s">
        <v>130</v>
      </c>
      <c r="P65" s="33" t="s">
        <v>130</v>
      </c>
      <c r="Q65" s="33" t="s">
        <v>130</v>
      </c>
      <c r="R65" s="33" t="s">
        <v>130</v>
      </c>
      <c r="S65" s="33" t="s">
        <v>130</v>
      </c>
      <c r="T65" s="33" t="s">
        <v>130</v>
      </c>
      <c r="U65" s="33" t="s">
        <v>130</v>
      </c>
      <c r="V65" s="33" t="s">
        <v>130</v>
      </c>
      <c r="W65" s="33" t="s">
        <v>130</v>
      </c>
      <c r="X65" s="148" t="s">
        <v>130</v>
      </c>
      <c r="Y65" s="33" t="s">
        <v>130</v>
      </c>
      <c r="Z65" s="33" t="s">
        <v>130</v>
      </c>
      <c r="AA65" s="33" t="s">
        <v>130</v>
      </c>
      <c r="AB65" s="6">
        <v>331</v>
      </c>
      <c r="AC65" s="6"/>
      <c r="AD65" s="35">
        <f t="shared" si="0"/>
        <v>331</v>
      </c>
      <c r="AE65" s="6">
        <v>673</v>
      </c>
      <c r="AF65" s="6"/>
      <c r="AG65" s="35">
        <f t="shared" si="1"/>
        <v>342</v>
      </c>
      <c r="AH65" s="35">
        <v>1013</v>
      </c>
      <c r="AI65" s="35"/>
      <c r="AJ65" s="35">
        <f t="shared" si="2"/>
        <v>340</v>
      </c>
      <c r="AK65" s="6">
        <v>139</v>
      </c>
      <c r="AL65" s="6">
        <v>1200</v>
      </c>
      <c r="AM65" s="35">
        <f t="shared" si="3"/>
        <v>326</v>
      </c>
      <c r="AN65" s="6"/>
      <c r="AO65" s="6"/>
      <c r="AP65" s="34"/>
      <c r="AQ65" s="35">
        <v>481</v>
      </c>
      <c r="AR65" s="35"/>
      <c r="AS65" s="35">
        <f t="shared" si="4"/>
        <v>342</v>
      </c>
      <c r="AT65" s="6">
        <v>819</v>
      </c>
      <c r="AU65" s="6"/>
      <c r="AV65" s="35">
        <f t="shared" si="5"/>
        <v>338</v>
      </c>
      <c r="AW65" s="6">
        <v>1166</v>
      </c>
      <c r="AX65" s="6"/>
      <c r="AY65" s="35">
        <f t="shared" si="6"/>
        <v>347</v>
      </c>
      <c r="AZ65" s="35">
        <v>309</v>
      </c>
      <c r="BA65" s="35">
        <v>1200</v>
      </c>
      <c r="BB65" s="35">
        <f t="shared" si="7"/>
        <v>343</v>
      </c>
      <c r="BC65" s="6">
        <v>651</v>
      </c>
      <c r="BD65" s="6"/>
      <c r="BE65" s="35">
        <f t="shared" si="8"/>
        <v>342</v>
      </c>
      <c r="BF65" s="6">
        <v>989</v>
      </c>
      <c r="BG65" s="6"/>
      <c r="BH65" s="6">
        <f t="shared" si="9"/>
        <v>338</v>
      </c>
      <c r="BI65" s="6"/>
      <c r="BJ65" s="6"/>
      <c r="BK65" s="6"/>
      <c r="BL65" s="6">
        <v>141</v>
      </c>
      <c r="BM65" s="6">
        <v>1200</v>
      </c>
      <c r="BN65" s="6">
        <f t="shared" si="10"/>
        <v>352</v>
      </c>
      <c r="BO65" s="6">
        <v>477</v>
      </c>
      <c r="BP65" s="6"/>
      <c r="BQ65" s="35">
        <f t="shared" si="11"/>
        <v>336</v>
      </c>
      <c r="BR65" s="6">
        <v>818</v>
      </c>
      <c r="BS65" s="6"/>
      <c r="BT65" s="6">
        <f t="shared" si="12"/>
        <v>341</v>
      </c>
      <c r="BU65" s="6">
        <v>1163</v>
      </c>
      <c r="BV65" s="6"/>
      <c r="BW65" s="35">
        <f t="shared" si="13"/>
        <v>345</v>
      </c>
      <c r="BX65" s="6">
        <v>305</v>
      </c>
      <c r="BY65" s="6">
        <v>1200</v>
      </c>
      <c r="BZ65" s="6">
        <f t="shared" si="14"/>
        <v>342</v>
      </c>
      <c r="CA65" s="6">
        <v>624</v>
      </c>
      <c r="CB65" s="6"/>
      <c r="CC65" s="6">
        <f t="shared" si="15"/>
        <v>319</v>
      </c>
      <c r="CD65" s="6"/>
      <c r="CE65" s="6"/>
      <c r="CF65" s="6"/>
      <c r="CG65" s="6">
        <v>315</v>
      </c>
      <c r="CH65" s="6">
        <v>650</v>
      </c>
      <c r="CI65" s="6">
        <f t="shared" si="16"/>
        <v>341</v>
      </c>
      <c r="CJ65" s="6">
        <v>0</v>
      </c>
      <c r="CK65" s="6">
        <v>465</v>
      </c>
      <c r="CL65" s="6">
        <f t="shared" si="17"/>
        <v>150</v>
      </c>
      <c r="CM65" s="6">
        <v>299</v>
      </c>
      <c r="CN65" s="6"/>
      <c r="CO65" s="6">
        <f t="shared" si="18"/>
        <v>299</v>
      </c>
      <c r="CP65" s="6">
        <v>645</v>
      </c>
      <c r="CQ65" s="6"/>
      <c r="CR65" s="6">
        <f t="shared" si="19"/>
        <v>346</v>
      </c>
      <c r="CS65" s="6">
        <v>991</v>
      </c>
      <c r="CT65" s="6"/>
      <c r="CU65" s="6">
        <f t="shared" si="20"/>
        <v>346</v>
      </c>
      <c r="CV65" s="6">
        <v>1175</v>
      </c>
      <c r="CW65" s="6"/>
      <c r="CX65" s="6">
        <f t="shared" si="21"/>
        <v>184</v>
      </c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</row>
    <row r="66" spans="1:117">
      <c r="A66" s="272">
        <v>62</v>
      </c>
      <c r="B66" s="6">
        <v>93</v>
      </c>
      <c r="C66" s="6">
        <v>1200</v>
      </c>
      <c r="D66" s="6">
        <v>322</v>
      </c>
      <c r="E66" s="33" t="s">
        <v>130</v>
      </c>
      <c r="F66" s="33" t="s">
        <v>130</v>
      </c>
      <c r="G66" s="33" t="s">
        <v>130</v>
      </c>
      <c r="H66" s="33" t="s">
        <v>130</v>
      </c>
      <c r="I66" s="33" t="s">
        <v>130</v>
      </c>
      <c r="J66" s="33" t="s">
        <v>130</v>
      </c>
      <c r="K66" s="33" t="s">
        <v>130</v>
      </c>
      <c r="L66" s="33" t="s">
        <v>130</v>
      </c>
      <c r="M66" s="148" t="s">
        <v>130</v>
      </c>
      <c r="N66" s="33" t="s">
        <v>130</v>
      </c>
      <c r="O66" s="33" t="s">
        <v>130</v>
      </c>
      <c r="P66" s="33" t="s">
        <v>130</v>
      </c>
      <c r="Q66" s="33" t="s">
        <v>130</v>
      </c>
      <c r="R66" s="33" t="s">
        <v>130</v>
      </c>
      <c r="S66" s="33" t="s">
        <v>130</v>
      </c>
      <c r="T66" s="33" t="s">
        <v>130</v>
      </c>
      <c r="U66" s="33" t="s">
        <v>130</v>
      </c>
      <c r="V66" s="33" t="s">
        <v>130</v>
      </c>
      <c r="W66" s="33" t="s">
        <v>130</v>
      </c>
      <c r="X66" s="33" t="s">
        <v>130</v>
      </c>
      <c r="Y66" s="33" t="s">
        <v>130</v>
      </c>
      <c r="Z66" s="33" t="s">
        <v>130</v>
      </c>
      <c r="AA66" s="33" t="s">
        <v>130</v>
      </c>
      <c r="AB66" s="35">
        <v>461</v>
      </c>
      <c r="AC66" s="35"/>
      <c r="AD66" s="35">
        <f t="shared" si="0"/>
        <v>368</v>
      </c>
      <c r="AE66" s="35">
        <v>808</v>
      </c>
      <c r="AF66" s="35"/>
      <c r="AG66" s="35">
        <f t="shared" si="1"/>
        <v>347</v>
      </c>
      <c r="AH66" s="35">
        <v>1159</v>
      </c>
      <c r="AI66" s="35"/>
      <c r="AJ66" s="35">
        <f t="shared" si="2"/>
        <v>351</v>
      </c>
      <c r="AK66" s="35">
        <v>287</v>
      </c>
      <c r="AL66" s="35">
        <v>1200</v>
      </c>
      <c r="AM66" s="35">
        <f t="shared" si="3"/>
        <v>328</v>
      </c>
      <c r="AN66" s="6"/>
      <c r="AO66" s="35"/>
      <c r="AP66" s="34"/>
      <c r="AQ66" s="35">
        <v>638</v>
      </c>
      <c r="AR66" s="35"/>
      <c r="AS66" s="35">
        <f t="shared" si="4"/>
        <v>351</v>
      </c>
      <c r="AT66" s="6">
        <v>983</v>
      </c>
      <c r="AU66" s="6"/>
      <c r="AV66" s="35">
        <f t="shared" si="5"/>
        <v>345</v>
      </c>
      <c r="AW66" s="6">
        <v>0</v>
      </c>
      <c r="AX66" s="6">
        <v>1115</v>
      </c>
      <c r="AY66" s="35">
        <f t="shared" si="6"/>
        <v>132</v>
      </c>
      <c r="AZ66" s="6">
        <v>319</v>
      </c>
      <c r="BA66" s="6"/>
      <c r="BB66" s="35">
        <f t="shared" si="7"/>
        <v>319</v>
      </c>
      <c r="BC66" s="6">
        <v>668</v>
      </c>
      <c r="BD66" s="6"/>
      <c r="BE66" s="35">
        <f t="shared" si="8"/>
        <v>349</v>
      </c>
      <c r="BF66" s="6">
        <v>1009</v>
      </c>
      <c r="BG66" s="6"/>
      <c r="BH66" s="6">
        <f t="shared" si="9"/>
        <v>341</v>
      </c>
      <c r="BI66" s="6"/>
      <c r="BJ66" s="35"/>
      <c r="BK66" s="6"/>
      <c r="BL66" s="6">
        <v>164</v>
      </c>
      <c r="BM66" s="6">
        <v>1200</v>
      </c>
      <c r="BN66" s="6">
        <f t="shared" si="10"/>
        <v>355</v>
      </c>
      <c r="BO66" s="6">
        <v>505</v>
      </c>
      <c r="BP66" s="6"/>
      <c r="BQ66" s="35">
        <f t="shared" si="11"/>
        <v>341</v>
      </c>
      <c r="BR66" s="6">
        <v>856</v>
      </c>
      <c r="BS66" s="6"/>
      <c r="BT66" s="6">
        <f t="shared" si="12"/>
        <v>351</v>
      </c>
      <c r="BU66" s="6">
        <v>3</v>
      </c>
      <c r="BV66" s="6">
        <v>1200</v>
      </c>
      <c r="BW66" s="35">
        <f t="shared" si="13"/>
        <v>347</v>
      </c>
      <c r="BX66" s="6">
        <v>99</v>
      </c>
      <c r="BY66" s="35">
        <v>247</v>
      </c>
      <c r="BZ66" s="6">
        <f t="shared" si="14"/>
        <v>343</v>
      </c>
      <c r="CA66" s="6">
        <v>427</v>
      </c>
      <c r="CB66" s="6"/>
      <c r="CC66" s="6">
        <f t="shared" si="15"/>
        <v>328</v>
      </c>
      <c r="CD66" s="6"/>
      <c r="CE66" s="35"/>
      <c r="CF66" s="6"/>
      <c r="CG66" s="6">
        <v>779</v>
      </c>
      <c r="CH66" s="6"/>
      <c r="CI66" s="6">
        <f t="shared" si="16"/>
        <v>352</v>
      </c>
      <c r="CJ66" s="6">
        <v>2</v>
      </c>
      <c r="CK66" s="6">
        <f>800+271</f>
        <v>1071</v>
      </c>
      <c r="CL66" s="6">
        <f t="shared" si="17"/>
        <v>294</v>
      </c>
      <c r="CM66" s="6">
        <v>320</v>
      </c>
      <c r="CN66" s="6"/>
      <c r="CO66" s="6">
        <f t="shared" si="18"/>
        <v>318</v>
      </c>
      <c r="CP66" s="6">
        <v>664</v>
      </c>
      <c r="CQ66" s="6"/>
      <c r="CR66" s="6">
        <f t="shared" si="19"/>
        <v>344</v>
      </c>
      <c r="CS66" s="6">
        <v>1008</v>
      </c>
      <c r="CT66" s="6"/>
      <c r="CU66" s="6">
        <f t="shared" si="20"/>
        <v>344</v>
      </c>
      <c r="CV66" s="6">
        <v>1195</v>
      </c>
      <c r="CW66" s="6"/>
      <c r="CX66" s="6">
        <f t="shared" si="21"/>
        <v>187</v>
      </c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</row>
    <row r="67" spans="1:117">
      <c r="A67" s="6">
        <v>63</v>
      </c>
      <c r="B67" s="6">
        <v>786</v>
      </c>
      <c r="C67" s="6"/>
      <c r="D67" s="6">
        <v>324</v>
      </c>
      <c r="E67" s="33" t="s">
        <v>130</v>
      </c>
      <c r="F67" s="33" t="s">
        <v>130</v>
      </c>
      <c r="G67" s="33" t="s">
        <v>130</v>
      </c>
      <c r="H67" s="33" t="s">
        <v>130</v>
      </c>
      <c r="I67" s="33" t="s">
        <v>130</v>
      </c>
      <c r="J67" s="33" t="s">
        <v>130</v>
      </c>
      <c r="K67" s="148" t="s">
        <v>130</v>
      </c>
      <c r="L67" s="33" t="s">
        <v>130</v>
      </c>
      <c r="M67" s="33" t="s">
        <v>130</v>
      </c>
      <c r="N67" s="33" t="s">
        <v>130</v>
      </c>
      <c r="O67" s="33" t="s">
        <v>130</v>
      </c>
      <c r="P67" s="33" t="s">
        <v>130</v>
      </c>
      <c r="Q67" s="33" t="s">
        <v>130</v>
      </c>
      <c r="R67" s="33" t="s">
        <v>130</v>
      </c>
      <c r="S67" s="33" t="s">
        <v>130</v>
      </c>
      <c r="T67" s="33" t="s">
        <v>130</v>
      </c>
      <c r="U67" s="33" t="s">
        <v>130</v>
      </c>
      <c r="V67" s="33" t="s">
        <v>130</v>
      </c>
      <c r="W67" s="33" t="s">
        <v>130</v>
      </c>
      <c r="X67" s="33" t="s">
        <v>130</v>
      </c>
      <c r="Y67" s="33" t="s">
        <v>130</v>
      </c>
      <c r="Z67" s="33" t="s">
        <v>130</v>
      </c>
      <c r="AA67" s="33" t="s">
        <v>130</v>
      </c>
      <c r="AB67" s="35">
        <v>1149</v>
      </c>
      <c r="AC67" s="35"/>
      <c r="AD67" s="35">
        <f t="shared" si="0"/>
        <v>363</v>
      </c>
      <c r="AE67" s="35">
        <v>285</v>
      </c>
      <c r="AF67" s="35">
        <v>1200</v>
      </c>
      <c r="AG67" s="35">
        <f t="shared" si="1"/>
        <v>336</v>
      </c>
      <c r="AH67" s="35">
        <v>630</v>
      </c>
      <c r="AI67" s="35"/>
      <c r="AJ67" s="35">
        <f t="shared" si="2"/>
        <v>345</v>
      </c>
      <c r="AK67" s="35">
        <v>954</v>
      </c>
      <c r="AL67" s="35"/>
      <c r="AM67" s="35">
        <f t="shared" si="3"/>
        <v>324</v>
      </c>
      <c r="AN67" s="6"/>
      <c r="AO67" s="35"/>
      <c r="AP67" s="34"/>
      <c r="AQ67" s="35">
        <v>0</v>
      </c>
      <c r="AR67" s="35">
        <v>1122</v>
      </c>
      <c r="AS67" s="35">
        <f t="shared" si="4"/>
        <v>168</v>
      </c>
      <c r="AT67" s="6">
        <v>315</v>
      </c>
      <c r="AU67" s="6"/>
      <c r="AV67" s="35">
        <f t="shared" si="5"/>
        <v>315</v>
      </c>
      <c r="AW67" s="6">
        <v>664</v>
      </c>
      <c r="AX67" s="6"/>
      <c r="AY67" s="35">
        <f t="shared" si="6"/>
        <v>349</v>
      </c>
      <c r="AZ67" s="6">
        <v>1013</v>
      </c>
      <c r="BA67" s="6"/>
      <c r="BB67" s="35">
        <f t="shared" si="7"/>
        <v>349</v>
      </c>
      <c r="BC67" s="6">
        <v>157</v>
      </c>
      <c r="BD67" s="6">
        <v>1200</v>
      </c>
      <c r="BE67" s="35">
        <f t="shared" si="8"/>
        <v>344</v>
      </c>
      <c r="BF67" s="6">
        <v>492</v>
      </c>
      <c r="BG67" s="6"/>
      <c r="BH67" s="6">
        <f t="shared" si="9"/>
        <v>335</v>
      </c>
      <c r="BI67" s="6"/>
      <c r="BJ67" s="35"/>
      <c r="BK67" s="6"/>
      <c r="BL67" s="6">
        <v>845</v>
      </c>
      <c r="BM67" s="6"/>
      <c r="BN67" s="6">
        <f t="shared" si="10"/>
        <v>353</v>
      </c>
      <c r="BO67" s="6">
        <v>1185</v>
      </c>
      <c r="BP67" s="6"/>
      <c r="BQ67" s="35">
        <f t="shared" si="11"/>
        <v>340</v>
      </c>
      <c r="BR67" s="6">
        <v>323</v>
      </c>
      <c r="BS67" s="6">
        <v>1200</v>
      </c>
      <c r="BT67" s="6">
        <f t="shared" si="12"/>
        <v>338</v>
      </c>
      <c r="BU67" s="6">
        <v>667</v>
      </c>
      <c r="BV67" s="6"/>
      <c r="BW67" s="35">
        <f t="shared" si="13"/>
        <v>344</v>
      </c>
      <c r="BX67" s="6">
        <v>1004</v>
      </c>
      <c r="BY67" s="35"/>
      <c r="BZ67" s="6">
        <f t="shared" si="14"/>
        <v>337</v>
      </c>
      <c r="CA67" s="6">
        <v>132</v>
      </c>
      <c r="CB67" s="6">
        <v>1200</v>
      </c>
      <c r="CC67" s="6">
        <f t="shared" si="15"/>
        <v>328</v>
      </c>
      <c r="CD67" s="6"/>
      <c r="CE67" s="35"/>
      <c r="CF67" s="6"/>
      <c r="CG67" s="6">
        <v>486</v>
      </c>
      <c r="CH67" s="6"/>
      <c r="CI67" s="6">
        <f t="shared" si="16"/>
        <v>354</v>
      </c>
      <c r="CJ67" s="6">
        <v>835</v>
      </c>
      <c r="CK67" s="6"/>
      <c r="CL67" s="6">
        <f t="shared" si="17"/>
        <v>349</v>
      </c>
      <c r="CM67" s="6">
        <v>1180</v>
      </c>
      <c r="CN67" s="6"/>
      <c r="CO67" s="6">
        <f t="shared" si="18"/>
        <v>345</v>
      </c>
      <c r="CP67" s="6">
        <v>320</v>
      </c>
      <c r="CQ67" s="6">
        <v>1202</v>
      </c>
      <c r="CR67" s="6">
        <f t="shared" si="19"/>
        <v>342</v>
      </c>
      <c r="CS67" s="6">
        <v>249</v>
      </c>
      <c r="CT67" s="6">
        <v>417</v>
      </c>
      <c r="CU67" s="6">
        <f t="shared" si="20"/>
        <v>346</v>
      </c>
      <c r="CV67" s="6">
        <v>436</v>
      </c>
      <c r="CW67" s="6"/>
      <c r="CX67" s="6">
        <f t="shared" si="21"/>
        <v>187</v>
      </c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</row>
    <row r="68" spans="1:117">
      <c r="A68" s="272">
        <v>64</v>
      </c>
      <c r="B68" s="6">
        <v>6</v>
      </c>
      <c r="C68" s="6">
        <v>1200</v>
      </c>
      <c r="D68" s="6">
        <v>316</v>
      </c>
      <c r="E68" s="33" t="s">
        <v>130</v>
      </c>
      <c r="F68" s="33" t="s">
        <v>130</v>
      </c>
      <c r="G68" s="33" t="s">
        <v>130</v>
      </c>
      <c r="H68" s="33" t="s">
        <v>130</v>
      </c>
      <c r="I68" s="33" t="s">
        <v>130</v>
      </c>
      <c r="J68" s="33" t="s">
        <v>130</v>
      </c>
      <c r="K68" s="33" t="s">
        <v>130</v>
      </c>
      <c r="L68" s="33" t="s">
        <v>130</v>
      </c>
      <c r="M68" s="33" t="s">
        <v>130</v>
      </c>
      <c r="N68" s="33" t="s">
        <v>130</v>
      </c>
      <c r="O68" s="33" t="s">
        <v>130</v>
      </c>
      <c r="P68" s="33" t="s">
        <v>130</v>
      </c>
      <c r="Q68" s="33" t="s">
        <v>130</v>
      </c>
      <c r="R68" s="33" t="s">
        <v>130</v>
      </c>
      <c r="S68" s="33" t="s">
        <v>130</v>
      </c>
      <c r="T68" s="148" t="s">
        <v>130</v>
      </c>
      <c r="U68" s="33" t="s">
        <v>130</v>
      </c>
      <c r="V68" s="33" t="s">
        <v>130</v>
      </c>
      <c r="W68" s="33" t="s">
        <v>130</v>
      </c>
      <c r="X68" s="33" t="s">
        <v>130</v>
      </c>
      <c r="Y68" s="33" t="s">
        <v>130</v>
      </c>
      <c r="Z68" s="33" t="s">
        <v>130</v>
      </c>
      <c r="AA68" s="33" t="s">
        <v>130</v>
      </c>
      <c r="AB68" s="6">
        <v>364</v>
      </c>
      <c r="AC68" s="6"/>
      <c r="AD68" s="35">
        <f t="shared" si="0"/>
        <v>358</v>
      </c>
      <c r="AE68" s="6">
        <v>705</v>
      </c>
      <c r="AF68" s="6"/>
      <c r="AG68" s="35">
        <f t="shared" si="1"/>
        <v>341</v>
      </c>
      <c r="AH68" s="35">
        <v>1054</v>
      </c>
      <c r="AI68" s="35"/>
      <c r="AJ68" s="35">
        <f t="shared" si="2"/>
        <v>349</v>
      </c>
      <c r="AK68" s="6">
        <v>165</v>
      </c>
      <c r="AL68" s="6">
        <v>1210</v>
      </c>
      <c r="AM68" s="35">
        <f t="shared" si="3"/>
        <v>321</v>
      </c>
      <c r="AN68" s="6"/>
      <c r="AO68" s="6"/>
      <c r="AP68" s="34"/>
      <c r="AQ68" s="35">
        <v>506</v>
      </c>
      <c r="AR68" s="35"/>
      <c r="AS68" s="35">
        <f t="shared" si="4"/>
        <v>341</v>
      </c>
      <c r="AT68" s="6">
        <v>846</v>
      </c>
      <c r="AU68" s="6"/>
      <c r="AV68" s="35">
        <f t="shared" si="5"/>
        <v>340</v>
      </c>
      <c r="AW68" s="6">
        <v>1189</v>
      </c>
      <c r="AX68" s="6"/>
      <c r="AY68" s="35">
        <f t="shared" si="6"/>
        <v>343</v>
      </c>
      <c r="AZ68" s="6">
        <v>334</v>
      </c>
      <c r="BA68" s="6">
        <v>1200</v>
      </c>
      <c r="BB68" s="35">
        <f t="shared" si="7"/>
        <v>345</v>
      </c>
      <c r="BC68" s="6">
        <v>673</v>
      </c>
      <c r="BD68" s="6"/>
      <c r="BE68" s="35">
        <f t="shared" si="8"/>
        <v>339</v>
      </c>
      <c r="BF68" s="6">
        <v>1012</v>
      </c>
      <c r="BG68" s="6"/>
      <c r="BH68" s="6">
        <f t="shared" si="9"/>
        <v>339</v>
      </c>
      <c r="BI68" s="6"/>
      <c r="BJ68" s="35"/>
      <c r="BK68" s="6"/>
      <c r="BL68" s="6">
        <v>160</v>
      </c>
      <c r="BM68" s="6">
        <v>1204</v>
      </c>
      <c r="BN68" s="6">
        <f t="shared" si="10"/>
        <v>352</v>
      </c>
      <c r="BO68" s="6">
        <v>502</v>
      </c>
      <c r="BP68" s="6"/>
      <c r="BQ68" s="35">
        <f t="shared" si="11"/>
        <v>342</v>
      </c>
      <c r="BR68" s="6">
        <v>847</v>
      </c>
      <c r="BS68" s="6"/>
      <c r="BT68" s="6">
        <f t="shared" si="12"/>
        <v>345</v>
      </c>
      <c r="BU68" s="6">
        <v>0</v>
      </c>
      <c r="BV68" s="6">
        <v>1081</v>
      </c>
      <c r="BW68" s="35">
        <f t="shared" si="13"/>
        <v>234</v>
      </c>
      <c r="BX68" s="6">
        <v>331</v>
      </c>
      <c r="BY68" s="35"/>
      <c r="BZ68" s="6">
        <f t="shared" si="14"/>
        <v>331</v>
      </c>
      <c r="CA68" s="6">
        <v>660</v>
      </c>
      <c r="CB68" s="6"/>
      <c r="CC68" s="6">
        <f t="shared" si="15"/>
        <v>329</v>
      </c>
      <c r="CD68" s="6"/>
      <c r="CE68" s="35"/>
      <c r="CF68" s="6"/>
      <c r="CG68" s="6">
        <v>1012</v>
      </c>
      <c r="CH68" s="6"/>
      <c r="CI68" s="6">
        <f t="shared" si="16"/>
        <v>352</v>
      </c>
      <c r="CJ68" s="6">
        <v>177</v>
      </c>
      <c r="CK68" s="6">
        <v>1180</v>
      </c>
      <c r="CL68" s="6">
        <f t="shared" si="17"/>
        <v>345</v>
      </c>
      <c r="CM68" s="6">
        <v>524</v>
      </c>
      <c r="CN68" s="6"/>
      <c r="CO68" s="6">
        <f t="shared" si="18"/>
        <v>347</v>
      </c>
      <c r="CP68" s="6">
        <v>869</v>
      </c>
      <c r="CQ68" s="6"/>
      <c r="CR68" s="6">
        <f t="shared" si="19"/>
        <v>345</v>
      </c>
      <c r="CS68" s="6">
        <v>10</v>
      </c>
      <c r="CT68" s="6">
        <v>1204</v>
      </c>
      <c r="CU68" s="6">
        <f t="shared" si="20"/>
        <v>345</v>
      </c>
      <c r="CV68" s="6">
        <v>195</v>
      </c>
      <c r="CW68" s="6"/>
      <c r="CX68" s="6">
        <f t="shared" si="21"/>
        <v>185</v>
      </c>
      <c r="CY68" s="6"/>
      <c r="CZ68" s="6"/>
      <c r="DA68" s="6"/>
      <c r="DB68" s="6"/>
      <c r="DC68" s="6"/>
      <c r="DD68" s="6"/>
      <c r="DE68" s="6"/>
      <c r="DF68" s="35"/>
      <c r="DG68" s="6"/>
      <c r="DH68" s="6"/>
      <c r="DI68" s="35"/>
      <c r="DJ68" s="6"/>
      <c r="DK68" s="6"/>
      <c r="DL68" s="35"/>
      <c r="DM68" s="6"/>
    </row>
    <row r="69" spans="1:117">
      <c r="A69" s="272">
        <v>65</v>
      </c>
      <c r="B69" s="6">
        <v>285</v>
      </c>
      <c r="C69" s="6"/>
      <c r="D69" s="6">
        <v>285</v>
      </c>
      <c r="E69" s="148" t="s">
        <v>130</v>
      </c>
      <c r="F69" s="33" t="s">
        <v>130</v>
      </c>
      <c r="G69" s="33" t="s">
        <v>130</v>
      </c>
      <c r="H69" s="33" t="s">
        <v>130</v>
      </c>
      <c r="I69" s="33" t="s">
        <v>130</v>
      </c>
      <c r="J69" s="33" t="s">
        <v>130</v>
      </c>
      <c r="K69" s="33" t="s">
        <v>130</v>
      </c>
      <c r="L69" s="33" t="s">
        <v>130</v>
      </c>
      <c r="M69" s="33" t="s">
        <v>130</v>
      </c>
      <c r="N69" s="33" t="s">
        <v>130</v>
      </c>
      <c r="O69" s="33" t="s">
        <v>130</v>
      </c>
      <c r="P69" s="33" t="s">
        <v>130</v>
      </c>
      <c r="Q69" s="33" t="s">
        <v>130</v>
      </c>
      <c r="R69" s="33" t="s">
        <v>130</v>
      </c>
      <c r="S69" s="33" t="s">
        <v>130</v>
      </c>
      <c r="T69" s="33" t="s">
        <v>130</v>
      </c>
      <c r="U69" s="33" t="s">
        <v>130</v>
      </c>
      <c r="V69" s="148" t="s">
        <v>130</v>
      </c>
      <c r="W69" s="33" t="s">
        <v>130</v>
      </c>
      <c r="X69" s="33" t="s">
        <v>130</v>
      </c>
      <c r="Y69" s="33" t="s">
        <v>130</v>
      </c>
      <c r="Z69" s="33" t="s">
        <v>130</v>
      </c>
      <c r="AA69" s="33" t="s">
        <v>130</v>
      </c>
      <c r="AB69" s="6">
        <v>644</v>
      </c>
      <c r="AC69" s="6"/>
      <c r="AD69" s="35">
        <f t="shared" si="0"/>
        <v>359</v>
      </c>
      <c r="AE69" s="6">
        <v>988</v>
      </c>
      <c r="AF69" s="6"/>
      <c r="AG69" s="35">
        <f t="shared" si="1"/>
        <v>344</v>
      </c>
      <c r="AH69" s="35">
        <v>130</v>
      </c>
      <c r="AI69" s="35">
        <v>1200</v>
      </c>
      <c r="AJ69" s="35">
        <f t="shared" si="2"/>
        <v>342</v>
      </c>
      <c r="AK69" s="6">
        <v>461</v>
      </c>
      <c r="AL69" s="6"/>
      <c r="AM69" s="35">
        <f t="shared" si="3"/>
        <v>331</v>
      </c>
      <c r="AN69" s="6"/>
      <c r="AO69" s="6"/>
      <c r="AP69" s="34"/>
      <c r="AQ69" s="35">
        <v>13</v>
      </c>
      <c r="AR69" s="35">
        <v>789</v>
      </c>
      <c r="AS69" s="35">
        <f t="shared" si="4"/>
        <v>341</v>
      </c>
      <c r="AT69" s="6">
        <v>358</v>
      </c>
      <c r="AU69" s="6"/>
      <c r="AV69" s="35">
        <f t="shared" si="5"/>
        <v>345</v>
      </c>
      <c r="AW69" s="6">
        <v>707</v>
      </c>
      <c r="AX69" s="6"/>
      <c r="AY69" s="35">
        <f t="shared" si="6"/>
        <v>349</v>
      </c>
      <c r="AZ69" s="35">
        <v>1051</v>
      </c>
      <c r="BA69" s="35"/>
      <c r="BB69" s="35">
        <f t="shared" si="7"/>
        <v>344</v>
      </c>
      <c r="BC69" s="6">
        <v>198</v>
      </c>
      <c r="BD69" s="6">
        <v>1200</v>
      </c>
      <c r="BE69" s="35">
        <f t="shared" si="8"/>
        <v>347</v>
      </c>
      <c r="BF69" s="6">
        <v>535</v>
      </c>
      <c r="BG69" s="6"/>
      <c r="BH69" s="6">
        <f t="shared" si="9"/>
        <v>337</v>
      </c>
      <c r="BI69" s="6"/>
      <c r="BJ69" s="6"/>
      <c r="BK69" s="6"/>
      <c r="BL69" s="6">
        <v>888</v>
      </c>
      <c r="BM69" s="6"/>
      <c r="BN69" s="6">
        <f t="shared" si="10"/>
        <v>353</v>
      </c>
      <c r="BO69" s="6">
        <v>29</v>
      </c>
      <c r="BP69" s="6">
        <v>1200</v>
      </c>
      <c r="BQ69" s="35">
        <f t="shared" si="11"/>
        <v>341</v>
      </c>
      <c r="BR69" s="6">
        <v>378</v>
      </c>
      <c r="BS69" s="6"/>
      <c r="BT69" s="6">
        <f t="shared" si="12"/>
        <v>349</v>
      </c>
      <c r="BU69" s="6">
        <v>720</v>
      </c>
      <c r="BV69" s="6"/>
      <c r="BW69" s="35">
        <f t="shared" si="13"/>
        <v>342</v>
      </c>
      <c r="BX69" s="6">
        <v>1069</v>
      </c>
      <c r="BY69" s="6"/>
      <c r="BZ69" s="6">
        <f t="shared" si="14"/>
        <v>349</v>
      </c>
      <c r="CA69" s="6">
        <v>191</v>
      </c>
      <c r="CB69" s="6">
        <v>1200</v>
      </c>
      <c r="CC69" s="6">
        <f t="shared" si="15"/>
        <v>322</v>
      </c>
      <c r="CD69" s="6"/>
      <c r="CE69" s="6"/>
      <c r="CF69" s="6"/>
      <c r="CG69" s="6">
        <v>238</v>
      </c>
      <c r="CH69" s="6">
        <v>294</v>
      </c>
      <c r="CI69" s="6">
        <f t="shared" si="16"/>
        <v>341</v>
      </c>
      <c r="CJ69" s="6">
        <v>582</v>
      </c>
      <c r="CK69" s="6"/>
      <c r="CL69" s="6">
        <f t="shared" si="17"/>
        <v>344</v>
      </c>
      <c r="CM69" s="6">
        <v>926</v>
      </c>
      <c r="CN69" s="6"/>
      <c r="CO69" s="6">
        <f t="shared" si="18"/>
        <v>344</v>
      </c>
      <c r="CP69" s="6">
        <v>74</v>
      </c>
      <c r="CQ69" s="6">
        <v>1200</v>
      </c>
      <c r="CR69" s="6">
        <f t="shared" si="19"/>
        <v>348</v>
      </c>
      <c r="CS69" s="6">
        <v>417</v>
      </c>
      <c r="CT69" s="6"/>
      <c r="CU69" s="6">
        <f t="shared" si="20"/>
        <v>343</v>
      </c>
      <c r="CV69" s="6">
        <v>605</v>
      </c>
      <c r="CW69" s="6"/>
      <c r="CX69" s="6">
        <f t="shared" si="21"/>
        <v>188</v>
      </c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</row>
    <row r="70" spans="1:117">
      <c r="A70" s="6">
        <v>66</v>
      </c>
      <c r="B70" s="6">
        <v>1080</v>
      </c>
      <c r="C70" s="6"/>
      <c r="D70" s="6">
        <v>317</v>
      </c>
      <c r="E70" s="33" t="s">
        <v>130</v>
      </c>
      <c r="F70" s="33" t="s">
        <v>130</v>
      </c>
      <c r="G70" s="33" t="s">
        <v>130</v>
      </c>
      <c r="H70" s="33" t="s">
        <v>130</v>
      </c>
      <c r="I70" s="33" t="s">
        <v>130</v>
      </c>
      <c r="J70" s="148" t="s">
        <v>130</v>
      </c>
      <c r="K70" s="33" t="s">
        <v>130</v>
      </c>
      <c r="L70" s="33" t="s">
        <v>130</v>
      </c>
      <c r="M70" s="33" t="s">
        <v>130</v>
      </c>
      <c r="N70" s="33" t="s">
        <v>130</v>
      </c>
      <c r="O70" s="33" t="s">
        <v>130</v>
      </c>
      <c r="P70" s="33" t="s">
        <v>130</v>
      </c>
      <c r="Q70" s="33" t="s">
        <v>130</v>
      </c>
      <c r="R70" s="33" t="s">
        <v>130</v>
      </c>
      <c r="S70" s="33" t="s">
        <v>130</v>
      </c>
      <c r="T70" s="33" t="s">
        <v>130</v>
      </c>
      <c r="U70" s="33" t="s">
        <v>130</v>
      </c>
      <c r="V70" s="33" t="s">
        <v>130</v>
      </c>
      <c r="W70" s="33" t="s">
        <v>130</v>
      </c>
      <c r="X70" s="33" t="s">
        <v>130</v>
      </c>
      <c r="Y70" s="33" t="s">
        <v>130</v>
      </c>
      <c r="Z70" s="33" t="s">
        <v>130</v>
      </c>
      <c r="AA70" s="33" t="s">
        <v>130</v>
      </c>
      <c r="AB70" s="6">
        <v>249</v>
      </c>
      <c r="AC70" s="6">
        <v>1200</v>
      </c>
      <c r="AD70" s="35">
        <f t="shared" ref="AD70:AD133" si="22">AC70+AB70-B70</f>
        <v>369</v>
      </c>
      <c r="AE70" s="6">
        <v>594</v>
      </c>
      <c r="AF70" s="6"/>
      <c r="AG70" s="35">
        <f t="shared" ref="AG70:AG133" si="23">AF70+AE70-AB70</f>
        <v>345</v>
      </c>
      <c r="AH70" s="35">
        <v>937</v>
      </c>
      <c r="AI70" s="35"/>
      <c r="AJ70" s="35">
        <f t="shared" ref="AJ70:AJ133" si="24">AI70+AH70-AE70</f>
        <v>343</v>
      </c>
      <c r="AK70" s="6">
        <v>0</v>
      </c>
      <c r="AL70" s="6">
        <v>1129</v>
      </c>
      <c r="AM70" s="35">
        <f t="shared" ref="AM70:AM133" si="25">AL70+AK70-AH70</f>
        <v>192</v>
      </c>
      <c r="AN70" s="6"/>
      <c r="AO70" s="6"/>
      <c r="AP70" s="34"/>
      <c r="AQ70" s="35">
        <v>334</v>
      </c>
      <c r="AR70" s="35"/>
      <c r="AS70" s="35">
        <f t="shared" ref="AS70:AS133" si="26">AR70+AQ70-AK70</f>
        <v>334</v>
      </c>
      <c r="AT70" s="6">
        <v>670</v>
      </c>
      <c r="AU70" s="6"/>
      <c r="AV70" s="35">
        <f t="shared" ref="AV70:AV133" si="27">AU70+AT70-AQ70</f>
        <v>336</v>
      </c>
      <c r="AW70" s="6">
        <v>1015</v>
      </c>
      <c r="AX70" s="6"/>
      <c r="AY70" s="35">
        <f t="shared" ref="AY70:AY133" si="28">AX70+AW70-AT70</f>
        <v>345</v>
      </c>
      <c r="AZ70" s="35">
        <v>160</v>
      </c>
      <c r="BA70" s="35">
        <v>1200</v>
      </c>
      <c r="BB70" s="35">
        <f t="shared" ref="BB70:BB133" si="29">BA70+AZ70-AW70</f>
        <v>345</v>
      </c>
      <c r="BC70" s="6">
        <v>507</v>
      </c>
      <c r="BD70" s="6"/>
      <c r="BE70" s="35">
        <f t="shared" ref="BE70:BE133" si="30">BD70+BC70-AZ70</f>
        <v>347</v>
      </c>
      <c r="BF70" s="6">
        <v>843</v>
      </c>
      <c r="BG70" s="6"/>
      <c r="BH70" s="6">
        <f t="shared" ref="BH70:BH133" si="31">BG70+BF70-BC70</f>
        <v>336</v>
      </c>
      <c r="BI70" s="6"/>
      <c r="BJ70" s="6"/>
      <c r="BK70" s="6"/>
      <c r="BL70" s="6">
        <v>1196</v>
      </c>
      <c r="BM70" s="6"/>
      <c r="BN70" s="6">
        <f t="shared" ref="BN70:BN133" si="32">BM70+BL70-BF70</f>
        <v>353</v>
      </c>
      <c r="BO70" s="6">
        <v>330</v>
      </c>
      <c r="BP70" s="6">
        <v>1200</v>
      </c>
      <c r="BQ70" s="35">
        <f t="shared" ref="BQ70:BQ133" si="33">BP70+BO70-BL70</f>
        <v>334</v>
      </c>
      <c r="BR70" s="6">
        <v>665</v>
      </c>
      <c r="BS70" s="6"/>
      <c r="BT70" s="6">
        <f t="shared" ref="BT70:BT133" si="34">BS70+BR70-BO70</f>
        <v>335</v>
      </c>
      <c r="BU70" s="6">
        <v>987</v>
      </c>
      <c r="BV70" s="6"/>
      <c r="BW70" s="35">
        <f t="shared" ref="BW70:BW133" si="35">BV70+BU70-BR70</f>
        <v>322</v>
      </c>
      <c r="BX70" s="6">
        <v>130</v>
      </c>
      <c r="BY70" s="6">
        <v>1200</v>
      </c>
      <c r="BZ70" s="6">
        <f t="shared" ref="BZ70:BZ133" si="36">BY70+BX70-BU70</f>
        <v>343</v>
      </c>
      <c r="CA70" s="6">
        <v>458</v>
      </c>
      <c r="CB70" s="6"/>
      <c r="CC70" s="6">
        <f t="shared" ref="CC70:CC133" si="37">CB70+CA70-BX70</f>
        <v>328</v>
      </c>
      <c r="CD70" s="6"/>
      <c r="CE70" s="6"/>
      <c r="CF70" s="6"/>
      <c r="CG70" s="6">
        <v>810</v>
      </c>
      <c r="CH70" s="6"/>
      <c r="CI70" s="6">
        <f t="shared" ref="CI70:CI133" si="38">CH70+CG70-CA70</f>
        <v>352</v>
      </c>
      <c r="CJ70" s="6">
        <v>1156</v>
      </c>
      <c r="CK70" s="6"/>
      <c r="CL70" s="6">
        <f t="shared" ref="CL70:CL133" si="39">CK70+CJ70-CG70</f>
        <v>346</v>
      </c>
      <c r="CM70" s="6">
        <v>298</v>
      </c>
      <c r="CN70" s="6">
        <v>1200</v>
      </c>
      <c r="CO70" s="6">
        <f t="shared" ref="CO70:CO133" si="40">CN70+CM70-CJ70</f>
        <v>342</v>
      </c>
      <c r="CP70" s="6">
        <v>642</v>
      </c>
      <c r="CQ70" s="6"/>
      <c r="CR70" s="6">
        <f t="shared" ref="CR70:CR133" si="41">CQ70+CP70-CM70</f>
        <v>344</v>
      </c>
      <c r="CS70" s="6">
        <v>987</v>
      </c>
      <c r="CT70" s="6"/>
      <c r="CU70" s="6">
        <f t="shared" ref="CU70:CU133" si="42">CT70+CS70-CP70</f>
        <v>345</v>
      </c>
      <c r="CV70" s="6">
        <v>0</v>
      </c>
      <c r="CW70" s="6">
        <v>1104</v>
      </c>
      <c r="CX70" s="6">
        <f t="shared" ref="CX70:CX133" si="43">CW70+CV70-CS70</f>
        <v>117</v>
      </c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</row>
    <row r="71" spans="1:117">
      <c r="A71" s="272">
        <v>67</v>
      </c>
      <c r="B71" s="6">
        <v>123</v>
      </c>
      <c r="C71" s="6">
        <v>1200</v>
      </c>
      <c r="D71" s="6">
        <v>310</v>
      </c>
      <c r="E71" s="33" t="s">
        <v>130</v>
      </c>
      <c r="F71" s="33" t="s">
        <v>130</v>
      </c>
      <c r="G71" s="33" t="s">
        <v>130</v>
      </c>
      <c r="H71" s="33" t="s">
        <v>130</v>
      </c>
      <c r="I71" s="148" t="s">
        <v>130</v>
      </c>
      <c r="J71" s="33" t="s">
        <v>130</v>
      </c>
      <c r="K71" s="33" t="s">
        <v>130</v>
      </c>
      <c r="L71" s="33" t="s">
        <v>130</v>
      </c>
      <c r="M71" s="33" t="s">
        <v>130</v>
      </c>
      <c r="N71" s="33" t="s">
        <v>130</v>
      </c>
      <c r="O71" s="33" t="s">
        <v>130</v>
      </c>
      <c r="P71" s="33" t="s">
        <v>130</v>
      </c>
      <c r="Q71" s="33" t="s">
        <v>130</v>
      </c>
      <c r="R71" s="33" t="s">
        <v>130</v>
      </c>
      <c r="S71" s="33" t="s">
        <v>130</v>
      </c>
      <c r="T71" s="33" t="s">
        <v>130</v>
      </c>
      <c r="U71" s="33" t="s">
        <v>130</v>
      </c>
      <c r="V71" s="33" t="s">
        <v>130</v>
      </c>
      <c r="W71" s="33" t="s">
        <v>130</v>
      </c>
      <c r="X71" s="33" t="s">
        <v>130</v>
      </c>
      <c r="Y71" s="33" t="s">
        <v>130</v>
      </c>
      <c r="Z71" s="33" t="s">
        <v>130</v>
      </c>
      <c r="AA71" s="148" t="s">
        <v>130</v>
      </c>
      <c r="AB71" s="6">
        <v>479</v>
      </c>
      <c r="AC71" s="6"/>
      <c r="AD71" s="35">
        <f t="shared" si="22"/>
        <v>356</v>
      </c>
      <c r="AE71" s="6">
        <v>817</v>
      </c>
      <c r="AF71" s="6"/>
      <c r="AG71" s="35">
        <f t="shared" si="23"/>
        <v>338</v>
      </c>
      <c r="AH71" s="35">
        <v>0</v>
      </c>
      <c r="AI71" s="35">
        <v>1113</v>
      </c>
      <c r="AJ71" s="35">
        <f t="shared" si="24"/>
        <v>296</v>
      </c>
      <c r="AK71" s="6">
        <v>298</v>
      </c>
      <c r="AL71" s="6"/>
      <c r="AM71" s="35">
        <f t="shared" si="25"/>
        <v>298</v>
      </c>
      <c r="AN71" s="6"/>
      <c r="AO71" s="6"/>
      <c r="AP71" s="34"/>
      <c r="AQ71" s="35">
        <v>634</v>
      </c>
      <c r="AR71" s="35"/>
      <c r="AS71" s="35">
        <f t="shared" si="26"/>
        <v>336</v>
      </c>
      <c r="AT71" s="6">
        <v>970</v>
      </c>
      <c r="AU71" s="6"/>
      <c r="AV71" s="35">
        <f t="shared" si="27"/>
        <v>336</v>
      </c>
      <c r="AW71" s="6">
        <v>111</v>
      </c>
      <c r="AX71" s="6">
        <v>1200</v>
      </c>
      <c r="AY71" s="35">
        <f t="shared" si="28"/>
        <v>341</v>
      </c>
      <c r="AZ71" s="35">
        <v>456</v>
      </c>
      <c r="BA71" s="35"/>
      <c r="BB71" s="35">
        <f t="shared" si="29"/>
        <v>345</v>
      </c>
      <c r="BC71" s="6">
        <v>797</v>
      </c>
      <c r="BD71" s="6"/>
      <c r="BE71" s="35">
        <f t="shared" si="30"/>
        <v>341</v>
      </c>
      <c r="BF71" s="6">
        <v>1138</v>
      </c>
      <c r="BG71" s="6"/>
      <c r="BH71" s="6">
        <f t="shared" si="31"/>
        <v>341</v>
      </c>
      <c r="BI71" s="6"/>
      <c r="BJ71" s="6"/>
      <c r="BK71" s="6"/>
      <c r="BL71" s="6">
        <v>286</v>
      </c>
      <c r="BM71" s="6">
        <v>1200</v>
      </c>
      <c r="BN71" s="6">
        <f t="shared" si="32"/>
        <v>348</v>
      </c>
      <c r="BO71" s="6">
        <v>625</v>
      </c>
      <c r="BP71" s="6"/>
      <c r="BQ71" s="35">
        <f t="shared" si="33"/>
        <v>339</v>
      </c>
      <c r="BR71" s="6">
        <v>970</v>
      </c>
      <c r="BS71" s="6"/>
      <c r="BT71" s="6">
        <f t="shared" si="34"/>
        <v>345</v>
      </c>
      <c r="BU71" s="6">
        <v>113</v>
      </c>
      <c r="BV71" s="6">
        <v>1200</v>
      </c>
      <c r="BW71" s="35">
        <f t="shared" si="35"/>
        <v>343</v>
      </c>
      <c r="BX71" s="6">
        <v>440</v>
      </c>
      <c r="BY71" s="6"/>
      <c r="BZ71" s="6">
        <f t="shared" si="36"/>
        <v>327</v>
      </c>
      <c r="CA71" s="6">
        <v>261</v>
      </c>
      <c r="CB71" s="6">
        <v>490</v>
      </c>
      <c r="CC71" s="6">
        <f t="shared" si="37"/>
        <v>311</v>
      </c>
      <c r="CD71" s="6"/>
      <c r="CE71" s="6"/>
      <c r="CF71" s="6"/>
      <c r="CG71" s="6">
        <v>589</v>
      </c>
      <c r="CH71" s="6"/>
      <c r="CI71" s="6">
        <f t="shared" si="38"/>
        <v>328</v>
      </c>
      <c r="CJ71" s="6">
        <v>264</v>
      </c>
      <c r="CK71" s="6">
        <v>643</v>
      </c>
      <c r="CL71" s="6">
        <f t="shared" si="39"/>
        <v>318</v>
      </c>
      <c r="CM71" s="6">
        <v>586</v>
      </c>
      <c r="CN71" s="6"/>
      <c r="CO71" s="6">
        <f t="shared" si="40"/>
        <v>322</v>
      </c>
      <c r="CP71" s="35">
        <v>917</v>
      </c>
      <c r="CQ71" s="6"/>
      <c r="CR71" s="6">
        <f t="shared" si="41"/>
        <v>331</v>
      </c>
      <c r="CS71" s="6">
        <v>0</v>
      </c>
      <c r="CT71" s="6">
        <v>1158</v>
      </c>
      <c r="CU71" s="6">
        <f t="shared" si="42"/>
        <v>241</v>
      </c>
      <c r="CV71" s="6">
        <v>171</v>
      </c>
      <c r="CW71" s="6"/>
      <c r="CX71" s="6">
        <f t="shared" si="43"/>
        <v>171</v>
      </c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</row>
    <row r="72" spans="1:117">
      <c r="A72" s="272">
        <v>68</v>
      </c>
      <c r="B72" s="6">
        <v>163</v>
      </c>
      <c r="C72" s="6">
        <v>1200</v>
      </c>
      <c r="D72" s="6">
        <v>325</v>
      </c>
      <c r="E72" s="33" t="s">
        <v>130</v>
      </c>
      <c r="F72" s="33" t="s">
        <v>130</v>
      </c>
      <c r="G72" s="33" t="s">
        <v>130</v>
      </c>
      <c r="H72" s="33" t="s">
        <v>130</v>
      </c>
      <c r="I72" s="33" t="s">
        <v>130</v>
      </c>
      <c r="J72" s="33" t="s">
        <v>130</v>
      </c>
      <c r="K72" s="33" t="s">
        <v>130</v>
      </c>
      <c r="L72" s="33" t="s">
        <v>130</v>
      </c>
      <c r="M72" s="33" t="s">
        <v>130</v>
      </c>
      <c r="N72" s="33" t="s">
        <v>130</v>
      </c>
      <c r="O72" s="148" t="s">
        <v>130</v>
      </c>
      <c r="P72" s="33" t="s">
        <v>130</v>
      </c>
      <c r="Q72" s="33" t="s">
        <v>130</v>
      </c>
      <c r="R72" s="33" t="s">
        <v>130</v>
      </c>
      <c r="S72" s="33" t="s">
        <v>130</v>
      </c>
      <c r="T72" s="33" t="s">
        <v>130</v>
      </c>
      <c r="U72" s="33" t="s">
        <v>130</v>
      </c>
      <c r="V72" s="33" t="s">
        <v>130</v>
      </c>
      <c r="W72" s="33" t="s">
        <v>130</v>
      </c>
      <c r="X72" s="33" t="s">
        <v>130</v>
      </c>
      <c r="Y72" s="33" t="s">
        <v>130</v>
      </c>
      <c r="Z72" s="33" t="s">
        <v>130</v>
      </c>
      <c r="AA72" s="33" t="s">
        <v>130</v>
      </c>
      <c r="AB72" s="6">
        <v>534</v>
      </c>
      <c r="AC72" s="6"/>
      <c r="AD72" s="35">
        <f t="shared" si="22"/>
        <v>371</v>
      </c>
      <c r="AE72" s="6">
        <v>882</v>
      </c>
      <c r="AF72" s="6"/>
      <c r="AG72" s="35">
        <f t="shared" si="23"/>
        <v>348</v>
      </c>
      <c r="AH72" s="35">
        <v>32</v>
      </c>
      <c r="AI72" s="35">
        <v>1200</v>
      </c>
      <c r="AJ72" s="35">
        <f t="shared" si="24"/>
        <v>350</v>
      </c>
      <c r="AK72" s="6">
        <v>361</v>
      </c>
      <c r="AL72" s="6"/>
      <c r="AM72" s="35">
        <f t="shared" si="25"/>
        <v>329</v>
      </c>
      <c r="AN72" s="6"/>
      <c r="AO72" s="6"/>
      <c r="AP72" s="34"/>
      <c r="AQ72" s="35">
        <v>711</v>
      </c>
      <c r="AR72" s="35"/>
      <c r="AS72" s="35">
        <f t="shared" si="26"/>
        <v>350</v>
      </c>
      <c r="AT72" s="6">
        <v>1049</v>
      </c>
      <c r="AU72" s="6"/>
      <c r="AV72" s="35">
        <f t="shared" si="27"/>
        <v>338</v>
      </c>
      <c r="AW72" s="6">
        <v>194</v>
      </c>
      <c r="AX72" s="6">
        <v>1200</v>
      </c>
      <c r="AY72" s="35">
        <f t="shared" si="28"/>
        <v>345</v>
      </c>
      <c r="AZ72" s="35">
        <v>540</v>
      </c>
      <c r="BA72" s="35"/>
      <c r="BB72" s="35">
        <f t="shared" si="29"/>
        <v>346</v>
      </c>
      <c r="BC72" s="6">
        <v>0</v>
      </c>
      <c r="BD72" s="6">
        <v>693</v>
      </c>
      <c r="BE72" s="35">
        <f t="shared" si="30"/>
        <v>153</v>
      </c>
      <c r="BF72" s="6">
        <v>303</v>
      </c>
      <c r="BG72" s="6"/>
      <c r="BH72" s="6">
        <f t="shared" si="31"/>
        <v>303</v>
      </c>
      <c r="BI72" s="6"/>
      <c r="BJ72" s="6"/>
      <c r="BK72" s="6"/>
      <c r="BL72" s="6">
        <v>656</v>
      </c>
      <c r="BM72" s="6"/>
      <c r="BN72" s="6">
        <f t="shared" si="32"/>
        <v>353</v>
      </c>
      <c r="BO72" s="6">
        <v>998</v>
      </c>
      <c r="BP72" s="6"/>
      <c r="BQ72" s="35">
        <f t="shared" si="33"/>
        <v>342</v>
      </c>
      <c r="BR72" s="6">
        <v>201</v>
      </c>
      <c r="BS72" s="6">
        <v>1135</v>
      </c>
      <c r="BT72" s="6">
        <f t="shared" si="34"/>
        <v>338</v>
      </c>
      <c r="BU72" s="6">
        <v>548</v>
      </c>
      <c r="BV72" s="6"/>
      <c r="BW72" s="35">
        <f t="shared" si="35"/>
        <v>347</v>
      </c>
      <c r="BX72" s="6">
        <v>896</v>
      </c>
      <c r="BY72" s="6"/>
      <c r="BZ72" s="6">
        <f t="shared" si="36"/>
        <v>348</v>
      </c>
      <c r="CA72" s="6">
        <v>25</v>
      </c>
      <c r="CB72" s="6">
        <v>1200</v>
      </c>
      <c r="CC72" s="6">
        <f t="shared" si="37"/>
        <v>329</v>
      </c>
      <c r="CD72" s="6"/>
      <c r="CE72" s="6"/>
      <c r="CF72" s="6"/>
      <c r="CG72" s="6">
        <v>374</v>
      </c>
      <c r="CH72" s="6"/>
      <c r="CI72" s="6">
        <f t="shared" si="38"/>
        <v>349</v>
      </c>
      <c r="CJ72" s="6">
        <v>713</v>
      </c>
      <c r="CK72" s="6"/>
      <c r="CL72" s="6">
        <f t="shared" si="39"/>
        <v>339</v>
      </c>
      <c r="CM72" s="6">
        <v>1054</v>
      </c>
      <c r="CN72" s="6"/>
      <c r="CO72" s="6">
        <f t="shared" si="40"/>
        <v>341</v>
      </c>
      <c r="CP72" s="6">
        <v>194</v>
      </c>
      <c r="CQ72" s="6">
        <v>1200</v>
      </c>
      <c r="CR72" s="6">
        <f t="shared" si="41"/>
        <v>340</v>
      </c>
      <c r="CS72" s="6">
        <v>536</v>
      </c>
      <c r="CT72" s="6"/>
      <c r="CU72" s="6">
        <f t="shared" si="42"/>
        <v>342</v>
      </c>
      <c r="CV72" s="6">
        <v>723</v>
      </c>
      <c r="CW72" s="6"/>
      <c r="CX72" s="6">
        <f t="shared" si="43"/>
        <v>187</v>
      </c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</row>
    <row r="73" spans="1:117">
      <c r="A73" s="6">
        <v>69</v>
      </c>
      <c r="B73" s="6">
        <v>934</v>
      </c>
      <c r="C73" s="6"/>
      <c r="D73" s="6">
        <v>323</v>
      </c>
      <c r="E73" s="33" t="s">
        <v>130</v>
      </c>
      <c r="F73" s="33" t="s">
        <v>130</v>
      </c>
      <c r="G73" s="33" t="s">
        <v>130</v>
      </c>
      <c r="H73" s="33" t="s">
        <v>130</v>
      </c>
      <c r="I73" s="33" t="s">
        <v>130</v>
      </c>
      <c r="J73" s="33" t="s">
        <v>130</v>
      </c>
      <c r="K73" s="148" t="s">
        <v>130</v>
      </c>
      <c r="L73" s="33" t="s">
        <v>130</v>
      </c>
      <c r="M73" s="33" t="s">
        <v>130</v>
      </c>
      <c r="N73" s="33" t="s">
        <v>130</v>
      </c>
      <c r="O73" s="33" t="s">
        <v>130</v>
      </c>
      <c r="P73" s="33" t="s">
        <v>130</v>
      </c>
      <c r="Q73" s="33" t="s">
        <v>130</v>
      </c>
      <c r="R73" s="33" t="s">
        <v>130</v>
      </c>
      <c r="S73" s="33" t="s">
        <v>130</v>
      </c>
      <c r="T73" s="33" t="s">
        <v>130</v>
      </c>
      <c r="U73" s="33" t="s">
        <v>130</v>
      </c>
      <c r="V73" s="33" t="s">
        <v>130</v>
      </c>
      <c r="W73" s="33" t="s">
        <v>130</v>
      </c>
      <c r="X73" s="33" t="s">
        <v>130</v>
      </c>
      <c r="Y73" s="33" t="s">
        <v>130</v>
      </c>
      <c r="Z73" s="33" t="s">
        <v>130</v>
      </c>
      <c r="AA73" s="33" t="s">
        <v>130</v>
      </c>
      <c r="AB73" s="6">
        <v>100</v>
      </c>
      <c r="AC73" s="6">
        <v>1200</v>
      </c>
      <c r="AD73" s="35">
        <f t="shared" si="22"/>
        <v>366</v>
      </c>
      <c r="AE73" s="6">
        <v>445</v>
      </c>
      <c r="AF73" s="6"/>
      <c r="AG73" s="35">
        <f t="shared" si="23"/>
        <v>345</v>
      </c>
      <c r="AH73" s="35">
        <v>795</v>
      </c>
      <c r="AI73" s="35"/>
      <c r="AJ73" s="35">
        <f t="shared" si="24"/>
        <v>350</v>
      </c>
      <c r="AK73" s="6">
        <v>1123</v>
      </c>
      <c r="AL73" s="6"/>
      <c r="AM73" s="35">
        <f t="shared" si="25"/>
        <v>328</v>
      </c>
      <c r="AN73" s="6"/>
      <c r="AO73" s="6"/>
      <c r="AP73" s="34"/>
      <c r="AQ73" s="35">
        <v>0</v>
      </c>
      <c r="AR73" s="35">
        <v>1255</v>
      </c>
      <c r="AS73" s="35">
        <f t="shared" si="26"/>
        <v>132</v>
      </c>
      <c r="AT73" s="6">
        <v>334</v>
      </c>
      <c r="AU73" s="6"/>
      <c r="AV73" s="35">
        <f t="shared" si="27"/>
        <v>334</v>
      </c>
      <c r="AW73" s="6">
        <v>678</v>
      </c>
      <c r="AX73" s="6"/>
      <c r="AY73" s="35">
        <f t="shared" si="28"/>
        <v>344</v>
      </c>
      <c r="AZ73" s="6">
        <v>1012</v>
      </c>
      <c r="BA73" s="6"/>
      <c r="BB73" s="35">
        <f t="shared" si="29"/>
        <v>334</v>
      </c>
      <c r="BC73" s="6">
        <v>138</v>
      </c>
      <c r="BD73" s="6">
        <v>1222</v>
      </c>
      <c r="BE73" s="35">
        <f t="shared" si="30"/>
        <v>348</v>
      </c>
      <c r="BF73" s="6">
        <v>469</v>
      </c>
      <c r="BG73" s="6"/>
      <c r="BH73" s="6">
        <f t="shared" si="31"/>
        <v>331</v>
      </c>
      <c r="BI73" s="6"/>
      <c r="BJ73" s="6"/>
      <c r="BK73" s="6"/>
      <c r="BL73" s="6">
        <v>812</v>
      </c>
      <c r="BM73" s="6"/>
      <c r="BN73" s="6">
        <f t="shared" si="32"/>
        <v>343</v>
      </c>
      <c r="BO73" s="6">
        <v>1150</v>
      </c>
      <c r="BP73" s="6"/>
      <c r="BQ73" s="35">
        <f t="shared" si="33"/>
        <v>338</v>
      </c>
      <c r="BR73" s="6">
        <v>300</v>
      </c>
      <c r="BS73" s="6">
        <v>1200</v>
      </c>
      <c r="BT73" s="6">
        <f t="shared" si="34"/>
        <v>350</v>
      </c>
      <c r="BU73" s="6">
        <v>650</v>
      </c>
      <c r="BV73" s="6"/>
      <c r="BW73" s="35">
        <f t="shared" si="35"/>
        <v>350</v>
      </c>
      <c r="BX73" s="6">
        <v>997</v>
      </c>
      <c r="BY73" s="6"/>
      <c r="BZ73" s="6">
        <f t="shared" si="36"/>
        <v>347</v>
      </c>
      <c r="CA73" s="6">
        <v>127</v>
      </c>
      <c r="CB73" s="6">
        <v>1197</v>
      </c>
      <c r="CC73" s="6">
        <f t="shared" si="37"/>
        <v>327</v>
      </c>
      <c r="CD73" s="6"/>
      <c r="CE73" s="6"/>
      <c r="CF73" s="6"/>
      <c r="CG73" s="6">
        <v>478</v>
      </c>
      <c r="CH73" s="6"/>
      <c r="CI73" s="6">
        <f t="shared" si="38"/>
        <v>351</v>
      </c>
      <c r="CJ73" s="6">
        <v>819</v>
      </c>
      <c r="CK73" s="6"/>
      <c r="CL73" s="6">
        <f t="shared" si="39"/>
        <v>341</v>
      </c>
      <c r="CM73" s="6">
        <v>1161</v>
      </c>
      <c r="CN73" s="6"/>
      <c r="CO73" s="6">
        <f t="shared" si="40"/>
        <v>342</v>
      </c>
      <c r="CP73" s="35">
        <v>307</v>
      </c>
      <c r="CQ73" s="6">
        <v>1200</v>
      </c>
      <c r="CR73" s="6">
        <f t="shared" si="41"/>
        <v>346</v>
      </c>
      <c r="CS73" s="6">
        <v>654</v>
      </c>
      <c r="CT73" s="6"/>
      <c r="CU73" s="6">
        <f t="shared" si="42"/>
        <v>347</v>
      </c>
      <c r="CV73" s="6">
        <v>841</v>
      </c>
      <c r="CW73" s="35"/>
      <c r="CX73" s="6">
        <f t="shared" si="43"/>
        <v>187</v>
      </c>
      <c r="CY73" s="6"/>
      <c r="CZ73" s="6"/>
      <c r="DA73" s="6"/>
      <c r="DB73" s="6"/>
      <c r="DC73" s="35"/>
      <c r="DD73" s="6"/>
      <c r="DE73" s="6"/>
      <c r="DF73" s="6"/>
      <c r="DG73" s="6"/>
      <c r="DH73" s="6"/>
      <c r="DI73" s="6"/>
      <c r="DJ73" s="6"/>
      <c r="DK73" s="6"/>
      <c r="DL73" s="6"/>
      <c r="DM73" s="6"/>
    </row>
    <row r="74" spans="1:117">
      <c r="A74" s="272">
        <v>70</v>
      </c>
      <c r="B74" s="6">
        <v>981</v>
      </c>
      <c r="C74" s="6"/>
      <c r="D74" s="6">
        <v>323</v>
      </c>
      <c r="E74" s="33" t="s">
        <v>130</v>
      </c>
      <c r="F74" s="33" t="s">
        <v>130</v>
      </c>
      <c r="G74" s="33" t="s">
        <v>130</v>
      </c>
      <c r="H74" s="33" t="s">
        <v>130</v>
      </c>
      <c r="I74" s="33" t="s">
        <v>130</v>
      </c>
      <c r="J74" s="33" t="s">
        <v>130</v>
      </c>
      <c r="K74" s="33" t="s">
        <v>130</v>
      </c>
      <c r="L74" s="33" t="s">
        <v>130</v>
      </c>
      <c r="M74" s="33" t="s">
        <v>130</v>
      </c>
      <c r="N74" s="33" t="s">
        <v>130</v>
      </c>
      <c r="O74" s="33" t="s">
        <v>130</v>
      </c>
      <c r="P74" s="33" t="s">
        <v>130</v>
      </c>
      <c r="Q74" s="33" t="s">
        <v>130</v>
      </c>
      <c r="R74" s="33" t="s">
        <v>130</v>
      </c>
      <c r="S74" s="33" t="s">
        <v>130</v>
      </c>
      <c r="T74" s="148" t="s">
        <v>130</v>
      </c>
      <c r="U74" s="33" t="s">
        <v>130</v>
      </c>
      <c r="V74" s="33" t="s">
        <v>130</v>
      </c>
      <c r="W74" s="33" t="s">
        <v>130</v>
      </c>
      <c r="X74" s="33" t="s">
        <v>130</v>
      </c>
      <c r="Y74" s="33" t="s">
        <v>130</v>
      </c>
      <c r="Z74" s="33" t="s">
        <v>130</v>
      </c>
      <c r="AA74" s="33" t="s">
        <v>130</v>
      </c>
      <c r="AB74" s="6">
        <v>215</v>
      </c>
      <c r="AC74" s="6">
        <v>1135</v>
      </c>
      <c r="AD74" s="35">
        <f t="shared" si="22"/>
        <v>369</v>
      </c>
      <c r="AE74" s="6">
        <v>555</v>
      </c>
      <c r="AF74" s="6"/>
      <c r="AG74" s="35">
        <f t="shared" si="23"/>
        <v>340</v>
      </c>
      <c r="AH74" s="35">
        <v>907</v>
      </c>
      <c r="AI74" s="35"/>
      <c r="AJ74" s="35">
        <f t="shared" si="24"/>
        <v>352</v>
      </c>
      <c r="AK74" s="6">
        <v>35</v>
      </c>
      <c r="AL74" s="6">
        <v>1200</v>
      </c>
      <c r="AM74" s="35">
        <f t="shared" si="25"/>
        <v>328</v>
      </c>
      <c r="AN74" s="6"/>
      <c r="AO74" s="6"/>
      <c r="AP74" s="34"/>
      <c r="AQ74" s="35">
        <v>385</v>
      </c>
      <c r="AR74" s="35"/>
      <c r="AS74" s="35">
        <f t="shared" si="26"/>
        <v>350</v>
      </c>
      <c r="AT74" s="6">
        <v>729</v>
      </c>
      <c r="AU74" s="6"/>
      <c r="AV74" s="35">
        <f t="shared" si="27"/>
        <v>344</v>
      </c>
      <c r="AW74" s="6">
        <v>1075</v>
      </c>
      <c r="AX74" s="6"/>
      <c r="AY74" s="35">
        <f t="shared" si="28"/>
        <v>346</v>
      </c>
      <c r="AZ74" s="35">
        <v>219</v>
      </c>
      <c r="BA74" s="35">
        <v>1200</v>
      </c>
      <c r="BB74" s="35">
        <f t="shared" si="29"/>
        <v>344</v>
      </c>
      <c r="BC74" s="6">
        <v>558</v>
      </c>
      <c r="BD74" s="6"/>
      <c r="BE74" s="35">
        <f t="shared" si="30"/>
        <v>339</v>
      </c>
      <c r="BF74" s="6">
        <v>894</v>
      </c>
      <c r="BG74" s="6"/>
      <c r="BH74" s="6">
        <f t="shared" si="31"/>
        <v>336</v>
      </c>
      <c r="BI74" s="6"/>
      <c r="BJ74" s="6"/>
      <c r="BK74" s="6"/>
      <c r="BL74" s="6">
        <v>48</v>
      </c>
      <c r="BM74" s="6">
        <v>1200</v>
      </c>
      <c r="BN74" s="6">
        <f t="shared" si="32"/>
        <v>354</v>
      </c>
      <c r="BO74" s="6">
        <v>388</v>
      </c>
      <c r="BP74" s="6"/>
      <c r="BQ74" s="35">
        <f t="shared" si="33"/>
        <v>340</v>
      </c>
      <c r="BR74" s="6">
        <v>738</v>
      </c>
      <c r="BS74" s="6"/>
      <c r="BT74" s="6">
        <f t="shared" si="34"/>
        <v>350</v>
      </c>
      <c r="BU74" s="6">
        <v>1087</v>
      </c>
      <c r="BV74" s="6"/>
      <c r="BW74" s="35">
        <f t="shared" si="35"/>
        <v>349</v>
      </c>
      <c r="BX74" s="6">
        <v>258</v>
      </c>
      <c r="BY74" s="6">
        <v>1161</v>
      </c>
      <c r="BZ74" s="6">
        <f t="shared" si="36"/>
        <v>332</v>
      </c>
      <c r="CA74" s="6">
        <v>588</v>
      </c>
      <c r="CB74" s="6"/>
      <c r="CC74" s="6">
        <f t="shared" si="37"/>
        <v>330</v>
      </c>
      <c r="CD74" s="6"/>
      <c r="CE74" s="6"/>
      <c r="CF74" s="6"/>
      <c r="CG74" s="6">
        <v>937</v>
      </c>
      <c r="CH74" s="6"/>
      <c r="CI74" s="6">
        <f t="shared" si="38"/>
        <v>349</v>
      </c>
      <c r="CJ74" s="6">
        <v>74</v>
      </c>
      <c r="CK74" s="6">
        <v>1200</v>
      </c>
      <c r="CL74" s="6">
        <f t="shared" si="39"/>
        <v>337</v>
      </c>
      <c r="CM74" s="6">
        <v>422</v>
      </c>
      <c r="CN74" s="6"/>
      <c r="CO74" s="6">
        <f t="shared" si="40"/>
        <v>348</v>
      </c>
      <c r="CP74" s="6">
        <v>766</v>
      </c>
      <c r="CQ74" s="6"/>
      <c r="CR74" s="6">
        <f t="shared" si="41"/>
        <v>344</v>
      </c>
      <c r="CS74" s="6">
        <v>1114</v>
      </c>
      <c r="CT74" s="6"/>
      <c r="CU74" s="6">
        <f t="shared" si="42"/>
        <v>348</v>
      </c>
      <c r="CV74" s="35">
        <v>100</v>
      </c>
      <c r="CW74" s="6">
        <v>1200</v>
      </c>
      <c r="CX74" s="6">
        <f t="shared" si="43"/>
        <v>186</v>
      </c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</row>
    <row r="75" spans="1:117">
      <c r="A75" s="272">
        <v>71</v>
      </c>
      <c r="B75" s="6">
        <v>213</v>
      </c>
      <c r="C75" s="6">
        <v>1283</v>
      </c>
      <c r="D75" s="6">
        <v>286</v>
      </c>
      <c r="E75" s="148" t="s">
        <v>130</v>
      </c>
      <c r="F75" s="33" t="s">
        <v>130</v>
      </c>
      <c r="G75" s="33" t="s">
        <v>130</v>
      </c>
      <c r="H75" s="33" t="s">
        <v>130</v>
      </c>
      <c r="I75" s="33" t="s">
        <v>130</v>
      </c>
      <c r="J75" s="33" t="s">
        <v>130</v>
      </c>
      <c r="K75" s="33" t="s">
        <v>130</v>
      </c>
      <c r="L75" s="33" t="s">
        <v>130</v>
      </c>
      <c r="M75" s="33" t="s">
        <v>130</v>
      </c>
      <c r="N75" s="33" t="s">
        <v>130</v>
      </c>
      <c r="O75" s="33" t="s">
        <v>130</v>
      </c>
      <c r="P75" s="33" t="s">
        <v>130</v>
      </c>
      <c r="Q75" s="33" t="s">
        <v>130</v>
      </c>
      <c r="R75" s="33" t="s">
        <v>130</v>
      </c>
      <c r="S75" s="33" t="s">
        <v>130</v>
      </c>
      <c r="T75" s="33" t="s">
        <v>130</v>
      </c>
      <c r="U75" s="33" t="s">
        <v>130</v>
      </c>
      <c r="V75" s="33" t="s">
        <v>130</v>
      </c>
      <c r="W75" s="148" t="s">
        <v>130</v>
      </c>
      <c r="X75" s="33" t="s">
        <v>130</v>
      </c>
      <c r="Y75" s="33" t="s">
        <v>130</v>
      </c>
      <c r="Z75" s="33" t="s">
        <v>130</v>
      </c>
      <c r="AA75" s="33" t="s">
        <v>130</v>
      </c>
      <c r="AB75" s="6">
        <v>578</v>
      </c>
      <c r="AC75" s="6"/>
      <c r="AD75" s="35">
        <f t="shared" si="22"/>
        <v>365</v>
      </c>
      <c r="AE75" s="6">
        <v>924</v>
      </c>
      <c r="AF75" s="6"/>
      <c r="AG75" s="35">
        <f t="shared" si="23"/>
        <v>346</v>
      </c>
      <c r="AH75" s="35">
        <v>70</v>
      </c>
      <c r="AI75" s="35">
        <v>1200</v>
      </c>
      <c r="AJ75" s="35">
        <f t="shared" si="24"/>
        <v>346</v>
      </c>
      <c r="AK75" s="6">
        <v>394</v>
      </c>
      <c r="AL75" s="6"/>
      <c r="AM75" s="35">
        <f t="shared" si="25"/>
        <v>324</v>
      </c>
      <c r="AN75" s="6"/>
      <c r="AO75" s="6"/>
      <c r="AP75" s="34"/>
      <c r="AQ75" s="35">
        <v>736</v>
      </c>
      <c r="AR75" s="35"/>
      <c r="AS75" s="35">
        <f t="shared" si="26"/>
        <v>342</v>
      </c>
      <c r="AT75" s="6">
        <v>1076</v>
      </c>
      <c r="AU75" s="6"/>
      <c r="AV75" s="35">
        <f t="shared" si="27"/>
        <v>340</v>
      </c>
      <c r="AW75" s="6">
        <v>220</v>
      </c>
      <c r="AX75" s="6">
        <v>1200</v>
      </c>
      <c r="AY75" s="35">
        <f t="shared" si="28"/>
        <v>344</v>
      </c>
      <c r="AZ75" s="6">
        <v>563</v>
      </c>
      <c r="BA75" s="6"/>
      <c r="BB75" s="35">
        <f t="shared" si="29"/>
        <v>343</v>
      </c>
      <c r="BC75" s="35">
        <v>908</v>
      </c>
      <c r="BD75" s="6"/>
      <c r="BE75" s="35">
        <f t="shared" si="30"/>
        <v>345</v>
      </c>
      <c r="BF75" s="6">
        <v>56</v>
      </c>
      <c r="BG75" s="6">
        <v>1190</v>
      </c>
      <c r="BH75" s="6">
        <f t="shared" si="31"/>
        <v>338</v>
      </c>
      <c r="BI75" s="6"/>
      <c r="BJ75" s="6"/>
      <c r="BK75" s="6"/>
      <c r="BL75" s="6">
        <v>402</v>
      </c>
      <c r="BM75" s="6"/>
      <c r="BN75" s="6">
        <f t="shared" si="32"/>
        <v>346</v>
      </c>
      <c r="BO75" s="6">
        <v>738</v>
      </c>
      <c r="BP75" s="6"/>
      <c r="BQ75" s="35">
        <f t="shared" si="33"/>
        <v>336</v>
      </c>
      <c r="BR75" s="6">
        <v>1080</v>
      </c>
      <c r="BS75" s="6"/>
      <c r="BT75" s="6">
        <f t="shared" si="34"/>
        <v>342</v>
      </c>
      <c r="BU75" s="6">
        <v>223</v>
      </c>
      <c r="BV75" s="6">
        <v>1200</v>
      </c>
      <c r="BW75" s="35">
        <f t="shared" si="35"/>
        <v>343</v>
      </c>
      <c r="BX75" s="6">
        <v>567</v>
      </c>
      <c r="BY75" s="6"/>
      <c r="BZ75" s="6">
        <f t="shared" si="36"/>
        <v>344</v>
      </c>
      <c r="CA75" s="6">
        <v>894</v>
      </c>
      <c r="CB75" s="6"/>
      <c r="CC75" s="6">
        <f t="shared" si="37"/>
        <v>327</v>
      </c>
      <c r="CD75" s="6"/>
      <c r="CE75" s="6"/>
      <c r="CF75" s="6"/>
      <c r="CG75" s="6">
        <v>6</v>
      </c>
      <c r="CH75" s="6">
        <v>1125</v>
      </c>
      <c r="CI75" s="6">
        <f t="shared" si="38"/>
        <v>237</v>
      </c>
      <c r="CJ75" s="6">
        <v>332</v>
      </c>
      <c r="CK75" s="6"/>
      <c r="CL75" s="6">
        <f t="shared" si="39"/>
        <v>326</v>
      </c>
      <c r="CM75" s="6">
        <v>665</v>
      </c>
      <c r="CN75" s="6"/>
      <c r="CO75" s="6">
        <f t="shared" si="40"/>
        <v>333</v>
      </c>
      <c r="CP75" s="6">
        <v>1006</v>
      </c>
      <c r="CQ75" s="6"/>
      <c r="CR75" s="6">
        <f t="shared" si="41"/>
        <v>341</v>
      </c>
      <c r="CS75" s="6">
        <v>307</v>
      </c>
      <c r="CT75" s="6">
        <v>1037</v>
      </c>
      <c r="CU75" s="6">
        <f t="shared" si="42"/>
        <v>338</v>
      </c>
      <c r="CV75" s="6">
        <v>492</v>
      </c>
      <c r="CW75" s="6"/>
      <c r="CX75" s="6">
        <f t="shared" si="43"/>
        <v>185</v>
      </c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</row>
    <row r="76" spans="1:117">
      <c r="A76" s="272">
        <v>72</v>
      </c>
      <c r="B76" s="6">
        <v>463</v>
      </c>
      <c r="C76" s="6"/>
      <c r="D76" s="6">
        <v>322</v>
      </c>
      <c r="E76" s="33" t="s">
        <v>130</v>
      </c>
      <c r="F76" s="33" t="s">
        <v>130</v>
      </c>
      <c r="G76" s="33" t="s">
        <v>130</v>
      </c>
      <c r="H76" s="33" t="s">
        <v>130</v>
      </c>
      <c r="I76" s="33" t="s">
        <v>130</v>
      </c>
      <c r="J76" s="33" t="s">
        <v>130</v>
      </c>
      <c r="K76" s="33" t="s">
        <v>130</v>
      </c>
      <c r="L76" s="33" t="s">
        <v>130</v>
      </c>
      <c r="M76" s="33" t="s">
        <v>130</v>
      </c>
      <c r="N76" s="33" t="s">
        <v>130</v>
      </c>
      <c r="O76" s="33" t="s">
        <v>130</v>
      </c>
      <c r="P76" s="33" t="s">
        <v>130</v>
      </c>
      <c r="Q76" s="33" t="s">
        <v>130</v>
      </c>
      <c r="R76" s="33" t="s">
        <v>130</v>
      </c>
      <c r="S76" s="148" t="s">
        <v>130</v>
      </c>
      <c r="T76" s="33" t="s">
        <v>130</v>
      </c>
      <c r="U76" s="33" t="s">
        <v>130</v>
      </c>
      <c r="V76" s="33" t="s">
        <v>130</v>
      </c>
      <c r="W76" s="33" t="s">
        <v>130</v>
      </c>
      <c r="X76" s="33" t="s">
        <v>130</v>
      </c>
      <c r="Y76" s="33" t="s">
        <v>130</v>
      </c>
      <c r="Z76" s="33" t="s">
        <v>130</v>
      </c>
      <c r="AA76" s="33" t="s">
        <v>130</v>
      </c>
      <c r="AB76" s="6">
        <v>800</v>
      </c>
      <c r="AC76" s="6"/>
      <c r="AD76" s="35">
        <f t="shared" si="22"/>
        <v>337</v>
      </c>
      <c r="AE76" s="6">
        <v>1141</v>
      </c>
      <c r="AF76" s="6"/>
      <c r="AG76" s="35">
        <f t="shared" si="23"/>
        <v>341</v>
      </c>
      <c r="AH76" s="35">
        <v>284</v>
      </c>
      <c r="AI76" s="35">
        <v>1200</v>
      </c>
      <c r="AJ76" s="35">
        <f t="shared" si="24"/>
        <v>343</v>
      </c>
      <c r="AK76" s="6">
        <v>610</v>
      </c>
      <c r="AL76" s="6"/>
      <c r="AM76" s="35">
        <f t="shared" si="25"/>
        <v>326</v>
      </c>
      <c r="AN76" s="6"/>
      <c r="AO76" s="6"/>
      <c r="AP76" s="34"/>
      <c r="AQ76" s="35">
        <v>951</v>
      </c>
      <c r="AR76" s="35"/>
      <c r="AS76" s="35">
        <f t="shared" si="26"/>
        <v>341</v>
      </c>
      <c r="AT76" s="6">
        <v>96</v>
      </c>
      <c r="AU76" s="6">
        <v>1200</v>
      </c>
      <c r="AV76" s="35">
        <f t="shared" si="27"/>
        <v>345</v>
      </c>
      <c r="AW76" s="6">
        <v>442</v>
      </c>
      <c r="AX76" s="6"/>
      <c r="AY76" s="35">
        <f t="shared" si="28"/>
        <v>346</v>
      </c>
      <c r="AZ76" s="6">
        <v>786</v>
      </c>
      <c r="BA76" s="6"/>
      <c r="BB76" s="35">
        <f t="shared" si="29"/>
        <v>344</v>
      </c>
      <c r="BC76" s="6">
        <v>1134</v>
      </c>
      <c r="BD76" s="6"/>
      <c r="BE76" s="35">
        <f t="shared" si="30"/>
        <v>348</v>
      </c>
      <c r="BF76" s="6">
        <v>270</v>
      </c>
      <c r="BG76" s="6">
        <v>1200</v>
      </c>
      <c r="BH76" s="6">
        <f t="shared" si="31"/>
        <v>336</v>
      </c>
      <c r="BI76" s="6"/>
      <c r="BJ76" s="6"/>
      <c r="BK76" s="6"/>
      <c r="BL76" s="6">
        <v>622</v>
      </c>
      <c r="BM76" s="6"/>
      <c r="BN76" s="6">
        <f t="shared" si="32"/>
        <v>352</v>
      </c>
      <c r="BO76" s="6">
        <v>962</v>
      </c>
      <c r="BP76" s="6"/>
      <c r="BQ76" s="35">
        <f t="shared" si="33"/>
        <v>340</v>
      </c>
      <c r="BR76" s="35">
        <v>0</v>
      </c>
      <c r="BS76" s="6">
        <v>1114</v>
      </c>
      <c r="BT76" s="6">
        <f t="shared" si="34"/>
        <v>152</v>
      </c>
      <c r="BU76" s="6">
        <v>319</v>
      </c>
      <c r="BV76" s="6"/>
      <c r="BW76" s="35">
        <f t="shared" si="35"/>
        <v>319</v>
      </c>
      <c r="BX76" s="6">
        <v>657</v>
      </c>
      <c r="BY76" s="6"/>
      <c r="BZ76" s="6">
        <f t="shared" si="36"/>
        <v>338</v>
      </c>
      <c r="CA76" s="6">
        <v>985</v>
      </c>
      <c r="CB76" s="6"/>
      <c r="CC76" s="6">
        <f t="shared" si="37"/>
        <v>328</v>
      </c>
      <c r="CD76" s="6"/>
      <c r="CE76" s="6"/>
      <c r="CF76" s="6"/>
      <c r="CG76" s="6">
        <v>135</v>
      </c>
      <c r="CH76" s="6">
        <v>1200</v>
      </c>
      <c r="CI76" s="6">
        <f t="shared" si="38"/>
        <v>350</v>
      </c>
      <c r="CJ76" s="6">
        <v>482</v>
      </c>
      <c r="CK76" s="6"/>
      <c r="CL76" s="6">
        <f t="shared" si="39"/>
        <v>347</v>
      </c>
      <c r="CM76" s="6">
        <v>824</v>
      </c>
      <c r="CN76" s="6"/>
      <c r="CO76" s="6">
        <f t="shared" si="40"/>
        <v>342</v>
      </c>
      <c r="CP76" s="6">
        <v>1169</v>
      </c>
      <c r="CQ76" s="6"/>
      <c r="CR76" s="6">
        <f t="shared" si="41"/>
        <v>345</v>
      </c>
      <c r="CS76" s="6">
        <v>241</v>
      </c>
      <c r="CT76" s="6">
        <v>1275</v>
      </c>
      <c r="CU76" s="6">
        <f t="shared" si="42"/>
        <v>347</v>
      </c>
      <c r="CV76" s="6">
        <v>426</v>
      </c>
      <c r="CW76" s="6"/>
      <c r="CX76" s="6">
        <f t="shared" si="43"/>
        <v>185</v>
      </c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</row>
    <row r="77" spans="1:117">
      <c r="A77" s="6">
        <v>73</v>
      </c>
      <c r="B77" s="6">
        <v>267</v>
      </c>
      <c r="C77" s="6">
        <v>1560</v>
      </c>
      <c r="D77" s="6">
        <v>356</v>
      </c>
      <c r="E77" s="33" t="s">
        <v>37</v>
      </c>
      <c r="F77" s="33" t="s">
        <v>37</v>
      </c>
      <c r="G77" s="33" t="s">
        <v>37</v>
      </c>
      <c r="H77" s="33" t="s">
        <v>37</v>
      </c>
      <c r="I77" s="33" t="s">
        <v>37</v>
      </c>
      <c r="J77" s="33" t="s">
        <v>37</v>
      </c>
      <c r="K77" s="33" t="s">
        <v>37</v>
      </c>
      <c r="L77" s="33" t="s">
        <v>37</v>
      </c>
      <c r="M77" s="33" t="s">
        <v>37</v>
      </c>
      <c r="N77" s="33" t="s">
        <v>37</v>
      </c>
      <c r="O77" s="33" t="s">
        <v>37</v>
      </c>
      <c r="P77" s="33" t="s">
        <v>37</v>
      </c>
      <c r="Q77" s="33" t="s">
        <v>37</v>
      </c>
      <c r="R77" s="33" t="s">
        <v>37</v>
      </c>
      <c r="S77" s="33" t="s">
        <v>37</v>
      </c>
      <c r="T77" s="33" t="s">
        <v>37</v>
      </c>
      <c r="U77" s="33" t="s">
        <v>37</v>
      </c>
      <c r="V77" s="148" t="s">
        <v>307</v>
      </c>
      <c r="W77" s="33" t="s">
        <v>307</v>
      </c>
      <c r="X77" s="33" t="s">
        <v>307</v>
      </c>
      <c r="Y77" s="33" t="s">
        <v>307</v>
      </c>
      <c r="Z77" s="33" t="s">
        <v>307</v>
      </c>
      <c r="AA77" s="33" t="s">
        <v>307</v>
      </c>
      <c r="AB77" s="6">
        <v>679</v>
      </c>
      <c r="AC77" s="6"/>
      <c r="AD77" s="35">
        <f t="shared" si="22"/>
        <v>412</v>
      </c>
      <c r="AE77" s="6">
        <v>1064</v>
      </c>
      <c r="AF77" s="6"/>
      <c r="AG77" s="35">
        <f t="shared" si="23"/>
        <v>385</v>
      </c>
      <c r="AH77" s="35">
        <v>1453</v>
      </c>
      <c r="AI77" s="35"/>
      <c r="AJ77" s="35">
        <f t="shared" si="24"/>
        <v>389</v>
      </c>
      <c r="AK77" s="6">
        <v>259</v>
      </c>
      <c r="AL77" s="6">
        <v>1557</v>
      </c>
      <c r="AM77" s="35">
        <f t="shared" si="25"/>
        <v>363</v>
      </c>
      <c r="AN77" s="6"/>
      <c r="AO77" s="6"/>
      <c r="AP77" s="34"/>
      <c r="AQ77" s="35">
        <v>648</v>
      </c>
      <c r="AR77" s="35"/>
      <c r="AS77" s="35">
        <f t="shared" si="26"/>
        <v>389</v>
      </c>
      <c r="AT77" s="6">
        <v>1024</v>
      </c>
      <c r="AU77" s="6"/>
      <c r="AV77" s="35">
        <f t="shared" si="27"/>
        <v>376</v>
      </c>
      <c r="AW77" s="6">
        <v>1400</v>
      </c>
      <c r="AX77" s="6"/>
      <c r="AY77" s="35">
        <f t="shared" si="28"/>
        <v>376</v>
      </c>
      <c r="AZ77" s="35">
        <v>227</v>
      </c>
      <c r="BA77" s="35">
        <v>1560</v>
      </c>
      <c r="BB77" s="35">
        <f t="shared" si="29"/>
        <v>387</v>
      </c>
      <c r="BC77" s="6">
        <v>610</v>
      </c>
      <c r="BD77" s="6"/>
      <c r="BE77" s="35">
        <f t="shared" si="30"/>
        <v>383</v>
      </c>
      <c r="BF77" s="35">
        <v>985</v>
      </c>
      <c r="BG77" s="6"/>
      <c r="BH77" s="6">
        <f t="shared" si="31"/>
        <v>375</v>
      </c>
      <c r="BI77" s="6"/>
      <c r="BJ77" s="6"/>
      <c r="BK77" s="6"/>
      <c r="BL77" s="6">
        <v>1385</v>
      </c>
      <c r="BM77" s="6"/>
      <c r="BN77" s="6">
        <f t="shared" si="32"/>
        <v>400</v>
      </c>
      <c r="BO77" s="6">
        <v>211</v>
      </c>
      <c r="BP77" s="6">
        <v>1560</v>
      </c>
      <c r="BQ77" s="35">
        <f t="shared" si="33"/>
        <v>386</v>
      </c>
      <c r="BR77" s="6">
        <v>585</v>
      </c>
      <c r="BS77" s="6"/>
      <c r="BT77" s="6">
        <f t="shared" si="34"/>
        <v>374</v>
      </c>
      <c r="BU77" s="6">
        <v>973</v>
      </c>
      <c r="BV77" s="6"/>
      <c r="BW77" s="35">
        <f t="shared" si="35"/>
        <v>388</v>
      </c>
      <c r="BX77" s="6">
        <v>1358</v>
      </c>
      <c r="BY77" s="6"/>
      <c r="BZ77" s="6">
        <f t="shared" si="36"/>
        <v>385</v>
      </c>
      <c r="CA77" s="6">
        <v>0</v>
      </c>
      <c r="CB77" s="6">
        <v>1614</v>
      </c>
      <c r="CC77" s="6">
        <f t="shared" si="37"/>
        <v>256</v>
      </c>
      <c r="CD77" s="6"/>
      <c r="CE77" s="6"/>
      <c r="CF77" s="6"/>
      <c r="CG77" s="6">
        <v>384</v>
      </c>
      <c r="CH77" s="6"/>
      <c r="CI77" s="6">
        <f t="shared" si="38"/>
        <v>384</v>
      </c>
      <c r="CJ77" s="6">
        <v>781</v>
      </c>
      <c r="CK77" s="6"/>
      <c r="CL77" s="6">
        <f t="shared" si="39"/>
        <v>397</v>
      </c>
      <c r="CM77" s="6">
        <v>1167</v>
      </c>
      <c r="CN77" s="6"/>
      <c r="CO77" s="6">
        <f t="shared" si="40"/>
        <v>386</v>
      </c>
      <c r="CP77" s="6">
        <v>1</v>
      </c>
      <c r="CQ77" s="6">
        <v>1560</v>
      </c>
      <c r="CR77" s="6">
        <f t="shared" si="41"/>
        <v>394</v>
      </c>
      <c r="CS77" s="6">
        <v>396</v>
      </c>
      <c r="CT77" s="6"/>
      <c r="CU77" s="6">
        <f t="shared" si="42"/>
        <v>395</v>
      </c>
      <c r="CV77" s="6">
        <v>611</v>
      </c>
      <c r="CW77" s="6"/>
      <c r="CX77" s="6">
        <f t="shared" si="43"/>
        <v>215</v>
      </c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</row>
    <row r="78" spans="1:117">
      <c r="A78" s="6">
        <v>74</v>
      </c>
      <c r="B78" s="6">
        <v>337</v>
      </c>
      <c r="C78" s="6">
        <v>1028</v>
      </c>
      <c r="D78" s="6">
        <v>342</v>
      </c>
      <c r="E78" s="33" t="s">
        <v>37</v>
      </c>
      <c r="F78" s="33" t="s">
        <v>37</v>
      </c>
      <c r="G78" s="33" t="s">
        <v>37</v>
      </c>
      <c r="H78" s="33" t="s">
        <v>37</v>
      </c>
      <c r="I78" s="33" t="s">
        <v>37</v>
      </c>
      <c r="J78" s="33" t="s">
        <v>37</v>
      </c>
      <c r="K78" s="33" t="s">
        <v>37</v>
      </c>
      <c r="L78" s="33" t="s">
        <v>37</v>
      </c>
      <c r="M78" s="33" t="s">
        <v>37</v>
      </c>
      <c r="N78" s="33" t="s">
        <v>37</v>
      </c>
      <c r="O78" s="33" t="s">
        <v>37</v>
      </c>
      <c r="P78" s="33" t="s">
        <v>37</v>
      </c>
      <c r="Q78" s="33" t="s">
        <v>37</v>
      </c>
      <c r="R78" s="33" t="s">
        <v>37</v>
      </c>
      <c r="S78" s="33" t="s">
        <v>37</v>
      </c>
      <c r="T78" s="33" t="s">
        <v>37</v>
      </c>
      <c r="U78" s="33" t="s">
        <v>37</v>
      </c>
      <c r="V78" s="33" t="s">
        <v>37</v>
      </c>
      <c r="W78" s="148" t="s">
        <v>99</v>
      </c>
      <c r="X78" s="33" t="s">
        <v>99</v>
      </c>
      <c r="Y78" s="33" t="s">
        <v>99</v>
      </c>
      <c r="Z78" s="33" t="s">
        <v>99</v>
      </c>
      <c r="AA78" s="33" t="s">
        <v>99</v>
      </c>
      <c r="AB78" s="35">
        <v>741</v>
      </c>
      <c r="AC78" s="35"/>
      <c r="AD78" s="35">
        <f t="shared" si="22"/>
        <v>404</v>
      </c>
      <c r="AE78" s="35">
        <v>1126</v>
      </c>
      <c r="AF78" s="35"/>
      <c r="AG78" s="35">
        <f t="shared" si="23"/>
        <v>385</v>
      </c>
      <c r="AH78" s="35">
        <v>1517</v>
      </c>
      <c r="AI78" s="35"/>
      <c r="AJ78" s="35">
        <f t="shared" si="24"/>
        <v>391</v>
      </c>
      <c r="AK78" s="35">
        <v>324</v>
      </c>
      <c r="AL78" s="35">
        <v>1560</v>
      </c>
      <c r="AM78" s="35">
        <f t="shared" si="25"/>
        <v>367</v>
      </c>
      <c r="AN78" s="6"/>
      <c r="AO78" s="6"/>
      <c r="AP78" s="34"/>
      <c r="AQ78" s="35">
        <v>713</v>
      </c>
      <c r="AR78" s="35"/>
      <c r="AS78" s="35">
        <f t="shared" si="26"/>
        <v>389</v>
      </c>
      <c r="AT78" s="6">
        <v>1097</v>
      </c>
      <c r="AU78" s="6"/>
      <c r="AV78" s="35">
        <f t="shared" si="27"/>
        <v>384</v>
      </c>
      <c r="AW78" s="6">
        <v>1474</v>
      </c>
      <c r="AX78" s="6"/>
      <c r="AY78" s="35">
        <f t="shared" si="28"/>
        <v>377</v>
      </c>
      <c r="AZ78" s="6">
        <v>303</v>
      </c>
      <c r="BA78" s="6">
        <v>1560</v>
      </c>
      <c r="BB78" s="35">
        <f t="shared" si="29"/>
        <v>389</v>
      </c>
      <c r="BC78" s="6">
        <v>694</v>
      </c>
      <c r="BD78" s="6"/>
      <c r="BE78" s="35">
        <f t="shared" si="30"/>
        <v>391</v>
      </c>
      <c r="BF78" s="6">
        <v>1071</v>
      </c>
      <c r="BG78" s="6"/>
      <c r="BH78" s="6">
        <f t="shared" si="31"/>
        <v>377</v>
      </c>
      <c r="BI78" s="6"/>
      <c r="BJ78" s="35"/>
      <c r="BK78" s="6"/>
      <c r="BL78" s="6">
        <v>1466</v>
      </c>
      <c r="BM78" s="6"/>
      <c r="BN78" s="6">
        <f t="shared" si="32"/>
        <v>395</v>
      </c>
      <c r="BO78" s="6">
        <v>292</v>
      </c>
      <c r="BP78" s="6">
        <v>1560</v>
      </c>
      <c r="BQ78" s="35">
        <f t="shared" si="33"/>
        <v>386</v>
      </c>
      <c r="BR78" s="6">
        <v>679</v>
      </c>
      <c r="BS78" s="6"/>
      <c r="BT78" s="6">
        <f t="shared" si="34"/>
        <v>387</v>
      </c>
      <c r="BU78" s="6">
        <v>287</v>
      </c>
      <c r="BV78" s="6">
        <v>777</v>
      </c>
      <c r="BW78" s="35">
        <f t="shared" si="35"/>
        <v>385</v>
      </c>
      <c r="BX78" s="6">
        <v>674</v>
      </c>
      <c r="BY78" s="35"/>
      <c r="BZ78" s="6">
        <f t="shared" si="36"/>
        <v>387</v>
      </c>
      <c r="CA78" s="6">
        <v>1046</v>
      </c>
      <c r="CB78" s="6"/>
      <c r="CC78" s="6">
        <f t="shared" si="37"/>
        <v>372</v>
      </c>
      <c r="CD78" s="6"/>
      <c r="CE78" s="35"/>
      <c r="CF78" s="6"/>
      <c r="CG78" s="6">
        <v>0</v>
      </c>
      <c r="CH78" s="6">
        <v>1395</v>
      </c>
      <c r="CI78" s="6">
        <f t="shared" si="38"/>
        <v>349</v>
      </c>
      <c r="CJ78" s="6">
        <v>264</v>
      </c>
      <c r="CK78" s="6"/>
      <c r="CL78" s="6">
        <f t="shared" si="39"/>
        <v>264</v>
      </c>
      <c r="CM78" s="6">
        <v>545</v>
      </c>
      <c r="CN78" s="6"/>
      <c r="CO78" s="6">
        <f t="shared" si="40"/>
        <v>281</v>
      </c>
      <c r="CP78" s="6">
        <v>820</v>
      </c>
      <c r="CQ78" s="6"/>
      <c r="CR78" s="6">
        <f t="shared" si="41"/>
        <v>275</v>
      </c>
      <c r="CS78" s="6">
        <v>1095</v>
      </c>
      <c r="CT78" s="6"/>
      <c r="CU78" s="6">
        <f t="shared" si="42"/>
        <v>275</v>
      </c>
      <c r="CV78" s="6">
        <v>1242</v>
      </c>
      <c r="CW78" s="6"/>
      <c r="CX78" s="6">
        <f t="shared" si="43"/>
        <v>147</v>
      </c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</row>
    <row r="79" spans="1:117">
      <c r="A79" s="6">
        <v>75</v>
      </c>
      <c r="B79" s="6">
        <v>1058</v>
      </c>
      <c r="C79" s="6"/>
      <c r="D79" s="6">
        <v>360</v>
      </c>
      <c r="E79" s="33" t="s">
        <v>37</v>
      </c>
      <c r="F79" s="33" t="s">
        <v>37</v>
      </c>
      <c r="G79" s="33" t="s">
        <v>37</v>
      </c>
      <c r="H79" s="33" t="s">
        <v>37</v>
      </c>
      <c r="I79" s="33" t="s">
        <v>37</v>
      </c>
      <c r="J79" s="33" t="s">
        <v>37</v>
      </c>
      <c r="K79" s="33" t="s">
        <v>37</v>
      </c>
      <c r="L79" s="33" t="s">
        <v>37</v>
      </c>
      <c r="M79" s="33" t="s">
        <v>37</v>
      </c>
      <c r="N79" s="33" t="s">
        <v>37</v>
      </c>
      <c r="O79" s="33" t="s">
        <v>37</v>
      </c>
      <c r="P79" s="33" t="s">
        <v>37</v>
      </c>
      <c r="Q79" s="33" t="s">
        <v>37</v>
      </c>
      <c r="R79" s="33" t="s">
        <v>37</v>
      </c>
      <c r="S79" s="33" t="s">
        <v>37</v>
      </c>
      <c r="T79" s="33" t="s">
        <v>37</v>
      </c>
      <c r="U79" s="33" t="s">
        <v>37</v>
      </c>
      <c r="V79" s="148" t="s">
        <v>307</v>
      </c>
      <c r="W79" s="33" t="s">
        <v>307</v>
      </c>
      <c r="X79" s="33" t="s">
        <v>307</v>
      </c>
      <c r="Y79" s="33" t="s">
        <v>307</v>
      </c>
      <c r="Z79" s="33" t="s">
        <v>307</v>
      </c>
      <c r="AA79" s="33" t="s">
        <v>307</v>
      </c>
      <c r="AB79" s="6">
        <v>1464</v>
      </c>
      <c r="AC79" s="6"/>
      <c r="AD79" s="35">
        <f t="shared" si="22"/>
        <v>406</v>
      </c>
      <c r="AE79" s="6">
        <v>289</v>
      </c>
      <c r="AF79" s="6">
        <v>1560</v>
      </c>
      <c r="AG79" s="35">
        <f t="shared" si="23"/>
        <v>385</v>
      </c>
      <c r="AH79" s="35">
        <v>681</v>
      </c>
      <c r="AI79" s="35"/>
      <c r="AJ79" s="35">
        <f t="shared" si="24"/>
        <v>392</v>
      </c>
      <c r="AK79" s="6">
        <v>1049</v>
      </c>
      <c r="AL79" s="6"/>
      <c r="AM79" s="35">
        <f t="shared" si="25"/>
        <v>368</v>
      </c>
      <c r="AN79" s="6"/>
      <c r="AO79" s="6"/>
      <c r="AP79" s="34"/>
      <c r="AQ79" s="35">
        <v>1438</v>
      </c>
      <c r="AR79" s="35"/>
      <c r="AS79" s="35">
        <f t="shared" si="26"/>
        <v>389</v>
      </c>
      <c r="AT79" s="6">
        <v>251</v>
      </c>
      <c r="AU79" s="6">
        <v>1560</v>
      </c>
      <c r="AV79" s="35">
        <f t="shared" si="27"/>
        <v>373</v>
      </c>
      <c r="AW79" s="6">
        <v>637</v>
      </c>
      <c r="AX79" s="6"/>
      <c r="AY79" s="35">
        <f t="shared" si="28"/>
        <v>386</v>
      </c>
      <c r="AZ79" s="35">
        <v>1027</v>
      </c>
      <c r="BA79" s="35"/>
      <c r="BB79" s="35">
        <f t="shared" si="29"/>
        <v>390</v>
      </c>
      <c r="BC79" s="6">
        <v>1413</v>
      </c>
      <c r="BD79" s="6"/>
      <c r="BE79" s="35">
        <f t="shared" si="30"/>
        <v>386</v>
      </c>
      <c r="BF79" s="6">
        <v>226</v>
      </c>
      <c r="BG79" s="6">
        <v>1560</v>
      </c>
      <c r="BH79" s="6">
        <f t="shared" si="31"/>
        <v>373</v>
      </c>
      <c r="BI79" s="6"/>
      <c r="BJ79" s="6"/>
      <c r="BK79" s="6"/>
      <c r="BL79" s="6">
        <v>618</v>
      </c>
      <c r="BM79" s="6"/>
      <c r="BN79" s="6">
        <f t="shared" si="32"/>
        <v>392</v>
      </c>
      <c r="BO79" s="6">
        <v>1002</v>
      </c>
      <c r="BP79" s="6"/>
      <c r="BQ79" s="35">
        <f t="shared" si="33"/>
        <v>384</v>
      </c>
      <c r="BR79" s="6">
        <v>1392</v>
      </c>
      <c r="BS79" s="6"/>
      <c r="BT79" s="6">
        <f t="shared" si="34"/>
        <v>390</v>
      </c>
      <c r="BU79" s="6">
        <v>219</v>
      </c>
      <c r="BV79" s="6">
        <v>1560</v>
      </c>
      <c r="BW79" s="35">
        <f t="shared" si="35"/>
        <v>387</v>
      </c>
      <c r="BX79" s="6">
        <v>616</v>
      </c>
      <c r="BY79" s="6"/>
      <c r="BZ79" s="6">
        <f t="shared" si="36"/>
        <v>397</v>
      </c>
      <c r="CA79" s="6">
        <v>0</v>
      </c>
      <c r="CB79" s="6">
        <v>788</v>
      </c>
      <c r="CC79" s="6">
        <f t="shared" si="37"/>
        <v>172</v>
      </c>
      <c r="CD79" s="6"/>
      <c r="CE79" s="6"/>
      <c r="CF79" s="6"/>
      <c r="CG79" s="6">
        <v>372</v>
      </c>
      <c r="CH79" s="6"/>
      <c r="CI79" s="6">
        <f t="shared" si="38"/>
        <v>372</v>
      </c>
      <c r="CJ79" s="6">
        <v>769</v>
      </c>
      <c r="CK79" s="6"/>
      <c r="CL79" s="6">
        <f t="shared" si="39"/>
        <v>397</v>
      </c>
      <c r="CM79" s="6">
        <v>1162</v>
      </c>
      <c r="CN79" s="6"/>
      <c r="CO79" s="6">
        <f t="shared" si="40"/>
        <v>393</v>
      </c>
      <c r="CP79" s="6">
        <v>1543</v>
      </c>
      <c r="CQ79" s="6"/>
      <c r="CR79" s="6">
        <f t="shared" si="41"/>
        <v>381</v>
      </c>
      <c r="CS79" s="6">
        <v>377</v>
      </c>
      <c r="CT79" s="6">
        <v>1561</v>
      </c>
      <c r="CU79" s="6">
        <f t="shared" si="42"/>
        <v>395</v>
      </c>
      <c r="CV79" s="6">
        <v>590</v>
      </c>
      <c r="CW79" s="6"/>
      <c r="CX79" s="6">
        <f t="shared" si="43"/>
        <v>213</v>
      </c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</row>
    <row r="80" spans="1:117">
      <c r="A80" s="6">
        <v>76</v>
      </c>
      <c r="B80" s="6">
        <v>372</v>
      </c>
      <c r="C80" s="6"/>
      <c r="D80" s="6">
        <v>368</v>
      </c>
      <c r="E80" s="33" t="s">
        <v>128</v>
      </c>
      <c r="F80" s="33" t="s">
        <v>128</v>
      </c>
      <c r="G80" s="33" t="s">
        <v>128</v>
      </c>
      <c r="H80" s="33" t="s">
        <v>128</v>
      </c>
      <c r="I80" s="33" t="s">
        <v>128</v>
      </c>
      <c r="J80" s="33" t="s">
        <v>128</v>
      </c>
      <c r="K80" s="33" t="s">
        <v>128</v>
      </c>
      <c r="L80" s="33" t="s">
        <v>128</v>
      </c>
      <c r="M80" s="33" t="s">
        <v>128</v>
      </c>
      <c r="N80" s="33" t="s">
        <v>128</v>
      </c>
      <c r="O80" s="33" t="s">
        <v>128</v>
      </c>
      <c r="P80" s="33" t="s">
        <v>128</v>
      </c>
      <c r="Q80" s="33" t="s">
        <v>128</v>
      </c>
      <c r="R80" s="33" t="s">
        <v>128</v>
      </c>
      <c r="S80" s="33" t="s">
        <v>128</v>
      </c>
      <c r="T80" s="148" t="s">
        <v>307</v>
      </c>
      <c r="U80" s="33" t="s">
        <v>307</v>
      </c>
      <c r="V80" s="33" t="s">
        <v>307</v>
      </c>
      <c r="W80" s="33" t="s">
        <v>307</v>
      </c>
      <c r="X80" s="33" t="s">
        <v>307</v>
      </c>
      <c r="Y80" s="33" t="s">
        <v>307</v>
      </c>
      <c r="Z80" s="33" t="s">
        <v>307</v>
      </c>
      <c r="AA80" s="33" t="s">
        <v>307</v>
      </c>
      <c r="AB80" s="6">
        <v>795</v>
      </c>
      <c r="AC80" s="6"/>
      <c r="AD80" s="35">
        <f t="shared" si="22"/>
        <v>423</v>
      </c>
      <c r="AE80" s="6">
        <v>1186</v>
      </c>
      <c r="AF80" s="6"/>
      <c r="AG80" s="35">
        <f t="shared" si="23"/>
        <v>391</v>
      </c>
      <c r="AH80" s="35">
        <v>26</v>
      </c>
      <c r="AI80" s="35">
        <v>1560</v>
      </c>
      <c r="AJ80" s="35">
        <f t="shared" si="24"/>
        <v>400</v>
      </c>
      <c r="AK80" s="6">
        <v>406</v>
      </c>
      <c r="AL80" s="6"/>
      <c r="AM80" s="35">
        <f t="shared" si="25"/>
        <v>380</v>
      </c>
      <c r="AN80" s="6"/>
      <c r="AO80" s="6"/>
      <c r="AP80" s="34"/>
      <c r="AQ80" s="35">
        <v>801</v>
      </c>
      <c r="AR80" s="35"/>
      <c r="AS80" s="35">
        <f t="shared" si="26"/>
        <v>395</v>
      </c>
      <c r="AT80" s="6">
        <v>1200</v>
      </c>
      <c r="AU80" s="6"/>
      <c r="AV80" s="35">
        <f t="shared" si="27"/>
        <v>399</v>
      </c>
      <c r="AW80" s="6">
        <v>38</v>
      </c>
      <c r="AX80" s="6">
        <v>1560</v>
      </c>
      <c r="AY80" s="35">
        <f t="shared" si="28"/>
        <v>398</v>
      </c>
      <c r="AZ80" s="35">
        <v>436</v>
      </c>
      <c r="BA80" s="35"/>
      <c r="BB80" s="35">
        <f t="shared" si="29"/>
        <v>398</v>
      </c>
      <c r="BC80" s="6">
        <v>832</v>
      </c>
      <c r="BD80" s="6"/>
      <c r="BE80" s="35">
        <f t="shared" si="30"/>
        <v>396</v>
      </c>
      <c r="BF80" s="6">
        <v>314</v>
      </c>
      <c r="BG80" s="6">
        <v>883</v>
      </c>
      <c r="BH80" s="6">
        <f t="shared" si="31"/>
        <v>365</v>
      </c>
      <c r="BI80" s="6"/>
      <c r="BJ80" s="6"/>
      <c r="BK80" s="6"/>
      <c r="BL80" s="6">
        <v>714</v>
      </c>
      <c r="BM80" s="6"/>
      <c r="BN80" s="6">
        <f t="shared" si="32"/>
        <v>400</v>
      </c>
      <c r="BO80" s="6">
        <v>1103</v>
      </c>
      <c r="BP80" s="6"/>
      <c r="BQ80" s="35">
        <f t="shared" si="33"/>
        <v>389</v>
      </c>
      <c r="BR80" s="6">
        <v>1501</v>
      </c>
      <c r="BS80" s="6"/>
      <c r="BT80" s="6">
        <f t="shared" si="34"/>
        <v>398</v>
      </c>
      <c r="BU80" s="6">
        <v>1896</v>
      </c>
      <c r="BV80" s="6"/>
      <c r="BW80" s="35">
        <f t="shared" si="35"/>
        <v>395</v>
      </c>
      <c r="BX80" s="6">
        <v>303</v>
      </c>
      <c r="BY80" s="6">
        <v>1951</v>
      </c>
      <c r="BZ80" s="6">
        <f t="shared" si="36"/>
        <v>358</v>
      </c>
      <c r="CA80" s="6">
        <v>681</v>
      </c>
      <c r="CB80" s="6"/>
      <c r="CC80" s="6">
        <f t="shared" si="37"/>
        <v>378</v>
      </c>
      <c r="CD80" s="6"/>
      <c r="CE80" s="6"/>
      <c r="CF80" s="6"/>
      <c r="CG80" s="6">
        <v>1082</v>
      </c>
      <c r="CH80" s="6"/>
      <c r="CI80" s="6">
        <f t="shared" si="38"/>
        <v>401</v>
      </c>
      <c r="CJ80" s="6">
        <v>1481</v>
      </c>
      <c r="CK80" s="6"/>
      <c r="CL80" s="6">
        <f t="shared" si="39"/>
        <v>399</v>
      </c>
      <c r="CM80" s="6">
        <v>313</v>
      </c>
      <c r="CN80" s="6">
        <v>1560</v>
      </c>
      <c r="CO80" s="6">
        <f t="shared" si="40"/>
        <v>392</v>
      </c>
      <c r="CP80" s="6">
        <v>710</v>
      </c>
      <c r="CQ80" s="6"/>
      <c r="CR80" s="6">
        <f t="shared" si="41"/>
        <v>397</v>
      </c>
      <c r="CS80" s="6">
        <v>1112</v>
      </c>
      <c r="CT80" s="6"/>
      <c r="CU80" s="6">
        <f t="shared" si="42"/>
        <v>402</v>
      </c>
      <c r="CV80" s="6">
        <v>1327</v>
      </c>
      <c r="CW80" s="6"/>
      <c r="CX80" s="6">
        <f t="shared" si="43"/>
        <v>215</v>
      </c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</row>
    <row r="81" spans="1:117">
      <c r="A81" s="6">
        <v>77</v>
      </c>
      <c r="B81" s="6">
        <v>1036</v>
      </c>
      <c r="C81" s="6"/>
      <c r="D81" s="6">
        <v>344</v>
      </c>
      <c r="E81" s="33" t="s">
        <v>37</v>
      </c>
      <c r="F81" s="33" t="s">
        <v>37</v>
      </c>
      <c r="G81" s="33" t="s">
        <v>37</v>
      </c>
      <c r="H81" s="33" t="s">
        <v>37</v>
      </c>
      <c r="I81" s="33" t="s">
        <v>37</v>
      </c>
      <c r="J81" s="33" t="s">
        <v>37</v>
      </c>
      <c r="K81" s="33" t="s">
        <v>37</v>
      </c>
      <c r="L81" s="33" t="s">
        <v>37</v>
      </c>
      <c r="M81" s="33" t="s">
        <v>37</v>
      </c>
      <c r="N81" s="33" t="s">
        <v>37</v>
      </c>
      <c r="O81" s="33" t="s">
        <v>37</v>
      </c>
      <c r="P81" s="33" t="s">
        <v>37</v>
      </c>
      <c r="Q81" s="33" t="s">
        <v>37</v>
      </c>
      <c r="R81" s="33" t="s">
        <v>37</v>
      </c>
      <c r="S81" s="33" t="s">
        <v>37</v>
      </c>
      <c r="T81" s="33" t="s">
        <v>37</v>
      </c>
      <c r="U81" s="33" t="s">
        <v>37</v>
      </c>
      <c r="V81" s="33" t="s">
        <v>37</v>
      </c>
      <c r="W81" s="33" t="s">
        <v>37</v>
      </c>
      <c r="X81" s="148" t="s">
        <v>37</v>
      </c>
      <c r="Y81" s="33" t="s">
        <v>37</v>
      </c>
      <c r="Z81" s="33" t="s">
        <v>37</v>
      </c>
      <c r="AA81" s="33" t="s">
        <v>37</v>
      </c>
      <c r="AB81" s="6">
        <v>1447</v>
      </c>
      <c r="AC81" s="6"/>
      <c r="AD81" s="35">
        <f t="shared" si="22"/>
        <v>411</v>
      </c>
      <c r="AE81" s="6">
        <v>257</v>
      </c>
      <c r="AF81" s="6">
        <v>1560</v>
      </c>
      <c r="AG81" s="35">
        <f t="shared" si="23"/>
        <v>370</v>
      </c>
      <c r="AH81" s="35">
        <v>643</v>
      </c>
      <c r="AI81" s="35"/>
      <c r="AJ81" s="35">
        <f t="shared" si="24"/>
        <v>386</v>
      </c>
      <c r="AK81" s="35">
        <v>988</v>
      </c>
      <c r="AL81" s="6"/>
      <c r="AM81" s="35">
        <f t="shared" si="25"/>
        <v>345</v>
      </c>
      <c r="AN81" s="6"/>
      <c r="AO81" s="6"/>
      <c r="AP81" s="34"/>
      <c r="AQ81" s="35">
        <v>1346</v>
      </c>
      <c r="AR81" s="35"/>
      <c r="AS81" s="35">
        <f t="shared" si="26"/>
        <v>358</v>
      </c>
      <c r="AT81" s="6">
        <v>272</v>
      </c>
      <c r="AU81" s="6">
        <v>1442</v>
      </c>
      <c r="AV81" s="35">
        <f t="shared" si="27"/>
        <v>368</v>
      </c>
      <c r="AW81" s="6">
        <v>645</v>
      </c>
      <c r="AX81" s="6"/>
      <c r="AY81" s="35">
        <f t="shared" si="28"/>
        <v>373</v>
      </c>
      <c r="AZ81" s="6">
        <v>1022</v>
      </c>
      <c r="BA81" s="6"/>
      <c r="BB81" s="35">
        <f t="shared" si="29"/>
        <v>377</v>
      </c>
      <c r="BC81" s="6">
        <v>1383</v>
      </c>
      <c r="BD81" s="6"/>
      <c r="BE81" s="35">
        <f t="shared" si="30"/>
        <v>361</v>
      </c>
      <c r="BF81" s="6">
        <v>193</v>
      </c>
      <c r="BG81" s="6">
        <v>1561</v>
      </c>
      <c r="BH81" s="6">
        <f t="shared" si="31"/>
        <v>371</v>
      </c>
      <c r="BI81" s="6"/>
      <c r="BJ81" s="35"/>
      <c r="BK81" s="6"/>
      <c r="BL81" s="6">
        <v>570</v>
      </c>
      <c r="BM81" s="6"/>
      <c r="BN81" s="6">
        <f t="shared" si="32"/>
        <v>377</v>
      </c>
      <c r="BO81" s="6">
        <v>930</v>
      </c>
      <c r="BP81" s="6"/>
      <c r="BQ81" s="35">
        <f t="shared" si="33"/>
        <v>360</v>
      </c>
      <c r="BR81" s="6">
        <v>1312</v>
      </c>
      <c r="BS81" s="6"/>
      <c r="BT81" s="6">
        <f t="shared" si="34"/>
        <v>382</v>
      </c>
      <c r="BU81" s="6">
        <v>123</v>
      </c>
      <c r="BV81" s="6">
        <v>1561</v>
      </c>
      <c r="BW81" s="35">
        <f t="shared" si="35"/>
        <v>372</v>
      </c>
      <c r="BX81" s="6">
        <v>489</v>
      </c>
      <c r="BY81" s="35"/>
      <c r="BZ81" s="6">
        <f t="shared" si="36"/>
        <v>366</v>
      </c>
      <c r="CA81" s="6">
        <v>857</v>
      </c>
      <c r="CB81" s="6"/>
      <c r="CC81" s="6">
        <f t="shared" si="37"/>
        <v>368</v>
      </c>
      <c r="CD81" s="6"/>
      <c r="CE81" s="35"/>
      <c r="CF81" s="6"/>
      <c r="CG81" s="6">
        <v>1243</v>
      </c>
      <c r="CH81" s="6"/>
      <c r="CI81" s="6">
        <f t="shared" si="38"/>
        <v>386</v>
      </c>
      <c r="CJ81" s="6">
        <v>1609</v>
      </c>
      <c r="CK81" s="6"/>
      <c r="CL81" s="6">
        <f t="shared" si="39"/>
        <v>366</v>
      </c>
      <c r="CM81" s="6">
        <v>258</v>
      </c>
      <c r="CN81" s="6">
        <v>1711</v>
      </c>
      <c r="CO81" s="6">
        <f t="shared" si="40"/>
        <v>360</v>
      </c>
      <c r="CP81" s="6">
        <v>628</v>
      </c>
      <c r="CQ81" s="6"/>
      <c r="CR81" s="6">
        <f t="shared" si="41"/>
        <v>370</v>
      </c>
      <c r="CS81" s="6">
        <v>1008</v>
      </c>
      <c r="CT81" s="6"/>
      <c r="CU81" s="6">
        <f t="shared" si="42"/>
        <v>380</v>
      </c>
      <c r="CV81" s="6">
        <v>1197</v>
      </c>
      <c r="CW81" s="6"/>
      <c r="CX81" s="6">
        <f t="shared" si="43"/>
        <v>189</v>
      </c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</row>
    <row r="82" spans="1:117">
      <c r="A82" s="6">
        <v>78</v>
      </c>
      <c r="B82" s="6">
        <v>1171</v>
      </c>
      <c r="C82" s="6"/>
      <c r="D82" s="6">
        <v>357</v>
      </c>
      <c r="E82" s="33" t="s">
        <v>37</v>
      </c>
      <c r="F82" s="33" t="s">
        <v>37</v>
      </c>
      <c r="G82" s="33" t="s">
        <v>37</v>
      </c>
      <c r="H82" s="33" t="s">
        <v>37</v>
      </c>
      <c r="I82" s="33" t="s">
        <v>37</v>
      </c>
      <c r="J82" s="33" t="s">
        <v>37</v>
      </c>
      <c r="K82" s="33" t="s">
        <v>37</v>
      </c>
      <c r="L82" s="33" t="s">
        <v>37</v>
      </c>
      <c r="M82" s="33" t="s">
        <v>37</v>
      </c>
      <c r="N82" s="33" t="s">
        <v>37</v>
      </c>
      <c r="O82" s="33" t="s">
        <v>37</v>
      </c>
      <c r="P82" s="33" t="s">
        <v>37</v>
      </c>
      <c r="Q82" s="33" t="s">
        <v>37</v>
      </c>
      <c r="R82" s="33" t="s">
        <v>37</v>
      </c>
      <c r="S82" s="33" t="s">
        <v>37</v>
      </c>
      <c r="T82" s="148" t="s">
        <v>128</v>
      </c>
      <c r="U82" s="33" t="s">
        <v>128</v>
      </c>
      <c r="V82" s="33" t="s">
        <v>128</v>
      </c>
      <c r="W82" s="33" t="s">
        <v>128</v>
      </c>
      <c r="X82" s="33" t="s">
        <v>128</v>
      </c>
      <c r="Y82" s="33" t="s">
        <v>128</v>
      </c>
      <c r="Z82" s="33" t="s">
        <v>128</v>
      </c>
      <c r="AA82" s="33" t="s">
        <v>128</v>
      </c>
      <c r="AB82" s="6">
        <v>19</v>
      </c>
      <c r="AC82" s="6">
        <v>1560</v>
      </c>
      <c r="AD82" s="35">
        <f t="shared" si="22"/>
        <v>408</v>
      </c>
      <c r="AE82" s="6">
        <v>401</v>
      </c>
      <c r="AF82" s="6"/>
      <c r="AG82" s="35">
        <f t="shared" si="23"/>
        <v>382</v>
      </c>
      <c r="AH82" s="35">
        <v>793</v>
      </c>
      <c r="AI82" s="35"/>
      <c r="AJ82" s="35">
        <f t="shared" si="24"/>
        <v>392</v>
      </c>
      <c r="AK82" s="6">
        <v>1145</v>
      </c>
      <c r="AL82" s="6"/>
      <c r="AM82" s="35">
        <f t="shared" si="25"/>
        <v>352</v>
      </c>
      <c r="AN82" s="6"/>
      <c r="AO82" s="6"/>
      <c r="AP82" s="34"/>
      <c r="AQ82" s="35">
        <v>1528</v>
      </c>
      <c r="AR82" s="35"/>
      <c r="AS82" s="35">
        <f t="shared" si="26"/>
        <v>383</v>
      </c>
      <c r="AT82" s="6">
        <v>348</v>
      </c>
      <c r="AU82" s="6">
        <v>1560</v>
      </c>
      <c r="AV82" s="35">
        <f t="shared" si="27"/>
        <v>380</v>
      </c>
      <c r="AW82" s="6">
        <v>728</v>
      </c>
      <c r="AX82" s="6"/>
      <c r="AY82" s="35">
        <f t="shared" si="28"/>
        <v>380</v>
      </c>
      <c r="AZ82" s="35">
        <v>1108</v>
      </c>
      <c r="BA82" s="35"/>
      <c r="BB82" s="35">
        <f t="shared" si="29"/>
        <v>380</v>
      </c>
      <c r="BC82" s="6">
        <v>1489</v>
      </c>
      <c r="BD82" s="6"/>
      <c r="BE82" s="35">
        <f t="shared" si="30"/>
        <v>381</v>
      </c>
      <c r="BF82" s="6">
        <v>294</v>
      </c>
      <c r="BG82" s="6">
        <v>1560</v>
      </c>
      <c r="BH82" s="6">
        <f t="shared" si="31"/>
        <v>365</v>
      </c>
      <c r="BI82" s="6"/>
      <c r="BJ82" s="6"/>
      <c r="BK82" s="6"/>
      <c r="BL82" s="6">
        <v>683</v>
      </c>
      <c r="BM82" s="6"/>
      <c r="BN82" s="6">
        <f t="shared" si="32"/>
        <v>389</v>
      </c>
      <c r="BO82" s="6">
        <v>1057</v>
      </c>
      <c r="BP82" s="6"/>
      <c r="BQ82" s="35">
        <f t="shared" si="33"/>
        <v>374</v>
      </c>
      <c r="BR82" s="6">
        <v>1447</v>
      </c>
      <c r="BS82" s="6"/>
      <c r="BT82" s="6">
        <f t="shared" si="34"/>
        <v>390</v>
      </c>
      <c r="BU82" s="6">
        <v>0</v>
      </c>
      <c r="BV82" s="6">
        <v>1816</v>
      </c>
      <c r="BW82" s="35">
        <f t="shared" si="35"/>
        <v>369</v>
      </c>
      <c r="BX82" s="6">
        <v>330</v>
      </c>
      <c r="BY82" s="6"/>
      <c r="BZ82" s="6">
        <f t="shared" si="36"/>
        <v>330</v>
      </c>
      <c r="CA82" s="6">
        <v>702</v>
      </c>
      <c r="CB82" s="6"/>
      <c r="CC82" s="6">
        <f t="shared" si="37"/>
        <v>372</v>
      </c>
      <c r="CD82" s="6"/>
      <c r="CE82" s="6"/>
      <c r="CF82" s="6"/>
      <c r="CG82" s="6">
        <v>1099</v>
      </c>
      <c r="CH82" s="6"/>
      <c r="CI82" s="6">
        <f t="shared" si="38"/>
        <v>397</v>
      </c>
      <c r="CJ82" s="6">
        <v>1491</v>
      </c>
      <c r="CK82" s="6"/>
      <c r="CL82" s="6">
        <f t="shared" si="39"/>
        <v>392</v>
      </c>
      <c r="CM82" s="6">
        <v>319</v>
      </c>
      <c r="CN82" s="6">
        <v>1561</v>
      </c>
      <c r="CO82" s="6">
        <f t="shared" si="40"/>
        <v>389</v>
      </c>
      <c r="CP82" s="6">
        <v>717</v>
      </c>
      <c r="CQ82" s="6"/>
      <c r="CR82" s="6">
        <f t="shared" si="41"/>
        <v>398</v>
      </c>
      <c r="CS82" s="6">
        <v>1115</v>
      </c>
      <c r="CT82" s="6"/>
      <c r="CU82" s="6">
        <f t="shared" si="42"/>
        <v>398</v>
      </c>
      <c r="CV82" s="6">
        <v>1330</v>
      </c>
      <c r="CW82" s="6"/>
      <c r="CX82" s="6">
        <f t="shared" si="43"/>
        <v>215</v>
      </c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</row>
    <row r="83" spans="1:117">
      <c r="A83" s="6">
        <v>79</v>
      </c>
      <c r="B83" s="6">
        <v>265</v>
      </c>
      <c r="C83" s="6">
        <v>1560</v>
      </c>
      <c r="D83" s="6">
        <v>353</v>
      </c>
      <c r="E83" s="33" t="s">
        <v>37</v>
      </c>
      <c r="F83" s="33" t="s">
        <v>37</v>
      </c>
      <c r="G83" s="33" t="s">
        <v>37</v>
      </c>
      <c r="H83" s="33" t="s">
        <v>37</v>
      </c>
      <c r="I83" s="33" t="s">
        <v>37</v>
      </c>
      <c r="J83" s="33" t="s">
        <v>37</v>
      </c>
      <c r="K83" s="33" t="s">
        <v>37</v>
      </c>
      <c r="L83" s="33" t="s">
        <v>37</v>
      </c>
      <c r="M83" s="33" t="s">
        <v>37</v>
      </c>
      <c r="N83" s="33" t="s">
        <v>37</v>
      </c>
      <c r="O83" s="33" t="s">
        <v>37</v>
      </c>
      <c r="P83" s="33" t="s">
        <v>37</v>
      </c>
      <c r="Q83" s="33" t="s">
        <v>37</v>
      </c>
      <c r="R83" s="33" t="s">
        <v>37</v>
      </c>
      <c r="S83" s="33" t="s">
        <v>37</v>
      </c>
      <c r="T83" s="33" t="s">
        <v>37</v>
      </c>
      <c r="U83" s="33" t="s">
        <v>37</v>
      </c>
      <c r="V83" s="148" t="s">
        <v>307</v>
      </c>
      <c r="W83" s="33" t="s">
        <v>307</v>
      </c>
      <c r="X83" s="33" t="s">
        <v>307</v>
      </c>
      <c r="Y83" s="33" t="s">
        <v>307</v>
      </c>
      <c r="Z83" s="33" t="s">
        <v>307</v>
      </c>
      <c r="AA83" s="33" t="s">
        <v>307</v>
      </c>
      <c r="AB83" s="6">
        <v>669</v>
      </c>
      <c r="AC83" s="6"/>
      <c r="AD83" s="35">
        <f t="shared" si="22"/>
        <v>404</v>
      </c>
      <c r="AE83" s="6">
        <v>1052</v>
      </c>
      <c r="AF83" s="6"/>
      <c r="AG83" s="35">
        <f t="shared" si="23"/>
        <v>383</v>
      </c>
      <c r="AH83" s="35">
        <v>1442</v>
      </c>
      <c r="AI83" s="35"/>
      <c r="AJ83" s="35">
        <f t="shared" si="24"/>
        <v>390</v>
      </c>
      <c r="AK83" s="6">
        <v>244</v>
      </c>
      <c r="AL83" s="6">
        <v>1560</v>
      </c>
      <c r="AM83" s="35">
        <f t="shared" si="25"/>
        <v>362</v>
      </c>
      <c r="AN83" s="6"/>
      <c r="AO83" s="6"/>
      <c r="AP83" s="34"/>
      <c r="AQ83" s="35">
        <v>631</v>
      </c>
      <c r="AR83" s="35"/>
      <c r="AS83" s="35">
        <f t="shared" si="26"/>
        <v>387</v>
      </c>
      <c r="AT83" s="6">
        <v>1012</v>
      </c>
      <c r="AU83" s="6"/>
      <c r="AV83" s="35">
        <f t="shared" si="27"/>
        <v>381</v>
      </c>
      <c r="AW83" s="6">
        <v>1400</v>
      </c>
      <c r="AX83" s="6"/>
      <c r="AY83" s="35">
        <f t="shared" si="28"/>
        <v>388</v>
      </c>
      <c r="AZ83" s="35">
        <v>232</v>
      </c>
      <c r="BA83" s="35">
        <v>1560</v>
      </c>
      <c r="BB83" s="35">
        <f t="shared" si="29"/>
        <v>392</v>
      </c>
      <c r="BC83" s="6">
        <v>619</v>
      </c>
      <c r="BD83" s="6"/>
      <c r="BE83" s="35">
        <f t="shared" si="30"/>
        <v>387</v>
      </c>
      <c r="BF83" s="6">
        <v>999</v>
      </c>
      <c r="BG83" s="6"/>
      <c r="BH83" s="6">
        <f t="shared" si="31"/>
        <v>380</v>
      </c>
      <c r="BI83" s="6"/>
      <c r="BJ83" s="107"/>
      <c r="BK83" s="6"/>
      <c r="BL83" s="6">
        <v>1398</v>
      </c>
      <c r="BM83" s="6"/>
      <c r="BN83" s="6">
        <f t="shared" si="32"/>
        <v>399</v>
      </c>
      <c r="BO83" s="6">
        <v>221</v>
      </c>
      <c r="BP83" s="6">
        <v>1560</v>
      </c>
      <c r="BQ83" s="35">
        <f t="shared" si="33"/>
        <v>383</v>
      </c>
      <c r="BR83" s="6">
        <v>613</v>
      </c>
      <c r="BS83" s="6"/>
      <c r="BT83" s="6">
        <f t="shared" si="34"/>
        <v>392</v>
      </c>
      <c r="BU83" s="6">
        <v>1005</v>
      </c>
      <c r="BV83" s="6"/>
      <c r="BW83" s="35">
        <f t="shared" si="35"/>
        <v>392</v>
      </c>
      <c r="BX83" s="6">
        <v>1399</v>
      </c>
      <c r="BY83" s="6"/>
      <c r="BZ83" s="6">
        <f t="shared" si="36"/>
        <v>394</v>
      </c>
      <c r="CA83" s="6">
        <v>0</v>
      </c>
      <c r="CB83" s="6">
        <v>1655</v>
      </c>
      <c r="CC83" s="6">
        <f t="shared" si="37"/>
        <v>256</v>
      </c>
      <c r="CD83" s="6"/>
      <c r="CE83" s="6"/>
      <c r="CF83" s="6"/>
      <c r="CG83" s="6">
        <v>370</v>
      </c>
      <c r="CH83" s="6"/>
      <c r="CI83" s="6">
        <f t="shared" si="38"/>
        <v>370</v>
      </c>
      <c r="CJ83" s="6">
        <v>761</v>
      </c>
      <c r="CK83" s="6"/>
      <c r="CL83" s="6">
        <f t="shared" si="39"/>
        <v>391</v>
      </c>
      <c r="CM83" s="6">
        <v>1154</v>
      </c>
      <c r="CN83" s="6"/>
      <c r="CO83" s="6">
        <f t="shared" si="40"/>
        <v>393</v>
      </c>
      <c r="CP83" s="6">
        <v>1545</v>
      </c>
      <c r="CQ83" s="6"/>
      <c r="CR83" s="6">
        <f t="shared" si="41"/>
        <v>391</v>
      </c>
      <c r="CS83" s="6">
        <v>378</v>
      </c>
      <c r="CT83" s="6">
        <v>1560</v>
      </c>
      <c r="CU83" s="6">
        <f t="shared" si="42"/>
        <v>393</v>
      </c>
      <c r="CV83" s="6">
        <v>588</v>
      </c>
      <c r="CW83" s="6"/>
      <c r="CX83" s="6">
        <f t="shared" si="43"/>
        <v>210</v>
      </c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</row>
    <row r="84" spans="1:117">
      <c r="A84" s="6">
        <v>80</v>
      </c>
      <c r="B84" s="6">
        <v>314</v>
      </c>
      <c r="C84" s="6"/>
      <c r="D84" s="6">
        <v>314</v>
      </c>
      <c r="E84" s="167" t="s">
        <v>37</v>
      </c>
      <c r="F84" s="169" t="s">
        <v>37</v>
      </c>
      <c r="G84" s="169" t="s">
        <v>37</v>
      </c>
      <c r="H84" s="169" t="s">
        <v>37</v>
      </c>
      <c r="I84" s="169" t="s">
        <v>37</v>
      </c>
      <c r="J84" s="169" t="s">
        <v>37</v>
      </c>
      <c r="K84" s="169" t="s">
        <v>37</v>
      </c>
      <c r="L84" s="169" t="s">
        <v>37</v>
      </c>
      <c r="M84" s="169" t="s">
        <v>37</v>
      </c>
      <c r="N84" s="169" t="s">
        <v>37</v>
      </c>
      <c r="O84" s="169" t="s">
        <v>37</v>
      </c>
      <c r="P84" s="169" t="s">
        <v>37</v>
      </c>
      <c r="Q84" s="169" t="s">
        <v>37</v>
      </c>
      <c r="R84" s="169" t="s">
        <v>37</v>
      </c>
      <c r="S84" s="169" t="s">
        <v>37</v>
      </c>
      <c r="T84" s="169" t="s">
        <v>37</v>
      </c>
      <c r="U84" s="169" t="s">
        <v>37</v>
      </c>
      <c r="V84" s="169" t="s">
        <v>37</v>
      </c>
      <c r="W84" s="169" t="s">
        <v>37</v>
      </c>
      <c r="X84" s="169" t="s">
        <v>37</v>
      </c>
      <c r="Y84" s="169" t="s">
        <v>37</v>
      </c>
      <c r="Z84" s="169" t="s">
        <v>37</v>
      </c>
      <c r="AA84" s="167" t="s">
        <v>37</v>
      </c>
      <c r="AB84" s="6">
        <v>721</v>
      </c>
      <c r="AC84" s="6"/>
      <c r="AD84" s="35">
        <f t="shared" si="22"/>
        <v>407</v>
      </c>
      <c r="AE84" s="6">
        <v>1</v>
      </c>
      <c r="AF84" s="6">
        <v>1103</v>
      </c>
      <c r="AG84" s="35">
        <f t="shared" si="23"/>
        <v>383</v>
      </c>
      <c r="AH84" s="35">
        <v>391</v>
      </c>
      <c r="AI84" s="35"/>
      <c r="AJ84" s="35">
        <f t="shared" si="24"/>
        <v>390</v>
      </c>
      <c r="AK84" s="6">
        <v>170</v>
      </c>
      <c r="AL84" s="6">
        <v>584</v>
      </c>
      <c r="AM84" s="35">
        <f t="shared" si="25"/>
        <v>363</v>
      </c>
      <c r="AN84" s="6"/>
      <c r="AO84" s="6"/>
      <c r="AP84" s="34"/>
      <c r="AQ84" s="35">
        <v>558</v>
      </c>
      <c r="AR84" s="35"/>
      <c r="AS84" s="35">
        <f t="shared" si="26"/>
        <v>388</v>
      </c>
      <c r="AT84" s="6">
        <v>357</v>
      </c>
      <c r="AU84" s="6">
        <v>580</v>
      </c>
      <c r="AV84" s="35">
        <f t="shared" si="27"/>
        <v>379</v>
      </c>
      <c r="AW84" s="6">
        <v>253</v>
      </c>
      <c r="AX84" s="6">
        <v>487</v>
      </c>
      <c r="AY84" s="35">
        <f t="shared" si="28"/>
        <v>383</v>
      </c>
      <c r="AZ84" s="35">
        <v>643</v>
      </c>
      <c r="BA84" s="35"/>
      <c r="BB84" s="35">
        <f t="shared" si="29"/>
        <v>390</v>
      </c>
      <c r="BC84" s="6">
        <v>1032</v>
      </c>
      <c r="BD84" s="6"/>
      <c r="BE84" s="35">
        <f t="shared" si="30"/>
        <v>389</v>
      </c>
      <c r="BF84" s="6">
        <v>1413</v>
      </c>
      <c r="BG84" s="6"/>
      <c r="BH84" s="6">
        <f t="shared" si="31"/>
        <v>381</v>
      </c>
      <c r="BI84" s="6"/>
      <c r="BJ84" s="107"/>
      <c r="BK84" s="6"/>
      <c r="BL84" s="6">
        <v>248</v>
      </c>
      <c r="BM84" s="6">
        <v>1560</v>
      </c>
      <c r="BN84" s="6">
        <f t="shared" si="32"/>
        <v>395</v>
      </c>
      <c r="BO84" s="6">
        <v>632</v>
      </c>
      <c r="BP84" s="6"/>
      <c r="BQ84" s="35">
        <f t="shared" si="33"/>
        <v>384</v>
      </c>
      <c r="BR84" s="6">
        <v>78</v>
      </c>
      <c r="BS84" s="6">
        <v>938</v>
      </c>
      <c r="BT84" s="6">
        <f t="shared" si="34"/>
        <v>384</v>
      </c>
      <c r="BU84" s="6">
        <v>465</v>
      </c>
      <c r="BV84" s="6"/>
      <c r="BW84" s="35">
        <f t="shared" si="35"/>
        <v>387</v>
      </c>
      <c r="BX84" s="6">
        <v>860</v>
      </c>
      <c r="BY84" s="6"/>
      <c r="BZ84" s="6">
        <f t="shared" si="36"/>
        <v>395</v>
      </c>
      <c r="CA84" s="6">
        <v>260</v>
      </c>
      <c r="CB84" s="6">
        <v>968</v>
      </c>
      <c r="CC84" s="6">
        <f t="shared" si="37"/>
        <v>368</v>
      </c>
      <c r="CD84" s="6"/>
      <c r="CE84" s="6"/>
      <c r="CF84" s="6"/>
      <c r="CG84" s="6">
        <v>645</v>
      </c>
      <c r="CH84" s="6"/>
      <c r="CI84" s="6">
        <f t="shared" si="38"/>
        <v>385</v>
      </c>
      <c r="CJ84" s="6">
        <v>374</v>
      </c>
      <c r="CK84" s="6">
        <v>646</v>
      </c>
      <c r="CL84" s="6">
        <f t="shared" si="39"/>
        <v>375</v>
      </c>
      <c r="CM84" s="6">
        <v>753</v>
      </c>
      <c r="CN84" s="6"/>
      <c r="CO84" s="6">
        <f t="shared" si="40"/>
        <v>379</v>
      </c>
      <c r="CP84" s="6">
        <v>875</v>
      </c>
      <c r="CQ84" s="6"/>
      <c r="CR84" s="6">
        <f t="shared" si="41"/>
        <v>122</v>
      </c>
      <c r="CS84" s="6">
        <v>0</v>
      </c>
      <c r="CT84" s="6">
        <v>1018</v>
      </c>
      <c r="CU84" s="6">
        <f t="shared" si="42"/>
        <v>143</v>
      </c>
      <c r="CV84" s="6">
        <v>180</v>
      </c>
      <c r="CW84" s="6"/>
      <c r="CX84" s="6">
        <f t="shared" si="43"/>
        <v>180</v>
      </c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</row>
    <row r="85" spans="1:117">
      <c r="A85" s="6">
        <v>81</v>
      </c>
      <c r="B85" s="6">
        <v>0</v>
      </c>
      <c r="C85" s="6">
        <v>818</v>
      </c>
      <c r="D85" s="6">
        <v>311</v>
      </c>
      <c r="E85" s="33" t="s">
        <v>37</v>
      </c>
      <c r="F85" s="148" t="s">
        <v>37</v>
      </c>
      <c r="G85" s="33" t="s">
        <v>37</v>
      </c>
      <c r="H85" s="33" t="s">
        <v>37</v>
      </c>
      <c r="I85" s="33" t="s">
        <v>37</v>
      </c>
      <c r="J85" s="33" t="s">
        <v>37</v>
      </c>
      <c r="K85" s="33" t="s">
        <v>37</v>
      </c>
      <c r="L85" s="33" t="s">
        <v>37</v>
      </c>
      <c r="M85" s="33" t="s">
        <v>37</v>
      </c>
      <c r="N85" s="33" t="s">
        <v>37</v>
      </c>
      <c r="O85" s="33" t="s">
        <v>37</v>
      </c>
      <c r="P85" s="33" t="s">
        <v>37</v>
      </c>
      <c r="Q85" s="33" t="s">
        <v>37</v>
      </c>
      <c r="R85" s="33" t="s">
        <v>37</v>
      </c>
      <c r="S85" s="33" t="s">
        <v>37</v>
      </c>
      <c r="T85" s="33" t="s">
        <v>37</v>
      </c>
      <c r="U85" s="33" t="s">
        <v>37</v>
      </c>
      <c r="V85" s="33" t="s">
        <v>37</v>
      </c>
      <c r="W85" s="33" t="s">
        <v>37</v>
      </c>
      <c r="X85" s="33" t="s">
        <v>37</v>
      </c>
      <c r="Y85" s="33" t="s">
        <v>37</v>
      </c>
      <c r="Z85" s="33" t="s">
        <v>37</v>
      </c>
      <c r="AA85" s="148" t="s">
        <v>37</v>
      </c>
      <c r="AB85" s="35">
        <v>349</v>
      </c>
      <c r="AC85" s="35"/>
      <c r="AD85" s="35">
        <f t="shared" si="22"/>
        <v>349</v>
      </c>
      <c r="AE85" s="35">
        <v>724</v>
      </c>
      <c r="AF85" s="35"/>
      <c r="AG85" s="35">
        <f t="shared" si="23"/>
        <v>375</v>
      </c>
      <c r="AH85" s="35">
        <v>1112</v>
      </c>
      <c r="AI85" s="35"/>
      <c r="AJ85" s="35">
        <f t="shared" si="24"/>
        <v>388</v>
      </c>
      <c r="AK85" s="35">
        <v>1451</v>
      </c>
      <c r="AL85" s="35"/>
      <c r="AM85" s="35">
        <f t="shared" si="25"/>
        <v>339</v>
      </c>
      <c r="AN85" s="35"/>
      <c r="AO85" s="35"/>
      <c r="AP85" s="34"/>
      <c r="AQ85" s="35">
        <v>264</v>
      </c>
      <c r="AR85" s="35">
        <v>1560</v>
      </c>
      <c r="AS85" s="35">
        <f t="shared" si="26"/>
        <v>373</v>
      </c>
      <c r="AT85" s="6">
        <v>13</v>
      </c>
      <c r="AU85" s="6">
        <v>616</v>
      </c>
      <c r="AV85" s="35">
        <f t="shared" si="27"/>
        <v>365</v>
      </c>
      <c r="AW85" s="6">
        <v>380</v>
      </c>
      <c r="AX85" s="6"/>
      <c r="AY85" s="35">
        <f t="shared" si="28"/>
        <v>367</v>
      </c>
      <c r="AZ85" s="6">
        <v>359</v>
      </c>
      <c r="BA85" s="6">
        <v>399</v>
      </c>
      <c r="BB85" s="35">
        <f t="shared" si="29"/>
        <v>378</v>
      </c>
      <c r="BC85" s="6">
        <v>749</v>
      </c>
      <c r="BD85" s="6"/>
      <c r="BE85" s="35">
        <f t="shared" si="30"/>
        <v>390</v>
      </c>
      <c r="BF85" s="6">
        <v>1127</v>
      </c>
      <c r="BG85" s="6"/>
      <c r="BH85" s="6">
        <f t="shared" si="31"/>
        <v>378</v>
      </c>
      <c r="BI85" s="6"/>
      <c r="BJ85" s="35"/>
      <c r="BK85" s="6"/>
      <c r="BL85" s="6">
        <v>1523</v>
      </c>
      <c r="BM85" s="6"/>
      <c r="BN85" s="6">
        <f t="shared" si="32"/>
        <v>396</v>
      </c>
      <c r="BO85" s="6">
        <v>344</v>
      </c>
      <c r="BP85" s="6">
        <v>1560</v>
      </c>
      <c r="BQ85" s="35">
        <f t="shared" si="33"/>
        <v>381</v>
      </c>
      <c r="BR85" s="6">
        <v>735</v>
      </c>
      <c r="BS85" s="6"/>
      <c r="BT85" s="6">
        <f t="shared" si="34"/>
        <v>391</v>
      </c>
      <c r="BU85" s="6">
        <v>209</v>
      </c>
      <c r="BV85" s="6">
        <v>909</v>
      </c>
      <c r="BW85" s="35">
        <f t="shared" si="35"/>
        <v>383</v>
      </c>
      <c r="BX85" s="6">
        <v>596</v>
      </c>
      <c r="BY85" s="35"/>
      <c r="BZ85" s="6">
        <f t="shared" si="36"/>
        <v>387</v>
      </c>
      <c r="CA85" s="6">
        <v>201</v>
      </c>
      <c r="CB85" s="6">
        <v>768</v>
      </c>
      <c r="CC85" s="6">
        <f t="shared" si="37"/>
        <v>373</v>
      </c>
      <c r="CD85" s="6"/>
      <c r="CE85" s="35"/>
      <c r="CF85" s="6"/>
      <c r="CG85" s="6">
        <v>133</v>
      </c>
      <c r="CH85" s="6">
        <v>467</v>
      </c>
      <c r="CI85" s="6">
        <f t="shared" si="38"/>
        <v>399</v>
      </c>
      <c r="CJ85" s="6">
        <v>525</v>
      </c>
      <c r="CK85" s="6"/>
      <c r="CL85" s="6">
        <f t="shared" si="39"/>
        <v>392</v>
      </c>
      <c r="CM85" s="6">
        <v>905</v>
      </c>
      <c r="CN85" s="6"/>
      <c r="CO85" s="6">
        <f t="shared" si="40"/>
        <v>380</v>
      </c>
      <c r="CP85" s="6">
        <v>324</v>
      </c>
      <c r="CQ85" s="6">
        <v>956</v>
      </c>
      <c r="CR85" s="6">
        <f t="shared" si="41"/>
        <v>375</v>
      </c>
      <c r="CS85" s="6">
        <v>0</v>
      </c>
      <c r="CT85" s="6">
        <v>635</v>
      </c>
      <c r="CU85" s="6">
        <f t="shared" si="42"/>
        <v>311</v>
      </c>
      <c r="CV85" s="6">
        <v>176</v>
      </c>
      <c r="CW85" s="6"/>
      <c r="CX85" s="6">
        <f t="shared" si="43"/>
        <v>176</v>
      </c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</row>
    <row r="86" spans="1:117">
      <c r="A86" s="6">
        <v>82</v>
      </c>
      <c r="B86" s="6">
        <v>1371</v>
      </c>
      <c r="C86" s="6"/>
      <c r="D86" s="6">
        <v>360</v>
      </c>
      <c r="E86" s="33" t="s">
        <v>37</v>
      </c>
      <c r="F86" s="33" t="s">
        <v>37</v>
      </c>
      <c r="G86" s="33" t="s">
        <v>37</v>
      </c>
      <c r="H86" s="33" t="s">
        <v>37</v>
      </c>
      <c r="I86" s="33" t="s">
        <v>37</v>
      </c>
      <c r="J86" s="33" t="s">
        <v>37</v>
      </c>
      <c r="K86" s="33" t="s">
        <v>37</v>
      </c>
      <c r="L86" s="33" t="s">
        <v>37</v>
      </c>
      <c r="M86" s="33" t="s">
        <v>37</v>
      </c>
      <c r="N86" s="33" t="s">
        <v>37</v>
      </c>
      <c r="O86" s="33" t="s">
        <v>37</v>
      </c>
      <c r="P86" s="33" t="s">
        <v>37</v>
      </c>
      <c r="Q86" s="33" t="s">
        <v>37</v>
      </c>
      <c r="R86" s="33" t="s">
        <v>37</v>
      </c>
      <c r="S86" s="148" t="s">
        <v>128</v>
      </c>
      <c r="T86" s="33" t="s">
        <v>128</v>
      </c>
      <c r="U86" s="33" t="s">
        <v>128</v>
      </c>
      <c r="V86" s="33" t="s">
        <v>128</v>
      </c>
      <c r="W86" s="33" t="s">
        <v>128</v>
      </c>
      <c r="X86" s="33" t="s">
        <v>128</v>
      </c>
      <c r="Y86" s="33" t="s">
        <v>128</v>
      </c>
      <c r="Z86" s="33" t="s">
        <v>128</v>
      </c>
      <c r="AA86" s="33" t="s">
        <v>128</v>
      </c>
      <c r="AB86" s="6">
        <v>154</v>
      </c>
      <c r="AC86" s="6">
        <v>1630</v>
      </c>
      <c r="AD86" s="35">
        <f t="shared" si="22"/>
        <v>413</v>
      </c>
      <c r="AE86" s="6">
        <v>536</v>
      </c>
      <c r="AF86" s="6"/>
      <c r="AG86" s="35">
        <f t="shared" si="23"/>
        <v>382</v>
      </c>
      <c r="AH86" s="35">
        <v>922</v>
      </c>
      <c r="AI86" s="35"/>
      <c r="AJ86" s="35">
        <f t="shared" si="24"/>
        <v>386</v>
      </c>
      <c r="AK86" s="6">
        <v>1286</v>
      </c>
      <c r="AL86" s="6"/>
      <c r="AM86" s="35">
        <f t="shared" si="25"/>
        <v>364</v>
      </c>
      <c r="AN86" s="6"/>
      <c r="AO86" s="6"/>
      <c r="AP86" s="34"/>
      <c r="AQ86" s="35">
        <v>116</v>
      </c>
      <c r="AR86" s="35">
        <v>1560</v>
      </c>
      <c r="AS86" s="35">
        <f t="shared" si="26"/>
        <v>390</v>
      </c>
      <c r="AT86" s="6">
        <v>500</v>
      </c>
      <c r="AU86" s="6"/>
      <c r="AV86" s="35">
        <f t="shared" si="27"/>
        <v>384</v>
      </c>
      <c r="AW86" s="6">
        <v>886</v>
      </c>
      <c r="AX86" s="6"/>
      <c r="AY86" s="35">
        <f t="shared" si="28"/>
        <v>386</v>
      </c>
      <c r="AZ86" s="35">
        <v>1277</v>
      </c>
      <c r="BA86" s="35"/>
      <c r="BB86" s="35">
        <f t="shared" si="29"/>
        <v>391</v>
      </c>
      <c r="BC86" s="6">
        <v>105</v>
      </c>
      <c r="BD86" s="6">
        <v>1560</v>
      </c>
      <c r="BE86" s="35">
        <f t="shared" si="30"/>
        <v>388</v>
      </c>
      <c r="BF86" s="6">
        <v>480</v>
      </c>
      <c r="BG86" s="6"/>
      <c r="BH86" s="6">
        <f t="shared" si="31"/>
        <v>375</v>
      </c>
      <c r="BI86" s="6"/>
      <c r="BJ86" s="6"/>
      <c r="BK86" s="6"/>
      <c r="BL86" s="6">
        <v>874</v>
      </c>
      <c r="BM86" s="6"/>
      <c r="BN86" s="6">
        <f t="shared" si="32"/>
        <v>394</v>
      </c>
      <c r="BO86" s="6">
        <v>1260</v>
      </c>
      <c r="BP86" s="6"/>
      <c r="BQ86" s="35">
        <f t="shared" si="33"/>
        <v>386</v>
      </c>
      <c r="BR86" s="6">
        <v>0</v>
      </c>
      <c r="BS86" s="6">
        <v>1552</v>
      </c>
      <c r="BT86" s="6">
        <f t="shared" si="34"/>
        <v>292</v>
      </c>
      <c r="BU86" s="6">
        <v>335</v>
      </c>
      <c r="BV86" s="6"/>
      <c r="BW86" s="35">
        <f t="shared" si="35"/>
        <v>335</v>
      </c>
      <c r="BX86" s="6">
        <v>715</v>
      </c>
      <c r="BY86" s="6"/>
      <c r="BZ86" s="6">
        <f t="shared" si="36"/>
        <v>380</v>
      </c>
      <c r="CA86" s="6">
        <v>1092</v>
      </c>
      <c r="CB86" s="6"/>
      <c r="CC86" s="6">
        <f t="shared" si="37"/>
        <v>377</v>
      </c>
      <c r="CD86" s="6"/>
      <c r="CE86" s="6"/>
      <c r="CF86" s="6"/>
      <c r="CG86" s="6">
        <v>1488</v>
      </c>
      <c r="CH86" s="6"/>
      <c r="CI86" s="6">
        <f t="shared" si="38"/>
        <v>396</v>
      </c>
      <c r="CJ86" s="6">
        <v>311</v>
      </c>
      <c r="CK86" s="6">
        <v>1560</v>
      </c>
      <c r="CL86" s="6">
        <f t="shared" si="39"/>
        <v>383</v>
      </c>
      <c r="CM86" s="6">
        <v>692</v>
      </c>
      <c r="CN86" s="6"/>
      <c r="CO86" s="6">
        <f t="shared" si="40"/>
        <v>381</v>
      </c>
      <c r="CP86" s="6">
        <v>1081</v>
      </c>
      <c r="CQ86" s="6"/>
      <c r="CR86" s="6">
        <f t="shared" si="41"/>
        <v>389</v>
      </c>
      <c r="CS86" s="6">
        <v>1481</v>
      </c>
      <c r="CT86" s="6"/>
      <c r="CU86" s="6">
        <f t="shared" si="42"/>
        <v>400</v>
      </c>
      <c r="CV86" s="6">
        <v>133</v>
      </c>
      <c r="CW86" s="6">
        <v>1560</v>
      </c>
      <c r="CX86" s="6">
        <f t="shared" si="43"/>
        <v>212</v>
      </c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</row>
    <row r="87" spans="1:117">
      <c r="A87" s="6">
        <v>83</v>
      </c>
      <c r="B87" s="6">
        <v>1455</v>
      </c>
      <c r="C87" s="6"/>
      <c r="D87" s="6">
        <v>362</v>
      </c>
      <c r="E87" s="33" t="s">
        <v>37</v>
      </c>
      <c r="F87" s="33" t="s">
        <v>37</v>
      </c>
      <c r="G87" s="33" t="s">
        <v>37</v>
      </c>
      <c r="H87" s="33" t="s">
        <v>37</v>
      </c>
      <c r="I87" s="33" t="s">
        <v>37</v>
      </c>
      <c r="J87" s="33" t="s">
        <v>37</v>
      </c>
      <c r="K87" s="33" t="s">
        <v>37</v>
      </c>
      <c r="L87" s="33" t="s">
        <v>37</v>
      </c>
      <c r="M87" s="33" t="s">
        <v>37</v>
      </c>
      <c r="N87" s="33" t="s">
        <v>37</v>
      </c>
      <c r="O87" s="33" t="s">
        <v>37</v>
      </c>
      <c r="P87" s="33" t="s">
        <v>37</v>
      </c>
      <c r="Q87" s="33" t="s">
        <v>37</v>
      </c>
      <c r="R87" s="33" t="s">
        <v>37</v>
      </c>
      <c r="S87" s="148" t="s">
        <v>128</v>
      </c>
      <c r="T87" s="33" t="s">
        <v>128</v>
      </c>
      <c r="U87" s="33" t="s">
        <v>128</v>
      </c>
      <c r="V87" s="33" t="s">
        <v>128</v>
      </c>
      <c r="W87" s="33" t="s">
        <v>128</v>
      </c>
      <c r="X87" s="33" t="s">
        <v>128</v>
      </c>
      <c r="Y87" s="33" t="s">
        <v>128</v>
      </c>
      <c r="Z87" s="33" t="s">
        <v>128</v>
      </c>
      <c r="AA87" s="33" t="s">
        <v>128</v>
      </c>
      <c r="AB87" s="6">
        <v>294</v>
      </c>
      <c r="AC87" s="6">
        <v>1560</v>
      </c>
      <c r="AD87" s="35">
        <f t="shared" si="22"/>
        <v>399</v>
      </c>
      <c r="AE87" s="6">
        <v>677</v>
      </c>
      <c r="AF87" s="6"/>
      <c r="AG87" s="35">
        <f t="shared" si="23"/>
        <v>383</v>
      </c>
      <c r="AH87" s="35">
        <v>341</v>
      </c>
      <c r="AI87" s="35">
        <v>713</v>
      </c>
      <c r="AJ87" s="35">
        <f t="shared" si="24"/>
        <v>377</v>
      </c>
      <c r="AK87" s="35">
        <v>689</v>
      </c>
      <c r="AL87" s="6"/>
      <c r="AM87" s="35">
        <f t="shared" si="25"/>
        <v>348</v>
      </c>
      <c r="AN87" s="6"/>
      <c r="AO87" s="6"/>
      <c r="AP87" s="34"/>
      <c r="AQ87" s="35">
        <v>1073</v>
      </c>
      <c r="AR87" s="35"/>
      <c r="AS87" s="35">
        <f t="shared" si="26"/>
        <v>384</v>
      </c>
      <c r="AT87" s="6">
        <v>1450</v>
      </c>
      <c r="AU87" s="6"/>
      <c r="AV87" s="35">
        <f t="shared" si="27"/>
        <v>377</v>
      </c>
      <c r="AW87" s="6">
        <v>362</v>
      </c>
      <c r="AX87" s="6">
        <v>1469</v>
      </c>
      <c r="AY87" s="35">
        <f t="shared" si="28"/>
        <v>381</v>
      </c>
      <c r="AZ87" s="35">
        <v>740</v>
      </c>
      <c r="BA87" s="35"/>
      <c r="BB87" s="35">
        <f t="shared" si="29"/>
        <v>378</v>
      </c>
      <c r="BC87" s="6">
        <v>9</v>
      </c>
      <c r="BD87" s="6">
        <v>1100</v>
      </c>
      <c r="BE87" s="35">
        <f t="shared" si="30"/>
        <v>369</v>
      </c>
      <c r="BF87" s="6">
        <v>391</v>
      </c>
      <c r="BG87" s="6"/>
      <c r="BH87" s="6">
        <f t="shared" si="31"/>
        <v>382</v>
      </c>
      <c r="BI87" s="6"/>
      <c r="BJ87" s="6"/>
      <c r="BK87" s="6"/>
      <c r="BL87" s="6">
        <v>792</v>
      </c>
      <c r="BM87" s="6"/>
      <c r="BN87" s="6">
        <f t="shared" si="32"/>
        <v>401</v>
      </c>
      <c r="BO87" s="6">
        <v>1176</v>
      </c>
      <c r="BP87" s="6"/>
      <c r="BQ87" s="35">
        <f t="shared" si="33"/>
        <v>384</v>
      </c>
      <c r="BR87" s="6">
        <v>0</v>
      </c>
      <c r="BS87" s="6">
        <v>1466</v>
      </c>
      <c r="BT87" s="6">
        <f t="shared" si="34"/>
        <v>290</v>
      </c>
      <c r="BU87" s="6">
        <v>359</v>
      </c>
      <c r="BV87" s="6"/>
      <c r="BW87" s="35">
        <f t="shared" si="35"/>
        <v>359</v>
      </c>
      <c r="BX87" s="6">
        <v>22</v>
      </c>
      <c r="BY87" s="6">
        <v>729</v>
      </c>
      <c r="BZ87" s="6">
        <f t="shared" si="36"/>
        <v>392</v>
      </c>
      <c r="CA87" s="6">
        <v>397</v>
      </c>
      <c r="CB87" s="6"/>
      <c r="CC87" s="6">
        <f t="shared" si="37"/>
        <v>375</v>
      </c>
      <c r="CD87" s="6"/>
      <c r="CE87" s="6"/>
      <c r="CF87" s="6"/>
      <c r="CG87" s="6">
        <v>788</v>
      </c>
      <c r="CH87" s="6"/>
      <c r="CI87" s="6">
        <f t="shared" si="38"/>
        <v>391</v>
      </c>
      <c r="CJ87" s="6">
        <v>1174</v>
      </c>
      <c r="CK87" s="6"/>
      <c r="CL87" s="6">
        <f t="shared" si="39"/>
        <v>386</v>
      </c>
      <c r="CM87" s="6">
        <v>1559</v>
      </c>
      <c r="CN87" s="6"/>
      <c r="CO87" s="6">
        <f t="shared" si="40"/>
        <v>385</v>
      </c>
      <c r="CP87" s="6">
        <v>379</v>
      </c>
      <c r="CQ87" s="6">
        <v>1560</v>
      </c>
      <c r="CR87" s="6">
        <f t="shared" si="41"/>
        <v>380</v>
      </c>
      <c r="CS87" s="6">
        <v>771</v>
      </c>
      <c r="CT87" s="6"/>
      <c r="CU87" s="6">
        <f t="shared" si="42"/>
        <v>392</v>
      </c>
      <c r="CV87" s="6">
        <v>104</v>
      </c>
      <c r="CW87" s="6">
        <v>859</v>
      </c>
      <c r="CX87" s="6">
        <f t="shared" si="43"/>
        <v>192</v>
      </c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</row>
    <row r="88" spans="1:117">
      <c r="A88" s="6">
        <v>84</v>
      </c>
      <c r="B88" s="6">
        <v>315</v>
      </c>
      <c r="C88" s="6"/>
      <c r="D88" s="6">
        <v>315</v>
      </c>
      <c r="E88" s="148" t="s">
        <v>37</v>
      </c>
      <c r="F88" s="33" t="s">
        <v>37</v>
      </c>
      <c r="G88" s="33" t="s">
        <v>37</v>
      </c>
      <c r="H88" s="33" t="s">
        <v>37</v>
      </c>
      <c r="I88" s="33" t="s">
        <v>37</v>
      </c>
      <c r="J88" s="33" t="s">
        <v>37</v>
      </c>
      <c r="K88" s="33" t="s">
        <v>37</v>
      </c>
      <c r="L88" s="33" t="s">
        <v>37</v>
      </c>
      <c r="M88" s="33" t="s">
        <v>37</v>
      </c>
      <c r="N88" s="33" t="s">
        <v>37</v>
      </c>
      <c r="O88" s="33" t="s">
        <v>37</v>
      </c>
      <c r="P88" s="33" t="s">
        <v>37</v>
      </c>
      <c r="Q88" s="33" t="s">
        <v>37</v>
      </c>
      <c r="R88" s="33" t="s">
        <v>37</v>
      </c>
      <c r="S88" s="33" t="s">
        <v>37</v>
      </c>
      <c r="T88" s="33" t="s">
        <v>37</v>
      </c>
      <c r="U88" s="33" t="s">
        <v>37</v>
      </c>
      <c r="V88" s="33" t="s">
        <v>37</v>
      </c>
      <c r="W88" s="33" t="s">
        <v>37</v>
      </c>
      <c r="X88" s="33" t="s">
        <v>37</v>
      </c>
      <c r="Y88" s="33" t="s">
        <v>37</v>
      </c>
      <c r="Z88" s="33" t="s">
        <v>37</v>
      </c>
      <c r="AA88" s="148" t="s">
        <v>37</v>
      </c>
      <c r="AB88" s="35">
        <v>712</v>
      </c>
      <c r="AC88" s="35"/>
      <c r="AD88" s="35">
        <f t="shared" si="22"/>
        <v>397</v>
      </c>
      <c r="AE88" s="35">
        <v>1077</v>
      </c>
      <c r="AF88" s="35"/>
      <c r="AG88" s="35">
        <f t="shared" si="23"/>
        <v>365</v>
      </c>
      <c r="AH88" s="35">
        <v>109</v>
      </c>
      <c r="AI88" s="35">
        <v>1350</v>
      </c>
      <c r="AJ88" s="35">
        <f t="shared" si="24"/>
        <v>382</v>
      </c>
      <c r="AK88" s="35">
        <v>467</v>
      </c>
      <c r="AL88" s="35"/>
      <c r="AM88" s="35">
        <f t="shared" si="25"/>
        <v>358</v>
      </c>
      <c r="AN88" s="6"/>
      <c r="AO88" s="6"/>
      <c r="AP88" s="34"/>
      <c r="AQ88" s="35">
        <v>836</v>
      </c>
      <c r="AR88" s="35"/>
      <c r="AS88" s="35">
        <f t="shared" si="26"/>
        <v>369</v>
      </c>
      <c r="AT88" s="6">
        <v>338</v>
      </c>
      <c r="AU88" s="6">
        <v>872</v>
      </c>
      <c r="AV88" s="35">
        <f t="shared" si="27"/>
        <v>374</v>
      </c>
      <c r="AW88" s="6">
        <v>722</v>
      </c>
      <c r="AX88" s="6"/>
      <c r="AY88" s="35">
        <f t="shared" si="28"/>
        <v>384</v>
      </c>
      <c r="AZ88" s="6">
        <v>371</v>
      </c>
      <c r="BA88" s="6">
        <v>732</v>
      </c>
      <c r="BB88" s="35">
        <f t="shared" si="29"/>
        <v>381</v>
      </c>
      <c r="BC88" s="6">
        <v>756</v>
      </c>
      <c r="BD88" s="6"/>
      <c r="BE88" s="35">
        <f t="shared" si="30"/>
        <v>385</v>
      </c>
      <c r="BF88" s="6">
        <v>148</v>
      </c>
      <c r="BG88" s="6">
        <v>893</v>
      </c>
      <c r="BH88" s="6">
        <f t="shared" si="31"/>
        <v>285</v>
      </c>
      <c r="BI88" s="6"/>
      <c r="BJ88" s="35"/>
      <c r="BK88" s="6"/>
      <c r="BL88" s="6">
        <v>147</v>
      </c>
      <c r="BM88" s="6">
        <v>397</v>
      </c>
      <c r="BN88" s="6">
        <f t="shared" si="32"/>
        <v>396</v>
      </c>
      <c r="BO88" s="6">
        <v>530</v>
      </c>
      <c r="BP88" s="6"/>
      <c r="BQ88" s="35">
        <f t="shared" si="33"/>
        <v>383</v>
      </c>
      <c r="BR88" s="6">
        <v>922</v>
      </c>
      <c r="BS88" s="6"/>
      <c r="BT88" s="6">
        <f t="shared" si="34"/>
        <v>392</v>
      </c>
      <c r="BU88" s="6">
        <v>1303</v>
      </c>
      <c r="BV88" s="6"/>
      <c r="BW88" s="35">
        <f t="shared" si="35"/>
        <v>381</v>
      </c>
      <c r="BX88" s="6">
        <v>131</v>
      </c>
      <c r="BY88" s="35">
        <v>1560</v>
      </c>
      <c r="BZ88" s="6">
        <f t="shared" si="36"/>
        <v>388</v>
      </c>
      <c r="CA88" s="6">
        <v>506</v>
      </c>
      <c r="CB88" s="6"/>
      <c r="CC88" s="6">
        <f t="shared" si="37"/>
        <v>375</v>
      </c>
      <c r="CD88" s="6"/>
      <c r="CE88" s="35"/>
      <c r="CF88" s="6"/>
      <c r="CG88" s="6">
        <v>895</v>
      </c>
      <c r="CH88" s="6"/>
      <c r="CI88" s="6">
        <f t="shared" si="38"/>
        <v>389</v>
      </c>
      <c r="CJ88" s="6">
        <v>1285</v>
      </c>
      <c r="CK88" s="6"/>
      <c r="CL88" s="6">
        <f t="shared" si="39"/>
        <v>390</v>
      </c>
      <c r="CM88" s="6">
        <v>1672</v>
      </c>
      <c r="CN88" s="6"/>
      <c r="CO88" s="6">
        <f t="shared" si="40"/>
        <v>387</v>
      </c>
      <c r="CP88" s="6">
        <v>1797</v>
      </c>
      <c r="CQ88" s="6"/>
      <c r="CR88" s="6">
        <f t="shared" si="41"/>
        <v>125</v>
      </c>
      <c r="CS88" s="6">
        <v>0</v>
      </c>
      <c r="CT88" s="6">
        <v>2006</v>
      </c>
      <c r="CU88" s="6">
        <f t="shared" si="42"/>
        <v>209</v>
      </c>
      <c r="CV88" s="6">
        <v>160</v>
      </c>
      <c r="CW88" s="6"/>
      <c r="CX88" s="6">
        <f t="shared" si="43"/>
        <v>160</v>
      </c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</row>
    <row r="89" spans="1:117">
      <c r="A89" s="6">
        <v>85</v>
      </c>
      <c r="B89" s="6">
        <v>611</v>
      </c>
      <c r="C89" s="6"/>
      <c r="D89" s="6">
        <v>350</v>
      </c>
      <c r="E89" s="33" t="s">
        <v>37</v>
      </c>
      <c r="F89" s="33" t="s">
        <v>37</v>
      </c>
      <c r="G89" s="33" t="s">
        <v>37</v>
      </c>
      <c r="H89" s="33" t="s">
        <v>37</v>
      </c>
      <c r="I89" s="33" t="s">
        <v>37</v>
      </c>
      <c r="J89" s="33" t="s">
        <v>37</v>
      </c>
      <c r="K89" s="33" t="s">
        <v>37</v>
      </c>
      <c r="L89" s="33" t="s">
        <v>37</v>
      </c>
      <c r="M89" s="33" t="s">
        <v>37</v>
      </c>
      <c r="N89" s="33" t="s">
        <v>37</v>
      </c>
      <c r="O89" s="33" t="s">
        <v>37</v>
      </c>
      <c r="P89" s="33" t="s">
        <v>37</v>
      </c>
      <c r="Q89" s="33" t="s">
        <v>37</v>
      </c>
      <c r="R89" s="33" t="s">
        <v>37</v>
      </c>
      <c r="S89" s="148" t="s">
        <v>128</v>
      </c>
      <c r="T89" s="33" t="s">
        <v>128</v>
      </c>
      <c r="U89" s="33" t="s">
        <v>128</v>
      </c>
      <c r="V89" s="33" t="s">
        <v>128</v>
      </c>
      <c r="W89" s="33" t="s">
        <v>128</v>
      </c>
      <c r="X89" s="33" t="s">
        <v>128</v>
      </c>
      <c r="Y89" s="33" t="s">
        <v>128</v>
      </c>
      <c r="Z89" s="33" t="s">
        <v>128</v>
      </c>
      <c r="AA89" s="33" t="s">
        <v>128</v>
      </c>
      <c r="AB89" s="6">
        <v>1010</v>
      </c>
      <c r="AC89" s="6"/>
      <c r="AD89" s="35">
        <f t="shared" si="22"/>
        <v>399</v>
      </c>
      <c r="AE89" s="6">
        <v>1385</v>
      </c>
      <c r="AF89" s="6"/>
      <c r="AG89" s="35">
        <f t="shared" si="23"/>
        <v>375</v>
      </c>
      <c r="AH89" s="35">
        <v>194</v>
      </c>
      <c r="AI89" s="35">
        <v>1560</v>
      </c>
      <c r="AJ89" s="35">
        <f t="shared" si="24"/>
        <v>369</v>
      </c>
      <c r="AK89" s="6">
        <v>81</v>
      </c>
      <c r="AL89" s="6">
        <v>451</v>
      </c>
      <c r="AM89" s="35">
        <f t="shared" si="25"/>
        <v>338</v>
      </c>
      <c r="AN89" s="6"/>
      <c r="AO89" s="6"/>
      <c r="AP89" s="34"/>
      <c r="AQ89" s="35">
        <v>468</v>
      </c>
      <c r="AR89" s="35"/>
      <c r="AS89" s="35">
        <f t="shared" si="26"/>
        <v>387</v>
      </c>
      <c r="AT89" s="6">
        <v>855</v>
      </c>
      <c r="AU89" s="6"/>
      <c r="AV89" s="35">
        <f t="shared" si="27"/>
        <v>387</v>
      </c>
      <c r="AW89" s="6">
        <v>291</v>
      </c>
      <c r="AX89" s="6">
        <v>949</v>
      </c>
      <c r="AY89" s="35">
        <f t="shared" si="28"/>
        <v>385</v>
      </c>
      <c r="AZ89" s="35">
        <v>168</v>
      </c>
      <c r="BA89" s="35">
        <v>471</v>
      </c>
      <c r="BB89" s="35">
        <f t="shared" si="29"/>
        <v>348</v>
      </c>
      <c r="BC89" s="6">
        <v>89</v>
      </c>
      <c r="BD89" s="6">
        <f>290+168</f>
        <v>458</v>
      </c>
      <c r="BE89" s="35">
        <f t="shared" si="30"/>
        <v>379</v>
      </c>
      <c r="BF89" s="6">
        <v>458</v>
      </c>
      <c r="BG89" s="6"/>
      <c r="BH89" s="6">
        <f t="shared" si="31"/>
        <v>369</v>
      </c>
      <c r="BI89" s="6"/>
      <c r="BJ89" s="6"/>
      <c r="BK89" s="6"/>
      <c r="BL89" s="6">
        <v>850</v>
      </c>
      <c r="BM89" s="6"/>
      <c r="BN89" s="6">
        <f t="shared" si="32"/>
        <v>392</v>
      </c>
      <c r="BO89" s="6">
        <v>1230</v>
      </c>
      <c r="BP89" s="6"/>
      <c r="BQ89" s="35">
        <f t="shared" si="33"/>
        <v>380</v>
      </c>
      <c r="BR89" s="6">
        <v>1616</v>
      </c>
      <c r="BS89" s="6"/>
      <c r="BT89" s="6">
        <f t="shared" si="34"/>
        <v>386</v>
      </c>
      <c r="BU89" s="6">
        <v>330</v>
      </c>
      <c r="BV89" s="6">
        <v>1660</v>
      </c>
      <c r="BW89" s="35">
        <f t="shared" si="35"/>
        <v>374</v>
      </c>
      <c r="BX89" s="35">
        <v>707</v>
      </c>
      <c r="BY89" s="6"/>
      <c r="BZ89" s="6">
        <f t="shared" si="36"/>
        <v>377</v>
      </c>
      <c r="CA89" s="6">
        <v>1068</v>
      </c>
      <c r="CB89" s="6"/>
      <c r="CC89" s="6">
        <f t="shared" si="37"/>
        <v>361</v>
      </c>
      <c r="CD89" s="6"/>
      <c r="CE89" s="6"/>
      <c r="CF89" s="6"/>
      <c r="CG89" s="6">
        <v>1455</v>
      </c>
      <c r="CH89" s="6"/>
      <c r="CI89" s="6">
        <f t="shared" si="38"/>
        <v>387</v>
      </c>
      <c r="CJ89" s="6">
        <v>286</v>
      </c>
      <c r="CK89" s="6">
        <v>1560</v>
      </c>
      <c r="CL89" s="6">
        <f t="shared" si="39"/>
        <v>391</v>
      </c>
      <c r="CM89" s="6">
        <v>312</v>
      </c>
      <c r="CN89" s="6">
        <v>350</v>
      </c>
      <c r="CO89" s="6">
        <f t="shared" si="40"/>
        <v>376</v>
      </c>
      <c r="CP89" s="6">
        <v>695</v>
      </c>
      <c r="CQ89" s="6"/>
      <c r="CR89" s="6">
        <f t="shared" si="41"/>
        <v>383</v>
      </c>
      <c r="CS89" s="6">
        <v>1081</v>
      </c>
      <c r="CT89" s="6"/>
      <c r="CU89" s="6">
        <f t="shared" si="42"/>
        <v>386</v>
      </c>
      <c r="CV89" s="6">
        <v>1293</v>
      </c>
      <c r="CW89" s="6"/>
      <c r="CX89" s="6">
        <f t="shared" si="43"/>
        <v>212</v>
      </c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</row>
    <row r="90" spans="1:117">
      <c r="A90" s="6">
        <v>86</v>
      </c>
      <c r="B90" s="6">
        <v>1045</v>
      </c>
      <c r="C90" s="6"/>
      <c r="D90" s="6">
        <v>361</v>
      </c>
      <c r="E90" s="33" t="s">
        <v>128</v>
      </c>
      <c r="F90" s="33" t="s">
        <v>128</v>
      </c>
      <c r="G90" s="33" t="s">
        <v>128</v>
      </c>
      <c r="H90" s="33" t="s">
        <v>128</v>
      </c>
      <c r="I90" s="33" t="s">
        <v>128</v>
      </c>
      <c r="J90" s="33" t="s">
        <v>128</v>
      </c>
      <c r="K90" s="33" t="s">
        <v>128</v>
      </c>
      <c r="L90" s="33" t="s">
        <v>128</v>
      </c>
      <c r="M90" s="33" t="s">
        <v>128</v>
      </c>
      <c r="N90" s="33" t="s">
        <v>128</v>
      </c>
      <c r="O90" s="33" t="s">
        <v>128</v>
      </c>
      <c r="P90" s="33" t="s">
        <v>128</v>
      </c>
      <c r="Q90" s="33" t="s">
        <v>128</v>
      </c>
      <c r="R90" s="33" t="s">
        <v>128</v>
      </c>
      <c r="S90" s="33" t="s">
        <v>128</v>
      </c>
      <c r="T90" s="33" t="s">
        <v>128</v>
      </c>
      <c r="U90" s="33" t="s">
        <v>128</v>
      </c>
      <c r="V90" s="33" t="s">
        <v>128</v>
      </c>
      <c r="W90" s="33" t="s">
        <v>128</v>
      </c>
      <c r="X90" s="148" t="s">
        <v>307</v>
      </c>
      <c r="Y90" s="33" t="s">
        <v>307</v>
      </c>
      <c r="Z90" s="33" t="s">
        <v>307</v>
      </c>
      <c r="AA90" s="33" t="s">
        <v>307</v>
      </c>
      <c r="AB90" s="6">
        <v>1445</v>
      </c>
      <c r="AC90" s="6"/>
      <c r="AD90" s="35">
        <f t="shared" si="22"/>
        <v>400</v>
      </c>
      <c r="AE90" s="6">
        <v>249</v>
      </c>
      <c r="AF90" s="6">
        <v>1560</v>
      </c>
      <c r="AG90" s="35">
        <f t="shared" si="23"/>
        <v>364</v>
      </c>
      <c r="AH90" s="35">
        <v>636</v>
      </c>
      <c r="AI90" s="35"/>
      <c r="AJ90" s="35">
        <f t="shared" si="24"/>
        <v>387</v>
      </c>
      <c r="AK90" s="6">
        <v>1003</v>
      </c>
      <c r="AL90" s="6"/>
      <c r="AM90" s="35">
        <f t="shared" si="25"/>
        <v>367</v>
      </c>
      <c r="AN90" s="6"/>
      <c r="AO90" s="6"/>
      <c r="AP90" s="34"/>
      <c r="AQ90" s="35">
        <v>1390</v>
      </c>
      <c r="AR90" s="35"/>
      <c r="AS90" s="35">
        <f t="shared" si="26"/>
        <v>387</v>
      </c>
      <c r="AT90" s="6">
        <v>219</v>
      </c>
      <c r="AU90" s="6">
        <v>1560</v>
      </c>
      <c r="AV90" s="35">
        <f t="shared" si="27"/>
        <v>389</v>
      </c>
      <c r="AW90" s="6">
        <v>607</v>
      </c>
      <c r="AX90" s="6"/>
      <c r="AY90" s="35">
        <f t="shared" si="28"/>
        <v>388</v>
      </c>
      <c r="AZ90" s="35">
        <v>1001</v>
      </c>
      <c r="BA90" s="35"/>
      <c r="BB90" s="35">
        <f t="shared" si="29"/>
        <v>394</v>
      </c>
      <c r="BC90" s="6">
        <v>124</v>
      </c>
      <c r="BD90" s="6">
        <v>1262</v>
      </c>
      <c r="BE90" s="35">
        <f t="shared" si="30"/>
        <v>385</v>
      </c>
      <c r="BF90" s="6">
        <v>502</v>
      </c>
      <c r="BG90" s="6"/>
      <c r="BH90" s="6">
        <f t="shared" si="31"/>
        <v>378</v>
      </c>
      <c r="BI90" s="6"/>
      <c r="BJ90" s="6"/>
      <c r="BK90" s="6"/>
      <c r="BL90" s="6">
        <v>887</v>
      </c>
      <c r="BM90" s="6"/>
      <c r="BN90" s="6">
        <f t="shared" si="32"/>
        <v>385</v>
      </c>
      <c r="BO90" s="6">
        <v>1273</v>
      </c>
      <c r="BP90" s="6"/>
      <c r="BQ90" s="35">
        <f t="shared" si="33"/>
        <v>386</v>
      </c>
      <c r="BR90" s="6">
        <v>24</v>
      </c>
      <c r="BS90" s="6">
        <v>1641</v>
      </c>
      <c r="BT90" s="6">
        <f t="shared" si="34"/>
        <v>392</v>
      </c>
      <c r="BU90" s="6">
        <v>413</v>
      </c>
      <c r="BV90" s="6"/>
      <c r="BW90" s="35">
        <f t="shared" si="35"/>
        <v>389</v>
      </c>
      <c r="BX90" s="6">
        <v>800</v>
      </c>
      <c r="BY90" s="6"/>
      <c r="BZ90" s="6">
        <f t="shared" si="36"/>
        <v>387</v>
      </c>
      <c r="CA90" s="6">
        <v>1173</v>
      </c>
      <c r="CB90" s="6"/>
      <c r="CC90" s="6">
        <f t="shared" si="37"/>
        <v>373</v>
      </c>
      <c r="CD90" s="6"/>
      <c r="CE90" s="6"/>
      <c r="CF90" s="6"/>
      <c r="CG90" s="6">
        <v>1572</v>
      </c>
      <c r="CH90" s="6"/>
      <c r="CI90" s="6">
        <f t="shared" si="38"/>
        <v>399</v>
      </c>
      <c r="CJ90" s="6">
        <v>0</v>
      </c>
      <c r="CK90" s="6">
        <v>1839</v>
      </c>
      <c r="CL90" s="6">
        <f t="shared" si="39"/>
        <v>267</v>
      </c>
      <c r="CM90" s="6">
        <v>275</v>
      </c>
      <c r="CN90" s="6"/>
      <c r="CO90" s="6">
        <f t="shared" si="40"/>
        <v>275</v>
      </c>
      <c r="CP90" s="6">
        <v>655</v>
      </c>
      <c r="CQ90" s="6"/>
      <c r="CR90" s="6">
        <f t="shared" si="41"/>
        <v>380</v>
      </c>
      <c r="CS90" s="6">
        <v>1035</v>
      </c>
      <c r="CT90" s="6"/>
      <c r="CU90" s="6">
        <f t="shared" si="42"/>
        <v>380</v>
      </c>
      <c r="CV90" s="6">
        <v>1242</v>
      </c>
      <c r="CW90" s="6"/>
      <c r="CX90" s="6">
        <f t="shared" si="43"/>
        <v>207</v>
      </c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</row>
    <row r="91" spans="1:117">
      <c r="A91" s="6">
        <v>87</v>
      </c>
      <c r="B91" s="6">
        <v>1038</v>
      </c>
      <c r="C91" s="6"/>
      <c r="D91" s="6">
        <v>353</v>
      </c>
      <c r="E91" s="33" t="s">
        <v>37</v>
      </c>
      <c r="F91" s="33" t="s">
        <v>37</v>
      </c>
      <c r="G91" s="33" t="s">
        <v>37</v>
      </c>
      <c r="H91" s="33" t="s">
        <v>37</v>
      </c>
      <c r="I91" s="33" t="s">
        <v>37</v>
      </c>
      <c r="J91" s="33" t="s">
        <v>37</v>
      </c>
      <c r="K91" s="33" t="s">
        <v>37</v>
      </c>
      <c r="L91" s="33" t="s">
        <v>37</v>
      </c>
      <c r="M91" s="33" t="s">
        <v>37</v>
      </c>
      <c r="N91" s="33" t="s">
        <v>37</v>
      </c>
      <c r="O91" s="33" t="s">
        <v>37</v>
      </c>
      <c r="P91" s="33" t="s">
        <v>37</v>
      </c>
      <c r="Q91" s="33" t="s">
        <v>37</v>
      </c>
      <c r="R91" s="33" t="s">
        <v>37</v>
      </c>
      <c r="S91" s="33" t="s">
        <v>37</v>
      </c>
      <c r="T91" s="148" t="s">
        <v>307</v>
      </c>
      <c r="U91" s="33" t="s">
        <v>307</v>
      </c>
      <c r="V91" s="33" t="s">
        <v>307</v>
      </c>
      <c r="W91" s="33" t="s">
        <v>307</v>
      </c>
      <c r="X91" s="33" t="s">
        <v>307</v>
      </c>
      <c r="Y91" s="33" t="s">
        <v>307</v>
      </c>
      <c r="Z91" s="33" t="s">
        <v>307</v>
      </c>
      <c r="AA91" s="33" t="s">
        <v>307</v>
      </c>
      <c r="AB91" s="6">
        <v>1450</v>
      </c>
      <c r="AC91" s="6"/>
      <c r="AD91" s="35">
        <f t="shared" si="22"/>
        <v>412</v>
      </c>
      <c r="AE91" s="6">
        <v>275</v>
      </c>
      <c r="AF91" s="6">
        <v>1560</v>
      </c>
      <c r="AG91" s="35">
        <f t="shared" si="23"/>
        <v>385</v>
      </c>
      <c r="AH91" s="35">
        <v>663</v>
      </c>
      <c r="AI91" s="35"/>
      <c r="AJ91" s="35">
        <f t="shared" si="24"/>
        <v>388</v>
      </c>
      <c r="AK91" s="6">
        <v>1031</v>
      </c>
      <c r="AL91" s="6"/>
      <c r="AM91" s="35">
        <f t="shared" si="25"/>
        <v>368</v>
      </c>
      <c r="AN91" s="6"/>
      <c r="AO91" s="6"/>
      <c r="AP91" s="34"/>
      <c r="AQ91" s="35">
        <v>1420</v>
      </c>
      <c r="AR91" s="35"/>
      <c r="AS91" s="35">
        <f t="shared" si="26"/>
        <v>389</v>
      </c>
      <c r="AT91" s="6">
        <v>232</v>
      </c>
      <c r="AU91" s="6">
        <v>1560</v>
      </c>
      <c r="AV91" s="35">
        <f t="shared" si="27"/>
        <v>372</v>
      </c>
      <c r="AW91" s="6">
        <v>624</v>
      </c>
      <c r="AX91" s="6"/>
      <c r="AY91" s="35">
        <f t="shared" si="28"/>
        <v>392</v>
      </c>
      <c r="AZ91" s="35">
        <v>1017</v>
      </c>
      <c r="BA91" s="35"/>
      <c r="BB91" s="35">
        <f t="shared" si="29"/>
        <v>393</v>
      </c>
      <c r="BC91" s="6">
        <v>294</v>
      </c>
      <c r="BD91" s="6">
        <v>1106</v>
      </c>
      <c r="BE91" s="35">
        <f t="shared" si="30"/>
        <v>383</v>
      </c>
      <c r="BF91" s="6">
        <v>645</v>
      </c>
      <c r="BG91" s="6"/>
      <c r="BH91" s="6">
        <f t="shared" si="31"/>
        <v>351</v>
      </c>
      <c r="BI91" s="6"/>
      <c r="BJ91" s="6"/>
      <c r="BK91" s="6"/>
      <c r="BL91" s="6">
        <v>1046</v>
      </c>
      <c r="BM91" s="6"/>
      <c r="BN91" s="6">
        <f t="shared" si="32"/>
        <v>401</v>
      </c>
      <c r="BO91" s="6">
        <v>1432</v>
      </c>
      <c r="BP91" s="6"/>
      <c r="BQ91" s="35">
        <f t="shared" si="33"/>
        <v>386</v>
      </c>
      <c r="BR91" s="6">
        <v>1824</v>
      </c>
      <c r="BS91" s="6"/>
      <c r="BT91" s="6">
        <f t="shared" si="34"/>
        <v>392</v>
      </c>
      <c r="BU91" s="6">
        <v>0</v>
      </c>
      <c r="BV91" s="6">
        <v>2080</v>
      </c>
      <c r="BW91" s="35">
        <f t="shared" si="35"/>
        <v>256</v>
      </c>
      <c r="BX91" s="6">
        <v>318</v>
      </c>
      <c r="BY91" s="6"/>
      <c r="BZ91" s="6">
        <f t="shared" si="36"/>
        <v>318</v>
      </c>
      <c r="CA91" s="6">
        <v>664</v>
      </c>
      <c r="CB91" s="6"/>
      <c r="CC91" s="6">
        <f t="shared" si="37"/>
        <v>346</v>
      </c>
      <c r="CD91" s="6"/>
      <c r="CE91" s="6"/>
      <c r="CF91" s="6"/>
      <c r="CG91" s="6">
        <v>1049</v>
      </c>
      <c r="CH91" s="6"/>
      <c r="CI91" s="6">
        <f t="shared" si="38"/>
        <v>385</v>
      </c>
      <c r="CJ91" s="6">
        <v>66</v>
      </c>
      <c r="CK91" s="6">
        <v>1328</v>
      </c>
      <c r="CL91" s="6">
        <f t="shared" si="39"/>
        <v>345</v>
      </c>
      <c r="CM91" s="6">
        <v>451</v>
      </c>
      <c r="CN91" s="6"/>
      <c r="CO91" s="6">
        <f t="shared" si="40"/>
        <v>385</v>
      </c>
      <c r="CP91" s="6">
        <v>838</v>
      </c>
      <c r="CQ91" s="6"/>
      <c r="CR91" s="6">
        <f t="shared" si="41"/>
        <v>387</v>
      </c>
      <c r="CS91" s="6">
        <v>1227</v>
      </c>
      <c r="CT91" s="6"/>
      <c r="CU91" s="6">
        <f t="shared" si="42"/>
        <v>389</v>
      </c>
      <c r="CV91" s="6">
        <v>1435</v>
      </c>
      <c r="CW91" s="6"/>
      <c r="CX91" s="6">
        <f t="shared" si="43"/>
        <v>208</v>
      </c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</row>
    <row r="92" spans="1:117">
      <c r="A92" s="6">
        <v>88</v>
      </c>
      <c r="B92" s="6">
        <v>257</v>
      </c>
      <c r="C92" s="6">
        <v>1560</v>
      </c>
      <c r="D92" s="6">
        <v>359</v>
      </c>
      <c r="E92" s="33" t="s">
        <v>37</v>
      </c>
      <c r="F92" s="33" t="s">
        <v>37</v>
      </c>
      <c r="G92" s="33" t="s">
        <v>37</v>
      </c>
      <c r="H92" s="33" t="s">
        <v>37</v>
      </c>
      <c r="I92" s="33" t="s">
        <v>37</v>
      </c>
      <c r="J92" s="33" t="s">
        <v>37</v>
      </c>
      <c r="K92" s="33" t="s">
        <v>37</v>
      </c>
      <c r="L92" s="33" t="s">
        <v>37</v>
      </c>
      <c r="M92" s="33" t="s">
        <v>37</v>
      </c>
      <c r="N92" s="33" t="s">
        <v>37</v>
      </c>
      <c r="O92" s="33" t="s">
        <v>37</v>
      </c>
      <c r="P92" s="33" t="s">
        <v>37</v>
      </c>
      <c r="Q92" s="33" t="s">
        <v>37</v>
      </c>
      <c r="R92" s="148" t="s">
        <v>128</v>
      </c>
      <c r="S92" s="33" t="s">
        <v>128</v>
      </c>
      <c r="T92" s="33" t="s">
        <v>128</v>
      </c>
      <c r="U92" s="33" t="s">
        <v>128</v>
      </c>
      <c r="V92" s="33" t="s">
        <v>128</v>
      </c>
      <c r="W92" s="33" t="s">
        <v>128</v>
      </c>
      <c r="X92" s="33" t="s">
        <v>128</v>
      </c>
      <c r="Y92" s="33" t="s">
        <v>128</v>
      </c>
      <c r="Z92" s="33" t="s">
        <v>128</v>
      </c>
      <c r="AA92" s="33" t="s">
        <v>128</v>
      </c>
      <c r="AB92" s="6">
        <v>668</v>
      </c>
      <c r="AC92" s="6"/>
      <c r="AD92" s="35">
        <f t="shared" si="22"/>
        <v>411</v>
      </c>
      <c r="AE92" s="6">
        <v>1051</v>
      </c>
      <c r="AF92" s="6"/>
      <c r="AG92" s="35">
        <f t="shared" si="23"/>
        <v>383</v>
      </c>
      <c r="AH92" s="35">
        <v>1442</v>
      </c>
      <c r="AI92" s="35"/>
      <c r="AJ92" s="35">
        <f t="shared" si="24"/>
        <v>391</v>
      </c>
      <c r="AK92" s="6">
        <v>234</v>
      </c>
      <c r="AL92" s="6">
        <v>1560</v>
      </c>
      <c r="AM92" s="35">
        <f t="shared" si="25"/>
        <v>352</v>
      </c>
      <c r="AN92" s="6"/>
      <c r="AO92" s="6"/>
      <c r="AP92" s="34"/>
      <c r="AQ92" s="35">
        <v>632</v>
      </c>
      <c r="AR92" s="35"/>
      <c r="AS92" s="35">
        <f t="shared" si="26"/>
        <v>398</v>
      </c>
      <c r="AT92" s="6">
        <v>1018</v>
      </c>
      <c r="AU92" s="6"/>
      <c r="AV92" s="35">
        <f t="shared" si="27"/>
        <v>386</v>
      </c>
      <c r="AW92" s="6">
        <v>1404</v>
      </c>
      <c r="AX92" s="6"/>
      <c r="AY92" s="35">
        <f t="shared" si="28"/>
        <v>386</v>
      </c>
      <c r="AZ92" s="35">
        <v>233</v>
      </c>
      <c r="BA92" s="35">
        <v>1560</v>
      </c>
      <c r="BB92" s="35">
        <f t="shared" si="29"/>
        <v>389</v>
      </c>
      <c r="BC92" s="6">
        <v>620</v>
      </c>
      <c r="BD92" s="6"/>
      <c r="BE92" s="35">
        <f t="shared" si="30"/>
        <v>387</v>
      </c>
      <c r="BF92" s="6">
        <v>999</v>
      </c>
      <c r="BG92" s="6"/>
      <c r="BH92" s="6">
        <f t="shared" si="31"/>
        <v>379</v>
      </c>
      <c r="BI92" s="6"/>
      <c r="BJ92" s="6"/>
      <c r="BK92" s="6"/>
      <c r="BL92" s="6">
        <v>1392</v>
      </c>
      <c r="BM92" s="6"/>
      <c r="BN92" s="6">
        <f t="shared" si="32"/>
        <v>393</v>
      </c>
      <c r="BO92" s="6">
        <v>0</v>
      </c>
      <c r="BP92" s="6">
        <v>1634</v>
      </c>
      <c r="BQ92" s="35">
        <f t="shared" si="33"/>
        <v>242</v>
      </c>
      <c r="BR92" s="6">
        <v>366</v>
      </c>
      <c r="BS92" s="6"/>
      <c r="BT92" s="6">
        <f t="shared" si="34"/>
        <v>366</v>
      </c>
      <c r="BU92" s="6">
        <v>759</v>
      </c>
      <c r="BV92" s="6"/>
      <c r="BW92" s="35">
        <f t="shared" si="35"/>
        <v>393</v>
      </c>
      <c r="BX92" s="6">
        <v>1153</v>
      </c>
      <c r="BY92" s="6"/>
      <c r="BZ92" s="6">
        <f t="shared" si="36"/>
        <v>394</v>
      </c>
      <c r="CA92" s="6">
        <v>1526</v>
      </c>
      <c r="CB92" s="6"/>
      <c r="CC92" s="6">
        <f t="shared" si="37"/>
        <v>373</v>
      </c>
      <c r="CD92" s="6"/>
      <c r="CE92" s="6"/>
      <c r="CF92" s="6"/>
      <c r="CG92" s="6">
        <v>368</v>
      </c>
      <c r="CH92" s="6">
        <v>1560</v>
      </c>
      <c r="CI92" s="6">
        <f t="shared" si="38"/>
        <v>402</v>
      </c>
      <c r="CJ92" s="6">
        <v>765</v>
      </c>
      <c r="CK92" s="6"/>
      <c r="CL92" s="6">
        <f t="shared" si="39"/>
        <v>397</v>
      </c>
      <c r="CM92" s="6">
        <v>1156</v>
      </c>
      <c r="CN92" s="6"/>
      <c r="CO92" s="6">
        <f t="shared" si="40"/>
        <v>391</v>
      </c>
      <c r="CP92" s="6">
        <v>1550</v>
      </c>
      <c r="CQ92" s="6"/>
      <c r="CR92" s="6">
        <f t="shared" si="41"/>
        <v>394</v>
      </c>
      <c r="CS92" s="6">
        <v>384</v>
      </c>
      <c r="CT92" s="6">
        <v>1560</v>
      </c>
      <c r="CU92" s="6">
        <f t="shared" si="42"/>
        <v>394</v>
      </c>
      <c r="CV92" s="6">
        <v>595</v>
      </c>
      <c r="CW92" s="6"/>
      <c r="CX92" s="6">
        <f t="shared" si="43"/>
        <v>211</v>
      </c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</row>
    <row r="93" spans="1:117">
      <c r="A93" s="6">
        <v>89</v>
      </c>
      <c r="B93" s="6">
        <v>1156</v>
      </c>
      <c r="C93" s="6"/>
      <c r="D93" s="6">
        <v>153</v>
      </c>
      <c r="E93" s="33" t="s">
        <v>128</v>
      </c>
      <c r="F93" s="33" t="s">
        <v>128</v>
      </c>
      <c r="G93" s="33" t="s">
        <v>128</v>
      </c>
      <c r="H93" s="33" t="s">
        <v>128</v>
      </c>
      <c r="I93" s="33" t="s">
        <v>128</v>
      </c>
      <c r="J93" s="33" t="s">
        <v>128</v>
      </c>
      <c r="K93" s="33" t="s">
        <v>128</v>
      </c>
      <c r="L93" s="33" t="s">
        <v>128</v>
      </c>
      <c r="M93" s="33" t="s">
        <v>128</v>
      </c>
      <c r="N93" s="33" t="s">
        <v>128</v>
      </c>
      <c r="O93" s="33" t="s">
        <v>128</v>
      </c>
      <c r="P93" s="33" t="s">
        <v>128</v>
      </c>
      <c r="Q93" s="33" t="s">
        <v>128</v>
      </c>
      <c r="R93" s="33" t="s">
        <v>128</v>
      </c>
      <c r="S93" s="33" t="s">
        <v>128</v>
      </c>
      <c r="T93" s="33" t="s">
        <v>128</v>
      </c>
      <c r="U93" s="33" t="s">
        <v>128</v>
      </c>
      <c r="V93" s="33" t="s">
        <v>128</v>
      </c>
      <c r="W93" s="33" t="s">
        <v>128</v>
      </c>
      <c r="X93" s="148" t="s">
        <v>307</v>
      </c>
      <c r="Y93" s="33" t="s">
        <v>307</v>
      </c>
      <c r="Z93" s="33" t="s">
        <v>307</v>
      </c>
      <c r="AA93" s="33" t="s">
        <v>307</v>
      </c>
      <c r="AB93" s="6">
        <v>289</v>
      </c>
      <c r="AC93" s="6">
        <v>1167</v>
      </c>
      <c r="AD93" s="35">
        <f t="shared" si="22"/>
        <v>300</v>
      </c>
      <c r="AE93" s="6">
        <v>670</v>
      </c>
      <c r="AF93" s="6"/>
      <c r="AG93" s="35">
        <f t="shared" si="23"/>
        <v>381</v>
      </c>
      <c r="AH93" s="35">
        <v>1044</v>
      </c>
      <c r="AI93" s="35"/>
      <c r="AJ93" s="35">
        <f t="shared" si="24"/>
        <v>374</v>
      </c>
      <c r="AK93" s="6">
        <v>1407</v>
      </c>
      <c r="AL93" s="6"/>
      <c r="AM93" s="35">
        <f t="shared" si="25"/>
        <v>363</v>
      </c>
      <c r="AN93" s="6"/>
      <c r="AO93" s="6"/>
      <c r="AP93" s="34"/>
      <c r="AQ93" s="35">
        <v>230</v>
      </c>
      <c r="AR93" s="35">
        <v>1560</v>
      </c>
      <c r="AS93" s="35">
        <f t="shared" si="26"/>
        <v>383</v>
      </c>
      <c r="AT93" s="6">
        <v>607</v>
      </c>
      <c r="AU93" s="6"/>
      <c r="AV93" s="35">
        <f t="shared" si="27"/>
        <v>377</v>
      </c>
      <c r="AW93" s="6">
        <v>983</v>
      </c>
      <c r="AX93" s="6"/>
      <c r="AY93" s="35">
        <f t="shared" si="28"/>
        <v>376</v>
      </c>
      <c r="AZ93" s="35">
        <v>1370</v>
      </c>
      <c r="BA93" s="35"/>
      <c r="BB93" s="35">
        <f t="shared" si="29"/>
        <v>387</v>
      </c>
      <c r="BC93" s="6">
        <v>196</v>
      </c>
      <c r="BD93" s="6">
        <v>1560</v>
      </c>
      <c r="BE93" s="35">
        <f t="shared" si="30"/>
        <v>386</v>
      </c>
      <c r="BF93" s="6">
        <v>556</v>
      </c>
      <c r="BG93" s="6"/>
      <c r="BH93" s="6">
        <f t="shared" si="31"/>
        <v>360</v>
      </c>
      <c r="BI93" s="6"/>
      <c r="BJ93" s="6"/>
      <c r="BK93" s="6"/>
      <c r="BL93" s="6">
        <v>942</v>
      </c>
      <c r="BM93" s="6"/>
      <c r="BN93" s="6">
        <f t="shared" si="32"/>
        <v>386</v>
      </c>
      <c r="BO93" s="6">
        <v>1318</v>
      </c>
      <c r="BP93" s="6"/>
      <c r="BQ93" s="35">
        <f t="shared" si="33"/>
        <v>376</v>
      </c>
      <c r="BR93" s="6">
        <v>128</v>
      </c>
      <c r="BS93" s="6">
        <v>1564</v>
      </c>
      <c r="BT93" s="6">
        <f t="shared" si="34"/>
        <v>374</v>
      </c>
      <c r="BU93" s="6">
        <v>508</v>
      </c>
      <c r="BV93" s="6"/>
      <c r="BW93" s="35">
        <f t="shared" si="35"/>
        <v>380</v>
      </c>
      <c r="BX93" s="6">
        <v>897</v>
      </c>
      <c r="BY93" s="6"/>
      <c r="BZ93" s="6">
        <f t="shared" si="36"/>
        <v>389</v>
      </c>
      <c r="CA93" s="6">
        <v>1276</v>
      </c>
      <c r="CB93" s="6"/>
      <c r="CC93" s="6">
        <f t="shared" si="37"/>
        <v>379</v>
      </c>
      <c r="CD93" s="6"/>
      <c r="CE93" s="6"/>
      <c r="CF93" s="6"/>
      <c r="CG93" s="6">
        <v>1660</v>
      </c>
      <c r="CH93" s="6"/>
      <c r="CI93" s="6">
        <f t="shared" si="38"/>
        <v>384</v>
      </c>
      <c r="CJ93" s="6">
        <v>0</v>
      </c>
      <c r="CK93" s="6">
        <v>1996</v>
      </c>
      <c r="CL93" s="6">
        <f t="shared" si="39"/>
        <v>336</v>
      </c>
      <c r="CM93" s="6">
        <v>304</v>
      </c>
      <c r="CN93" s="6"/>
      <c r="CO93" s="6">
        <f t="shared" si="40"/>
        <v>304</v>
      </c>
      <c r="CP93" s="6">
        <v>679</v>
      </c>
      <c r="CQ93" s="6"/>
      <c r="CR93" s="6">
        <f t="shared" si="41"/>
        <v>375</v>
      </c>
      <c r="CS93" s="6">
        <v>1063</v>
      </c>
      <c r="CT93" s="6"/>
      <c r="CU93" s="6">
        <f t="shared" si="42"/>
        <v>384</v>
      </c>
      <c r="CV93" s="6">
        <v>1267</v>
      </c>
      <c r="CW93" s="6"/>
      <c r="CX93" s="6">
        <f t="shared" si="43"/>
        <v>204</v>
      </c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</row>
    <row r="94" spans="1:117">
      <c r="A94" s="6">
        <v>90</v>
      </c>
      <c r="B94" s="6">
        <v>1041</v>
      </c>
      <c r="C94" s="6"/>
      <c r="D94" s="6">
        <v>356</v>
      </c>
      <c r="E94" s="33" t="s">
        <v>37</v>
      </c>
      <c r="F94" s="33" t="s">
        <v>37</v>
      </c>
      <c r="G94" s="33" t="s">
        <v>37</v>
      </c>
      <c r="H94" s="33" t="s">
        <v>37</v>
      </c>
      <c r="I94" s="33" t="s">
        <v>37</v>
      </c>
      <c r="J94" s="33" t="s">
        <v>37</v>
      </c>
      <c r="K94" s="33" t="s">
        <v>37</v>
      </c>
      <c r="L94" s="33" t="s">
        <v>37</v>
      </c>
      <c r="M94" s="33" t="s">
        <v>37</v>
      </c>
      <c r="N94" s="33" t="s">
        <v>37</v>
      </c>
      <c r="O94" s="33" t="s">
        <v>37</v>
      </c>
      <c r="P94" s="33" t="s">
        <v>37</v>
      </c>
      <c r="Q94" s="33" t="s">
        <v>37</v>
      </c>
      <c r="R94" s="33" t="s">
        <v>37</v>
      </c>
      <c r="S94" s="33" t="s">
        <v>37</v>
      </c>
      <c r="T94" s="148" t="s">
        <v>37</v>
      </c>
      <c r="U94" s="33" t="s">
        <v>37</v>
      </c>
      <c r="V94" s="33" t="s">
        <v>37</v>
      </c>
      <c r="W94" s="33" t="s">
        <v>37</v>
      </c>
      <c r="X94" s="33" t="s">
        <v>37</v>
      </c>
      <c r="Y94" s="33" t="s">
        <v>37</v>
      </c>
      <c r="Z94" s="33" t="s">
        <v>37</v>
      </c>
      <c r="AA94" s="33" t="s">
        <v>37</v>
      </c>
      <c r="AB94" s="6">
        <v>1448</v>
      </c>
      <c r="AC94" s="6"/>
      <c r="AD94" s="35">
        <f t="shared" si="22"/>
        <v>407</v>
      </c>
      <c r="AE94" s="6">
        <v>259</v>
      </c>
      <c r="AF94" s="6">
        <v>1560</v>
      </c>
      <c r="AG94" s="35">
        <f t="shared" si="23"/>
        <v>371</v>
      </c>
      <c r="AH94" s="35">
        <v>224</v>
      </c>
      <c r="AI94" s="35">
        <v>412</v>
      </c>
      <c r="AJ94" s="35">
        <f t="shared" si="24"/>
        <v>377</v>
      </c>
      <c r="AK94" s="6">
        <v>588</v>
      </c>
      <c r="AL94" s="6"/>
      <c r="AM94" s="35">
        <f t="shared" si="25"/>
        <v>364</v>
      </c>
      <c r="AN94" s="6"/>
      <c r="AO94" s="6"/>
      <c r="AP94" s="34"/>
      <c r="AQ94" s="35">
        <v>976</v>
      </c>
      <c r="AR94" s="35"/>
      <c r="AS94" s="35">
        <f t="shared" si="26"/>
        <v>388</v>
      </c>
      <c r="AT94" s="6">
        <v>1357</v>
      </c>
      <c r="AU94" s="6"/>
      <c r="AV94" s="35">
        <f t="shared" si="27"/>
        <v>381</v>
      </c>
      <c r="AW94" s="6">
        <v>182</v>
      </c>
      <c r="AX94" s="6">
        <v>1560</v>
      </c>
      <c r="AY94" s="35">
        <f t="shared" si="28"/>
        <v>385</v>
      </c>
      <c r="AZ94" s="35">
        <v>574</v>
      </c>
      <c r="BA94" s="35"/>
      <c r="BB94" s="35">
        <f t="shared" si="29"/>
        <v>392</v>
      </c>
      <c r="BC94" s="6">
        <v>951</v>
      </c>
      <c r="BD94" s="6"/>
      <c r="BE94" s="35">
        <f t="shared" si="30"/>
        <v>377</v>
      </c>
      <c r="BF94" s="6">
        <v>1325</v>
      </c>
      <c r="BG94" s="6"/>
      <c r="BH94" s="6">
        <f t="shared" si="31"/>
        <v>374</v>
      </c>
      <c r="BI94" s="6"/>
      <c r="BJ94" s="6"/>
      <c r="BK94" s="6"/>
      <c r="BL94" s="6">
        <v>159</v>
      </c>
      <c r="BM94" s="6">
        <v>1560</v>
      </c>
      <c r="BN94" s="6">
        <f t="shared" si="32"/>
        <v>394</v>
      </c>
      <c r="BO94" s="6">
        <v>520</v>
      </c>
      <c r="BP94" s="6"/>
      <c r="BQ94" s="35">
        <f t="shared" si="33"/>
        <v>361</v>
      </c>
      <c r="BR94" s="6">
        <v>904</v>
      </c>
      <c r="BS94" s="6"/>
      <c r="BT94" s="6">
        <f t="shared" si="34"/>
        <v>384</v>
      </c>
      <c r="BU94" s="6">
        <v>0</v>
      </c>
      <c r="BV94" s="6">
        <v>1197</v>
      </c>
      <c r="BW94" s="35">
        <f t="shared" si="35"/>
        <v>293</v>
      </c>
      <c r="BX94" s="6">
        <v>347</v>
      </c>
      <c r="BY94" s="6"/>
      <c r="BZ94" s="6">
        <f t="shared" si="36"/>
        <v>347</v>
      </c>
      <c r="CA94" s="6">
        <v>726</v>
      </c>
      <c r="CB94" s="6"/>
      <c r="CC94" s="6">
        <f t="shared" si="37"/>
        <v>379</v>
      </c>
      <c r="CD94" s="6"/>
      <c r="CE94" s="6"/>
      <c r="CF94" s="6"/>
      <c r="CG94" s="6">
        <v>1128</v>
      </c>
      <c r="CH94" s="6"/>
      <c r="CI94" s="6">
        <f t="shared" si="38"/>
        <v>402</v>
      </c>
      <c r="CJ94" s="6">
        <v>1518</v>
      </c>
      <c r="CK94" s="6"/>
      <c r="CL94" s="6">
        <f t="shared" si="39"/>
        <v>390</v>
      </c>
      <c r="CM94" s="6">
        <v>344</v>
      </c>
      <c r="CN94" s="6">
        <v>1561</v>
      </c>
      <c r="CO94" s="6">
        <f t="shared" si="40"/>
        <v>387</v>
      </c>
      <c r="CP94" s="6">
        <v>734</v>
      </c>
      <c r="CQ94" s="6"/>
      <c r="CR94" s="6">
        <f t="shared" si="41"/>
        <v>390</v>
      </c>
      <c r="CS94" s="6">
        <v>1122</v>
      </c>
      <c r="CT94" s="6"/>
      <c r="CU94" s="6">
        <f t="shared" si="42"/>
        <v>388</v>
      </c>
      <c r="CV94" s="6">
        <v>1327</v>
      </c>
      <c r="CW94" s="6"/>
      <c r="CX94" s="6">
        <f t="shared" si="43"/>
        <v>205</v>
      </c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</row>
    <row r="95" spans="1:117">
      <c r="A95" s="6">
        <v>91</v>
      </c>
      <c r="B95" s="6">
        <v>1088</v>
      </c>
      <c r="C95" s="6"/>
      <c r="D95" s="6">
        <v>359</v>
      </c>
      <c r="E95" s="33" t="s">
        <v>37</v>
      </c>
      <c r="F95" s="33" t="s">
        <v>37</v>
      </c>
      <c r="G95" s="33" t="s">
        <v>37</v>
      </c>
      <c r="H95" s="33" t="s">
        <v>37</v>
      </c>
      <c r="I95" s="33" t="s">
        <v>37</v>
      </c>
      <c r="J95" s="33" t="s">
        <v>37</v>
      </c>
      <c r="K95" s="33" t="s">
        <v>37</v>
      </c>
      <c r="L95" s="33" t="s">
        <v>37</v>
      </c>
      <c r="M95" s="33" t="s">
        <v>37</v>
      </c>
      <c r="N95" s="33" t="s">
        <v>37</v>
      </c>
      <c r="O95" s="33" t="s">
        <v>37</v>
      </c>
      <c r="P95" s="33" t="s">
        <v>37</v>
      </c>
      <c r="Q95" s="33" t="s">
        <v>37</v>
      </c>
      <c r="R95" s="33" t="s">
        <v>37</v>
      </c>
      <c r="S95" s="33" t="s">
        <v>37</v>
      </c>
      <c r="T95" s="33" t="s">
        <v>37</v>
      </c>
      <c r="U95" s="33" t="s">
        <v>37</v>
      </c>
      <c r="V95" s="33" t="s">
        <v>37</v>
      </c>
      <c r="W95" s="33" t="s">
        <v>37</v>
      </c>
      <c r="X95" s="148" t="s">
        <v>37</v>
      </c>
      <c r="Y95" s="33" t="s">
        <v>37</v>
      </c>
      <c r="Z95" s="33" t="s">
        <v>37</v>
      </c>
      <c r="AA95" s="33" t="s">
        <v>37</v>
      </c>
      <c r="AB95" s="6">
        <v>1500</v>
      </c>
      <c r="AC95" s="6"/>
      <c r="AD95" s="35">
        <f t="shared" si="22"/>
        <v>412</v>
      </c>
      <c r="AE95" s="6">
        <v>321</v>
      </c>
      <c r="AF95" s="6">
        <v>1560</v>
      </c>
      <c r="AG95" s="35">
        <f t="shared" si="23"/>
        <v>381</v>
      </c>
      <c r="AH95" s="35">
        <v>712</v>
      </c>
      <c r="AI95" s="35"/>
      <c r="AJ95" s="35">
        <f t="shared" si="24"/>
        <v>391</v>
      </c>
      <c r="AK95" s="6">
        <v>1079</v>
      </c>
      <c r="AL95" s="6"/>
      <c r="AM95" s="35">
        <f t="shared" si="25"/>
        <v>367</v>
      </c>
      <c r="AN95" s="6"/>
      <c r="AO95" s="6"/>
      <c r="AP95" s="34"/>
      <c r="AQ95" s="35">
        <v>1470</v>
      </c>
      <c r="AR95" s="35"/>
      <c r="AS95" s="35">
        <f t="shared" si="26"/>
        <v>391</v>
      </c>
      <c r="AT95" s="6">
        <v>296</v>
      </c>
      <c r="AU95" s="6">
        <v>1560</v>
      </c>
      <c r="AV95" s="35">
        <f t="shared" si="27"/>
        <v>386</v>
      </c>
      <c r="AW95" s="6">
        <v>686</v>
      </c>
      <c r="AX95" s="6"/>
      <c r="AY95" s="35">
        <f t="shared" si="28"/>
        <v>390</v>
      </c>
      <c r="AZ95" s="35">
        <v>1073</v>
      </c>
      <c r="BA95" s="35"/>
      <c r="BB95" s="35">
        <f t="shared" si="29"/>
        <v>387</v>
      </c>
      <c r="BC95" s="6">
        <v>269</v>
      </c>
      <c r="BD95" s="6">
        <v>1182</v>
      </c>
      <c r="BE95" s="35">
        <f t="shared" si="30"/>
        <v>378</v>
      </c>
      <c r="BF95" s="6">
        <v>633</v>
      </c>
      <c r="BG95" s="6"/>
      <c r="BH95" s="6">
        <f t="shared" si="31"/>
        <v>364</v>
      </c>
      <c r="BI95" s="6"/>
      <c r="BJ95" s="6"/>
      <c r="BK95" s="6"/>
      <c r="BL95" s="6">
        <v>1031</v>
      </c>
      <c r="BM95" s="6"/>
      <c r="BN95" s="6">
        <f t="shared" si="32"/>
        <v>398</v>
      </c>
      <c r="BO95" s="6">
        <v>1406</v>
      </c>
      <c r="BP95" s="6"/>
      <c r="BQ95" s="35">
        <f t="shared" si="33"/>
        <v>375</v>
      </c>
      <c r="BR95" s="6">
        <v>238</v>
      </c>
      <c r="BS95" s="6">
        <v>1560</v>
      </c>
      <c r="BT95" s="6">
        <f t="shared" si="34"/>
        <v>392</v>
      </c>
      <c r="BU95" s="6">
        <v>0</v>
      </c>
      <c r="BV95" s="6">
        <v>563</v>
      </c>
      <c r="BW95" s="35">
        <f t="shared" si="35"/>
        <v>325</v>
      </c>
      <c r="BX95" s="6">
        <v>359</v>
      </c>
      <c r="BY95" s="6"/>
      <c r="BZ95" s="6">
        <f t="shared" si="36"/>
        <v>359</v>
      </c>
      <c r="CA95" s="6">
        <v>720</v>
      </c>
      <c r="CB95" s="6"/>
      <c r="CC95" s="6">
        <f t="shared" si="37"/>
        <v>361</v>
      </c>
      <c r="CD95" s="6"/>
      <c r="CE95" s="6"/>
      <c r="CF95" s="6"/>
      <c r="CG95" s="6">
        <v>1117</v>
      </c>
      <c r="CH95" s="6"/>
      <c r="CI95" s="6">
        <f t="shared" si="38"/>
        <v>397</v>
      </c>
      <c r="CJ95" s="6">
        <v>0</v>
      </c>
      <c r="CK95" s="6">
        <v>1432</v>
      </c>
      <c r="CL95" s="6">
        <f t="shared" si="39"/>
        <v>315</v>
      </c>
      <c r="CM95" s="6">
        <v>349</v>
      </c>
      <c r="CN95" s="6"/>
      <c r="CO95" s="6">
        <f t="shared" si="40"/>
        <v>349</v>
      </c>
      <c r="CP95" s="6">
        <v>744</v>
      </c>
      <c r="CQ95" s="6"/>
      <c r="CR95" s="6">
        <f t="shared" si="41"/>
        <v>395</v>
      </c>
      <c r="CS95" s="6">
        <v>1144</v>
      </c>
      <c r="CT95" s="6"/>
      <c r="CU95" s="6">
        <f t="shared" si="42"/>
        <v>400</v>
      </c>
      <c r="CV95" s="6">
        <v>1347</v>
      </c>
      <c r="CW95" s="6"/>
      <c r="CX95" s="6">
        <f t="shared" si="43"/>
        <v>203</v>
      </c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</row>
    <row r="96" spans="1:117" ht="15.75" customHeight="1">
      <c r="A96" s="6">
        <v>92</v>
      </c>
      <c r="B96" s="6">
        <v>234</v>
      </c>
      <c r="C96" s="6">
        <v>1714</v>
      </c>
      <c r="D96" s="6">
        <v>340</v>
      </c>
      <c r="E96" s="198" t="s">
        <v>37</v>
      </c>
      <c r="F96" s="199" t="s">
        <v>37</v>
      </c>
      <c r="G96" s="199" t="s">
        <v>37</v>
      </c>
      <c r="H96" s="199" t="s">
        <v>37</v>
      </c>
      <c r="I96" s="199" t="s">
        <v>37</v>
      </c>
      <c r="J96" s="199" t="s">
        <v>37</v>
      </c>
      <c r="K96" s="199" t="s">
        <v>37</v>
      </c>
      <c r="L96" s="199" t="s">
        <v>37</v>
      </c>
      <c r="M96" s="199" t="s">
        <v>37</v>
      </c>
      <c r="N96" s="199" t="s">
        <v>37</v>
      </c>
      <c r="O96" s="199" t="s">
        <v>37</v>
      </c>
      <c r="P96" s="199" t="s">
        <v>37</v>
      </c>
      <c r="Q96" s="199" t="s">
        <v>37</v>
      </c>
      <c r="R96" s="199" t="s">
        <v>37</v>
      </c>
      <c r="S96" s="199" t="s">
        <v>37</v>
      </c>
      <c r="T96" s="199" t="s">
        <v>37</v>
      </c>
      <c r="U96" s="199" t="s">
        <v>37</v>
      </c>
      <c r="V96" s="199" t="s">
        <v>37</v>
      </c>
      <c r="W96" s="199" t="s">
        <v>37</v>
      </c>
      <c r="X96" s="199" t="s">
        <v>37</v>
      </c>
      <c r="Y96" s="199" t="s">
        <v>37</v>
      </c>
      <c r="Z96" s="199" t="s">
        <v>37</v>
      </c>
      <c r="AA96" s="198" t="s">
        <v>37</v>
      </c>
      <c r="AB96" s="6">
        <v>642</v>
      </c>
      <c r="AC96" s="6"/>
      <c r="AD96" s="35">
        <f t="shared" si="22"/>
        <v>408</v>
      </c>
      <c r="AE96" s="6">
        <v>1022</v>
      </c>
      <c r="AF96" s="6"/>
      <c r="AG96" s="35">
        <f t="shared" si="23"/>
        <v>380</v>
      </c>
      <c r="AH96" s="35">
        <v>1390</v>
      </c>
      <c r="AI96" s="35"/>
      <c r="AJ96" s="35">
        <f t="shared" si="24"/>
        <v>368</v>
      </c>
      <c r="AK96" s="6">
        <v>183</v>
      </c>
      <c r="AL96" s="6">
        <v>1560</v>
      </c>
      <c r="AM96" s="35">
        <f t="shared" si="25"/>
        <v>353</v>
      </c>
      <c r="AN96" s="6"/>
      <c r="AO96" s="6"/>
      <c r="AP96" s="34"/>
      <c r="AQ96" s="35">
        <v>567</v>
      </c>
      <c r="AR96" s="35"/>
      <c r="AS96" s="35">
        <f t="shared" si="26"/>
        <v>384</v>
      </c>
      <c r="AT96" s="6">
        <v>951</v>
      </c>
      <c r="AU96" s="6"/>
      <c r="AV96" s="35">
        <f t="shared" si="27"/>
        <v>384</v>
      </c>
      <c r="AW96" s="6">
        <v>1343</v>
      </c>
      <c r="AX96" s="6"/>
      <c r="AY96" s="35">
        <f t="shared" si="28"/>
        <v>392</v>
      </c>
      <c r="AZ96" s="35">
        <v>176</v>
      </c>
      <c r="BA96" s="35">
        <v>1560</v>
      </c>
      <c r="BB96" s="35">
        <f t="shared" si="29"/>
        <v>393</v>
      </c>
      <c r="BC96" s="6">
        <v>566</v>
      </c>
      <c r="BD96" s="6"/>
      <c r="BE96" s="35">
        <f t="shared" si="30"/>
        <v>390</v>
      </c>
      <c r="BF96" s="6">
        <v>939</v>
      </c>
      <c r="BG96" s="6"/>
      <c r="BH96" s="6">
        <f t="shared" si="31"/>
        <v>373</v>
      </c>
      <c r="BI96" s="6"/>
      <c r="BJ96" s="6"/>
      <c r="BK96" s="6"/>
      <c r="BL96" s="6">
        <v>1339</v>
      </c>
      <c r="BM96" s="6"/>
      <c r="BN96" s="6">
        <f t="shared" si="32"/>
        <v>400</v>
      </c>
      <c r="BO96" s="6">
        <v>165</v>
      </c>
      <c r="BP96" s="6">
        <v>1560</v>
      </c>
      <c r="BQ96" s="35">
        <f t="shared" si="33"/>
        <v>386</v>
      </c>
      <c r="BR96" s="6">
        <v>556</v>
      </c>
      <c r="BS96" s="6"/>
      <c r="BT96" s="6">
        <f t="shared" si="34"/>
        <v>391</v>
      </c>
      <c r="BU96" s="6">
        <v>947</v>
      </c>
      <c r="BV96" s="6"/>
      <c r="BW96" s="35">
        <f t="shared" si="35"/>
        <v>391</v>
      </c>
      <c r="BX96" s="6">
        <v>1340</v>
      </c>
      <c r="BY96" s="6"/>
      <c r="BZ96" s="6">
        <f t="shared" si="36"/>
        <v>393</v>
      </c>
      <c r="CA96" s="6">
        <v>145</v>
      </c>
      <c r="CB96" s="6">
        <v>1563</v>
      </c>
      <c r="CC96" s="6">
        <f t="shared" si="37"/>
        <v>368</v>
      </c>
      <c r="CD96" s="6"/>
      <c r="CE96" s="6"/>
      <c r="CF96" s="6"/>
      <c r="CG96" s="6">
        <v>550</v>
      </c>
      <c r="CH96" s="6"/>
      <c r="CI96" s="6">
        <f t="shared" si="38"/>
        <v>405</v>
      </c>
      <c r="CJ96" s="6">
        <v>936</v>
      </c>
      <c r="CK96" s="6"/>
      <c r="CL96" s="6">
        <f t="shared" si="39"/>
        <v>386</v>
      </c>
      <c r="CM96" s="6">
        <v>1321</v>
      </c>
      <c r="CN96" s="6"/>
      <c r="CO96" s="6">
        <f t="shared" si="40"/>
        <v>385</v>
      </c>
      <c r="CP96" s="6">
        <v>1438</v>
      </c>
      <c r="CQ96" s="6"/>
      <c r="CR96" s="6">
        <f t="shared" si="41"/>
        <v>117</v>
      </c>
      <c r="CS96" s="6">
        <v>0</v>
      </c>
      <c r="CT96" s="6">
        <v>1619</v>
      </c>
      <c r="CU96" s="6">
        <f t="shared" si="42"/>
        <v>181</v>
      </c>
      <c r="CV96" s="6">
        <v>172</v>
      </c>
      <c r="CW96" s="6"/>
      <c r="CX96" s="6">
        <f t="shared" si="43"/>
        <v>172</v>
      </c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</row>
    <row r="97" spans="1:117">
      <c r="A97" s="6">
        <v>93</v>
      </c>
      <c r="B97" s="6">
        <v>64</v>
      </c>
      <c r="C97" s="6">
        <v>1560</v>
      </c>
      <c r="D97" s="6">
        <v>331</v>
      </c>
      <c r="E97" s="33" t="s">
        <v>37</v>
      </c>
      <c r="F97" s="33" t="s">
        <v>37</v>
      </c>
      <c r="G97" s="33" t="s">
        <v>37</v>
      </c>
      <c r="H97" s="33" t="s">
        <v>37</v>
      </c>
      <c r="I97" s="33" t="s">
        <v>37</v>
      </c>
      <c r="J97" s="33" t="s">
        <v>37</v>
      </c>
      <c r="K97" s="33" t="s">
        <v>37</v>
      </c>
      <c r="L97" s="33" t="s">
        <v>37</v>
      </c>
      <c r="M97" s="33" t="s">
        <v>37</v>
      </c>
      <c r="N97" s="33" t="s">
        <v>37</v>
      </c>
      <c r="O97" s="33" t="s">
        <v>37</v>
      </c>
      <c r="P97" s="33" t="s">
        <v>37</v>
      </c>
      <c r="Q97" s="33" t="s">
        <v>37</v>
      </c>
      <c r="R97" s="33" t="s">
        <v>37</v>
      </c>
      <c r="S97" s="33" t="s">
        <v>37</v>
      </c>
      <c r="T97" s="33" t="s">
        <v>37</v>
      </c>
      <c r="U97" s="33" t="s">
        <v>37</v>
      </c>
      <c r="V97" s="33" t="s">
        <v>37</v>
      </c>
      <c r="W97" s="148" t="s">
        <v>99</v>
      </c>
      <c r="X97" s="33" t="s">
        <v>99</v>
      </c>
      <c r="Y97" s="33" t="s">
        <v>99</v>
      </c>
      <c r="Z97" s="33" t="s">
        <v>99</v>
      </c>
      <c r="AA97" s="33" t="s">
        <v>99</v>
      </c>
      <c r="AB97" s="6">
        <v>453</v>
      </c>
      <c r="AC97" s="6"/>
      <c r="AD97" s="35">
        <f t="shared" si="22"/>
        <v>389</v>
      </c>
      <c r="AE97" s="6">
        <v>822</v>
      </c>
      <c r="AF97" s="6"/>
      <c r="AG97" s="35">
        <f t="shared" si="23"/>
        <v>369</v>
      </c>
      <c r="AH97" s="35">
        <v>268</v>
      </c>
      <c r="AI97" s="35">
        <v>911</v>
      </c>
      <c r="AJ97" s="35">
        <f t="shared" si="24"/>
        <v>357</v>
      </c>
      <c r="AK97" s="6">
        <v>626</v>
      </c>
      <c r="AL97" s="6"/>
      <c r="AM97" s="35">
        <f t="shared" si="25"/>
        <v>358</v>
      </c>
      <c r="AN97" s="6"/>
      <c r="AO97" s="6"/>
      <c r="AP97" s="34"/>
      <c r="AQ97" s="35">
        <v>1010</v>
      </c>
      <c r="AR97" s="35"/>
      <c r="AS97" s="35">
        <f t="shared" si="26"/>
        <v>384</v>
      </c>
      <c r="AT97" s="6">
        <v>1399</v>
      </c>
      <c r="AU97" s="6"/>
      <c r="AV97" s="35">
        <f t="shared" si="27"/>
        <v>389</v>
      </c>
      <c r="AW97" s="35">
        <v>231</v>
      </c>
      <c r="AX97" s="6">
        <v>1560</v>
      </c>
      <c r="AY97" s="35">
        <f t="shared" si="28"/>
        <v>392</v>
      </c>
      <c r="AZ97" s="35">
        <v>613</v>
      </c>
      <c r="BA97" s="35"/>
      <c r="BB97" s="35">
        <f t="shared" si="29"/>
        <v>382</v>
      </c>
      <c r="BC97" s="6">
        <v>997</v>
      </c>
      <c r="BD97" s="6"/>
      <c r="BE97" s="35">
        <f t="shared" si="30"/>
        <v>384</v>
      </c>
      <c r="BF97" s="6">
        <v>1359</v>
      </c>
      <c r="BG97" s="6"/>
      <c r="BH97" s="6">
        <f t="shared" si="31"/>
        <v>362</v>
      </c>
      <c r="BI97" s="6"/>
      <c r="BJ97" s="6"/>
      <c r="BK97" s="6"/>
      <c r="BL97" s="6">
        <v>179</v>
      </c>
      <c r="BM97" s="6">
        <v>1560</v>
      </c>
      <c r="BN97" s="6">
        <f t="shared" si="32"/>
        <v>380</v>
      </c>
      <c r="BO97" s="6">
        <v>538</v>
      </c>
      <c r="BP97" s="6"/>
      <c r="BQ97" s="35">
        <f t="shared" si="33"/>
        <v>359</v>
      </c>
      <c r="BR97" s="6">
        <v>893</v>
      </c>
      <c r="BS97" s="6"/>
      <c r="BT97" s="6">
        <f t="shared" si="34"/>
        <v>355</v>
      </c>
      <c r="BU97" s="6">
        <v>1257</v>
      </c>
      <c r="BV97" s="6"/>
      <c r="BW97" s="35">
        <f t="shared" si="35"/>
        <v>364</v>
      </c>
      <c r="BX97" s="6">
        <v>1637</v>
      </c>
      <c r="BY97" s="6"/>
      <c r="BZ97" s="6">
        <f t="shared" si="36"/>
        <v>380</v>
      </c>
      <c r="CA97" s="6">
        <v>251</v>
      </c>
      <c r="CB97" s="6">
        <v>1744</v>
      </c>
      <c r="CC97" s="6">
        <f t="shared" si="37"/>
        <v>358</v>
      </c>
      <c r="CD97" s="6"/>
      <c r="CE97" s="6"/>
      <c r="CF97" s="6"/>
      <c r="CG97" s="6">
        <v>0</v>
      </c>
      <c r="CH97" s="6">
        <v>536</v>
      </c>
      <c r="CI97" s="6">
        <f t="shared" si="38"/>
        <v>285</v>
      </c>
      <c r="CJ97" s="6">
        <v>261</v>
      </c>
      <c r="CK97" s="6"/>
      <c r="CL97" s="6">
        <f t="shared" si="39"/>
        <v>261</v>
      </c>
      <c r="CM97" s="6">
        <v>533</v>
      </c>
      <c r="CN97" s="6"/>
      <c r="CO97" s="6">
        <f t="shared" si="40"/>
        <v>272</v>
      </c>
      <c r="CP97" s="6">
        <v>806</v>
      </c>
      <c r="CQ97" s="6"/>
      <c r="CR97" s="6">
        <f t="shared" si="41"/>
        <v>273</v>
      </c>
      <c r="CS97" s="6">
        <v>1080</v>
      </c>
      <c r="CT97" s="6"/>
      <c r="CU97" s="6">
        <f t="shared" si="42"/>
        <v>274</v>
      </c>
      <c r="CV97" s="6">
        <v>1215</v>
      </c>
      <c r="CW97" s="6"/>
      <c r="CX97" s="6">
        <f t="shared" si="43"/>
        <v>135</v>
      </c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</row>
    <row r="98" spans="1:117">
      <c r="A98" s="6">
        <v>94</v>
      </c>
      <c r="B98" s="6">
        <v>602</v>
      </c>
      <c r="C98" s="6"/>
      <c r="D98" s="6">
        <v>346</v>
      </c>
      <c r="E98" s="33" t="s">
        <v>128</v>
      </c>
      <c r="F98" s="33" t="s">
        <v>128</v>
      </c>
      <c r="G98" s="33" t="s">
        <v>128</v>
      </c>
      <c r="H98" s="33" t="s">
        <v>128</v>
      </c>
      <c r="I98" s="33" t="s">
        <v>128</v>
      </c>
      <c r="J98" s="33" t="s">
        <v>128</v>
      </c>
      <c r="K98" s="33" t="s">
        <v>128</v>
      </c>
      <c r="L98" s="33" t="s">
        <v>128</v>
      </c>
      <c r="M98" s="148" t="s">
        <v>128</v>
      </c>
      <c r="N98" s="33" t="s">
        <v>128</v>
      </c>
      <c r="O98" s="33" t="s">
        <v>128</v>
      </c>
      <c r="P98" s="33" t="s">
        <v>128</v>
      </c>
      <c r="Q98" s="33" t="s">
        <v>128</v>
      </c>
      <c r="R98" s="33" t="s">
        <v>128</v>
      </c>
      <c r="S98" s="33" t="s">
        <v>128</v>
      </c>
      <c r="T98" s="33" t="s">
        <v>128</v>
      </c>
      <c r="U98" s="33" t="s">
        <v>128</v>
      </c>
      <c r="V98" s="33" t="s">
        <v>128</v>
      </c>
      <c r="W98" s="33" t="s">
        <v>128</v>
      </c>
      <c r="X98" s="33" t="s">
        <v>128</v>
      </c>
      <c r="Y98" s="33" t="s">
        <v>128</v>
      </c>
      <c r="Z98" s="33" t="s">
        <v>128</v>
      </c>
      <c r="AA98" s="33" t="s">
        <v>128</v>
      </c>
      <c r="AB98" s="6">
        <v>251</v>
      </c>
      <c r="AC98" s="6">
        <v>714</v>
      </c>
      <c r="AD98" s="35">
        <f t="shared" si="22"/>
        <v>363</v>
      </c>
      <c r="AE98" s="6">
        <v>603</v>
      </c>
      <c r="AF98" s="6"/>
      <c r="AG98" s="35">
        <f t="shared" si="23"/>
        <v>352</v>
      </c>
      <c r="AH98" s="35">
        <v>964</v>
      </c>
      <c r="AI98" s="35"/>
      <c r="AJ98" s="35">
        <f t="shared" si="24"/>
        <v>361</v>
      </c>
      <c r="AK98" s="6">
        <v>1295</v>
      </c>
      <c r="AL98" s="6"/>
      <c r="AM98" s="35">
        <f t="shared" si="25"/>
        <v>331</v>
      </c>
      <c r="AN98" s="6"/>
      <c r="AO98" s="6"/>
      <c r="AP98" s="34"/>
      <c r="AQ98" s="35">
        <v>93</v>
      </c>
      <c r="AR98" s="35">
        <v>1560</v>
      </c>
      <c r="AS98" s="35">
        <f t="shared" si="26"/>
        <v>358</v>
      </c>
      <c r="AT98" s="6">
        <v>461</v>
      </c>
      <c r="AU98" s="6"/>
      <c r="AV98" s="35">
        <f t="shared" si="27"/>
        <v>368</v>
      </c>
      <c r="AW98" s="35">
        <v>849</v>
      </c>
      <c r="AX98" s="35"/>
      <c r="AY98" s="35">
        <f t="shared" si="28"/>
        <v>388</v>
      </c>
      <c r="AZ98" s="6">
        <v>299</v>
      </c>
      <c r="BA98" s="6">
        <v>919</v>
      </c>
      <c r="BB98" s="35">
        <f t="shared" si="29"/>
        <v>369</v>
      </c>
      <c r="BC98" s="6">
        <v>691</v>
      </c>
      <c r="BD98" s="6"/>
      <c r="BE98" s="35">
        <f t="shared" si="30"/>
        <v>392</v>
      </c>
      <c r="BF98" s="6">
        <v>1070</v>
      </c>
      <c r="BG98" s="6"/>
      <c r="BH98" s="6">
        <f t="shared" si="31"/>
        <v>379</v>
      </c>
      <c r="BI98" s="6"/>
      <c r="BJ98" s="35"/>
      <c r="BK98" s="6"/>
      <c r="BL98" s="6">
        <v>1468</v>
      </c>
      <c r="BM98" s="6"/>
      <c r="BN98" s="6">
        <f t="shared" si="32"/>
        <v>398</v>
      </c>
      <c r="BO98" s="6">
        <v>293</v>
      </c>
      <c r="BP98" s="6">
        <v>1560</v>
      </c>
      <c r="BQ98" s="35">
        <f t="shared" si="33"/>
        <v>385</v>
      </c>
      <c r="BR98" s="6">
        <v>687</v>
      </c>
      <c r="BS98" s="6"/>
      <c r="BT98" s="6">
        <f t="shared" si="34"/>
        <v>394</v>
      </c>
      <c r="BU98" s="6">
        <v>1077</v>
      </c>
      <c r="BV98" s="6"/>
      <c r="BW98" s="35">
        <f t="shared" si="35"/>
        <v>390</v>
      </c>
      <c r="BX98" s="6">
        <v>1475</v>
      </c>
      <c r="BY98" s="35"/>
      <c r="BZ98" s="6">
        <f t="shared" si="36"/>
        <v>398</v>
      </c>
      <c r="CA98" s="6">
        <v>292</v>
      </c>
      <c r="CB98" s="6">
        <v>1560</v>
      </c>
      <c r="CC98" s="6">
        <f t="shared" si="37"/>
        <v>377</v>
      </c>
      <c r="CD98" s="6"/>
      <c r="CE98" s="35"/>
      <c r="CF98" s="6"/>
      <c r="CG98" s="6">
        <v>695</v>
      </c>
      <c r="CH98" s="6"/>
      <c r="CI98" s="6">
        <f t="shared" si="38"/>
        <v>403</v>
      </c>
      <c r="CJ98" s="6">
        <v>1045</v>
      </c>
      <c r="CK98" s="6"/>
      <c r="CL98" s="6">
        <f t="shared" si="39"/>
        <v>350</v>
      </c>
      <c r="CM98" s="6">
        <v>1441</v>
      </c>
      <c r="CN98" s="6"/>
      <c r="CO98" s="6">
        <f t="shared" si="40"/>
        <v>396</v>
      </c>
      <c r="CP98" s="6">
        <v>263</v>
      </c>
      <c r="CQ98" s="6">
        <v>1570</v>
      </c>
      <c r="CR98" s="6">
        <f t="shared" si="41"/>
        <v>392</v>
      </c>
      <c r="CS98" s="6">
        <v>662</v>
      </c>
      <c r="CT98" s="6"/>
      <c r="CU98" s="6">
        <f t="shared" si="42"/>
        <v>399</v>
      </c>
      <c r="CV98" s="6">
        <v>875</v>
      </c>
      <c r="CW98" s="6"/>
      <c r="CX98" s="6">
        <f t="shared" si="43"/>
        <v>213</v>
      </c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</row>
    <row r="99" spans="1:117">
      <c r="A99" s="6">
        <v>95</v>
      </c>
      <c r="B99" s="6">
        <v>431</v>
      </c>
      <c r="C99" s="6"/>
      <c r="D99" s="6">
        <v>345</v>
      </c>
      <c r="E99" s="33" t="s">
        <v>37</v>
      </c>
      <c r="F99" s="33" t="s">
        <v>37</v>
      </c>
      <c r="G99" s="33" t="s">
        <v>37</v>
      </c>
      <c r="H99" s="33" t="s">
        <v>37</v>
      </c>
      <c r="I99" s="33" t="s">
        <v>37</v>
      </c>
      <c r="J99" s="33" t="s">
        <v>37</v>
      </c>
      <c r="K99" s="33" t="s">
        <v>37</v>
      </c>
      <c r="L99" s="33" t="s">
        <v>37</v>
      </c>
      <c r="M99" s="33" t="s">
        <v>37</v>
      </c>
      <c r="N99" s="33" t="s">
        <v>37</v>
      </c>
      <c r="O99" s="33" t="s">
        <v>37</v>
      </c>
      <c r="P99" s="33" t="s">
        <v>37</v>
      </c>
      <c r="Q99" s="33" t="s">
        <v>37</v>
      </c>
      <c r="R99" s="33" t="s">
        <v>37</v>
      </c>
      <c r="S99" s="33" t="s">
        <v>37</v>
      </c>
      <c r="T99" s="148" t="s">
        <v>128</v>
      </c>
      <c r="U99" s="33" t="s">
        <v>128</v>
      </c>
      <c r="V99" s="33" t="s">
        <v>128</v>
      </c>
      <c r="W99" s="33" t="s">
        <v>128</v>
      </c>
      <c r="X99" s="33" t="s">
        <v>128</v>
      </c>
      <c r="Y99" s="33" t="s">
        <v>128</v>
      </c>
      <c r="Z99" s="33" t="s">
        <v>128</v>
      </c>
      <c r="AA99" s="33" t="s">
        <v>128</v>
      </c>
      <c r="AB99" s="6">
        <v>826</v>
      </c>
      <c r="AC99" s="6"/>
      <c r="AD99" s="35">
        <f t="shared" si="22"/>
        <v>395</v>
      </c>
      <c r="AE99" s="6">
        <v>1202</v>
      </c>
      <c r="AF99" s="6"/>
      <c r="AG99" s="35">
        <f t="shared" si="23"/>
        <v>376</v>
      </c>
      <c r="AH99" s="35">
        <v>20</v>
      </c>
      <c r="AI99" s="35">
        <v>1560</v>
      </c>
      <c r="AJ99" s="35">
        <f t="shared" si="24"/>
        <v>378</v>
      </c>
      <c r="AK99" s="6">
        <v>375</v>
      </c>
      <c r="AL99" s="6"/>
      <c r="AM99" s="35">
        <f t="shared" si="25"/>
        <v>355</v>
      </c>
      <c r="AN99" s="6"/>
      <c r="AO99" s="6"/>
      <c r="AP99" s="34"/>
      <c r="AQ99" s="35">
        <v>752</v>
      </c>
      <c r="AR99" s="35"/>
      <c r="AS99" s="35">
        <f t="shared" si="26"/>
        <v>377</v>
      </c>
      <c r="AT99" s="6">
        <v>1140</v>
      </c>
      <c r="AU99" s="6"/>
      <c r="AV99" s="35">
        <f t="shared" si="27"/>
        <v>388</v>
      </c>
      <c r="AW99" s="6">
        <v>1532</v>
      </c>
      <c r="AX99" s="6"/>
      <c r="AY99" s="35">
        <f t="shared" si="28"/>
        <v>392</v>
      </c>
      <c r="AZ99" s="35">
        <v>362</v>
      </c>
      <c r="BA99" s="35">
        <v>1560</v>
      </c>
      <c r="BB99" s="35">
        <f t="shared" si="29"/>
        <v>390</v>
      </c>
      <c r="BC99" s="6">
        <v>84</v>
      </c>
      <c r="BD99" s="6">
        <v>640</v>
      </c>
      <c r="BE99" s="35">
        <f t="shared" si="30"/>
        <v>362</v>
      </c>
      <c r="BF99" s="6">
        <v>467</v>
      </c>
      <c r="BG99" s="6"/>
      <c r="BH99" s="6">
        <f t="shared" si="31"/>
        <v>383</v>
      </c>
      <c r="BI99" s="6"/>
      <c r="BJ99" s="6"/>
      <c r="BK99" s="6"/>
      <c r="BL99" s="6">
        <v>869</v>
      </c>
      <c r="BM99" s="6"/>
      <c r="BN99" s="6">
        <f t="shared" si="32"/>
        <v>402</v>
      </c>
      <c r="BO99" s="6">
        <v>1256</v>
      </c>
      <c r="BP99" s="6"/>
      <c r="BQ99" s="35">
        <f t="shared" si="33"/>
        <v>387</v>
      </c>
      <c r="BR99" s="6">
        <v>86</v>
      </c>
      <c r="BS99" s="6">
        <v>1560</v>
      </c>
      <c r="BT99" s="6">
        <f t="shared" si="34"/>
        <v>390</v>
      </c>
      <c r="BU99" s="6">
        <v>478</v>
      </c>
      <c r="BV99" s="6"/>
      <c r="BW99" s="35">
        <f t="shared" si="35"/>
        <v>392</v>
      </c>
      <c r="BX99" s="6">
        <v>296</v>
      </c>
      <c r="BY99" s="6">
        <v>556</v>
      </c>
      <c r="BZ99" s="6">
        <f t="shared" si="36"/>
        <v>374</v>
      </c>
      <c r="CA99" s="6">
        <v>671</v>
      </c>
      <c r="CB99" s="6"/>
      <c r="CC99" s="6">
        <f t="shared" si="37"/>
        <v>375</v>
      </c>
      <c r="CD99" s="6"/>
      <c r="CE99" s="6"/>
      <c r="CF99" s="6"/>
      <c r="CG99" s="6">
        <v>1074</v>
      </c>
      <c r="CH99" s="6"/>
      <c r="CI99" s="6">
        <f t="shared" si="38"/>
        <v>403</v>
      </c>
      <c r="CJ99" s="6">
        <v>312</v>
      </c>
      <c r="CK99" s="6">
        <v>1139</v>
      </c>
      <c r="CL99" s="6">
        <f t="shared" si="39"/>
        <v>377</v>
      </c>
      <c r="CM99" s="6">
        <v>706</v>
      </c>
      <c r="CN99" s="6"/>
      <c r="CO99" s="6">
        <f t="shared" si="40"/>
        <v>394</v>
      </c>
      <c r="CP99" s="6">
        <v>1101</v>
      </c>
      <c r="CQ99" s="6"/>
      <c r="CR99" s="6">
        <f t="shared" si="41"/>
        <v>395</v>
      </c>
      <c r="CS99" s="6">
        <v>1495</v>
      </c>
      <c r="CT99" s="6"/>
      <c r="CU99" s="6">
        <f t="shared" si="42"/>
        <v>394</v>
      </c>
      <c r="CV99" s="6">
        <v>126</v>
      </c>
      <c r="CW99" s="6">
        <v>1560</v>
      </c>
      <c r="CX99" s="6">
        <f t="shared" si="43"/>
        <v>191</v>
      </c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</row>
    <row r="100" spans="1:117">
      <c r="A100" s="6">
        <v>96</v>
      </c>
      <c r="B100" s="6">
        <v>150</v>
      </c>
      <c r="C100" s="6">
        <v>861</v>
      </c>
      <c r="D100" s="6">
        <v>334</v>
      </c>
      <c r="E100" s="33" t="s">
        <v>128</v>
      </c>
      <c r="F100" s="33" t="s">
        <v>128</v>
      </c>
      <c r="G100" s="33" t="s">
        <v>128</v>
      </c>
      <c r="H100" s="33" t="s">
        <v>128</v>
      </c>
      <c r="I100" s="33" t="s">
        <v>128</v>
      </c>
      <c r="J100" s="33" t="s">
        <v>128</v>
      </c>
      <c r="K100" s="33" t="s">
        <v>128</v>
      </c>
      <c r="L100" s="148" t="s">
        <v>128</v>
      </c>
      <c r="M100" s="33" t="s">
        <v>128</v>
      </c>
      <c r="N100" s="33" t="s">
        <v>128</v>
      </c>
      <c r="O100" s="33" t="s">
        <v>128</v>
      </c>
      <c r="P100" s="33" t="s">
        <v>128</v>
      </c>
      <c r="Q100" s="33" t="s">
        <v>128</v>
      </c>
      <c r="R100" s="33" t="s">
        <v>128</v>
      </c>
      <c r="S100" s="33" t="s">
        <v>128</v>
      </c>
      <c r="T100" s="33" t="s">
        <v>128</v>
      </c>
      <c r="U100" s="33" t="s">
        <v>128</v>
      </c>
      <c r="V100" s="33" t="s">
        <v>128</v>
      </c>
      <c r="W100" s="33" t="s">
        <v>128</v>
      </c>
      <c r="X100" s="33" t="s">
        <v>128</v>
      </c>
      <c r="Y100" s="33" t="s">
        <v>128</v>
      </c>
      <c r="Z100" s="33" t="s">
        <v>128</v>
      </c>
      <c r="AA100" s="33" t="s">
        <v>128</v>
      </c>
      <c r="AB100" s="6">
        <v>538</v>
      </c>
      <c r="AC100" s="6"/>
      <c r="AD100" s="35">
        <f t="shared" si="22"/>
        <v>388</v>
      </c>
      <c r="AE100" s="6">
        <v>908</v>
      </c>
      <c r="AF100" s="6"/>
      <c r="AG100" s="35">
        <f t="shared" si="23"/>
        <v>370</v>
      </c>
      <c r="AH100" s="35">
        <v>1282</v>
      </c>
      <c r="AI100" s="35"/>
      <c r="AJ100" s="35">
        <f t="shared" si="24"/>
        <v>374</v>
      </c>
      <c r="AK100" s="6">
        <v>65</v>
      </c>
      <c r="AL100" s="6">
        <v>1561</v>
      </c>
      <c r="AM100" s="35">
        <f t="shared" si="25"/>
        <v>344</v>
      </c>
      <c r="AN100" s="6"/>
      <c r="AO100" s="6"/>
      <c r="AP100" s="34"/>
      <c r="AQ100" s="35">
        <v>436</v>
      </c>
      <c r="AR100" s="35"/>
      <c r="AS100" s="35">
        <f t="shared" si="26"/>
        <v>371</v>
      </c>
      <c r="AT100" s="6">
        <v>0</v>
      </c>
      <c r="AU100" s="6">
        <v>654</v>
      </c>
      <c r="AV100" s="35">
        <f t="shared" si="27"/>
        <v>218</v>
      </c>
      <c r="AW100" s="6">
        <v>373</v>
      </c>
      <c r="AX100" s="6"/>
      <c r="AY100" s="35">
        <f t="shared" si="28"/>
        <v>373</v>
      </c>
      <c r="AZ100" s="35">
        <v>749</v>
      </c>
      <c r="BA100" s="35"/>
      <c r="BB100" s="35">
        <f t="shared" si="29"/>
        <v>376</v>
      </c>
      <c r="BC100" s="6">
        <v>1136</v>
      </c>
      <c r="BD100" s="6"/>
      <c r="BE100" s="35">
        <f t="shared" si="30"/>
        <v>387</v>
      </c>
      <c r="BF100" s="6">
        <v>1517</v>
      </c>
      <c r="BG100" s="6"/>
      <c r="BH100" s="6">
        <f t="shared" si="31"/>
        <v>381</v>
      </c>
      <c r="BI100" s="6"/>
      <c r="BJ100" s="6"/>
      <c r="BK100" s="6"/>
      <c r="BL100" s="6">
        <v>271</v>
      </c>
      <c r="BM100" s="6">
        <v>1643</v>
      </c>
      <c r="BN100" s="6">
        <f t="shared" si="32"/>
        <v>397</v>
      </c>
      <c r="BO100" s="6">
        <v>647</v>
      </c>
      <c r="BP100" s="6"/>
      <c r="BQ100" s="35">
        <f t="shared" si="33"/>
        <v>376</v>
      </c>
      <c r="BR100" s="6">
        <v>1033</v>
      </c>
      <c r="BS100" s="6"/>
      <c r="BT100" s="6">
        <f t="shared" si="34"/>
        <v>386</v>
      </c>
      <c r="BU100" s="6">
        <v>1422</v>
      </c>
      <c r="BV100" s="6"/>
      <c r="BW100" s="35">
        <f t="shared" si="35"/>
        <v>389</v>
      </c>
      <c r="BX100" s="6">
        <v>258</v>
      </c>
      <c r="BY100" s="6">
        <v>1560</v>
      </c>
      <c r="BZ100" s="6">
        <f t="shared" si="36"/>
        <v>396</v>
      </c>
      <c r="CA100" s="6">
        <v>614</v>
      </c>
      <c r="CB100" s="6"/>
      <c r="CC100" s="6">
        <f t="shared" si="37"/>
        <v>356</v>
      </c>
      <c r="CD100" s="6"/>
      <c r="CE100" s="6"/>
      <c r="CF100" s="6"/>
      <c r="CG100" s="6">
        <v>1016</v>
      </c>
      <c r="CH100" s="6"/>
      <c r="CI100" s="6">
        <f t="shared" si="38"/>
        <v>402</v>
      </c>
      <c r="CJ100" s="6">
        <v>1411</v>
      </c>
      <c r="CK100" s="6"/>
      <c r="CL100" s="6">
        <f t="shared" si="39"/>
        <v>395</v>
      </c>
      <c r="CM100" s="6">
        <v>230</v>
      </c>
      <c r="CN100" s="6">
        <v>1571</v>
      </c>
      <c r="CO100" s="6">
        <f t="shared" si="40"/>
        <v>390</v>
      </c>
      <c r="CP100" s="6">
        <v>626</v>
      </c>
      <c r="CQ100" s="6"/>
      <c r="CR100" s="6">
        <f t="shared" si="41"/>
        <v>396</v>
      </c>
      <c r="CS100" s="6">
        <v>1023</v>
      </c>
      <c r="CT100" s="6"/>
      <c r="CU100" s="6">
        <f t="shared" si="42"/>
        <v>397</v>
      </c>
      <c r="CV100" s="6">
        <v>1237</v>
      </c>
      <c r="CW100" s="6"/>
      <c r="CX100" s="6">
        <f t="shared" si="43"/>
        <v>214</v>
      </c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</row>
    <row r="101" spans="1:117">
      <c r="A101" s="6">
        <v>97</v>
      </c>
      <c r="B101" s="6">
        <v>1378</v>
      </c>
      <c r="C101" s="6"/>
      <c r="D101" s="6">
        <v>360</v>
      </c>
      <c r="E101" s="33" t="s">
        <v>37</v>
      </c>
      <c r="F101" s="33" t="s">
        <v>37</v>
      </c>
      <c r="G101" s="33" t="s">
        <v>37</v>
      </c>
      <c r="H101" s="33" t="s">
        <v>37</v>
      </c>
      <c r="I101" s="33" t="s">
        <v>37</v>
      </c>
      <c r="J101" s="33" t="s">
        <v>37</v>
      </c>
      <c r="K101" s="33" t="s">
        <v>37</v>
      </c>
      <c r="L101" s="33" t="s">
        <v>37</v>
      </c>
      <c r="M101" s="33" t="s">
        <v>37</v>
      </c>
      <c r="N101" s="33" t="s">
        <v>37</v>
      </c>
      <c r="O101" s="33" t="s">
        <v>37</v>
      </c>
      <c r="P101" s="33" t="s">
        <v>37</v>
      </c>
      <c r="Q101" s="33" t="s">
        <v>37</v>
      </c>
      <c r="R101" s="33" t="s">
        <v>37</v>
      </c>
      <c r="S101" s="33" t="s">
        <v>37</v>
      </c>
      <c r="T101" s="33" t="s">
        <v>37</v>
      </c>
      <c r="U101" s="33" t="s">
        <v>37</v>
      </c>
      <c r="V101" s="148" t="s">
        <v>37</v>
      </c>
      <c r="W101" s="33" t="s">
        <v>37</v>
      </c>
      <c r="X101" s="33" t="s">
        <v>37</v>
      </c>
      <c r="Y101" s="33" t="s">
        <v>37</v>
      </c>
      <c r="Z101" s="33" t="s">
        <v>37</v>
      </c>
      <c r="AA101" s="33" t="s">
        <v>37</v>
      </c>
      <c r="AB101" s="6">
        <v>151</v>
      </c>
      <c r="AC101" s="6">
        <v>1636</v>
      </c>
      <c r="AD101" s="35">
        <f t="shared" si="22"/>
        <v>409</v>
      </c>
      <c r="AE101" s="6">
        <v>526</v>
      </c>
      <c r="AF101" s="6"/>
      <c r="AG101" s="35">
        <f t="shared" si="23"/>
        <v>375</v>
      </c>
      <c r="AH101" s="35">
        <v>908</v>
      </c>
      <c r="AI101" s="35"/>
      <c r="AJ101" s="35">
        <f t="shared" si="24"/>
        <v>382</v>
      </c>
      <c r="AK101" s="6">
        <v>1267</v>
      </c>
      <c r="AL101" s="6"/>
      <c r="AM101" s="35">
        <f t="shared" si="25"/>
        <v>359</v>
      </c>
      <c r="AN101" s="6"/>
      <c r="AO101" s="6"/>
      <c r="AP101" s="34"/>
      <c r="AQ101" s="35">
        <v>90</v>
      </c>
      <c r="AR101" s="35">
        <v>1560</v>
      </c>
      <c r="AS101" s="35">
        <f t="shared" si="26"/>
        <v>383</v>
      </c>
      <c r="AT101" s="6">
        <v>464</v>
      </c>
      <c r="AU101" s="6"/>
      <c r="AV101" s="35">
        <f t="shared" si="27"/>
        <v>374</v>
      </c>
      <c r="AW101" s="6">
        <v>842</v>
      </c>
      <c r="AX101" s="6"/>
      <c r="AY101" s="35">
        <f t="shared" si="28"/>
        <v>378</v>
      </c>
      <c r="AZ101" s="35">
        <v>1231</v>
      </c>
      <c r="BA101" s="35"/>
      <c r="BB101" s="35">
        <f t="shared" si="29"/>
        <v>389</v>
      </c>
      <c r="BC101" s="6">
        <v>52</v>
      </c>
      <c r="BD101" s="6">
        <v>1560</v>
      </c>
      <c r="BE101" s="35">
        <f t="shared" si="30"/>
        <v>381</v>
      </c>
      <c r="BF101" s="6">
        <v>426</v>
      </c>
      <c r="BG101" s="6"/>
      <c r="BH101" s="6">
        <f t="shared" si="31"/>
        <v>374</v>
      </c>
      <c r="BI101" s="6"/>
      <c r="BJ101" s="6"/>
      <c r="BK101" s="6"/>
      <c r="BL101" s="6">
        <v>252</v>
      </c>
      <c r="BM101" s="6">
        <v>566</v>
      </c>
      <c r="BN101" s="6">
        <f t="shared" si="32"/>
        <v>392</v>
      </c>
      <c r="BO101" s="6">
        <v>631</v>
      </c>
      <c r="BP101" s="6"/>
      <c r="BQ101" s="35">
        <f t="shared" si="33"/>
        <v>379</v>
      </c>
      <c r="BR101" s="6">
        <v>1014</v>
      </c>
      <c r="BS101" s="6"/>
      <c r="BT101" s="6">
        <f t="shared" si="34"/>
        <v>383</v>
      </c>
      <c r="BU101" s="6">
        <v>1395</v>
      </c>
      <c r="BV101" s="6"/>
      <c r="BW101" s="35">
        <f t="shared" si="35"/>
        <v>381</v>
      </c>
      <c r="BX101" s="6">
        <v>225</v>
      </c>
      <c r="BY101" s="6">
        <v>1560</v>
      </c>
      <c r="BZ101" s="6">
        <f t="shared" si="36"/>
        <v>390</v>
      </c>
      <c r="CA101" s="6">
        <v>589</v>
      </c>
      <c r="CB101" s="6"/>
      <c r="CC101" s="6">
        <f t="shared" si="37"/>
        <v>364</v>
      </c>
      <c r="CD101" s="6"/>
      <c r="CE101" s="6"/>
      <c r="CF101" s="6"/>
      <c r="CG101" s="6">
        <v>252</v>
      </c>
      <c r="CH101" s="6">
        <v>720</v>
      </c>
      <c r="CI101" s="6">
        <f t="shared" si="38"/>
        <v>383</v>
      </c>
      <c r="CJ101" s="6">
        <v>641</v>
      </c>
      <c r="CK101" s="6"/>
      <c r="CL101" s="6">
        <f t="shared" si="39"/>
        <v>389</v>
      </c>
      <c r="CM101" s="6">
        <v>1028</v>
      </c>
      <c r="CN101" s="6"/>
      <c r="CO101" s="6">
        <f t="shared" si="40"/>
        <v>387</v>
      </c>
      <c r="CP101" s="6">
        <v>1418</v>
      </c>
      <c r="CQ101" s="6"/>
      <c r="CR101" s="6">
        <f t="shared" si="41"/>
        <v>390</v>
      </c>
      <c r="CS101" s="6">
        <v>244</v>
      </c>
      <c r="CT101" s="6">
        <v>1559</v>
      </c>
      <c r="CU101" s="6">
        <f t="shared" si="42"/>
        <v>385</v>
      </c>
      <c r="CV101" s="6">
        <v>447</v>
      </c>
      <c r="CW101" s="6"/>
      <c r="CX101" s="6">
        <f t="shared" si="43"/>
        <v>203</v>
      </c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</row>
    <row r="102" spans="1:117">
      <c r="A102" s="6">
        <v>98</v>
      </c>
      <c r="B102" s="6">
        <v>938</v>
      </c>
      <c r="C102" s="6"/>
      <c r="D102" s="6">
        <v>354</v>
      </c>
      <c r="E102" s="33" t="s">
        <v>128</v>
      </c>
      <c r="F102" s="33" t="s">
        <v>128</v>
      </c>
      <c r="G102" s="33" t="s">
        <v>128</v>
      </c>
      <c r="H102" s="33" t="s">
        <v>128</v>
      </c>
      <c r="I102" s="33" t="s">
        <v>128</v>
      </c>
      <c r="J102" s="33" t="s">
        <v>128</v>
      </c>
      <c r="K102" s="33" t="s">
        <v>128</v>
      </c>
      <c r="L102" s="33" t="s">
        <v>128</v>
      </c>
      <c r="M102" s="33" t="s">
        <v>128</v>
      </c>
      <c r="N102" s="148" t="s">
        <v>128</v>
      </c>
      <c r="O102" s="33" t="s">
        <v>128</v>
      </c>
      <c r="P102" s="33" t="s">
        <v>128</v>
      </c>
      <c r="Q102" s="33" t="s">
        <v>128</v>
      </c>
      <c r="R102" s="33" t="s">
        <v>128</v>
      </c>
      <c r="S102" s="33" t="s">
        <v>128</v>
      </c>
      <c r="T102" s="33" t="s">
        <v>128</v>
      </c>
      <c r="U102" s="33" t="s">
        <v>128</v>
      </c>
      <c r="V102" s="33" t="s">
        <v>128</v>
      </c>
      <c r="W102" s="33" t="s">
        <v>128</v>
      </c>
      <c r="X102" s="33" t="s">
        <v>128</v>
      </c>
      <c r="Y102" s="33" t="s">
        <v>128</v>
      </c>
      <c r="Z102" s="33" t="s">
        <v>128</v>
      </c>
      <c r="AA102" s="33" t="s">
        <v>128</v>
      </c>
      <c r="AB102" s="35">
        <v>1327</v>
      </c>
      <c r="AC102" s="35"/>
      <c r="AD102" s="35">
        <f t="shared" si="22"/>
        <v>389</v>
      </c>
      <c r="AE102" s="35">
        <v>132</v>
      </c>
      <c r="AF102" s="35">
        <v>1560</v>
      </c>
      <c r="AG102" s="35">
        <f t="shared" si="23"/>
        <v>365</v>
      </c>
      <c r="AH102" s="35">
        <v>505</v>
      </c>
      <c r="AI102" s="35"/>
      <c r="AJ102" s="35">
        <f t="shared" si="24"/>
        <v>373</v>
      </c>
      <c r="AK102" s="35">
        <v>850</v>
      </c>
      <c r="AL102" s="35"/>
      <c r="AM102" s="35">
        <f t="shared" si="25"/>
        <v>345</v>
      </c>
      <c r="AN102" s="35"/>
      <c r="AO102" s="35"/>
      <c r="AP102" s="34"/>
      <c r="AQ102" s="35">
        <v>1218</v>
      </c>
      <c r="AR102" s="35"/>
      <c r="AS102" s="35">
        <f t="shared" si="26"/>
        <v>368</v>
      </c>
      <c r="AT102" s="6">
        <v>44</v>
      </c>
      <c r="AU102" s="6">
        <v>1560</v>
      </c>
      <c r="AV102" s="35">
        <f t="shared" si="27"/>
        <v>386</v>
      </c>
      <c r="AW102" s="35">
        <v>406</v>
      </c>
      <c r="AX102" s="35"/>
      <c r="AY102" s="35">
        <f t="shared" si="28"/>
        <v>362</v>
      </c>
      <c r="AZ102" s="6">
        <v>0</v>
      </c>
      <c r="BA102" s="6">
        <v>601</v>
      </c>
      <c r="BB102" s="35">
        <f t="shared" si="29"/>
        <v>195</v>
      </c>
      <c r="BC102" s="35">
        <v>336</v>
      </c>
      <c r="BD102" s="6"/>
      <c r="BE102" s="35">
        <f t="shared" si="30"/>
        <v>336</v>
      </c>
      <c r="BF102" s="6">
        <v>352</v>
      </c>
      <c r="BG102" s="6">
        <v>357</v>
      </c>
      <c r="BH102" s="6">
        <f t="shared" si="31"/>
        <v>373</v>
      </c>
      <c r="BI102" s="6"/>
      <c r="BJ102" s="35"/>
      <c r="BK102" s="6"/>
      <c r="BL102" s="6">
        <v>749</v>
      </c>
      <c r="BM102" s="6"/>
      <c r="BN102" s="6">
        <f t="shared" si="32"/>
        <v>397</v>
      </c>
      <c r="BO102" s="6">
        <v>1132</v>
      </c>
      <c r="BP102" s="6"/>
      <c r="BQ102" s="35">
        <f t="shared" si="33"/>
        <v>383</v>
      </c>
      <c r="BR102" s="6">
        <v>1528</v>
      </c>
      <c r="BS102" s="6"/>
      <c r="BT102" s="6">
        <f t="shared" si="34"/>
        <v>396</v>
      </c>
      <c r="BU102" s="6">
        <v>345</v>
      </c>
      <c r="BV102" s="6">
        <v>1560</v>
      </c>
      <c r="BW102" s="35">
        <f t="shared" si="35"/>
        <v>377</v>
      </c>
      <c r="BX102" s="6">
        <v>744</v>
      </c>
      <c r="BY102" s="35"/>
      <c r="BZ102" s="6">
        <f t="shared" si="36"/>
        <v>399</v>
      </c>
      <c r="CA102" s="6">
        <v>120</v>
      </c>
      <c r="CB102" s="6">
        <v>988</v>
      </c>
      <c r="CC102" s="6">
        <f t="shared" si="37"/>
        <v>364</v>
      </c>
      <c r="CD102" s="6"/>
      <c r="CE102" s="35"/>
      <c r="CF102" s="6"/>
      <c r="CG102" s="6">
        <v>519</v>
      </c>
      <c r="CH102" s="6"/>
      <c r="CI102" s="6">
        <f t="shared" si="38"/>
        <v>399</v>
      </c>
      <c r="CJ102" s="6">
        <v>917</v>
      </c>
      <c r="CK102" s="6"/>
      <c r="CL102" s="6">
        <f t="shared" si="39"/>
        <v>398</v>
      </c>
      <c r="CM102" s="6">
        <v>1311</v>
      </c>
      <c r="CN102" s="6"/>
      <c r="CO102" s="6">
        <f t="shared" si="40"/>
        <v>394</v>
      </c>
      <c r="CP102" s="6">
        <v>141</v>
      </c>
      <c r="CQ102" s="6">
        <v>1560</v>
      </c>
      <c r="CR102" s="6">
        <f t="shared" si="41"/>
        <v>390</v>
      </c>
      <c r="CS102" s="6">
        <v>539</v>
      </c>
      <c r="CT102" s="6"/>
      <c r="CU102" s="6">
        <f t="shared" si="42"/>
        <v>398</v>
      </c>
      <c r="CV102" s="6">
        <v>748</v>
      </c>
      <c r="CW102" s="6"/>
      <c r="CX102" s="6">
        <f t="shared" si="43"/>
        <v>209</v>
      </c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</row>
    <row r="103" spans="1:117">
      <c r="A103" s="6">
        <v>99</v>
      </c>
      <c r="B103" s="6">
        <v>1088</v>
      </c>
      <c r="C103" s="6"/>
      <c r="D103" s="6">
        <v>363</v>
      </c>
      <c r="E103" s="33" t="s">
        <v>37</v>
      </c>
      <c r="F103" s="33" t="s">
        <v>37</v>
      </c>
      <c r="G103" s="33" t="s">
        <v>37</v>
      </c>
      <c r="H103" s="33" t="s">
        <v>37</v>
      </c>
      <c r="I103" s="33" t="s">
        <v>37</v>
      </c>
      <c r="J103" s="33" t="s">
        <v>37</v>
      </c>
      <c r="K103" s="33" t="s">
        <v>37</v>
      </c>
      <c r="L103" s="33" t="s">
        <v>37</v>
      </c>
      <c r="M103" s="33" t="s">
        <v>37</v>
      </c>
      <c r="N103" s="33" t="s">
        <v>37</v>
      </c>
      <c r="O103" s="33" t="s">
        <v>37</v>
      </c>
      <c r="P103" s="33" t="s">
        <v>37</v>
      </c>
      <c r="Q103" s="33" t="s">
        <v>37</v>
      </c>
      <c r="R103" s="33" t="s">
        <v>37</v>
      </c>
      <c r="S103" s="33" t="s">
        <v>37</v>
      </c>
      <c r="T103" s="148" t="s">
        <v>37</v>
      </c>
      <c r="U103" s="33" t="s">
        <v>37</v>
      </c>
      <c r="V103" s="33" t="s">
        <v>37</v>
      </c>
      <c r="W103" s="33" t="s">
        <v>37</v>
      </c>
      <c r="X103" s="33" t="s">
        <v>37</v>
      </c>
      <c r="Y103" s="33" t="s">
        <v>37</v>
      </c>
      <c r="Z103" s="33" t="s">
        <v>37</v>
      </c>
      <c r="AA103" s="33" t="s">
        <v>37</v>
      </c>
      <c r="AB103" s="6">
        <v>1503</v>
      </c>
      <c r="AC103" s="6"/>
      <c r="AD103" s="35">
        <f t="shared" si="22"/>
        <v>415</v>
      </c>
      <c r="AE103" s="6">
        <v>334</v>
      </c>
      <c r="AF103" s="6">
        <v>1560</v>
      </c>
      <c r="AG103" s="35">
        <f t="shared" si="23"/>
        <v>391</v>
      </c>
      <c r="AH103" s="35">
        <v>725</v>
      </c>
      <c r="AI103" s="35"/>
      <c r="AJ103" s="35">
        <f t="shared" si="24"/>
        <v>391</v>
      </c>
      <c r="AK103" s="6">
        <v>1093</v>
      </c>
      <c r="AL103" s="6"/>
      <c r="AM103" s="35">
        <f t="shared" si="25"/>
        <v>368</v>
      </c>
      <c r="AN103" s="6"/>
      <c r="AO103" s="6"/>
      <c r="AP103" s="34"/>
      <c r="AQ103" s="35">
        <v>1486</v>
      </c>
      <c r="AR103" s="35"/>
      <c r="AS103" s="35">
        <f t="shared" si="26"/>
        <v>393</v>
      </c>
      <c r="AT103" s="6">
        <v>314</v>
      </c>
      <c r="AU103" s="6">
        <v>1560</v>
      </c>
      <c r="AV103" s="35">
        <f t="shared" si="27"/>
        <v>388</v>
      </c>
      <c r="AW103" s="6">
        <v>700</v>
      </c>
      <c r="AX103" s="6"/>
      <c r="AY103" s="35">
        <f t="shared" si="28"/>
        <v>386</v>
      </c>
      <c r="AZ103" s="35">
        <v>1090</v>
      </c>
      <c r="BA103" s="35"/>
      <c r="BB103" s="35">
        <f t="shared" si="29"/>
        <v>390</v>
      </c>
      <c r="BC103" s="6">
        <v>1477</v>
      </c>
      <c r="BD103" s="6"/>
      <c r="BE103" s="35">
        <f t="shared" si="30"/>
        <v>387</v>
      </c>
      <c r="BF103" s="6">
        <v>291</v>
      </c>
      <c r="BG103" s="6">
        <v>1560</v>
      </c>
      <c r="BH103" s="6">
        <f t="shared" si="31"/>
        <v>374</v>
      </c>
      <c r="BI103" s="6"/>
      <c r="BJ103" s="6"/>
      <c r="BK103" s="6"/>
      <c r="BL103" s="6">
        <v>683</v>
      </c>
      <c r="BM103" s="6"/>
      <c r="BN103" s="6">
        <f t="shared" si="32"/>
        <v>392</v>
      </c>
      <c r="BO103" s="6">
        <v>1060</v>
      </c>
      <c r="BP103" s="6"/>
      <c r="BQ103" s="35">
        <f t="shared" si="33"/>
        <v>377</v>
      </c>
      <c r="BR103" s="6">
        <v>1450</v>
      </c>
      <c r="BS103" s="6"/>
      <c r="BT103" s="6">
        <f t="shared" si="34"/>
        <v>390</v>
      </c>
      <c r="BU103" s="6">
        <v>0</v>
      </c>
      <c r="BV103" s="6">
        <v>1592</v>
      </c>
      <c r="BW103" s="35">
        <f t="shared" si="35"/>
        <v>142</v>
      </c>
      <c r="BX103" s="6">
        <v>369</v>
      </c>
      <c r="BY103" s="6"/>
      <c r="BZ103" s="6">
        <f t="shared" si="36"/>
        <v>369</v>
      </c>
      <c r="CA103" s="6">
        <v>736</v>
      </c>
      <c r="CB103" s="6"/>
      <c r="CC103" s="6">
        <f t="shared" si="37"/>
        <v>367</v>
      </c>
      <c r="CD103" s="6"/>
      <c r="CE103" s="6"/>
      <c r="CF103" s="6"/>
      <c r="CG103" s="6">
        <v>1133</v>
      </c>
      <c r="CH103" s="6"/>
      <c r="CI103" s="6">
        <f t="shared" si="38"/>
        <v>397</v>
      </c>
      <c r="CJ103" s="6">
        <v>377</v>
      </c>
      <c r="CK103" s="6">
        <v>1134</v>
      </c>
      <c r="CL103" s="6">
        <f t="shared" si="39"/>
        <v>378</v>
      </c>
      <c r="CM103" s="6">
        <v>737</v>
      </c>
      <c r="CN103" s="6"/>
      <c r="CO103" s="6">
        <f t="shared" si="40"/>
        <v>360</v>
      </c>
      <c r="CP103" s="6">
        <v>1124</v>
      </c>
      <c r="CQ103" s="6"/>
      <c r="CR103" s="6">
        <f t="shared" si="41"/>
        <v>387</v>
      </c>
      <c r="CS103" s="6">
        <v>1512</v>
      </c>
      <c r="CT103" s="6"/>
      <c r="CU103" s="6">
        <f t="shared" si="42"/>
        <v>388</v>
      </c>
      <c r="CV103" s="6">
        <v>152</v>
      </c>
      <c r="CW103" s="6">
        <v>1560</v>
      </c>
      <c r="CX103" s="6">
        <f t="shared" si="43"/>
        <v>200</v>
      </c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</row>
    <row r="104" spans="1:117">
      <c r="A104" s="6">
        <v>100</v>
      </c>
      <c r="B104" s="6">
        <v>1072</v>
      </c>
      <c r="C104" s="6"/>
      <c r="D104" s="6">
        <v>355</v>
      </c>
      <c r="E104" s="33" t="s">
        <v>128</v>
      </c>
      <c r="F104" s="33" t="s">
        <v>128</v>
      </c>
      <c r="G104" s="33" t="s">
        <v>128</v>
      </c>
      <c r="H104" s="33" t="s">
        <v>128</v>
      </c>
      <c r="I104" s="33" t="s">
        <v>128</v>
      </c>
      <c r="J104" s="33" t="s">
        <v>128</v>
      </c>
      <c r="K104" s="33" t="s">
        <v>128</v>
      </c>
      <c r="L104" s="33" t="s">
        <v>128</v>
      </c>
      <c r="M104" s="33" t="s">
        <v>128</v>
      </c>
      <c r="N104" s="33" t="s">
        <v>128</v>
      </c>
      <c r="O104" s="33" t="s">
        <v>128</v>
      </c>
      <c r="P104" s="33" t="s">
        <v>128</v>
      </c>
      <c r="Q104" s="33" t="s">
        <v>128</v>
      </c>
      <c r="R104" s="33" t="s">
        <v>128</v>
      </c>
      <c r="S104" s="33" t="s">
        <v>128</v>
      </c>
      <c r="T104" s="33" t="s">
        <v>128</v>
      </c>
      <c r="U104" s="33" t="s">
        <v>128</v>
      </c>
      <c r="V104" s="33" t="s">
        <v>128</v>
      </c>
      <c r="W104" s="33" t="s">
        <v>128</v>
      </c>
      <c r="X104" s="148" t="s">
        <v>307</v>
      </c>
      <c r="Y104" s="33" t="s">
        <v>307</v>
      </c>
      <c r="Z104" s="33" t="s">
        <v>307</v>
      </c>
      <c r="AA104" s="33" t="s">
        <v>307</v>
      </c>
      <c r="AB104" s="35">
        <v>1476</v>
      </c>
      <c r="AC104" s="35"/>
      <c r="AD104" s="35">
        <f t="shared" si="22"/>
        <v>404</v>
      </c>
      <c r="AE104" s="35">
        <v>298</v>
      </c>
      <c r="AF104" s="35">
        <v>1560</v>
      </c>
      <c r="AG104" s="35">
        <f t="shared" si="23"/>
        <v>382</v>
      </c>
      <c r="AH104" s="35">
        <v>686</v>
      </c>
      <c r="AI104" s="35"/>
      <c r="AJ104" s="35">
        <f t="shared" si="24"/>
        <v>388</v>
      </c>
      <c r="AK104" s="6">
        <v>1053</v>
      </c>
      <c r="AL104" s="6"/>
      <c r="AM104" s="35">
        <f t="shared" si="25"/>
        <v>367</v>
      </c>
      <c r="AN104" s="6"/>
      <c r="AO104" s="6"/>
      <c r="AP104" s="34"/>
      <c r="AQ104" s="35">
        <v>1444</v>
      </c>
      <c r="AR104" s="35"/>
      <c r="AS104" s="35">
        <f t="shared" si="26"/>
        <v>391</v>
      </c>
      <c r="AT104" s="6">
        <v>274</v>
      </c>
      <c r="AU104" s="6">
        <v>1560</v>
      </c>
      <c r="AV104" s="35">
        <f t="shared" si="27"/>
        <v>390</v>
      </c>
      <c r="AW104" s="6">
        <v>657</v>
      </c>
      <c r="AX104" s="6"/>
      <c r="AY104" s="35">
        <f t="shared" si="28"/>
        <v>383</v>
      </c>
      <c r="AZ104" s="35">
        <v>1050</v>
      </c>
      <c r="BA104" s="35"/>
      <c r="BB104" s="35">
        <f t="shared" si="29"/>
        <v>393</v>
      </c>
      <c r="BC104" s="6">
        <v>1441</v>
      </c>
      <c r="BD104" s="6"/>
      <c r="BE104" s="35">
        <f t="shared" si="30"/>
        <v>391</v>
      </c>
      <c r="BF104" s="6">
        <v>259</v>
      </c>
      <c r="BG104" s="6">
        <v>1560</v>
      </c>
      <c r="BH104" s="6">
        <f t="shared" si="31"/>
        <v>378</v>
      </c>
      <c r="BI104" s="6"/>
      <c r="BJ104" s="6"/>
      <c r="BK104" s="6"/>
      <c r="BL104" s="6">
        <v>650</v>
      </c>
      <c r="BM104" s="6"/>
      <c r="BN104" s="6">
        <f t="shared" si="32"/>
        <v>391</v>
      </c>
      <c r="BO104" s="6">
        <v>355</v>
      </c>
      <c r="BP104" s="6">
        <v>655</v>
      </c>
      <c r="BQ104" s="35">
        <f t="shared" si="33"/>
        <v>360</v>
      </c>
      <c r="BR104" s="6">
        <v>727</v>
      </c>
      <c r="BS104" s="6"/>
      <c r="BT104" s="6">
        <f t="shared" si="34"/>
        <v>372</v>
      </c>
      <c r="BU104" s="6">
        <v>1100</v>
      </c>
      <c r="BV104" s="6"/>
      <c r="BW104" s="35">
        <f t="shared" si="35"/>
        <v>373</v>
      </c>
      <c r="BX104" s="6">
        <v>1477</v>
      </c>
      <c r="BY104" s="6"/>
      <c r="BZ104" s="6">
        <f t="shared" si="36"/>
        <v>377</v>
      </c>
      <c r="CA104" s="6">
        <v>270</v>
      </c>
      <c r="CB104" s="6">
        <v>1560</v>
      </c>
      <c r="CC104" s="6">
        <f t="shared" si="37"/>
        <v>353</v>
      </c>
      <c r="CD104" s="6"/>
      <c r="CE104" s="6"/>
      <c r="CF104" s="6"/>
      <c r="CG104" s="6">
        <v>656</v>
      </c>
      <c r="CH104" s="6"/>
      <c r="CI104" s="6">
        <f t="shared" si="38"/>
        <v>386</v>
      </c>
      <c r="CJ104" s="6">
        <v>0</v>
      </c>
      <c r="CK104" s="6">
        <v>979</v>
      </c>
      <c r="CL104" s="6">
        <f t="shared" si="39"/>
        <v>323</v>
      </c>
      <c r="CM104" s="6">
        <v>336</v>
      </c>
      <c r="CN104" s="6"/>
      <c r="CO104" s="6">
        <f t="shared" si="40"/>
        <v>336</v>
      </c>
      <c r="CP104" s="6">
        <v>725</v>
      </c>
      <c r="CQ104" s="6"/>
      <c r="CR104" s="6">
        <f t="shared" si="41"/>
        <v>389</v>
      </c>
      <c r="CS104" s="6">
        <v>1117</v>
      </c>
      <c r="CT104" s="6"/>
      <c r="CU104" s="6">
        <f t="shared" si="42"/>
        <v>392</v>
      </c>
      <c r="CV104" s="6">
        <v>1331</v>
      </c>
      <c r="CW104" s="6"/>
      <c r="CX104" s="6">
        <f t="shared" si="43"/>
        <v>214</v>
      </c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</row>
    <row r="105" spans="1:117">
      <c r="A105" s="6">
        <v>101</v>
      </c>
      <c r="B105" s="6">
        <v>487</v>
      </c>
      <c r="C105" s="6"/>
      <c r="D105" s="6">
        <v>361</v>
      </c>
      <c r="E105" s="33" t="s">
        <v>37</v>
      </c>
      <c r="F105" s="33" t="s">
        <v>37</v>
      </c>
      <c r="G105" s="33" t="s">
        <v>37</v>
      </c>
      <c r="H105" s="33" t="s">
        <v>37</v>
      </c>
      <c r="I105" s="33" t="s">
        <v>37</v>
      </c>
      <c r="J105" s="33" t="s">
        <v>37</v>
      </c>
      <c r="K105" s="33" t="s">
        <v>37</v>
      </c>
      <c r="L105" s="33" t="s">
        <v>37</v>
      </c>
      <c r="M105" s="33" t="s">
        <v>37</v>
      </c>
      <c r="N105" s="33" t="s">
        <v>37</v>
      </c>
      <c r="O105" s="33" t="s">
        <v>37</v>
      </c>
      <c r="P105" s="33" t="s">
        <v>37</v>
      </c>
      <c r="Q105" s="33" t="s">
        <v>37</v>
      </c>
      <c r="R105" s="33" t="s">
        <v>37</v>
      </c>
      <c r="S105" s="33" t="s">
        <v>37</v>
      </c>
      <c r="T105" s="33" t="s">
        <v>37</v>
      </c>
      <c r="U105" s="33" t="s">
        <v>37</v>
      </c>
      <c r="V105" s="148" t="s">
        <v>307</v>
      </c>
      <c r="W105" s="33" t="s">
        <v>307</v>
      </c>
      <c r="X105" s="33" t="s">
        <v>307</v>
      </c>
      <c r="Y105" s="33" t="s">
        <v>307</v>
      </c>
      <c r="Z105" s="33" t="s">
        <v>307</v>
      </c>
      <c r="AA105" s="33" t="s">
        <v>307</v>
      </c>
      <c r="AB105" s="6">
        <v>890</v>
      </c>
      <c r="AC105" s="6"/>
      <c r="AD105" s="35">
        <f t="shared" si="22"/>
        <v>403</v>
      </c>
      <c r="AE105" s="6">
        <v>1276</v>
      </c>
      <c r="AF105" s="6"/>
      <c r="AG105" s="35">
        <f t="shared" si="23"/>
        <v>386</v>
      </c>
      <c r="AH105" s="35">
        <v>103</v>
      </c>
      <c r="AI105" s="35">
        <v>1560</v>
      </c>
      <c r="AJ105" s="35">
        <f t="shared" si="24"/>
        <v>387</v>
      </c>
      <c r="AK105" s="6">
        <v>465</v>
      </c>
      <c r="AL105" s="6"/>
      <c r="AM105" s="35">
        <f t="shared" si="25"/>
        <v>362</v>
      </c>
      <c r="AN105" s="6"/>
      <c r="AO105" s="6"/>
      <c r="AP105" s="34"/>
      <c r="AQ105" s="35">
        <v>853</v>
      </c>
      <c r="AR105" s="35"/>
      <c r="AS105" s="35">
        <f t="shared" si="26"/>
        <v>388</v>
      </c>
      <c r="AT105" s="6">
        <v>1241</v>
      </c>
      <c r="AU105" s="6"/>
      <c r="AV105" s="35">
        <f t="shared" si="27"/>
        <v>388</v>
      </c>
      <c r="AW105" s="6">
        <v>321</v>
      </c>
      <c r="AX105" s="6">
        <v>1306</v>
      </c>
      <c r="AY105" s="35">
        <f t="shared" si="28"/>
        <v>386</v>
      </c>
      <c r="AZ105" s="35">
        <v>715</v>
      </c>
      <c r="BA105" s="35"/>
      <c r="BB105" s="35">
        <f t="shared" si="29"/>
        <v>394</v>
      </c>
      <c r="BC105" s="6">
        <v>1096</v>
      </c>
      <c r="BD105" s="6"/>
      <c r="BE105" s="35">
        <f t="shared" si="30"/>
        <v>381</v>
      </c>
      <c r="BF105" s="35">
        <v>1475</v>
      </c>
      <c r="BG105" s="6"/>
      <c r="BH105" s="6">
        <f t="shared" si="31"/>
        <v>379</v>
      </c>
      <c r="BI105" s="6"/>
      <c r="BJ105" s="6"/>
      <c r="BK105" s="6"/>
      <c r="BL105" s="6">
        <v>314</v>
      </c>
      <c r="BM105" s="6">
        <v>1560</v>
      </c>
      <c r="BN105" s="6">
        <f t="shared" si="32"/>
        <v>399</v>
      </c>
      <c r="BO105" s="6">
        <v>700</v>
      </c>
      <c r="BP105" s="6"/>
      <c r="BQ105" s="35">
        <f t="shared" si="33"/>
        <v>386</v>
      </c>
      <c r="BR105" s="6">
        <v>1094</v>
      </c>
      <c r="BS105" s="6"/>
      <c r="BT105" s="6">
        <f t="shared" si="34"/>
        <v>394</v>
      </c>
      <c r="BU105" s="6">
        <v>1487</v>
      </c>
      <c r="BV105" s="6"/>
      <c r="BW105" s="35">
        <f t="shared" si="35"/>
        <v>393</v>
      </c>
      <c r="BX105" s="6">
        <v>285</v>
      </c>
      <c r="BY105" s="6">
        <v>1560</v>
      </c>
      <c r="BZ105" s="6">
        <f t="shared" si="36"/>
        <v>358</v>
      </c>
      <c r="CA105" s="6">
        <v>0</v>
      </c>
      <c r="CB105" s="6">
        <v>463</v>
      </c>
      <c r="CC105" s="6">
        <f t="shared" si="37"/>
        <v>178</v>
      </c>
      <c r="CD105" s="6"/>
      <c r="CE105" s="6"/>
      <c r="CF105" s="6"/>
      <c r="CG105" s="6">
        <v>310</v>
      </c>
      <c r="CH105" s="6"/>
      <c r="CI105" s="6">
        <f t="shared" si="38"/>
        <v>310</v>
      </c>
      <c r="CJ105" s="6">
        <v>692</v>
      </c>
      <c r="CK105" s="6"/>
      <c r="CL105" s="6">
        <f t="shared" si="39"/>
        <v>382</v>
      </c>
      <c r="CM105" s="6">
        <v>1078</v>
      </c>
      <c r="CN105" s="6"/>
      <c r="CO105" s="6">
        <f t="shared" si="40"/>
        <v>386</v>
      </c>
      <c r="CP105" s="6">
        <v>1464</v>
      </c>
      <c r="CQ105" s="6"/>
      <c r="CR105" s="6">
        <f t="shared" si="41"/>
        <v>386</v>
      </c>
      <c r="CS105" s="6">
        <v>140</v>
      </c>
      <c r="CT105" s="6">
        <v>1711</v>
      </c>
      <c r="CU105" s="6">
        <f t="shared" si="42"/>
        <v>387</v>
      </c>
      <c r="CV105" s="6">
        <v>347</v>
      </c>
      <c r="CW105" s="6"/>
      <c r="CX105" s="6">
        <f t="shared" si="43"/>
        <v>207</v>
      </c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</row>
    <row r="106" spans="1:117">
      <c r="A106" s="6">
        <v>102</v>
      </c>
      <c r="B106" s="6">
        <v>727</v>
      </c>
      <c r="C106" s="6"/>
      <c r="D106" s="6">
        <v>364</v>
      </c>
      <c r="E106" s="33" t="s">
        <v>128</v>
      </c>
      <c r="F106" s="33" t="s">
        <v>128</v>
      </c>
      <c r="G106" s="33" t="s">
        <v>128</v>
      </c>
      <c r="H106" s="33" t="s">
        <v>128</v>
      </c>
      <c r="I106" s="33" t="s">
        <v>128</v>
      </c>
      <c r="J106" s="33" t="s">
        <v>128</v>
      </c>
      <c r="K106" s="33" t="s">
        <v>128</v>
      </c>
      <c r="L106" s="33" t="s">
        <v>128</v>
      </c>
      <c r="M106" s="33" t="s">
        <v>128</v>
      </c>
      <c r="N106" s="148" t="s">
        <v>128</v>
      </c>
      <c r="O106" s="33" t="s">
        <v>128</v>
      </c>
      <c r="P106" s="33" t="s">
        <v>128</v>
      </c>
      <c r="Q106" s="33" t="s">
        <v>128</v>
      </c>
      <c r="R106" s="33" t="s">
        <v>128</v>
      </c>
      <c r="S106" s="33" t="s">
        <v>128</v>
      </c>
      <c r="T106" s="33" t="s">
        <v>128</v>
      </c>
      <c r="U106" s="33" t="s">
        <v>128</v>
      </c>
      <c r="V106" s="33" t="s">
        <v>128</v>
      </c>
      <c r="W106" s="33" t="s">
        <v>128</v>
      </c>
      <c r="X106" s="33" t="s">
        <v>128</v>
      </c>
      <c r="Y106" s="33" t="s">
        <v>128</v>
      </c>
      <c r="Z106" s="33" t="s">
        <v>128</v>
      </c>
      <c r="AA106" s="33" t="s">
        <v>128</v>
      </c>
      <c r="AB106" s="6">
        <v>1140</v>
      </c>
      <c r="AC106" s="6"/>
      <c r="AD106" s="35">
        <f t="shared" si="22"/>
        <v>413</v>
      </c>
      <c r="AE106" s="6">
        <v>1524</v>
      </c>
      <c r="AF106" s="6"/>
      <c r="AG106" s="35">
        <f t="shared" si="23"/>
        <v>384</v>
      </c>
      <c r="AH106" s="35">
        <v>353</v>
      </c>
      <c r="AI106" s="35">
        <v>1560</v>
      </c>
      <c r="AJ106" s="35">
        <f t="shared" si="24"/>
        <v>389</v>
      </c>
      <c r="AK106" s="6">
        <v>719</v>
      </c>
      <c r="AL106" s="6"/>
      <c r="AM106" s="35">
        <f t="shared" si="25"/>
        <v>366</v>
      </c>
      <c r="AN106" s="6"/>
      <c r="AO106" s="6"/>
      <c r="AP106" s="34"/>
      <c r="AQ106" s="35">
        <v>1107</v>
      </c>
      <c r="AR106" s="35"/>
      <c r="AS106" s="35">
        <f t="shared" si="26"/>
        <v>388</v>
      </c>
      <c r="AT106" s="6">
        <v>1483</v>
      </c>
      <c r="AU106" s="6"/>
      <c r="AV106" s="35">
        <f t="shared" si="27"/>
        <v>376</v>
      </c>
      <c r="AW106" s="6">
        <v>326</v>
      </c>
      <c r="AX106" s="6">
        <v>1540</v>
      </c>
      <c r="AY106" s="35">
        <f t="shared" si="28"/>
        <v>383</v>
      </c>
      <c r="AZ106" s="35">
        <v>0</v>
      </c>
      <c r="BA106" s="35">
        <v>526</v>
      </c>
      <c r="BB106" s="35">
        <f t="shared" si="29"/>
        <v>200</v>
      </c>
      <c r="BC106" s="35">
        <v>366</v>
      </c>
      <c r="BD106" s="6"/>
      <c r="BE106" s="35">
        <f t="shared" si="30"/>
        <v>366</v>
      </c>
      <c r="BF106" s="6">
        <v>747</v>
      </c>
      <c r="BG106" s="6"/>
      <c r="BH106" s="6">
        <f t="shared" si="31"/>
        <v>381</v>
      </c>
      <c r="BI106" s="6"/>
      <c r="BJ106" s="6"/>
      <c r="BK106" s="6"/>
      <c r="BL106" s="6">
        <v>1147</v>
      </c>
      <c r="BM106" s="6"/>
      <c r="BN106" s="6">
        <f t="shared" si="32"/>
        <v>400</v>
      </c>
      <c r="BO106" s="6">
        <v>1532</v>
      </c>
      <c r="BP106" s="6"/>
      <c r="BQ106" s="35">
        <f t="shared" si="33"/>
        <v>385</v>
      </c>
      <c r="BR106" s="6">
        <v>368</v>
      </c>
      <c r="BS106" s="6">
        <v>1560</v>
      </c>
      <c r="BT106" s="6">
        <f t="shared" si="34"/>
        <v>396</v>
      </c>
      <c r="BU106" s="6">
        <v>762</v>
      </c>
      <c r="BV106" s="6"/>
      <c r="BW106" s="35">
        <f t="shared" si="35"/>
        <v>394</v>
      </c>
      <c r="BX106" s="6">
        <v>1160</v>
      </c>
      <c r="BY106" s="6"/>
      <c r="BZ106" s="6">
        <f t="shared" si="36"/>
        <v>398</v>
      </c>
      <c r="CA106" s="6">
        <v>1534</v>
      </c>
      <c r="CB106" s="6"/>
      <c r="CC106" s="6">
        <f t="shared" si="37"/>
        <v>374</v>
      </c>
      <c r="CD106" s="6"/>
      <c r="CE106" s="6"/>
      <c r="CF106" s="6"/>
      <c r="CG106" s="6">
        <v>375</v>
      </c>
      <c r="CH106" s="6">
        <v>1560</v>
      </c>
      <c r="CI106" s="6">
        <f t="shared" si="38"/>
        <v>401</v>
      </c>
      <c r="CJ106" s="6">
        <v>774</v>
      </c>
      <c r="CK106" s="6"/>
      <c r="CL106" s="6">
        <f t="shared" si="39"/>
        <v>399</v>
      </c>
      <c r="CM106" s="6">
        <v>1172</v>
      </c>
      <c r="CN106" s="6"/>
      <c r="CO106" s="6">
        <f t="shared" si="40"/>
        <v>398</v>
      </c>
      <c r="CP106" s="6">
        <v>12</v>
      </c>
      <c r="CQ106" s="6">
        <v>1560</v>
      </c>
      <c r="CR106" s="6">
        <f t="shared" si="41"/>
        <v>400</v>
      </c>
      <c r="CS106" s="6">
        <v>412</v>
      </c>
      <c r="CT106" s="6"/>
      <c r="CU106" s="6">
        <f t="shared" si="42"/>
        <v>400</v>
      </c>
      <c r="CV106" s="6">
        <v>627</v>
      </c>
      <c r="CW106" s="6"/>
      <c r="CX106" s="6">
        <f t="shared" si="43"/>
        <v>215</v>
      </c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</row>
    <row r="107" spans="1:117">
      <c r="A107" s="6">
        <v>103</v>
      </c>
      <c r="B107" s="6">
        <v>994</v>
      </c>
      <c r="C107" s="6"/>
      <c r="D107" s="6">
        <v>342</v>
      </c>
      <c r="E107" s="33" t="s">
        <v>37</v>
      </c>
      <c r="F107" s="33" t="s">
        <v>37</v>
      </c>
      <c r="G107" s="33" t="s">
        <v>37</v>
      </c>
      <c r="H107" s="33" t="s">
        <v>37</v>
      </c>
      <c r="I107" s="33" t="s">
        <v>37</v>
      </c>
      <c r="J107" s="33" t="s">
        <v>37</v>
      </c>
      <c r="K107" s="33" t="s">
        <v>37</v>
      </c>
      <c r="L107" s="33" t="s">
        <v>37</v>
      </c>
      <c r="M107" s="33" t="s">
        <v>37</v>
      </c>
      <c r="N107" s="33" t="s">
        <v>37</v>
      </c>
      <c r="O107" s="33" t="s">
        <v>37</v>
      </c>
      <c r="P107" s="33" t="s">
        <v>37</v>
      </c>
      <c r="Q107" s="33" t="s">
        <v>37</v>
      </c>
      <c r="R107" s="33" t="s">
        <v>37</v>
      </c>
      <c r="S107" s="33" t="s">
        <v>37</v>
      </c>
      <c r="T107" s="148" t="s">
        <v>37</v>
      </c>
      <c r="U107" s="33" t="s">
        <v>37</v>
      </c>
      <c r="V107" s="33" t="s">
        <v>37</v>
      </c>
      <c r="W107" s="33" t="s">
        <v>37</v>
      </c>
      <c r="X107" s="33" t="s">
        <v>37</v>
      </c>
      <c r="Y107" s="33" t="s">
        <v>37</v>
      </c>
      <c r="Z107" s="33" t="s">
        <v>37</v>
      </c>
      <c r="AA107" s="33" t="s">
        <v>37</v>
      </c>
      <c r="AB107" s="6">
        <v>1407</v>
      </c>
      <c r="AC107" s="6"/>
      <c r="AD107" s="35">
        <f t="shared" si="22"/>
        <v>413</v>
      </c>
      <c r="AE107" s="6">
        <v>219</v>
      </c>
      <c r="AF107" s="6">
        <v>1560</v>
      </c>
      <c r="AG107" s="35">
        <f t="shared" si="23"/>
        <v>372</v>
      </c>
      <c r="AH107" s="35">
        <v>609</v>
      </c>
      <c r="AI107" s="35"/>
      <c r="AJ107" s="35">
        <f t="shared" si="24"/>
        <v>390</v>
      </c>
      <c r="AK107" s="6">
        <v>976</v>
      </c>
      <c r="AL107" s="6"/>
      <c r="AM107" s="35">
        <f t="shared" si="25"/>
        <v>367</v>
      </c>
      <c r="AN107" s="6"/>
      <c r="AO107" s="6"/>
      <c r="AP107" s="34"/>
      <c r="AQ107" s="35">
        <v>1363</v>
      </c>
      <c r="AR107" s="35"/>
      <c r="AS107" s="35">
        <f t="shared" si="26"/>
        <v>387</v>
      </c>
      <c r="AT107" s="6">
        <v>194</v>
      </c>
      <c r="AU107" s="6">
        <v>1560</v>
      </c>
      <c r="AV107" s="35">
        <f t="shared" si="27"/>
        <v>391</v>
      </c>
      <c r="AW107" s="6">
        <v>584</v>
      </c>
      <c r="AX107" s="6"/>
      <c r="AY107" s="35">
        <f t="shared" si="28"/>
        <v>390</v>
      </c>
      <c r="AZ107" s="35">
        <v>978</v>
      </c>
      <c r="BA107" s="35"/>
      <c r="BB107" s="35">
        <f t="shared" si="29"/>
        <v>394</v>
      </c>
      <c r="BC107" s="6">
        <v>1358</v>
      </c>
      <c r="BD107" s="6"/>
      <c r="BE107" s="35">
        <f t="shared" si="30"/>
        <v>380</v>
      </c>
      <c r="BF107" s="6">
        <v>130</v>
      </c>
      <c r="BG107" s="6">
        <f>1442+88</f>
        <v>1530</v>
      </c>
      <c r="BH107" s="6">
        <f t="shared" si="31"/>
        <v>302</v>
      </c>
      <c r="BI107" s="6"/>
      <c r="BJ107" s="6"/>
      <c r="BK107" s="6"/>
      <c r="BL107" s="6">
        <v>529</v>
      </c>
      <c r="BM107" s="6"/>
      <c r="BN107" s="6">
        <f t="shared" si="32"/>
        <v>399</v>
      </c>
      <c r="BO107" s="6">
        <v>911</v>
      </c>
      <c r="BP107" s="6"/>
      <c r="BQ107" s="35">
        <f t="shared" si="33"/>
        <v>382</v>
      </c>
      <c r="BR107" s="6">
        <v>1289</v>
      </c>
      <c r="BS107" s="6"/>
      <c r="BT107" s="6">
        <f t="shared" si="34"/>
        <v>378</v>
      </c>
      <c r="BU107" s="6">
        <v>0</v>
      </c>
      <c r="BV107" s="6">
        <v>1628</v>
      </c>
      <c r="BW107" s="35">
        <f t="shared" si="35"/>
        <v>339</v>
      </c>
      <c r="BX107" s="6">
        <v>352</v>
      </c>
      <c r="BY107" s="6"/>
      <c r="BZ107" s="6">
        <f t="shared" si="36"/>
        <v>352</v>
      </c>
      <c r="CA107" s="6">
        <v>716</v>
      </c>
      <c r="CB107" s="6"/>
      <c r="CC107" s="6">
        <f t="shared" si="37"/>
        <v>364</v>
      </c>
      <c r="CD107" s="6"/>
      <c r="CE107" s="6"/>
      <c r="CF107" s="6"/>
      <c r="CG107" s="6">
        <v>1113</v>
      </c>
      <c r="CH107" s="6"/>
      <c r="CI107" s="6">
        <f t="shared" si="38"/>
        <v>397</v>
      </c>
      <c r="CJ107" s="6">
        <v>1496</v>
      </c>
      <c r="CK107" s="6"/>
      <c r="CL107" s="6">
        <f t="shared" si="39"/>
        <v>383</v>
      </c>
      <c r="CM107" s="6">
        <v>320</v>
      </c>
      <c r="CN107" s="6">
        <v>1560</v>
      </c>
      <c r="CO107" s="6">
        <f t="shared" si="40"/>
        <v>384</v>
      </c>
      <c r="CP107" s="6">
        <v>697</v>
      </c>
      <c r="CQ107" s="6"/>
      <c r="CR107" s="6">
        <f t="shared" si="41"/>
        <v>377</v>
      </c>
      <c r="CS107" s="6">
        <v>1076</v>
      </c>
      <c r="CT107" s="6"/>
      <c r="CU107" s="6">
        <f t="shared" si="42"/>
        <v>379</v>
      </c>
      <c r="CV107" s="6">
        <v>85</v>
      </c>
      <c r="CW107" s="6">
        <v>1163</v>
      </c>
      <c r="CX107" s="6">
        <f t="shared" si="43"/>
        <v>172</v>
      </c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</row>
    <row r="108" spans="1:117">
      <c r="A108" s="6">
        <v>104</v>
      </c>
      <c r="B108" s="6">
        <v>231</v>
      </c>
      <c r="C108" s="6">
        <v>1560</v>
      </c>
      <c r="D108" s="6">
        <v>351</v>
      </c>
      <c r="E108" s="33" t="s">
        <v>37</v>
      </c>
      <c r="F108" s="33" t="s">
        <v>37</v>
      </c>
      <c r="G108" s="33" t="s">
        <v>37</v>
      </c>
      <c r="H108" s="33" t="s">
        <v>37</v>
      </c>
      <c r="I108" s="33" t="s">
        <v>37</v>
      </c>
      <c r="J108" s="33" t="s">
        <v>37</v>
      </c>
      <c r="K108" s="33" t="s">
        <v>37</v>
      </c>
      <c r="L108" s="33" t="s">
        <v>37</v>
      </c>
      <c r="M108" s="33" t="s">
        <v>37</v>
      </c>
      <c r="N108" s="33" t="s">
        <v>37</v>
      </c>
      <c r="O108" s="33" t="s">
        <v>37</v>
      </c>
      <c r="P108" s="33" t="s">
        <v>37</v>
      </c>
      <c r="Q108" s="33" t="s">
        <v>37</v>
      </c>
      <c r="R108" s="148" t="s">
        <v>128</v>
      </c>
      <c r="S108" s="33" t="s">
        <v>128</v>
      </c>
      <c r="T108" s="33" t="s">
        <v>128</v>
      </c>
      <c r="U108" s="33" t="s">
        <v>128</v>
      </c>
      <c r="V108" s="33" t="s">
        <v>128</v>
      </c>
      <c r="W108" s="33" t="s">
        <v>128</v>
      </c>
      <c r="X108" s="33" t="s">
        <v>128</v>
      </c>
      <c r="Y108" s="33" t="s">
        <v>128</v>
      </c>
      <c r="Z108" s="33" t="s">
        <v>128</v>
      </c>
      <c r="AA108" s="33" t="s">
        <v>128</v>
      </c>
      <c r="AB108" s="6">
        <v>627</v>
      </c>
      <c r="AC108" s="6"/>
      <c r="AD108" s="35">
        <f t="shared" si="22"/>
        <v>396</v>
      </c>
      <c r="AE108" s="6">
        <v>996</v>
      </c>
      <c r="AF108" s="6"/>
      <c r="AG108" s="35">
        <f t="shared" si="23"/>
        <v>369</v>
      </c>
      <c r="AH108" s="35">
        <v>1367</v>
      </c>
      <c r="AI108" s="35"/>
      <c r="AJ108" s="35">
        <f t="shared" si="24"/>
        <v>371</v>
      </c>
      <c r="AK108" s="6">
        <v>161</v>
      </c>
      <c r="AL108" s="6">
        <v>1560</v>
      </c>
      <c r="AM108" s="35">
        <f t="shared" si="25"/>
        <v>354</v>
      </c>
      <c r="AN108" s="6"/>
      <c r="AO108" s="6"/>
      <c r="AP108" s="34"/>
      <c r="AQ108" s="35">
        <v>525</v>
      </c>
      <c r="AR108" s="35"/>
      <c r="AS108" s="35">
        <f t="shared" si="26"/>
        <v>364</v>
      </c>
      <c r="AT108" s="6">
        <v>914</v>
      </c>
      <c r="AU108" s="6"/>
      <c r="AV108" s="35">
        <f t="shared" si="27"/>
        <v>389</v>
      </c>
      <c r="AW108" s="6">
        <v>1302</v>
      </c>
      <c r="AX108" s="6"/>
      <c r="AY108" s="35">
        <f t="shared" si="28"/>
        <v>388</v>
      </c>
      <c r="AZ108" s="35">
        <v>124</v>
      </c>
      <c r="BA108" s="35">
        <v>1560</v>
      </c>
      <c r="BB108" s="35">
        <f t="shared" si="29"/>
        <v>382</v>
      </c>
      <c r="BC108" s="6">
        <v>513</v>
      </c>
      <c r="BD108" s="6"/>
      <c r="BE108" s="35">
        <f t="shared" si="30"/>
        <v>389</v>
      </c>
      <c r="BF108" s="6">
        <v>893</v>
      </c>
      <c r="BG108" s="6"/>
      <c r="BH108" s="6">
        <f t="shared" si="31"/>
        <v>380</v>
      </c>
      <c r="BI108" s="6"/>
      <c r="BJ108" s="6"/>
      <c r="BK108" s="6"/>
      <c r="BL108" s="6">
        <v>1293</v>
      </c>
      <c r="BM108" s="6"/>
      <c r="BN108" s="6">
        <f t="shared" si="32"/>
        <v>400</v>
      </c>
      <c r="BO108" s="6">
        <v>0</v>
      </c>
      <c r="BP108" s="6">
        <v>1614</v>
      </c>
      <c r="BQ108" s="35">
        <f t="shared" si="33"/>
        <v>321</v>
      </c>
      <c r="BR108" s="6">
        <v>363</v>
      </c>
      <c r="BS108" s="6"/>
      <c r="BT108" s="6">
        <f t="shared" si="34"/>
        <v>363</v>
      </c>
      <c r="BU108" s="6">
        <v>747</v>
      </c>
      <c r="BV108" s="6"/>
      <c r="BW108" s="35">
        <f t="shared" si="35"/>
        <v>384</v>
      </c>
      <c r="BX108" s="6">
        <v>1133</v>
      </c>
      <c r="BY108" s="6"/>
      <c r="BZ108" s="6">
        <f t="shared" si="36"/>
        <v>386</v>
      </c>
      <c r="CA108" s="6">
        <v>1509</v>
      </c>
      <c r="CB108" s="6"/>
      <c r="CC108" s="6">
        <f t="shared" si="37"/>
        <v>376</v>
      </c>
      <c r="CD108" s="6"/>
      <c r="CE108" s="6"/>
      <c r="CF108" s="6"/>
      <c r="CG108" s="6">
        <v>346</v>
      </c>
      <c r="CH108" s="6">
        <v>1560</v>
      </c>
      <c r="CI108" s="6">
        <f t="shared" si="38"/>
        <v>397</v>
      </c>
      <c r="CJ108" s="6">
        <v>739</v>
      </c>
      <c r="CK108" s="6"/>
      <c r="CL108" s="6">
        <f t="shared" si="39"/>
        <v>393</v>
      </c>
      <c r="CM108" s="6">
        <v>1128</v>
      </c>
      <c r="CN108" s="6"/>
      <c r="CO108" s="6">
        <f t="shared" si="40"/>
        <v>389</v>
      </c>
      <c r="CP108" s="6">
        <v>1524</v>
      </c>
      <c r="CQ108" s="6"/>
      <c r="CR108" s="6">
        <f t="shared" si="41"/>
        <v>396</v>
      </c>
      <c r="CS108" s="6">
        <v>100</v>
      </c>
      <c r="CT108" s="6">
        <v>1820</v>
      </c>
      <c r="CU108" s="6">
        <f t="shared" si="42"/>
        <v>396</v>
      </c>
      <c r="CV108" s="6">
        <v>309</v>
      </c>
      <c r="CW108" s="6"/>
      <c r="CX108" s="6">
        <f t="shared" si="43"/>
        <v>209</v>
      </c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</row>
    <row r="109" spans="1:117">
      <c r="A109" s="6">
        <v>105</v>
      </c>
      <c r="B109" s="6">
        <v>940</v>
      </c>
      <c r="C109" s="6"/>
      <c r="D109" s="6">
        <v>359</v>
      </c>
      <c r="E109" s="33" t="s">
        <v>37</v>
      </c>
      <c r="F109" s="33" t="s">
        <v>37</v>
      </c>
      <c r="G109" s="33" t="s">
        <v>37</v>
      </c>
      <c r="H109" s="33" t="s">
        <v>37</v>
      </c>
      <c r="I109" s="33" t="s">
        <v>37</v>
      </c>
      <c r="J109" s="33" t="s">
        <v>37</v>
      </c>
      <c r="K109" s="33" t="s">
        <v>37</v>
      </c>
      <c r="L109" s="33" t="s">
        <v>37</v>
      </c>
      <c r="M109" s="33" t="s">
        <v>37</v>
      </c>
      <c r="N109" s="33" t="s">
        <v>37</v>
      </c>
      <c r="O109" s="33" t="s">
        <v>37</v>
      </c>
      <c r="P109" s="33" t="s">
        <v>37</v>
      </c>
      <c r="Q109" s="33" t="s">
        <v>37</v>
      </c>
      <c r="R109" s="33" t="s">
        <v>37</v>
      </c>
      <c r="S109" s="33" t="s">
        <v>37</v>
      </c>
      <c r="T109" s="148" t="s">
        <v>37</v>
      </c>
      <c r="U109" s="33" t="s">
        <v>37</v>
      </c>
      <c r="V109" s="33" t="s">
        <v>37</v>
      </c>
      <c r="W109" s="33" t="s">
        <v>37</v>
      </c>
      <c r="X109" s="33" t="s">
        <v>37</v>
      </c>
      <c r="Y109" s="33" t="s">
        <v>37</v>
      </c>
      <c r="Z109" s="33" t="s">
        <v>37</v>
      </c>
      <c r="AA109" s="33" t="s">
        <v>37</v>
      </c>
      <c r="AB109" s="6">
        <v>1345</v>
      </c>
      <c r="AC109" s="6"/>
      <c r="AD109" s="35">
        <f t="shared" si="22"/>
        <v>405</v>
      </c>
      <c r="AE109" s="6">
        <v>168</v>
      </c>
      <c r="AF109" s="6">
        <v>1560</v>
      </c>
      <c r="AG109" s="35">
        <f t="shared" si="23"/>
        <v>383</v>
      </c>
      <c r="AH109" s="35">
        <v>553</v>
      </c>
      <c r="AI109" s="35"/>
      <c r="AJ109" s="35">
        <f t="shared" si="24"/>
        <v>385</v>
      </c>
      <c r="AK109" s="6">
        <v>918</v>
      </c>
      <c r="AL109" s="6"/>
      <c r="AM109" s="35">
        <f t="shared" si="25"/>
        <v>365</v>
      </c>
      <c r="AN109" s="6"/>
      <c r="AO109" s="6"/>
      <c r="AP109" s="34"/>
      <c r="AQ109" s="35">
        <v>1300</v>
      </c>
      <c r="AR109" s="35"/>
      <c r="AS109" s="35">
        <f t="shared" si="26"/>
        <v>382</v>
      </c>
      <c r="AT109" s="6">
        <v>118</v>
      </c>
      <c r="AU109" s="6">
        <v>1560</v>
      </c>
      <c r="AV109" s="35">
        <f t="shared" si="27"/>
        <v>378</v>
      </c>
      <c r="AW109" s="6">
        <v>507</v>
      </c>
      <c r="AX109" s="6"/>
      <c r="AY109" s="35">
        <f t="shared" si="28"/>
        <v>389</v>
      </c>
      <c r="AZ109" s="35">
        <v>900</v>
      </c>
      <c r="BA109" s="35"/>
      <c r="BB109" s="35">
        <f t="shared" si="29"/>
        <v>393</v>
      </c>
      <c r="BC109" s="6">
        <v>1292</v>
      </c>
      <c r="BD109" s="6"/>
      <c r="BE109" s="35">
        <f t="shared" si="30"/>
        <v>392</v>
      </c>
      <c r="BF109" s="6">
        <v>104</v>
      </c>
      <c r="BG109" s="6">
        <v>1560</v>
      </c>
      <c r="BH109" s="6">
        <f t="shared" si="31"/>
        <v>372</v>
      </c>
      <c r="BI109" s="6"/>
      <c r="BJ109" s="6"/>
      <c r="BK109" s="6"/>
      <c r="BL109" s="6">
        <v>500</v>
      </c>
      <c r="BM109" s="6"/>
      <c r="BN109" s="6">
        <f t="shared" si="32"/>
        <v>396</v>
      </c>
      <c r="BO109" s="6">
        <v>882</v>
      </c>
      <c r="BP109" s="6"/>
      <c r="BQ109" s="35">
        <f t="shared" si="33"/>
        <v>382</v>
      </c>
      <c r="BR109" s="6">
        <v>1277</v>
      </c>
      <c r="BS109" s="6"/>
      <c r="BT109" s="6">
        <f t="shared" si="34"/>
        <v>395</v>
      </c>
      <c r="BU109" s="6">
        <v>0</v>
      </c>
      <c r="BV109" s="6">
        <v>1619</v>
      </c>
      <c r="BW109" s="35">
        <f t="shared" si="35"/>
        <v>342</v>
      </c>
      <c r="BX109" s="6">
        <v>340</v>
      </c>
      <c r="BY109" s="6"/>
      <c r="BZ109" s="6">
        <f t="shared" si="36"/>
        <v>340</v>
      </c>
      <c r="CA109" s="6">
        <v>716</v>
      </c>
      <c r="CB109" s="6"/>
      <c r="CC109" s="6">
        <f t="shared" si="37"/>
        <v>376</v>
      </c>
      <c r="CD109" s="6"/>
      <c r="CE109" s="6"/>
      <c r="CF109" s="6"/>
      <c r="CG109" s="6">
        <v>1119</v>
      </c>
      <c r="CH109" s="6"/>
      <c r="CI109" s="6">
        <f t="shared" si="38"/>
        <v>403</v>
      </c>
      <c r="CJ109" s="6">
        <v>1511</v>
      </c>
      <c r="CK109" s="6"/>
      <c r="CL109" s="6">
        <f t="shared" si="39"/>
        <v>392</v>
      </c>
      <c r="CM109" s="6">
        <v>336</v>
      </c>
      <c r="CN109" s="6">
        <v>1560</v>
      </c>
      <c r="CO109" s="6">
        <f t="shared" si="40"/>
        <v>385</v>
      </c>
      <c r="CP109" s="6">
        <v>726</v>
      </c>
      <c r="CQ109" s="6"/>
      <c r="CR109" s="6">
        <f t="shared" si="41"/>
        <v>390</v>
      </c>
      <c r="CS109" s="6">
        <v>1108</v>
      </c>
      <c r="CT109" s="6"/>
      <c r="CU109" s="6">
        <f t="shared" si="42"/>
        <v>382</v>
      </c>
      <c r="CV109" s="6">
        <v>1309</v>
      </c>
      <c r="CW109" s="6"/>
      <c r="CX109" s="6">
        <f t="shared" si="43"/>
        <v>201</v>
      </c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</row>
    <row r="110" spans="1:117">
      <c r="A110" s="6">
        <v>106</v>
      </c>
      <c r="B110" s="6">
        <v>878</v>
      </c>
      <c r="C110" s="6"/>
      <c r="D110" s="6">
        <v>342</v>
      </c>
      <c r="E110" s="33" t="s">
        <v>128</v>
      </c>
      <c r="F110" s="33" t="s">
        <v>128</v>
      </c>
      <c r="G110" s="33" t="s">
        <v>128</v>
      </c>
      <c r="H110" s="33" t="s">
        <v>128</v>
      </c>
      <c r="I110" s="33" t="s">
        <v>128</v>
      </c>
      <c r="J110" s="33" t="s">
        <v>128</v>
      </c>
      <c r="K110" s="33" t="s">
        <v>128</v>
      </c>
      <c r="L110" s="148" t="s">
        <v>128</v>
      </c>
      <c r="M110" s="33" t="s">
        <v>128</v>
      </c>
      <c r="N110" s="33" t="s">
        <v>128</v>
      </c>
      <c r="O110" s="33" t="s">
        <v>128</v>
      </c>
      <c r="P110" s="33" t="s">
        <v>128</v>
      </c>
      <c r="Q110" s="33" t="s">
        <v>128</v>
      </c>
      <c r="R110" s="33" t="s">
        <v>128</v>
      </c>
      <c r="S110" s="33" t="s">
        <v>128</v>
      </c>
      <c r="T110" s="33" t="s">
        <v>128</v>
      </c>
      <c r="U110" s="33" t="s">
        <v>128</v>
      </c>
      <c r="V110" s="33" t="s">
        <v>128</v>
      </c>
      <c r="W110" s="33" t="s">
        <v>128</v>
      </c>
      <c r="X110" s="33" t="s">
        <v>128</v>
      </c>
      <c r="Y110" s="33" t="s">
        <v>128</v>
      </c>
      <c r="Z110" s="33" t="s">
        <v>128</v>
      </c>
      <c r="AA110" s="33" t="s">
        <v>128</v>
      </c>
      <c r="AB110" s="6">
        <v>1287</v>
      </c>
      <c r="AC110" s="6"/>
      <c r="AD110" s="35">
        <f t="shared" si="22"/>
        <v>409</v>
      </c>
      <c r="AE110" s="6">
        <v>112</v>
      </c>
      <c r="AF110" s="6">
        <v>1560</v>
      </c>
      <c r="AG110" s="35">
        <f t="shared" si="23"/>
        <v>385</v>
      </c>
      <c r="AH110" s="35">
        <v>485</v>
      </c>
      <c r="AI110" s="35"/>
      <c r="AJ110" s="35">
        <f t="shared" si="24"/>
        <v>373</v>
      </c>
      <c r="AK110" s="6">
        <v>867</v>
      </c>
      <c r="AL110" s="6"/>
      <c r="AM110" s="35">
        <f t="shared" si="25"/>
        <v>382</v>
      </c>
      <c r="AN110" s="6"/>
      <c r="AO110" s="6"/>
      <c r="AP110" s="34"/>
      <c r="AQ110" s="35">
        <v>1249</v>
      </c>
      <c r="AR110" s="35"/>
      <c r="AS110" s="35">
        <f t="shared" si="26"/>
        <v>382</v>
      </c>
      <c r="AT110" s="6">
        <v>0</v>
      </c>
      <c r="AU110" s="6">
        <v>1612</v>
      </c>
      <c r="AV110" s="35">
        <f t="shared" si="27"/>
        <v>363</v>
      </c>
      <c r="AW110" s="6">
        <v>376</v>
      </c>
      <c r="AX110" s="6"/>
      <c r="AY110" s="35">
        <f t="shared" si="28"/>
        <v>376</v>
      </c>
      <c r="AZ110" s="35">
        <v>761</v>
      </c>
      <c r="BA110" s="35"/>
      <c r="BB110" s="35">
        <f t="shared" si="29"/>
        <v>385</v>
      </c>
      <c r="BC110" s="6">
        <v>240</v>
      </c>
      <c r="BD110" s="6">
        <v>897</v>
      </c>
      <c r="BE110" s="35">
        <f t="shared" si="30"/>
        <v>376</v>
      </c>
      <c r="BF110" s="6">
        <v>619</v>
      </c>
      <c r="BG110" s="6"/>
      <c r="BH110" s="6">
        <f t="shared" si="31"/>
        <v>379</v>
      </c>
      <c r="BI110" s="6"/>
      <c r="BJ110" s="6"/>
      <c r="BK110" s="6"/>
      <c r="BL110" s="6">
        <v>1018</v>
      </c>
      <c r="BM110" s="6"/>
      <c r="BN110" s="6">
        <f t="shared" si="32"/>
        <v>399</v>
      </c>
      <c r="BO110" s="6">
        <v>1403</v>
      </c>
      <c r="BP110" s="6"/>
      <c r="BQ110" s="35">
        <f t="shared" si="33"/>
        <v>385</v>
      </c>
      <c r="BR110" s="6">
        <v>236</v>
      </c>
      <c r="BS110" s="6">
        <v>1560</v>
      </c>
      <c r="BT110" s="6">
        <f t="shared" si="34"/>
        <v>393</v>
      </c>
      <c r="BU110" s="6">
        <v>625</v>
      </c>
      <c r="BV110" s="6"/>
      <c r="BW110" s="35">
        <f t="shared" si="35"/>
        <v>389</v>
      </c>
      <c r="BX110" s="6">
        <v>1019</v>
      </c>
      <c r="BY110" s="6"/>
      <c r="BZ110" s="6">
        <f t="shared" si="36"/>
        <v>394</v>
      </c>
      <c r="CA110" s="6">
        <v>1392</v>
      </c>
      <c r="CB110" s="6"/>
      <c r="CC110" s="6">
        <f t="shared" si="37"/>
        <v>373</v>
      </c>
      <c r="CD110" s="6"/>
      <c r="CE110" s="6"/>
      <c r="CF110" s="6"/>
      <c r="CG110" s="6">
        <v>211</v>
      </c>
      <c r="CH110" s="6">
        <v>1560</v>
      </c>
      <c r="CI110" s="6">
        <f t="shared" si="38"/>
        <v>379</v>
      </c>
      <c r="CJ110" s="6">
        <v>614</v>
      </c>
      <c r="CK110" s="6"/>
      <c r="CL110" s="6">
        <f t="shared" si="39"/>
        <v>403</v>
      </c>
      <c r="CM110" s="6">
        <v>1012</v>
      </c>
      <c r="CN110" s="6"/>
      <c r="CO110" s="6">
        <f t="shared" si="40"/>
        <v>398</v>
      </c>
      <c r="CP110" s="6">
        <v>1410</v>
      </c>
      <c r="CQ110" s="6"/>
      <c r="CR110" s="6">
        <f t="shared" si="41"/>
        <v>398</v>
      </c>
      <c r="CS110" s="6">
        <v>235</v>
      </c>
      <c r="CT110" s="6">
        <v>1560</v>
      </c>
      <c r="CU110" s="6">
        <f t="shared" si="42"/>
        <v>385</v>
      </c>
      <c r="CV110" s="6">
        <v>449</v>
      </c>
      <c r="CW110" s="6"/>
      <c r="CX110" s="6">
        <f t="shared" si="43"/>
        <v>214</v>
      </c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</row>
    <row r="111" spans="1:117">
      <c r="A111" s="6">
        <v>107</v>
      </c>
      <c r="B111" s="6">
        <v>106</v>
      </c>
      <c r="C111" s="6">
        <v>1561</v>
      </c>
      <c r="D111" s="6">
        <v>356</v>
      </c>
      <c r="E111" s="33" t="s">
        <v>37</v>
      </c>
      <c r="F111" s="33" t="s">
        <v>37</v>
      </c>
      <c r="G111" s="33" t="s">
        <v>37</v>
      </c>
      <c r="H111" s="33" t="s">
        <v>37</v>
      </c>
      <c r="I111" s="33" t="s">
        <v>37</v>
      </c>
      <c r="J111" s="33" t="s">
        <v>37</v>
      </c>
      <c r="K111" s="33" t="s">
        <v>37</v>
      </c>
      <c r="L111" s="33" t="s">
        <v>37</v>
      </c>
      <c r="M111" s="33" t="s">
        <v>37</v>
      </c>
      <c r="N111" s="33" t="s">
        <v>37</v>
      </c>
      <c r="O111" s="33" t="s">
        <v>37</v>
      </c>
      <c r="P111" s="33" t="s">
        <v>37</v>
      </c>
      <c r="Q111" s="33" t="s">
        <v>37</v>
      </c>
      <c r="R111" s="148" t="s">
        <v>310</v>
      </c>
      <c r="S111" s="148" t="s">
        <v>128</v>
      </c>
      <c r="T111" s="33" t="s">
        <v>128</v>
      </c>
      <c r="U111" s="33" t="s">
        <v>128</v>
      </c>
      <c r="V111" s="33" t="s">
        <v>128</v>
      </c>
      <c r="W111" s="33" t="s">
        <v>128</v>
      </c>
      <c r="X111" s="33" t="s">
        <v>128</v>
      </c>
      <c r="Y111" s="33" t="s">
        <v>128</v>
      </c>
      <c r="Z111" s="33" t="s">
        <v>128</v>
      </c>
      <c r="AA111" s="33" t="s">
        <v>128</v>
      </c>
      <c r="AB111" s="6">
        <v>512</v>
      </c>
      <c r="AC111" s="6"/>
      <c r="AD111" s="35">
        <f t="shared" si="22"/>
        <v>406</v>
      </c>
      <c r="AE111" s="6">
        <v>894</v>
      </c>
      <c r="AF111" s="6"/>
      <c r="AG111" s="35">
        <f t="shared" si="23"/>
        <v>382</v>
      </c>
      <c r="AH111" s="35">
        <v>1277</v>
      </c>
      <c r="AI111" s="35"/>
      <c r="AJ111" s="35">
        <f t="shared" si="24"/>
        <v>383</v>
      </c>
      <c r="AK111" s="6">
        <v>74</v>
      </c>
      <c r="AL111" s="6">
        <v>1561</v>
      </c>
      <c r="AM111" s="35">
        <f t="shared" si="25"/>
        <v>358</v>
      </c>
      <c r="AN111" s="6"/>
      <c r="AO111" s="6"/>
      <c r="AP111" s="34"/>
      <c r="AQ111" s="35">
        <v>453</v>
      </c>
      <c r="AR111" s="35"/>
      <c r="AS111" s="35">
        <f t="shared" si="26"/>
        <v>379</v>
      </c>
      <c r="AT111" s="6">
        <v>835</v>
      </c>
      <c r="AU111" s="6"/>
      <c r="AV111" s="35">
        <f t="shared" si="27"/>
        <v>382</v>
      </c>
      <c r="AW111" s="6">
        <v>1219</v>
      </c>
      <c r="AX111" s="6"/>
      <c r="AY111" s="35">
        <f t="shared" si="28"/>
        <v>384</v>
      </c>
      <c r="AZ111" s="35">
        <v>340</v>
      </c>
      <c r="BA111" s="35">
        <v>1262</v>
      </c>
      <c r="BB111" s="35">
        <f t="shared" si="29"/>
        <v>383</v>
      </c>
      <c r="BC111" s="6">
        <v>722</v>
      </c>
      <c r="BD111" s="6"/>
      <c r="BE111" s="35">
        <f t="shared" si="30"/>
        <v>382</v>
      </c>
      <c r="BF111" s="6">
        <v>1081</v>
      </c>
      <c r="BG111" s="6"/>
      <c r="BH111" s="6">
        <f t="shared" si="31"/>
        <v>359</v>
      </c>
      <c r="BI111" s="6"/>
      <c r="BJ111" s="6"/>
      <c r="BK111" s="6"/>
      <c r="BL111" s="6">
        <v>1473</v>
      </c>
      <c r="BM111" s="6"/>
      <c r="BN111" s="6">
        <f t="shared" si="32"/>
        <v>392</v>
      </c>
      <c r="BO111" s="6">
        <v>1850</v>
      </c>
      <c r="BP111" s="6"/>
      <c r="BQ111" s="35">
        <f t="shared" si="33"/>
        <v>377</v>
      </c>
      <c r="BR111" s="6">
        <v>137</v>
      </c>
      <c r="BS111" s="6">
        <f>1919+172</f>
        <v>2091</v>
      </c>
      <c r="BT111" s="6">
        <f t="shared" si="34"/>
        <v>378</v>
      </c>
      <c r="BU111" s="6">
        <v>216</v>
      </c>
      <c r="BV111" s="6">
        <v>210</v>
      </c>
      <c r="BW111" s="35">
        <f t="shared" si="35"/>
        <v>289</v>
      </c>
      <c r="BX111" s="35">
        <v>568</v>
      </c>
      <c r="BY111" s="6"/>
      <c r="BZ111" s="6">
        <f t="shared" si="36"/>
        <v>352</v>
      </c>
      <c r="CA111" s="6">
        <v>903</v>
      </c>
      <c r="CB111" s="6"/>
      <c r="CC111" s="6">
        <f t="shared" si="37"/>
        <v>335</v>
      </c>
      <c r="CD111" s="6"/>
      <c r="CE111" s="6"/>
      <c r="CF111" s="6"/>
      <c r="CG111" s="6">
        <v>1262</v>
      </c>
      <c r="CH111" s="6"/>
      <c r="CI111" s="6">
        <f t="shared" si="38"/>
        <v>359</v>
      </c>
      <c r="CJ111" s="6">
        <v>63</v>
      </c>
      <c r="CK111" s="6">
        <v>1560</v>
      </c>
      <c r="CL111" s="6">
        <f t="shared" si="39"/>
        <v>361</v>
      </c>
      <c r="CM111" s="6">
        <v>426</v>
      </c>
      <c r="CN111" s="6"/>
      <c r="CO111" s="6">
        <f t="shared" si="40"/>
        <v>363</v>
      </c>
      <c r="CP111" s="6">
        <v>181</v>
      </c>
      <c r="CQ111" s="6">
        <v>599</v>
      </c>
      <c r="CR111" s="6">
        <f t="shared" si="41"/>
        <v>354</v>
      </c>
      <c r="CS111" s="6">
        <v>547</v>
      </c>
      <c r="CT111" s="6"/>
      <c r="CU111" s="6">
        <f t="shared" si="42"/>
        <v>366</v>
      </c>
      <c r="CV111" s="6">
        <v>741</v>
      </c>
      <c r="CW111" s="6"/>
      <c r="CX111" s="6">
        <f t="shared" si="43"/>
        <v>194</v>
      </c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</row>
    <row r="112" spans="1:117">
      <c r="A112" s="6">
        <v>108</v>
      </c>
      <c r="B112" s="6">
        <v>942</v>
      </c>
      <c r="C112" s="6"/>
      <c r="D112" s="6">
        <v>362</v>
      </c>
      <c r="E112" s="33" t="s">
        <v>37</v>
      </c>
      <c r="F112" s="33" t="s">
        <v>37</v>
      </c>
      <c r="G112" s="33" t="s">
        <v>37</v>
      </c>
      <c r="H112" s="33" t="s">
        <v>37</v>
      </c>
      <c r="I112" s="33" t="s">
        <v>37</v>
      </c>
      <c r="J112" s="33" t="s">
        <v>37</v>
      </c>
      <c r="K112" s="33" t="s">
        <v>37</v>
      </c>
      <c r="L112" s="33" t="s">
        <v>37</v>
      </c>
      <c r="M112" s="33" t="s">
        <v>37</v>
      </c>
      <c r="N112" s="33" t="s">
        <v>37</v>
      </c>
      <c r="O112" s="148" t="s">
        <v>37</v>
      </c>
      <c r="P112" s="33" t="s">
        <v>37</v>
      </c>
      <c r="Q112" s="33" t="s">
        <v>37</v>
      </c>
      <c r="R112" s="33" t="s">
        <v>37</v>
      </c>
      <c r="S112" s="33" t="s">
        <v>37</v>
      </c>
      <c r="T112" s="33" t="s">
        <v>37</v>
      </c>
      <c r="U112" s="33" t="s">
        <v>37</v>
      </c>
      <c r="V112" s="33" t="s">
        <v>37</v>
      </c>
      <c r="W112" s="33" t="s">
        <v>37</v>
      </c>
      <c r="X112" s="33" t="s">
        <v>37</v>
      </c>
      <c r="Y112" s="33" t="s">
        <v>37</v>
      </c>
      <c r="Z112" s="33" t="s">
        <v>37</v>
      </c>
      <c r="AA112" s="33" t="s">
        <v>37</v>
      </c>
      <c r="AB112" s="6">
        <v>1355</v>
      </c>
      <c r="AC112" s="6"/>
      <c r="AD112" s="35">
        <f t="shared" si="22"/>
        <v>413</v>
      </c>
      <c r="AE112" s="6">
        <v>183</v>
      </c>
      <c r="AF112" s="6">
        <v>1560</v>
      </c>
      <c r="AG112" s="35">
        <f t="shared" si="23"/>
        <v>388</v>
      </c>
      <c r="AH112" s="35">
        <v>572</v>
      </c>
      <c r="AI112" s="35"/>
      <c r="AJ112" s="35">
        <f t="shared" si="24"/>
        <v>389</v>
      </c>
      <c r="AK112" s="6">
        <v>939</v>
      </c>
      <c r="AL112" s="6"/>
      <c r="AM112" s="35">
        <f t="shared" si="25"/>
        <v>367</v>
      </c>
      <c r="AN112" s="6"/>
      <c r="AO112" s="6"/>
      <c r="AP112" s="34"/>
      <c r="AQ112" s="35">
        <v>170</v>
      </c>
      <c r="AR112" s="35">
        <v>1162</v>
      </c>
      <c r="AS112" s="35">
        <f t="shared" si="26"/>
        <v>393</v>
      </c>
      <c r="AT112" s="6">
        <v>555</v>
      </c>
      <c r="AU112" s="6"/>
      <c r="AV112" s="35">
        <f t="shared" si="27"/>
        <v>385</v>
      </c>
      <c r="AW112" s="6">
        <v>43</v>
      </c>
      <c r="AX112" s="6">
        <f>719+170</f>
        <v>889</v>
      </c>
      <c r="AY112" s="35">
        <f t="shared" si="28"/>
        <v>377</v>
      </c>
      <c r="AZ112" s="35">
        <v>428</v>
      </c>
      <c r="BA112" s="35"/>
      <c r="BB112" s="35">
        <f t="shared" si="29"/>
        <v>385</v>
      </c>
      <c r="BC112" s="6">
        <v>0</v>
      </c>
      <c r="BD112" s="6">
        <f>469+156</f>
        <v>625</v>
      </c>
      <c r="BE112" s="35">
        <f t="shared" si="30"/>
        <v>197</v>
      </c>
      <c r="BF112" s="6">
        <v>351</v>
      </c>
      <c r="BG112" s="6"/>
      <c r="BH112" s="6">
        <f t="shared" si="31"/>
        <v>351</v>
      </c>
      <c r="BI112" s="6"/>
      <c r="BJ112" s="6"/>
      <c r="BK112" s="6"/>
      <c r="BL112" s="6">
        <v>743</v>
      </c>
      <c r="BM112" s="6"/>
      <c r="BN112" s="6">
        <f t="shared" si="32"/>
        <v>392</v>
      </c>
      <c r="BO112" s="6">
        <v>1122</v>
      </c>
      <c r="BP112" s="6"/>
      <c r="BQ112" s="35">
        <f t="shared" si="33"/>
        <v>379</v>
      </c>
      <c r="BR112" s="6">
        <v>196</v>
      </c>
      <c r="BS112" s="6">
        <v>1311</v>
      </c>
      <c r="BT112" s="6">
        <f t="shared" si="34"/>
        <v>385</v>
      </c>
      <c r="BU112" s="6">
        <v>576</v>
      </c>
      <c r="BV112" s="6"/>
      <c r="BW112" s="35">
        <f t="shared" si="35"/>
        <v>380</v>
      </c>
      <c r="BX112" s="6">
        <v>962</v>
      </c>
      <c r="BY112" s="6"/>
      <c r="BZ112" s="6">
        <f t="shared" si="36"/>
        <v>386</v>
      </c>
      <c r="CA112" s="6">
        <v>250</v>
      </c>
      <c r="CB112" s="6">
        <v>1075</v>
      </c>
      <c r="CC112" s="6">
        <f t="shared" si="37"/>
        <v>363</v>
      </c>
      <c r="CD112" s="6"/>
      <c r="CE112" s="6"/>
      <c r="CF112" s="6"/>
      <c r="CG112" s="6">
        <v>645</v>
      </c>
      <c r="CH112" s="6"/>
      <c r="CI112" s="6">
        <f t="shared" si="38"/>
        <v>395</v>
      </c>
      <c r="CJ112" s="6">
        <v>1027</v>
      </c>
      <c r="CK112" s="6"/>
      <c r="CL112" s="6">
        <f t="shared" si="39"/>
        <v>382</v>
      </c>
      <c r="CM112" s="6">
        <v>244</v>
      </c>
      <c r="CN112" s="6">
        <v>1160</v>
      </c>
      <c r="CO112" s="6">
        <f t="shared" si="40"/>
        <v>377</v>
      </c>
      <c r="CP112" s="6">
        <v>626</v>
      </c>
      <c r="CQ112" s="6"/>
      <c r="CR112" s="6">
        <f t="shared" si="41"/>
        <v>382</v>
      </c>
      <c r="CS112" s="6">
        <v>1007</v>
      </c>
      <c r="CT112" s="6"/>
      <c r="CU112" s="6">
        <f t="shared" si="42"/>
        <v>381</v>
      </c>
      <c r="CV112" s="6">
        <v>1207</v>
      </c>
      <c r="CW112" s="6"/>
      <c r="CX112" s="6">
        <f t="shared" si="43"/>
        <v>200</v>
      </c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</row>
    <row r="113" spans="1:117">
      <c r="A113" s="6">
        <v>109</v>
      </c>
      <c r="B113" s="6">
        <v>963</v>
      </c>
      <c r="C113" s="6"/>
      <c r="D113" s="6">
        <v>360</v>
      </c>
      <c r="E113" s="33" t="s">
        <v>128</v>
      </c>
      <c r="F113" s="33" t="s">
        <v>128</v>
      </c>
      <c r="G113" s="33" t="s">
        <v>128</v>
      </c>
      <c r="H113" s="33" t="s">
        <v>128</v>
      </c>
      <c r="I113" s="33" t="s">
        <v>128</v>
      </c>
      <c r="J113" s="33" t="s">
        <v>128</v>
      </c>
      <c r="K113" s="33" t="s">
        <v>128</v>
      </c>
      <c r="L113" s="33" t="s">
        <v>128</v>
      </c>
      <c r="M113" s="33" t="s">
        <v>128</v>
      </c>
      <c r="N113" s="33" t="s">
        <v>128</v>
      </c>
      <c r="O113" s="33" t="s">
        <v>128</v>
      </c>
      <c r="P113" s="33" t="s">
        <v>128</v>
      </c>
      <c r="Q113" s="33" t="s">
        <v>128</v>
      </c>
      <c r="R113" s="33" t="s">
        <v>128</v>
      </c>
      <c r="S113" s="148" t="s">
        <v>128</v>
      </c>
      <c r="T113" s="33" t="s">
        <v>128</v>
      </c>
      <c r="U113" s="33" t="s">
        <v>128</v>
      </c>
      <c r="V113" s="33" t="s">
        <v>128</v>
      </c>
      <c r="W113" s="33" t="s">
        <v>128</v>
      </c>
      <c r="X113" s="33" t="s">
        <v>128</v>
      </c>
      <c r="Y113" s="33" t="s">
        <v>128</v>
      </c>
      <c r="Z113" s="33" t="s">
        <v>128</v>
      </c>
      <c r="AA113" s="33" t="s">
        <v>128</v>
      </c>
      <c r="AB113" s="6">
        <v>1377</v>
      </c>
      <c r="AC113" s="6"/>
      <c r="AD113" s="35">
        <f t="shared" si="22"/>
        <v>414</v>
      </c>
      <c r="AE113" s="6">
        <v>203</v>
      </c>
      <c r="AF113" s="6">
        <v>1560</v>
      </c>
      <c r="AG113" s="35">
        <f t="shared" si="23"/>
        <v>386</v>
      </c>
      <c r="AH113" s="35">
        <v>593</v>
      </c>
      <c r="AI113" s="35"/>
      <c r="AJ113" s="35">
        <f t="shared" si="24"/>
        <v>390</v>
      </c>
      <c r="AK113" s="6">
        <v>957</v>
      </c>
      <c r="AL113" s="35"/>
      <c r="AM113" s="35">
        <f t="shared" si="25"/>
        <v>364</v>
      </c>
      <c r="AN113" s="6"/>
      <c r="AO113" s="6"/>
      <c r="AP113" s="34"/>
      <c r="AQ113" s="35">
        <v>1346</v>
      </c>
      <c r="AR113" s="35"/>
      <c r="AS113" s="35">
        <f t="shared" si="26"/>
        <v>389</v>
      </c>
      <c r="AT113" s="6">
        <v>166</v>
      </c>
      <c r="AU113" s="6">
        <v>1560</v>
      </c>
      <c r="AV113" s="35">
        <f t="shared" si="27"/>
        <v>380</v>
      </c>
      <c r="AW113" s="6">
        <v>541</v>
      </c>
      <c r="AX113" s="6"/>
      <c r="AY113" s="35">
        <f t="shared" si="28"/>
        <v>375</v>
      </c>
      <c r="AZ113" s="35">
        <v>932</v>
      </c>
      <c r="BA113" s="35"/>
      <c r="BB113" s="35">
        <f t="shared" si="29"/>
        <v>391</v>
      </c>
      <c r="BC113" s="6">
        <v>1322</v>
      </c>
      <c r="BD113" s="6"/>
      <c r="BE113" s="35">
        <f t="shared" si="30"/>
        <v>390</v>
      </c>
      <c r="BF113" s="6">
        <v>136</v>
      </c>
      <c r="BG113" s="6">
        <v>1560</v>
      </c>
      <c r="BH113" s="6">
        <f t="shared" si="31"/>
        <v>374</v>
      </c>
      <c r="BI113" s="6"/>
      <c r="BJ113" s="6"/>
      <c r="BK113" s="6"/>
      <c r="BL113" s="6">
        <v>534</v>
      </c>
      <c r="BM113" s="6"/>
      <c r="BN113" s="6">
        <f t="shared" si="32"/>
        <v>398</v>
      </c>
      <c r="BO113" s="6">
        <v>912</v>
      </c>
      <c r="BP113" s="6"/>
      <c r="BQ113" s="35">
        <f t="shared" si="33"/>
        <v>378</v>
      </c>
      <c r="BR113" s="6">
        <v>0</v>
      </c>
      <c r="BS113" s="6">
        <v>1203</v>
      </c>
      <c r="BT113" s="6">
        <f t="shared" si="34"/>
        <v>291</v>
      </c>
      <c r="BU113" s="6">
        <v>336</v>
      </c>
      <c r="BV113" s="6"/>
      <c r="BW113" s="35">
        <f t="shared" si="35"/>
        <v>336</v>
      </c>
      <c r="BX113" s="6">
        <v>727</v>
      </c>
      <c r="BY113" s="6"/>
      <c r="BZ113" s="6">
        <f t="shared" si="36"/>
        <v>391</v>
      </c>
      <c r="CA113" s="6">
        <v>1101</v>
      </c>
      <c r="CB113" s="6"/>
      <c r="CC113" s="6">
        <f t="shared" si="37"/>
        <v>374</v>
      </c>
      <c r="CD113" s="6"/>
      <c r="CE113" s="6"/>
      <c r="CF113" s="6"/>
      <c r="CG113" s="6">
        <v>1502</v>
      </c>
      <c r="CH113" s="6"/>
      <c r="CI113" s="6">
        <f t="shared" si="38"/>
        <v>401</v>
      </c>
      <c r="CJ113" s="6">
        <v>335</v>
      </c>
      <c r="CK113" s="6">
        <v>1560</v>
      </c>
      <c r="CL113" s="6">
        <f t="shared" si="39"/>
        <v>393</v>
      </c>
      <c r="CM113" s="6">
        <v>724</v>
      </c>
      <c r="CN113" s="6"/>
      <c r="CO113" s="6">
        <f t="shared" si="40"/>
        <v>389</v>
      </c>
      <c r="CP113" s="6">
        <v>1120</v>
      </c>
      <c r="CQ113" s="6"/>
      <c r="CR113" s="6">
        <f t="shared" si="41"/>
        <v>396</v>
      </c>
      <c r="CS113" s="6">
        <v>1510</v>
      </c>
      <c r="CT113" s="6"/>
      <c r="CU113" s="6">
        <f t="shared" si="42"/>
        <v>390</v>
      </c>
      <c r="CV113" s="6">
        <v>156</v>
      </c>
      <c r="CW113" s="6">
        <v>1560</v>
      </c>
      <c r="CX113" s="6">
        <f t="shared" si="43"/>
        <v>206</v>
      </c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</row>
    <row r="114" spans="1:117">
      <c r="A114" s="6">
        <v>110</v>
      </c>
      <c r="B114" s="6">
        <v>876</v>
      </c>
      <c r="C114" s="6"/>
      <c r="D114" s="6">
        <v>358</v>
      </c>
      <c r="E114" s="33" t="s">
        <v>37</v>
      </c>
      <c r="F114" s="33" t="s">
        <v>37</v>
      </c>
      <c r="G114" s="33" t="s">
        <v>37</v>
      </c>
      <c r="H114" s="33" t="s">
        <v>37</v>
      </c>
      <c r="I114" s="33" t="s">
        <v>37</v>
      </c>
      <c r="J114" s="33" t="s">
        <v>37</v>
      </c>
      <c r="K114" s="33" t="s">
        <v>37</v>
      </c>
      <c r="L114" s="33" t="s">
        <v>37</v>
      </c>
      <c r="M114" s="33" t="s">
        <v>37</v>
      </c>
      <c r="N114" s="33" t="s">
        <v>37</v>
      </c>
      <c r="O114" s="33" t="s">
        <v>37</v>
      </c>
      <c r="P114" s="33" t="s">
        <v>37</v>
      </c>
      <c r="Q114" s="33" t="s">
        <v>37</v>
      </c>
      <c r="R114" s="148" t="s">
        <v>128</v>
      </c>
      <c r="S114" s="33" t="s">
        <v>128</v>
      </c>
      <c r="T114" s="33" t="s">
        <v>128</v>
      </c>
      <c r="U114" s="33" t="s">
        <v>128</v>
      </c>
      <c r="V114" s="33" t="s">
        <v>128</v>
      </c>
      <c r="W114" s="33" t="s">
        <v>128</v>
      </c>
      <c r="X114" s="33" t="s">
        <v>128</v>
      </c>
      <c r="Y114" s="33" t="s">
        <v>128</v>
      </c>
      <c r="Z114" s="33" t="s">
        <v>128</v>
      </c>
      <c r="AA114" s="33" t="s">
        <v>128</v>
      </c>
      <c r="AB114" s="6">
        <v>1283</v>
      </c>
      <c r="AC114" s="6"/>
      <c r="AD114" s="35">
        <f t="shared" si="22"/>
        <v>407</v>
      </c>
      <c r="AE114" s="6">
        <v>96</v>
      </c>
      <c r="AF114" s="6">
        <v>1560</v>
      </c>
      <c r="AG114" s="35">
        <f t="shared" si="23"/>
        <v>373</v>
      </c>
      <c r="AH114" s="35">
        <v>485</v>
      </c>
      <c r="AI114" s="35"/>
      <c r="AJ114" s="35">
        <f t="shared" si="24"/>
        <v>389</v>
      </c>
      <c r="AK114" s="35">
        <v>850</v>
      </c>
      <c r="AL114" s="6"/>
      <c r="AM114" s="35">
        <f t="shared" si="25"/>
        <v>365</v>
      </c>
      <c r="AN114" s="6"/>
      <c r="AO114" s="6"/>
      <c r="AP114" s="34"/>
      <c r="AQ114" s="35">
        <v>1241</v>
      </c>
      <c r="AR114" s="35"/>
      <c r="AS114" s="35">
        <f t="shared" si="26"/>
        <v>391</v>
      </c>
      <c r="AT114" s="6">
        <v>61</v>
      </c>
      <c r="AU114" s="6">
        <v>1560</v>
      </c>
      <c r="AV114" s="35">
        <f t="shared" si="27"/>
        <v>380</v>
      </c>
      <c r="AW114" s="6">
        <v>433</v>
      </c>
      <c r="AX114" s="6"/>
      <c r="AY114" s="35">
        <f t="shared" si="28"/>
        <v>372</v>
      </c>
      <c r="AZ114" s="35">
        <v>812</v>
      </c>
      <c r="BA114" s="35"/>
      <c r="BB114" s="35">
        <f t="shared" si="29"/>
        <v>379</v>
      </c>
      <c r="BC114" s="6">
        <v>1188</v>
      </c>
      <c r="BD114" s="6"/>
      <c r="BE114" s="35">
        <f t="shared" si="30"/>
        <v>376</v>
      </c>
      <c r="BF114" s="6">
        <v>1</v>
      </c>
      <c r="BG114" s="6">
        <v>1560</v>
      </c>
      <c r="BH114" s="6">
        <f t="shared" si="31"/>
        <v>373</v>
      </c>
      <c r="BI114" s="6"/>
      <c r="BJ114" s="6"/>
      <c r="BK114" s="6"/>
      <c r="BL114" s="6">
        <v>391</v>
      </c>
      <c r="BM114" s="6"/>
      <c r="BN114" s="6">
        <f t="shared" si="32"/>
        <v>390</v>
      </c>
      <c r="BO114" s="6">
        <v>0</v>
      </c>
      <c r="BP114" s="6">
        <v>751</v>
      </c>
      <c r="BQ114" s="35">
        <f t="shared" si="33"/>
        <v>360</v>
      </c>
      <c r="BR114" s="6">
        <v>368</v>
      </c>
      <c r="BS114" s="6"/>
      <c r="BT114" s="6">
        <f t="shared" si="34"/>
        <v>368</v>
      </c>
      <c r="BU114" s="6">
        <v>754</v>
      </c>
      <c r="BV114" s="6"/>
      <c r="BW114" s="35">
        <f t="shared" si="35"/>
        <v>386</v>
      </c>
      <c r="BX114" s="6">
        <v>1141</v>
      </c>
      <c r="BY114" s="6"/>
      <c r="BZ114" s="6">
        <f t="shared" si="36"/>
        <v>387</v>
      </c>
      <c r="CA114" s="6">
        <v>1517</v>
      </c>
      <c r="CB114" s="6"/>
      <c r="CC114" s="6">
        <f t="shared" si="37"/>
        <v>376</v>
      </c>
      <c r="CD114" s="6"/>
      <c r="CE114" s="6"/>
      <c r="CF114" s="6"/>
      <c r="CG114" s="6">
        <v>355</v>
      </c>
      <c r="CH114" s="6">
        <v>1560</v>
      </c>
      <c r="CI114" s="6">
        <f t="shared" si="38"/>
        <v>398</v>
      </c>
      <c r="CJ114" s="6">
        <v>747</v>
      </c>
      <c r="CK114" s="6"/>
      <c r="CL114" s="6">
        <f t="shared" si="39"/>
        <v>392</v>
      </c>
      <c r="CM114" s="6">
        <v>1135</v>
      </c>
      <c r="CN114" s="6"/>
      <c r="CO114" s="6">
        <f t="shared" si="40"/>
        <v>388</v>
      </c>
      <c r="CP114" s="6">
        <v>1527</v>
      </c>
      <c r="CQ114" s="6"/>
      <c r="CR114" s="6">
        <f t="shared" si="41"/>
        <v>392</v>
      </c>
      <c r="CS114" s="6">
        <v>311</v>
      </c>
      <c r="CT114" s="6">
        <v>1608</v>
      </c>
      <c r="CU114" s="6">
        <f t="shared" si="42"/>
        <v>392</v>
      </c>
      <c r="CV114" s="6">
        <v>519</v>
      </c>
      <c r="CW114" s="6"/>
      <c r="CX114" s="6">
        <f t="shared" si="43"/>
        <v>208</v>
      </c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</row>
    <row r="115" spans="1:117">
      <c r="A115" s="6">
        <v>111</v>
      </c>
      <c r="B115" s="6">
        <v>256</v>
      </c>
      <c r="C115" s="6">
        <v>1560</v>
      </c>
      <c r="D115" s="6">
        <v>343</v>
      </c>
      <c r="E115" s="33" t="s">
        <v>37</v>
      </c>
      <c r="F115" s="33" t="s">
        <v>37</v>
      </c>
      <c r="G115" s="33" t="s">
        <v>37</v>
      </c>
      <c r="H115" s="33" t="s">
        <v>37</v>
      </c>
      <c r="I115" s="33" t="s">
        <v>37</v>
      </c>
      <c r="J115" s="33" t="s">
        <v>37</v>
      </c>
      <c r="K115" s="33" t="s">
        <v>37</v>
      </c>
      <c r="L115" s="33" t="s">
        <v>37</v>
      </c>
      <c r="M115" s="33" t="s">
        <v>37</v>
      </c>
      <c r="N115" s="33" t="s">
        <v>37</v>
      </c>
      <c r="O115" s="33" t="s">
        <v>37</v>
      </c>
      <c r="P115" s="33" t="s">
        <v>37</v>
      </c>
      <c r="Q115" s="33" t="s">
        <v>37</v>
      </c>
      <c r="R115" s="33" t="s">
        <v>37</v>
      </c>
      <c r="S115" s="33" t="s">
        <v>37</v>
      </c>
      <c r="T115" s="33" t="s">
        <v>37</v>
      </c>
      <c r="U115" s="33" t="s">
        <v>37</v>
      </c>
      <c r="V115" s="148" t="s">
        <v>99</v>
      </c>
      <c r="W115" s="33" t="s">
        <v>99</v>
      </c>
      <c r="X115" s="33" t="s">
        <v>99</v>
      </c>
      <c r="Y115" s="33" t="s">
        <v>99</v>
      </c>
      <c r="Z115" s="33" t="s">
        <v>99</v>
      </c>
      <c r="AA115" s="33" t="s">
        <v>99</v>
      </c>
      <c r="AB115" s="35">
        <v>649</v>
      </c>
      <c r="AC115" s="35"/>
      <c r="AD115" s="35">
        <f t="shared" si="22"/>
        <v>393</v>
      </c>
      <c r="AE115" s="35">
        <v>270</v>
      </c>
      <c r="AF115" s="35">
        <v>762</v>
      </c>
      <c r="AG115" s="35">
        <f t="shared" si="23"/>
        <v>383</v>
      </c>
      <c r="AH115" s="35">
        <v>659</v>
      </c>
      <c r="AI115" s="35"/>
      <c r="AJ115" s="35">
        <f t="shared" si="24"/>
        <v>389</v>
      </c>
      <c r="AK115" s="6">
        <v>1020</v>
      </c>
      <c r="AL115" s="6"/>
      <c r="AM115" s="35">
        <f t="shared" si="25"/>
        <v>361</v>
      </c>
      <c r="AN115" s="6"/>
      <c r="AO115" s="6"/>
      <c r="AP115" s="34"/>
      <c r="AQ115" s="35">
        <v>1407</v>
      </c>
      <c r="AR115" s="35"/>
      <c r="AS115" s="35">
        <f t="shared" si="26"/>
        <v>387</v>
      </c>
      <c r="AT115" s="6">
        <v>256</v>
      </c>
      <c r="AU115" s="6">
        <v>1533</v>
      </c>
      <c r="AV115" s="35">
        <f t="shared" si="27"/>
        <v>382</v>
      </c>
      <c r="AW115" s="6">
        <v>627</v>
      </c>
      <c r="AX115" s="6"/>
      <c r="AY115" s="35">
        <f t="shared" si="28"/>
        <v>371</v>
      </c>
      <c r="AZ115" s="35">
        <v>1015</v>
      </c>
      <c r="BA115" s="35"/>
      <c r="BB115" s="35">
        <f t="shared" si="29"/>
        <v>388</v>
      </c>
      <c r="BC115" s="6">
        <v>1402</v>
      </c>
      <c r="BD115" s="6"/>
      <c r="BE115" s="35">
        <f t="shared" si="30"/>
        <v>387</v>
      </c>
      <c r="BF115" s="6">
        <v>346</v>
      </c>
      <c r="BG115" s="6">
        <v>1432</v>
      </c>
      <c r="BH115" s="6">
        <f t="shared" si="31"/>
        <v>376</v>
      </c>
      <c r="BI115" s="6"/>
      <c r="BJ115" s="6"/>
      <c r="BK115" s="6"/>
      <c r="BL115" s="6">
        <v>731</v>
      </c>
      <c r="BM115" s="6"/>
      <c r="BN115" s="6">
        <f t="shared" si="32"/>
        <v>385</v>
      </c>
      <c r="BO115" s="6">
        <v>1107</v>
      </c>
      <c r="BP115" s="6"/>
      <c r="BQ115" s="35">
        <f t="shared" si="33"/>
        <v>376</v>
      </c>
      <c r="BR115" s="6">
        <v>6</v>
      </c>
      <c r="BS115" s="6">
        <v>1481</v>
      </c>
      <c r="BT115" s="6">
        <f t="shared" si="34"/>
        <v>380</v>
      </c>
      <c r="BU115" s="6">
        <v>393</v>
      </c>
      <c r="BV115" s="6"/>
      <c r="BW115" s="35">
        <f t="shared" si="35"/>
        <v>387</v>
      </c>
      <c r="BX115" s="6">
        <v>786</v>
      </c>
      <c r="BY115" s="6"/>
      <c r="BZ115" s="6">
        <f t="shared" si="36"/>
        <v>393</v>
      </c>
      <c r="CA115" s="6">
        <v>0</v>
      </c>
      <c r="CB115" s="6">
        <v>1115</v>
      </c>
      <c r="CC115" s="6">
        <f t="shared" si="37"/>
        <v>329</v>
      </c>
      <c r="CD115" s="6"/>
      <c r="CE115" s="6"/>
      <c r="CF115" s="6"/>
      <c r="CG115" s="6">
        <v>248</v>
      </c>
      <c r="CH115" s="6"/>
      <c r="CI115" s="6">
        <f t="shared" si="38"/>
        <v>248</v>
      </c>
      <c r="CJ115" s="6">
        <v>525</v>
      </c>
      <c r="CK115" s="6"/>
      <c r="CL115" s="6">
        <f t="shared" si="39"/>
        <v>277</v>
      </c>
      <c r="CM115" s="6">
        <v>804</v>
      </c>
      <c r="CN115" s="6"/>
      <c r="CO115" s="6">
        <f t="shared" si="40"/>
        <v>279</v>
      </c>
      <c r="CP115" s="6">
        <v>1082</v>
      </c>
      <c r="CQ115" s="6"/>
      <c r="CR115" s="6">
        <f t="shared" si="41"/>
        <v>278</v>
      </c>
      <c r="CS115" s="6">
        <v>1362</v>
      </c>
      <c r="CT115" s="6"/>
      <c r="CU115" s="6">
        <f t="shared" si="42"/>
        <v>280</v>
      </c>
      <c r="CV115" s="6">
        <v>10</v>
      </c>
      <c r="CW115" s="6">
        <v>1500</v>
      </c>
      <c r="CX115" s="6">
        <f t="shared" si="43"/>
        <v>148</v>
      </c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</row>
    <row r="116" spans="1:117">
      <c r="A116" s="6">
        <v>112</v>
      </c>
      <c r="B116" s="6">
        <v>389</v>
      </c>
      <c r="C116" s="6"/>
      <c r="D116" s="6">
        <v>349</v>
      </c>
      <c r="E116" s="33" t="s">
        <v>128</v>
      </c>
      <c r="F116" s="33" t="s">
        <v>128</v>
      </c>
      <c r="G116" s="33" t="s">
        <v>128</v>
      </c>
      <c r="H116" s="33" t="s">
        <v>128</v>
      </c>
      <c r="I116" s="33" t="s">
        <v>128</v>
      </c>
      <c r="J116" s="33" t="s">
        <v>128</v>
      </c>
      <c r="K116" s="33" t="s">
        <v>128</v>
      </c>
      <c r="L116" s="33" t="s">
        <v>128</v>
      </c>
      <c r="M116" s="33" t="s">
        <v>128</v>
      </c>
      <c r="N116" s="33" t="s">
        <v>128</v>
      </c>
      <c r="O116" s="33" t="s">
        <v>128</v>
      </c>
      <c r="P116" s="33" t="s">
        <v>128</v>
      </c>
      <c r="Q116" s="33" t="s">
        <v>128</v>
      </c>
      <c r="R116" s="33" t="s">
        <v>128</v>
      </c>
      <c r="S116" s="33" t="s">
        <v>128</v>
      </c>
      <c r="T116" s="148" t="s">
        <v>307</v>
      </c>
      <c r="U116" s="33" t="s">
        <v>307</v>
      </c>
      <c r="V116" s="33" t="s">
        <v>307</v>
      </c>
      <c r="W116" s="33" t="s">
        <v>307</v>
      </c>
      <c r="X116" s="33" t="s">
        <v>307</v>
      </c>
      <c r="Y116" s="33" t="s">
        <v>307</v>
      </c>
      <c r="Z116" s="33" t="s">
        <v>307</v>
      </c>
      <c r="AA116" s="33" t="s">
        <v>307</v>
      </c>
      <c r="AB116" s="6">
        <v>787</v>
      </c>
      <c r="AC116" s="6"/>
      <c r="AD116" s="35">
        <f t="shared" si="22"/>
        <v>398</v>
      </c>
      <c r="AE116" s="6">
        <v>159</v>
      </c>
      <c r="AF116" s="6">
        <v>999</v>
      </c>
      <c r="AG116" s="35">
        <f t="shared" si="23"/>
        <v>371</v>
      </c>
      <c r="AH116" s="35">
        <v>548</v>
      </c>
      <c r="AI116" s="35"/>
      <c r="AJ116" s="35">
        <f t="shared" si="24"/>
        <v>389</v>
      </c>
      <c r="AK116" s="6">
        <v>906</v>
      </c>
      <c r="AL116" s="6"/>
      <c r="AM116" s="35">
        <f t="shared" si="25"/>
        <v>358</v>
      </c>
      <c r="AN116" s="6"/>
      <c r="AO116" s="6"/>
      <c r="AP116" s="34"/>
      <c r="AQ116" s="35">
        <v>1293</v>
      </c>
      <c r="AR116" s="35"/>
      <c r="AS116" s="35">
        <f t="shared" si="26"/>
        <v>387</v>
      </c>
      <c r="AT116" s="6">
        <v>114</v>
      </c>
      <c r="AU116" s="6">
        <v>1560</v>
      </c>
      <c r="AV116" s="35">
        <f t="shared" si="27"/>
        <v>381</v>
      </c>
      <c r="AW116" s="6">
        <v>484</v>
      </c>
      <c r="AX116" s="6"/>
      <c r="AY116" s="35">
        <f t="shared" si="28"/>
        <v>370</v>
      </c>
      <c r="AZ116" s="35">
        <v>857</v>
      </c>
      <c r="BA116" s="35"/>
      <c r="BB116" s="35">
        <f t="shared" si="29"/>
        <v>373</v>
      </c>
      <c r="BC116" s="6">
        <v>1234</v>
      </c>
      <c r="BD116" s="6"/>
      <c r="BE116" s="35">
        <f t="shared" si="30"/>
        <v>377</v>
      </c>
      <c r="BF116" s="6">
        <v>47</v>
      </c>
      <c r="BG116" s="6">
        <v>1560</v>
      </c>
      <c r="BH116" s="6">
        <f t="shared" si="31"/>
        <v>373</v>
      </c>
      <c r="BI116" s="6"/>
      <c r="BJ116" s="6"/>
      <c r="BK116" s="6"/>
      <c r="BL116" s="6">
        <v>442</v>
      </c>
      <c r="BM116" s="6"/>
      <c r="BN116" s="6">
        <f t="shared" si="32"/>
        <v>395</v>
      </c>
      <c r="BO116" s="6">
        <v>800</v>
      </c>
      <c r="BP116" s="6"/>
      <c r="BQ116" s="35">
        <f t="shared" si="33"/>
        <v>358</v>
      </c>
      <c r="BR116" s="6">
        <v>1187</v>
      </c>
      <c r="BS116" s="6"/>
      <c r="BT116" s="6">
        <f t="shared" si="34"/>
        <v>387</v>
      </c>
      <c r="BU116" s="6">
        <v>1573</v>
      </c>
      <c r="BV116" s="6"/>
      <c r="BW116" s="35">
        <f t="shared" si="35"/>
        <v>386</v>
      </c>
      <c r="BX116" s="6">
        <v>310</v>
      </c>
      <c r="BY116" s="6">
        <v>1617</v>
      </c>
      <c r="BZ116" s="6">
        <f t="shared" si="36"/>
        <v>354</v>
      </c>
      <c r="CA116" s="6">
        <v>675</v>
      </c>
      <c r="CB116" s="6"/>
      <c r="CC116" s="6">
        <f t="shared" si="37"/>
        <v>365</v>
      </c>
      <c r="CD116" s="6"/>
      <c r="CE116" s="6"/>
      <c r="CF116" s="6"/>
      <c r="CG116" s="6">
        <v>1060</v>
      </c>
      <c r="CH116" s="6"/>
      <c r="CI116" s="6">
        <f t="shared" si="38"/>
        <v>385</v>
      </c>
      <c r="CJ116" s="6">
        <v>1435</v>
      </c>
      <c r="CK116" s="6"/>
      <c r="CL116" s="6">
        <f t="shared" si="39"/>
        <v>375</v>
      </c>
      <c r="CM116" s="6">
        <v>255</v>
      </c>
      <c r="CN116" s="6">
        <v>1560</v>
      </c>
      <c r="CO116" s="6">
        <f t="shared" si="40"/>
        <v>380</v>
      </c>
      <c r="CP116" s="6">
        <v>653</v>
      </c>
      <c r="CQ116" s="6"/>
      <c r="CR116" s="6">
        <f t="shared" si="41"/>
        <v>398</v>
      </c>
      <c r="CS116" s="6">
        <v>1043</v>
      </c>
      <c r="CT116" s="6"/>
      <c r="CU116" s="6">
        <f t="shared" si="42"/>
        <v>390</v>
      </c>
      <c r="CV116" s="6">
        <v>1234</v>
      </c>
      <c r="CW116" s="6"/>
      <c r="CX116" s="6">
        <f t="shared" si="43"/>
        <v>191</v>
      </c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</row>
    <row r="117" spans="1:117">
      <c r="A117" s="6">
        <v>113</v>
      </c>
      <c r="B117" s="6">
        <v>276</v>
      </c>
      <c r="C117" s="6">
        <v>1560</v>
      </c>
      <c r="D117" s="6">
        <v>360</v>
      </c>
      <c r="E117" s="33" t="s">
        <v>37</v>
      </c>
      <c r="F117" s="33" t="s">
        <v>37</v>
      </c>
      <c r="G117" s="33" t="s">
        <v>37</v>
      </c>
      <c r="H117" s="33" t="s">
        <v>37</v>
      </c>
      <c r="I117" s="33" t="s">
        <v>37</v>
      </c>
      <c r="J117" s="33" t="s">
        <v>37</v>
      </c>
      <c r="K117" s="33" t="s">
        <v>37</v>
      </c>
      <c r="L117" s="33" t="s">
        <v>37</v>
      </c>
      <c r="M117" s="33" t="s">
        <v>37</v>
      </c>
      <c r="N117" s="33" t="s">
        <v>37</v>
      </c>
      <c r="O117" s="33" t="s">
        <v>37</v>
      </c>
      <c r="P117" s="33" t="s">
        <v>37</v>
      </c>
      <c r="Q117" s="33" t="s">
        <v>37</v>
      </c>
      <c r="R117" s="33" t="s">
        <v>37</v>
      </c>
      <c r="S117" s="33" t="s">
        <v>37</v>
      </c>
      <c r="T117" s="33" t="s">
        <v>37</v>
      </c>
      <c r="U117" s="33" t="s">
        <v>37</v>
      </c>
      <c r="V117" s="148" t="s">
        <v>99</v>
      </c>
      <c r="W117" s="33" t="s">
        <v>99</v>
      </c>
      <c r="X117" s="33" t="s">
        <v>99</v>
      </c>
      <c r="Y117" s="33" t="s">
        <v>99</v>
      </c>
      <c r="Z117" s="33" t="s">
        <v>99</v>
      </c>
      <c r="AA117" s="33" t="s">
        <v>99</v>
      </c>
      <c r="AB117" s="35">
        <v>686</v>
      </c>
      <c r="AC117" s="35"/>
      <c r="AD117" s="35">
        <f t="shared" si="22"/>
        <v>410</v>
      </c>
      <c r="AE117" s="35">
        <v>1065</v>
      </c>
      <c r="AF117" s="35"/>
      <c r="AG117" s="35">
        <f t="shared" si="23"/>
        <v>379</v>
      </c>
      <c r="AH117" s="35">
        <v>1447</v>
      </c>
      <c r="AI117" s="35"/>
      <c r="AJ117" s="35">
        <f t="shared" si="24"/>
        <v>382</v>
      </c>
      <c r="AK117" s="6">
        <v>249</v>
      </c>
      <c r="AL117" s="6">
        <v>1560</v>
      </c>
      <c r="AM117" s="35">
        <f t="shared" si="25"/>
        <v>362</v>
      </c>
      <c r="AN117" s="6"/>
      <c r="AO117" s="6"/>
      <c r="AP117" s="34"/>
      <c r="AQ117" s="35">
        <v>630</v>
      </c>
      <c r="AR117" s="35"/>
      <c r="AS117" s="35">
        <f t="shared" si="26"/>
        <v>381</v>
      </c>
      <c r="AT117" s="6">
        <v>1004</v>
      </c>
      <c r="AU117" s="6"/>
      <c r="AV117" s="35">
        <f t="shared" si="27"/>
        <v>374</v>
      </c>
      <c r="AW117" s="6">
        <v>1396</v>
      </c>
      <c r="AX117" s="6"/>
      <c r="AY117" s="35">
        <f t="shared" si="28"/>
        <v>392</v>
      </c>
      <c r="AZ117" s="6">
        <v>228</v>
      </c>
      <c r="BA117" s="6">
        <v>1560</v>
      </c>
      <c r="BB117" s="35">
        <f t="shared" si="29"/>
        <v>392</v>
      </c>
      <c r="BC117" s="6">
        <v>618</v>
      </c>
      <c r="BD117" s="6"/>
      <c r="BE117" s="35">
        <f t="shared" si="30"/>
        <v>390</v>
      </c>
      <c r="BF117" s="6">
        <v>994</v>
      </c>
      <c r="BG117" s="6"/>
      <c r="BH117" s="6">
        <f t="shared" si="31"/>
        <v>376</v>
      </c>
      <c r="BI117" s="6"/>
      <c r="BJ117" s="35"/>
      <c r="BK117" s="6"/>
      <c r="BL117" s="6">
        <v>1390</v>
      </c>
      <c r="BM117" s="6"/>
      <c r="BN117" s="6">
        <f t="shared" si="32"/>
        <v>396</v>
      </c>
      <c r="BO117" s="6">
        <v>260</v>
      </c>
      <c r="BP117" s="6">
        <v>1514</v>
      </c>
      <c r="BQ117" s="35">
        <f t="shared" si="33"/>
        <v>384</v>
      </c>
      <c r="BR117" s="6">
        <v>284</v>
      </c>
      <c r="BS117" s="6">
        <v>345</v>
      </c>
      <c r="BT117" s="6">
        <f t="shared" si="34"/>
        <v>369</v>
      </c>
      <c r="BU117" s="6">
        <v>654</v>
      </c>
      <c r="BV117" s="6"/>
      <c r="BW117" s="35">
        <f t="shared" si="35"/>
        <v>370</v>
      </c>
      <c r="BX117" s="6">
        <v>1041</v>
      </c>
      <c r="BY117" s="35"/>
      <c r="BZ117" s="6">
        <f t="shared" si="36"/>
        <v>387</v>
      </c>
      <c r="CA117" s="6">
        <v>0</v>
      </c>
      <c r="CB117" s="6">
        <v>1285</v>
      </c>
      <c r="CC117" s="6">
        <f t="shared" si="37"/>
        <v>244</v>
      </c>
      <c r="CD117" s="6"/>
      <c r="CE117" s="35"/>
      <c r="CF117" s="6"/>
      <c r="CG117" s="6">
        <v>247</v>
      </c>
      <c r="CH117" s="6"/>
      <c r="CI117" s="6">
        <f t="shared" si="38"/>
        <v>247</v>
      </c>
      <c r="CJ117" s="6">
        <v>518</v>
      </c>
      <c r="CK117" s="6"/>
      <c r="CL117" s="6">
        <f t="shared" si="39"/>
        <v>271</v>
      </c>
      <c r="CM117" s="6">
        <v>790</v>
      </c>
      <c r="CN117" s="6"/>
      <c r="CO117" s="6">
        <f t="shared" si="40"/>
        <v>272</v>
      </c>
      <c r="CP117" s="6">
        <v>1065</v>
      </c>
      <c r="CQ117" s="6"/>
      <c r="CR117" s="6">
        <f t="shared" si="41"/>
        <v>275</v>
      </c>
      <c r="CS117" s="6">
        <v>1339</v>
      </c>
      <c r="CT117" s="6"/>
      <c r="CU117" s="6">
        <f t="shared" si="42"/>
        <v>274</v>
      </c>
      <c r="CV117" s="6">
        <v>1485</v>
      </c>
      <c r="CW117" s="6"/>
      <c r="CX117" s="6">
        <f t="shared" si="43"/>
        <v>146</v>
      </c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</row>
    <row r="118" spans="1:117">
      <c r="A118" s="6">
        <v>114</v>
      </c>
      <c r="B118" s="6">
        <v>643</v>
      </c>
      <c r="C118" s="6"/>
      <c r="D118" s="6">
        <v>364</v>
      </c>
      <c r="E118" s="33" t="s">
        <v>37</v>
      </c>
      <c r="F118" s="33" t="s">
        <v>37</v>
      </c>
      <c r="G118" s="33" t="s">
        <v>37</v>
      </c>
      <c r="H118" s="33" t="s">
        <v>37</v>
      </c>
      <c r="I118" s="33" t="s">
        <v>37</v>
      </c>
      <c r="J118" s="33" t="s">
        <v>37</v>
      </c>
      <c r="K118" s="33" t="s">
        <v>37</v>
      </c>
      <c r="L118" s="33" t="s">
        <v>37</v>
      </c>
      <c r="M118" s="33" t="s">
        <v>37</v>
      </c>
      <c r="N118" s="33" t="s">
        <v>37</v>
      </c>
      <c r="O118" s="33" t="s">
        <v>37</v>
      </c>
      <c r="P118" s="33" t="s">
        <v>37</v>
      </c>
      <c r="Q118" s="33" t="s">
        <v>37</v>
      </c>
      <c r="R118" s="33" t="s">
        <v>37</v>
      </c>
      <c r="S118" s="148" t="s">
        <v>128</v>
      </c>
      <c r="T118" s="33" t="s">
        <v>128</v>
      </c>
      <c r="U118" s="33" t="s">
        <v>128</v>
      </c>
      <c r="V118" s="33" t="s">
        <v>128</v>
      </c>
      <c r="W118" s="33" t="s">
        <v>128</v>
      </c>
      <c r="X118" s="33" t="s">
        <v>128</v>
      </c>
      <c r="Y118" s="33" t="s">
        <v>128</v>
      </c>
      <c r="Z118" s="33" t="s">
        <v>128</v>
      </c>
      <c r="AA118" s="33" t="s">
        <v>128</v>
      </c>
      <c r="AB118" s="6">
        <v>1060</v>
      </c>
      <c r="AC118" s="6"/>
      <c r="AD118" s="35">
        <f t="shared" si="22"/>
        <v>417</v>
      </c>
      <c r="AE118" s="6">
        <v>1446</v>
      </c>
      <c r="AF118" s="6"/>
      <c r="AG118" s="35">
        <f t="shared" si="23"/>
        <v>386</v>
      </c>
      <c r="AH118" s="35">
        <v>276</v>
      </c>
      <c r="AI118" s="35">
        <v>1560</v>
      </c>
      <c r="AJ118" s="35">
        <f t="shared" si="24"/>
        <v>390</v>
      </c>
      <c r="AK118" s="6">
        <v>627</v>
      </c>
      <c r="AL118" s="6"/>
      <c r="AM118" s="35">
        <f t="shared" si="25"/>
        <v>351</v>
      </c>
      <c r="AN118" s="6"/>
      <c r="AO118" s="6"/>
      <c r="AP118" s="34"/>
      <c r="AQ118" s="35">
        <v>1008</v>
      </c>
      <c r="AR118" s="35"/>
      <c r="AS118" s="35">
        <f t="shared" si="26"/>
        <v>381</v>
      </c>
      <c r="AT118" s="6">
        <v>1391</v>
      </c>
      <c r="AU118" s="6"/>
      <c r="AV118" s="35">
        <f t="shared" si="27"/>
        <v>383</v>
      </c>
      <c r="AW118" s="6">
        <v>210</v>
      </c>
      <c r="AX118" s="6">
        <v>1560</v>
      </c>
      <c r="AY118" s="35">
        <f t="shared" si="28"/>
        <v>379</v>
      </c>
      <c r="AZ118" s="35">
        <v>597</v>
      </c>
      <c r="BA118" s="35"/>
      <c r="BB118" s="35">
        <f t="shared" si="29"/>
        <v>387</v>
      </c>
      <c r="BC118" s="6">
        <v>973</v>
      </c>
      <c r="BD118" s="6"/>
      <c r="BE118" s="35">
        <f t="shared" si="30"/>
        <v>376</v>
      </c>
      <c r="BF118" s="6">
        <v>1345</v>
      </c>
      <c r="BG118" s="6"/>
      <c r="BH118" s="6">
        <f t="shared" si="31"/>
        <v>372</v>
      </c>
      <c r="BI118" s="6"/>
      <c r="BJ118" s="6"/>
      <c r="BK118" s="6"/>
      <c r="BL118" s="6">
        <v>174</v>
      </c>
      <c r="BM118" s="6">
        <v>1560</v>
      </c>
      <c r="BN118" s="6">
        <f t="shared" si="32"/>
        <v>389</v>
      </c>
      <c r="BO118" s="6">
        <v>550</v>
      </c>
      <c r="BP118" s="6"/>
      <c r="BQ118" s="35">
        <f t="shared" si="33"/>
        <v>376</v>
      </c>
      <c r="BR118" s="6">
        <v>0</v>
      </c>
      <c r="BS118" s="6">
        <v>790</v>
      </c>
      <c r="BT118" s="6">
        <f t="shared" si="34"/>
        <v>240</v>
      </c>
      <c r="BU118" s="6">
        <v>351</v>
      </c>
      <c r="BV118" s="6"/>
      <c r="BW118" s="35">
        <f t="shared" si="35"/>
        <v>351</v>
      </c>
      <c r="BX118" s="6">
        <v>739</v>
      </c>
      <c r="BY118" s="6"/>
      <c r="BZ118" s="6">
        <f t="shared" si="36"/>
        <v>388</v>
      </c>
      <c r="CA118" s="6">
        <v>1110</v>
      </c>
      <c r="CB118" s="6"/>
      <c r="CC118" s="6">
        <f t="shared" si="37"/>
        <v>371</v>
      </c>
      <c r="CD118" s="6"/>
      <c r="CE118" s="6"/>
      <c r="CF118" s="6"/>
      <c r="CG118" s="6">
        <v>1481</v>
      </c>
      <c r="CH118" s="6"/>
      <c r="CI118" s="6">
        <f t="shared" si="38"/>
        <v>371</v>
      </c>
      <c r="CJ118" s="6">
        <v>265</v>
      </c>
      <c r="CK118" s="6">
        <v>1560</v>
      </c>
      <c r="CL118" s="6">
        <f t="shared" si="39"/>
        <v>344</v>
      </c>
      <c r="CM118" s="6">
        <v>634</v>
      </c>
      <c r="CN118" s="6"/>
      <c r="CO118" s="6">
        <f t="shared" si="40"/>
        <v>369</v>
      </c>
      <c r="CP118" s="6">
        <v>1005</v>
      </c>
      <c r="CQ118" s="6"/>
      <c r="CR118" s="6">
        <f t="shared" si="41"/>
        <v>371</v>
      </c>
      <c r="CS118" s="6">
        <v>1376</v>
      </c>
      <c r="CT118" s="6"/>
      <c r="CU118" s="6">
        <f t="shared" si="42"/>
        <v>371</v>
      </c>
      <c r="CV118" s="6">
        <v>97</v>
      </c>
      <c r="CW118" s="6">
        <v>1480</v>
      </c>
      <c r="CX118" s="6">
        <f t="shared" si="43"/>
        <v>201</v>
      </c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</row>
    <row r="119" spans="1:117">
      <c r="A119" s="6">
        <v>115</v>
      </c>
      <c r="B119" s="6">
        <v>277</v>
      </c>
      <c r="C119" s="6">
        <v>1560</v>
      </c>
      <c r="D119" s="6">
        <v>344</v>
      </c>
      <c r="E119" s="33" t="s">
        <v>37</v>
      </c>
      <c r="F119" s="33" t="s">
        <v>37</v>
      </c>
      <c r="G119" s="33" t="s">
        <v>37</v>
      </c>
      <c r="H119" s="33" t="s">
        <v>37</v>
      </c>
      <c r="I119" s="33" t="s">
        <v>37</v>
      </c>
      <c r="J119" s="33" t="s">
        <v>37</v>
      </c>
      <c r="K119" s="33" t="s">
        <v>37</v>
      </c>
      <c r="L119" s="33" t="s">
        <v>37</v>
      </c>
      <c r="M119" s="33" t="s">
        <v>37</v>
      </c>
      <c r="N119" s="33" t="s">
        <v>37</v>
      </c>
      <c r="O119" s="33" t="s">
        <v>37</v>
      </c>
      <c r="P119" s="33" t="s">
        <v>37</v>
      </c>
      <c r="Q119" s="33" t="s">
        <v>37</v>
      </c>
      <c r="R119" s="33" t="s">
        <v>37</v>
      </c>
      <c r="S119" s="33" t="s">
        <v>37</v>
      </c>
      <c r="T119" s="33" t="s">
        <v>37</v>
      </c>
      <c r="U119" s="33" t="s">
        <v>37</v>
      </c>
      <c r="V119" s="148" t="s">
        <v>99</v>
      </c>
      <c r="W119" s="33" t="s">
        <v>99</v>
      </c>
      <c r="X119" s="33" t="s">
        <v>99</v>
      </c>
      <c r="Y119" s="33" t="s">
        <v>99</v>
      </c>
      <c r="Z119" s="33" t="s">
        <v>99</v>
      </c>
      <c r="AA119" s="33" t="s">
        <v>99</v>
      </c>
      <c r="AB119" s="6">
        <v>683</v>
      </c>
      <c r="AC119" s="6"/>
      <c r="AD119" s="35">
        <f t="shared" si="22"/>
        <v>406</v>
      </c>
      <c r="AE119" s="6">
        <v>31</v>
      </c>
      <c r="AF119" s="6">
        <v>888</v>
      </c>
      <c r="AG119" s="35">
        <f t="shared" si="23"/>
        <v>236</v>
      </c>
      <c r="AH119" s="35">
        <v>379</v>
      </c>
      <c r="AI119" s="35"/>
      <c r="AJ119" s="35">
        <f t="shared" si="24"/>
        <v>348</v>
      </c>
      <c r="AK119" s="6">
        <v>744</v>
      </c>
      <c r="AL119" s="6"/>
      <c r="AM119" s="35">
        <f t="shared" si="25"/>
        <v>365</v>
      </c>
      <c r="AN119" s="6"/>
      <c r="AO119" s="6"/>
      <c r="AP119" s="34"/>
      <c r="AQ119" s="35">
        <v>1130</v>
      </c>
      <c r="AR119" s="35"/>
      <c r="AS119" s="35">
        <f t="shared" si="26"/>
        <v>386</v>
      </c>
      <c r="AT119" s="6">
        <v>1508</v>
      </c>
      <c r="AU119" s="6"/>
      <c r="AV119" s="35">
        <f t="shared" si="27"/>
        <v>378</v>
      </c>
      <c r="AW119" s="6">
        <v>371</v>
      </c>
      <c r="AX119" s="6">
        <v>1521</v>
      </c>
      <c r="AY119" s="35">
        <f t="shared" si="28"/>
        <v>384</v>
      </c>
      <c r="AZ119" s="35">
        <v>758</v>
      </c>
      <c r="BA119" s="35"/>
      <c r="BB119" s="35">
        <f t="shared" si="29"/>
        <v>387</v>
      </c>
      <c r="BC119" s="6">
        <v>1149</v>
      </c>
      <c r="BD119" s="6"/>
      <c r="BE119" s="35">
        <f t="shared" si="30"/>
        <v>391</v>
      </c>
      <c r="BF119" s="6">
        <v>1517</v>
      </c>
      <c r="BG119" s="6"/>
      <c r="BH119" s="6">
        <f t="shared" si="31"/>
        <v>368</v>
      </c>
      <c r="BI119" s="6"/>
      <c r="BJ119" s="6"/>
      <c r="BK119" s="6"/>
      <c r="BL119" s="6">
        <v>350</v>
      </c>
      <c r="BM119" s="6">
        <v>1560</v>
      </c>
      <c r="BN119" s="6">
        <f t="shared" si="32"/>
        <v>393</v>
      </c>
      <c r="BO119" s="6">
        <v>731</v>
      </c>
      <c r="BP119" s="6"/>
      <c r="BQ119" s="35">
        <f t="shared" si="33"/>
        <v>381</v>
      </c>
      <c r="BR119" s="6">
        <v>1120</v>
      </c>
      <c r="BS119" s="6"/>
      <c r="BT119" s="6">
        <f t="shared" si="34"/>
        <v>389</v>
      </c>
      <c r="BU119" s="6">
        <v>320</v>
      </c>
      <c r="BV119" s="6">
        <v>1176</v>
      </c>
      <c r="BW119" s="35">
        <f t="shared" si="35"/>
        <v>376</v>
      </c>
      <c r="BX119" s="6">
        <v>714</v>
      </c>
      <c r="BY119" s="6"/>
      <c r="BZ119" s="6">
        <f t="shared" si="36"/>
        <v>394</v>
      </c>
      <c r="CA119" s="6">
        <v>0</v>
      </c>
      <c r="CB119" s="6">
        <v>1070</v>
      </c>
      <c r="CC119" s="6">
        <f t="shared" si="37"/>
        <v>356</v>
      </c>
      <c r="CD119" s="6"/>
      <c r="CE119" s="6"/>
      <c r="CF119" s="6"/>
      <c r="CG119" s="6">
        <v>256</v>
      </c>
      <c r="CH119" s="6"/>
      <c r="CI119" s="6">
        <f t="shared" si="38"/>
        <v>256</v>
      </c>
      <c r="CJ119" s="6">
        <v>536</v>
      </c>
      <c r="CK119" s="6"/>
      <c r="CL119" s="6">
        <f t="shared" si="39"/>
        <v>280</v>
      </c>
      <c r="CM119" s="6">
        <v>803</v>
      </c>
      <c r="CN119" s="6"/>
      <c r="CO119" s="6">
        <f t="shared" si="40"/>
        <v>267</v>
      </c>
      <c r="CP119" s="6">
        <v>1078</v>
      </c>
      <c r="CQ119" s="6"/>
      <c r="CR119" s="6">
        <f t="shared" si="41"/>
        <v>275</v>
      </c>
      <c r="CS119" s="6">
        <v>1353</v>
      </c>
      <c r="CT119" s="6"/>
      <c r="CU119" s="6">
        <f t="shared" si="42"/>
        <v>275</v>
      </c>
      <c r="CV119" s="6">
        <v>0</v>
      </c>
      <c r="CW119" s="6">
        <v>1500</v>
      </c>
      <c r="CX119" s="6">
        <f t="shared" si="43"/>
        <v>147</v>
      </c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</row>
    <row r="120" spans="1:117">
      <c r="A120" s="6">
        <v>116</v>
      </c>
      <c r="B120" s="6">
        <v>0</v>
      </c>
      <c r="C120" s="6">
        <v>1144</v>
      </c>
      <c r="D120" s="6">
        <v>151</v>
      </c>
      <c r="E120" s="33" t="s">
        <v>37</v>
      </c>
      <c r="F120" s="148" t="s">
        <v>37</v>
      </c>
      <c r="G120" s="33" t="s">
        <v>37</v>
      </c>
      <c r="H120" s="33" t="s">
        <v>37</v>
      </c>
      <c r="I120" s="33" t="s">
        <v>37</v>
      </c>
      <c r="J120" s="33" t="s">
        <v>37</v>
      </c>
      <c r="K120" s="33" t="s">
        <v>37</v>
      </c>
      <c r="L120" s="33" t="s">
        <v>37</v>
      </c>
      <c r="M120" s="33" t="s">
        <v>37</v>
      </c>
      <c r="N120" s="33" t="s">
        <v>37</v>
      </c>
      <c r="O120" s="33" t="s">
        <v>37</v>
      </c>
      <c r="P120" s="33" t="s">
        <v>37</v>
      </c>
      <c r="Q120" s="33" t="s">
        <v>37</v>
      </c>
      <c r="R120" s="33" t="s">
        <v>37</v>
      </c>
      <c r="S120" s="33" t="s">
        <v>37</v>
      </c>
      <c r="T120" s="33" t="s">
        <v>37</v>
      </c>
      <c r="U120" s="33" t="s">
        <v>37</v>
      </c>
      <c r="V120" s="33" t="s">
        <v>37</v>
      </c>
      <c r="W120" s="33" t="s">
        <v>37</v>
      </c>
      <c r="X120" s="33" t="s">
        <v>37</v>
      </c>
      <c r="Y120" s="33" t="s">
        <v>37</v>
      </c>
      <c r="Z120" s="33" t="s">
        <v>37</v>
      </c>
      <c r="AA120" s="33" t="s">
        <v>37</v>
      </c>
      <c r="AB120" s="6">
        <v>326</v>
      </c>
      <c r="AC120" s="6"/>
      <c r="AD120" s="35">
        <f t="shared" si="22"/>
        <v>326</v>
      </c>
      <c r="AE120" s="6">
        <v>712</v>
      </c>
      <c r="AF120" s="6"/>
      <c r="AG120" s="35">
        <f t="shared" si="23"/>
        <v>386</v>
      </c>
      <c r="AH120" s="35">
        <v>1100</v>
      </c>
      <c r="AI120" s="35"/>
      <c r="AJ120" s="35">
        <f t="shared" si="24"/>
        <v>388</v>
      </c>
      <c r="AK120" s="6">
        <v>193</v>
      </c>
      <c r="AL120" s="6">
        <v>1266</v>
      </c>
      <c r="AM120" s="35">
        <f t="shared" si="25"/>
        <v>359</v>
      </c>
      <c r="AN120" s="6"/>
      <c r="AO120" s="6"/>
      <c r="AP120" s="34"/>
      <c r="AQ120" s="35">
        <v>142</v>
      </c>
      <c r="AR120" s="35">
        <v>432</v>
      </c>
      <c r="AS120" s="35">
        <f t="shared" si="26"/>
        <v>381</v>
      </c>
      <c r="AT120" s="6">
        <v>166</v>
      </c>
      <c r="AU120" s="6">
        <v>346</v>
      </c>
      <c r="AV120" s="35">
        <f t="shared" si="27"/>
        <v>370</v>
      </c>
      <c r="AW120" s="6">
        <v>541</v>
      </c>
      <c r="AX120" s="6"/>
      <c r="AY120" s="35">
        <f t="shared" si="28"/>
        <v>375</v>
      </c>
      <c r="AZ120" s="35">
        <v>197</v>
      </c>
      <c r="BA120" s="35">
        <v>714</v>
      </c>
      <c r="BB120" s="35">
        <f t="shared" si="29"/>
        <v>370</v>
      </c>
      <c r="BC120" s="6">
        <v>551</v>
      </c>
      <c r="BD120" s="6"/>
      <c r="BE120" s="35">
        <f t="shared" si="30"/>
        <v>354</v>
      </c>
      <c r="BF120" s="6">
        <v>893</v>
      </c>
      <c r="BG120" s="6"/>
      <c r="BH120" s="6">
        <f t="shared" si="31"/>
        <v>342</v>
      </c>
      <c r="BI120" s="6"/>
      <c r="BJ120" s="6"/>
      <c r="BK120" s="6"/>
      <c r="BL120" s="6">
        <v>1245</v>
      </c>
      <c r="BM120" s="6"/>
      <c r="BN120" s="6">
        <f t="shared" si="32"/>
        <v>352</v>
      </c>
      <c r="BO120" s="6">
        <v>237</v>
      </c>
      <c r="BP120" s="6">
        <v>1351</v>
      </c>
      <c r="BQ120" s="35">
        <f t="shared" si="33"/>
        <v>343</v>
      </c>
      <c r="BR120" s="6">
        <v>594</v>
      </c>
      <c r="BS120" s="6"/>
      <c r="BT120" s="6">
        <f t="shared" si="34"/>
        <v>357</v>
      </c>
      <c r="BU120" s="6">
        <v>962</v>
      </c>
      <c r="BV120" s="6"/>
      <c r="BW120" s="35">
        <f t="shared" si="35"/>
        <v>368</v>
      </c>
      <c r="BX120" s="6">
        <v>1347</v>
      </c>
      <c r="BY120" s="6"/>
      <c r="BZ120" s="6">
        <f t="shared" si="36"/>
        <v>385</v>
      </c>
      <c r="CA120" s="6">
        <v>145</v>
      </c>
      <c r="CB120" s="6">
        <v>1560</v>
      </c>
      <c r="CC120" s="6">
        <f t="shared" si="37"/>
        <v>358</v>
      </c>
      <c r="CD120" s="6"/>
      <c r="CE120" s="6"/>
      <c r="CF120" s="6"/>
      <c r="CG120" s="6">
        <v>68</v>
      </c>
      <c r="CH120" s="6">
        <v>441</v>
      </c>
      <c r="CI120" s="6">
        <f t="shared" si="38"/>
        <v>364</v>
      </c>
      <c r="CJ120" s="6">
        <v>434</v>
      </c>
      <c r="CK120" s="6"/>
      <c r="CL120" s="6">
        <f t="shared" si="39"/>
        <v>366</v>
      </c>
      <c r="CM120" s="6">
        <v>801</v>
      </c>
      <c r="CN120" s="6"/>
      <c r="CO120" s="6">
        <f t="shared" si="40"/>
        <v>367</v>
      </c>
      <c r="CP120" s="6">
        <v>1178</v>
      </c>
      <c r="CQ120" s="6"/>
      <c r="CR120" s="6">
        <f t="shared" si="41"/>
        <v>377</v>
      </c>
      <c r="CS120" s="6">
        <v>1561</v>
      </c>
      <c r="CT120" s="6"/>
      <c r="CU120" s="6">
        <f t="shared" si="42"/>
        <v>383</v>
      </c>
      <c r="CV120" s="6">
        <v>0</v>
      </c>
      <c r="CW120" s="6">
        <v>1736</v>
      </c>
      <c r="CX120" s="6">
        <f t="shared" si="43"/>
        <v>175</v>
      </c>
      <c r="CY120" s="6"/>
      <c r="CZ120" s="6"/>
      <c r="DA120" s="6"/>
      <c r="DB120" s="6"/>
      <c r="DC120" s="6"/>
      <c r="DD120" s="6"/>
      <c r="DE120" s="35"/>
      <c r="DF120" s="6"/>
      <c r="DG120" s="6"/>
      <c r="DH120" s="35"/>
      <c r="DI120" s="6"/>
      <c r="DJ120" s="6"/>
      <c r="DK120" s="35"/>
      <c r="DL120" s="6"/>
      <c r="DM120" s="6"/>
    </row>
    <row r="121" spans="1:117">
      <c r="A121" s="6">
        <v>117</v>
      </c>
      <c r="B121" s="6">
        <v>1255</v>
      </c>
      <c r="C121" s="6"/>
      <c r="D121" s="6">
        <v>355</v>
      </c>
      <c r="E121" s="33" t="s">
        <v>37</v>
      </c>
      <c r="F121" s="33" t="s">
        <v>37</v>
      </c>
      <c r="G121" s="33" t="s">
        <v>37</v>
      </c>
      <c r="H121" s="33" t="s">
        <v>37</v>
      </c>
      <c r="I121" s="33" t="s">
        <v>37</v>
      </c>
      <c r="J121" s="33" t="s">
        <v>37</v>
      </c>
      <c r="K121" s="33" t="s">
        <v>37</v>
      </c>
      <c r="L121" s="33" t="s">
        <v>37</v>
      </c>
      <c r="M121" s="33" t="s">
        <v>37</v>
      </c>
      <c r="N121" s="33" t="s">
        <v>37</v>
      </c>
      <c r="O121" s="33" t="s">
        <v>37</v>
      </c>
      <c r="P121" s="33" t="s">
        <v>37</v>
      </c>
      <c r="Q121" s="33" t="s">
        <v>37</v>
      </c>
      <c r="R121" s="33" t="s">
        <v>37</v>
      </c>
      <c r="S121" s="33" t="s">
        <v>37</v>
      </c>
      <c r="T121" s="33" t="s">
        <v>37</v>
      </c>
      <c r="U121" s="148" t="s">
        <v>307</v>
      </c>
      <c r="V121" s="33" t="s">
        <v>307</v>
      </c>
      <c r="W121" s="33" t="s">
        <v>307</v>
      </c>
      <c r="X121" s="33" t="s">
        <v>307</v>
      </c>
      <c r="Y121" s="33" t="s">
        <v>307</v>
      </c>
      <c r="Z121" s="33" t="s">
        <v>307</v>
      </c>
      <c r="AA121" s="33" t="s">
        <v>307</v>
      </c>
      <c r="AB121" s="6">
        <v>213</v>
      </c>
      <c r="AC121" s="6">
        <v>1440</v>
      </c>
      <c r="AD121" s="35">
        <f t="shared" si="22"/>
        <v>398</v>
      </c>
      <c r="AE121" s="6">
        <v>596</v>
      </c>
      <c r="AF121" s="6"/>
      <c r="AG121" s="35">
        <f t="shared" si="23"/>
        <v>383</v>
      </c>
      <c r="AH121" s="35">
        <v>968</v>
      </c>
      <c r="AI121" s="35"/>
      <c r="AJ121" s="35">
        <f t="shared" si="24"/>
        <v>372</v>
      </c>
      <c r="AK121" s="6">
        <v>1315</v>
      </c>
      <c r="AL121" s="6"/>
      <c r="AM121" s="35">
        <f t="shared" si="25"/>
        <v>347</v>
      </c>
      <c r="AN121" s="6"/>
      <c r="AO121" s="6"/>
      <c r="AP121" s="34"/>
      <c r="AQ121" s="35">
        <v>141</v>
      </c>
      <c r="AR121" s="35">
        <v>1560</v>
      </c>
      <c r="AS121" s="35">
        <f t="shared" si="26"/>
        <v>386</v>
      </c>
      <c r="AT121" s="6">
        <v>521</v>
      </c>
      <c r="AU121" s="6"/>
      <c r="AV121" s="35">
        <f t="shared" si="27"/>
        <v>380</v>
      </c>
      <c r="AW121" s="6">
        <v>899</v>
      </c>
      <c r="AX121" s="6"/>
      <c r="AY121" s="35">
        <f t="shared" si="28"/>
        <v>378</v>
      </c>
      <c r="AZ121" s="35">
        <v>1291</v>
      </c>
      <c r="BA121" s="35"/>
      <c r="BB121" s="35">
        <f t="shared" si="29"/>
        <v>392</v>
      </c>
      <c r="BC121" s="6">
        <v>127</v>
      </c>
      <c r="BD121" s="6">
        <v>1560</v>
      </c>
      <c r="BE121" s="35">
        <f t="shared" si="30"/>
        <v>396</v>
      </c>
      <c r="BF121" s="6">
        <v>505</v>
      </c>
      <c r="BG121" s="6"/>
      <c r="BH121" s="6">
        <f t="shared" si="31"/>
        <v>378</v>
      </c>
      <c r="BI121" s="6"/>
      <c r="BJ121" s="6"/>
      <c r="BK121" s="6"/>
      <c r="BL121" s="6">
        <v>116</v>
      </c>
      <c r="BM121" s="6">
        <v>780</v>
      </c>
      <c r="BN121" s="6">
        <f t="shared" si="32"/>
        <v>391</v>
      </c>
      <c r="BO121" s="6">
        <v>502</v>
      </c>
      <c r="BP121" s="6"/>
      <c r="BQ121" s="35">
        <f t="shared" si="33"/>
        <v>386</v>
      </c>
      <c r="BR121" s="6">
        <v>897</v>
      </c>
      <c r="BS121" s="6"/>
      <c r="BT121" s="6">
        <f t="shared" si="34"/>
        <v>395</v>
      </c>
      <c r="BU121" s="6">
        <v>1290</v>
      </c>
      <c r="BV121" s="6"/>
      <c r="BW121" s="35">
        <f t="shared" si="35"/>
        <v>393</v>
      </c>
      <c r="BX121" s="6">
        <v>0</v>
      </c>
      <c r="BY121" s="6">
        <v>1582</v>
      </c>
      <c r="BZ121" s="6">
        <f t="shared" si="36"/>
        <v>292</v>
      </c>
      <c r="CA121" s="6">
        <v>332</v>
      </c>
      <c r="CB121" s="6"/>
      <c r="CC121" s="6">
        <f t="shared" si="37"/>
        <v>332</v>
      </c>
      <c r="CD121" s="6"/>
      <c r="CE121" s="6"/>
      <c r="CF121" s="6"/>
      <c r="CG121" s="6">
        <v>735</v>
      </c>
      <c r="CH121" s="6"/>
      <c r="CI121" s="6">
        <f t="shared" si="38"/>
        <v>403</v>
      </c>
      <c r="CJ121" s="6">
        <v>1126</v>
      </c>
      <c r="CK121" s="6"/>
      <c r="CL121" s="6">
        <f t="shared" si="39"/>
        <v>391</v>
      </c>
      <c r="CM121" s="6">
        <v>1518</v>
      </c>
      <c r="CN121" s="6"/>
      <c r="CO121" s="6">
        <f t="shared" si="40"/>
        <v>392</v>
      </c>
      <c r="CP121" s="6">
        <v>353</v>
      </c>
      <c r="CQ121" s="6">
        <v>1560</v>
      </c>
      <c r="CR121" s="6">
        <f t="shared" si="41"/>
        <v>395</v>
      </c>
      <c r="CS121" s="6">
        <v>744</v>
      </c>
      <c r="CT121" s="6"/>
      <c r="CU121" s="6">
        <f t="shared" si="42"/>
        <v>391</v>
      </c>
      <c r="CV121" s="6">
        <v>950</v>
      </c>
      <c r="CW121" s="6"/>
      <c r="CX121" s="6">
        <f t="shared" si="43"/>
        <v>206</v>
      </c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</row>
    <row r="122" spans="1:117">
      <c r="A122" s="6">
        <v>118</v>
      </c>
      <c r="B122" s="6">
        <v>243</v>
      </c>
      <c r="C122" s="6">
        <v>1560</v>
      </c>
      <c r="D122" s="6">
        <v>348</v>
      </c>
      <c r="E122" s="33" t="s">
        <v>37</v>
      </c>
      <c r="F122" s="33" t="s">
        <v>37</v>
      </c>
      <c r="G122" s="33" t="s">
        <v>37</v>
      </c>
      <c r="H122" s="33" t="s">
        <v>37</v>
      </c>
      <c r="I122" s="33" t="s">
        <v>37</v>
      </c>
      <c r="J122" s="33" t="s">
        <v>37</v>
      </c>
      <c r="K122" s="33" t="s">
        <v>37</v>
      </c>
      <c r="L122" s="33" t="s">
        <v>37</v>
      </c>
      <c r="M122" s="33" t="s">
        <v>37</v>
      </c>
      <c r="N122" s="33" t="s">
        <v>37</v>
      </c>
      <c r="O122" s="33" t="s">
        <v>37</v>
      </c>
      <c r="P122" s="33" t="s">
        <v>37</v>
      </c>
      <c r="Q122" s="33" t="s">
        <v>37</v>
      </c>
      <c r="R122" s="33" t="s">
        <v>37</v>
      </c>
      <c r="S122" s="33" t="s">
        <v>37</v>
      </c>
      <c r="T122" s="33" t="s">
        <v>37</v>
      </c>
      <c r="U122" s="33" t="s">
        <v>37</v>
      </c>
      <c r="V122" s="148" t="s">
        <v>99</v>
      </c>
      <c r="W122" s="33" t="s">
        <v>99</v>
      </c>
      <c r="X122" s="33" t="s">
        <v>99</v>
      </c>
      <c r="Y122" s="33" t="s">
        <v>99</v>
      </c>
      <c r="Z122" s="33" t="s">
        <v>99</v>
      </c>
      <c r="AA122" s="33" t="s">
        <v>99</v>
      </c>
      <c r="AB122" s="6">
        <v>647</v>
      </c>
      <c r="AC122" s="6"/>
      <c r="AD122" s="35">
        <f t="shared" si="22"/>
        <v>404</v>
      </c>
      <c r="AE122" s="6">
        <v>1021</v>
      </c>
      <c r="AF122" s="6"/>
      <c r="AG122" s="35">
        <f t="shared" si="23"/>
        <v>374</v>
      </c>
      <c r="AH122" s="35">
        <v>291</v>
      </c>
      <c r="AI122" s="35">
        <v>1106</v>
      </c>
      <c r="AJ122" s="35">
        <f t="shared" si="24"/>
        <v>376</v>
      </c>
      <c r="AK122" s="6">
        <v>163</v>
      </c>
      <c r="AL122" s="6">
        <v>489</v>
      </c>
      <c r="AM122" s="35">
        <f t="shared" si="25"/>
        <v>361</v>
      </c>
      <c r="AN122" s="6"/>
      <c r="AO122" s="6"/>
      <c r="AP122" s="34"/>
      <c r="AQ122" s="35">
        <v>550</v>
      </c>
      <c r="AR122" s="35"/>
      <c r="AS122" s="35">
        <f t="shared" si="26"/>
        <v>387</v>
      </c>
      <c r="AT122" s="6">
        <v>933</v>
      </c>
      <c r="AU122" s="6"/>
      <c r="AV122" s="35">
        <f t="shared" si="27"/>
        <v>383</v>
      </c>
      <c r="AW122" s="6">
        <v>1322</v>
      </c>
      <c r="AX122" s="6"/>
      <c r="AY122" s="35">
        <f t="shared" si="28"/>
        <v>389</v>
      </c>
      <c r="AZ122" s="35">
        <v>156</v>
      </c>
      <c r="BA122" s="35">
        <v>1560</v>
      </c>
      <c r="BB122" s="35">
        <f t="shared" si="29"/>
        <v>394</v>
      </c>
      <c r="BC122" s="6">
        <v>3</v>
      </c>
      <c r="BD122" s="6">
        <v>543</v>
      </c>
      <c r="BE122" s="35">
        <f t="shared" si="30"/>
        <v>390</v>
      </c>
      <c r="BF122" s="6">
        <v>380</v>
      </c>
      <c r="BG122" s="6"/>
      <c r="BH122" s="6">
        <f t="shared" si="31"/>
        <v>377</v>
      </c>
      <c r="BI122" s="6"/>
      <c r="BJ122" s="6"/>
      <c r="BK122" s="6"/>
      <c r="BL122" s="6">
        <v>269</v>
      </c>
      <c r="BM122" s="6">
        <v>511</v>
      </c>
      <c r="BN122" s="6">
        <f t="shared" si="32"/>
        <v>400</v>
      </c>
      <c r="BO122" s="6">
        <v>659</v>
      </c>
      <c r="BP122" s="6"/>
      <c r="BQ122" s="35">
        <f t="shared" si="33"/>
        <v>390</v>
      </c>
      <c r="BR122" s="6">
        <v>1056</v>
      </c>
      <c r="BS122" s="6"/>
      <c r="BT122" s="6">
        <f t="shared" si="34"/>
        <v>397</v>
      </c>
      <c r="BU122" s="6">
        <v>1449</v>
      </c>
      <c r="BV122" s="6"/>
      <c r="BW122" s="35">
        <f t="shared" si="35"/>
        <v>393</v>
      </c>
      <c r="BX122" s="6">
        <v>287</v>
      </c>
      <c r="BY122" s="6">
        <v>1560</v>
      </c>
      <c r="BZ122" s="6">
        <f t="shared" si="36"/>
        <v>398</v>
      </c>
      <c r="CA122" s="6">
        <v>0</v>
      </c>
      <c r="CB122" s="6">
        <v>560</v>
      </c>
      <c r="CC122" s="6">
        <f t="shared" si="37"/>
        <v>273</v>
      </c>
      <c r="CD122" s="6"/>
      <c r="CE122" s="6"/>
      <c r="CF122" s="6"/>
      <c r="CG122" s="6">
        <v>243</v>
      </c>
      <c r="CH122" s="6"/>
      <c r="CI122" s="6">
        <f t="shared" si="38"/>
        <v>243</v>
      </c>
      <c r="CJ122" s="6">
        <v>516</v>
      </c>
      <c r="CK122" s="6"/>
      <c r="CL122" s="6">
        <f t="shared" si="39"/>
        <v>273</v>
      </c>
      <c r="CM122" s="6">
        <v>788</v>
      </c>
      <c r="CN122" s="6"/>
      <c r="CO122" s="6">
        <f t="shared" si="40"/>
        <v>272</v>
      </c>
      <c r="CP122" s="6">
        <v>1063</v>
      </c>
      <c r="CQ122" s="6"/>
      <c r="CR122" s="6">
        <f t="shared" si="41"/>
        <v>275</v>
      </c>
      <c r="CS122" s="6">
        <v>1337</v>
      </c>
      <c r="CT122" s="6"/>
      <c r="CU122" s="6">
        <f t="shared" si="42"/>
        <v>274</v>
      </c>
      <c r="CV122" s="6">
        <v>1484</v>
      </c>
      <c r="CW122" s="6"/>
      <c r="CX122" s="6">
        <f t="shared" si="43"/>
        <v>147</v>
      </c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</row>
    <row r="123" spans="1:117">
      <c r="A123" s="6">
        <v>119</v>
      </c>
      <c r="B123" s="6">
        <v>0</v>
      </c>
      <c r="C123" s="6">
        <v>1547</v>
      </c>
      <c r="D123" s="6">
        <v>133</v>
      </c>
      <c r="E123" s="33" t="s">
        <v>37</v>
      </c>
      <c r="F123" s="148" t="s">
        <v>37</v>
      </c>
      <c r="G123" s="33" t="s">
        <v>37</v>
      </c>
      <c r="H123" s="33" t="s">
        <v>37</v>
      </c>
      <c r="I123" s="33" t="s">
        <v>37</v>
      </c>
      <c r="J123" s="33" t="s">
        <v>37</v>
      </c>
      <c r="K123" s="33" t="s">
        <v>37</v>
      </c>
      <c r="L123" s="33" t="s">
        <v>37</v>
      </c>
      <c r="M123" s="33" t="s">
        <v>37</v>
      </c>
      <c r="N123" s="33" t="s">
        <v>37</v>
      </c>
      <c r="O123" s="33" t="s">
        <v>37</v>
      </c>
      <c r="P123" s="33" t="s">
        <v>37</v>
      </c>
      <c r="Q123" s="33" t="s">
        <v>37</v>
      </c>
      <c r="R123" s="33" t="s">
        <v>37</v>
      </c>
      <c r="S123" s="33" t="s">
        <v>37</v>
      </c>
      <c r="T123" s="33" t="s">
        <v>37</v>
      </c>
      <c r="U123" s="33" t="s">
        <v>37</v>
      </c>
      <c r="V123" s="33" t="s">
        <v>37</v>
      </c>
      <c r="W123" s="33" t="s">
        <v>37</v>
      </c>
      <c r="X123" s="33" t="s">
        <v>37</v>
      </c>
      <c r="Y123" s="33" t="s">
        <v>37</v>
      </c>
      <c r="Z123" s="33" t="s">
        <v>37</v>
      </c>
      <c r="AA123" s="148" t="s">
        <v>307</v>
      </c>
      <c r="AB123" s="35">
        <v>358</v>
      </c>
      <c r="AC123" s="35"/>
      <c r="AD123" s="35">
        <f t="shared" si="22"/>
        <v>358</v>
      </c>
      <c r="AE123" s="35">
        <v>743</v>
      </c>
      <c r="AF123" s="35"/>
      <c r="AG123" s="35">
        <f t="shared" si="23"/>
        <v>385</v>
      </c>
      <c r="AH123" s="35">
        <v>1131</v>
      </c>
      <c r="AI123" s="35"/>
      <c r="AJ123" s="35">
        <f t="shared" si="24"/>
        <v>388</v>
      </c>
      <c r="AK123" s="35">
        <v>1492</v>
      </c>
      <c r="AL123" s="35"/>
      <c r="AM123" s="35">
        <f t="shared" si="25"/>
        <v>361</v>
      </c>
      <c r="AN123" s="6"/>
      <c r="AO123" s="35"/>
      <c r="AP123" s="34"/>
      <c r="AQ123" s="35">
        <v>323</v>
      </c>
      <c r="AR123" s="35">
        <v>1557</v>
      </c>
      <c r="AS123" s="35">
        <f t="shared" si="26"/>
        <v>388</v>
      </c>
      <c r="AT123" s="6">
        <v>696</v>
      </c>
      <c r="AU123" s="6"/>
      <c r="AV123" s="35">
        <f t="shared" si="27"/>
        <v>373</v>
      </c>
      <c r="AW123" s="6">
        <v>1071</v>
      </c>
      <c r="AX123" s="6"/>
      <c r="AY123" s="35">
        <f t="shared" si="28"/>
        <v>375</v>
      </c>
      <c r="AZ123" s="6">
        <v>1455</v>
      </c>
      <c r="BA123" s="6"/>
      <c r="BB123" s="35">
        <f t="shared" si="29"/>
        <v>384</v>
      </c>
      <c r="BC123" s="6">
        <v>279</v>
      </c>
      <c r="BD123" s="6">
        <v>1560</v>
      </c>
      <c r="BE123" s="35">
        <f t="shared" si="30"/>
        <v>384</v>
      </c>
      <c r="BF123" s="6">
        <v>656</v>
      </c>
      <c r="BG123" s="6"/>
      <c r="BH123" s="6">
        <f t="shared" si="31"/>
        <v>377</v>
      </c>
      <c r="BI123" s="6"/>
      <c r="BJ123" s="35"/>
      <c r="BK123" s="6"/>
      <c r="BL123" s="6">
        <v>1052</v>
      </c>
      <c r="BM123" s="6"/>
      <c r="BN123" s="6">
        <f t="shared" si="32"/>
        <v>396</v>
      </c>
      <c r="BO123" s="6">
        <v>258</v>
      </c>
      <c r="BP123" s="6">
        <v>1177</v>
      </c>
      <c r="BQ123" s="35">
        <f t="shared" si="33"/>
        <v>383</v>
      </c>
      <c r="BR123" s="6">
        <v>651</v>
      </c>
      <c r="BS123" s="6"/>
      <c r="BT123" s="6">
        <f t="shared" si="34"/>
        <v>393</v>
      </c>
      <c r="BU123" s="6">
        <v>1043</v>
      </c>
      <c r="BV123" s="6"/>
      <c r="BW123" s="35">
        <f t="shared" si="35"/>
        <v>392</v>
      </c>
      <c r="BX123" s="6">
        <v>1442</v>
      </c>
      <c r="BY123" s="35"/>
      <c r="BZ123" s="6">
        <f t="shared" si="36"/>
        <v>399</v>
      </c>
      <c r="CA123" s="6">
        <v>243</v>
      </c>
      <c r="CB123" s="6">
        <v>1560</v>
      </c>
      <c r="CC123" s="6">
        <f t="shared" si="37"/>
        <v>361</v>
      </c>
      <c r="CD123" s="6"/>
      <c r="CE123" s="35"/>
      <c r="CF123" s="6"/>
      <c r="CG123" s="6">
        <v>636</v>
      </c>
      <c r="CH123" s="6"/>
      <c r="CI123" s="6">
        <f t="shared" si="38"/>
        <v>393</v>
      </c>
      <c r="CJ123" s="6">
        <v>1025</v>
      </c>
      <c r="CK123" s="6"/>
      <c r="CL123" s="6">
        <f t="shared" si="39"/>
        <v>389</v>
      </c>
      <c r="CM123" s="6">
        <v>1410</v>
      </c>
      <c r="CN123" s="6"/>
      <c r="CO123" s="6">
        <f t="shared" si="40"/>
        <v>385</v>
      </c>
      <c r="CP123" s="6">
        <v>239</v>
      </c>
      <c r="CQ123" s="6">
        <v>1560</v>
      </c>
      <c r="CR123" s="6">
        <f t="shared" si="41"/>
        <v>389</v>
      </c>
      <c r="CS123" s="6">
        <v>0</v>
      </c>
      <c r="CT123" s="6">
        <v>422</v>
      </c>
      <c r="CU123" s="6">
        <f t="shared" si="42"/>
        <v>183</v>
      </c>
      <c r="CV123" s="6">
        <v>184</v>
      </c>
      <c r="CW123" s="6"/>
      <c r="CX123" s="6">
        <f t="shared" si="43"/>
        <v>184</v>
      </c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</row>
    <row r="124" spans="1:117">
      <c r="A124" s="6">
        <v>120</v>
      </c>
      <c r="B124" s="6">
        <v>229</v>
      </c>
      <c r="C124" s="6">
        <v>1560</v>
      </c>
      <c r="D124" s="6">
        <v>353</v>
      </c>
      <c r="E124" s="33" t="s">
        <v>37</v>
      </c>
      <c r="F124" s="33" t="s">
        <v>37</v>
      </c>
      <c r="G124" s="33" t="s">
        <v>37</v>
      </c>
      <c r="H124" s="33" t="s">
        <v>37</v>
      </c>
      <c r="I124" s="33" t="s">
        <v>37</v>
      </c>
      <c r="J124" s="33" t="s">
        <v>37</v>
      </c>
      <c r="K124" s="33" t="s">
        <v>37</v>
      </c>
      <c r="L124" s="33" t="s">
        <v>37</v>
      </c>
      <c r="M124" s="33" t="s">
        <v>37</v>
      </c>
      <c r="N124" s="33" t="s">
        <v>37</v>
      </c>
      <c r="O124" s="33" t="s">
        <v>37</v>
      </c>
      <c r="P124" s="33" t="s">
        <v>37</v>
      </c>
      <c r="Q124" s="33" t="s">
        <v>37</v>
      </c>
      <c r="R124" s="33" t="s">
        <v>37</v>
      </c>
      <c r="S124" s="33" t="s">
        <v>37</v>
      </c>
      <c r="T124" s="33" t="s">
        <v>37</v>
      </c>
      <c r="U124" s="33" t="s">
        <v>37</v>
      </c>
      <c r="V124" s="148" t="s">
        <v>99</v>
      </c>
      <c r="W124" s="33" t="s">
        <v>99</v>
      </c>
      <c r="X124" s="33" t="s">
        <v>99</v>
      </c>
      <c r="Y124" s="33" t="s">
        <v>99</v>
      </c>
      <c r="Z124" s="33" t="s">
        <v>99</v>
      </c>
      <c r="AA124" s="33" t="s">
        <v>99</v>
      </c>
      <c r="AB124" s="6">
        <v>640</v>
      </c>
      <c r="AC124" s="6"/>
      <c r="AD124" s="35">
        <f t="shared" si="22"/>
        <v>411</v>
      </c>
      <c r="AE124" s="6">
        <v>1023</v>
      </c>
      <c r="AF124" s="6"/>
      <c r="AG124" s="35">
        <f t="shared" si="23"/>
        <v>383</v>
      </c>
      <c r="AH124" s="35">
        <v>1412</v>
      </c>
      <c r="AI124" s="35"/>
      <c r="AJ124" s="35">
        <f t="shared" si="24"/>
        <v>389</v>
      </c>
      <c r="AK124" s="6">
        <v>215</v>
      </c>
      <c r="AL124" s="6">
        <v>1560</v>
      </c>
      <c r="AM124" s="35">
        <f t="shared" si="25"/>
        <v>363</v>
      </c>
      <c r="AN124" s="6"/>
      <c r="AO124" s="6"/>
      <c r="AP124" s="34"/>
      <c r="AQ124" s="35">
        <v>598</v>
      </c>
      <c r="AR124" s="35"/>
      <c r="AS124" s="35">
        <f t="shared" si="26"/>
        <v>383</v>
      </c>
      <c r="AT124" s="6">
        <v>981</v>
      </c>
      <c r="AU124" s="6"/>
      <c r="AV124" s="35">
        <f t="shared" si="27"/>
        <v>383</v>
      </c>
      <c r="AW124" s="6">
        <v>1360</v>
      </c>
      <c r="AX124" s="6"/>
      <c r="AY124" s="35">
        <f t="shared" si="28"/>
        <v>379</v>
      </c>
      <c r="AZ124" s="35">
        <v>186</v>
      </c>
      <c r="BA124" s="35">
        <v>1560</v>
      </c>
      <c r="BB124" s="35">
        <f t="shared" si="29"/>
        <v>386</v>
      </c>
      <c r="BC124" s="6">
        <v>570</v>
      </c>
      <c r="BD124" s="6"/>
      <c r="BE124" s="35">
        <f t="shared" si="30"/>
        <v>384</v>
      </c>
      <c r="BF124" s="6">
        <v>948</v>
      </c>
      <c r="BG124" s="6"/>
      <c r="BH124" s="6">
        <f t="shared" si="31"/>
        <v>378</v>
      </c>
      <c r="BI124" s="6"/>
      <c r="BJ124" s="6"/>
      <c r="BK124" s="6"/>
      <c r="BL124" s="6">
        <v>1344</v>
      </c>
      <c r="BM124" s="6"/>
      <c r="BN124" s="6">
        <f t="shared" si="32"/>
        <v>396</v>
      </c>
      <c r="BO124" s="6">
        <v>246</v>
      </c>
      <c r="BP124" s="6">
        <v>1458</v>
      </c>
      <c r="BQ124" s="35">
        <f t="shared" si="33"/>
        <v>360</v>
      </c>
      <c r="BR124" s="6">
        <v>641</v>
      </c>
      <c r="BS124" s="6"/>
      <c r="BT124" s="6">
        <f t="shared" si="34"/>
        <v>395</v>
      </c>
      <c r="BU124" s="6">
        <v>1033</v>
      </c>
      <c r="BV124" s="6"/>
      <c r="BW124" s="35">
        <f t="shared" si="35"/>
        <v>392</v>
      </c>
      <c r="BX124" s="6">
        <v>1430</v>
      </c>
      <c r="BY124" s="6"/>
      <c r="BZ124" s="6">
        <f t="shared" si="36"/>
        <v>397</v>
      </c>
      <c r="CA124" s="6">
        <v>0</v>
      </c>
      <c r="CB124" s="6">
        <v>1709</v>
      </c>
      <c r="CC124" s="6">
        <f t="shared" si="37"/>
        <v>279</v>
      </c>
      <c r="CD124" s="6"/>
      <c r="CE124" s="6"/>
      <c r="CF124" s="6"/>
      <c r="CG124" s="6">
        <v>227</v>
      </c>
      <c r="CH124" s="6"/>
      <c r="CI124" s="6">
        <f t="shared" si="38"/>
        <v>227</v>
      </c>
      <c r="CJ124" s="6">
        <v>491</v>
      </c>
      <c r="CK124" s="6"/>
      <c r="CL124" s="6">
        <f t="shared" si="39"/>
        <v>264</v>
      </c>
      <c r="CM124" s="6">
        <v>763</v>
      </c>
      <c r="CN124" s="6"/>
      <c r="CO124" s="6">
        <f t="shared" si="40"/>
        <v>272</v>
      </c>
      <c r="CP124" s="6">
        <v>1036</v>
      </c>
      <c r="CQ124" s="6"/>
      <c r="CR124" s="6">
        <f t="shared" si="41"/>
        <v>273</v>
      </c>
      <c r="CS124" s="6">
        <v>1305</v>
      </c>
      <c r="CT124" s="6"/>
      <c r="CU124" s="6">
        <f t="shared" si="42"/>
        <v>269</v>
      </c>
      <c r="CV124" s="6">
        <v>1448</v>
      </c>
      <c r="CW124" s="6"/>
      <c r="CX124" s="6">
        <f t="shared" si="43"/>
        <v>143</v>
      </c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</row>
    <row r="125" spans="1:117">
      <c r="A125" s="6">
        <v>121</v>
      </c>
      <c r="B125" s="6">
        <v>460</v>
      </c>
      <c r="C125" s="6"/>
      <c r="D125" s="6">
        <v>345</v>
      </c>
      <c r="E125" s="33" t="s">
        <v>37</v>
      </c>
      <c r="F125" s="33" t="s">
        <v>37</v>
      </c>
      <c r="G125" s="33" t="s">
        <v>37</v>
      </c>
      <c r="H125" s="33" t="s">
        <v>37</v>
      </c>
      <c r="I125" s="148" t="s">
        <v>37</v>
      </c>
      <c r="J125" s="33" t="s">
        <v>37</v>
      </c>
      <c r="K125" s="33" t="s">
        <v>37</v>
      </c>
      <c r="L125" s="33" t="s">
        <v>37</v>
      </c>
      <c r="M125" s="33" t="s">
        <v>37</v>
      </c>
      <c r="N125" s="33" t="s">
        <v>37</v>
      </c>
      <c r="O125" s="33" t="s">
        <v>37</v>
      </c>
      <c r="P125" s="33" t="s">
        <v>37</v>
      </c>
      <c r="Q125" s="33" t="s">
        <v>37</v>
      </c>
      <c r="R125" s="33" t="s">
        <v>37</v>
      </c>
      <c r="S125" s="33" t="s">
        <v>37</v>
      </c>
      <c r="T125" s="33" t="s">
        <v>37</v>
      </c>
      <c r="U125" s="33" t="s">
        <v>37</v>
      </c>
      <c r="V125" s="33" t="s">
        <v>37</v>
      </c>
      <c r="W125" s="33" t="s">
        <v>37</v>
      </c>
      <c r="X125" s="33" t="s">
        <v>37</v>
      </c>
      <c r="Y125" s="33" t="s">
        <v>37</v>
      </c>
      <c r="Z125" s="33" t="s">
        <v>37</v>
      </c>
      <c r="AA125" s="33" t="s">
        <v>37</v>
      </c>
      <c r="AB125" s="6">
        <v>870</v>
      </c>
      <c r="AC125" s="6"/>
      <c r="AD125" s="35">
        <f t="shared" si="22"/>
        <v>410</v>
      </c>
      <c r="AE125" s="6">
        <v>1248</v>
      </c>
      <c r="AF125" s="6"/>
      <c r="AG125" s="35">
        <f t="shared" si="23"/>
        <v>378</v>
      </c>
      <c r="AH125" s="35">
        <v>0</v>
      </c>
      <c r="AI125" s="35">
        <v>1614</v>
      </c>
      <c r="AJ125" s="35">
        <f t="shared" si="24"/>
        <v>366</v>
      </c>
      <c r="AK125" s="6">
        <v>327</v>
      </c>
      <c r="AL125" s="6"/>
      <c r="AM125" s="35">
        <f t="shared" si="25"/>
        <v>327</v>
      </c>
      <c r="AN125" s="6"/>
      <c r="AO125" s="6"/>
      <c r="AP125" s="34"/>
      <c r="AQ125" s="35">
        <v>708</v>
      </c>
      <c r="AR125" s="35"/>
      <c r="AS125" s="35">
        <f t="shared" si="26"/>
        <v>381</v>
      </c>
      <c r="AT125" s="6">
        <v>1083</v>
      </c>
      <c r="AU125" s="6"/>
      <c r="AV125" s="35">
        <f t="shared" si="27"/>
        <v>375</v>
      </c>
      <c r="AW125" s="6">
        <v>1457</v>
      </c>
      <c r="AX125" s="6"/>
      <c r="AY125" s="35">
        <f t="shared" si="28"/>
        <v>374</v>
      </c>
      <c r="AZ125" s="35">
        <v>290</v>
      </c>
      <c r="BA125" s="35">
        <v>1560</v>
      </c>
      <c r="BB125" s="35">
        <f t="shared" si="29"/>
        <v>393</v>
      </c>
      <c r="BC125" s="6">
        <v>685</v>
      </c>
      <c r="BD125" s="6"/>
      <c r="BE125" s="35">
        <f t="shared" si="30"/>
        <v>395</v>
      </c>
      <c r="BF125" s="6">
        <v>1057</v>
      </c>
      <c r="BG125" s="6"/>
      <c r="BH125" s="6">
        <f t="shared" si="31"/>
        <v>372</v>
      </c>
      <c r="BI125" s="6"/>
      <c r="BJ125" s="6"/>
      <c r="BK125" s="6"/>
      <c r="BL125" s="6">
        <v>1435</v>
      </c>
      <c r="BM125" s="6"/>
      <c r="BN125" s="6">
        <f t="shared" si="32"/>
        <v>378</v>
      </c>
      <c r="BO125" s="6">
        <v>273</v>
      </c>
      <c r="BP125" s="6">
        <v>1548</v>
      </c>
      <c r="BQ125" s="35">
        <f t="shared" si="33"/>
        <v>386</v>
      </c>
      <c r="BR125" s="6">
        <v>665</v>
      </c>
      <c r="BS125" s="6"/>
      <c r="BT125" s="6">
        <f t="shared" si="34"/>
        <v>392</v>
      </c>
      <c r="BU125" s="6">
        <v>1047</v>
      </c>
      <c r="BV125" s="6"/>
      <c r="BW125" s="35">
        <f t="shared" si="35"/>
        <v>382</v>
      </c>
      <c r="BX125" s="6">
        <v>1433</v>
      </c>
      <c r="BY125" s="6"/>
      <c r="BZ125" s="6">
        <f t="shared" si="36"/>
        <v>386</v>
      </c>
      <c r="CA125" s="6">
        <v>245</v>
      </c>
      <c r="CB125" s="6">
        <v>1560</v>
      </c>
      <c r="CC125" s="6">
        <f t="shared" si="37"/>
        <v>372</v>
      </c>
      <c r="CD125" s="6"/>
      <c r="CE125" s="6"/>
      <c r="CF125" s="6"/>
      <c r="CG125" s="6">
        <v>629</v>
      </c>
      <c r="CH125" s="6"/>
      <c r="CI125" s="6">
        <f t="shared" si="38"/>
        <v>384</v>
      </c>
      <c r="CJ125" s="6">
        <v>1022</v>
      </c>
      <c r="CK125" s="6"/>
      <c r="CL125" s="6">
        <f t="shared" si="39"/>
        <v>393</v>
      </c>
      <c r="CM125" s="6">
        <v>1407</v>
      </c>
      <c r="CN125" s="6"/>
      <c r="CO125" s="6">
        <f t="shared" si="40"/>
        <v>385</v>
      </c>
      <c r="CP125" s="6">
        <v>223</v>
      </c>
      <c r="CQ125" s="6">
        <v>1560</v>
      </c>
      <c r="CR125" s="6">
        <f t="shared" si="41"/>
        <v>376</v>
      </c>
      <c r="CS125" s="6">
        <v>608</v>
      </c>
      <c r="CT125" s="6"/>
      <c r="CU125" s="6">
        <f t="shared" si="42"/>
        <v>385</v>
      </c>
      <c r="CV125" s="6">
        <v>811</v>
      </c>
      <c r="CW125" s="6"/>
      <c r="CX125" s="6">
        <f t="shared" si="43"/>
        <v>203</v>
      </c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</row>
    <row r="126" spans="1:117">
      <c r="A126" s="6">
        <v>122</v>
      </c>
      <c r="B126" s="6">
        <v>1271</v>
      </c>
      <c r="C126" s="6"/>
      <c r="D126" s="6">
        <v>340</v>
      </c>
      <c r="E126" s="33" t="s">
        <v>37</v>
      </c>
      <c r="F126" s="33" t="s">
        <v>37</v>
      </c>
      <c r="G126" s="33" t="s">
        <v>37</v>
      </c>
      <c r="H126" s="33" t="s">
        <v>37</v>
      </c>
      <c r="I126" s="33" t="s">
        <v>37</v>
      </c>
      <c r="J126" s="33" t="s">
        <v>37</v>
      </c>
      <c r="K126" s="33" t="s">
        <v>37</v>
      </c>
      <c r="L126" s="33" t="s">
        <v>37</v>
      </c>
      <c r="M126" s="33" t="s">
        <v>37</v>
      </c>
      <c r="N126" s="33" t="s">
        <v>37</v>
      </c>
      <c r="O126" s="33" t="s">
        <v>37</v>
      </c>
      <c r="P126" s="33" t="s">
        <v>37</v>
      </c>
      <c r="Q126" s="33" t="s">
        <v>37</v>
      </c>
      <c r="R126" s="33" t="s">
        <v>37</v>
      </c>
      <c r="S126" s="33" t="s">
        <v>37</v>
      </c>
      <c r="T126" s="148" t="s">
        <v>37</v>
      </c>
      <c r="U126" s="33" t="s">
        <v>37</v>
      </c>
      <c r="V126" s="33" t="s">
        <v>37</v>
      </c>
      <c r="W126" s="33" t="s">
        <v>37</v>
      </c>
      <c r="X126" s="33" t="s">
        <v>37</v>
      </c>
      <c r="Y126" s="33" t="s">
        <v>37</v>
      </c>
      <c r="Z126" s="33" t="s">
        <v>37</v>
      </c>
      <c r="AA126" s="33" t="s">
        <v>37</v>
      </c>
      <c r="AB126" s="6">
        <v>103</v>
      </c>
      <c r="AC126" s="6">
        <v>1560</v>
      </c>
      <c r="AD126" s="35">
        <f t="shared" si="22"/>
        <v>392</v>
      </c>
      <c r="AE126" s="6">
        <v>474</v>
      </c>
      <c r="AF126" s="6"/>
      <c r="AG126" s="35">
        <f t="shared" si="23"/>
        <v>371</v>
      </c>
      <c r="AH126" s="35">
        <v>851</v>
      </c>
      <c r="AI126" s="35"/>
      <c r="AJ126" s="35">
        <f t="shared" si="24"/>
        <v>377</v>
      </c>
      <c r="AK126" s="6">
        <v>1199</v>
      </c>
      <c r="AL126" s="6"/>
      <c r="AM126" s="35">
        <f t="shared" si="25"/>
        <v>348</v>
      </c>
      <c r="AN126" s="6"/>
      <c r="AO126" s="6"/>
      <c r="AP126" s="34"/>
      <c r="AQ126" s="35">
        <v>14</v>
      </c>
      <c r="AR126" s="35">
        <v>1560</v>
      </c>
      <c r="AS126" s="35">
        <f t="shared" si="26"/>
        <v>375</v>
      </c>
      <c r="AT126" s="6">
        <v>384</v>
      </c>
      <c r="AU126" s="6"/>
      <c r="AV126" s="35">
        <f t="shared" si="27"/>
        <v>370</v>
      </c>
      <c r="AW126" s="6">
        <v>727</v>
      </c>
      <c r="AX126" s="6"/>
      <c r="AY126" s="35">
        <f t="shared" si="28"/>
        <v>343</v>
      </c>
      <c r="AZ126" s="35">
        <v>1117</v>
      </c>
      <c r="BA126" s="35"/>
      <c r="BB126" s="35">
        <f t="shared" si="29"/>
        <v>390</v>
      </c>
      <c r="BC126" s="6">
        <v>291</v>
      </c>
      <c r="BD126" s="6">
        <v>1201</v>
      </c>
      <c r="BE126" s="35">
        <f t="shared" si="30"/>
        <v>375</v>
      </c>
      <c r="BF126" s="6">
        <v>649</v>
      </c>
      <c r="BG126" s="6"/>
      <c r="BH126" s="6">
        <f t="shared" si="31"/>
        <v>358</v>
      </c>
      <c r="BI126" s="6"/>
      <c r="BJ126" s="6"/>
      <c r="BK126" s="6"/>
      <c r="BL126" s="6">
        <v>1038</v>
      </c>
      <c r="BM126" s="6"/>
      <c r="BN126" s="6">
        <f t="shared" si="32"/>
        <v>389</v>
      </c>
      <c r="BO126" s="6">
        <v>338</v>
      </c>
      <c r="BP126" s="6">
        <v>1083</v>
      </c>
      <c r="BQ126" s="35">
        <f t="shared" si="33"/>
        <v>383</v>
      </c>
      <c r="BR126" s="6">
        <v>727</v>
      </c>
      <c r="BS126" s="6"/>
      <c r="BT126" s="6">
        <f t="shared" si="34"/>
        <v>389</v>
      </c>
      <c r="BU126" s="6">
        <v>0</v>
      </c>
      <c r="BV126" s="6">
        <v>925</v>
      </c>
      <c r="BW126" s="35">
        <f t="shared" si="35"/>
        <v>198</v>
      </c>
      <c r="BX126" s="6">
        <v>354</v>
      </c>
      <c r="BY126" s="6"/>
      <c r="BZ126" s="6">
        <f t="shared" si="36"/>
        <v>354</v>
      </c>
      <c r="CA126" s="6">
        <v>735</v>
      </c>
      <c r="CB126" s="6"/>
      <c r="CC126" s="6">
        <f t="shared" si="37"/>
        <v>381</v>
      </c>
      <c r="CD126" s="6"/>
      <c r="CE126" s="6"/>
      <c r="CF126" s="6"/>
      <c r="CG126" s="6">
        <v>1138</v>
      </c>
      <c r="CH126" s="6"/>
      <c r="CI126" s="6">
        <f t="shared" si="38"/>
        <v>403</v>
      </c>
      <c r="CJ126" s="6">
        <v>1526</v>
      </c>
      <c r="CK126" s="6"/>
      <c r="CL126" s="6">
        <f t="shared" si="39"/>
        <v>388</v>
      </c>
      <c r="CM126" s="6">
        <v>354</v>
      </c>
      <c r="CN126" s="6">
        <v>1560</v>
      </c>
      <c r="CO126" s="6">
        <f t="shared" si="40"/>
        <v>388</v>
      </c>
      <c r="CP126" s="6">
        <v>727</v>
      </c>
      <c r="CQ126" s="6"/>
      <c r="CR126" s="6">
        <f t="shared" si="41"/>
        <v>373</v>
      </c>
      <c r="CS126" s="6">
        <v>1127</v>
      </c>
      <c r="CT126" s="6"/>
      <c r="CU126" s="6">
        <f t="shared" si="42"/>
        <v>400</v>
      </c>
      <c r="CV126" s="6">
        <v>1329</v>
      </c>
      <c r="CW126" s="6"/>
      <c r="CX126" s="6">
        <f t="shared" si="43"/>
        <v>202</v>
      </c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</row>
    <row r="127" spans="1:117">
      <c r="A127" s="6">
        <v>123</v>
      </c>
      <c r="B127" s="6">
        <v>70</v>
      </c>
      <c r="C127" s="6">
        <v>329</v>
      </c>
      <c r="D127" s="6">
        <v>326</v>
      </c>
      <c r="E127" s="33" t="s">
        <v>37</v>
      </c>
      <c r="F127" s="33" t="s">
        <v>37</v>
      </c>
      <c r="G127" s="33" t="s">
        <v>37</v>
      </c>
      <c r="H127" s="33" t="s">
        <v>37</v>
      </c>
      <c r="I127" s="33" t="s">
        <v>37</v>
      </c>
      <c r="J127" s="33" t="s">
        <v>37</v>
      </c>
      <c r="K127" s="33" t="s">
        <v>37</v>
      </c>
      <c r="L127" s="33" t="s">
        <v>37</v>
      </c>
      <c r="M127" s="148" t="s">
        <v>37</v>
      </c>
      <c r="N127" s="33" t="s">
        <v>37</v>
      </c>
      <c r="O127" s="33" t="s">
        <v>37</v>
      </c>
      <c r="P127" s="33" t="s">
        <v>37</v>
      </c>
      <c r="Q127" s="33" t="s">
        <v>37</v>
      </c>
      <c r="R127" s="33" t="s">
        <v>37</v>
      </c>
      <c r="S127" s="33" t="s">
        <v>37</v>
      </c>
      <c r="T127" s="33" t="s">
        <v>37</v>
      </c>
      <c r="U127" s="33" t="s">
        <v>37</v>
      </c>
      <c r="V127" s="33" t="s">
        <v>37</v>
      </c>
      <c r="W127" s="33" t="s">
        <v>37</v>
      </c>
      <c r="X127" s="33" t="s">
        <v>37</v>
      </c>
      <c r="Y127" s="33" t="s">
        <v>37</v>
      </c>
      <c r="Z127" s="33" t="s">
        <v>37</v>
      </c>
      <c r="AA127" s="33" t="s">
        <v>37</v>
      </c>
      <c r="AB127" s="6">
        <v>417</v>
      </c>
      <c r="AC127" s="6"/>
      <c r="AD127" s="35">
        <f t="shared" si="22"/>
        <v>347</v>
      </c>
      <c r="AE127" s="6">
        <v>326</v>
      </c>
      <c r="AF127" s="6">
        <v>441</v>
      </c>
      <c r="AG127" s="35">
        <f t="shared" si="23"/>
        <v>350</v>
      </c>
      <c r="AH127" s="35">
        <v>676</v>
      </c>
      <c r="AI127" s="35"/>
      <c r="AJ127" s="35">
        <f t="shared" si="24"/>
        <v>350</v>
      </c>
      <c r="AK127" s="6">
        <v>190</v>
      </c>
      <c r="AL127" s="6">
        <v>814</v>
      </c>
      <c r="AM127" s="35">
        <f t="shared" si="25"/>
        <v>328</v>
      </c>
      <c r="AN127" s="6"/>
      <c r="AO127" s="6"/>
      <c r="AP127" s="34"/>
      <c r="AQ127" s="35">
        <v>547</v>
      </c>
      <c r="AR127" s="35"/>
      <c r="AS127" s="35">
        <f t="shared" si="26"/>
        <v>357</v>
      </c>
      <c r="AT127" s="6">
        <v>900</v>
      </c>
      <c r="AU127" s="6"/>
      <c r="AV127" s="35">
        <f t="shared" si="27"/>
        <v>353</v>
      </c>
      <c r="AW127" s="6">
        <v>0</v>
      </c>
      <c r="AX127" s="6">
        <v>1251</v>
      </c>
      <c r="AY127" s="35">
        <f t="shared" si="28"/>
        <v>351</v>
      </c>
      <c r="AZ127" s="35">
        <v>295</v>
      </c>
      <c r="BA127" s="35"/>
      <c r="BB127" s="35">
        <f t="shared" si="29"/>
        <v>295</v>
      </c>
      <c r="BC127" s="6">
        <v>654</v>
      </c>
      <c r="BD127" s="6"/>
      <c r="BE127" s="35">
        <f t="shared" si="30"/>
        <v>359</v>
      </c>
      <c r="BF127" s="6">
        <v>1000</v>
      </c>
      <c r="BG127" s="6"/>
      <c r="BH127" s="6">
        <f t="shared" si="31"/>
        <v>346</v>
      </c>
      <c r="BI127" s="6"/>
      <c r="BJ127" s="6"/>
      <c r="BK127" s="6"/>
      <c r="BL127" s="6">
        <v>1363</v>
      </c>
      <c r="BM127" s="6"/>
      <c r="BN127" s="6">
        <f t="shared" si="32"/>
        <v>363</v>
      </c>
      <c r="BO127" s="6">
        <v>251</v>
      </c>
      <c r="BP127" s="6">
        <v>1463</v>
      </c>
      <c r="BQ127" s="35">
        <f t="shared" si="33"/>
        <v>351</v>
      </c>
      <c r="BR127" s="6">
        <v>608</v>
      </c>
      <c r="BS127" s="6"/>
      <c r="BT127" s="6">
        <f t="shared" si="34"/>
        <v>357</v>
      </c>
      <c r="BU127" s="6">
        <v>964</v>
      </c>
      <c r="BV127" s="6"/>
      <c r="BW127" s="35">
        <f t="shared" si="35"/>
        <v>356</v>
      </c>
      <c r="BX127" s="6">
        <v>267</v>
      </c>
      <c r="BY127" s="6">
        <v>1059</v>
      </c>
      <c r="BZ127" s="6">
        <f t="shared" si="36"/>
        <v>362</v>
      </c>
      <c r="CA127" s="6">
        <v>616</v>
      </c>
      <c r="CB127" s="6"/>
      <c r="CC127" s="6">
        <f t="shared" si="37"/>
        <v>349</v>
      </c>
      <c r="CD127" s="6"/>
      <c r="CE127" s="6"/>
      <c r="CF127" s="6"/>
      <c r="CG127" s="6">
        <v>990</v>
      </c>
      <c r="CH127" s="6"/>
      <c r="CI127" s="6">
        <f t="shared" si="38"/>
        <v>374</v>
      </c>
      <c r="CJ127" s="6">
        <v>1362</v>
      </c>
      <c r="CK127" s="6"/>
      <c r="CL127" s="6">
        <f t="shared" si="39"/>
        <v>372</v>
      </c>
      <c r="CM127" s="6">
        <v>167</v>
      </c>
      <c r="CN127" s="6">
        <v>1570</v>
      </c>
      <c r="CO127" s="6">
        <f t="shared" si="40"/>
        <v>375</v>
      </c>
      <c r="CP127" s="6">
        <v>543</v>
      </c>
      <c r="CQ127" s="6"/>
      <c r="CR127" s="6">
        <f t="shared" si="41"/>
        <v>376</v>
      </c>
      <c r="CS127" s="6">
        <v>918</v>
      </c>
      <c r="CT127" s="6"/>
      <c r="CU127" s="6">
        <f t="shared" si="42"/>
        <v>375</v>
      </c>
      <c r="CV127" s="6">
        <v>1117</v>
      </c>
      <c r="CW127" s="6"/>
      <c r="CX127" s="6">
        <f t="shared" si="43"/>
        <v>199</v>
      </c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</row>
    <row r="128" spans="1:117">
      <c r="A128" s="6">
        <v>124</v>
      </c>
      <c r="B128" s="6">
        <v>990</v>
      </c>
      <c r="C128" s="6"/>
      <c r="D128" s="6">
        <v>357</v>
      </c>
      <c r="E128" s="33" t="s">
        <v>128</v>
      </c>
      <c r="F128" s="33" t="s">
        <v>128</v>
      </c>
      <c r="G128" s="33" t="s">
        <v>128</v>
      </c>
      <c r="H128" s="33" t="s">
        <v>128</v>
      </c>
      <c r="I128" s="33" t="s">
        <v>128</v>
      </c>
      <c r="J128" s="33" t="s">
        <v>128</v>
      </c>
      <c r="K128" s="33" t="s">
        <v>128</v>
      </c>
      <c r="L128" s="33" t="s">
        <v>128</v>
      </c>
      <c r="M128" s="33" t="s">
        <v>128</v>
      </c>
      <c r="N128" s="33" t="s">
        <v>128</v>
      </c>
      <c r="O128" s="33" t="s">
        <v>128</v>
      </c>
      <c r="P128" s="33" t="s">
        <v>128</v>
      </c>
      <c r="Q128" s="33" t="s">
        <v>128</v>
      </c>
      <c r="R128" s="33" t="s">
        <v>128</v>
      </c>
      <c r="S128" s="33" t="s">
        <v>128</v>
      </c>
      <c r="T128" s="148" t="s">
        <v>307</v>
      </c>
      <c r="U128" s="33" t="s">
        <v>307</v>
      </c>
      <c r="V128" s="33" t="s">
        <v>307</v>
      </c>
      <c r="W128" s="33" t="s">
        <v>307</v>
      </c>
      <c r="X128" s="33" t="s">
        <v>307</v>
      </c>
      <c r="Y128" s="33" t="s">
        <v>307</v>
      </c>
      <c r="Z128" s="33" t="s">
        <v>307</v>
      </c>
      <c r="AA128" s="33" t="s">
        <v>307</v>
      </c>
      <c r="AB128" s="6">
        <v>1403</v>
      </c>
      <c r="AC128" s="6"/>
      <c r="AD128" s="35">
        <f t="shared" si="22"/>
        <v>413</v>
      </c>
      <c r="AE128" s="6">
        <v>227</v>
      </c>
      <c r="AF128" s="6">
        <v>1560</v>
      </c>
      <c r="AG128" s="35">
        <f t="shared" si="23"/>
        <v>384</v>
      </c>
      <c r="AH128" s="35">
        <v>611</v>
      </c>
      <c r="AI128" s="35"/>
      <c r="AJ128" s="35">
        <f t="shared" si="24"/>
        <v>384</v>
      </c>
      <c r="AK128" s="6">
        <v>971</v>
      </c>
      <c r="AL128" s="6"/>
      <c r="AM128" s="35">
        <f t="shared" si="25"/>
        <v>360</v>
      </c>
      <c r="AN128" s="6"/>
      <c r="AO128" s="6"/>
      <c r="AP128" s="34"/>
      <c r="AQ128" s="35">
        <v>1359</v>
      </c>
      <c r="AR128" s="35"/>
      <c r="AS128" s="35">
        <f t="shared" si="26"/>
        <v>388</v>
      </c>
      <c r="AT128" s="6">
        <v>179</v>
      </c>
      <c r="AU128" s="6">
        <v>1560</v>
      </c>
      <c r="AV128" s="35">
        <f t="shared" si="27"/>
        <v>380</v>
      </c>
      <c r="AW128" s="6">
        <v>561</v>
      </c>
      <c r="AX128" s="6"/>
      <c r="AY128" s="35">
        <f t="shared" si="28"/>
        <v>382</v>
      </c>
      <c r="AZ128" s="35">
        <v>937</v>
      </c>
      <c r="BA128" s="35"/>
      <c r="BB128" s="35">
        <f t="shared" si="29"/>
        <v>376</v>
      </c>
      <c r="BC128" s="6">
        <v>224</v>
      </c>
      <c r="BD128" s="6">
        <v>1081</v>
      </c>
      <c r="BE128" s="35">
        <f t="shared" si="30"/>
        <v>368</v>
      </c>
      <c r="BF128" s="6">
        <v>570</v>
      </c>
      <c r="BG128" s="6"/>
      <c r="BH128" s="6">
        <f t="shared" si="31"/>
        <v>346</v>
      </c>
      <c r="BI128" s="6"/>
      <c r="BJ128" s="6"/>
      <c r="BK128" s="6"/>
      <c r="BL128" s="6">
        <v>6</v>
      </c>
      <c r="BM128" s="6">
        <v>944</v>
      </c>
      <c r="BN128" s="6">
        <f t="shared" si="32"/>
        <v>380</v>
      </c>
      <c r="BO128" s="6">
        <v>382</v>
      </c>
      <c r="BP128" s="6"/>
      <c r="BQ128" s="35">
        <f t="shared" si="33"/>
        <v>376</v>
      </c>
      <c r="BR128" s="6">
        <v>769</v>
      </c>
      <c r="BS128" s="6"/>
      <c r="BT128" s="6">
        <f t="shared" si="34"/>
        <v>387</v>
      </c>
      <c r="BU128" s="6">
        <v>1149</v>
      </c>
      <c r="BV128" s="6"/>
      <c r="BW128" s="35">
        <f t="shared" si="35"/>
        <v>380</v>
      </c>
      <c r="BX128" s="6">
        <v>335</v>
      </c>
      <c r="BY128" s="6">
        <v>1165</v>
      </c>
      <c r="BZ128" s="6">
        <f t="shared" si="36"/>
        <v>351</v>
      </c>
      <c r="CA128" s="6">
        <v>706</v>
      </c>
      <c r="CB128" s="6"/>
      <c r="CC128" s="6">
        <f t="shared" si="37"/>
        <v>371</v>
      </c>
      <c r="CD128" s="6"/>
      <c r="CE128" s="6"/>
      <c r="CF128" s="6"/>
      <c r="CG128" s="6">
        <v>1100</v>
      </c>
      <c r="CH128" s="6"/>
      <c r="CI128" s="6">
        <f t="shared" si="38"/>
        <v>394</v>
      </c>
      <c r="CJ128" s="6">
        <v>1493</v>
      </c>
      <c r="CK128" s="6"/>
      <c r="CL128" s="6">
        <f t="shared" si="39"/>
        <v>393</v>
      </c>
      <c r="CM128" s="6">
        <v>318</v>
      </c>
      <c r="CN128" s="6">
        <v>1560</v>
      </c>
      <c r="CO128" s="6">
        <f t="shared" si="40"/>
        <v>385</v>
      </c>
      <c r="CP128" s="6">
        <v>708</v>
      </c>
      <c r="CQ128" s="6"/>
      <c r="CR128" s="6">
        <f t="shared" si="41"/>
        <v>390</v>
      </c>
      <c r="CS128" s="6">
        <v>1102</v>
      </c>
      <c r="CT128" s="6"/>
      <c r="CU128" s="6">
        <f t="shared" si="42"/>
        <v>394</v>
      </c>
      <c r="CV128" s="6">
        <v>1310</v>
      </c>
      <c r="CW128" s="6"/>
      <c r="CX128" s="6">
        <f t="shared" si="43"/>
        <v>208</v>
      </c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</row>
    <row r="129" spans="1:117">
      <c r="A129" s="6">
        <v>125</v>
      </c>
      <c r="B129" s="6">
        <v>1087</v>
      </c>
      <c r="C129" s="6"/>
      <c r="D129" s="6">
        <v>361</v>
      </c>
      <c r="E129" s="33" t="s">
        <v>128</v>
      </c>
      <c r="F129" s="33" t="s">
        <v>128</v>
      </c>
      <c r="G129" s="33" t="s">
        <v>128</v>
      </c>
      <c r="H129" s="33" t="s">
        <v>128</v>
      </c>
      <c r="I129" s="33" t="s">
        <v>128</v>
      </c>
      <c r="J129" s="33" t="s">
        <v>128</v>
      </c>
      <c r="K129" s="33" t="s">
        <v>128</v>
      </c>
      <c r="L129" s="33" t="s">
        <v>128</v>
      </c>
      <c r="M129" s="33" t="s">
        <v>128</v>
      </c>
      <c r="N129" s="33" t="s">
        <v>128</v>
      </c>
      <c r="O129" s="33" t="s">
        <v>128</v>
      </c>
      <c r="P129" s="33" t="s">
        <v>128</v>
      </c>
      <c r="Q129" s="33" t="s">
        <v>128</v>
      </c>
      <c r="R129" s="33" t="s">
        <v>128</v>
      </c>
      <c r="S129" s="33" t="s">
        <v>128</v>
      </c>
      <c r="T129" s="148" t="s">
        <v>307</v>
      </c>
      <c r="U129" s="33" t="s">
        <v>307</v>
      </c>
      <c r="V129" s="33" t="s">
        <v>307</v>
      </c>
      <c r="W129" s="33" t="s">
        <v>307</v>
      </c>
      <c r="X129" s="33" t="s">
        <v>307</v>
      </c>
      <c r="Y129" s="33" t="s">
        <v>307</v>
      </c>
      <c r="Z129" s="33" t="s">
        <v>307</v>
      </c>
      <c r="AA129" s="33" t="s">
        <v>307</v>
      </c>
      <c r="AB129" s="6">
        <v>1504</v>
      </c>
      <c r="AC129" s="6"/>
      <c r="AD129" s="35">
        <f t="shared" si="22"/>
        <v>417</v>
      </c>
      <c r="AE129" s="6">
        <v>335</v>
      </c>
      <c r="AF129" s="6">
        <v>1560</v>
      </c>
      <c r="AG129" s="35">
        <f t="shared" si="23"/>
        <v>391</v>
      </c>
      <c r="AH129" s="35">
        <v>729</v>
      </c>
      <c r="AI129" s="35"/>
      <c r="AJ129" s="35">
        <f t="shared" si="24"/>
        <v>394</v>
      </c>
      <c r="AK129" s="6">
        <v>1095</v>
      </c>
      <c r="AL129" s="6"/>
      <c r="AM129" s="35">
        <f t="shared" si="25"/>
        <v>366</v>
      </c>
      <c r="AN129" s="6"/>
      <c r="AO129" s="6"/>
      <c r="AP129" s="34"/>
      <c r="AQ129" s="35">
        <v>1487</v>
      </c>
      <c r="AR129" s="35"/>
      <c r="AS129" s="35">
        <f t="shared" si="26"/>
        <v>392</v>
      </c>
      <c r="AT129" s="6">
        <v>311</v>
      </c>
      <c r="AU129" s="6">
        <v>1565</v>
      </c>
      <c r="AV129" s="35">
        <f t="shared" si="27"/>
        <v>389</v>
      </c>
      <c r="AW129" s="6">
        <v>700</v>
      </c>
      <c r="AX129" s="6"/>
      <c r="AY129" s="35">
        <f t="shared" si="28"/>
        <v>389</v>
      </c>
      <c r="AZ129" s="6">
        <v>1088</v>
      </c>
      <c r="BA129" s="6"/>
      <c r="BB129" s="35">
        <f t="shared" si="29"/>
        <v>388</v>
      </c>
      <c r="BC129" s="6">
        <v>1480</v>
      </c>
      <c r="BD129" s="6"/>
      <c r="BE129" s="35">
        <f t="shared" si="30"/>
        <v>392</v>
      </c>
      <c r="BF129" s="6">
        <v>295</v>
      </c>
      <c r="BG129" s="6">
        <v>1560</v>
      </c>
      <c r="BH129" s="6">
        <f t="shared" si="31"/>
        <v>375</v>
      </c>
      <c r="BI129" s="6"/>
      <c r="BJ129" s="35"/>
      <c r="BK129" s="6"/>
      <c r="BL129" s="6">
        <v>695</v>
      </c>
      <c r="BM129" s="6"/>
      <c r="BN129" s="6">
        <f t="shared" si="32"/>
        <v>400</v>
      </c>
      <c r="BO129" s="6">
        <v>1082</v>
      </c>
      <c r="BP129" s="6"/>
      <c r="BQ129" s="35">
        <f t="shared" si="33"/>
        <v>387</v>
      </c>
      <c r="BR129" s="6">
        <v>1476</v>
      </c>
      <c r="BS129" s="6"/>
      <c r="BT129" s="6">
        <f t="shared" si="34"/>
        <v>394</v>
      </c>
      <c r="BU129" s="6">
        <v>0</v>
      </c>
      <c r="BV129" s="6">
        <v>1630</v>
      </c>
      <c r="BW129" s="35">
        <f t="shared" si="35"/>
        <v>154</v>
      </c>
      <c r="BX129" s="6">
        <v>361</v>
      </c>
      <c r="BY129" s="35"/>
      <c r="BZ129" s="6">
        <f t="shared" si="36"/>
        <v>361</v>
      </c>
      <c r="CA129" s="6">
        <v>741</v>
      </c>
      <c r="CB129" s="6"/>
      <c r="CC129" s="6">
        <f t="shared" si="37"/>
        <v>380</v>
      </c>
      <c r="CD129" s="6"/>
      <c r="CE129" s="35"/>
      <c r="CF129" s="6"/>
      <c r="CG129" s="6">
        <v>158</v>
      </c>
      <c r="CH129" s="6">
        <v>944</v>
      </c>
      <c r="CI129" s="6">
        <f t="shared" si="38"/>
        <v>361</v>
      </c>
      <c r="CJ129" s="6">
        <v>555</v>
      </c>
      <c r="CK129" s="6"/>
      <c r="CL129" s="6">
        <f t="shared" si="39"/>
        <v>397</v>
      </c>
      <c r="CM129" s="6">
        <v>955</v>
      </c>
      <c r="CN129" s="6"/>
      <c r="CO129" s="6">
        <f t="shared" si="40"/>
        <v>400</v>
      </c>
      <c r="CP129" s="6">
        <v>1351</v>
      </c>
      <c r="CQ129" s="6"/>
      <c r="CR129" s="6">
        <f t="shared" si="41"/>
        <v>396</v>
      </c>
      <c r="CS129" s="6">
        <v>197</v>
      </c>
      <c r="CT129" s="6">
        <v>1560</v>
      </c>
      <c r="CU129" s="6">
        <f t="shared" si="42"/>
        <v>406</v>
      </c>
      <c r="CV129" s="6">
        <v>406</v>
      </c>
      <c r="CW129" s="6"/>
      <c r="CX129" s="6">
        <f t="shared" si="43"/>
        <v>209</v>
      </c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</row>
    <row r="130" spans="1:117">
      <c r="A130" s="6">
        <v>126</v>
      </c>
      <c r="B130" s="6">
        <v>1060</v>
      </c>
      <c r="C130" s="6"/>
      <c r="D130" s="6">
        <v>355</v>
      </c>
      <c r="E130" s="33" t="s">
        <v>128</v>
      </c>
      <c r="F130" s="33" t="s">
        <v>128</v>
      </c>
      <c r="G130" s="33" t="s">
        <v>128</v>
      </c>
      <c r="H130" s="33" t="s">
        <v>128</v>
      </c>
      <c r="I130" s="33" t="s">
        <v>128</v>
      </c>
      <c r="J130" s="33" t="s">
        <v>128</v>
      </c>
      <c r="K130" s="33" t="s">
        <v>128</v>
      </c>
      <c r="L130" s="33" t="s">
        <v>128</v>
      </c>
      <c r="M130" s="33" t="s">
        <v>128</v>
      </c>
      <c r="N130" s="33" t="s">
        <v>128</v>
      </c>
      <c r="O130" s="33" t="s">
        <v>128</v>
      </c>
      <c r="P130" s="33" t="s">
        <v>128</v>
      </c>
      <c r="Q130" s="33" t="s">
        <v>128</v>
      </c>
      <c r="R130" s="33" t="s">
        <v>128</v>
      </c>
      <c r="S130" s="33" t="s">
        <v>128</v>
      </c>
      <c r="T130" s="33" t="s">
        <v>128</v>
      </c>
      <c r="U130" s="33" t="s">
        <v>128</v>
      </c>
      <c r="V130" s="33" t="s">
        <v>128</v>
      </c>
      <c r="W130" s="33" t="s">
        <v>128</v>
      </c>
      <c r="X130" s="148" t="s">
        <v>307</v>
      </c>
      <c r="Y130" s="33" t="s">
        <v>307</v>
      </c>
      <c r="Z130" s="33" t="s">
        <v>307</v>
      </c>
      <c r="AA130" s="33" t="s">
        <v>307</v>
      </c>
      <c r="AB130" s="35">
        <v>1472</v>
      </c>
      <c r="AC130" s="35"/>
      <c r="AD130" s="35">
        <f t="shared" si="22"/>
        <v>412</v>
      </c>
      <c r="AE130" s="35">
        <v>293</v>
      </c>
      <c r="AF130" s="35">
        <v>1560</v>
      </c>
      <c r="AG130" s="35">
        <f t="shared" si="23"/>
        <v>381</v>
      </c>
      <c r="AH130" s="35">
        <v>683</v>
      </c>
      <c r="AI130" s="35"/>
      <c r="AJ130" s="35">
        <f t="shared" si="24"/>
        <v>390</v>
      </c>
      <c r="AK130" s="35">
        <v>1015</v>
      </c>
      <c r="AL130" s="35"/>
      <c r="AM130" s="35">
        <f t="shared" si="25"/>
        <v>332</v>
      </c>
      <c r="AN130" s="35"/>
      <c r="AO130" s="35"/>
      <c r="AP130" s="34"/>
      <c r="AQ130" s="35">
        <v>1399</v>
      </c>
      <c r="AR130" s="35"/>
      <c r="AS130" s="35">
        <f t="shared" si="26"/>
        <v>384</v>
      </c>
      <c r="AT130" s="6">
        <v>222</v>
      </c>
      <c r="AU130" s="6">
        <v>1560</v>
      </c>
      <c r="AV130" s="35">
        <f t="shared" si="27"/>
        <v>383</v>
      </c>
      <c r="AW130" s="35">
        <v>611</v>
      </c>
      <c r="AX130" s="35"/>
      <c r="AY130" s="35">
        <f t="shared" si="28"/>
        <v>389</v>
      </c>
      <c r="AZ130" s="35">
        <v>995</v>
      </c>
      <c r="BA130" s="35"/>
      <c r="BB130" s="35">
        <f t="shared" si="29"/>
        <v>384</v>
      </c>
      <c r="BC130" s="35">
        <v>118</v>
      </c>
      <c r="BD130" s="35">
        <v>1255</v>
      </c>
      <c r="BE130" s="35">
        <f t="shared" si="30"/>
        <v>378</v>
      </c>
      <c r="BF130" s="35">
        <v>482</v>
      </c>
      <c r="BG130" s="35"/>
      <c r="BH130" s="6">
        <f t="shared" si="31"/>
        <v>364</v>
      </c>
      <c r="BI130" s="35"/>
      <c r="BJ130" s="35"/>
      <c r="BK130" s="6"/>
      <c r="BL130" s="35">
        <v>867</v>
      </c>
      <c r="BM130" s="6"/>
      <c r="BN130" s="6">
        <f t="shared" si="32"/>
        <v>385</v>
      </c>
      <c r="BO130" s="6">
        <v>1224</v>
      </c>
      <c r="BP130" s="6"/>
      <c r="BQ130" s="35">
        <f t="shared" si="33"/>
        <v>357</v>
      </c>
      <c r="BR130" s="6">
        <v>50</v>
      </c>
      <c r="BS130" s="6">
        <v>1560</v>
      </c>
      <c r="BT130" s="6">
        <f t="shared" si="34"/>
        <v>386</v>
      </c>
      <c r="BU130" s="6">
        <v>433</v>
      </c>
      <c r="BV130" s="6"/>
      <c r="BW130" s="35">
        <f t="shared" si="35"/>
        <v>383</v>
      </c>
      <c r="BX130" s="6">
        <v>818</v>
      </c>
      <c r="BY130" s="6"/>
      <c r="BZ130" s="6">
        <f t="shared" si="36"/>
        <v>385</v>
      </c>
      <c r="CA130" s="6">
        <v>1179</v>
      </c>
      <c r="CB130" s="6"/>
      <c r="CC130" s="6">
        <f t="shared" si="37"/>
        <v>361</v>
      </c>
      <c r="CD130" s="6"/>
      <c r="CE130" s="6"/>
      <c r="CF130" s="6"/>
      <c r="CG130" s="6">
        <v>32</v>
      </c>
      <c r="CH130" s="6">
        <v>1513</v>
      </c>
      <c r="CI130" s="6">
        <f t="shared" si="38"/>
        <v>366</v>
      </c>
      <c r="CJ130" s="6">
        <v>0</v>
      </c>
      <c r="CK130" s="6">
        <v>393</v>
      </c>
      <c r="CL130" s="6">
        <f t="shared" si="39"/>
        <v>361</v>
      </c>
      <c r="CM130" s="6">
        <v>150</v>
      </c>
      <c r="CN130" s="6"/>
      <c r="CO130" s="6">
        <f t="shared" si="40"/>
        <v>150</v>
      </c>
      <c r="CP130" s="6">
        <v>348</v>
      </c>
      <c r="CQ130" s="6">
        <v>154</v>
      </c>
      <c r="CR130" s="6">
        <f t="shared" si="41"/>
        <v>352</v>
      </c>
      <c r="CS130" s="6">
        <v>285</v>
      </c>
      <c r="CT130" s="6">
        <v>421</v>
      </c>
      <c r="CU130" s="6">
        <f t="shared" si="42"/>
        <v>358</v>
      </c>
      <c r="CV130" s="6">
        <v>478</v>
      </c>
      <c r="CW130" s="6"/>
      <c r="CX130" s="6">
        <f t="shared" si="43"/>
        <v>193</v>
      </c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</row>
    <row r="131" spans="1:117">
      <c r="A131" s="6">
        <v>127</v>
      </c>
      <c r="B131" s="6">
        <v>451</v>
      </c>
      <c r="C131" s="6"/>
      <c r="D131" s="6">
        <v>357</v>
      </c>
      <c r="E131" s="33" t="s">
        <v>128</v>
      </c>
      <c r="F131" s="148" t="s">
        <v>128</v>
      </c>
      <c r="G131" s="33" t="s">
        <v>128</v>
      </c>
      <c r="H131" s="33" t="s">
        <v>128</v>
      </c>
      <c r="I131" s="33" t="s">
        <v>128</v>
      </c>
      <c r="J131" s="33" t="s">
        <v>128</v>
      </c>
      <c r="K131" s="33" t="s">
        <v>128</v>
      </c>
      <c r="L131" s="33" t="s">
        <v>128</v>
      </c>
      <c r="M131" s="33" t="s">
        <v>128</v>
      </c>
      <c r="N131" s="33" t="s">
        <v>128</v>
      </c>
      <c r="O131" s="33" t="s">
        <v>128</v>
      </c>
      <c r="P131" s="33" t="s">
        <v>128</v>
      </c>
      <c r="Q131" s="33" t="s">
        <v>128</v>
      </c>
      <c r="R131" s="33" t="s">
        <v>128</v>
      </c>
      <c r="S131" s="33" t="s">
        <v>128</v>
      </c>
      <c r="T131" s="33" t="s">
        <v>128</v>
      </c>
      <c r="U131" s="33" t="s">
        <v>128</v>
      </c>
      <c r="V131" s="33" t="s">
        <v>128</v>
      </c>
      <c r="W131" s="33" t="s">
        <v>128</v>
      </c>
      <c r="X131" s="33" t="s">
        <v>128</v>
      </c>
      <c r="Y131" s="33" t="s">
        <v>128</v>
      </c>
      <c r="Z131" s="148" t="s">
        <v>307</v>
      </c>
      <c r="AA131" s="33" t="s">
        <v>307</v>
      </c>
      <c r="AB131" s="6">
        <v>327</v>
      </c>
      <c r="AC131" s="6">
        <v>520</v>
      </c>
      <c r="AD131" s="35">
        <f t="shared" si="22"/>
        <v>396</v>
      </c>
      <c r="AE131" s="6">
        <v>237</v>
      </c>
      <c r="AF131" s="6">
        <v>327</v>
      </c>
      <c r="AG131" s="35">
        <f t="shared" si="23"/>
        <v>237</v>
      </c>
      <c r="AH131" s="35">
        <v>626</v>
      </c>
      <c r="AI131" s="35"/>
      <c r="AJ131" s="35">
        <f t="shared" si="24"/>
        <v>389</v>
      </c>
      <c r="AK131" s="6">
        <v>993</v>
      </c>
      <c r="AL131" s="6"/>
      <c r="AM131" s="35">
        <f t="shared" si="25"/>
        <v>367</v>
      </c>
      <c r="AN131" s="6"/>
      <c r="AO131" s="6"/>
      <c r="AP131" s="34"/>
      <c r="AQ131" s="35">
        <v>379</v>
      </c>
      <c r="AR131" s="35">
        <v>997</v>
      </c>
      <c r="AS131" s="35">
        <f t="shared" si="26"/>
        <v>383</v>
      </c>
      <c r="AT131" s="6">
        <v>763</v>
      </c>
      <c r="AU131" s="6"/>
      <c r="AV131" s="35">
        <f t="shared" si="27"/>
        <v>384</v>
      </c>
      <c r="AW131" s="6">
        <v>1147</v>
      </c>
      <c r="AX131" s="35"/>
      <c r="AY131" s="35">
        <f t="shared" si="28"/>
        <v>384</v>
      </c>
      <c r="AZ131" s="35">
        <v>1538</v>
      </c>
      <c r="BA131" s="35"/>
      <c r="BB131" s="35">
        <f t="shared" si="29"/>
        <v>391</v>
      </c>
      <c r="BC131" s="6">
        <v>369</v>
      </c>
      <c r="BD131" s="6">
        <v>1560</v>
      </c>
      <c r="BE131" s="35">
        <f t="shared" si="30"/>
        <v>391</v>
      </c>
      <c r="BF131" s="6">
        <v>742</v>
      </c>
      <c r="BG131" s="6"/>
      <c r="BH131" s="6">
        <f t="shared" si="31"/>
        <v>373</v>
      </c>
      <c r="BI131" s="6"/>
      <c r="BJ131" s="6"/>
      <c r="BK131" s="6"/>
      <c r="BL131" s="6">
        <v>1142</v>
      </c>
      <c r="BM131" s="6"/>
      <c r="BN131" s="6">
        <f t="shared" si="32"/>
        <v>400</v>
      </c>
      <c r="BO131" s="6">
        <v>1526</v>
      </c>
      <c r="BP131" s="6"/>
      <c r="BQ131" s="35">
        <f t="shared" si="33"/>
        <v>384</v>
      </c>
      <c r="BR131" s="6">
        <v>357</v>
      </c>
      <c r="BS131" s="6">
        <v>1560</v>
      </c>
      <c r="BT131" s="6">
        <f t="shared" si="34"/>
        <v>391</v>
      </c>
      <c r="BU131" s="6">
        <v>749</v>
      </c>
      <c r="BV131" s="6"/>
      <c r="BW131" s="35">
        <f t="shared" si="35"/>
        <v>392</v>
      </c>
      <c r="BX131" s="6">
        <v>1147</v>
      </c>
      <c r="BY131" s="6"/>
      <c r="BZ131" s="6">
        <f t="shared" si="36"/>
        <v>398</v>
      </c>
      <c r="CA131" s="6">
        <v>1527</v>
      </c>
      <c r="CB131" s="6"/>
      <c r="CC131" s="6">
        <f t="shared" si="37"/>
        <v>380</v>
      </c>
      <c r="CD131" s="6"/>
      <c r="CE131" s="6"/>
      <c r="CF131" s="6"/>
      <c r="CG131" s="6">
        <v>372</v>
      </c>
      <c r="CH131" s="6">
        <v>1560</v>
      </c>
      <c r="CI131" s="6">
        <f t="shared" si="38"/>
        <v>405</v>
      </c>
      <c r="CJ131" s="6">
        <v>770</v>
      </c>
      <c r="CK131" s="6"/>
      <c r="CL131" s="6">
        <f t="shared" si="39"/>
        <v>398</v>
      </c>
      <c r="CM131" s="6">
        <v>1168</v>
      </c>
      <c r="CN131" s="6"/>
      <c r="CO131" s="6">
        <f t="shared" si="40"/>
        <v>398</v>
      </c>
      <c r="CP131" s="6">
        <v>1556</v>
      </c>
      <c r="CQ131" s="6"/>
      <c r="CR131" s="6">
        <f t="shared" si="41"/>
        <v>388</v>
      </c>
      <c r="CS131" s="6">
        <v>267</v>
      </c>
      <c r="CT131" s="6">
        <v>1669</v>
      </c>
      <c r="CU131" s="6">
        <f t="shared" si="42"/>
        <v>380</v>
      </c>
      <c r="CV131" s="6">
        <v>477</v>
      </c>
      <c r="CW131" s="6"/>
      <c r="CX131" s="6">
        <f t="shared" si="43"/>
        <v>210</v>
      </c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</row>
    <row r="132" spans="1:117">
      <c r="A132" s="6">
        <v>128</v>
      </c>
      <c r="B132" s="6">
        <v>0</v>
      </c>
      <c r="C132" s="6">
        <v>1647</v>
      </c>
      <c r="D132" s="6">
        <v>250</v>
      </c>
      <c r="E132" s="33" t="s">
        <v>37</v>
      </c>
      <c r="F132" s="148" t="s">
        <v>37</v>
      </c>
      <c r="G132" s="33" t="s">
        <v>37</v>
      </c>
      <c r="H132" s="33" t="s">
        <v>37</v>
      </c>
      <c r="I132" s="33" t="s">
        <v>37</v>
      </c>
      <c r="J132" s="33" t="s">
        <v>37</v>
      </c>
      <c r="K132" s="33" t="s">
        <v>37</v>
      </c>
      <c r="L132" s="33" t="s">
        <v>37</v>
      </c>
      <c r="M132" s="33" t="s">
        <v>37</v>
      </c>
      <c r="N132" s="33" t="s">
        <v>37</v>
      </c>
      <c r="O132" s="33" t="s">
        <v>37</v>
      </c>
      <c r="P132" s="33" t="s">
        <v>37</v>
      </c>
      <c r="Q132" s="33" t="s">
        <v>37</v>
      </c>
      <c r="R132" s="33" t="s">
        <v>37</v>
      </c>
      <c r="S132" s="33" t="s">
        <v>37</v>
      </c>
      <c r="T132" s="33" t="s">
        <v>37</v>
      </c>
      <c r="U132" s="33" t="s">
        <v>37</v>
      </c>
      <c r="V132" s="33" t="s">
        <v>37</v>
      </c>
      <c r="W132" s="33" t="s">
        <v>37</v>
      </c>
      <c r="X132" s="33" t="s">
        <v>37</v>
      </c>
      <c r="Y132" s="33" t="s">
        <v>37</v>
      </c>
      <c r="Z132" s="33" t="s">
        <v>37</v>
      </c>
      <c r="AA132" s="148" t="s">
        <v>307</v>
      </c>
      <c r="AB132" s="6">
        <v>361</v>
      </c>
      <c r="AC132" s="6"/>
      <c r="AD132" s="35">
        <f t="shared" si="22"/>
        <v>361</v>
      </c>
      <c r="AE132" s="6">
        <v>746</v>
      </c>
      <c r="AF132" s="6"/>
      <c r="AG132" s="35">
        <f t="shared" si="23"/>
        <v>385</v>
      </c>
      <c r="AH132" s="35">
        <v>1137</v>
      </c>
      <c r="AI132" s="35"/>
      <c r="AJ132" s="35">
        <f t="shared" si="24"/>
        <v>391</v>
      </c>
      <c r="AK132" s="6">
        <v>1482</v>
      </c>
      <c r="AL132" s="6"/>
      <c r="AM132" s="35">
        <f t="shared" si="25"/>
        <v>345</v>
      </c>
      <c r="AN132" s="6"/>
      <c r="AO132" s="6"/>
      <c r="AP132" s="34"/>
      <c r="AQ132" s="35">
        <v>277</v>
      </c>
      <c r="AR132" s="35">
        <v>1595</v>
      </c>
      <c r="AS132" s="35">
        <f t="shared" si="26"/>
        <v>390</v>
      </c>
      <c r="AT132" s="6">
        <v>662</v>
      </c>
      <c r="AU132" s="6"/>
      <c r="AV132" s="35">
        <f t="shared" si="27"/>
        <v>385</v>
      </c>
      <c r="AW132" s="6">
        <v>1049</v>
      </c>
      <c r="AX132" s="6"/>
      <c r="AY132" s="35">
        <f t="shared" si="28"/>
        <v>387</v>
      </c>
      <c r="AZ132" s="6">
        <v>1444</v>
      </c>
      <c r="BA132" s="6"/>
      <c r="BB132" s="35">
        <f t="shared" si="29"/>
        <v>395</v>
      </c>
      <c r="BC132" s="6">
        <v>264</v>
      </c>
      <c r="BD132" s="6">
        <v>1560</v>
      </c>
      <c r="BE132" s="35">
        <f t="shared" si="30"/>
        <v>380</v>
      </c>
      <c r="BF132" s="6">
        <v>557</v>
      </c>
      <c r="BG132" s="6"/>
      <c r="BH132" s="6">
        <f t="shared" si="31"/>
        <v>293</v>
      </c>
      <c r="BI132" s="6"/>
      <c r="BJ132" s="35"/>
      <c r="BK132" s="6"/>
      <c r="BL132" s="6">
        <v>945</v>
      </c>
      <c r="BM132" s="6"/>
      <c r="BN132" s="6">
        <f t="shared" si="32"/>
        <v>388</v>
      </c>
      <c r="BO132" s="6">
        <v>1330</v>
      </c>
      <c r="BP132" s="6"/>
      <c r="BQ132" s="35">
        <f t="shared" si="33"/>
        <v>385</v>
      </c>
      <c r="BR132" s="6">
        <v>135</v>
      </c>
      <c r="BS132" s="6">
        <v>1565</v>
      </c>
      <c r="BT132" s="6">
        <f t="shared" si="34"/>
        <v>370</v>
      </c>
      <c r="BU132" s="6">
        <v>480</v>
      </c>
      <c r="BV132" s="6"/>
      <c r="BW132" s="35">
        <f t="shared" si="35"/>
        <v>345</v>
      </c>
      <c r="BX132" s="6">
        <v>848</v>
      </c>
      <c r="BY132" s="35"/>
      <c r="BZ132" s="6">
        <f t="shared" si="36"/>
        <v>368</v>
      </c>
      <c r="CA132" s="6">
        <v>1222</v>
      </c>
      <c r="CB132" s="6"/>
      <c r="CC132" s="6">
        <f t="shared" si="37"/>
        <v>374</v>
      </c>
      <c r="CD132" s="6"/>
      <c r="CE132" s="35"/>
      <c r="CF132" s="6"/>
      <c r="CG132" s="6">
        <v>60</v>
      </c>
      <c r="CH132" s="6">
        <v>1560</v>
      </c>
      <c r="CI132" s="6">
        <f t="shared" si="38"/>
        <v>398</v>
      </c>
      <c r="CJ132" s="6">
        <v>452</v>
      </c>
      <c r="CK132" s="6"/>
      <c r="CL132" s="6">
        <f t="shared" si="39"/>
        <v>392</v>
      </c>
      <c r="CM132" s="6">
        <v>807</v>
      </c>
      <c r="CN132" s="6"/>
      <c r="CO132" s="6">
        <f t="shared" si="40"/>
        <v>355</v>
      </c>
      <c r="CP132" s="6">
        <v>1201</v>
      </c>
      <c r="CQ132" s="6"/>
      <c r="CR132" s="6">
        <f t="shared" si="41"/>
        <v>394</v>
      </c>
      <c r="CS132" s="6">
        <v>0</v>
      </c>
      <c r="CT132" s="6">
        <v>1584</v>
      </c>
      <c r="CU132" s="6">
        <f t="shared" si="42"/>
        <v>383</v>
      </c>
      <c r="CV132" s="6">
        <v>176</v>
      </c>
      <c r="CW132" s="6"/>
      <c r="CX132" s="6">
        <f t="shared" si="43"/>
        <v>176</v>
      </c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</row>
    <row r="133" spans="1:117">
      <c r="A133" s="6">
        <v>129</v>
      </c>
      <c r="B133" s="6">
        <v>0</v>
      </c>
      <c r="C133" s="6">
        <v>922</v>
      </c>
      <c r="D133" s="6">
        <v>327</v>
      </c>
      <c r="E133" s="33" t="s">
        <v>128</v>
      </c>
      <c r="F133" s="33" t="s">
        <v>128</v>
      </c>
      <c r="G133" s="33" t="s">
        <v>128</v>
      </c>
      <c r="H133" s="33" t="s">
        <v>128</v>
      </c>
      <c r="I133" s="33" t="s">
        <v>128</v>
      </c>
      <c r="J133" s="33" t="s">
        <v>128</v>
      </c>
      <c r="K133" s="33" t="s">
        <v>128</v>
      </c>
      <c r="L133" s="33" t="s">
        <v>128</v>
      </c>
      <c r="M133" s="33" t="s">
        <v>128</v>
      </c>
      <c r="N133" s="33" t="s">
        <v>128</v>
      </c>
      <c r="O133" s="33" t="s">
        <v>128</v>
      </c>
      <c r="P133" s="33" t="s">
        <v>128</v>
      </c>
      <c r="Q133" s="33" t="s">
        <v>128</v>
      </c>
      <c r="R133" s="33" t="s">
        <v>128</v>
      </c>
      <c r="S133" s="33" t="s">
        <v>128</v>
      </c>
      <c r="T133" s="33" t="s">
        <v>128</v>
      </c>
      <c r="U133" s="33" t="s">
        <v>128</v>
      </c>
      <c r="V133" s="148" t="s">
        <v>307</v>
      </c>
      <c r="W133" s="33" t="s">
        <v>307</v>
      </c>
      <c r="X133" s="33" t="s">
        <v>307</v>
      </c>
      <c r="Y133" s="33" t="s">
        <v>307</v>
      </c>
      <c r="Z133" s="33" t="s">
        <v>307</v>
      </c>
      <c r="AA133" s="33" t="s">
        <v>307</v>
      </c>
      <c r="AB133" s="6">
        <v>353</v>
      </c>
      <c r="AC133" s="6"/>
      <c r="AD133" s="35">
        <f t="shared" si="22"/>
        <v>353</v>
      </c>
      <c r="AE133" s="6">
        <v>705</v>
      </c>
      <c r="AF133" s="6"/>
      <c r="AG133" s="35">
        <f t="shared" si="23"/>
        <v>352</v>
      </c>
      <c r="AH133" s="35">
        <v>1081</v>
      </c>
      <c r="AI133" s="35"/>
      <c r="AJ133" s="35">
        <f t="shared" si="24"/>
        <v>376</v>
      </c>
      <c r="AK133" s="6">
        <v>1443</v>
      </c>
      <c r="AL133" s="6"/>
      <c r="AM133" s="35">
        <f t="shared" si="25"/>
        <v>362</v>
      </c>
      <c r="AN133" s="6"/>
      <c r="AO133" s="6"/>
      <c r="AP133" s="34"/>
      <c r="AQ133" s="35">
        <v>268</v>
      </c>
      <c r="AR133" s="35">
        <v>1560</v>
      </c>
      <c r="AS133" s="35">
        <f t="shared" si="26"/>
        <v>385</v>
      </c>
      <c r="AT133" s="6">
        <v>646</v>
      </c>
      <c r="AU133" s="6"/>
      <c r="AV133" s="35">
        <f t="shared" si="27"/>
        <v>378</v>
      </c>
      <c r="AW133" s="6">
        <v>1027</v>
      </c>
      <c r="AX133" s="35"/>
      <c r="AY133" s="35">
        <f t="shared" si="28"/>
        <v>381</v>
      </c>
      <c r="AZ133" s="35">
        <v>1413</v>
      </c>
      <c r="BA133" s="35"/>
      <c r="BB133" s="35">
        <f t="shared" si="29"/>
        <v>386</v>
      </c>
      <c r="BC133" s="6">
        <v>240</v>
      </c>
      <c r="BD133" s="6">
        <v>1560</v>
      </c>
      <c r="BE133" s="35">
        <f t="shared" si="30"/>
        <v>387</v>
      </c>
      <c r="BF133" s="6">
        <v>45</v>
      </c>
      <c r="BG133" s="6">
        <v>557</v>
      </c>
      <c r="BH133" s="6">
        <f t="shared" si="31"/>
        <v>362</v>
      </c>
      <c r="BI133" s="6"/>
      <c r="BJ133" s="6"/>
      <c r="BK133" s="6"/>
      <c r="BL133" s="6">
        <v>435</v>
      </c>
      <c r="BM133" s="6"/>
      <c r="BN133" s="6">
        <f t="shared" si="32"/>
        <v>390</v>
      </c>
      <c r="BO133" s="6">
        <v>816</v>
      </c>
      <c r="BP133" s="6"/>
      <c r="BQ133" s="35">
        <f t="shared" si="33"/>
        <v>381</v>
      </c>
      <c r="BR133" s="6">
        <v>1196</v>
      </c>
      <c r="BS133" s="6"/>
      <c r="BT133" s="6">
        <f t="shared" si="34"/>
        <v>380</v>
      </c>
      <c r="BU133" s="6">
        <v>1570</v>
      </c>
      <c r="BV133" s="6"/>
      <c r="BW133" s="35">
        <f t="shared" si="35"/>
        <v>374</v>
      </c>
      <c r="BX133" s="6">
        <v>273</v>
      </c>
      <c r="BY133" s="6">
        <v>1687</v>
      </c>
      <c r="BZ133" s="6">
        <f t="shared" si="36"/>
        <v>390</v>
      </c>
      <c r="CA133" s="6">
        <v>0</v>
      </c>
      <c r="CB133" s="6">
        <v>479</v>
      </c>
      <c r="CC133" s="6">
        <f t="shared" si="37"/>
        <v>206</v>
      </c>
      <c r="CD133" s="6"/>
      <c r="CE133" s="6"/>
      <c r="CF133" s="6"/>
      <c r="CG133" s="6">
        <v>326</v>
      </c>
      <c r="CH133" s="6"/>
      <c r="CI133" s="6">
        <f t="shared" si="38"/>
        <v>326</v>
      </c>
      <c r="CJ133" s="6">
        <v>712</v>
      </c>
      <c r="CK133" s="6"/>
      <c r="CL133" s="6">
        <f t="shared" si="39"/>
        <v>386</v>
      </c>
      <c r="CM133" s="6">
        <v>1082</v>
      </c>
      <c r="CN133" s="6"/>
      <c r="CO133" s="6">
        <f t="shared" si="40"/>
        <v>370</v>
      </c>
      <c r="CP133" s="6">
        <v>1457</v>
      </c>
      <c r="CQ133" s="6"/>
      <c r="CR133" s="6">
        <f t="shared" si="41"/>
        <v>375</v>
      </c>
      <c r="CS133" s="6">
        <v>261</v>
      </c>
      <c r="CT133" s="6">
        <v>1560</v>
      </c>
      <c r="CU133" s="6">
        <f t="shared" si="42"/>
        <v>364</v>
      </c>
      <c r="CV133" s="6">
        <v>0</v>
      </c>
      <c r="CW133" s="6">
        <v>415</v>
      </c>
      <c r="CX133" s="6">
        <f t="shared" si="43"/>
        <v>154</v>
      </c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</row>
    <row r="134" spans="1:117">
      <c r="A134" s="6">
        <v>130</v>
      </c>
      <c r="B134" s="6">
        <v>1079</v>
      </c>
      <c r="C134" s="6"/>
      <c r="D134" s="6">
        <v>357</v>
      </c>
      <c r="E134" s="33" t="s">
        <v>128</v>
      </c>
      <c r="F134" s="33" t="s">
        <v>128</v>
      </c>
      <c r="G134" s="33" t="s">
        <v>128</v>
      </c>
      <c r="H134" s="33" t="s">
        <v>128</v>
      </c>
      <c r="I134" s="33" t="s">
        <v>128</v>
      </c>
      <c r="J134" s="33" t="s">
        <v>128</v>
      </c>
      <c r="K134" s="33" t="s">
        <v>128</v>
      </c>
      <c r="L134" s="33" t="s">
        <v>128</v>
      </c>
      <c r="M134" s="33" t="s">
        <v>128</v>
      </c>
      <c r="N134" s="33" t="s">
        <v>128</v>
      </c>
      <c r="O134" s="33" t="s">
        <v>128</v>
      </c>
      <c r="P134" s="33" t="s">
        <v>128</v>
      </c>
      <c r="Q134" s="33" t="s">
        <v>128</v>
      </c>
      <c r="R134" s="33" t="s">
        <v>128</v>
      </c>
      <c r="S134" s="33" t="s">
        <v>128</v>
      </c>
      <c r="T134" s="33" t="s">
        <v>128</v>
      </c>
      <c r="U134" s="33" t="s">
        <v>128</v>
      </c>
      <c r="V134" s="33" t="s">
        <v>128</v>
      </c>
      <c r="W134" s="33" t="s">
        <v>128</v>
      </c>
      <c r="X134" s="148" t="s">
        <v>307</v>
      </c>
      <c r="Y134" s="33" t="s">
        <v>307</v>
      </c>
      <c r="Z134" s="33" t="s">
        <v>307</v>
      </c>
      <c r="AA134" s="33" t="s">
        <v>307</v>
      </c>
      <c r="AB134" s="6">
        <v>1485</v>
      </c>
      <c r="AC134" s="6"/>
      <c r="AD134" s="35">
        <f t="shared" ref="AD134:AD197" si="44">AC134+AB134-B134</f>
        <v>406</v>
      </c>
      <c r="AE134" s="6">
        <v>309</v>
      </c>
      <c r="AF134" s="6">
        <v>1560</v>
      </c>
      <c r="AG134" s="35">
        <f t="shared" ref="AG134:AG197" si="45">AF134+AE134-AB134</f>
        <v>384</v>
      </c>
      <c r="AH134" s="35">
        <v>527</v>
      </c>
      <c r="AI134" s="35"/>
      <c r="AJ134" s="35">
        <f t="shared" ref="AJ134:AJ197" si="46">AI134+AH134-AE134</f>
        <v>218</v>
      </c>
      <c r="AK134" s="6">
        <v>887</v>
      </c>
      <c r="AL134" s="6"/>
      <c r="AM134" s="35">
        <f t="shared" ref="AM134:AM197" si="47">AL134+AK134-AH134</f>
        <v>360</v>
      </c>
      <c r="AN134" s="6"/>
      <c r="AO134" s="6"/>
      <c r="AP134" s="34"/>
      <c r="AQ134" s="35">
        <v>1268</v>
      </c>
      <c r="AR134" s="35"/>
      <c r="AS134" s="35">
        <f t="shared" ref="AS134:AS197" si="48">AR134+AQ134-AK134</f>
        <v>381</v>
      </c>
      <c r="AT134" s="6">
        <v>92</v>
      </c>
      <c r="AU134" s="6">
        <v>1560</v>
      </c>
      <c r="AV134" s="35">
        <f t="shared" ref="AV134:AV197" si="49">AU134+AT134-AQ134</f>
        <v>384</v>
      </c>
      <c r="AW134" s="6">
        <v>479</v>
      </c>
      <c r="AX134" s="6"/>
      <c r="AY134" s="35">
        <f t="shared" ref="AY134:AY197" si="50">AX134+AW134-AT134</f>
        <v>387</v>
      </c>
      <c r="AZ134" s="6">
        <v>872</v>
      </c>
      <c r="BA134" s="6"/>
      <c r="BB134" s="35">
        <f t="shared" ref="BB134:BB197" si="51">BA134+AZ134-AW134</f>
        <v>393</v>
      </c>
      <c r="BC134" s="6">
        <v>1266</v>
      </c>
      <c r="BD134" s="6"/>
      <c r="BE134" s="35">
        <f t="shared" ref="BE134:BE197" si="52">BD134+BC134-AZ134</f>
        <v>394</v>
      </c>
      <c r="BF134" s="6">
        <v>82</v>
      </c>
      <c r="BG134" s="6">
        <v>1560</v>
      </c>
      <c r="BH134" s="6">
        <f t="shared" ref="BH134:BH197" si="53">BG134+BF134-BC134</f>
        <v>376</v>
      </c>
      <c r="BI134" s="6"/>
      <c r="BJ134" s="35"/>
      <c r="BK134" s="6"/>
      <c r="BL134" s="6">
        <v>480</v>
      </c>
      <c r="BM134" s="6"/>
      <c r="BN134" s="6">
        <f t="shared" ref="BN134:BN197" si="54">BM134+BL134-BF134</f>
        <v>398</v>
      </c>
      <c r="BO134" s="6">
        <v>865</v>
      </c>
      <c r="BP134" s="6"/>
      <c r="BQ134" s="35">
        <f t="shared" ref="BQ134:BQ197" si="55">BP134+BO134-BL134</f>
        <v>385</v>
      </c>
      <c r="BR134" s="6">
        <v>1250</v>
      </c>
      <c r="BS134" s="6"/>
      <c r="BT134" s="6">
        <f t="shared" ref="BT134:BT197" si="56">BS134+BR134-BO134</f>
        <v>385</v>
      </c>
      <c r="BU134" s="6">
        <v>82</v>
      </c>
      <c r="BV134" s="6">
        <v>1560</v>
      </c>
      <c r="BW134" s="35">
        <f t="shared" ref="BW134:BW197" si="57">BV134+BU134-BR134</f>
        <v>392</v>
      </c>
      <c r="BX134" s="6">
        <v>469</v>
      </c>
      <c r="BY134" s="35"/>
      <c r="BZ134" s="6">
        <f t="shared" ref="BZ134:BZ197" si="58">BY134+BX134-BU134</f>
        <v>387</v>
      </c>
      <c r="CA134" s="6">
        <v>848</v>
      </c>
      <c r="CB134" s="6"/>
      <c r="CC134" s="6">
        <f t="shared" ref="CC134:CC197" si="59">CB134+CA134-BX134</f>
        <v>379</v>
      </c>
      <c r="CD134" s="6"/>
      <c r="CE134" s="35"/>
      <c r="CF134" s="6"/>
      <c r="CG134" s="6">
        <v>1249</v>
      </c>
      <c r="CH134" s="6"/>
      <c r="CI134" s="6">
        <f t="shared" ref="CI134:CI197" si="60">CH134+CG134-CA134</f>
        <v>401</v>
      </c>
      <c r="CJ134" s="6">
        <v>0</v>
      </c>
      <c r="CK134" s="6">
        <v>1605</v>
      </c>
      <c r="CL134" s="6">
        <f t="shared" ref="CL134:CL197" si="61">CK134+CJ134-CG134</f>
        <v>356</v>
      </c>
      <c r="CM134" s="6">
        <v>369</v>
      </c>
      <c r="CN134" s="6"/>
      <c r="CO134" s="6">
        <f t="shared" ref="CO134:CO197" si="62">CN134+CM134-CJ134</f>
        <v>369</v>
      </c>
      <c r="CP134" s="6">
        <v>763</v>
      </c>
      <c r="CQ134" s="6"/>
      <c r="CR134" s="6">
        <f t="shared" ref="CR134:CR197" si="63">CQ134+CP134-CM134</f>
        <v>394</v>
      </c>
      <c r="CS134" s="6">
        <v>1156</v>
      </c>
      <c r="CT134" s="6"/>
      <c r="CU134" s="6">
        <f t="shared" ref="CU134:CU197" si="64">CT134+CS134-CP134</f>
        <v>393</v>
      </c>
      <c r="CV134" s="6">
        <v>1364</v>
      </c>
      <c r="CW134" s="35"/>
      <c r="CX134" s="6">
        <f t="shared" ref="CX134:CX197" si="65">CW134+CV134-CS134</f>
        <v>208</v>
      </c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</row>
    <row r="135" spans="1:117">
      <c r="A135" s="6">
        <v>131</v>
      </c>
      <c r="B135" s="6">
        <v>1081</v>
      </c>
      <c r="C135" s="6"/>
      <c r="D135" s="6">
        <v>351</v>
      </c>
      <c r="E135" s="33" t="s">
        <v>128</v>
      </c>
      <c r="F135" s="148" t="s">
        <v>128</v>
      </c>
      <c r="G135" s="33" t="s">
        <v>128</v>
      </c>
      <c r="H135" s="33" t="s">
        <v>128</v>
      </c>
      <c r="I135" s="33" t="s">
        <v>128</v>
      </c>
      <c r="J135" s="33" t="s">
        <v>128</v>
      </c>
      <c r="K135" s="33" t="s">
        <v>128</v>
      </c>
      <c r="L135" s="33" t="s">
        <v>128</v>
      </c>
      <c r="M135" s="33" t="s">
        <v>128</v>
      </c>
      <c r="N135" s="33" t="s">
        <v>128</v>
      </c>
      <c r="O135" s="33" t="s">
        <v>128</v>
      </c>
      <c r="P135" s="33" t="s">
        <v>128</v>
      </c>
      <c r="Q135" s="33" t="s">
        <v>128</v>
      </c>
      <c r="R135" s="33" t="s">
        <v>128</v>
      </c>
      <c r="S135" s="33" t="s">
        <v>128</v>
      </c>
      <c r="T135" s="33" t="s">
        <v>128</v>
      </c>
      <c r="U135" s="33" t="s">
        <v>128</v>
      </c>
      <c r="V135" s="33" t="s">
        <v>128</v>
      </c>
      <c r="W135" s="33" t="s">
        <v>128</v>
      </c>
      <c r="X135" s="33" t="s">
        <v>128</v>
      </c>
      <c r="Y135" s="33" t="s">
        <v>128</v>
      </c>
      <c r="Z135" s="33" t="s">
        <v>128</v>
      </c>
      <c r="AA135" s="148" t="s">
        <v>307</v>
      </c>
      <c r="AB135" s="6">
        <v>351</v>
      </c>
      <c r="AC135" s="6">
        <v>1108</v>
      </c>
      <c r="AD135" s="35">
        <f t="shared" si="44"/>
        <v>378</v>
      </c>
      <c r="AE135" s="6">
        <v>732</v>
      </c>
      <c r="AF135" s="6"/>
      <c r="AG135" s="35">
        <f t="shared" si="45"/>
        <v>381</v>
      </c>
      <c r="AH135" s="35">
        <v>1112</v>
      </c>
      <c r="AI135" s="35"/>
      <c r="AJ135" s="35">
        <f t="shared" si="46"/>
        <v>380</v>
      </c>
      <c r="AK135" s="6">
        <v>1471</v>
      </c>
      <c r="AL135" s="6"/>
      <c r="AM135" s="35">
        <f t="shared" si="47"/>
        <v>359</v>
      </c>
      <c r="AN135" s="6"/>
      <c r="AO135" s="6"/>
      <c r="AP135" s="34"/>
      <c r="AQ135" s="35">
        <v>293</v>
      </c>
      <c r="AR135" s="35">
        <v>1560</v>
      </c>
      <c r="AS135" s="35">
        <f t="shared" si="48"/>
        <v>382</v>
      </c>
      <c r="AT135" s="6">
        <v>667</v>
      </c>
      <c r="AU135" s="6"/>
      <c r="AV135" s="35">
        <f t="shared" si="49"/>
        <v>374</v>
      </c>
      <c r="AW135" s="6">
        <v>1046</v>
      </c>
      <c r="AX135" s="6"/>
      <c r="AY135" s="35">
        <f t="shared" si="50"/>
        <v>379</v>
      </c>
      <c r="AZ135" s="35">
        <v>1435</v>
      </c>
      <c r="BA135" s="35"/>
      <c r="BB135" s="35">
        <f t="shared" si="51"/>
        <v>389</v>
      </c>
      <c r="BC135" s="35">
        <v>266</v>
      </c>
      <c r="BD135" s="6">
        <v>1560</v>
      </c>
      <c r="BE135" s="35">
        <f t="shared" si="52"/>
        <v>391</v>
      </c>
      <c r="BF135" s="6">
        <v>642</v>
      </c>
      <c r="BG135" s="6"/>
      <c r="BH135" s="6">
        <f t="shared" si="53"/>
        <v>376</v>
      </c>
      <c r="BI135" s="6"/>
      <c r="BJ135" s="6"/>
      <c r="BK135" s="6"/>
      <c r="BL135" s="6">
        <v>1040</v>
      </c>
      <c r="BM135" s="6"/>
      <c r="BN135" s="6">
        <f t="shared" si="54"/>
        <v>398</v>
      </c>
      <c r="BO135" s="6">
        <v>1423</v>
      </c>
      <c r="BP135" s="6"/>
      <c r="BQ135" s="35">
        <f t="shared" si="55"/>
        <v>383</v>
      </c>
      <c r="BR135" s="6">
        <v>255</v>
      </c>
      <c r="BS135" s="6">
        <v>1560</v>
      </c>
      <c r="BT135" s="6">
        <f t="shared" si="56"/>
        <v>392</v>
      </c>
      <c r="BU135" s="6">
        <v>645</v>
      </c>
      <c r="BV135" s="6"/>
      <c r="BW135" s="35">
        <f t="shared" si="57"/>
        <v>390</v>
      </c>
      <c r="BX135" s="6">
        <v>369</v>
      </c>
      <c r="BY135" s="6">
        <v>657</v>
      </c>
      <c r="BZ135" s="6">
        <f t="shared" si="58"/>
        <v>381</v>
      </c>
      <c r="CA135" s="6">
        <v>738</v>
      </c>
      <c r="CB135" s="6"/>
      <c r="CC135" s="6">
        <f t="shared" si="59"/>
        <v>369</v>
      </c>
      <c r="CD135" s="6"/>
      <c r="CE135" s="6"/>
      <c r="CF135" s="6"/>
      <c r="CG135" s="6">
        <v>1134</v>
      </c>
      <c r="CH135" s="6"/>
      <c r="CI135" s="6">
        <f t="shared" si="60"/>
        <v>396</v>
      </c>
      <c r="CJ135" s="6">
        <v>1523</v>
      </c>
      <c r="CK135" s="6"/>
      <c r="CL135" s="6">
        <f t="shared" si="61"/>
        <v>389</v>
      </c>
      <c r="CM135" s="6">
        <v>348</v>
      </c>
      <c r="CN135" s="6">
        <v>1560</v>
      </c>
      <c r="CO135" s="6">
        <f t="shared" si="62"/>
        <v>385</v>
      </c>
      <c r="CP135" s="6">
        <v>733</v>
      </c>
      <c r="CQ135" s="6"/>
      <c r="CR135" s="6">
        <f t="shared" si="63"/>
        <v>385</v>
      </c>
      <c r="CS135" s="6">
        <v>0</v>
      </c>
      <c r="CT135" s="6">
        <v>924</v>
      </c>
      <c r="CU135" s="6">
        <f t="shared" si="64"/>
        <v>191</v>
      </c>
      <c r="CV135" s="6">
        <v>154</v>
      </c>
      <c r="CW135" s="6"/>
      <c r="CX135" s="6">
        <f t="shared" si="65"/>
        <v>154</v>
      </c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</row>
    <row r="136" spans="1:117">
      <c r="A136" s="6">
        <v>132</v>
      </c>
      <c r="B136" s="6">
        <v>0</v>
      </c>
      <c r="C136" s="6">
        <v>1601</v>
      </c>
      <c r="D136" s="6">
        <v>255</v>
      </c>
      <c r="E136" s="33" t="s">
        <v>128</v>
      </c>
      <c r="F136" s="148" t="s">
        <v>128</v>
      </c>
      <c r="G136" s="33" t="s">
        <v>128</v>
      </c>
      <c r="H136" s="33" t="s">
        <v>128</v>
      </c>
      <c r="I136" s="33" t="s">
        <v>128</v>
      </c>
      <c r="J136" s="33" t="s">
        <v>128</v>
      </c>
      <c r="K136" s="33" t="s">
        <v>128</v>
      </c>
      <c r="L136" s="33" t="s">
        <v>128</v>
      </c>
      <c r="M136" s="33" t="s">
        <v>128</v>
      </c>
      <c r="N136" s="33" t="s">
        <v>128</v>
      </c>
      <c r="O136" s="33" t="s">
        <v>128</v>
      </c>
      <c r="P136" s="33" t="s">
        <v>128</v>
      </c>
      <c r="Q136" s="33" t="s">
        <v>128</v>
      </c>
      <c r="R136" s="33" t="s">
        <v>128</v>
      </c>
      <c r="S136" s="33" t="s">
        <v>128</v>
      </c>
      <c r="T136" s="33" t="s">
        <v>128</v>
      </c>
      <c r="U136" s="33" t="s">
        <v>128</v>
      </c>
      <c r="V136" s="33" t="s">
        <v>128</v>
      </c>
      <c r="W136" s="33" t="s">
        <v>128</v>
      </c>
      <c r="X136" s="33" t="s">
        <v>128</v>
      </c>
      <c r="Y136" s="33" t="s">
        <v>128</v>
      </c>
      <c r="Z136" s="148" t="s">
        <v>307</v>
      </c>
      <c r="AA136" s="33" t="s">
        <v>307</v>
      </c>
      <c r="AB136" s="35">
        <v>358</v>
      </c>
      <c r="AC136" s="35"/>
      <c r="AD136" s="35">
        <f t="shared" si="44"/>
        <v>358</v>
      </c>
      <c r="AE136" s="35">
        <v>741</v>
      </c>
      <c r="AF136" s="35"/>
      <c r="AG136" s="35">
        <f t="shared" si="45"/>
        <v>383</v>
      </c>
      <c r="AH136" s="35">
        <v>1125</v>
      </c>
      <c r="AI136" s="35"/>
      <c r="AJ136" s="35">
        <f t="shared" si="46"/>
        <v>384</v>
      </c>
      <c r="AK136" s="35">
        <v>1492</v>
      </c>
      <c r="AL136" s="35"/>
      <c r="AM136" s="35">
        <f t="shared" si="47"/>
        <v>367</v>
      </c>
      <c r="AN136" s="6"/>
      <c r="AO136" s="35"/>
      <c r="AP136" s="34"/>
      <c r="AQ136" s="35">
        <v>323</v>
      </c>
      <c r="AR136" s="35">
        <v>1560</v>
      </c>
      <c r="AS136" s="35">
        <f t="shared" si="48"/>
        <v>391</v>
      </c>
      <c r="AT136" s="6">
        <v>708</v>
      </c>
      <c r="AU136" s="6"/>
      <c r="AV136" s="35">
        <f t="shared" si="49"/>
        <v>385</v>
      </c>
      <c r="AW136" s="6">
        <v>1089</v>
      </c>
      <c r="AX136" s="6"/>
      <c r="AY136" s="35">
        <f t="shared" si="50"/>
        <v>381</v>
      </c>
      <c r="AZ136" s="6">
        <v>1478</v>
      </c>
      <c r="BA136" s="6"/>
      <c r="BB136" s="35">
        <f t="shared" si="51"/>
        <v>389</v>
      </c>
      <c r="BC136" s="6">
        <v>305</v>
      </c>
      <c r="BD136" s="6">
        <v>1565</v>
      </c>
      <c r="BE136" s="35">
        <f t="shared" si="52"/>
        <v>392</v>
      </c>
      <c r="BF136" s="6">
        <v>685</v>
      </c>
      <c r="BG136" s="6"/>
      <c r="BH136" s="6">
        <f t="shared" si="53"/>
        <v>380</v>
      </c>
      <c r="BI136" s="6"/>
      <c r="BJ136" s="35"/>
      <c r="BK136" s="6"/>
      <c r="BL136" s="6">
        <v>1086</v>
      </c>
      <c r="BM136" s="6"/>
      <c r="BN136" s="6">
        <f t="shared" si="54"/>
        <v>401</v>
      </c>
      <c r="BO136" s="6">
        <v>1473</v>
      </c>
      <c r="BP136" s="6"/>
      <c r="BQ136" s="35">
        <f t="shared" si="55"/>
        <v>387</v>
      </c>
      <c r="BR136" s="6">
        <v>305</v>
      </c>
      <c r="BS136" s="6">
        <v>1560</v>
      </c>
      <c r="BT136" s="6">
        <f t="shared" si="56"/>
        <v>392</v>
      </c>
      <c r="BU136" s="6">
        <v>689</v>
      </c>
      <c r="BV136" s="6"/>
      <c r="BW136" s="35">
        <f t="shared" si="57"/>
        <v>384</v>
      </c>
      <c r="BX136" s="6">
        <v>1087</v>
      </c>
      <c r="BY136" s="35"/>
      <c r="BZ136" s="6">
        <f t="shared" si="58"/>
        <v>398</v>
      </c>
      <c r="CA136" s="6">
        <v>1467</v>
      </c>
      <c r="CB136" s="6"/>
      <c r="CC136" s="6">
        <f t="shared" si="59"/>
        <v>380</v>
      </c>
      <c r="CD136" s="6"/>
      <c r="CE136" s="35"/>
      <c r="CF136" s="6"/>
      <c r="CG136" s="6">
        <v>288</v>
      </c>
      <c r="CH136" s="6">
        <v>1560</v>
      </c>
      <c r="CI136" s="6">
        <f t="shared" si="60"/>
        <v>381</v>
      </c>
      <c r="CJ136" s="6">
        <v>676</v>
      </c>
      <c r="CK136" s="6"/>
      <c r="CL136" s="6">
        <f t="shared" si="61"/>
        <v>388</v>
      </c>
      <c r="CM136" s="6">
        <v>1063</v>
      </c>
      <c r="CN136" s="6"/>
      <c r="CO136" s="6">
        <f t="shared" si="62"/>
        <v>387</v>
      </c>
      <c r="CP136" s="6">
        <v>1454</v>
      </c>
      <c r="CQ136" s="6"/>
      <c r="CR136" s="6">
        <f t="shared" si="63"/>
        <v>391</v>
      </c>
      <c r="CS136" s="6">
        <v>274</v>
      </c>
      <c r="CT136" s="6">
        <v>1558</v>
      </c>
      <c r="CU136" s="6">
        <f t="shared" si="64"/>
        <v>378</v>
      </c>
      <c r="CV136" s="6">
        <v>484</v>
      </c>
      <c r="CW136" s="6"/>
      <c r="CX136" s="6">
        <f t="shared" si="65"/>
        <v>210</v>
      </c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</row>
    <row r="137" spans="1:117">
      <c r="A137" s="6">
        <v>133</v>
      </c>
      <c r="B137" s="6">
        <v>1187</v>
      </c>
      <c r="C137" s="6"/>
      <c r="D137" s="6">
        <v>338</v>
      </c>
      <c r="E137" s="33" t="s">
        <v>37</v>
      </c>
      <c r="F137" s="33" t="s">
        <v>37</v>
      </c>
      <c r="G137" s="33" t="s">
        <v>37</v>
      </c>
      <c r="H137" s="33" t="s">
        <v>37</v>
      </c>
      <c r="I137" s="33" t="s">
        <v>37</v>
      </c>
      <c r="J137" s="33" t="s">
        <v>37</v>
      </c>
      <c r="K137" s="33" t="s">
        <v>37</v>
      </c>
      <c r="L137" s="33" t="s">
        <v>37</v>
      </c>
      <c r="M137" s="33" t="s">
        <v>37</v>
      </c>
      <c r="N137" s="33" t="s">
        <v>37</v>
      </c>
      <c r="O137" s="33" t="s">
        <v>37</v>
      </c>
      <c r="P137" s="33" t="s">
        <v>37</v>
      </c>
      <c r="Q137" s="33" t="s">
        <v>37</v>
      </c>
      <c r="R137" s="33" t="s">
        <v>37</v>
      </c>
      <c r="S137" s="33" t="s">
        <v>37</v>
      </c>
      <c r="T137" s="148" t="s">
        <v>37</v>
      </c>
      <c r="U137" s="33" t="s">
        <v>37</v>
      </c>
      <c r="V137" s="33" t="s">
        <v>37</v>
      </c>
      <c r="W137" s="33" t="s">
        <v>37</v>
      </c>
      <c r="X137" s="33" t="s">
        <v>37</v>
      </c>
      <c r="Y137" s="33" t="s">
        <v>37</v>
      </c>
      <c r="Z137" s="33" t="s">
        <v>37</v>
      </c>
      <c r="AA137" s="33" t="s">
        <v>37</v>
      </c>
      <c r="AB137" s="6">
        <v>13</v>
      </c>
      <c r="AC137" s="6">
        <v>1560</v>
      </c>
      <c r="AD137" s="35">
        <f t="shared" si="44"/>
        <v>386</v>
      </c>
      <c r="AE137" s="6">
        <v>393</v>
      </c>
      <c r="AF137" s="6"/>
      <c r="AG137" s="35">
        <f t="shared" si="45"/>
        <v>380</v>
      </c>
      <c r="AH137" s="35">
        <v>777</v>
      </c>
      <c r="AI137" s="35"/>
      <c r="AJ137" s="35">
        <f t="shared" si="46"/>
        <v>384</v>
      </c>
      <c r="AK137" s="6">
        <v>1135</v>
      </c>
      <c r="AL137" s="6"/>
      <c r="AM137" s="35">
        <f t="shared" si="47"/>
        <v>358</v>
      </c>
      <c r="AN137" s="6"/>
      <c r="AO137" s="6"/>
      <c r="AP137" s="34"/>
      <c r="AQ137" s="35">
        <v>1518</v>
      </c>
      <c r="AR137" s="35"/>
      <c r="AS137" s="35">
        <f t="shared" si="48"/>
        <v>383</v>
      </c>
      <c r="AT137" s="6">
        <v>338</v>
      </c>
      <c r="AU137" s="6">
        <v>1560</v>
      </c>
      <c r="AV137" s="35">
        <f t="shared" si="49"/>
        <v>380</v>
      </c>
      <c r="AW137" s="6">
        <v>730</v>
      </c>
      <c r="AX137" s="6"/>
      <c r="AY137" s="35">
        <f t="shared" si="50"/>
        <v>392</v>
      </c>
      <c r="AZ137" s="6">
        <v>1120</v>
      </c>
      <c r="BA137" s="6"/>
      <c r="BB137" s="35">
        <f t="shared" si="51"/>
        <v>390</v>
      </c>
      <c r="BC137" s="6">
        <v>1506</v>
      </c>
      <c r="BD137" s="6"/>
      <c r="BE137" s="35">
        <f t="shared" si="52"/>
        <v>386</v>
      </c>
      <c r="BF137" s="6">
        <v>311</v>
      </c>
      <c r="BG137" s="6">
        <v>1557</v>
      </c>
      <c r="BH137" s="6">
        <f t="shared" si="53"/>
        <v>362</v>
      </c>
      <c r="BI137" s="6"/>
      <c r="BJ137" s="35"/>
      <c r="BK137" s="6"/>
      <c r="BL137" s="6">
        <v>708</v>
      </c>
      <c r="BM137" s="6"/>
      <c r="BN137" s="6">
        <f t="shared" si="54"/>
        <v>397</v>
      </c>
      <c r="BO137" s="6">
        <v>248</v>
      </c>
      <c r="BP137" s="6">
        <v>836</v>
      </c>
      <c r="BQ137" s="35">
        <f t="shared" si="55"/>
        <v>376</v>
      </c>
      <c r="BR137" s="6">
        <v>635</v>
      </c>
      <c r="BS137" s="6"/>
      <c r="BT137" s="6">
        <f t="shared" si="56"/>
        <v>387</v>
      </c>
      <c r="BU137" s="6">
        <v>0</v>
      </c>
      <c r="BV137" s="6">
        <v>805</v>
      </c>
      <c r="BW137" s="35">
        <f t="shared" si="57"/>
        <v>170</v>
      </c>
      <c r="BX137" s="6">
        <v>357</v>
      </c>
      <c r="BY137" s="35"/>
      <c r="BZ137" s="6">
        <f t="shared" si="58"/>
        <v>357</v>
      </c>
      <c r="CA137" s="6">
        <v>737</v>
      </c>
      <c r="CB137" s="6"/>
      <c r="CC137" s="6">
        <f t="shared" si="59"/>
        <v>380</v>
      </c>
      <c r="CD137" s="6"/>
      <c r="CE137" s="35"/>
      <c r="CF137" s="6"/>
      <c r="CG137" s="6">
        <v>1141</v>
      </c>
      <c r="CH137" s="6"/>
      <c r="CI137" s="6">
        <f t="shared" si="60"/>
        <v>404</v>
      </c>
      <c r="CJ137" s="6">
        <v>1528</v>
      </c>
      <c r="CK137" s="6"/>
      <c r="CL137" s="6">
        <f t="shared" si="61"/>
        <v>387</v>
      </c>
      <c r="CM137" s="6">
        <v>351</v>
      </c>
      <c r="CN137" s="6">
        <v>1560</v>
      </c>
      <c r="CO137" s="6">
        <f t="shared" si="62"/>
        <v>383</v>
      </c>
      <c r="CP137" s="35">
        <v>739</v>
      </c>
      <c r="CQ137" s="6"/>
      <c r="CR137" s="6">
        <f t="shared" si="63"/>
        <v>388</v>
      </c>
      <c r="CS137" s="6">
        <v>1127</v>
      </c>
      <c r="CT137" s="6"/>
      <c r="CU137" s="6">
        <f t="shared" si="64"/>
        <v>388</v>
      </c>
      <c r="CV137" s="6">
        <v>1330</v>
      </c>
      <c r="CW137" s="6"/>
      <c r="CX137" s="6">
        <f t="shared" si="65"/>
        <v>203</v>
      </c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</row>
    <row r="138" spans="1:117" ht="15.75" customHeight="1">
      <c r="A138" s="6">
        <v>134</v>
      </c>
      <c r="B138" s="6">
        <v>643</v>
      </c>
      <c r="C138" s="6"/>
      <c r="D138" s="6">
        <v>362</v>
      </c>
      <c r="E138" s="33" t="s">
        <v>37</v>
      </c>
      <c r="F138" s="33" t="s">
        <v>37</v>
      </c>
      <c r="G138" s="33" t="s">
        <v>37</v>
      </c>
      <c r="H138" s="33" t="s">
        <v>37</v>
      </c>
      <c r="I138" s="33" t="s">
        <v>37</v>
      </c>
      <c r="J138" s="33" t="s">
        <v>37</v>
      </c>
      <c r="K138" s="33" t="s">
        <v>37</v>
      </c>
      <c r="L138" s="33" t="s">
        <v>37</v>
      </c>
      <c r="M138" s="33" t="s">
        <v>37</v>
      </c>
      <c r="N138" s="33" t="s">
        <v>37</v>
      </c>
      <c r="O138" s="33" t="s">
        <v>37</v>
      </c>
      <c r="P138" s="33" t="s">
        <v>37</v>
      </c>
      <c r="Q138" s="148" t="s">
        <v>199</v>
      </c>
      <c r="R138" s="33" t="s">
        <v>199</v>
      </c>
      <c r="S138" s="33" t="s">
        <v>199</v>
      </c>
      <c r="T138" s="33" t="s">
        <v>199</v>
      </c>
      <c r="U138" s="33" t="s">
        <v>199</v>
      </c>
      <c r="V138" s="33" t="s">
        <v>199</v>
      </c>
      <c r="W138" s="33" t="s">
        <v>199</v>
      </c>
      <c r="X138" s="33" t="s">
        <v>199</v>
      </c>
      <c r="Y138" s="33" t="s">
        <v>199</v>
      </c>
      <c r="Z138" s="33" t="s">
        <v>199</v>
      </c>
      <c r="AA138" s="33" t="s">
        <v>199</v>
      </c>
      <c r="AB138" s="6">
        <v>1056</v>
      </c>
      <c r="AC138" s="6"/>
      <c r="AD138" s="35">
        <f t="shared" si="44"/>
        <v>413</v>
      </c>
      <c r="AE138" s="6">
        <v>1438</v>
      </c>
      <c r="AF138" s="6"/>
      <c r="AG138" s="35">
        <f t="shared" si="45"/>
        <v>382</v>
      </c>
      <c r="AH138" s="35">
        <v>263</v>
      </c>
      <c r="AI138" s="35">
        <v>1560</v>
      </c>
      <c r="AJ138" s="35">
        <f t="shared" si="46"/>
        <v>385</v>
      </c>
      <c r="AK138" s="6">
        <v>625</v>
      </c>
      <c r="AL138" s="6"/>
      <c r="AM138" s="35">
        <f t="shared" si="47"/>
        <v>362</v>
      </c>
      <c r="AN138" s="6"/>
      <c r="AO138" s="6"/>
      <c r="AP138" s="34"/>
      <c r="AQ138" s="35">
        <v>369</v>
      </c>
      <c r="AR138" s="35">
        <v>640</v>
      </c>
      <c r="AS138" s="35">
        <f t="shared" si="48"/>
        <v>384</v>
      </c>
      <c r="AT138" s="6">
        <v>751</v>
      </c>
      <c r="AU138" s="6"/>
      <c r="AV138" s="35">
        <f t="shared" si="49"/>
        <v>382</v>
      </c>
      <c r="AW138" s="6">
        <v>1137</v>
      </c>
      <c r="AX138" s="6"/>
      <c r="AY138" s="35">
        <f t="shared" si="50"/>
        <v>386</v>
      </c>
      <c r="AZ138" s="35">
        <v>342</v>
      </c>
      <c r="BA138" s="35">
        <v>1182</v>
      </c>
      <c r="BB138" s="35">
        <f t="shared" si="51"/>
        <v>387</v>
      </c>
      <c r="BC138" s="6">
        <v>727</v>
      </c>
      <c r="BD138" s="6"/>
      <c r="BE138" s="35">
        <f t="shared" si="52"/>
        <v>385</v>
      </c>
      <c r="BF138" s="6">
        <v>1090</v>
      </c>
      <c r="BG138" s="6"/>
      <c r="BH138" s="6">
        <f t="shared" si="53"/>
        <v>363</v>
      </c>
      <c r="BI138" s="6"/>
      <c r="BJ138" s="6"/>
      <c r="BK138" s="6"/>
      <c r="BL138" s="6">
        <v>0</v>
      </c>
      <c r="BM138" s="6">
        <v>1353</v>
      </c>
      <c r="BN138" s="6">
        <f t="shared" si="54"/>
        <v>263</v>
      </c>
      <c r="BO138" s="6">
        <v>223</v>
      </c>
      <c r="BP138" s="6"/>
      <c r="BQ138" s="35">
        <f t="shared" si="55"/>
        <v>223</v>
      </c>
      <c r="BR138" s="6">
        <v>68</v>
      </c>
      <c r="BS138" s="6">
        <v>500</v>
      </c>
      <c r="BT138" s="6">
        <f t="shared" si="56"/>
        <v>345</v>
      </c>
      <c r="BU138" s="6">
        <v>68</v>
      </c>
      <c r="BV138" s="6"/>
      <c r="BW138" s="35">
        <f t="shared" si="57"/>
        <v>0</v>
      </c>
      <c r="BX138" s="6">
        <v>68</v>
      </c>
      <c r="BY138" s="6"/>
      <c r="BZ138" s="6">
        <f t="shared" si="58"/>
        <v>0</v>
      </c>
      <c r="CA138" s="6">
        <v>68</v>
      </c>
      <c r="CB138" s="6"/>
      <c r="CC138" s="6">
        <f t="shared" si="59"/>
        <v>0</v>
      </c>
      <c r="CD138" s="6"/>
      <c r="CE138" s="6"/>
      <c r="CF138" s="6"/>
      <c r="CG138" s="6">
        <v>68</v>
      </c>
      <c r="CH138" s="6"/>
      <c r="CI138" s="6">
        <f t="shared" si="60"/>
        <v>0</v>
      </c>
      <c r="CJ138" s="6">
        <v>68</v>
      </c>
      <c r="CK138" s="6"/>
      <c r="CL138" s="6">
        <f t="shared" si="61"/>
        <v>0</v>
      </c>
      <c r="CM138" s="6">
        <v>68</v>
      </c>
      <c r="CN138" s="6"/>
      <c r="CO138" s="6">
        <f t="shared" si="62"/>
        <v>0</v>
      </c>
      <c r="CP138" s="6">
        <v>68</v>
      </c>
      <c r="CQ138" s="6"/>
      <c r="CR138" s="6">
        <f t="shared" si="63"/>
        <v>0</v>
      </c>
      <c r="CS138" s="6">
        <v>68</v>
      </c>
      <c r="CT138" s="6"/>
      <c r="CU138" s="6">
        <f t="shared" si="64"/>
        <v>0</v>
      </c>
      <c r="CV138" s="6">
        <v>68</v>
      </c>
      <c r="CW138" s="6"/>
      <c r="CX138" s="6">
        <f t="shared" si="65"/>
        <v>0</v>
      </c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</row>
    <row r="139" spans="1:117">
      <c r="A139" s="6">
        <v>135</v>
      </c>
      <c r="B139" s="6">
        <v>233</v>
      </c>
      <c r="C139" s="6">
        <v>758</v>
      </c>
      <c r="D139" s="6">
        <v>347</v>
      </c>
      <c r="E139" s="148" t="s">
        <v>128</v>
      </c>
      <c r="F139" s="33" t="s">
        <v>128</v>
      </c>
      <c r="G139" s="33" t="s">
        <v>128</v>
      </c>
      <c r="H139" s="33" t="s">
        <v>128</v>
      </c>
      <c r="I139" s="33" t="s">
        <v>128</v>
      </c>
      <c r="J139" s="33" t="s">
        <v>128</v>
      </c>
      <c r="K139" s="33" t="s">
        <v>128</v>
      </c>
      <c r="L139" s="33" t="s">
        <v>128</v>
      </c>
      <c r="M139" s="33" t="s">
        <v>128</v>
      </c>
      <c r="N139" s="33" t="s">
        <v>128</v>
      </c>
      <c r="O139" s="33" t="s">
        <v>128</v>
      </c>
      <c r="P139" s="33" t="s">
        <v>128</v>
      </c>
      <c r="Q139" s="33" t="s">
        <v>128</v>
      </c>
      <c r="R139" s="33" t="s">
        <v>128</v>
      </c>
      <c r="S139" s="33" t="s">
        <v>128</v>
      </c>
      <c r="T139" s="33" t="s">
        <v>128</v>
      </c>
      <c r="U139" s="148" t="s">
        <v>307</v>
      </c>
      <c r="V139" s="33" t="s">
        <v>307</v>
      </c>
      <c r="W139" s="33" t="s">
        <v>307</v>
      </c>
      <c r="X139" s="33" t="s">
        <v>307</v>
      </c>
      <c r="Y139" s="33" t="s">
        <v>307</v>
      </c>
      <c r="Z139" s="33" t="s">
        <v>307</v>
      </c>
      <c r="AA139" s="33" t="s">
        <v>307</v>
      </c>
      <c r="AB139" s="35">
        <v>642</v>
      </c>
      <c r="AC139" s="35"/>
      <c r="AD139" s="35">
        <f t="shared" si="44"/>
        <v>409</v>
      </c>
      <c r="AE139" s="35">
        <v>1003</v>
      </c>
      <c r="AF139" s="35"/>
      <c r="AG139" s="35">
        <f t="shared" si="45"/>
        <v>361</v>
      </c>
      <c r="AH139" s="35">
        <v>1388</v>
      </c>
      <c r="AI139" s="35"/>
      <c r="AJ139" s="35">
        <f t="shared" si="46"/>
        <v>385</v>
      </c>
      <c r="AK139" s="35">
        <v>196</v>
      </c>
      <c r="AL139" s="35">
        <v>1560</v>
      </c>
      <c r="AM139" s="35">
        <f t="shared" si="47"/>
        <v>368</v>
      </c>
      <c r="AN139" s="35"/>
      <c r="AO139" s="35"/>
      <c r="AP139" s="34"/>
      <c r="AQ139" s="35">
        <v>588</v>
      </c>
      <c r="AR139" s="35"/>
      <c r="AS139" s="35">
        <f t="shared" si="48"/>
        <v>392</v>
      </c>
      <c r="AT139" s="6">
        <v>967</v>
      </c>
      <c r="AU139" s="6"/>
      <c r="AV139" s="35">
        <f t="shared" si="49"/>
        <v>379</v>
      </c>
      <c r="AW139" s="6">
        <v>1351</v>
      </c>
      <c r="AX139" s="6"/>
      <c r="AY139" s="35">
        <f t="shared" si="50"/>
        <v>384</v>
      </c>
      <c r="AZ139" s="6">
        <v>176</v>
      </c>
      <c r="BA139" s="6">
        <v>1560</v>
      </c>
      <c r="BB139" s="35">
        <f t="shared" si="51"/>
        <v>385</v>
      </c>
      <c r="BC139" s="6">
        <v>560</v>
      </c>
      <c r="BD139" s="6"/>
      <c r="BE139" s="35">
        <f t="shared" si="52"/>
        <v>384</v>
      </c>
      <c r="BF139" s="6">
        <v>932</v>
      </c>
      <c r="BG139" s="6"/>
      <c r="BH139" s="6">
        <f t="shared" si="53"/>
        <v>372</v>
      </c>
      <c r="BI139" s="35"/>
      <c r="BJ139" s="35"/>
      <c r="BK139" s="6"/>
      <c r="BL139" s="6">
        <v>1321</v>
      </c>
      <c r="BM139" s="6"/>
      <c r="BN139" s="6">
        <f t="shared" si="54"/>
        <v>389</v>
      </c>
      <c r="BO139" s="6">
        <v>127</v>
      </c>
      <c r="BP139" s="6">
        <v>1560</v>
      </c>
      <c r="BQ139" s="35">
        <f t="shared" si="55"/>
        <v>366</v>
      </c>
      <c r="BR139" s="6">
        <v>497</v>
      </c>
      <c r="BS139" s="6"/>
      <c r="BT139" s="6">
        <f t="shared" si="56"/>
        <v>370</v>
      </c>
      <c r="BU139" s="6">
        <v>873</v>
      </c>
      <c r="BV139" s="6"/>
      <c r="BW139" s="35">
        <f t="shared" si="57"/>
        <v>376</v>
      </c>
      <c r="BX139" s="6">
        <v>0</v>
      </c>
      <c r="BY139" s="35">
        <v>1160</v>
      </c>
      <c r="BZ139" s="6">
        <f t="shared" si="58"/>
        <v>287</v>
      </c>
      <c r="CA139" s="6">
        <v>341</v>
      </c>
      <c r="CB139" s="6"/>
      <c r="CC139" s="6">
        <f t="shared" si="59"/>
        <v>341</v>
      </c>
      <c r="CD139" s="6"/>
      <c r="CE139" s="35"/>
      <c r="CF139" s="6"/>
      <c r="CG139" s="6">
        <v>739</v>
      </c>
      <c r="CH139" s="6"/>
      <c r="CI139" s="6">
        <f t="shared" si="60"/>
        <v>398</v>
      </c>
      <c r="CJ139" s="6">
        <v>1129</v>
      </c>
      <c r="CK139" s="6"/>
      <c r="CL139" s="6">
        <f t="shared" si="61"/>
        <v>390</v>
      </c>
      <c r="CM139" s="6">
        <v>1514</v>
      </c>
      <c r="CN139" s="6"/>
      <c r="CO139" s="6">
        <f t="shared" si="62"/>
        <v>385</v>
      </c>
      <c r="CP139" s="6">
        <v>339</v>
      </c>
      <c r="CQ139" s="6">
        <v>1560</v>
      </c>
      <c r="CR139" s="6">
        <f t="shared" si="63"/>
        <v>385</v>
      </c>
      <c r="CS139" s="6">
        <v>730</v>
      </c>
      <c r="CT139" s="6"/>
      <c r="CU139" s="6">
        <f t="shared" si="64"/>
        <v>391</v>
      </c>
      <c r="CV139" s="6">
        <v>936</v>
      </c>
      <c r="CW139" s="6"/>
      <c r="CX139" s="6">
        <f t="shared" si="65"/>
        <v>206</v>
      </c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</row>
    <row r="140" spans="1:117">
      <c r="A140" s="6">
        <v>136</v>
      </c>
      <c r="B140" s="6">
        <v>1427</v>
      </c>
      <c r="C140" s="6"/>
      <c r="D140" s="6">
        <v>356</v>
      </c>
      <c r="E140" s="33" t="s">
        <v>37</v>
      </c>
      <c r="F140" s="33" t="s">
        <v>37</v>
      </c>
      <c r="G140" s="33" t="s">
        <v>37</v>
      </c>
      <c r="H140" s="33" t="s">
        <v>37</v>
      </c>
      <c r="I140" s="33" t="s">
        <v>37</v>
      </c>
      <c r="J140" s="33" t="s">
        <v>37</v>
      </c>
      <c r="K140" s="33" t="s">
        <v>37</v>
      </c>
      <c r="L140" s="33" t="s">
        <v>37</v>
      </c>
      <c r="M140" s="33" t="s">
        <v>37</v>
      </c>
      <c r="N140" s="33" t="s">
        <v>37</v>
      </c>
      <c r="O140" s="33" t="s">
        <v>37</v>
      </c>
      <c r="P140" s="33" t="s">
        <v>37</v>
      </c>
      <c r="Q140" s="33" t="s">
        <v>37</v>
      </c>
      <c r="R140" s="33" t="s">
        <v>37</v>
      </c>
      <c r="S140" s="148" t="s">
        <v>307</v>
      </c>
      <c r="T140" s="33" t="s">
        <v>307</v>
      </c>
      <c r="U140" s="33" t="s">
        <v>307</v>
      </c>
      <c r="V140" s="33" t="s">
        <v>307</v>
      </c>
      <c r="W140" s="33" t="s">
        <v>307</v>
      </c>
      <c r="X140" s="33" t="s">
        <v>307</v>
      </c>
      <c r="Y140" s="33" t="s">
        <v>307</v>
      </c>
      <c r="Z140" s="33" t="s">
        <v>307</v>
      </c>
      <c r="AA140" s="33" t="s">
        <v>307</v>
      </c>
      <c r="AB140" s="6">
        <v>278</v>
      </c>
      <c r="AC140" s="6">
        <v>1560</v>
      </c>
      <c r="AD140" s="35">
        <f t="shared" si="44"/>
        <v>411</v>
      </c>
      <c r="AE140" s="6">
        <v>664</v>
      </c>
      <c r="AF140" s="6"/>
      <c r="AG140" s="35">
        <f t="shared" si="45"/>
        <v>386</v>
      </c>
      <c r="AH140" s="35">
        <v>1048</v>
      </c>
      <c r="AI140" s="35"/>
      <c r="AJ140" s="35">
        <f t="shared" si="46"/>
        <v>384</v>
      </c>
      <c r="AK140" s="6">
        <v>1405</v>
      </c>
      <c r="AL140" s="6"/>
      <c r="AM140" s="35">
        <f t="shared" si="47"/>
        <v>357</v>
      </c>
      <c r="AN140" s="6"/>
      <c r="AO140" s="6"/>
      <c r="AP140" s="34"/>
      <c r="AQ140" s="35">
        <v>229</v>
      </c>
      <c r="AR140" s="35">
        <v>1560</v>
      </c>
      <c r="AS140" s="35">
        <f t="shared" si="48"/>
        <v>384</v>
      </c>
      <c r="AT140" s="6">
        <v>611</v>
      </c>
      <c r="AU140" s="6"/>
      <c r="AV140" s="35">
        <f t="shared" si="49"/>
        <v>382</v>
      </c>
      <c r="AW140" s="6">
        <v>258</v>
      </c>
      <c r="AX140" s="6">
        <v>727</v>
      </c>
      <c r="AY140" s="35">
        <f t="shared" si="50"/>
        <v>374</v>
      </c>
      <c r="AZ140" s="35">
        <v>639</v>
      </c>
      <c r="BA140" s="35"/>
      <c r="BB140" s="35">
        <f t="shared" si="51"/>
        <v>381</v>
      </c>
      <c r="BC140" s="6">
        <v>0</v>
      </c>
      <c r="BD140" s="35">
        <v>785</v>
      </c>
      <c r="BE140" s="35">
        <f t="shared" si="52"/>
        <v>146</v>
      </c>
      <c r="BF140" s="6">
        <v>371</v>
      </c>
      <c r="BG140" s="6"/>
      <c r="BH140" s="6">
        <f t="shared" si="53"/>
        <v>371</v>
      </c>
      <c r="BI140" s="35"/>
      <c r="BJ140" s="6"/>
      <c r="BK140" s="6"/>
      <c r="BL140" s="6">
        <v>771</v>
      </c>
      <c r="BM140" s="6"/>
      <c r="BN140" s="6">
        <f t="shared" si="54"/>
        <v>400</v>
      </c>
      <c r="BO140" s="6">
        <v>255</v>
      </c>
      <c r="BP140" s="6">
        <v>899</v>
      </c>
      <c r="BQ140" s="35">
        <f t="shared" si="55"/>
        <v>383</v>
      </c>
      <c r="BR140" s="6">
        <v>646</v>
      </c>
      <c r="BS140" s="6"/>
      <c r="BT140" s="6">
        <f t="shared" si="56"/>
        <v>391</v>
      </c>
      <c r="BU140" s="6">
        <v>237</v>
      </c>
      <c r="BV140" s="6">
        <v>751</v>
      </c>
      <c r="BW140" s="35">
        <f t="shared" si="57"/>
        <v>342</v>
      </c>
      <c r="BX140" s="35">
        <v>616</v>
      </c>
      <c r="BY140" s="6"/>
      <c r="BZ140" s="6">
        <f t="shared" si="58"/>
        <v>379</v>
      </c>
      <c r="CA140" s="6">
        <v>978</v>
      </c>
      <c r="CB140" s="6"/>
      <c r="CC140" s="6">
        <f t="shared" si="59"/>
        <v>362</v>
      </c>
      <c r="CD140" s="6"/>
      <c r="CE140" s="6"/>
      <c r="CF140" s="6"/>
      <c r="CG140" s="6">
        <v>1363</v>
      </c>
      <c r="CH140" s="6"/>
      <c r="CI140" s="6">
        <f t="shared" si="60"/>
        <v>385</v>
      </c>
      <c r="CJ140" s="6">
        <v>183</v>
      </c>
      <c r="CK140" s="6">
        <v>1552</v>
      </c>
      <c r="CL140" s="6">
        <f t="shared" si="61"/>
        <v>372</v>
      </c>
      <c r="CM140" s="6">
        <v>204</v>
      </c>
      <c r="CN140" s="6">
        <v>349</v>
      </c>
      <c r="CO140" s="6">
        <f t="shared" si="62"/>
        <v>370</v>
      </c>
      <c r="CP140" s="6">
        <v>585</v>
      </c>
      <c r="CQ140" s="6"/>
      <c r="CR140" s="6">
        <f t="shared" si="63"/>
        <v>381</v>
      </c>
      <c r="CS140" s="6">
        <v>968</v>
      </c>
      <c r="CT140" s="6"/>
      <c r="CU140" s="6">
        <f t="shared" si="64"/>
        <v>383</v>
      </c>
      <c r="CV140" s="6">
        <v>1160</v>
      </c>
      <c r="CW140" s="6"/>
      <c r="CX140" s="6">
        <f t="shared" si="65"/>
        <v>192</v>
      </c>
      <c r="CY140" s="6"/>
      <c r="CZ140" s="35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</row>
    <row r="141" spans="1:117">
      <c r="A141" s="6">
        <v>137</v>
      </c>
      <c r="B141" s="6">
        <v>270</v>
      </c>
      <c r="C141" s="6">
        <v>1560</v>
      </c>
      <c r="D141" s="6">
        <v>348</v>
      </c>
      <c r="E141" s="33" t="s">
        <v>128</v>
      </c>
      <c r="F141" s="33" t="s">
        <v>128</v>
      </c>
      <c r="G141" s="33" t="s">
        <v>128</v>
      </c>
      <c r="H141" s="148" t="s">
        <v>128</v>
      </c>
      <c r="I141" s="33" t="s">
        <v>128</v>
      </c>
      <c r="J141" s="33" t="s">
        <v>128</v>
      </c>
      <c r="K141" s="33" t="s">
        <v>128</v>
      </c>
      <c r="L141" s="33" t="s">
        <v>128</v>
      </c>
      <c r="M141" s="33" t="s">
        <v>128</v>
      </c>
      <c r="N141" s="33" t="s">
        <v>128</v>
      </c>
      <c r="O141" s="33" t="s">
        <v>128</v>
      </c>
      <c r="P141" s="33" t="s">
        <v>128</v>
      </c>
      <c r="Q141" s="33" t="s">
        <v>128</v>
      </c>
      <c r="R141" s="33" t="s">
        <v>128</v>
      </c>
      <c r="S141" s="33" t="s">
        <v>128</v>
      </c>
      <c r="T141" s="33" t="s">
        <v>128</v>
      </c>
      <c r="U141" s="33" t="s">
        <v>128</v>
      </c>
      <c r="V141" s="33" t="s">
        <v>128</v>
      </c>
      <c r="W141" s="33" t="s">
        <v>128</v>
      </c>
      <c r="X141" s="33" t="s">
        <v>128</v>
      </c>
      <c r="Y141" s="33" t="s">
        <v>128</v>
      </c>
      <c r="Z141" s="33" t="s">
        <v>128</v>
      </c>
      <c r="AA141" s="33" t="s">
        <v>128</v>
      </c>
      <c r="AB141" s="6">
        <v>672</v>
      </c>
      <c r="AC141" s="6"/>
      <c r="AD141" s="35">
        <f t="shared" si="44"/>
        <v>402</v>
      </c>
      <c r="AE141" s="6">
        <v>0</v>
      </c>
      <c r="AF141" s="6">
        <v>973</v>
      </c>
      <c r="AG141" s="35">
        <f t="shared" si="45"/>
        <v>301</v>
      </c>
      <c r="AH141" s="35">
        <v>369</v>
      </c>
      <c r="AI141" s="35"/>
      <c r="AJ141" s="35">
        <f t="shared" si="46"/>
        <v>369</v>
      </c>
      <c r="AK141" s="6">
        <v>716</v>
      </c>
      <c r="AL141" s="35"/>
      <c r="AM141" s="35">
        <f t="shared" si="47"/>
        <v>347</v>
      </c>
      <c r="AN141" s="6"/>
      <c r="AO141" s="6"/>
      <c r="AP141" s="34"/>
      <c r="AQ141" s="35">
        <v>1098</v>
      </c>
      <c r="AR141" s="35"/>
      <c r="AS141" s="35">
        <f t="shared" si="48"/>
        <v>382</v>
      </c>
      <c r="AT141" s="6">
        <v>1482</v>
      </c>
      <c r="AU141" s="6"/>
      <c r="AV141" s="35">
        <f t="shared" si="49"/>
        <v>384</v>
      </c>
      <c r="AW141" s="6">
        <v>288</v>
      </c>
      <c r="AX141" s="6">
        <v>1561</v>
      </c>
      <c r="AY141" s="35">
        <f t="shared" si="50"/>
        <v>367</v>
      </c>
      <c r="AZ141" s="35">
        <v>675</v>
      </c>
      <c r="BA141" s="35"/>
      <c r="BB141" s="35">
        <f t="shared" si="51"/>
        <v>387</v>
      </c>
      <c r="BC141" s="6">
        <v>1062</v>
      </c>
      <c r="BD141" s="35"/>
      <c r="BE141" s="35">
        <f t="shared" si="52"/>
        <v>387</v>
      </c>
      <c r="BF141" s="6">
        <v>1437</v>
      </c>
      <c r="BG141" s="6"/>
      <c r="BH141" s="6">
        <f t="shared" si="53"/>
        <v>375</v>
      </c>
      <c r="BI141" s="6"/>
      <c r="BJ141" s="6"/>
      <c r="BK141" s="6"/>
      <c r="BL141" s="6">
        <v>263</v>
      </c>
      <c r="BM141" s="6">
        <v>1560</v>
      </c>
      <c r="BN141" s="6">
        <f t="shared" si="54"/>
        <v>386</v>
      </c>
      <c r="BO141" s="6">
        <v>627</v>
      </c>
      <c r="BP141" s="6"/>
      <c r="BQ141" s="35">
        <f t="shared" si="55"/>
        <v>364</v>
      </c>
      <c r="BR141" s="6">
        <v>1000</v>
      </c>
      <c r="BS141" s="6"/>
      <c r="BT141" s="6">
        <f t="shared" si="56"/>
        <v>373</v>
      </c>
      <c r="BU141" s="6">
        <v>1374</v>
      </c>
      <c r="BV141" s="6"/>
      <c r="BW141" s="35">
        <f t="shared" si="57"/>
        <v>374</v>
      </c>
      <c r="BX141" s="6">
        <v>198</v>
      </c>
      <c r="BY141" s="6">
        <v>1560</v>
      </c>
      <c r="BZ141" s="6">
        <f t="shared" si="58"/>
        <v>384</v>
      </c>
      <c r="CA141" s="6">
        <v>569</v>
      </c>
      <c r="CB141" s="6"/>
      <c r="CC141" s="6">
        <f t="shared" si="59"/>
        <v>371</v>
      </c>
      <c r="CD141" s="6"/>
      <c r="CE141" s="6"/>
      <c r="CF141" s="6"/>
      <c r="CG141" s="6">
        <v>967</v>
      </c>
      <c r="CH141" s="6"/>
      <c r="CI141" s="6">
        <f t="shared" si="60"/>
        <v>398</v>
      </c>
      <c r="CJ141" s="6">
        <v>1360</v>
      </c>
      <c r="CK141" s="6"/>
      <c r="CL141" s="6">
        <f t="shared" si="61"/>
        <v>393</v>
      </c>
      <c r="CM141" s="6">
        <v>189</v>
      </c>
      <c r="CN141" s="6">
        <v>1560</v>
      </c>
      <c r="CO141" s="6">
        <f t="shared" si="62"/>
        <v>389</v>
      </c>
      <c r="CP141" s="6">
        <v>565</v>
      </c>
      <c r="CQ141" s="6"/>
      <c r="CR141" s="6">
        <f t="shared" si="63"/>
        <v>376</v>
      </c>
      <c r="CS141" s="6">
        <v>950</v>
      </c>
      <c r="CT141" s="6"/>
      <c r="CU141" s="6">
        <f t="shared" si="64"/>
        <v>385</v>
      </c>
      <c r="CV141" s="6">
        <v>1159</v>
      </c>
      <c r="CW141" s="6"/>
      <c r="CX141" s="6">
        <f t="shared" si="65"/>
        <v>209</v>
      </c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</row>
    <row r="142" spans="1:117">
      <c r="A142" s="6">
        <v>138</v>
      </c>
      <c r="B142" s="6">
        <v>703</v>
      </c>
      <c r="C142" s="6"/>
      <c r="D142" s="6">
        <v>362</v>
      </c>
      <c r="E142" s="33" t="s">
        <v>37</v>
      </c>
      <c r="F142" s="33" t="s">
        <v>37</v>
      </c>
      <c r="G142" s="33" t="s">
        <v>37</v>
      </c>
      <c r="H142" s="33" t="s">
        <v>37</v>
      </c>
      <c r="I142" s="33" t="s">
        <v>37</v>
      </c>
      <c r="J142" s="33" t="s">
        <v>37</v>
      </c>
      <c r="K142" s="33" t="s">
        <v>37</v>
      </c>
      <c r="L142" s="33" t="s">
        <v>37</v>
      </c>
      <c r="M142" s="33" t="s">
        <v>37</v>
      </c>
      <c r="N142" s="33" t="s">
        <v>37</v>
      </c>
      <c r="O142" s="33" t="s">
        <v>37</v>
      </c>
      <c r="P142" s="33" t="s">
        <v>37</v>
      </c>
      <c r="Q142" s="33" t="s">
        <v>37</v>
      </c>
      <c r="R142" s="33" t="s">
        <v>37</v>
      </c>
      <c r="S142" s="33" t="s">
        <v>37</v>
      </c>
      <c r="T142" s="148" t="s">
        <v>307</v>
      </c>
      <c r="U142" s="33" t="s">
        <v>307</v>
      </c>
      <c r="V142" s="33" t="s">
        <v>307</v>
      </c>
      <c r="W142" s="33" t="s">
        <v>307</v>
      </c>
      <c r="X142" s="33" t="s">
        <v>307</v>
      </c>
      <c r="Y142" s="33" t="s">
        <v>307</v>
      </c>
      <c r="Z142" s="33" t="s">
        <v>307</v>
      </c>
      <c r="AA142" s="33" t="s">
        <v>307</v>
      </c>
      <c r="AB142" s="6">
        <v>1108</v>
      </c>
      <c r="AC142" s="6"/>
      <c r="AD142" s="35">
        <f t="shared" si="44"/>
        <v>405</v>
      </c>
      <c r="AE142" s="6">
        <v>1495</v>
      </c>
      <c r="AF142" s="6"/>
      <c r="AG142" s="35">
        <f t="shared" si="45"/>
        <v>387</v>
      </c>
      <c r="AH142" s="35">
        <v>323</v>
      </c>
      <c r="AI142" s="35">
        <v>1560</v>
      </c>
      <c r="AJ142" s="35">
        <f t="shared" si="46"/>
        <v>388</v>
      </c>
      <c r="AK142" s="6">
        <v>688</v>
      </c>
      <c r="AL142" s="6"/>
      <c r="AM142" s="35">
        <f t="shared" si="47"/>
        <v>365</v>
      </c>
      <c r="AN142" s="6"/>
      <c r="AO142" s="6"/>
      <c r="AP142" s="34"/>
      <c r="AQ142" s="35">
        <v>1079</v>
      </c>
      <c r="AR142" s="35"/>
      <c r="AS142" s="35">
        <f t="shared" si="48"/>
        <v>391</v>
      </c>
      <c r="AT142" s="6">
        <v>1463</v>
      </c>
      <c r="AU142" s="6"/>
      <c r="AV142" s="35">
        <f t="shared" si="49"/>
        <v>384</v>
      </c>
      <c r="AW142" s="6">
        <v>279</v>
      </c>
      <c r="AX142" s="6">
        <v>1567</v>
      </c>
      <c r="AY142" s="35">
        <f t="shared" si="50"/>
        <v>383</v>
      </c>
      <c r="AZ142" s="6">
        <v>54</v>
      </c>
      <c r="BA142" s="6">
        <v>601</v>
      </c>
      <c r="BB142" s="35">
        <f t="shared" si="51"/>
        <v>376</v>
      </c>
      <c r="BC142" s="6">
        <v>430</v>
      </c>
      <c r="BD142" s="6"/>
      <c r="BE142" s="35">
        <f t="shared" si="52"/>
        <v>376</v>
      </c>
      <c r="BF142" s="6">
        <v>804</v>
      </c>
      <c r="BG142" s="6"/>
      <c r="BH142" s="6">
        <f t="shared" si="53"/>
        <v>374</v>
      </c>
      <c r="BI142" s="6"/>
      <c r="BJ142" s="35"/>
      <c r="BK142" s="6"/>
      <c r="BL142" s="6">
        <v>1206</v>
      </c>
      <c r="BM142" s="6"/>
      <c r="BN142" s="6">
        <f t="shared" si="54"/>
        <v>402</v>
      </c>
      <c r="BO142" s="6">
        <v>282</v>
      </c>
      <c r="BP142" s="6">
        <v>1309</v>
      </c>
      <c r="BQ142" s="35">
        <f t="shared" si="55"/>
        <v>385</v>
      </c>
      <c r="BR142" s="6">
        <v>673</v>
      </c>
      <c r="BS142" s="6"/>
      <c r="BT142" s="6">
        <f t="shared" si="56"/>
        <v>391</v>
      </c>
      <c r="BU142" s="6">
        <v>1066</v>
      </c>
      <c r="BV142" s="6"/>
      <c r="BW142" s="35">
        <f t="shared" si="57"/>
        <v>393</v>
      </c>
      <c r="BX142" s="6">
        <f>102</f>
        <v>102</v>
      </c>
      <c r="BY142" s="35">
        <f>1104+196</f>
        <v>1300</v>
      </c>
      <c r="BZ142" s="6">
        <f t="shared" si="58"/>
        <v>336</v>
      </c>
      <c r="CA142" s="6">
        <v>118</v>
      </c>
      <c r="CB142" s="6">
        <v>332</v>
      </c>
      <c r="CC142" s="6">
        <f t="shared" si="59"/>
        <v>348</v>
      </c>
      <c r="CD142" s="6"/>
      <c r="CE142" s="35"/>
      <c r="CF142" s="6"/>
      <c r="CG142" s="6">
        <v>376</v>
      </c>
      <c r="CH142" s="6">
        <v>123</v>
      </c>
      <c r="CI142" s="6">
        <f t="shared" si="60"/>
        <v>381</v>
      </c>
      <c r="CJ142" s="6">
        <v>769</v>
      </c>
      <c r="CK142" s="6"/>
      <c r="CL142" s="6">
        <f t="shared" si="61"/>
        <v>393</v>
      </c>
      <c r="CM142" s="6">
        <v>1157</v>
      </c>
      <c r="CN142" s="6"/>
      <c r="CO142" s="6">
        <f t="shared" si="62"/>
        <v>388</v>
      </c>
      <c r="CP142" s="6">
        <v>207</v>
      </c>
      <c r="CQ142" s="6">
        <v>1341</v>
      </c>
      <c r="CR142" s="6">
        <f t="shared" si="63"/>
        <v>391</v>
      </c>
      <c r="CS142" s="6">
        <v>594</v>
      </c>
      <c r="CT142" s="35"/>
      <c r="CU142" s="6">
        <f t="shared" si="64"/>
        <v>387</v>
      </c>
      <c r="CV142" s="6">
        <v>800</v>
      </c>
      <c r="CW142" s="35"/>
      <c r="CX142" s="6">
        <f t="shared" si="65"/>
        <v>206</v>
      </c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</row>
    <row r="143" spans="1:117">
      <c r="A143" s="7">
        <v>139</v>
      </c>
      <c r="B143" s="6">
        <v>255</v>
      </c>
      <c r="C143" s="6">
        <v>1560</v>
      </c>
      <c r="D143" s="6">
        <v>347</v>
      </c>
      <c r="E143" s="33" t="s">
        <v>37</v>
      </c>
      <c r="F143" s="33" t="s">
        <v>37</v>
      </c>
      <c r="G143" s="33" t="s">
        <v>37</v>
      </c>
      <c r="H143" s="33" t="s">
        <v>37</v>
      </c>
      <c r="I143" s="33" t="s">
        <v>37</v>
      </c>
      <c r="J143" s="33" t="s">
        <v>37</v>
      </c>
      <c r="K143" s="33" t="s">
        <v>37</v>
      </c>
      <c r="L143" s="33" t="s">
        <v>37</v>
      </c>
      <c r="M143" s="33" t="s">
        <v>37</v>
      </c>
      <c r="N143" s="33" t="s">
        <v>37</v>
      </c>
      <c r="O143" s="33" t="s">
        <v>37</v>
      </c>
      <c r="P143" s="33" t="s">
        <v>37</v>
      </c>
      <c r="Q143" s="33" t="s">
        <v>37</v>
      </c>
      <c r="R143" s="33" t="s">
        <v>37</v>
      </c>
      <c r="S143" s="33" t="s">
        <v>37</v>
      </c>
      <c r="T143" s="33" t="s">
        <v>37</v>
      </c>
      <c r="U143" s="33" t="s">
        <v>37</v>
      </c>
      <c r="V143" s="148" t="s">
        <v>307</v>
      </c>
      <c r="W143" s="33" t="s">
        <v>307</v>
      </c>
      <c r="X143" s="33" t="s">
        <v>307</v>
      </c>
      <c r="Y143" s="33" t="s">
        <v>307</v>
      </c>
      <c r="Z143" s="33" t="s">
        <v>307</v>
      </c>
      <c r="AA143" s="33" t="s">
        <v>307</v>
      </c>
      <c r="AB143" s="35">
        <v>662</v>
      </c>
      <c r="AC143" s="35"/>
      <c r="AD143" s="35">
        <f t="shared" si="44"/>
        <v>407</v>
      </c>
      <c r="AE143" s="35">
        <v>1034</v>
      </c>
      <c r="AF143" s="35"/>
      <c r="AG143" s="35">
        <f t="shared" si="45"/>
        <v>372</v>
      </c>
      <c r="AH143" s="35">
        <v>1419</v>
      </c>
      <c r="AI143" s="35"/>
      <c r="AJ143" s="35">
        <f t="shared" si="46"/>
        <v>385</v>
      </c>
      <c r="AK143" s="6">
        <v>216</v>
      </c>
      <c r="AL143" s="6">
        <v>1560</v>
      </c>
      <c r="AM143" s="35">
        <f t="shared" si="47"/>
        <v>357</v>
      </c>
      <c r="AN143" s="6"/>
      <c r="AO143" s="6"/>
      <c r="AP143" s="34"/>
      <c r="AQ143" s="35">
        <v>595</v>
      </c>
      <c r="AR143" s="35"/>
      <c r="AS143" s="35">
        <f t="shared" si="48"/>
        <v>379</v>
      </c>
      <c r="AT143" s="6">
        <v>979</v>
      </c>
      <c r="AU143" s="6"/>
      <c r="AV143" s="35">
        <f t="shared" si="49"/>
        <v>384</v>
      </c>
      <c r="AW143" s="6">
        <v>1360</v>
      </c>
      <c r="AX143" s="6"/>
      <c r="AY143" s="35">
        <f t="shared" si="50"/>
        <v>381</v>
      </c>
      <c r="AZ143" s="6">
        <v>184</v>
      </c>
      <c r="BA143" s="6">
        <v>1560</v>
      </c>
      <c r="BB143" s="35">
        <f t="shared" si="51"/>
        <v>384</v>
      </c>
      <c r="BC143" s="6">
        <v>569</v>
      </c>
      <c r="BD143" s="6"/>
      <c r="BE143" s="35">
        <f t="shared" si="52"/>
        <v>385</v>
      </c>
      <c r="BF143" s="6">
        <v>942</v>
      </c>
      <c r="BG143" s="6"/>
      <c r="BH143" s="6">
        <f t="shared" si="53"/>
        <v>373</v>
      </c>
      <c r="BI143" s="6"/>
      <c r="BJ143" s="35"/>
      <c r="BK143" s="6"/>
      <c r="BL143" s="6">
        <v>1338</v>
      </c>
      <c r="BM143" s="6"/>
      <c r="BN143" s="6">
        <f t="shared" si="54"/>
        <v>396</v>
      </c>
      <c r="BO143" s="6">
        <v>273</v>
      </c>
      <c r="BP143" s="6">
        <v>1435</v>
      </c>
      <c r="BQ143" s="35">
        <f t="shared" si="55"/>
        <v>370</v>
      </c>
      <c r="BR143" s="6">
        <v>657</v>
      </c>
      <c r="BS143" s="6"/>
      <c r="BT143" s="6">
        <f t="shared" si="56"/>
        <v>384</v>
      </c>
      <c r="BU143" s="6">
        <v>1040</v>
      </c>
      <c r="BV143" s="6"/>
      <c r="BW143" s="35">
        <f t="shared" si="57"/>
        <v>383</v>
      </c>
      <c r="BX143" s="6">
        <v>1428</v>
      </c>
      <c r="BY143" s="35"/>
      <c r="BZ143" s="6">
        <f t="shared" si="58"/>
        <v>388</v>
      </c>
      <c r="CA143" s="6">
        <v>0</v>
      </c>
      <c r="CB143" s="6">
        <v>1734</v>
      </c>
      <c r="CC143" s="6">
        <f t="shared" si="59"/>
        <v>306</v>
      </c>
      <c r="CD143" s="6"/>
      <c r="CE143" s="35"/>
      <c r="CF143" s="6"/>
      <c r="CG143" s="6">
        <v>343</v>
      </c>
      <c r="CH143" s="6"/>
      <c r="CI143" s="6">
        <f t="shared" si="60"/>
        <v>343</v>
      </c>
      <c r="CJ143" s="6">
        <v>735</v>
      </c>
      <c r="CK143" s="6"/>
      <c r="CL143" s="6">
        <f t="shared" si="61"/>
        <v>392</v>
      </c>
      <c r="CM143" s="6">
        <v>1120</v>
      </c>
      <c r="CN143" s="6"/>
      <c r="CO143" s="6">
        <f t="shared" si="62"/>
        <v>385</v>
      </c>
      <c r="CP143" s="6">
        <v>1497</v>
      </c>
      <c r="CQ143" s="6"/>
      <c r="CR143" s="6">
        <f t="shared" si="63"/>
        <v>377</v>
      </c>
      <c r="CS143" s="6">
        <v>307</v>
      </c>
      <c r="CT143" s="35">
        <v>1580</v>
      </c>
      <c r="CU143" s="6">
        <f t="shared" si="64"/>
        <v>390</v>
      </c>
      <c r="CV143" s="6">
        <v>516</v>
      </c>
      <c r="CW143" s="6"/>
      <c r="CX143" s="6">
        <f t="shared" si="65"/>
        <v>209</v>
      </c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</row>
    <row r="144" spans="1:117">
      <c r="A144" s="7">
        <v>140</v>
      </c>
      <c r="B144" s="6">
        <v>712</v>
      </c>
      <c r="C144" s="6"/>
      <c r="D144" s="6">
        <v>359</v>
      </c>
      <c r="E144" s="33" t="s">
        <v>128</v>
      </c>
      <c r="F144" s="33" t="s">
        <v>128</v>
      </c>
      <c r="G144" s="33" t="s">
        <v>128</v>
      </c>
      <c r="H144" s="33" t="s">
        <v>128</v>
      </c>
      <c r="I144" s="33" t="s">
        <v>128</v>
      </c>
      <c r="J144" s="33" t="s">
        <v>128</v>
      </c>
      <c r="K144" s="33" t="s">
        <v>128</v>
      </c>
      <c r="L144" s="33" t="s">
        <v>128</v>
      </c>
      <c r="M144" s="33" t="s">
        <v>128</v>
      </c>
      <c r="N144" s="33" t="s">
        <v>128</v>
      </c>
      <c r="O144" s="33" t="s">
        <v>128</v>
      </c>
      <c r="P144" s="33" t="s">
        <v>128</v>
      </c>
      <c r="Q144" s="33" t="s">
        <v>128</v>
      </c>
      <c r="R144" s="33" t="s">
        <v>128</v>
      </c>
      <c r="S144" s="33" t="s">
        <v>128</v>
      </c>
      <c r="T144" s="33" t="s">
        <v>128</v>
      </c>
      <c r="U144" s="33" t="s">
        <v>128</v>
      </c>
      <c r="V144" s="33" t="s">
        <v>128</v>
      </c>
      <c r="W144" s="33" t="s">
        <v>128</v>
      </c>
      <c r="X144" s="33" t="s">
        <v>128</v>
      </c>
      <c r="Y144" s="148" t="s">
        <v>307</v>
      </c>
      <c r="Z144" s="33" t="s">
        <v>307</v>
      </c>
      <c r="AA144" s="33" t="s">
        <v>307</v>
      </c>
      <c r="AB144" s="35">
        <v>1123</v>
      </c>
      <c r="AC144" s="35"/>
      <c r="AD144" s="35">
        <f t="shared" si="44"/>
        <v>411</v>
      </c>
      <c r="AE144" s="35">
        <v>1494</v>
      </c>
      <c r="AF144" s="35"/>
      <c r="AG144" s="35">
        <f t="shared" si="45"/>
        <v>371</v>
      </c>
      <c r="AH144" s="35">
        <v>323</v>
      </c>
      <c r="AI144" s="35">
        <v>1560</v>
      </c>
      <c r="AJ144" s="35">
        <f t="shared" si="46"/>
        <v>389</v>
      </c>
      <c r="AK144" s="6">
        <v>265</v>
      </c>
      <c r="AL144" s="6">
        <v>393</v>
      </c>
      <c r="AM144" s="35">
        <f t="shared" si="47"/>
        <v>335</v>
      </c>
      <c r="AN144" s="6"/>
      <c r="AO144" s="6"/>
      <c r="AP144" s="34"/>
      <c r="AQ144" s="35">
        <v>643</v>
      </c>
      <c r="AR144" s="35"/>
      <c r="AS144" s="35">
        <f t="shared" si="48"/>
        <v>378</v>
      </c>
      <c r="AT144" s="6">
        <v>1009</v>
      </c>
      <c r="AU144" s="6"/>
      <c r="AV144" s="35">
        <f t="shared" si="49"/>
        <v>366</v>
      </c>
      <c r="AW144" s="6">
        <v>1375</v>
      </c>
      <c r="AX144" s="6"/>
      <c r="AY144" s="35">
        <f t="shared" si="50"/>
        <v>366</v>
      </c>
      <c r="AZ144" s="6">
        <v>197</v>
      </c>
      <c r="BA144" s="6">
        <v>1560</v>
      </c>
      <c r="BB144" s="35">
        <f t="shared" si="51"/>
        <v>382</v>
      </c>
      <c r="BC144" s="6">
        <v>577</v>
      </c>
      <c r="BD144" s="6"/>
      <c r="BE144" s="35">
        <f t="shared" si="52"/>
        <v>380</v>
      </c>
      <c r="BF144" s="6">
        <v>943</v>
      </c>
      <c r="BG144" s="6"/>
      <c r="BH144" s="6">
        <f t="shared" si="53"/>
        <v>366</v>
      </c>
      <c r="BI144" s="6"/>
      <c r="BJ144" s="35"/>
      <c r="BK144" s="6"/>
      <c r="BL144" s="6">
        <v>1332</v>
      </c>
      <c r="BM144" s="6"/>
      <c r="BN144" s="6">
        <f t="shared" si="54"/>
        <v>389</v>
      </c>
      <c r="BO144" s="6">
        <v>144</v>
      </c>
      <c r="BP144" s="6">
        <v>1560</v>
      </c>
      <c r="BQ144" s="35">
        <f t="shared" si="55"/>
        <v>372</v>
      </c>
      <c r="BR144" s="6">
        <v>527</v>
      </c>
      <c r="BS144" s="6"/>
      <c r="BT144" s="6">
        <f t="shared" si="56"/>
        <v>383</v>
      </c>
      <c r="BU144" s="6">
        <v>906</v>
      </c>
      <c r="BV144" s="6"/>
      <c r="BW144" s="35">
        <f t="shared" si="57"/>
        <v>379</v>
      </c>
      <c r="BX144" s="6">
        <v>1290</v>
      </c>
      <c r="BY144" s="35"/>
      <c r="BZ144" s="6">
        <f t="shared" si="58"/>
        <v>384</v>
      </c>
      <c r="CA144" s="6">
        <v>97</v>
      </c>
      <c r="CB144" s="6">
        <v>1560</v>
      </c>
      <c r="CC144" s="6">
        <f t="shared" si="59"/>
        <v>367</v>
      </c>
      <c r="CD144" s="6"/>
      <c r="CE144" s="35"/>
      <c r="CF144" s="6"/>
      <c r="CG144" s="6">
        <v>487</v>
      </c>
      <c r="CH144" s="6"/>
      <c r="CI144" s="6">
        <f t="shared" si="60"/>
        <v>390</v>
      </c>
      <c r="CJ144" s="6">
        <v>873</v>
      </c>
      <c r="CK144" s="6"/>
      <c r="CL144" s="6">
        <f t="shared" si="61"/>
        <v>386</v>
      </c>
      <c r="CM144" s="6">
        <v>0</v>
      </c>
      <c r="CN144" s="6">
        <v>1226</v>
      </c>
      <c r="CO144" s="6">
        <f t="shared" si="62"/>
        <v>353</v>
      </c>
      <c r="CP144" s="6">
        <v>341</v>
      </c>
      <c r="CQ144" s="6"/>
      <c r="CR144" s="6">
        <f t="shared" si="63"/>
        <v>341</v>
      </c>
      <c r="CS144" s="6">
        <v>726</v>
      </c>
      <c r="CT144" s="6"/>
      <c r="CU144" s="6">
        <f t="shared" si="64"/>
        <v>385</v>
      </c>
      <c r="CV144" s="6">
        <v>932</v>
      </c>
      <c r="CW144" s="6"/>
      <c r="CX144" s="6">
        <f t="shared" si="65"/>
        <v>206</v>
      </c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</row>
    <row r="145" spans="1:117">
      <c r="A145" s="6">
        <v>141</v>
      </c>
      <c r="B145" s="6">
        <v>327</v>
      </c>
      <c r="C145" s="6"/>
      <c r="D145" s="6">
        <v>327</v>
      </c>
      <c r="E145" s="148" t="s">
        <v>37</v>
      </c>
      <c r="F145" s="33" t="s">
        <v>37</v>
      </c>
      <c r="G145" s="33" t="s">
        <v>37</v>
      </c>
      <c r="H145" s="33" t="s">
        <v>37</v>
      </c>
      <c r="I145" s="33" t="s">
        <v>37</v>
      </c>
      <c r="J145" s="33" t="s">
        <v>37</v>
      </c>
      <c r="K145" s="33" t="s">
        <v>37</v>
      </c>
      <c r="L145" s="33" t="s">
        <v>37</v>
      </c>
      <c r="M145" s="33" t="s">
        <v>37</v>
      </c>
      <c r="N145" s="33" t="s">
        <v>37</v>
      </c>
      <c r="O145" s="33" t="s">
        <v>37</v>
      </c>
      <c r="P145" s="33" t="s">
        <v>37</v>
      </c>
      <c r="Q145" s="33" t="s">
        <v>37</v>
      </c>
      <c r="R145" s="33" t="s">
        <v>37</v>
      </c>
      <c r="S145" s="33" t="s">
        <v>37</v>
      </c>
      <c r="T145" s="33" t="s">
        <v>37</v>
      </c>
      <c r="U145" s="33" t="s">
        <v>37</v>
      </c>
      <c r="V145" s="33" t="s">
        <v>37</v>
      </c>
      <c r="W145" s="33" t="s">
        <v>37</v>
      </c>
      <c r="X145" s="33" t="s">
        <v>37</v>
      </c>
      <c r="Y145" s="33" t="s">
        <v>37</v>
      </c>
      <c r="Z145" s="33" t="s">
        <v>37</v>
      </c>
      <c r="AA145" s="148" t="s">
        <v>37</v>
      </c>
      <c r="AB145" s="35">
        <v>729</v>
      </c>
      <c r="AC145" s="35"/>
      <c r="AD145" s="35">
        <f t="shared" si="44"/>
        <v>402</v>
      </c>
      <c r="AE145" s="35">
        <v>1116</v>
      </c>
      <c r="AF145" s="35"/>
      <c r="AG145" s="35">
        <f t="shared" si="45"/>
        <v>387</v>
      </c>
      <c r="AH145" s="35">
        <v>41</v>
      </c>
      <c r="AI145" s="35">
        <v>1462</v>
      </c>
      <c r="AJ145" s="35">
        <f t="shared" si="46"/>
        <v>387</v>
      </c>
      <c r="AK145" s="35">
        <v>71</v>
      </c>
      <c r="AL145" s="35">
        <v>326</v>
      </c>
      <c r="AM145" s="35">
        <f t="shared" si="47"/>
        <v>356</v>
      </c>
      <c r="AN145" s="35"/>
      <c r="AO145" s="35"/>
      <c r="AP145" s="34"/>
      <c r="AQ145" s="35">
        <v>458</v>
      </c>
      <c r="AR145" s="35"/>
      <c r="AS145" s="35">
        <f t="shared" si="48"/>
        <v>387</v>
      </c>
      <c r="AT145" s="6">
        <v>836</v>
      </c>
      <c r="AU145" s="6"/>
      <c r="AV145" s="35">
        <f t="shared" si="49"/>
        <v>378</v>
      </c>
      <c r="AW145" s="6">
        <v>1223</v>
      </c>
      <c r="AX145" s="35"/>
      <c r="AY145" s="35">
        <f t="shared" si="50"/>
        <v>387</v>
      </c>
      <c r="AZ145" s="6">
        <v>20</v>
      </c>
      <c r="BA145" s="6">
        <v>1560</v>
      </c>
      <c r="BB145" s="35">
        <f t="shared" si="51"/>
        <v>357</v>
      </c>
      <c r="BC145" s="6">
        <v>340</v>
      </c>
      <c r="BD145" s="6"/>
      <c r="BE145" s="35">
        <f t="shared" si="52"/>
        <v>320</v>
      </c>
      <c r="BF145" s="6">
        <v>619</v>
      </c>
      <c r="BG145" s="6"/>
      <c r="BH145" s="6">
        <f t="shared" si="53"/>
        <v>279</v>
      </c>
      <c r="BI145" s="6"/>
      <c r="BJ145" s="35"/>
      <c r="BK145" s="6"/>
      <c r="BL145" s="6">
        <v>954</v>
      </c>
      <c r="BM145" s="6"/>
      <c r="BN145" s="6">
        <f t="shared" si="54"/>
        <v>335</v>
      </c>
      <c r="BO145" s="6">
        <v>227</v>
      </c>
      <c r="BP145" s="6">
        <v>1043</v>
      </c>
      <c r="BQ145" s="35">
        <f t="shared" si="55"/>
        <v>316</v>
      </c>
      <c r="BR145" s="6">
        <v>557</v>
      </c>
      <c r="BS145" s="6"/>
      <c r="BT145" s="6">
        <f t="shared" si="56"/>
        <v>330</v>
      </c>
      <c r="BU145" s="6">
        <v>899</v>
      </c>
      <c r="BV145" s="6"/>
      <c r="BW145" s="35">
        <f t="shared" si="57"/>
        <v>342</v>
      </c>
      <c r="BX145" s="6">
        <v>1265</v>
      </c>
      <c r="BY145" s="35"/>
      <c r="BZ145" s="6">
        <f t="shared" si="58"/>
        <v>366</v>
      </c>
      <c r="CA145" s="6">
        <v>40</v>
      </c>
      <c r="CB145" s="6">
        <v>1575</v>
      </c>
      <c r="CC145" s="6">
        <f t="shared" si="59"/>
        <v>350</v>
      </c>
      <c r="CD145" s="6"/>
      <c r="CE145" s="35"/>
      <c r="CF145" s="6"/>
      <c r="CG145" s="6">
        <v>421</v>
      </c>
      <c r="CH145" s="6"/>
      <c r="CI145" s="6">
        <f t="shared" si="60"/>
        <v>381</v>
      </c>
      <c r="CJ145" s="6">
        <v>790</v>
      </c>
      <c r="CK145" s="6"/>
      <c r="CL145" s="6">
        <f t="shared" si="61"/>
        <v>369</v>
      </c>
      <c r="CM145" s="6">
        <v>1166</v>
      </c>
      <c r="CN145" s="6"/>
      <c r="CO145" s="6">
        <f t="shared" si="62"/>
        <v>376</v>
      </c>
      <c r="CP145" s="6">
        <v>1548</v>
      </c>
      <c r="CQ145" s="6"/>
      <c r="CR145" s="6">
        <f t="shared" si="63"/>
        <v>382</v>
      </c>
      <c r="CS145" s="6">
        <v>0</v>
      </c>
      <c r="CT145" s="6">
        <v>1886</v>
      </c>
      <c r="CU145" s="6">
        <f t="shared" si="64"/>
        <v>338</v>
      </c>
      <c r="CV145" s="6">
        <v>160</v>
      </c>
      <c r="CW145" s="6"/>
      <c r="CX145" s="6">
        <f t="shared" si="65"/>
        <v>160</v>
      </c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</row>
    <row r="146" spans="1:117">
      <c r="A146" s="6">
        <v>142</v>
      </c>
      <c r="B146" s="6">
        <v>248</v>
      </c>
      <c r="C146" s="6">
        <v>1560</v>
      </c>
      <c r="D146" s="6">
        <v>350</v>
      </c>
      <c r="E146" s="33" t="s">
        <v>128</v>
      </c>
      <c r="F146" s="33" t="s">
        <v>128</v>
      </c>
      <c r="G146" s="33" t="s">
        <v>128</v>
      </c>
      <c r="H146" s="33" t="s">
        <v>128</v>
      </c>
      <c r="I146" s="33" t="s">
        <v>128</v>
      </c>
      <c r="J146" s="33" t="s">
        <v>128</v>
      </c>
      <c r="K146" s="33" t="s">
        <v>128</v>
      </c>
      <c r="L146" s="33" t="s">
        <v>128</v>
      </c>
      <c r="M146" s="33" t="s">
        <v>128</v>
      </c>
      <c r="N146" s="33" t="s">
        <v>128</v>
      </c>
      <c r="O146" s="33" t="s">
        <v>128</v>
      </c>
      <c r="P146" s="33" t="s">
        <v>128</v>
      </c>
      <c r="Q146" s="33" t="s">
        <v>128</v>
      </c>
      <c r="R146" s="148" t="s">
        <v>128</v>
      </c>
      <c r="S146" s="33" t="s">
        <v>128</v>
      </c>
      <c r="T146" s="33" t="s">
        <v>128</v>
      </c>
      <c r="U146" s="33" t="s">
        <v>128</v>
      </c>
      <c r="V146" s="33" t="s">
        <v>128</v>
      </c>
      <c r="W146" s="33" t="s">
        <v>128</v>
      </c>
      <c r="X146" s="33" t="s">
        <v>128</v>
      </c>
      <c r="Y146" s="33" t="s">
        <v>128</v>
      </c>
      <c r="Z146" s="33" t="s">
        <v>128</v>
      </c>
      <c r="AA146" s="33" t="s">
        <v>128</v>
      </c>
      <c r="AB146" s="6">
        <v>653</v>
      </c>
      <c r="AC146" s="6"/>
      <c r="AD146" s="35">
        <f t="shared" si="44"/>
        <v>405</v>
      </c>
      <c r="AE146" s="6">
        <v>1037</v>
      </c>
      <c r="AF146" s="6"/>
      <c r="AG146" s="35">
        <f t="shared" si="45"/>
        <v>384</v>
      </c>
      <c r="AH146" s="35">
        <v>1425</v>
      </c>
      <c r="AI146" s="35"/>
      <c r="AJ146" s="35">
        <f t="shared" si="46"/>
        <v>388</v>
      </c>
      <c r="AK146" s="6">
        <v>232</v>
      </c>
      <c r="AL146" s="6">
        <v>1559</v>
      </c>
      <c r="AM146" s="35">
        <f t="shared" si="47"/>
        <v>366</v>
      </c>
      <c r="AN146" s="6"/>
      <c r="AO146" s="6"/>
      <c r="AP146" s="34"/>
      <c r="AQ146" s="35">
        <v>620</v>
      </c>
      <c r="AR146" s="35"/>
      <c r="AS146" s="35">
        <f t="shared" si="48"/>
        <v>388</v>
      </c>
      <c r="AT146" s="6">
        <v>991</v>
      </c>
      <c r="AU146" s="6"/>
      <c r="AV146" s="35">
        <f t="shared" si="49"/>
        <v>371</v>
      </c>
      <c r="AW146" s="6">
        <v>1373</v>
      </c>
      <c r="AX146" s="6"/>
      <c r="AY146" s="35">
        <f t="shared" si="50"/>
        <v>382</v>
      </c>
      <c r="AZ146" s="35">
        <v>198</v>
      </c>
      <c r="BA146" s="35">
        <v>1560</v>
      </c>
      <c r="BB146" s="35">
        <f t="shared" si="51"/>
        <v>385</v>
      </c>
      <c r="BC146" s="6">
        <v>583</v>
      </c>
      <c r="BD146" s="6"/>
      <c r="BE146" s="35">
        <f t="shared" si="52"/>
        <v>385</v>
      </c>
      <c r="BF146" s="6">
        <v>953</v>
      </c>
      <c r="BG146" s="6"/>
      <c r="BH146" s="6">
        <f t="shared" si="53"/>
        <v>370</v>
      </c>
      <c r="BI146" s="6"/>
      <c r="BJ146" s="6"/>
      <c r="BK146" s="6"/>
      <c r="BL146" s="6">
        <v>1304</v>
      </c>
      <c r="BM146" s="6"/>
      <c r="BN146" s="6">
        <f t="shared" si="54"/>
        <v>351</v>
      </c>
      <c r="BO146" s="6">
        <v>0</v>
      </c>
      <c r="BP146" s="6">
        <v>1626</v>
      </c>
      <c r="BQ146" s="35">
        <f t="shared" si="55"/>
        <v>322</v>
      </c>
      <c r="BR146" s="6">
        <v>325</v>
      </c>
      <c r="BS146" s="6"/>
      <c r="BT146" s="6">
        <f t="shared" si="56"/>
        <v>325</v>
      </c>
      <c r="BU146" s="6">
        <v>672</v>
      </c>
      <c r="BV146" s="6"/>
      <c r="BW146" s="35">
        <f t="shared" si="57"/>
        <v>347</v>
      </c>
      <c r="BX146" s="6">
        <v>1028</v>
      </c>
      <c r="BY146" s="6"/>
      <c r="BZ146" s="6">
        <f t="shared" si="58"/>
        <v>356</v>
      </c>
      <c r="CA146" s="6">
        <v>1369</v>
      </c>
      <c r="CB146" s="6"/>
      <c r="CC146" s="6">
        <f t="shared" si="59"/>
        <v>341</v>
      </c>
      <c r="CD146" s="6"/>
      <c r="CE146" s="6"/>
      <c r="CF146" s="6"/>
      <c r="CG146" s="6">
        <v>97</v>
      </c>
      <c r="CH146" s="6">
        <v>1632</v>
      </c>
      <c r="CI146" s="6">
        <f t="shared" si="60"/>
        <v>360</v>
      </c>
      <c r="CJ146" s="6">
        <v>444</v>
      </c>
      <c r="CK146" s="6"/>
      <c r="CL146" s="6">
        <f t="shared" si="61"/>
        <v>347</v>
      </c>
      <c r="CM146" s="6">
        <v>795</v>
      </c>
      <c r="CN146" s="6"/>
      <c r="CO146" s="6">
        <f t="shared" si="62"/>
        <v>351</v>
      </c>
      <c r="CP146" s="6">
        <v>1157</v>
      </c>
      <c r="CQ146" s="6"/>
      <c r="CR146" s="6">
        <f t="shared" si="63"/>
        <v>362</v>
      </c>
      <c r="CS146" s="6">
        <v>1511</v>
      </c>
      <c r="CT146" s="6"/>
      <c r="CU146" s="6">
        <f t="shared" si="64"/>
        <v>354</v>
      </c>
      <c r="CV146" s="6">
        <v>131</v>
      </c>
      <c r="CW146" s="6">
        <v>1567</v>
      </c>
      <c r="CX146" s="6">
        <f t="shared" si="65"/>
        <v>187</v>
      </c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</row>
    <row r="147" spans="1:117">
      <c r="A147" s="6">
        <v>143</v>
      </c>
      <c r="B147" s="6">
        <v>524</v>
      </c>
      <c r="C147" s="6"/>
      <c r="D147" s="6">
        <v>335</v>
      </c>
      <c r="E147" s="33" t="s">
        <v>128</v>
      </c>
      <c r="F147" s="33" t="s">
        <v>128</v>
      </c>
      <c r="G147" s="33" t="s">
        <v>128</v>
      </c>
      <c r="H147" s="33" t="s">
        <v>128</v>
      </c>
      <c r="I147" s="33" t="s">
        <v>128</v>
      </c>
      <c r="J147" s="33" t="s">
        <v>128</v>
      </c>
      <c r="K147" s="33" t="s">
        <v>128</v>
      </c>
      <c r="L147" s="33" t="s">
        <v>128</v>
      </c>
      <c r="M147" s="33" t="s">
        <v>128</v>
      </c>
      <c r="N147" s="33" t="s">
        <v>128</v>
      </c>
      <c r="O147" s="33" t="s">
        <v>128</v>
      </c>
      <c r="P147" s="33" t="s">
        <v>128</v>
      </c>
      <c r="Q147" s="148" t="s">
        <v>128</v>
      </c>
      <c r="R147" s="33" t="s">
        <v>128</v>
      </c>
      <c r="S147" s="33" t="s">
        <v>128</v>
      </c>
      <c r="T147" s="33" t="s">
        <v>128</v>
      </c>
      <c r="U147" s="33" t="s">
        <v>128</v>
      </c>
      <c r="V147" s="33" t="s">
        <v>128</v>
      </c>
      <c r="W147" s="33" t="s">
        <v>128</v>
      </c>
      <c r="X147" s="33" t="s">
        <v>128</v>
      </c>
      <c r="Y147" s="33" t="s">
        <v>128</v>
      </c>
      <c r="Z147" s="33" t="s">
        <v>128</v>
      </c>
      <c r="AA147" s="33" t="s">
        <v>128</v>
      </c>
      <c r="AB147" s="6">
        <v>899</v>
      </c>
      <c r="AC147" s="6"/>
      <c r="AD147" s="35">
        <f t="shared" si="44"/>
        <v>375</v>
      </c>
      <c r="AE147" s="6">
        <v>284</v>
      </c>
      <c r="AF147" s="6">
        <v>974</v>
      </c>
      <c r="AG147" s="35">
        <f t="shared" si="45"/>
        <v>359</v>
      </c>
      <c r="AH147" s="35">
        <v>670</v>
      </c>
      <c r="AI147" s="35"/>
      <c r="AJ147" s="35">
        <f t="shared" si="46"/>
        <v>386</v>
      </c>
      <c r="AK147" s="6">
        <v>1015</v>
      </c>
      <c r="AL147" s="6"/>
      <c r="AM147" s="35">
        <f t="shared" si="47"/>
        <v>345</v>
      </c>
      <c r="AN147" s="6"/>
      <c r="AO147" s="6"/>
      <c r="AP147" s="34"/>
      <c r="AQ147" s="35">
        <v>1395</v>
      </c>
      <c r="AR147" s="35"/>
      <c r="AS147" s="35">
        <f t="shared" si="48"/>
        <v>380</v>
      </c>
      <c r="AT147" s="6">
        <v>201</v>
      </c>
      <c r="AU147" s="6">
        <v>1560</v>
      </c>
      <c r="AV147" s="35">
        <f t="shared" si="49"/>
        <v>366</v>
      </c>
      <c r="AW147" s="6">
        <v>579</v>
      </c>
      <c r="AX147" s="6"/>
      <c r="AY147" s="35">
        <f t="shared" si="50"/>
        <v>378</v>
      </c>
      <c r="AZ147" s="35">
        <v>960</v>
      </c>
      <c r="BA147" s="35"/>
      <c r="BB147" s="35">
        <f t="shared" si="51"/>
        <v>381</v>
      </c>
      <c r="BC147" s="6">
        <v>2</v>
      </c>
      <c r="BD147" s="6">
        <v>1326</v>
      </c>
      <c r="BE147" s="35">
        <f t="shared" si="52"/>
        <v>368</v>
      </c>
      <c r="BF147" s="6">
        <v>366</v>
      </c>
      <c r="BG147" s="6"/>
      <c r="BH147" s="6">
        <f t="shared" si="53"/>
        <v>364</v>
      </c>
      <c r="BI147" s="6"/>
      <c r="BJ147" s="6"/>
      <c r="BK147" s="6"/>
      <c r="BL147" s="6">
        <v>754</v>
      </c>
      <c r="BM147" s="6"/>
      <c r="BN147" s="6">
        <f t="shared" si="54"/>
        <v>388</v>
      </c>
      <c r="BO147" s="6">
        <v>251</v>
      </c>
      <c r="BP147" s="6">
        <v>854</v>
      </c>
      <c r="BQ147" s="35">
        <f t="shared" si="55"/>
        <v>351</v>
      </c>
      <c r="BR147" s="6">
        <v>588</v>
      </c>
      <c r="BS147" s="6"/>
      <c r="BT147" s="6">
        <f t="shared" si="56"/>
        <v>337</v>
      </c>
      <c r="BU147" s="6">
        <v>965</v>
      </c>
      <c r="BV147" s="6"/>
      <c r="BW147" s="35">
        <f t="shared" si="57"/>
        <v>377</v>
      </c>
      <c r="BX147" s="6">
        <v>1339</v>
      </c>
      <c r="BY147" s="6"/>
      <c r="BZ147" s="6">
        <f t="shared" si="58"/>
        <v>374</v>
      </c>
      <c r="CA147" s="6">
        <v>133</v>
      </c>
      <c r="CB147" s="6">
        <v>1562</v>
      </c>
      <c r="CC147" s="6">
        <f t="shared" si="59"/>
        <v>356</v>
      </c>
      <c r="CD147" s="6"/>
      <c r="CE147" s="6"/>
      <c r="CF147" s="6"/>
      <c r="CG147" s="6">
        <v>510</v>
      </c>
      <c r="CH147" s="6"/>
      <c r="CI147" s="6">
        <f t="shared" si="60"/>
        <v>377</v>
      </c>
      <c r="CJ147" s="6">
        <v>140</v>
      </c>
      <c r="CK147" s="6">
        <v>737</v>
      </c>
      <c r="CL147" s="6">
        <f t="shared" si="61"/>
        <v>367</v>
      </c>
      <c r="CM147" s="6">
        <v>501</v>
      </c>
      <c r="CN147" s="6"/>
      <c r="CO147" s="6">
        <f t="shared" si="62"/>
        <v>361</v>
      </c>
      <c r="CP147" s="6">
        <v>168</v>
      </c>
      <c r="CQ147" s="6">
        <v>713</v>
      </c>
      <c r="CR147" s="6">
        <f t="shared" si="63"/>
        <v>380</v>
      </c>
      <c r="CS147" s="6">
        <v>540</v>
      </c>
      <c r="CT147" s="6"/>
      <c r="CU147" s="6">
        <f t="shared" si="64"/>
        <v>372</v>
      </c>
      <c r="CV147" s="6">
        <v>735</v>
      </c>
      <c r="CW147" s="6"/>
      <c r="CX147" s="6">
        <f t="shared" si="65"/>
        <v>195</v>
      </c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</row>
    <row r="148" spans="1:117" ht="15.75" customHeight="1">
      <c r="A148" s="6">
        <v>144</v>
      </c>
      <c r="B148" s="6">
        <v>207</v>
      </c>
      <c r="C148" s="6">
        <v>848</v>
      </c>
      <c r="D148" s="6">
        <v>349</v>
      </c>
      <c r="E148" s="33" t="s">
        <v>37</v>
      </c>
      <c r="F148" s="33" t="s">
        <v>37</v>
      </c>
      <c r="G148" s="33" t="s">
        <v>37</v>
      </c>
      <c r="H148" s="33" t="s">
        <v>37</v>
      </c>
      <c r="I148" s="33" t="s">
        <v>37</v>
      </c>
      <c r="J148" s="33" t="s">
        <v>37</v>
      </c>
      <c r="K148" s="33" t="s">
        <v>37</v>
      </c>
      <c r="L148" s="33" t="s">
        <v>37</v>
      </c>
      <c r="M148" s="33" t="s">
        <v>37</v>
      </c>
      <c r="N148" s="33" t="s">
        <v>37</v>
      </c>
      <c r="O148" s="33" t="s">
        <v>37</v>
      </c>
      <c r="P148" s="33" t="s">
        <v>37</v>
      </c>
      <c r="Q148" s="33" t="s">
        <v>37</v>
      </c>
      <c r="R148" s="33" t="s">
        <v>37</v>
      </c>
      <c r="S148" s="33" t="s">
        <v>37</v>
      </c>
      <c r="T148" s="148" t="s">
        <v>37</v>
      </c>
      <c r="U148" s="33" t="s">
        <v>37</v>
      </c>
      <c r="V148" s="33" t="s">
        <v>37</v>
      </c>
      <c r="W148" s="33" t="s">
        <v>37</v>
      </c>
      <c r="X148" s="33" t="s">
        <v>37</v>
      </c>
      <c r="Y148" s="33" t="s">
        <v>37</v>
      </c>
      <c r="Z148" s="33" t="s">
        <v>37</v>
      </c>
      <c r="AA148" s="33" t="s">
        <v>37</v>
      </c>
      <c r="AB148" s="6">
        <v>616</v>
      </c>
      <c r="AC148" s="6"/>
      <c r="AD148" s="35">
        <f t="shared" si="44"/>
        <v>409</v>
      </c>
      <c r="AE148" s="6">
        <v>999</v>
      </c>
      <c r="AF148" s="6"/>
      <c r="AG148" s="35">
        <f t="shared" si="45"/>
        <v>383</v>
      </c>
      <c r="AH148" s="35">
        <v>1386</v>
      </c>
      <c r="AI148" s="35"/>
      <c r="AJ148" s="35">
        <f t="shared" si="46"/>
        <v>387</v>
      </c>
      <c r="AK148" s="6">
        <v>7</v>
      </c>
      <c r="AL148" s="6">
        <f>1560+174</f>
        <v>1734</v>
      </c>
      <c r="AM148" s="35">
        <f t="shared" si="47"/>
        <v>355</v>
      </c>
      <c r="AN148" s="6"/>
      <c r="AO148" s="6"/>
      <c r="AP148" s="34"/>
      <c r="AQ148" s="35">
        <v>391</v>
      </c>
      <c r="AR148" s="35"/>
      <c r="AS148" s="35">
        <f t="shared" si="48"/>
        <v>384</v>
      </c>
      <c r="AT148" s="6">
        <v>771</v>
      </c>
      <c r="AU148" s="6"/>
      <c r="AV148" s="35">
        <f t="shared" si="49"/>
        <v>380</v>
      </c>
      <c r="AW148" s="6">
        <v>1160</v>
      </c>
      <c r="AX148" s="35"/>
      <c r="AY148" s="35">
        <f t="shared" si="50"/>
        <v>389</v>
      </c>
      <c r="AZ148" s="6">
        <v>1547</v>
      </c>
      <c r="BA148" s="6"/>
      <c r="BB148" s="35">
        <f t="shared" si="51"/>
        <v>387</v>
      </c>
      <c r="BC148" s="6">
        <v>371</v>
      </c>
      <c r="BD148" s="6">
        <v>1560</v>
      </c>
      <c r="BE148" s="35">
        <f t="shared" si="52"/>
        <v>384</v>
      </c>
      <c r="BF148" s="6">
        <v>324</v>
      </c>
      <c r="BG148" s="6">
        <v>409</v>
      </c>
      <c r="BH148" s="6">
        <f t="shared" si="53"/>
        <v>362</v>
      </c>
      <c r="BI148" s="6"/>
      <c r="BJ148" s="35"/>
      <c r="BK148" s="6"/>
      <c r="BL148" s="6">
        <v>722</v>
      </c>
      <c r="BM148" s="6"/>
      <c r="BN148" s="6">
        <f t="shared" si="54"/>
        <v>398</v>
      </c>
      <c r="BO148" s="6">
        <v>1106</v>
      </c>
      <c r="BP148" s="6"/>
      <c r="BQ148" s="35">
        <f t="shared" si="55"/>
        <v>384</v>
      </c>
      <c r="BR148" s="6">
        <v>1499</v>
      </c>
      <c r="BS148" s="6"/>
      <c r="BT148" s="6">
        <f t="shared" si="56"/>
        <v>393</v>
      </c>
      <c r="BU148" s="6">
        <v>0</v>
      </c>
      <c r="BV148" s="6">
        <v>1802</v>
      </c>
      <c r="BW148" s="35">
        <f t="shared" si="57"/>
        <v>303</v>
      </c>
      <c r="BX148" s="6">
        <v>361</v>
      </c>
      <c r="BY148" s="35"/>
      <c r="BZ148" s="6">
        <f t="shared" si="58"/>
        <v>361</v>
      </c>
      <c r="CA148" s="6">
        <v>729</v>
      </c>
      <c r="CB148" s="6"/>
      <c r="CC148" s="6">
        <f t="shared" si="59"/>
        <v>368</v>
      </c>
      <c r="CD148" s="6"/>
      <c r="CE148" s="35"/>
      <c r="CF148" s="6"/>
      <c r="CG148" s="6">
        <v>1123</v>
      </c>
      <c r="CH148" s="6"/>
      <c r="CI148" s="6">
        <f t="shared" si="60"/>
        <v>394</v>
      </c>
      <c r="CJ148" s="6">
        <v>1514</v>
      </c>
      <c r="CK148" s="6"/>
      <c r="CL148" s="6">
        <f t="shared" si="61"/>
        <v>391</v>
      </c>
      <c r="CM148" s="6">
        <v>340</v>
      </c>
      <c r="CN148" s="6">
        <v>1560</v>
      </c>
      <c r="CO148" s="6">
        <f t="shared" si="62"/>
        <v>386</v>
      </c>
      <c r="CP148" s="6">
        <v>162</v>
      </c>
      <c r="CQ148" s="6">
        <v>564</v>
      </c>
      <c r="CR148" s="6">
        <f t="shared" si="63"/>
        <v>386</v>
      </c>
      <c r="CS148" s="6">
        <v>553</v>
      </c>
      <c r="CT148" s="6"/>
      <c r="CU148" s="6">
        <f t="shared" si="64"/>
        <v>391</v>
      </c>
      <c r="CV148" s="6">
        <v>755</v>
      </c>
      <c r="CW148" s="6"/>
      <c r="CX148" s="6">
        <f t="shared" si="65"/>
        <v>202</v>
      </c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</row>
    <row r="149" spans="1:117">
      <c r="A149" s="7">
        <v>145</v>
      </c>
      <c r="B149" s="6">
        <v>693</v>
      </c>
      <c r="C149" s="6"/>
      <c r="D149" s="6">
        <v>357</v>
      </c>
      <c r="E149" s="33" t="s">
        <v>128</v>
      </c>
      <c r="F149" s="33" t="s">
        <v>128</v>
      </c>
      <c r="G149" s="33" t="s">
        <v>128</v>
      </c>
      <c r="H149" s="33" t="s">
        <v>128</v>
      </c>
      <c r="I149" s="148" t="s">
        <v>128</v>
      </c>
      <c r="J149" s="33" t="s">
        <v>128</v>
      </c>
      <c r="K149" s="33" t="s">
        <v>128</v>
      </c>
      <c r="L149" s="33" t="s">
        <v>128</v>
      </c>
      <c r="M149" s="33" t="s">
        <v>128</v>
      </c>
      <c r="N149" s="33" t="s">
        <v>128</v>
      </c>
      <c r="O149" s="33" t="s">
        <v>128</v>
      </c>
      <c r="P149" s="33" t="s">
        <v>128</v>
      </c>
      <c r="Q149" s="33" t="s">
        <v>128</v>
      </c>
      <c r="R149" s="33" t="s">
        <v>128</v>
      </c>
      <c r="S149" s="33" t="s">
        <v>128</v>
      </c>
      <c r="T149" s="33" t="s">
        <v>128</v>
      </c>
      <c r="U149" s="33" t="s">
        <v>128</v>
      </c>
      <c r="V149" s="33" t="s">
        <v>128</v>
      </c>
      <c r="W149" s="33" t="s">
        <v>128</v>
      </c>
      <c r="X149" s="33" t="s">
        <v>128</v>
      </c>
      <c r="Y149" s="33" t="s">
        <v>128</v>
      </c>
      <c r="Z149" s="33" t="s">
        <v>128</v>
      </c>
      <c r="AA149" s="33" t="s">
        <v>128</v>
      </c>
      <c r="AB149" s="35">
        <v>295</v>
      </c>
      <c r="AC149" s="35">
        <v>804</v>
      </c>
      <c r="AD149" s="35">
        <f t="shared" si="44"/>
        <v>406</v>
      </c>
      <c r="AE149" s="35">
        <v>674</v>
      </c>
      <c r="AF149" s="35"/>
      <c r="AG149" s="35">
        <f t="shared" si="45"/>
        <v>379</v>
      </c>
      <c r="AH149" s="35">
        <v>0</v>
      </c>
      <c r="AI149" s="35">
        <v>839</v>
      </c>
      <c r="AJ149" s="35">
        <f t="shared" si="46"/>
        <v>165</v>
      </c>
      <c r="AK149" s="6">
        <v>326</v>
      </c>
      <c r="AL149" s="6"/>
      <c r="AM149" s="35">
        <f t="shared" si="47"/>
        <v>326</v>
      </c>
      <c r="AN149" s="6"/>
      <c r="AO149" s="6"/>
      <c r="AP149" s="34"/>
      <c r="AQ149" s="35">
        <v>711</v>
      </c>
      <c r="AR149" s="35"/>
      <c r="AS149" s="35">
        <f t="shared" si="48"/>
        <v>385</v>
      </c>
      <c r="AT149" s="6">
        <v>1084</v>
      </c>
      <c r="AU149" s="6"/>
      <c r="AV149" s="35">
        <f t="shared" si="49"/>
        <v>373</v>
      </c>
      <c r="AW149" s="6">
        <v>1452</v>
      </c>
      <c r="AX149" s="6"/>
      <c r="AY149" s="35">
        <f t="shared" si="50"/>
        <v>368</v>
      </c>
      <c r="AZ149" s="35">
        <v>266</v>
      </c>
      <c r="BA149" s="35">
        <v>1560</v>
      </c>
      <c r="BB149" s="35">
        <f t="shared" si="51"/>
        <v>374</v>
      </c>
      <c r="BC149" s="6">
        <v>653</v>
      </c>
      <c r="BD149" s="6"/>
      <c r="BE149" s="35">
        <f t="shared" si="52"/>
        <v>387</v>
      </c>
      <c r="BF149" s="6">
        <v>1015</v>
      </c>
      <c r="BG149" s="6"/>
      <c r="BH149" s="6">
        <f t="shared" si="53"/>
        <v>362</v>
      </c>
      <c r="BI149" s="6"/>
      <c r="BJ149" s="6"/>
      <c r="BK149" s="6"/>
      <c r="BL149" s="6">
        <v>1402</v>
      </c>
      <c r="BM149" s="6"/>
      <c r="BN149" s="6">
        <f t="shared" si="54"/>
        <v>387</v>
      </c>
      <c r="BO149" s="6">
        <v>206</v>
      </c>
      <c r="BP149" s="6">
        <v>1570</v>
      </c>
      <c r="BQ149" s="35">
        <f t="shared" si="55"/>
        <v>374</v>
      </c>
      <c r="BR149" s="6">
        <v>593</v>
      </c>
      <c r="BS149" s="6"/>
      <c r="BT149" s="6">
        <f t="shared" si="56"/>
        <v>387</v>
      </c>
      <c r="BU149" s="6">
        <v>986</v>
      </c>
      <c r="BV149" s="6"/>
      <c r="BW149" s="35">
        <f t="shared" si="57"/>
        <v>393</v>
      </c>
      <c r="BX149" s="6">
        <v>1382</v>
      </c>
      <c r="BY149" s="6"/>
      <c r="BZ149" s="6">
        <f t="shared" si="58"/>
        <v>396</v>
      </c>
      <c r="CA149" s="6">
        <v>214</v>
      </c>
      <c r="CB149" s="6">
        <v>1534</v>
      </c>
      <c r="CC149" s="6">
        <f t="shared" si="59"/>
        <v>366</v>
      </c>
      <c r="CD149" s="6"/>
      <c r="CE149" s="6"/>
      <c r="CF149" s="6"/>
      <c r="CG149" s="6">
        <v>612</v>
      </c>
      <c r="CH149" s="6"/>
      <c r="CI149" s="6">
        <f t="shared" si="60"/>
        <v>398</v>
      </c>
      <c r="CJ149" s="6">
        <v>991</v>
      </c>
      <c r="CK149" s="6"/>
      <c r="CL149" s="6">
        <f t="shared" si="61"/>
        <v>379</v>
      </c>
      <c r="CM149" s="6">
        <v>1381</v>
      </c>
      <c r="CN149" s="6"/>
      <c r="CO149" s="6">
        <f t="shared" si="62"/>
        <v>390</v>
      </c>
      <c r="CP149" s="6">
        <v>239</v>
      </c>
      <c r="CQ149" s="6">
        <v>1532</v>
      </c>
      <c r="CR149" s="6">
        <f t="shared" si="63"/>
        <v>390</v>
      </c>
      <c r="CS149" s="6">
        <v>637</v>
      </c>
      <c r="CT149" s="6"/>
      <c r="CU149" s="6">
        <f t="shared" si="64"/>
        <v>398</v>
      </c>
      <c r="CV149" s="6">
        <v>841</v>
      </c>
      <c r="CW149" s="6"/>
      <c r="CX149" s="6">
        <f t="shared" si="65"/>
        <v>204</v>
      </c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</row>
    <row r="150" spans="1:117">
      <c r="A150" s="6">
        <v>146</v>
      </c>
      <c r="B150" s="6">
        <v>1270</v>
      </c>
      <c r="C150" s="6"/>
      <c r="D150" s="6">
        <v>358</v>
      </c>
      <c r="E150" s="33" t="s">
        <v>37</v>
      </c>
      <c r="F150" s="33" t="s">
        <v>37</v>
      </c>
      <c r="G150" s="33" t="s">
        <v>37</v>
      </c>
      <c r="H150" s="33" t="s">
        <v>37</v>
      </c>
      <c r="I150" s="33" t="s">
        <v>37</v>
      </c>
      <c r="J150" s="33" t="s">
        <v>37</v>
      </c>
      <c r="K150" s="148" t="s">
        <v>37</v>
      </c>
      <c r="L150" s="33" t="s">
        <v>37</v>
      </c>
      <c r="M150" s="33" t="s">
        <v>37</v>
      </c>
      <c r="N150" s="33" t="s">
        <v>37</v>
      </c>
      <c r="O150" s="33" t="s">
        <v>37</v>
      </c>
      <c r="P150" s="33" t="s">
        <v>37</v>
      </c>
      <c r="Q150" s="33" t="s">
        <v>37</v>
      </c>
      <c r="R150" s="33" t="s">
        <v>37</v>
      </c>
      <c r="S150" s="33" t="s">
        <v>37</v>
      </c>
      <c r="T150" s="33" t="s">
        <v>37</v>
      </c>
      <c r="U150" s="33" t="s">
        <v>37</v>
      </c>
      <c r="V150" s="33" t="s">
        <v>37</v>
      </c>
      <c r="W150" s="33" t="s">
        <v>37</v>
      </c>
      <c r="X150" s="33" t="s">
        <v>37</v>
      </c>
      <c r="Y150" s="33" t="s">
        <v>37</v>
      </c>
      <c r="Z150" s="33" t="s">
        <v>37</v>
      </c>
      <c r="AA150" s="33" t="s">
        <v>37</v>
      </c>
      <c r="AB150" s="6">
        <v>122</v>
      </c>
      <c r="AC150" s="6">
        <v>1560</v>
      </c>
      <c r="AD150" s="35">
        <f t="shared" si="44"/>
        <v>412</v>
      </c>
      <c r="AE150" s="6">
        <v>508</v>
      </c>
      <c r="AF150" s="6"/>
      <c r="AG150" s="35">
        <f t="shared" si="45"/>
        <v>386</v>
      </c>
      <c r="AH150" s="35">
        <v>887</v>
      </c>
      <c r="AI150" s="35"/>
      <c r="AJ150" s="35">
        <f t="shared" si="46"/>
        <v>379</v>
      </c>
      <c r="AK150" s="6">
        <v>1250</v>
      </c>
      <c r="AL150" s="6"/>
      <c r="AM150" s="35">
        <f t="shared" si="47"/>
        <v>363</v>
      </c>
      <c r="AN150" s="6"/>
      <c r="AO150" s="6"/>
      <c r="AP150" s="34"/>
      <c r="AQ150" s="35">
        <v>0</v>
      </c>
      <c r="AR150" s="35">
        <v>1603</v>
      </c>
      <c r="AS150" s="35">
        <f t="shared" si="48"/>
        <v>353</v>
      </c>
      <c r="AT150" s="6">
        <v>358</v>
      </c>
      <c r="AU150" s="6"/>
      <c r="AV150" s="35">
        <f t="shared" si="49"/>
        <v>358</v>
      </c>
      <c r="AW150" s="6">
        <v>746</v>
      </c>
      <c r="AX150" s="6"/>
      <c r="AY150" s="35">
        <f t="shared" si="50"/>
        <v>388</v>
      </c>
      <c r="AZ150" s="6">
        <v>1135</v>
      </c>
      <c r="BA150" s="6"/>
      <c r="BB150" s="35">
        <f t="shared" si="51"/>
        <v>389</v>
      </c>
      <c r="BC150" s="6">
        <v>1523</v>
      </c>
      <c r="BD150" s="6"/>
      <c r="BE150" s="35">
        <f t="shared" si="52"/>
        <v>388</v>
      </c>
      <c r="BF150" s="6">
        <v>329</v>
      </c>
      <c r="BG150" s="6">
        <v>1570</v>
      </c>
      <c r="BH150" s="6">
        <f t="shared" si="53"/>
        <v>376</v>
      </c>
      <c r="BI150" s="6"/>
      <c r="BJ150" s="35"/>
      <c r="BK150" s="6"/>
      <c r="BL150" s="6">
        <v>724</v>
      </c>
      <c r="BM150" s="6"/>
      <c r="BN150" s="6">
        <f t="shared" si="54"/>
        <v>395</v>
      </c>
      <c r="BO150" s="6">
        <v>1106</v>
      </c>
      <c r="BP150" s="6"/>
      <c r="BQ150" s="35">
        <f t="shared" si="55"/>
        <v>382</v>
      </c>
      <c r="BR150" s="6">
        <v>1500</v>
      </c>
      <c r="BS150" s="6"/>
      <c r="BT150" s="6">
        <f t="shared" si="56"/>
        <v>394</v>
      </c>
      <c r="BU150" s="6">
        <v>331</v>
      </c>
      <c r="BV150" s="6">
        <v>1560</v>
      </c>
      <c r="BW150" s="35">
        <f t="shared" si="57"/>
        <v>391</v>
      </c>
      <c r="BX150" s="6">
        <v>44</v>
      </c>
      <c r="BY150" s="35">
        <v>675</v>
      </c>
      <c r="BZ150" s="6">
        <f t="shared" si="58"/>
        <v>388</v>
      </c>
      <c r="CA150" s="6">
        <v>415</v>
      </c>
      <c r="CB150" s="6"/>
      <c r="CC150" s="6">
        <f t="shared" si="59"/>
        <v>371</v>
      </c>
      <c r="CD150" s="6"/>
      <c r="CE150" s="35"/>
      <c r="CF150" s="6"/>
      <c r="CG150" s="6">
        <v>814</v>
      </c>
      <c r="CH150" s="6"/>
      <c r="CI150" s="6">
        <f t="shared" si="60"/>
        <v>399</v>
      </c>
      <c r="CJ150" s="6">
        <v>1207</v>
      </c>
      <c r="CK150" s="6"/>
      <c r="CL150" s="6">
        <f t="shared" si="61"/>
        <v>393</v>
      </c>
      <c r="CM150" s="6">
        <v>37</v>
      </c>
      <c r="CN150" s="6">
        <v>1561</v>
      </c>
      <c r="CO150" s="6">
        <f t="shared" si="62"/>
        <v>391</v>
      </c>
      <c r="CP150" s="6">
        <v>420</v>
      </c>
      <c r="CQ150" s="6"/>
      <c r="CR150" s="6">
        <f t="shared" si="63"/>
        <v>383</v>
      </c>
      <c r="CS150" s="6">
        <v>11</v>
      </c>
      <c r="CT150" s="6">
        <v>793</v>
      </c>
      <c r="CU150" s="6">
        <f t="shared" si="64"/>
        <v>384</v>
      </c>
      <c r="CV150" s="6">
        <v>212</v>
      </c>
      <c r="CW150" s="6"/>
      <c r="CX150" s="6">
        <f t="shared" si="65"/>
        <v>201</v>
      </c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</row>
    <row r="151" spans="1:117">
      <c r="A151" s="6">
        <v>147</v>
      </c>
      <c r="B151" s="6">
        <v>110</v>
      </c>
      <c r="C151" s="6">
        <v>1560</v>
      </c>
      <c r="D151" s="6">
        <v>358</v>
      </c>
      <c r="E151" s="33" t="s">
        <v>37</v>
      </c>
      <c r="F151" s="33" t="s">
        <v>37</v>
      </c>
      <c r="G151" s="33" t="s">
        <v>37</v>
      </c>
      <c r="H151" s="33" t="s">
        <v>37</v>
      </c>
      <c r="I151" s="33" t="s">
        <v>37</v>
      </c>
      <c r="J151" s="148" t="s">
        <v>37</v>
      </c>
      <c r="K151" s="33" t="s">
        <v>37</v>
      </c>
      <c r="L151" s="33" t="s">
        <v>37</v>
      </c>
      <c r="M151" s="33" t="s">
        <v>37</v>
      </c>
      <c r="N151" s="33" t="s">
        <v>37</v>
      </c>
      <c r="O151" s="33" t="s">
        <v>37</v>
      </c>
      <c r="P151" s="33" t="s">
        <v>37</v>
      </c>
      <c r="Q151" s="33" t="s">
        <v>37</v>
      </c>
      <c r="R151" s="33" t="s">
        <v>37</v>
      </c>
      <c r="S151" s="33" t="s">
        <v>37</v>
      </c>
      <c r="T151" s="33" t="s">
        <v>37</v>
      </c>
      <c r="U151" s="33" t="s">
        <v>37</v>
      </c>
      <c r="V151" s="33" t="s">
        <v>37</v>
      </c>
      <c r="W151" s="33" t="s">
        <v>37</v>
      </c>
      <c r="X151" s="33" t="s">
        <v>37</v>
      </c>
      <c r="Y151" s="33" t="s">
        <v>37</v>
      </c>
      <c r="Z151" s="33" t="s">
        <v>37</v>
      </c>
      <c r="AA151" s="33" t="s">
        <v>37</v>
      </c>
      <c r="AB151" s="6">
        <v>509</v>
      </c>
      <c r="AC151" s="35"/>
      <c r="AD151" s="35">
        <f t="shared" si="44"/>
        <v>399</v>
      </c>
      <c r="AE151" s="6">
        <v>894</v>
      </c>
      <c r="AF151" s="35"/>
      <c r="AG151" s="35">
        <f t="shared" si="45"/>
        <v>385</v>
      </c>
      <c r="AH151" s="35">
        <v>1277</v>
      </c>
      <c r="AI151" s="35"/>
      <c r="AJ151" s="35">
        <f t="shared" si="46"/>
        <v>383</v>
      </c>
      <c r="AK151" s="6">
        <v>1634</v>
      </c>
      <c r="AL151" s="6"/>
      <c r="AM151" s="35">
        <f t="shared" si="47"/>
        <v>357</v>
      </c>
      <c r="AN151" s="6"/>
      <c r="AO151" s="6"/>
      <c r="AP151" s="34"/>
      <c r="AQ151" s="35">
        <v>358</v>
      </c>
      <c r="AR151" s="35">
        <v>1636</v>
      </c>
      <c r="AS151" s="35">
        <f t="shared" si="48"/>
        <v>360</v>
      </c>
      <c r="AT151" s="6">
        <v>734</v>
      </c>
      <c r="AU151" s="6"/>
      <c r="AV151" s="35">
        <f t="shared" si="49"/>
        <v>376</v>
      </c>
      <c r="AW151" s="6">
        <v>1102</v>
      </c>
      <c r="AX151" s="6"/>
      <c r="AY151" s="35">
        <f t="shared" si="50"/>
        <v>368</v>
      </c>
      <c r="AZ151" s="6">
        <v>1484</v>
      </c>
      <c r="BA151" s="6"/>
      <c r="BB151" s="35">
        <f t="shared" si="51"/>
        <v>382</v>
      </c>
      <c r="BC151" s="6">
        <v>347</v>
      </c>
      <c r="BD151" s="6">
        <v>1516</v>
      </c>
      <c r="BE151" s="35">
        <f t="shared" si="52"/>
        <v>379</v>
      </c>
      <c r="BF151" s="6">
        <v>718</v>
      </c>
      <c r="BG151" s="6"/>
      <c r="BH151" s="6">
        <f t="shared" si="53"/>
        <v>371</v>
      </c>
      <c r="BI151" s="6"/>
      <c r="BJ151" s="35"/>
      <c r="BK151" s="6"/>
      <c r="BL151" s="6">
        <v>1110</v>
      </c>
      <c r="BM151" s="6"/>
      <c r="BN151" s="6">
        <f t="shared" si="54"/>
        <v>392</v>
      </c>
      <c r="BO151" s="6">
        <v>1485</v>
      </c>
      <c r="BP151" s="6"/>
      <c r="BQ151" s="35">
        <f t="shared" si="55"/>
        <v>375</v>
      </c>
      <c r="BR151" s="6">
        <v>306</v>
      </c>
      <c r="BS151" s="6">
        <v>1516</v>
      </c>
      <c r="BT151" s="6">
        <f t="shared" si="56"/>
        <v>337</v>
      </c>
      <c r="BU151" s="6">
        <v>682</v>
      </c>
      <c r="BV151" s="6"/>
      <c r="BW151" s="35">
        <f t="shared" si="57"/>
        <v>376</v>
      </c>
      <c r="BX151" s="6">
        <v>1072</v>
      </c>
      <c r="BY151" s="35"/>
      <c r="BZ151" s="6">
        <f t="shared" si="58"/>
        <v>390</v>
      </c>
      <c r="CA151" s="6">
        <v>18</v>
      </c>
      <c r="CB151" s="6">
        <v>1418</v>
      </c>
      <c r="CC151" s="6">
        <f t="shared" si="59"/>
        <v>364</v>
      </c>
      <c r="CD151" s="6"/>
      <c r="CE151" s="35"/>
      <c r="CF151" s="6"/>
      <c r="CG151" s="6">
        <v>415</v>
      </c>
      <c r="CH151" s="6"/>
      <c r="CI151" s="6">
        <f t="shared" si="60"/>
        <v>397</v>
      </c>
      <c r="CJ151" s="6">
        <v>803</v>
      </c>
      <c r="CK151" s="6"/>
      <c r="CL151" s="6">
        <f t="shared" si="61"/>
        <v>388</v>
      </c>
      <c r="CM151" s="6">
        <v>1191</v>
      </c>
      <c r="CN151" s="6"/>
      <c r="CO151" s="6">
        <f t="shared" si="62"/>
        <v>388</v>
      </c>
      <c r="CP151" s="6">
        <v>18</v>
      </c>
      <c r="CQ151" s="6">
        <v>1560</v>
      </c>
      <c r="CR151" s="6">
        <f t="shared" si="63"/>
        <v>387</v>
      </c>
      <c r="CS151" s="6">
        <v>410</v>
      </c>
      <c r="CT151" s="6"/>
      <c r="CU151" s="6">
        <f t="shared" si="64"/>
        <v>392</v>
      </c>
      <c r="CV151" s="6">
        <v>610</v>
      </c>
      <c r="CW151" s="6"/>
      <c r="CX151" s="6">
        <f t="shared" si="65"/>
        <v>200</v>
      </c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</row>
    <row r="152" spans="1:117">
      <c r="A152" s="6">
        <v>148</v>
      </c>
      <c r="B152" s="6">
        <v>1355</v>
      </c>
      <c r="C152" s="6"/>
      <c r="D152" s="6">
        <v>352</v>
      </c>
      <c r="E152" s="33" t="s">
        <v>37</v>
      </c>
      <c r="F152" s="33" t="s">
        <v>37</v>
      </c>
      <c r="G152" s="33" t="s">
        <v>37</v>
      </c>
      <c r="H152" s="33" t="s">
        <v>37</v>
      </c>
      <c r="I152" s="33" t="s">
        <v>37</v>
      </c>
      <c r="J152" s="33" t="s">
        <v>37</v>
      </c>
      <c r="K152" s="33" t="s">
        <v>37</v>
      </c>
      <c r="L152" s="33" t="s">
        <v>37</v>
      </c>
      <c r="M152" s="33" t="s">
        <v>37</v>
      </c>
      <c r="N152" s="33" t="s">
        <v>37</v>
      </c>
      <c r="O152" s="33" t="s">
        <v>37</v>
      </c>
      <c r="P152" s="33" t="s">
        <v>37</v>
      </c>
      <c r="Q152" s="33" t="s">
        <v>37</v>
      </c>
      <c r="R152" s="33" t="s">
        <v>37</v>
      </c>
      <c r="S152" s="148" t="s">
        <v>128</v>
      </c>
      <c r="T152" s="33" t="s">
        <v>128</v>
      </c>
      <c r="U152" s="33" t="s">
        <v>128</v>
      </c>
      <c r="V152" s="33" t="s">
        <v>128</v>
      </c>
      <c r="W152" s="33" t="s">
        <v>128</v>
      </c>
      <c r="X152" s="33" t="s">
        <v>128</v>
      </c>
      <c r="Y152" s="33" t="s">
        <v>128</v>
      </c>
      <c r="Z152" s="33" t="s">
        <v>128</v>
      </c>
      <c r="AA152" s="33" t="s">
        <v>128</v>
      </c>
      <c r="AB152" s="6">
        <v>202</v>
      </c>
      <c r="AC152" s="6">
        <v>1560</v>
      </c>
      <c r="AD152" s="35">
        <f t="shared" si="44"/>
        <v>407</v>
      </c>
      <c r="AE152" s="6">
        <v>579</v>
      </c>
      <c r="AF152" s="6"/>
      <c r="AG152" s="35">
        <f t="shared" si="45"/>
        <v>377</v>
      </c>
      <c r="AH152" s="35">
        <v>959</v>
      </c>
      <c r="AI152" s="35"/>
      <c r="AJ152" s="35">
        <f t="shared" si="46"/>
        <v>380</v>
      </c>
      <c r="AK152" s="6">
        <v>1308</v>
      </c>
      <c r="AL152" s="6"/>
      <c r="AM152" s="35">
        <f t="shared" si="47"/>
        <v>349</v>
      </c>
      <c r="AN152" s="6"/>
      <c r="AO152" s="6"/>
      <c r="AP152" s="34"/>
      <c r="AQ152" s="35">
        <v>127</v>
      </c>
      <c r="AR152" s="35">
        <v>1560</v>
      </c>
      <c r="AS152" s="35">
        <f t="shared" si="48"/>
        <v>379</v>
      </c>
      <c r="AT152" s="6">
        <v>495</v>
      </c>
      <c r="AU152" s="6"/>
      <c r="AV152" s="35">
        <f t="shared" si="49"/>
        <v>368</v>
      </c>
      <c r="AW152" s="6">
        <v>878</v>
      </c>
      <c r="AX152" s="6"/>
      <c r="AY152" s="35">
        <f t="shared" si="50"/>
        <v>383</v>
      </c>
      <c r="AZ152" s="6">
        <v>1263</v>
      </c>
      <c r="BA152" s="6"/>
      <c r="BB152" s="35">
        <f t="shared" si="51"/>
        <v>385</v>
      </c>
      <c r="BC152" s="6">
        <v>83</v>
      </c>
      <c r="BD152" s="6">
        <v>1560</v>
      </c>
      <c r="BE152" s="35">
        <f t="shared" si="52"/>
        <v>380</v>
      </c>
      <c r="BF152" s="6">
        <v>462</v>
      </c>
      <c r="BG152" s="6"/>
      <c r="BH152" s="6">
        <f t="shared" si="53"/>
        <v>379</v>
      </c>
      <c r="BI152" s="6"/>
      <c r="BJ152" s="35"/>
      <c r="BK152" s="6"/>
      <c r="BL152" s="6">
        <v>860</v>
      </c>
      <c r="BM152" s="6"/>
      <c r="BN152" s="6">
        <f t="shared" si="54"/>
        <v>398</v>
      </c>
      <c r="BO152" s="6">
        <v>1245</v>
      </c>
      <c r="BP152" s="6"/>
      <c r="BQ152" s="35">
        <f t="shared" si="55"/>
        <v>385</v>
      </c>
      <c r="BR152" s="6">
        <v>1636</v>
      </c>
      <c r="BS152" s="6"/>
      <c r="BT152" s="6">
        <f t="shared" si="56"/>
        <v>391</v>
      </c>
      <c r="BU152" s="6">
        <v>336</v>
      </c>
      <c r="BV152" s="6">
        <v>1645</v>
      </c>
      <c r="BW152" s="35">
        <f t="shared" si="57"/>
        <v>345</v>
      </c>
      <c r="BX152" s="35">
        <v>730</v>
      </c>
      <c r="BY152" s="35"/>
      <c r="BZ152" s="6">
        <f t="shared" si="58"/>
        <v>394</v>
      </c>
      <c r="CA152" s="6">
        <v>1108</v>
      </c>
      <c r="CB152" s="6"/>
      <c r="CC152" s="6">
        <f t="shared" si="59"/>
        <v>378</v>
      </c>
      <c r="CD152" s="6"/>
      <c r="CE152" s="35"/>
      <c r="CF152" s="6"/>
      <c r="CG152" s="6">
        <v>1512</v>
      </c>
      <c r="CH152" s="6"/>
      <c r="CI152" s="6">
        <f t="shared" si="60"/>
        <v>404</v>
      </c>
      <c r="CJ152" s="6">
        <v>351</v>
      </c>
      <c r="CK152" s="6">
        <v>1560</v>
      </c>
      <c r="CL152" s="6">
        <f t="shared" si="61"/>
        <v>399</v>
      </c>
      <c r="CM152" s="6">
        <v>748</v>
      </c>
      <c r="CN152" s="6"/>
      <c r="CO152" s="6">
        <f t="shared" si="62"/>
        <v>397</v>
      </c>
      <c r="CP152" s="6">
        <v>1148</v>
      </c>
      <c r="CQ152" s="6"/>
      <c r="CR152" s="6">
        <f t="shared" si="63"/>
        <v>400</v>
      </c>
      <c r="CS152" s="6">
        <v>1550</v>
      </c>
      <c r="CT152" s="6"/>
      <c r="CU152" s="6">
        <f t="shared" si="64"/>
        <v>402</v>
      </c>
      <c r="CV152" s="6">
        <v>203</v>
      </c>
      <c r="CW152" s="6">
        <v>1560</v>
      </c>
      <c r="CX152" s="6">
        <f t="shared" si="65"/>
        <v>213</v>
      </c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</row>
    <row r="153" spans="1:117">
      <c r="A153" s="6">
        <v>149</v>
      </c>
      <c r="B153" s="6">
        <v>1242</v>
      </c>
      <c r="C153" s="6"/>
      <c r="D153" s="6">
        <v>346</v>
      </c>
      <c r="E153" s="33" t="s">
        <v>128</v>
      </c>
      <c r="F153" s="33" t="s">
        <v>128</v>
      </c>
      <c r="G153" s="33" t="s">
        <v>128</v>
      </c>
      <c r="H153" s="33" t="s">
        <v>128</v>
      </c>
      <c r="I153" s="148" t="s">
        <v>128</v>
      </c>
      <c r="J153" s="33" t="s">
        <v>128</v>
      </c>
      <c r="K153" s="33" t="s">
        <v>128</v>
      </c>
      <c r="L153" s="33" t="s">
        <v>128</v>
      </c>
      <c r="M153" s="33" t="s">
        <v>128</v>
      </c>
      <c r="N153" s="33" t="s">
        <v>128</v>
      </c>
      <c r="O153" s="33" t="s">
        <v>128</v>
      </c>
      <c r="P153" s="33" t="s">
        <v>128</v>
      </c>
      <c r="Q153" s="33" t="s">
        <v>128</v>
      </c>
      <c r="R153" s="33" t="s">
        <v>128</v>
      </c>
      <c r="S153" s="33" t="s">
        <v>128</v>
      </c>
      <c r="T153" s="33" t="s">
        <v>128</v>
      </c>
      <c r="U153" s="33" t="s">
        <v>128</v>
      </c>
      <c r="V153" s="33" t="s">
        <v>128</v>
      </c>
      <c r="W153" s="33" t="s">
        <v>128</v>
      </c>
      <c r="X153" s="33" t="s">
        <v>128</v>
      </c>
      <c r="Y153" s="33" t="s">
        <v>128</v>
      </c>
      <c r="Z153" s="33" t="s">
        <v>128</v>
      </c>
      <c r="AA153" s="33" t="s">
        <v>128</v>
      </c>
      <c r="AB153" s="6">
        <v>83</v>
      </c>
      <c r="AC153" s="6">
        <v>1560</v>
      </c>
      <c r="AD153" s="35">
        <f t="shared" si="44"/>
        <v>401</v>
      </c>
      <c r="AE153" s="6">
        <v>457</v>
      </c>
      <c r="AF153" s="6"/>
      <c r="AG153" s="35">
        <f t="shared" si="45"/>
        <v>374</v>
      </c>
      <c r="AH153" s="35">
        <v>0</v>
      </c>
      <c r="AI153" s="35">
        <v>618</v>
      </c>
      <c r="AJ153" s="35">
        <f t="shared" si="46"/>
        <v>161</v>
      </c>
      <c r="AK153" s="6">
        <v>318</v>
      </c>
      <c r="AL153" s="6"/>
      <c r="AM153" s="35">
        <f t="shared" si="47"/>
        <v>318</v>
      </c>
      <c r="AN153" s="6"/>
      <c r="AO153" s="6"/>
      <c r="AP153" s="34"/>
      <c r="AQ153" s="35">
        <v>694</v>
      </c>
      <c r="AR153" s="35"/>
      <c r="AS153" s="35">
        <f t="shared" si="48"/>
        <v>376</v>
      </c>
      <c r="AT153" s="6">
        <v>1066</v>
      </c>
      <c r="AU153" s="6"/>
      <c r="AV153" s="35">
        <f t="shared" si="49"/>
        <v>372</v>
      </c>
      <c r="AW153" s="6">
        <v>1433</v>
      </c>
      <c r="AX153" s="6"/>
      <c r="AY153" s="35">
        <f t="shared" si="50"/>
        <v>367</v>
      </c>
      <c r="AZ153" s="6">
        <v>246</v>
      </c>
      <c r="BA153" s="6">
        <v>1560</v>
      </c>
      <c r="BB153" s="35">
        <f t="shared" si="51"/>
        <v>373</v>
      </c>
      <c r="BC153" s="6">
        <v>633</v>
      </c>
      <c r="BD153" s="6"/>
      <c r="BE153" s="35">
        <f t="shared" si="52"/>
        <v>387</v>
      </c>
      <c r="BF153" s="6">
        <v>1009</v>
      </c>
      <c r="BG153" s="6"/>
      <c r="BH153" s="6">
        <f t="shared" si="53"/>
        <v>376</v>
      </c>
      <c r="BI153" s="6"/>
      <c r="BJ153" s="35"/>
      <c r="BK153" s="6"/>
      <c r="BL153" s="6">
        <v>1405</v>
      </c>
      <c r="BM153" s="6"/>
      <c r="BN153" s="6">
        <f t="shared" si="54"/>
        <v>396</v>
      </c>
      <c r="BO153" s="6">
        <v>226</v>
      </c>
      <c r="BP153" s="6">
        <v>1560</v>
      </c>
      <c r="BQ153" s="35">
        <f t="shared" si="55"/>
        <v>381</v>
      </c>
      <c r="BR153" s="6">
        <v>607</v>
      </c>
      <c r="BS153" s="6"/>
      <c r="BT153" s="6">
        <f t="shared" si="56"/>
        <v>381</v>
      </c>
      <c r="BU153" s="6">
        <v>1000</v>
      </c>
      <c r="BV153" s="6"/>
      <c r="BW153" s="35">
        <f t="shared" si="57"/>
        <v>393</v>
      </c>
      <c r="BX153" s="6">
        <v>140</v>
      </c>
      <c r="BY153" s="35">
        <v>1249</v>
      </c>
      <c r="BZ153" s="6">
        <f t="shared" si="58"/>
        <v>389</v>
      </c>
      <c r="CA153" s="6">
        <v>521</v>
      </c>
      <c r="CB153" s="6"/>
      <c r="CC153" s="6">
        <f t="shared" si="59"/>
        <v>381</v>
      </c>
      <c r="CD153" s="6"/>
      <c r="CE153" s="35"/>
      <c r="CF153" s="6"/>
      <c r="CG153" s="6">
        <v>276</v>
      </c>
      <c r="CH153" s="6">
        <v>628</v>
      </c>
      <c r="CI153" s="6">
        <f t="shared" si="60"/>
        <v>383</v>
      </c>
      <c r="CJ153" s="6">
        <v>666</v>
      </c>
      <c r="CK153" s="6"/>
      <c r="CL153" s="6">
        <f t="shared" si="61"/>
        <v>390</v>
      </c>
      <c r="CM153" s="6">
        <v>1046</v>
      </c>
      <c r="CN153" s="6"/>
      <c r="CO153" s="6">
        <f t="shared" si="62"/>
        <v>380</v>
      </c>
      <c r="CP153" s="6">
        <v>1427</v>
      </c>
      <c r="CQ153" s="6"/>
      <c r="CR153" s="6">
        <f t="shared" si="63"/>
        <v>381</v>
      </c>
      <c r="CS153" s="6">
        <v>251</v>
      </c>
      <c r="CT153" s="6">
        <v>1560</v>
      </c>
      <c r="CU153" s="6">
        <f t="shared" si="64"/>
        <v>384</v>
      </c>
      <c r="CV153" s="6">
        <v>457</v>
      </c>
      <c r="CW153" s="6"/>
      <c r="CX153" s="6">
        <f t="shared" si="65"/>
        <v>206</v>
      </c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</row>
    <row r="154" spans="1:117">
      <c r="A154" s="6">
        <v>150</v>
      </c>
      <c r="B154" s="6">
        <v>1254</v>
      </c>
      <c r="C154" s="6"/>
      <c r="D154" s="6">
        <v>357</v>
      </c>
      <c r="E154" s="33" t="s">
        <v>37</v>
      </c>
      <c r="F154" s="33" t="s">
        <v>37</v>
      </c>
      <c r="G154" s="33" t="s">
        <v>37</v>
      </c>
      <c r="H154" s="33" t="s">
        <v>37</v>
      </c>
      <c r="I154" s="33" t="s">
        <v>37</v>
      </c>
      <c r="J154" s="33" t="s">
        <v>37</v>
      </c>
      <c r="K154" s="148" t="s">
        <v>37</v>
      </c>
      <c r="L154" s="33" t="s">
        <v>37</v>
      </c>
      <c r="M154" s="33" t="s">
        <v>37</v>
      </c>
      <c r="N154" s="33" t="s">
        <v>37</v>
      </c>
      <c r="O154" s="33" t="s">
        <v>37</v>
      </c>
      <c r="P154" s="33" t="s">
        <v>37</v>
      </c>
      <c r="Q154" s="33" t="s">
        <v>37</v>
      </c>
      <c r="R154" s="33" t="s">
        <v>37</v>
      </c>
      <c r="S154" s="33" t="s">
        <v>37</v>
      </c>
      <c r="T154" s="33" t="s">
        <v>37</v>
      </c>
      <c r="U154" s="33" t="s">
        <v>37</v>
      </c>
      <c r="V154" s="33" t="s">
        <v>37</v>
      </c>
      <c r="W154" s="33" t="s">
        <v>37</v>
      </c>
      <c r="X154" s="33" t="s">
        <v>37</v>
      </c>
      <c r="Y154" s="33" t="s">
        <v>37</v>
      </c>
      <c r="Z154" s="33" t="s">
        <v>37</v>
      </c>
      <c r="AA154" s="33" t="s">
        <v>37</v>
      </c>
      <c r="AB154" s="6">
        <v>106</v>
      </c>
      <c r="AC154" s="6">
        <v>1560</v>
      </c>
      <c r="AD154" s="35">
        <f t="shared" si="44"/>
        <v>412</v>
      </c>
      <c r="AE154" s="6">
        <v>492</v>
      </c>
      <c r="AF154" s="6"/>
      <c r="AG154" s="35">
        <f t="shared" si="45"/>
        <v>386</v>
      </c>
      <c r="AH154" s="35">
        <v>874</v>
      </c>
      <c r="AI154" s="35"/>
      <c r="AJ154" s="35">
        <f t="shared" si="46"/>
        <v>382</v>
      </c>
      <c r="AK154" s="6">
        <v>1239</v>
      </c>
      <c r="AL154" s="6"/>
      <c r="AM154" s="35">
        <f t="shared" si="47"/>
        <v>365</v>
      </c>
      <c r="AN154" s="6"/>
      <c r="AO154" s="6"/>
      <c r="AP154" s="34"/>
      <c r="AQ154" s="35">
        <v>0</v>
      </c>
      <c r="AR154" s="35">
        <v>1606</v>
      </c>
      <c r="AS154" s="35">
        <f t="shared" si="48"/>
        <v>367</v>
      </c>
      <c r="AT154" s="6">
        <v>349</v>
      </c>
      <c r="AU154" s="6"/>
      <c r="AV154" s="35">
        <f t="shared" si="49"/>
        <v>349</v>
      </c>
      <c r="AW154" s="6">
        <v>730</v>
      </c>
      <c r="AX154" s="6"/>
      <c r="AY154" s="35">
        <f t="shared" si="50"/>
        <v>381</v>
      </c>
      <c r="AZ154" s="35">
        <v>1118</v>
      </c>
      <c r="BA154" s="35"/>
      <c r="BB154" s="35">
        <f t="shared" si="51"/>
        <v>388</v>
      </c>
      <c r="BC154" s="4">
        <v>1503</v>
      </c>
      <c r="BD154" s="6"/>
      <c r="BE154" s="35">
        <f t="shared" si="52"/>
        <v>385</v>
      </c>
      <c r="BF154" s="6">
        <v>308</v>
      </c>
      <c r="BG154" s="6">
        <v>1560</v>
      </c>
      <c r="BH154" s="6">
        <f t="shared" si="53"/>
        <v>365</v>
      </c>
      <c r="BI154" s="6"/>
      <c r="BJ154" s="6"/>
      <c r="BK154" s="6"/>
      <c r="BL154" s="6">
        <v>657</v>
      </c>
      <c r="BM154" s="6"/>
      <c r="BN154" s="6">
        <f t="shared" si="54"/>
        <v>349</v>
      </c>
      <c r="BO154" s="6">
        <v>1031</v>
      </c>
      <c r="BP154" s="6"/>
      <c r="BQ154" s="35">
        <f t="shared" si="55"/>
        <v>374</v>
      </c>
      <c r="BR154" s="6">
        <v>1418</v>
      </c>
      <c r="BS154" s="6"/>
      <c r="BT154" s="6">
        <f t="shared" si="56"/>
        <v>387</v>
      </c>
      <c r="BU154" s="6">
        <v>246</v>
      </c>
      <c r="BV154" s="6">
        <v>1560</v>
      </c>
      <c r="BW154" s="35">
        <f t="shared" si="57"/>
        <v>388</v>
      </c>
      <c r="BX154" s="6">
        <v>639</v>
      </c>
      <c r="BY154" s="6"/>
      <c r="BZ154" s="6">
        <f t="shared" si="58"/>
        <v>393</v>
      </c>
      <c r="CA154" s="6">
        <v>990</v>
      </c>
      <c r="CB154" s="6"/>
      <c r="CC154" s="6">
        <f t="shared" si="59"/>
        <v>351</v>
      </c>
      <c r="CD154" s="6"/>
      <c r="CE154" s="6"/>
      <c r="CF154" s="6"/>
      <c r="CG154" s="6">
        <v>1377</v>
      </c>
      <c r="CH154" s="6"/>
      <c r="CI154" s="6">
        <f t="shared" si="60"/>
        <v>387</v>
      </c>
      <c r="CJ154" s="6">
        <v>203</v>
      </c>
      <c r="CK154" s="6">
        <v>1560</v>
      </c>
      <c r="CL154" s="6">
        <f t="shared" si="61"/>
        <v>386</v>
      </c>
      <c r="CM154" s="6">
        <v>580</v>
      </c>
      <c r="CN154" s="6"/>
      <c r="CO154" s="6">
        <f t="shared" si="62"/>
        <v>377</v>
      </c>
      <c r="CP154" s="6">
        <v>965</v>
      </c>
      <c r="CQ154" s="6"/>
      <c r="CR154" s="6">
        <f t="shared" si="63"/>
        <v>385</v>
      </c>
      <c r="CS154" s="6">
        <v>1349</v>
      </c>
      <c r="CT154" s="6"/>
      <c r="CU154" s="6">
        <f t="shared" si="64"/>
        <v>384</v>
      </c>
      <c r="CV154" s="6">
        <v>1550</v>
      </c>
      <c r="CW154" s="6"/>
      <c r="CX154" s="6">
        <f t="shared" si="65"/>
        <v>201</v>
      </c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</row>
    <row r="155" spans="1:117">
      <c r="A155" s="6">
        <v>151</v>
      </c>
      <c r="B155" s="6">
        <v>98</v>
      </c>
      <c r="C155" s="6">
        <v>1560</v>
      </c>
      <c r="D155" s="6">
        <v>360</v>
      </c>
      <c r="E155" s="33" t="s">
        <v>37</v>
      </c>
      <c r="F155" s="33" t="s">
        <v>37</v>
      </c>
      <c r="G155" s="33" t="s">
        <v>37</v>
      </c>
      <c r="H155" s="33" t="s">
        <v>37</v>
      </c>
      <c r="I155" s="148" t="s">
        <v>37</v>
      </c>
      <c r="J155" s="33" t="s">
        <v>37</v>
      </c>
      <c r="K155" s="33" t="s">
        <v>37</v>
      </c>
      <c r="L155" s="33" t="s">
        <v>37</v>
      </c>
      <c r="M155" s="33" t="s">
        <v>37</v>
      </c>
      <c r="N155" s="33" t="s">
        <v>37</v>
      </c>
      <c r="O155" s="33" t="s">
        <v>37</v>
      </c>
      <c r="P155" s="33" t="s">
        <v>37</v>
      </c>
      <c r="Q155" s="33" t="s">
        <v>37</v>
      </c>
      <c r="R155" s="33" t="s">
        <v>37</v>
      </c>
      <c r="S155" s="33" t="s">
        <v>37</v>
      </c>
      <c r="T155" s="33" t="s">
        <v>37</v>
      </c>
      <c r="U155" s="33" t="s">
        <v>37</v>
      </c>
      <c r="V155" s="33" t="s">
        <v>37</v>
      </c>
      <c r="W155" s="33" t="s">
        <v>37</v>
      </c>
      <c r="X155" s="33" t="s">
        <v>37</v>
      </c>
      <c r="Y155" s="33" t="s">
        <v>37</v>
      </c>
      <c r="Z155" s="33" t="s">
        <v>37</v>
      </c>
      <c r="AA155" s="33" t="s">
        <v>37</v>
      </c>
      <c r="AB155" s="6">
        <v>511</v>
      </c>
      <c r="AC155" s="6"/>
      <c r="AD155" s="35">
        <f t="shared" si="44"/>
        <v>413</v>
      </c>
      <c r="AE155" s="6">
        <v>898</v>
      </c>
      <c r="AF155" s="6"/>
      <c r="AG155" s="35">
        <f t="shared" si="45"/>
        <v>387</v>
      </c>
      <c r="AH155" s="35">
        <v>0</v>
      </c>
      <c r="AI155" s="35">
        <v>1174</v>
      </c>
      <c r="AJ155" s="35">
        <f t="shared" si="46"/>
        <v>276</v>
      </c>
      <c r="AK155" s="6">
        <v>331</v>
      </c>
      <c r="AL155" s="6"/>
      <c r="AM155" s="35">
        <f t="shared" si="47"/>
        <v>331</v>
      </c>
      <c r="AN155" s="6"/>
      <c r="AO155" s="6"/>
      <c r="AP155" s="34"/>
      <c r="AQ155" s="35">
        <v>721</v>
      </c>
      <c r="AR155" s="35"/>
      <c r="AS155" s="35">
        <f t="shared" si="48"/>
        <v>390</v>
      </c>
      <c r="AT155" s="6">
        <v>104</v>
      </c>
      <c r="AU155" s="6">
        <v>989</v>
      </c>
      <c r="AV155" s="35">
        <f t="shared" si="49"/>
        <v>372</v>
      </c>
      <c r="AW155" s="6">
        <v>483</v>
      </c>
      <c r="AX155" s="6"/>
      <c r="AY155" s="35">
        <f t="shared" si="50"/>
        <v>379</v>
      </c>
      <c r="AZ155" s="6">
        <v>873</v>
      </c>
      <c r="BA155" s="6"/>
      <c r="BB155" s="35">
        <f t="shared" si="51"/>
        <v>390</v>
      </c>
      <c r="BC155" s="6">
        <v>330</v>
      </c>
      <c r="BD155" s="6">
        <v>927</v>
      </c>
      <c r="BE155" s="35">
        <f t="shared" si="52"/>
        <v>384</v>
      </c>
      <c r="BF155" s="6">
        <v>712</v>
      </c>
      <c r="BG155" s="6"/>
      <c r="BH155" s="6">
        <f t="shared" si="53"/>
        <v>382</v>
      </c>
      <c r="BI155" s="6"/>
      <c r="BJ155" s="35"/>
      <c r="BK155" s="6"/>
      <c r="BL155" s="6">
        <v>1112</v>
      </c>
      <c r="BM155" s="6"/>
      <c r="BN155" s="6">
        <f t="shared" si="54"/>
        <v>400</v>
      </c>
      <c r="BO155" s="6">
        <v>141</v>
      </c>
      <c r="BP155" s="6">
        <v>1352</v>
      </c>
      <c r="BQ155" s="35">
        <f t="shared" si="55"/>
        <v>381</v>
      </c>
      <c r="BR155" s="6">
        <v>161</v>
      </c>
      <c r="BS155" s="6">
        <v>366</v>
      </c>
      <c r="BT155" s="6">
        <f t="shared" si="56"/>
        <v>386</v>
      </c>
      <c r="BU155" s="6">
        <v>555</v>
      </c>
      <c r="BV155" s="6"/>
      <c r="BW155" s="35">
        <f t="shared" si="57"/>
        <v>394</v>
      </c>
      <c r="BX155" s="6">
        <v>954</v>
      </c>
      <c r="BY155" s="35"/>
      <c r="BZ155" s="6">
        <f t="shared" si="58"/>
        <v>399</v>
      </c>
      <c r="CA155" s="6">
        <v>1333</v>
      </c>
      <c r="CB155" s="6"/>
      <c r="CC155" s="6">
        <f t="shared" si="59"/>
        <v>379</v>
      </c>
      <c r="CD155" s="6"/>
      <c r="CE155" s="35"/>
      <c r="CF155" s="6"/>
      <c r="CG155" s="6">
        <v>21</v>
      </c>
      <c r="CH155" s="6">
        <v>1713</v>
      </c>
      <c r="CI155" s="6">
        <f t="shared" si="60"/>
        <v>401</v>
      </c>
      <c r="CJ155" s="6">
        <v>416</v>
      </c>
      <c r="CK155" s="6"/>
      <c r="CL155" s="6">
        <f t="shared" si="61"/>
        <v>395</v>
      </c>
      <c r="CM155" s="6">
        <v>312</v>
      </c>
      <c r="CN155" s="6">
        <v>480</v>
      </c>
      <c r="CO155" s="6">
        <f t="shared" si="62"/>
        <v>376</v>
      </c>
      <c r="CP155" s="6">
        <v>683</v>
      </c>
      <c r="CQ155" s="6"/>
      <c r="CR155" s="6">
        <f t="shared" si="63"/>
        <v>371</v>
      </c>
      <c r="CS155" s="35">
        <v>1077</v>
      </c>
      <c r="CT155" s="6"/>
      <c r="CU155" s="6">
        <f t="shared" si="64"/>
        <v>394</v>
      </c>
      <c r="CV155" s="6">
        <v>1278</v>
      </c>
      <c r="CW155" s="6"/>
      <c r="CX155" s="6">
        <f t="shared" si="65"/>
        <v>201</v>
      </c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</row>
    <row r="156" spans="1:117">
      <c r="A156" s="6">
        <v>152</v>
      </c>
      <c r="B156" s="6">
        <v>1252</v>
      </c>
      <c r="C156" s="6"/>
      <c r="D156" s="6">
        <v>360</v>
      </c>
      <c r="E156" s="33" t="s">
        <v>37</v>
      </c>
      <c r="F156" s="33" t="s">
        <v>37</v>
      </c>
      <c r="G156" s="33" t="s">
        <v>37</v>
      </c>
      <c r="H156" s="33" t="s">
        <v>37</v>
      </c>
      <c r="I156" s="33" t="s">
        <v>37</v>
      </c>
      <c r="J156" s="33" t="s">
        <v>37</v>
      </c>
      <c r="K156" s="148" t="s">
        <v>37</v>
      </c>
      <c r="L156" s="33" t="s">
        <v>37</v>
      </c>
      <c r="M156" s="33" t="s">
        <v>37</v>
      </c>
      <c r="N156" s="33" t="s">
        <v>37</v>
      </c>
      <c r="O156" s="33" t="s">
        <v>37</v>
      </c>
      <c r="P156" s="33" t="s">
        <v>37</v>
      </c>
      <c r="Q156" s="33" t="s">
        <v>37</v>
      </c>
      <c r="R156" s="33" t="s">
        <v>37</v>
      </c>
      <c r="S156" s="33" t="s">
        <v>37</v>
      </c>
      <c r="T156" s="33" t="s">
        <v>37</v>
      </c>
      <c r="U156" s="33" t="s">
        <v>37</v>
      </c>
      <c r="V156" s="33" t="s">
        <v>37</v>
      </c>
      <c r="W156" s="33" t="s">
        <v>37</v>
      </c>
      <c r="X156" s="33" t="s">
        <v>37</v>
      </c>
      <c r="Y156" s="33" t="s">
        <v>37</v>
      </c>
      <c r="Z156" s="33" t="s">
        <v>37</v>
      </c>
      <c r="AA156" s="33" t="s">
        <v>37</v>
      </c>
      <c r="AB156" s="6">
        <v>97</v>
      </c>
      <c r="AC156" s="6">
        <v>1561</v>
      </c>
      <c r="AD156" s="35">
        <f t="shared" si="44"/>
        <v>406</v>
      </c>
      <c r="AE156" s="6">
        <v>479</v>
      </c>
      <c r="AF156" s="6"/>
      <c r="AG156" s="35">
        <f t="shared" si="45"/>
        <v>382</v>
      </c>
      <c r="AH156" s="35">
        <v>872</v>
      </c>
      <c r="AI156" s="35"/>
      <c r="AJ156" s="35">
        <f t="shared" si="46"/>
        <v>393</v>
      </c>
      <c r="AK156" s="6">
        <v>1234</v>
      </c>
      <c r="AL156" s="6"/>
      <c r="AM156" s="35">
        <f t="shared" si="47"/>
        <v>362</v>
      </c>
      <c r="AN156" s="6"/>
      <c r="AO156" s="6"/>
      <c r="AP156" s="34"/>
      <c r="AQ156" s="35">
        <v>1612</v>
      </c>
      <c r="AR156" s="35"/>
      <c r="AS156" s="35">
        <f t="shared" si="48"/>
        <v>378</v>
      </c>
      <c r="AT156" s="6">
        <v>351</v>
      </c>
      <c r="AU156" s="6">
        <v>1617</v>
      </c>
      <c r="AV156" s="35">
        <f t="shared" si="49"/>
        <v>356</v>
      </c>
      <c r="AW156" s="6">
        <v>738</v>
      </c>
      <c r="AX156" s="6"/>
      <c r="AY156" s="35">
        <f t="shared" si="50"/>
        <v>387</v>
      </c>
      <c r="AZ156" s="6">
        <v>294</v>
      </c>
      <c r="BA156" s="6">
        <v>830</v>
      </c>
      <c r="BB156" s="35">
        <f t="shared" si="51"/>
        <v>386</v>
      </c>
      <c r="BC156" s="6">
        <v>674</v>
      </c>
      <c r="BD156" s="6"/>
      <c r="BE156" s="35">
        <f t="shared" si="52"/>
        <v>380</v>
      </c>
      <c r="BF156" s="6">
        <v>1027</v>
      </c>
      <c r="BG156" s="6"/>
      <c r="BH156" s="6">
        <f t="shared" si="53"/>
        <v>353</v>
      </c>
      <c r="BI156" s="6"/>
      <c r="BJ156" s="35"/>
      <c r="BK156" s="6"/>
      <c r="BL156" s="6">
        <v>1418</v>
      </c>
      <c r="BM156" s="6"/>
      <c r="BN156" s="6">
        <f t="shared" si="54"/>
        <v>391</v>
      </c>
      <c r="BO156" s="6">
        <v>235</v>
      </c>
      <c r="BP156" s="6">
        <v>1560</v>
      </c>
      <c r="BQ156" s="35">
        <f t="shared" si="55"/>
        <v>377</v>
      </c>
      <c r="BR156" s="6">
        <v>618</v>
      </c>
      <c r="BS156" s="6"/>
      <c r="BT156" s="6">
        <f t="shared" si="56"/>
        <v>383</v>
      </c>
      <c r="BU156" s="6">
        <v>1001</v>
      </c>
      <c r="BV156" s="6"/>
      <c r="BW156" s="35">
        <f t="shared" si="57"/>
        <v>383</v>
      </c>
      <c r="BX156" s="6">
        <v>1389</v>
      </c>
      <c r="BY156" s="35"/>
      <c r="BZ156" s="6">
        <f t="shared" si="58"/>
        <v>388</v>
      </c>
      <c r="CA156" s="6">
        <v>187</v>
      </c>
      <c r="CB156" s="6">
        <v>1560</v>
      </c>
      <c r="CC156" s="6">
        <f t="shared" si="59"/>
        <v>358</v>
      </c>
      <c r="CD156" s="6"/>
      <c r="CE156" s="35"/>
      <c r="CF156" s="6"/>
      <c r="CG156" s="6">
        <v>576</v>
      </c>
      <c r="CH156" s="6"/>
      <c r="CI156" s="6">
        <f t="shared" si="60"/>
        <v>389</v>
      </c>
      <c r="CJ156" s="6">
        <v>962</v>
      </c>
      <c r="CK156" s="6"/>
      <c r="CL156" s="6">
        <f t="shared" si="61"/>
        <v>386</v>
      </c>
      <c r="CM156" s="6">
        <v>1347</v>
      </c>
      <c r="CN156" s="6"/>
      <c r="CO156" s="6">
        <f t="shared" si="62"/>
        <v>385</v>
      </c>
      <c r="CP156" s="6">
        <v>172</v>
      </c>
      <c r="CQ156" s="6">
        <v>1560</v>
      </c>
      <c r="CR156" s="6">
        <f t="shared" si="63"/>
        <v>385</v>
      </c>
      <c r="CS156" s="6">
        <v>561</v>
      </c>
      <c r="CT156" s="6"/>
      <c r="CU156" s="6">
        <f t="shared" si="64"/>
        <v>389</v>
      </c>
      <c r="CV156" s="6">
        <v>762</v>
      </c>
      <c r="CW156" s="6"/>
      <c r="CX156" s="6">
        <f t="shared" si="65"/>
        <v>201</v>
      </c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</row>
    <row r="157" spans="1:117">
      <c r="A157" s="6">
        <v>153</v>
      </c>
      <c r="B157" s="6">
        <v>1303</v>
      </c>
      <c r="C157" s="6"/>
      <c r="D157" s="6">
        <v>346</v>
      </c>
      <c r="E157" s="33" t="s">
        <v>37</v>
      </c>
      <c r="F157" s="33" t="s">
        <v>37</v>
      </c>
      <c r="G157" s="33" t="s">
        <v>37</v>
      </c>
      <c r="H157" s="33" t="s">
        <v>37</v>
      </c>
      <c r="I157" s="33" t="s">
        <v>37</v>
      </c>
      <c r="J157" s="33" t="s">
        <v>37</v>
      </c>
      <c r="K157" s="33" t="s">
        <v>37</v>
      </c>
      <c r="L157" s="33" t="s">
        <v>37</v>
      </c>
      <c r="M157" s="33" t="s">
        <v>37</v>
      </c>
      <c r="N157" s="33" t="s">
        <v>37</v>
      </c>
      <c r="O157" s="148" t="s">
        <v>37</v>
      </c>
      <c r="P157" s="33" t="s">
        <v>37</v>
      </c>
      <c r="Q157" s="33" t="s">
        <v>37</v>
      </c>
      <c r="R157" s="33" t="s">
        <v>37</v>
      </c>
      <c r="S157" s="33" t="s">
        <v>37</v>
      </c>
      <c r="T157" s="33" t="s">
        <v>37</v>
      </c>
      <c r="U157" s="33" t="s">
        <v>37</v>
      </c>
      <c r="V157" s="33" t="s">
        <v>37</v>
      </c>
      <c r="W157" s="33" t="s">
        <v>37</v>
      </c>
      <c r="X157" s="33" t="s">
        <v>37</v>
      </c>
      <c r="Y157" s="33" t="s">
        <v>37</v>
      </c>
      <c r="Z157" s="33" t="s">
        <v>37</v>
      </c>
      <c r="AA157" s="33" t="s">
        <v>37</v>
      </c>
      <c r="AB157" s="6">
        <v>143</v>
      </c>
      <c r="AC157" s="6">
        <v>1560</v>
      </c>
      <c r="AD157" s="35">
        <f t="shared" si="44"/>
        <v>400</v>
      </c>
      <c r="AE157" s="6">
        <v>311</v>
      </c>
      <c r="AF157" s="6">
        <v>190</v>
      </c>
      <c r="AG157" s="35">
        <f t="shared" si="45"/>
        <v>358</v>
      </c>
      <c r="AH157" s="35">
        <v>154</v>
      </c>
      <c r="AI157" s="35">
        <v>532</v>
      </c>
      <c r="AJ157" s="35">
        <f t="shared" si="46"/>
        <v>375</v>
      </c>
      <c r="AK157" s="6">
        <v>512</v>
      </c>
      <c r="AL157" s="6"/>
      <c r="AM157" s="35">
        <f t="shared" si="47"/>
        <v>358</v>
      </c>
      <c r="AN157" s="6"/>
      <c r="AO157" s="6"/>
      <c r="AP157" s="34"/>
      <c r="AQ157" s="35">
        <v>902</v>
      </c>
      <c r="AR157" s="35"/>
      <c r="AS157" s="35">
        <f t="shared" si="48"/>
        <v>390</v>
      </c>
      <c r="AT157" s="6">
        <v>1283</v>
      </c>
      <c r="AU157" s="6"/>
      <c r="AV157" s="35">
        <f t="shared" si="49"/>
        <v>381</v>
      </c>
      <c r="AW157" s="6">
        <v>106</v>
      </c>
      <c r="AX157" s="6">
        <v>1560</v>
      </c>
      <c r="AY157" s="35">
        <f t="shared" si="50"/>
        <v>383</v>
      </c>
      <c r="AZ157" s="6">
        <v>489</v>
      </c>
      <c r="BA157" s="6"/>
      <c r="BB157" s="35">
        <f t="shared" si="51"/>
        <v>383</v>
      </c>
      <c r="BC157" s="6">
        <v>0</v>
      </c>
      <c r="BD157" s="6">
        <v>640</v>
      </c>
      <c r="BE157" s="35">
        <f t="shared" si="52"/>
        <v>151</v>
      </c>
      <c r="BF157" s="6">
        <v>361</v>
      </c>
      <c r="BG157" s="6"/>
      <c r="BH157" s="6">
        <f t="shared" si="53"/>
        <v>361</v>
      </c>
      <c r="BI157" s="6"/>
      <c r="BJ157" s="35"/>
      <c r="BK157" s="6"/>
      <c r="BL157" s="6">
        <v>761</v>
      </c>
      <c r="BM157" s="6"/>
      <c r="BN157" s="6">
        <f t="shared" si="54"/>
        <v>400</v>
      </c>
      <c r="BO157" s="6">
        <v>1138</v>
      </c>
      <c r="BP157" s="6"/>
      <c r="BQ157" s="35">
        <f t="shared" si="55"/>
        <v>377</v>
      </c>
      <c r="BR157" s="6">
        <v>1527</v>
      </c>
      <c r="BS157" s="6"/>
      <c r="BT157" s="6">
        <f t="shared" si="56"/>
        <v>389</v>
      </c>
      <c r="BU157" s="6">
        <v>346</v>
      </c>
      <c r="BV157" s="6">
        <v>1560</v>
      </c>
      <c r="BW157" s="35">
        <f t="shared" si="57"/>
        <v>379</v>
      </c>
      <c r="BX157" s="6">
        <v>745</v>
      </c>
      <c r="BY157" s="6"/>
      <c r="BZ157" s="6">
        <f t="shared" si="58"/>
        <v>399</v>
      </c>
      <c r="CA157" s="6">
        <v>1124</v>
      </c>
      <c r="CB157" s="6"/>
      <c r="CC157" s="6">
        <f t="shared" si="59"/>
        <v>379</v>
      </c>
      <c r="CD157" s="6"/>
      <c r="CE157" s="6"/>
      <c r="CF157" s="6"/>
      <c r="CG157" s="6">
        <v>1522</v>
      </c>
      <c r="CH157" s="6"/>
      <c r="CI157" s="6">
        <f t="shared" si="60"/>
        <v>398</v>
      </c>
      <c r="CJ157" s="6">
        <v>356</v>
      </c>
      <c r="CK157" s="6">
        <v>1560</v>
      </c>
      <c r="CL157" s="6">
        <f t="shared" si="61"/>
        <v>394</v>
      </c>
      <c r="CM157" s="6">
        <v>733</v>
      </c>
      <c r="CN157" s="6"/>
      <c r="CO157" s="6">
        <f t="shared" si="62"/>
        <v>377</v>
      </c>
      <c r="CP157" s="6">
        <v>1128</v>
      </c>
      <c r="CQ157" s="6"/>
      <c r="CR157" s="6">
        <f t="shared" si="63"/>
        <v>395</v>
      </c>
      <c r="CS157" s="6">
        <v>1523</v>
      </c>
      <c r="CT157" s="6"/>
      <c r="CU157" s="6">
        <f t="shared" si="64"/>
        <v>395</v>
      </c>
      <c r="CV157" s="6">
        <v>162</v>
      </c>
      <c r="CW157" s="6">
        <v>1560</v>
      </c>
      <c r="CX157" s="6">
        <f t="shared" si="65"/>
        <v>199</v>
      </c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</row>
    <row r="158" spans="1:117">
      <c r="A158" s="6">
        <v>154</v>
      </c>
      <c r="B158" s="6">
        <v>977</v>
      </c>
      <c r="C158" s="6"/>
      <c r="D158" s="6">
        <v>358</v>
      </c>
      <c r="E158" s="33" t="s">
        <v>128</v>
      </c>
      <c r="F158" s="33" t="s">
        <v>128</v>
      </c>
      <c r="G158" s="33" t="s">
        <v>128</v>
      </c>
      <c r="H158" s="33" t="s">
        <v>128</v>
      </c>
      <c r="I158" s="33" t="s">
        <v>128</v>
      </c>
      <c r="J158" s="33" t="s">
        <v>128</v>
      </c>
      <c r="K158" s="33" t="s">
        <v>128</v>
      </c>
      <c r="L158" s="33" t="s">
        <v>128</v>
      </c>
      <c r="M158" s="33" t="s">
        <v>128</v>
      </c>
      <c r="N158" s="33" t="s">
        <v>128</v>
      </c>
      <c r="O158" s="33" t="s">
        <v>128</v>
      </c>
      <c r="P158" s="148" t="s">
        <v>128</v>
      </c>
      <c r="Q158" s="33" t="s">
        <v>128</v>
      </c>
      <c r="R158" s="33" t="s">
        <v>128</v>
      </c>
      <c r="S158" s="33" t="s">
        <v>128</v>
      </c>
      <c r="T158" s="33" t="s">
        <v>128</v>
      </c>
      <c r="U158" s="33" t="s">
        <v>128</v>
      </c>
      <c r="V158" s="33" t="s">
        <v>128</v>
      </c>
      <c r="W158" s="33" t="s">
        <v>128</v>
      </c>
      <c r="X158" s="33" t="s">
        <v>128</v>
      </c>
      <c r="Y158" s="33" t="s">
        <v>128</v>
      </c>
      <c r="Z158" s="33" t="s">
        <v>128</v>
      </c>
      <c r="AA158" s="33" t="s">
        <v>128</v>
      </c>
      <c r="AB158" s="6">
        <v>1389</v>
      </c>
      <c r="AC158" s="6"/>
      <c r="AD158" s="35">
        <f t="shared" si="44"/>
        <v>412</v>
      </c>
      <c r="AE158" s="6">
        <v>216</v>
      </c>
      <c r="AF158" s="6">
        <v>1560</v>
      </c>
      <c r="AG158" s="35">
        <f t="shared" si="45"/>
        <v>387</v>
      </c>
      <c r="AH158" s="35">
        <v>603</v>
      </c>
      <c r="AI158" s="35"/>
      <c r="AJ158" s="35">
        <f t="shared" si="46"/>
        <v>387</v>
      </c>
      <c r="AK158" s="6">
        <v>966</v>
      </c>
      <c r="AL158" s="6"/>
      <c r="AM158" s="35">
        <f t="shared" si="47"/>
        <v>363</v>
      </c>
      <c r="AN158" s="6"/>
      <c r="AO158" s="6"/>
      <c r="AP158" s="34"/>
      <c r="AQ158" s="35">
        <v>1349</v>
      </c>
      <c r="AR158" s="35"/>
      <c r="AS158" s="35">
        <f t="shared" si="48"/>
        <v>383</v>
      </c>
      <c r="AT158" s="6">
        <v>154</v>
      </c>
      <c r="AU158" s="6">
        <v>1560</v>
      </c>
      <c r="AV158" s="35">
        <f t="shared" si="49"/>
        <v>365</v>
      </c>
      <c r="AW158" s="6">
        <v>527</v>
      </c>
      <c r="AX158" s="6"/>
      <c r="AY158" s="35">
        <f t="shared" si="50"/>
        <v>373</v>
      </c>
      <c r="AZ158" s="35">
        <v>903</v>
      </c>
      <c r="BA158" s="35"/>
      <c r="BB158" s="35">
        <f t="shared" si="51"/>
        <v>376</v>
      </c>
      <c r="BC158" s="6">
        <v>1281</v>
      </c>
      <c r="BD158" s="6"/>
      <c r="BE158" s="35">
        <f t="shared" si="52"/>
        <v>378</v>
      </c>
      <c r="BF158" s="6">
        <v>0</v>
      </c>
      <c r="BG158" s="6">
        <v>1640</v>
      </c>
      <c r="BH158" s="6">
        <f t="shared" si="53"/>
        <v>359</v>
      </c>
      <c r="BI158" s="6"/>
      <c r="BJ158" s="6"/>
      <c r="BK158" s="6"/>
      <c r="BL158" s="6">
        <v>343</v>
      </c>
      <c r="BM158" s="6"/>
      <c r="BN158" s="6">
        <f t="shared" si="54"/>
        <v>343</v>
      </c>
      <c r="BO158" s="6">
        <v>722</v>
      </c>
      <c r="BP158" s="6"/>
      <c r="BQ158" s="35">
        <f t="shared" si="55"/>
        <v>379</v>
      </c>
      <c r="BR158" s="6">
        <v>1110</v>
      </c>
      <c r="BS158" s="6"/>
      <c r="BT158" s="6">
        <f t="shared" si="56"/>
        <v>388</v>
      </c>
      <c r="BU158" s="6">
        <v>1497</v>
      </c>
      <c r="BV158" s="6"/>
      <c r="BW158" s="35">
        <f t="shared" si="57"/>
        <v>387</v>
      </c>
      <c r="BX158" s="6">
        <v>330</v>
      </c>
      <c r="BY158" s="6">
        <v>1560</v>
      </c>
      <c r="BZ158" s="6">
        <f t="shared" si="58"/>
        <v>393</v>
      </c>
      <c r="CA158" s="6">
        <v>705</v>
      </c>
      <c r="CB158" s="6"/>
      <c r="CC158" s="6">
        <f t="shared" si="59"/>
        <v>375</v>
      </c>
      <c r="CD158" s="6"/>
      <c r="CE158" s="6"/>
      <c r="CF158" s="6"/>
      <c r="CG158" s="6">
        <v>1092</v>
      </c>
      <c r="CH158" s="6"/>
      <c r="CI158" s="6">
        <f t="shared" si="60"/>
        <v>387</v>
      </c>
      <c r="CJ158" s="6">
        <v>1483</v>
      </c>
      <c r="CK158" s="6"/>
      <c r="CL158" s="6">
        <f t="shared" si="61"/>
        <v>391</v>
      </c>
      <c r="CM158" s="6">
        <v>314</v>
      </c>
      <c r="CN158" s="6">
        <v>1560</v>
      </c>
      <c r="CO158" s="6">
        <f t="shared" si="62"/>
        <v>391</v>
      </c>
      <c r="CP158" s="6">
        <v>707</v>
      </c>
      <c r="CQ158" s="6"/>
      <c r="CR158" s="6">
        <f t="shared" si="63"/>
        <v>393</v>
      </c>
      <c r="CS158" s="6">
        <v>1102</v>
      </c>
      <c r="CT158" s="6"/>
      <c r="CU158" s="6">
        <f t="shared" si="64"/>
        <v>395</v>
      </c>
      <c r="CV158" s="6">
        <v>1310</v>
      </c>
      <c r="CW158" s="6"/>
      <c r="CX158" s="6">
        <f t="shared" si="65"/>
        <v>208</v>
      </c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</row>
    <row r="159" spans="1:117">
      <c r="A159" s="6">
        <v>155</v>
      </c>
      <c r="B159" s="6">
        <v>1433</v>
      </c>
      <c r="C159" s="6"/>
      <c r="D159" s="6">
        <v>350</v>
      </c>
      <c r="E159" s="33" t="s">
        <v>37</v>
      </c>
      <c r="F159" s="33" t="s">
        <v>37</v>
      </c>
      <c r="G159" s="33" t="s">
        <v>37</v>
      </c>
      <c r="H159" s="33" t="s">
        <v>37</v>
      </c>
      <c r="I159" s="33" t="s">
        <v>37</v>
      </c>
      <c r="J159" s="33" t="s">
        <v>37</v>
      </c>
      <c r="K159" s="33" t="s">
        <v>37</v>
      </c>
      <c r="L159" s="33" t="s">
        <v>37</v>
      </c>
      <c r="M159" s="33" t="s">
        <v>37</v>
      </c>
      <c r="N159" s="33" t="s">
        <v>37</v>
      </c>
      <c r="O159" s="33" t="s">
        <v>37</v>
      </c>
      <c r="P159" s="33" t="s">
        <v>37</v>
      </c>
      <c r="Q159" s="33" t="s">
        <v>37</v>
      </c>
      <c r="R159" s="33" t="s">
        <v>37</v>
      </c>
      <c r="S159" s="148" t="s">
        <v>128</v>
      </c>
      <c r="T159" s="33" t="s">
        <v>128</v>
      </c>
      <c r="U159" s="33" t="s">
        <v>128</v>
      </c>
      <c r="V159" s="33" t="s">
        <v>128</v>
      </c>
      <c r="W159" s="33" t="s">
        <v>128</v>
      </c>
      <c r="X159" s="33" t="s">
        <v>128</v>
      </c>
      <c r="Y159" s="33" t="s">
        <v>128</v>
      </c>
      <c r="Z159" s="33" t="s">
        <v>128</v>
      </c>
      <c r="AA159" s="33" t="s">
        <v>128</v>
      </c>
      <c r="AB159" s="6">
        <v>275</v>
      </c>
      <c r="AC159" s="6">
        <v>1565</v>
      </c>
      <c r="AD159" s="35">
        <f t="shared" si="44"/>
        <v>407</v>
      </c>
      <c r="AE159" s="6">
        <v>659</v>
      </c>
      <c r="AF159" s="6"/>
      <c r="AG159" s="35">
        <f t="shared" si="45"/>
        <v>384</v>
      </c>
      <c r="AH159" s="35">
        <v>1029</v>
      </c>
      <c r="AI159" s="35"/>
      <c r="AJ159" s="35">
        <f t="shared" si="46"/>
        <v>370</v>
      </c>
      <c r="AK159" s="6">
        <v>1388</v>
      </c>
      <c r="AL159" s="6"/>
      <c r="AM159" s="35">
        <f t="shared" si="47"/>
        <v>359</v>
      </c>
      <c r="AN159" s="6"/>
      <c r="AO159" s="6"/>
      <c r="AP159" s="34"/>
      <c r="AQ159" s="35">
        <v>206</v>
      </c>
      <c r="AR159" s="35">
        <v>1560</v>
      </c>
      <c r="AS159" s="35">
        <f t="shared" si="48"/>
        <v>378</v>
      </c>
      <c r="AT159" s="6">
        <v>588</v>
      </c>
      <c r="AU159" s="6"/>
      <c r="AV159" s="35">
        <f t="shared" si="49"/>
        <v>382</v>
      </c>
      <c r="AW159" s="6">
        <v>968</v>
      </c>
      <c r="AX159" s="6"/>
      <c r="AY159" s="35">
        <f t="shared" si="50"/>
        <v>380</v>
      </c>
      <c r="AZ159" s="6">
        <v>1358</v>
      </c>
      <c r="BA159" s="6"/>
      <c r="BB159" s="35">
        <f t="shared" si="51"/>
        <v>390</v>
      </c>
      <c r="BC159" s="6">
        <v>182</v>
      </c>
      <c r="BD159" s="6">
        <v>1560</v>
      </c>
      <c r="BE159" s="35">
        <f t="shared" si="52"/>
        <v>384</v>
      </c>
      <c r="BF159" s="6">
        <v>551</v>
      </c>
      <c r="BG159" s="6"/>
      <c r="BH159" s="6">
        <f t="shared" si="53"/>
        <v>369</v>
      </c>
      <c r="BI159" s="6"/>
      <c r="BJ159" s="35"/>
      <c r="BK159" s="6"/>
      <c r="BL159" s="6">
        <v>932</v>
      </c>
      <c r="BM159" s="6"/>
      <c r="BN159" s="6">
        <f t="shared" si="54"/>
        <v>381</v>
      </c>
      <c r="BO159" s="6">
        <v>1304</v>
      </c>
      <c r="BP159" s="6"/>
      <c r="BQ159" s="35">
        <f t="shared" si="55"/>
        <v>372</v>
      </c>
      <c r="BR159" s="6">
        <v>0</v>
      </c>
      <c r="BS159" s="6">
        <v>1617</v>
      </c>
      <c r="BT159" s="6">
        <f t="shared" si="56"/>
        <v>313</v>
      </c>
      <c r="BU159" s="6">
        <v>344</v>
      </c>
      <c r="BV159" s="6"/>
      <c r="BW159" s="35">
        <f t="shared" si="57"/>
        <v>344</v>
      </c>
      <c r="BX159" s="6">
        <v>728</v>
      </c>
      <c r="BY159" s="35"/>
      <c r="BZ159" s="6">
        <f t="shared" si="58"/>
        <v>384</v>
      </c>
      <c r="CA159" s="6">
        <v>1081</v>
      </c>
      <c r="CB159" s="6"/>
      <c r="CC159" s="6">
        <f t="shared" si="59"/>
        <v>353</v>
      </c>
      <c r="CD159" s="6"/>
      <c r="CE159" s="35"/>
      <c r="CF159" s="6"/>
      <c r="CG159" s="6">
        <v>1471</v>
      </c>
      <c r="CH159" s="6"/>
      <c r="CI159" s="6">
        <f t="shared" si="60"/>
        <v>390</v>
      </c>
      <c r="CJ159" s="6">
        <v>302</v>
      </c>
      <c r="CK159" s="6">
        <v>1560</v>
      </c>
      <c r="CL159" s="6">
        <f t="shared" si="61"/>
        <v>391</v>
      </c>
      <c r="CM159" s="6">
        <v>690</v>
      </c>
      <c r="CN159" s="6"/>
      <c r="CO159" s="6">
        <f t="shared" si="62"/>
        <v>388</v>
      </c>
      <c r="CP159" s="6">
        <v>1079</v>
      </c>
      <c r="CQ159" s="6"/>
      <c r="CR159" s="6">
        <f t="shared" si="63"/>
        <v>389</v>
      </c>
      <c r="CS159" s="6">
        <v>237</v>
      </c>
      <c r="CT159" s="6">
        <v>1222</v>
      </c>
      <c r="CU159" s="6">
        <f t="shared" si="64"/>
        <v>380</v>
      </c>
      <c r="CV159" s="6">
        <v>439</v>
      </c>
      <c r="CW159" s="6"/>
      <c r="CX159" s="6">
        <f t="shared" si="65"/>
        <v>202</v>
      </c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</row>
    <row r="160" spans="1:117">
      <c r="A160" s="6">
        <v>156</v>
      </c>
      <c r="B160" s="6">
        <v>351</v>
      </c>
      <c r="C160" s="6">
        <v>1560</v>
      </c>
      <c r="D160" s="6">
        <v>357</v>
      </c>
      <c r="E160" s="33" t="s">
        <v>37</v>
      </c>
      <c r="F160" s="33" t="s">
        <v>37</v>
      </c>
      <c r="G160" s="33" t="s">
        <v>37</v>
      </c>
      <c r="H160" s="33" t="s">
        <v>37</v>
      </c>
      <c r="I160" s="33" t="s">
        <v>37</v>
      </c>
      <c r="J160" s="148" t="s">
        <v>37</v>
      </c>
      <c r="K160" s="33" t="s">
        <v>37</v>
      </c>
      <c r="L160" s="33" t="s">
        <v>37</v>
      </c>
      <c r="M160" s="33" t="s">
        <v>37</v>
      </c>
      <c r="N160" s="33" t="s">
        <v>37</v>
      </c>
      <c r="O160" s="33" t="s">
        <v>37</v>
      </c>
      <c r="P160" s="33" t="s">
        <v>37</v>
      </c>
      <c r="Q160" s="33" t="s">
        <v>37</v>
      </c>
      <c r="R160" s="33" t="s">
        <v>37</v>
      </c>
      <c r="S160" s="33" t="s">
        <v>37</v>
      </c>
      <c r="T160" s="33" t="s">
        <v>37</v>
      </c>
      <c r="U160" s="33" t="s">
        <v>37</v>
      </c>
      <c r="V160" s="33" t="s">
        <v>37</v>
      </c>
      <c r="W160" s="33" t="s">
        <v>37</v>
      </c>
      <c r="X160" s="33" t="s">
        <v>37</v>
      </c>
      <c r="Y160" s="33" t="s">
        <v>37</v>
      </c>
      <c r="Z160" s="33" t="s">
        <v>37</v>
      </c>
      <c r="AA160" s="33" t="s">
        <v>37</v>
      </c>
      <c r="AB160" s="6">
        <v>758</v>
      </c>
      <c r="AC160" s="6"/>
      <c r="AD160" s="35">
        <f t="shared" si="44"/>
        <v>407</v>
      </c>
      <c r="AE160" s="6">
        <v>361</v>
      </c>
      <c r="AF160" s="6">
        <v>782</v>
      </c>
      <c r="AG160" s="35">
        <f t="shared" si="45"/>
        <v>385</v>
      </c>
      <c r="AH160" s="35">
        <v>743</v>
      </c>
      <c r="AI160" s="35"/>
      <c r="AJ160" s="35">
        <f t="shared" si="46"/>
        <v>382</v>
      </c>
      <c r="AK160" s="6">
        <v>1029</v>
      </c>
      <c r="AL160" s="6"/>
      <c r="AM160" s="35">
        <f t="shared" si="47"/>
        <v>286</v>
      </c>
      <c r="AN160" s="6"/>
      <c r="AO160" s="6"/>
      <c r="AP160" s="34"/>
      <c r="AQ160" s="35">
        <v>365</v>
      </c>
      <c r="AR160" s="35">
        <v>1029</v>
      </c>
      <c r="AS160" s="35">
        <f t="shared" si="48"/>
        <v>365</v>
      </c>
      <c r="AT160" s="6">
        <v>744</v>
      </c>
      <c r="AU160" s="6"/>
      <c r="AV160" s="35">
        <f t="shared" si="49"/>
        <v>379</v>
      </c>
      <c r="AW160" s="6">
        <v>1132</v>
      </c>
      <c r="AX160" s="6"/>
      <c r="AY160" s="35">
        <f t="shared" si="50"/>
        <v>388</v>
      </c>
      <c r="AZ160" s="35">
        <v>1518</v>
      </c>
      <c r="BA160" s="35"/>
      <c r="BB160" s="35">
        <f t="shared" si="51"/>
        <v>386</v>
      </c>
      <c r="BC160" s="6">
        <v>326</v>
      </c>
      <c r="BD160" s="6">
        <v>1571</v>
      </c>
      <c r="BE160" s="35">
        <f t="shared" si="52"/>
        <v>379</v>
      </c>
      <c r="BF160" s="6">
        <v>699</v>
      </c>
      <c r="BG160" s="6"/>
      <c r="BH160" s="6">
        <f t="shared" si="53"/>
        <v>373</v>
      </c>
      <c r="BI160" s="6"/>
      <c r="BJ160" s="6"/>
      <c r="BK160" s="6"/>
      <c r="BL160" s="6">
        <v>1093</v>
      </c>
      <c r="BM160" s="6"/>
      <c r="BN160" s="6">
        <f t="shared" si="54"/>
        <v>394</v>
      </c>
      <c r="BO160" s="6">
        <v>1473</v>
      </c>
      <c r="BP160" s="6"/>
      <c r="BQ160" s="35">
        <f t="shared" si="55"/>
        <v>380</v>
      </c>
      <c r="BR160" s="6">
        <v>305</v>
      </c>
      <c r="BS160" s="6">
        <v>1560</v>
      </c>
      <c r="BT160" s="6">
        <f t="shared" si="56"/>
        <v>392</v>
      </c>
      <c r="BU160" s="6">
        <v>692</v>
      </c>
      <c r="BV160" s="6"/>
      <c r="BW160" s="35">
        <f t="shared" si="57"/>
        <v>387</v>
      </c>
      <c r="BX160" s="6">
        <v>1085</v>
      </c>
      <c r="BY160" s="6"/>
      <c r="BZ160" s="6">
        <f t="shared" si="58"/>
        <v>393</v>
      </c>
      <c r="CA160" s="6">
        <v>12</v>
      </c>
      <c r="CB160" s="6">
        <v>1441</v>
      </c>
      <c r="CC160" s="6">
        <f t="shared" si="59"/>
        <v>368</v>
      </c>
      <c r="CD160" s="6"/>
      <c r="CE160" s="6"/>
      <c r="CF160" s="6"/>
      <c r="CG160" s="6">
        <v>415</v>
      </c>
      <c r="CH160" s="6"/>
      <c r="CI160" s="6">
        <f t="shared" si="60"/>
        <v>403</v>
      </c>
      <c r="CJ160" s="6">
        <v>806</v>
      </c>
      <c r="CK160" s="6"/>
      <c r="CL160" s="6">
        <f t="shared" si="61"/>
        <v>391</v>
      </c>
      <c r="CM160" s="6">
        <v>1191</v>
      </c>
      <c r="CN160" s="6"/>
      <c r="CO160" s="6">
        <f t="shared" si="62"/>
        <v>385</v>
      </c>
      <c r="CP160" s="6">
        <v>24</v>
      </c>
      <c r="CQ160" s="6">
        <v>1560</v>
      </c>
      <c r="CR160" s="6">
        <f t="shared" si="63"/>
        <v>393</v>
      </c>
      <c r="CS160" s="6">
        <v>4</v>
      </c>
      <c r="CT160" s="6">
        <v>412</v>
      </c>
      <c r="CU160" s="6">
        <f t="shared" si="64"/>
        <v>392</v>
      </c>
      <c r="CV160" s="6">
        <v>206</v>
      </c>
      <c r="CW160" s="6"/>
      <c r="CX160" s="6">
        <f t="shared" si="65"/>
        <v>202</v>
      </c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</row>
    <row r="161" spans="1:117">
      <c r="A161" s="6">
        <v>157</v>
      </c>
      <c r="B161" s="6">
        <v>120</v>
      </c>
      <c r="C161" s="6">
        <v>1560</v>
      </c>
      <c r="D161" s="6">
        <v>356</v>
      </c>
      <c r="E161" s="33" t="s">
        <v>37</v>
      </c>
      <c r="F161" s="33" t="s">
        <v>37</v>
      </c>
      <c r="G161" s="33" t="s">
        <v>37</v>
      </c>
      <c r="H161" s="33" t="s">
        <v>37</v>
      </c>
      <c r="I161" s="148" t="s">
        <v>37</v>
      </c>
      <c r="J161" s="33" t="s">
        <v>37</v>
      </c>
      <c r="K161" s="33" t="s">
        <v>37</v>
      </c>
      <c r="L161" s="33" t="s">
        <v>37</v>
      </c>
      <c r="M161" s="33" t="s">
        <v>37</v>
      </c>
      <c r="N161" s="33" t="s">
        <v>37</v>
      </c>
      <c r="O161" s="33" t="s">
        <v>37</v>
      </c>
      <c r="P161" s="33" t="s">
        <v>37</v>
      </c>
      <c r="Q161" s="33" t="s">
        <v>37</v>
      </c>
      <c r="R161" s="33" t="s">
        <v>37</v>
      </c>
      <c r="S161" s="33" t="s">
        <v>37</v>
      </c>
      <c r="T161" s="33" t="s">
        <v>37</v>
      </c>
      <c r="U161" s="33" t="s">
        <v>37</v>
      </c>
      <c r="V161" s="33" t="s">
        <v>37</v>
      </c>
      <c r="W161" s="33" t="s">
        <v>37</v>
      </c>
      <c r="X161" s="33" t="s">
        <v>37</v>
      </c>
      <c r="Y161" s="33" t="s">
        <v>37</v>
      </c>
      <c r="Z161" s="33" t="s">
        <v>37</v>
      </c>
      <c r="AA161" s="33" t="s">
        <v>37</v>
      </c>
      <c r="AB161" s="6">
        <v>531</v>
      </c>
      <c r="AC161" s="6"/>
      <c r="AD161" s="35">
        <f t="shared" si="44"/>
        <v>411</v>
      </c>
      <c r="AE161" s="6">
        <v>919</v>
      </c>
      <c r="AF161" s="6"/>
      <c r="AG161" s="35">
        <f t="shared" si="45"/>
        <v>388</v>
      </c>
      <c r="AH161" s="35">
        <v>1309</v>
      </c>
      <c r="AI161" s="35"/>
      <c r="AJ161" s="35">
        <f t="shared" si="46"/>
        <v>390</v>
      </c>
      <c r="AK161" s="6">
        <v>4</v>
      </c>
      <c r="AL161" s="6">
        <f>1364+274</f>
        <v>1638</v>
      </c>
      <c r="AM161" s="35">
        <f t="shared" si="47"/>
        <v>333</v>
      </c>
      <c r="AN161" s="6"/>
      <c r="AO161" s="6"/>
      <c r="AP161" s="34"/>
      <c r="AQ161" s="35">
        <v>394</v>
      </c>
      <c r="AR161" s="35"/>
      <c r="AS161" s="35">
        <f t="shared" si="48"/>
        <v>390</v>
      </c>
      <c r="AT161" s="6">
        <v>770</v>
      </c>
      <c r="AU161" s="6"/>
      <c r="AV161" s="35">
        <f t="shared" si="49"/>
        <v>376</v>
      </c>
      <c r="AW161" s="6">
        <v>1154</v>
      </c>
      <c r="AX161" s="6"/>
      <c r="AY161" s="35">
        <f t="shared" si="50"/>
        <v>384</v>
      </c>
      <c r="AZ161" s="6">
        <v>27</v>
      </c>
      <c r="BA161" s="6">
        <v>1511</v>
      </c>
      <c r="BB161" s="35">
        <f t="shared" si="51"/>
        <v>384</v>
      </c>
      <c r="BC161" s="6">
        <v>416</v>
      </c>
      <c r="BD161" s="6"/>
      <c r="BE161" s="35">
        <f t="shared" si="52"/>
        <v>389</v>
      </c>
      <c r="BF161" s="6">
        <v>297</v>
      </c>
      <c r="BG161" s="6">
        <v>497</v>
      </c>
      <c r="BH161" s="6">
        <f t="shared" si="53"/>
        <v>378</v>
      </c>
      <c r="BI161" s="6"/>
      <c r="BJ161" s="35"/>
      <c r="BK161" s="6"/>
      <c r="BL161" s="6">
        <v>697</v>
      </c>
      <c r="BM161" s="6"/>
      <c r="BN161" s="6">
        <f t="shared" si="54"/>
        <v>400</v>
      </c>
      <c r="BO161" s="6">
        <v>1079</v>
      </c>
      <c r="BP161" s="6"/>
      <c r="BQ161" s="35">
        <f t="shared" si="55"/>
        <v>382</v>
      </c>
      <c r="BR161" s="6">
        <v>1474</v>
      </c>
      <c r="BS161" s="6"/>
      <c r="BT161" s="6">
        <f t="shared" si="56"/>
        <v>395</v>
      </c>
      <c r="BU161" s="6">
        <v>300</v>
      </c>
      <c r="BV161" s="6">
        <v>1560</v>
      </c>
      <c r="BW161" s="35">
        <f t="shared" si="57"/>
        <v>386</v>
      </c>
      <c r="BX161" s="6">
        <v>695</v>
      </c>
      <c r="BY161" s="6"/>
      <c r="BZ161" s="6">
        <f t="shared" si="58"/>
        <v>395</v>
      </c>
      <c r="CA161" s="6">
        <v>1070</v>
      </c>
      <c r="CB161" s="6"/>
      <c r="CC161" s="6">
        <f t="shared" si="59"/>
        <v>375</v>
      </c>
      <c r="CD161" s="6"/>
      <c r="CE161" s="6"/>
      <c r="CF161" s="6"/>
      <c r="CG161" s="6">
        <v>1429</v>
      </c>
      <c r="CH161" s="6"/>
      <c r="CI161" s="6">
        <f t="shared" si="60"/>
        <v>359</v>
      </c>
      <c r="CJ161" s="6">
        <v>254</v>
      </c>
      <c r="CK161" s="6">
        <v>1560</v>
      </c>
      <c r="CL161" s="6">
        <f t="shared" si="61"/>
        <v>385</v>
      </c>
      <c r="CM161" s="6">
        <v>629</v>
      </c>
      <c r="CN161" s="6"/>
      <c r="CO161" s="6">
        <f t="shared" si="62"/>
        <v>375</v>
      </c>
      <c r="CP161" s="6">
        <v>277</v>
      </c>
      <c r="CQ161" s="6">
        <v>730</v>
      </c>
      <c r="CR161" s="6">
        <f t="shared" si="63"/>
        <v>378</v>
      </c>
      <c r="CS161" s="6">
        <v>665</v>
      </c>
      <c r="CT161" s="6"/>
      <c r="CU161" s="6">
        <f t="shared" si="64"/>
        <v>388</v>
      </c>
      <c r="CV161" s="6">
        <v>866</v>
      </c>
      <c r="CW161" s="6"/>
      <c r="CX161" s="6">
        <f t="shared" si="65"/>
        <v>201</v>
      </c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</row>
    <row r="162" spans="1:117">
      <c r="A162" s="6">
        <v>158</v>
      </c>
      <c r="B162" s="6">
        <v>660</v>
      </c>
      <c r="C162" s="6"/>
      <c r="D162" s="6">
        <v>331</v>
      </c>
      <c r="E162" s="33" t="s">
        <v>37</v>
      </c>
      <c r="F162" s="33" t="s">
        <v>37</v>
      </c>
      <c r="G162" s="33" t="s">
        <v>37</v>
      </c>
      <c r="H162" s="33" t="s">
        <v>37</v>
      </c>
      <c r="I162" s="33" t="s">
        <v>37</v>
      </c>
      <c r="J162" s="33" t="s">
        <v>37</v>
      </c>
      <c r="K162" s="148" t="s">
        <v>37</v>
      </c>
      <c r="L162" s="33" t="s">
        <v>37</v>
      </c>
      <c r="M162" s="33" t="s">
        <v>37</v>
      </c>
      <c r="N162" s="33" t="s">
        <v>37</v>
      </c>
      <c r="O162" s="33" t="s">
        <v>37</v>
      </c>
      <c r="P162" s="33" t="s">
        <v>37</v>
      </c>
      <c r="Q162" s="33" t="s">
        <v>37</v>
      </c>
      <c r="R162" s="33" t="s">
        <v>37</v>
      </c>
      <c r="S162" s="33" t="s">
        <v>37</v>
      </c>
      <c r="T162" s="33" t="s">
        <v>37</v>
      </c>
      <c r="U162" s="33" t="s">
        <v>37</v>
      </c>
      <c r="V162" s="33" t="s">
        <v>37</v>
      </c>
      <c r="W162" s="33" t="s">
        <v>37</v>
      </c>
      <c r="X162" s="33" t="s">
        <v>37</v>
      </c>
      <c r="Y162" s="33" t="s">
        <v>37</v>
      </c>
      <c r="Z162" s="33" t="s">
        <v>37</v>
      </c>
      <c r="AA162" s="33" t="s">
        <v>37</v>
      </c>
      <c r="AB162" s="6">
        <v>1041</v>
      </c>
      <c r="AC162" s="6"/>
      <c r="AD162" s="35">
        <f t="shared" si="44"/>
        <v>381</v>
      </c>
      <c r="AE162" s="6">
        <v>1395</v>
      </c>
      <c r="AF162" s="6"/>
      <c r="AG162" s="35">
        <f t="shared" si="45"/>
        <v>354</v>
      </c>
      <c r="AH162" s="35">
        <v>328</v>
      </c>
      <c r="AI162" s="35">
        <v>1438</v>
      </c>
      <c r="AJ162" s="35">
        <f t="shared" si="46"/>
        <v>371</v>
      </c>
      <c r="AK162" s="6">
        <v>680</v>
      </c>
      <c r="AL162" s="6"/>
      <c r="AM162" s="35">
        <f t="shared" si="47"/>
        <v>352</v>
      </c>
      <c r="AN162" s="6"/>
      <c r="AO162" s="6"/>
      <c r="AP162" s="34"/>
      <c r="AQ162" s="35">
        <v>0</v>
      </c>
      <c r="AR162" s="35">
        <v>995</v>
      </c>
      <c r="AS162" s="35">
        <f t="shared" si="48"/>
        <v>315</v>
      </c>
      <c r="AT162" s="6">
        <v>346</v>
      </c>
      <c r="AU162" s="6"/>
      <c r="AV162" s="35">
        <f t="shared" si="49"/>
        <v>346</v>
      </c>
      <c r="AW162" s="6">
        <v>720</v>
      </c>
      <c r="AX162" s="6"/>
      <c r="AY162" s="35">
        <f t="shared" si="50"/>
        <v>374</v>
      </c>
      <c r="AZ162" s="35">
        <v>1098</v>
      </c>
      <c r="BA162" s="35"/>
      <c r="BB162" s="35">
        <f t="shared" si="51"/>
        <v>378</v>
      </c>
      <c r="BC162" s="6">
        <v>340</v>
      </c>
      <c r="BD162" s="6">
        <v>1126</v>
      </c>
      <c r="BE162" s="35">
        <f t="shared" si="52"/>
        <v>368</v>
      </c>
      <c r="BF162" s="6">
        <v>716</v>
      </c>
      <c r="BG162" s="6"/>
      <c r="BH162" s="6">
        <f t="shared" si="53"/>
        <v>376</v>
      </c>
      <c r="BI162" s="6"/>
      <c r="BJ162" s="6"/>
      <c r="BK162" s="6"/>
      <c r="BL162" s="6">
        <v>1113</v>
      </c>
      <c r="BM162" s="6"/>
      <c r="BN162" s="6">
        <f t="shared" si="54"/>
        <v>397</v>
      </c>
      <c r="BO162" s="6">
        <v>1494</v>
      </c>
      <c r="BP162" s="6"/>
      <c r="BQ162" s="35">
        <f t="shared" si="55"/>
        <v>381</v>
      </c>
      <c r="BR162" s="6">
        <v>315</v>
      </c>
      <c r="BS162" s="6">
        <v>1561</v>
      </c>
      <c r="BT162" s="6">
        <f t="shared" si="56"/>
        <v>382</v>
      </c>
      <c r="BU162" s="6">
        <v>700</v>
      </c>
      <c r="BV162" s="6"/>
      <c r="BW162" s="35">
        <f t="shared" si="57"/>
        <v>385</v>
      </c>
      <c r="BX162" s="6">
        <v>1095</v>
      </c>
      <c r="BY162" s="6"/>
      <c r="BZ162" s="6">
        <f t="shared" si="58"/>
        <v>395</v>
      </c>
      <c r="CA162" s="6">
        <v>21</v>
      </c>
      <c r="CB162" s="6">
        <v>1443</v>
      </c>
      <c r="CC162" s="6">
        <f t="shared" si="59"/>
        <v>369</v>
      </c>
      <c r="CD162" s="6"/>
      <c r="CE162" s="6"/>
      <c r="CF162" s="6"/>
      <c r="CG162" s="6">
        <v>418</v>
      </c>
      <c r="CH162" s="6"/>
      <c r="CI162" s="6">
        <f t="shared" si="60"/>
        <v>397</v>
      </c>
      <c r="CJ162" s="6">
        <v>800</v>
      </c>
      <c r="CK162" s="6"/>
      <c r="CL162" s="6">
        <f t="shared" si="61"/>
        <v>382</v>
      </c>
      <c r="CM162" s="6">
        <v>1187</v>
      </c>
      <c r="CN162" s="6"/>
      <c r="CO162" s="6">
        <f t="shared" si="62"/>
        <v>387</v>
      </c>
      <c r="CP162" s="6">
        <v>8</v>
      </c>
      <c r="CQ162" s="6">
        <v>1560</v>
      </c>
      <c r="CR162" s="6">
        <f t="shared" si="63"/>
        <v>381</v>
      </c>
      <c r="CS162" s="6">
        <v>325</v>
      </c>
      <c r="CT162" s="6"/>
      <c r="CU162" s="6">
        <f t="shared" si="64"/>
        <v>317</v>
      </c>
      <c r="CV162" s="6">
        <v>496</v>
      </c>
      <c r="CW162" s="6"/>
      <c r="CX162" s="6">
        <f t="shared" si="65"/>
        <v>171</v>
      </c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</row>
    <row r="163" spans="1:117">
      <c r="A163" s="6">
        <v>159</v>
      </c>
      <c r="B163" s="6">
        <v>656</v>
      </c>
      <c r="C163" s="6"/>
      <c r="D163" s="6">
        <v>355</v>
      </c>
      <c r="E163" s="33" t="s">
        <v>37</v>
      </c>
      <c r="F163" s="33" t="s">
        <v>37</v>
      </c>
      <c r="G163" s="33" t="s">
        <v>37</v>
      </c>
      <c r="H163" s="33" t="s">
        <v>37</v>
      </c>
      <c r="I163" s="33" t="s">
        <v>37</v>
      </c>
      <c r="J163" s="33" t="s">
        <v>37</v>
      </c>
      <c r="K163" s="148" t="s">
        <v>37</v>
      </c>
      <c r="L163" s="33" t="s">
        <v>37</v>
      </c>
      <c r="M163" s="33" t="s">
        <v>37</v>
      </c>
      <c r="N163" s="33" t="s">
        <v>37</v>
      </c>
      <c r="O163" s="33" t="s">
        <v>37</v>
      </c>
      <c r="P163" s="33" t="s">
        <v>37</v>
      </c>
      <c r="Q163" s="33" t="s">
        <v>37</v>
      </c>
      <c r="R163" s="33" t="s">
        <v>37</v>
      </c>
      <c r="S163" s="33" t="s">
        <v>37</v>
      </c>
      <c r="T163" s="33" t="s">
        <v>37</v>
      </c>
      <c r="U163" s="33" t="s">
        <v>37</v>
      </c>
      <c r="V163" s="33" t="s">
        <v>37</v>
      </c>
      <c r="W163" s="33" t="s">
        <v>37</v>
      </c>
      <c r="X163" s="33" t="s">
        <v>37</v>
      </c>
      <c r="Y163" s="33" t="s">
        <v>37</v>
      </c>
      <c r="Z163" s="33" t="s">
        <v>37</v>
      </c>
      <c r="AA163" s="33" t="s">
        <v>37</v>
      </c>
      <c r="AB163" s="35">
        <v>1064</v>
      </c>
      <c r="AC163" s="35"/>
      <c r="AD163" s="35">
        <f t="shared" si="44"/>
        <v>408</v>
      </c>
      <c r="AE163" s="35">
        <v>1452</v>
      </c>
      <c r="AF163" s="35"/>
      <c r="AG163" s="35">
        <f t="shared" si="45"/>
        <v>388</v>
      </c>
      <c r="AH163" s="35">
        <v>284</v>
      </c>
      <c r="AI163" s="35">
        <v>1559</v>
      </c>
      <c r="AJ163" s="35">
        <f t="shared" si="46"/>
        <v>391</v>
      </c>
      <c r="AK163" s="6">
        <v>648</v>
      </c>
      <c r="AL163" s="6"/>
      <c r="AM163" s="35">
        <f t="shared" si="47"/>
        <v>364</v>
      </c>
      <c r="AN163" s="6"/>
      <c r="AO163" s="6"/>
      <c r="AP163" s="34"/>
      <c r="AQ163" s="35">
        <v>0</v>
      </c>
      <c r="AR163" s="35">
        <v>982</v>
      </c>
      <c r="AS163" s="35">
        <f t="shared" si="48"/>
        <v>334</v>
      </c>
      <c r="AT163" s="6">
        <v>346</v>
      </c>
      <c r="AU163" s="6"/>
      <c r="AV163" s="35">
        <f t="shared" si="49"/>
        <v>346</v>
      </c>
      <c r="AW163" s="6">
        <v>734</v>
      </c>
      <c r="AX163" s="6"/>
      <c r="AY163" s="35">
        <f t="shared" si="50"/>
        <v>388</v>
      </c>
      <c r="AZ163" s="6">
        <v>1119</v>
      </c>
      <c r="BA163" s="6"/>
      <c r="BB163" s="35">
        <f t="shared" si="51"/>
        <v>385</v>
      </c>
      <c r="BC163" s="6">
        <v>1508</v>
      </c>
      <c r="BD163" s="6"/>
      <c r="BE163" s="35">
        <f t="shared" si="52"/>
        <v>389</v>
      </c>
      <c r="BF163" s="6">
        <v>323</v>
      </c>
      <c r="BG163" s="6">
        <v>1561</v>
      </c>
      <c r="BH163" s="6">
        <f t="shared" si="53"/>
        <v>376</v>
      </c>
      <c r="BI163" s="6"/>
      <c r="BJ163" s="35"/>
      <c r="BK163" s="6"/>
      <c r="BL163" s="6">
        <v>722</v>
      </c>
      <c r="BM163" s="6"/>
      <c r="BN163" s="6">
        <f t="shared" si="54"/>
        <v>399</v>
      </c>
      <c r="BO163" s="6">
        <v>1104</v>
      </c>
      <c r="BP163" s="6"/>
      <c r="BQ163" s="35">
        <f t="shared" si="55"/>
        <v>382</v>
      </c>
      <c r="BR163" s="6">
        <v>1495</v>
      </c>
      <c r="BS163" s="6"/>
      <c r="BT163" s="6">
        <f t="shared" si="56"/>
        <v>391</v>
      </c>
      <c r="BU163" s="6">
        <v>328</v>
      </c>
      <c r="BV163" s="6">
        <v>1560</v>
      </c>
      <c r="BW163" s="35">
        <f t="shared" si="57"/>
        <v>393</v>
      </c>
      <c r="BX163" s="6">
        <v>725</v>
      </c>
      <c r="BY163" s="6"/>
      <c r="BZ163" s="6">
        <f t="shared" si="58"/>
        <v>397</v>
      </c>
      <c r="CA163" s="6">
        <v>1102</v>
      </c>
      <c r="CB163" s="6"/>
      <c r="CC163" s="6">
        <f t="shared" si="59"/>
        <v>377</v>
      </c>
      <c r="CD163" s="6"/>
      <c r="CE163" s="6"/>
      <c r="CF163" s="6"/>
      <c r="CG163" s="6">
        <v>1509</v>
      </c>
      <c r="CH163" s="6"/>
      <c r="CI163" s="6">
        <f t="shared" si="60"/>
        <v>407</v>
      </c>
      <c r="CJ163" s="6">
        <v>337</v>
      </c>
      <c r="CK163" s="6">
        <v>1560</v>
      </c>
      <c r="CL163" s="6">
        <f t="shared" si="61"/>
        <v>388</v>
      </c>
      <c r="CM163" s="6">
        <v>726</v>
      </c>
      <c r="CN163" s="6"/>
      <c r="CO163" s="6">
        <f t="shared" si="62"/>
        <v>389</v>
      </c>
      <c r="CP163" s="6">
        <v>1117</v>
      </c>
      <c r="CQ163" s="6"/>
      <c r="CR163" s="6">
        <f t="shared" si="63"/>
        <v>391</v>
      </c>
      <c r="CS163" s="6">
        <v>1509</v>
      </c>
      <c r="CT163" s="6"/>
      <c r="CU163" s="6">
        <f t="shared" si="64"/>
        <v>392</v>
      </c>
      <c r="CV163" s="6">
        <v>145</v>
      </c>
      <c r="CW163" s="6">
        <v>1564</v>
      </c>
      <c r="CX163" s="6">
        <f t="shared" si="65"/>
        <v>200</v>
      </c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</row>
    <row r="164" spans="1:117">
      <c r="A164" s="6">
        <v>160</v>
      </c>
      <c r="B164" s="6">
        <v>782</v>
      </c>
      <c r="C164" s="6"/>
      <c r="D164" s="6">
        <v>355</v>
      </c>
      <c r="E164" s="33" t="s">
        <v>128</v>
      </c>
      <c r="F164" s="33" t="s">
        <v>128</v>
      </c>
      <c r="G164" s="33" t="s">
        <v>128</v>
      </c>
      <c r="H164" s="33" t="s">
        <v>128</v>
      </c>
      <c r="I164" s="148" t="s">
        <v>128</v>
      </c>
      <c r="J164" s="33" t="s">
        <v>128</v>
      </c>
      <c r="K164" s="33" t="s">
        <v>128</v>
      </c>
      <c r="L164" s="33" t="s">
        <v>128</v>
      </c>
      <c r="M164" s="33" t="s">
        <v>128</v>
      </c>
      <c r="N164" s="33" t="s">
        <v>128</v>
      </c>
      <c r="O164" s="33" t="s">
        <v>128</v>
      </c>
      <c r="P164" s="33" t="s">
        <v>128</v>
      </c>
      <c r="Q164" s="33" t="s">
        <v>128</v>
      </c>
      <c r="R164" s="33" t="s">
        <v>128</v>
      </c>
      <c r="S164" s="33" t="s">
        <v>128</v>
      </c>
      <c r="T164" s="33" t="s">
        <v>128</v>
      </c>
      <c r="U164" s="33" t="s">
        <v>128</v>
      </c>
      <c r="V164" s="33" t="s">
        <v>128</v>
      </c>
      <c r="W164" s="33" t="s">
        <v>128</v>
      </c>
      <c r="X164" s="33" t="s">
        <v>128</v>
      </c>
      <c r="Y164" s="33" t="s">
        <v>128</v>
      </c>
      <c r="Z164" s="33" t="s">
        <v>128</v>
      </c>
      <c r="AA164" s="33" t="s">
        <v>128</v>
      </c>
      <c r="AB164" s="6">
        <v>241</v>
      </c>
      <c r="AC164" s="6">
        <v>944</v>
      </c>
      <c r="AD164" s="35">
        <f t="shared" si="44"/>
        <v>403</v>
      </c>
      <c r="AE164" s="6">
        <v>609</v>
      </c>
      <c r="AF164" s="6"/>
      <c r="AG164" s="35">
        <f t="shared" si="45"/>
        <v>368</v>
      </c>
      <c r="AH164" s="35">
        <v>982</v>
      </c>
      <c r="AI164" s="35"/>
      <c r="AJ164" s="35">
        <f t="shared" si="46"/>
        <v>373</v>
      </c>
      <c r="AK164" s="6">
        <v>274</v>
      </c>
      <c r="AL164" s="6">
        <v>1005</v>
      </c>
      <c r="AM164" s="35">
        <f t="shared" si="47"/>
        <v>297</v>
      </c>
      <c r="AN164" s="6"/>
      <c r="AO164" s="6"/>
      <c r="AP164" s="34"/>
      <c r="AQ164" s="35">
        <v>654</v>
      </c>
      <c r="AR164" s="35"/>
      <c r="AS164" s="35">
        <f t="shared" si="48"/>
        <v>380</v>
      </c>
      <c r="AT164" s="6">
        <v>1032</v>
      </c>
      <c r="AU164" s="6"/>
      <c r="AV164" s="35">
        <f t="shared" si="49"/>
        <v>378</v>
      </c>
      <c r="AW164" s="6">
        <v>1416</v>
      </c>
      <c r="AX164" s="6"/>
      <c r="AY164" s="35">
        <f t="shared" si="50"/>
        <v>384</v>
      </c>
      <c r="AZ164" s="35">
        <v>236</v>
      </c>
      <c r="BA164" s="35">
        <v>1560</v>
      </c>
      <c r="BB164" s="35">
        <f t="shared" si="51"/>
        <v>380</v>
      </c>
      <c r="BC164" s="6">
        <v>77</v>
      </c>
      <c r="BD164" s="6">
        <v>531</v>
      </c>
      <c r="BE164" s="35">
        <f t="shared" si="52"/>
        <v>372</v>
      </c>
      <c r="BF164" s="35">
        <v>433</v>
      </c>
      <c r="BG164" s="6"/>
      <c r="BH164" s="6">
        <f t="shared" si="53"/>
        <v>356</v>
      </c>
      <c r="BI164" s="6"/>
      <c r="BJ164" s="6"/>
      <c r="BK164" s="6"/>
      <c r="BL164" s="6">
        <v>818</v>
      </c>
      <c r="BM164" s="6"/>
      <c r="BN164" s="6">
        <f t="shared" si="54"/>
        <v>385</v>
      </c>
      <c r="BO164" s="6">
        <v>1196</v>
      </c>
      <c r="BP164" s="6"/>
      <c r="BQ164" s="35">
        <f t="shared" si="55"/>
        <v>378</v>
      </c>
      <c r="BR164" s="6">
        <v>19</v>
      </c>
      <c r="BS164" s="6">
        <v>1561</v>
      </c>
      <c r="BT164" s="6">
        <f t="shared" si="56"/>
        <v>384</v>
      </c>
      <c r="BU164" s="6">
        <v>395</v>
      </c>
      <c r="BV164" s="6"/>
      <c r="BW164" s="35">
        <f t="shared" si="57"/>
        <v>376</v>
      </c>
      <c r="BX164" s="6">
        <v>782</v>
      </c>
      <c r="BY164" s="6"/>
      <c r="BZ164" s="6">
        <f t="shared" si="58"/>
        <v>387</v>
      </c>
      <c r="CA164" s="6">
        <v>10</v>
      </c>
      <c r="CB164" s="6">
        <v>1131</v>
      </c>
      <c r="CC164" s="6">
        <f t="shared" si="59"/>
        <v>359</v>
      </c>
      <c r="CD164" s="6"/>
      <c r="CE164" s="6"/>
      <c r="CF164" s="6"/>
      <c r="CG164" s="6">
        <v>400</v>
      </c>
      <c r="CH164" s="6"/>
      <c r="CI164" s="6">
        <f t="shared" si="60"/>
        <v>390</v>
      </c>
      <c r="CJ164" s="6">
        <v>783</v>
      </c>
      <c r="CK164" s="6"/>
      <c r="CL164" s="6">
        <f t="shared" si="61"/>
        <v>383</v>
      </c>
      <c r="CM164" s="6">
        <v>1169</v>
      </c>
      <c r="CN164" s="6"/>
      <c r="CO164" s="6">
        <f t="shared" si="62"/>
        <v>386</v>
      </c>
      <c r="CP164" s="6">
        <v>149</v>
      </c>
      <c r="CQ164" s="6">
        <v>1405</v>
      </c>
      <c r="CR164" s="6">
        <f t="shared" si="63"/>
        <v>385</v>
      </c>
      <c r="CS164" s="6">
        <v>533</v>
      </c>
      <c r="CT164" s="6"/>
      <c r="CU164" s="6">
        <f t="shared" si="64"/>
        <v>384</v>
      </c>
      <c r="CV164" s="6">
        <v>727</v>
      </c>
      <c r="CW164" s="6"/>
      <c r="CX164" s="6">
        <f t="shared" si="65"/>
        <v>194</v>
      </c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</row>
    <row r="165" spans="1:117">
      <c r="A165" s="6">
        <v>161</v>
      </c>
      <c r="B165" s="6">
        <v>111</v>
      </c>
      <c r="C165" s="6">
        <v>607</v>
      </c>
      <c r="D165" s="6">
        <v>328</v>
      </c>
      <c r="E165" s="33" t="s">
        <v>37</v>
      </c>
      <c r="F165" s="33" t="s">
        <v>37</v>
      </c>
      <c r="G165" s="33" t="s">
        <v>37</v>
      </c>
      <c r="H165" s="33" t="s">
        <v>37</v>
      </c>
      <c r="I165" s="33" t="s">
        <v>37</v>
      </c>
      <c r="J165" s="33" t="s">
        <v>37</v>
      </c>
      <c r="K165" s="33" t="s">
        <v>37</v>
      </c>
      <c r="L165" s="33" t="s">
        <v>37</v>
      </c>
      <c r="M165" s="33" t="s">
        <v>37</v>
      </c>
      <c r="N165" s="33" t="s">
        <v>37</v>
      </c>
      <c r="O165" s="148" t="s">
        <v>132</v>
      </c>
      <c r="P165" s="33" t="s">
        <v>132</v>
      </c>
      <c r="Q165" s="33" t="s">
        <v>132</v>
      </c>
      <c r="R165" s="148" t="s">
        <v>311</v>
      </c>
      <c r="S165" s="148" t="s">
        <v>307</v>
      </c>
      <c r="T165" s="33" t="s">
        <v>307</v>
      </c>
      <c r="U165" s="33" t="s">
        <v>307</v>
      </c>
      <c r="V165" s="33" t="s">
        <v>307</v>
      </c>
      <c r="W165" s="33" t="s">
        <v>307</v>
      </c>
      <c r="X165" s="33" t="s">
        <v>307</v>
      </c>
      <c r="Y165" s="33" t="s">
        <v>307</v>
      </c>
      <c r="Z165" s="33" t="s">
        <v>307</v>
      </c>
      <c r="AA165" s="33" t="s">
        <v>307</v>
      </c>
      <c r="AB165" s="6">
        <v>502</v>
      </c>
      <c r="AC165" s="6"/>
      <c r="AD165" s="35">
        <f t="shared" si="44"/>
        <v>391</v>
      </c>
      <c r="AE165" s="6">
        <v>868</v>
      </c>
      <c r="AF165" s="6"/>
      <c r="AG165" s="35">
        <f t="shared" si="45"/>
        <v>366</v>
      </c>
      <c r="AH165" s="35">
        <v>1238</v>
      </c>
      <c r="AI165" s="35"/>
      <c r="AJ165" s="35">
        <f t="shared" si="46"/>
        <v>370</v>
      </c>
      <c r="AK165" s="6">
        <v>27</v>
      </c>
      <c r="AL165" s="6">
        <v>1560</v>
      </c>
      <c r="AM165" s="35">
        <f t="shared" si="47"/>
        <v>349</v>
      </c>
      <c r="AN165" s="6"/>
      <c r="AO165" s="6"/>
      <c r="AP165" s="34"/>
      <c r="AQ165" s="35">
        <v>403</v>
      </c>
      <c r="AR165" s="35"/>
      <c r="AS165" s="35">
        <f t="shared" si="48"/>
        <v>376</v>
      </c>
      <c r="AT165" s="6">
        <v>765</v>
      </c>
      <c r="AU165" s="6"/>
      <c r="AV165" s="35">
        <f t="shared" si="49"/>
        <v>362</v>
      </c>
      <c r="AW165" s="6">
        <v>1127</v>
      </c>
      <c r="AX165" s="6"/>
      <c r="AY165" s="35">
        <f t="shared" si="50"/>
        <v>362</v>
      </c>
      <c r="AZ165" s="35">
        <v>1493</v>
      </c>
      <c r="BA165" s="35"/>
      <c r="BB165" s="35">
        <f t="shared" si="51"/>
        <v>366</v>
      </c>
      <c r="BC165" s="6">
        <v>1881</v>
      </c>
      <c r="BD165" s="6"/>
      <c r="BE165" s="35">
        <f t="shared" si="52"/>
        <v>388</v>
      </c>
      <c r="BF165" s="6">
        <v>266</v>
      </c>
      <c r="BG165" s="6">
        <v>1962</v>
      </c>
      <c r="BH165" s="6">
        <f t="shared" si="53"/>
        <v>347</v>
      </c>
      <c r="BI165" s="6"/>
      <c r="BJ165" s="6"/>
      <c r="BK165" s="6"/>
      <c r="BL165" s="6">
        <v>647</v>
      </c>
      <c r="BM165" s="6"/>
      <c r="BN165" s="6">
        <f t="shared" si="54"/>
        <v>381</v>
      </c>
      <c r="BO165" s="6">
        <v>1014</v>
      </c>
      <c r="BP165" s="6"/>
      <c r="BQ165" s="35">
        <f t="shared" si="55"/>
        <v>367</v>
      </c>
      <c r="BR165" s="6">
        <v>336</v>
      </c>
      <c r="BS165" s="6">
        <v>1035</v>
      </c>
      <c r="BT165" s="6">
        <f t="shared" si="56"/>
        <v>357</v>
      </c>
      <c r="BU165" s="6">
        <v>270</v>
      </c>
      <c r="BV165" s="6">
        <v>428</v>
      </c>
      <c r="BW165" s="35">
        <f t="shared" si="57"/>
        <v>362</v>
      </c>
      <c r="BX165" s="35">
        <v>663</v>
      </c>
      <c r="BY165" s="6"/>
      <c r="BZ165" s="6">
        <f t="shared" si="58"/>
        <v>393</v>
      </c>
      <c r="CA165" s="6">
        <v>1037</v>
      </c>
      <c r="CB165" s="6"/>
      <c r="CC165" s="6">
        <f t="shared" si="59"/>
        <v>374</v>
      </c>
      <c r="CD165" s="6"/>
      <c r="CE165" s="6"/>
      <c r="CF165" s="6"/>
      <c r="CG165" s="6">
        <v>1435</v>
      </c>
      <c r="CH165" s="6"/>
      <c r="CI165" s="6">
        <f t="shared" si="60"/>
        <v>398</v>
      </c>
      <c r="CJ165" s="6">
        <v>261</v>
      </c>
      <c r="CK165" s="6">
        <v>1560</v>
      </c>
      <c r="CL165" s="6">
        <f t="shared" si="61"/>
        <v>386</v>
      </c>
      <c r="CM165" s="6">
        <v>653</v>
      </c>
      <c r="CN165" s="6"/>
      <c r="CO165" s="6">
        <f t="shared" si="62"/>
        <v>392</v>
      </c>
      <c r="CP165" s="6">
        <v>1046</v>
      </c>
      <c r="CQ165" s="6"/>
      <c r="CR165" s="6">
        <f t="shared" si="63"/>
        <v>393</v>
      </c>
      <c r="CS165" s="6">
        <v>1442</v>
      </c>
      <c r="CT165" s="6"/>
      <c r="CU165" s="6">
        <f t="shared" si="64"/>
        <v>396</v>
      </c>
      <c r="CV165" s="6">
        <v>82</v>
      </c>
      <c r="CW165" s="6">
        <v>1565</v>
      </c>
      <c r="CX165" s="6">
        <f t="shared" si="65"/>
        <v>205</v>
      </c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</row>
    <row r="166" spans="1:117">
      <c r="A166" s="7">
        <v>162</v>
      </c>
      <c r="B166" s="6">
        <v>0</v>
      </c>
      <c r="C166" s="6"/>
      <c r="D166" s="6">
        <v>0</v>
      </c>
      <c r="E166" s="33" t="s">
        <v>244</v>
      </c>
      <c r="F166" s="33" t="s">
        <v>244</v>
      </c>
      <c r="G166" s="33" t="s">
        <v>244</v>
      </c>
      <c r="H166" s="33" t="s">
        <v>244</v>
      </c>
      <c r="I166" s="33" t="s">
        <v>244</v>
      </c>
      <c r="J166" s="33" t="s">
        <v>244</v>
      </c>
      <c r="K166" s="33" t="s">
        <v>244</v>
      </c>
      <c r="L166" s="33" t="s">
        <v>244</v>
      </c>
      <c r="M166" s="33" t="s">
        <v>244</v>
      </c>
      <c r="N166" s="33" t="s">
        <v>244</v>
      </c>
      <c r="O166" s="33" t="s">
        <v>244</v>
      </c>
      <c r="P166" s="33" t="s">
        <v>244</v>
      </c>
      <c r="Q166" s="33" t="s">
        <v>244</v>
      </c>
      <c r="R166" s="33" t="s">
        <v>244</v>
      </c>
      <c r="S166" s="33" t="s">
        <v>244</v>
      </c>
      <c r="T166" s="33" t="s">
        <v>244</v>
      </c>
      <c r="U166" s="33" t="s">
        <v>244</v>
      </c>
      <c r="V166" s="33" t="s">
        <v>244</v>
      </c>
      <c r="W166" s="33" t="s">
        <v>244</v>
      </c>
      <c r="X166" s="33" t="s">
        <v>244</v>
      </c>
      <c r="Y166" s="33" t="s">
        <v>244</v>
      </c>
      <c r="Z166" s="33" t="s">
        <v>244</v>
      </c>
      <c r="AA166" s="33" t="s">
        <v>244</v>
      </c>
      <c r="AB166" s="35">
        <v>0</v>
      </c>
      <c r="AC166" s="35"/>
      <c r="AD166" s="35">
        <f t="shared" si="44"/>
        <v>0</v>
      </c>
      <c r="AE166" s="35">
        <v>0</v>
      </c>
      <c r="AF166" s="35"/>
      <c r="AG166" s="35">
        <f t="shared" si="45"/>
        <v>0</v>
      </c>
      <c r="AH166" s="35">
        <v>0</v>
      </c>
      <c r="AI166" s="35"/>
      <c r="AJ166" s="35">
        <f t="shared" si="46"/>
        <v>0</v>
      </c>
      <c r="AK166" s="6">
        <v>0</v>
      </c>
      <c r="AL166" s="6"/>
      <c r="AM166" s="35">
        <f t="shared" si="47"/>
        <v>0</v>
      </c>
      <c r="AN166" s="6"/>
      <c r="AO166" s="6"/>
      <c r="AP166" s="34"/>
      <c r="AQ166" s="35">
        <v>0</v>
      </c>
      <c r="AR166" s="35"/>
      <c r="AS166" s="35">
        <f t="shared" si="48"/>
        <v>0</v>
      </c>
      <c r="AT166" s="6">
        <v>0</v>
      </c>
      <c r="AU166" s="6"/>
      <c r="AV166" s="35">
        <f t="shared" si="49"/>
        <v>0</v>
      </c>
      <c r="AW166" s="6">
        <v>0</v>
      </c>
      <c r="AX166" s="6"/>
      <c r="AY166" s="35">
        <f t="shared" si="50"/>
        <v>0</v>
      </c>
      <c r="AZ166" s="6">
        <v>0</v>
      </c>
      <c r="BA166" s="6"/>
      <c r="BB166" s="35">
        <f t="shared" si="51"/>
        <v>0</v>
      </c>
      <c r="BC166" s="6">
        <v>0</v>
      </c>
      <c r="BD166" s="6"/>
      <c r="BE166" s="35">
        <f t="shared" si="52"/>
        <v>0</v>
      </c>
      <c r="BF166" s="6">
        <v>0</v>
      </c>
      <c r="BG166" s="6"/>
      <c r="BH166" s="6">
        <f t="shared" si="53"/>
        <v>0</v>
      </c>
      <c r="BI166" s="6"/>
      <c r="BJ166" s="35"/>
      <c r="BK166" s="6"/>
      <c r="BL166" s="6">
        <v>0</v>
      </c>
      <c r="BM166" s="6"/>
      <c r="BN166" s="6">
        <f t="shared" si="54"/>
        <v>0</v>
      </c>
      <c r="BO166" s="6">
        <v>0</v>
      </c>
      <c r="BP166" s="6"/>
      <c r="BQ166" s="35">
        <f t="shared" si="55"/>
        <v>0</v>
      </c>
      <c r="BR166" s="6">
        <v>0</v>
      </c>
      <c r="BS166" s="6"/>
      <c r="BT166" s="6">
        <f t="shared" si="56"/>
        <v>0</v>
      </c>
      <c r="BU166" s="6">
        <v>0</v>
      </c>
      <c r="BV166" s="6"/>
      <c r="BW166" s="35">
        <f t="shared" si="57"/>
        <v>0</v>
      </c>
      <c r="BX166" s="6">
        <v>0</v>
      </c>
      <c r="BY166" s="35"/>
      <c r="BZ166" s="6">
        <f t="shared" si="58"/>
        <v>0</v>
      </c>
      <c r="CA166" s="6">
        <v>0</v>
      </c>
      <c r="CB166" s="6"/>
      <c r="CC166" s="6">
        <f t="shared" si="59"/>
        <v>0</v>
      </c>
      <c r="CD166" s="6"/>
      <c r="CE166" s="35"/>
      <c r="CF166" s="6"/>
      <c r="CG166" s="6">
        <v>0</v>
      </c>
      <c r="CH166" s="6"/>
      <c r="CI166" s="6">
        <f t="shared" si="60"/>
        <v>0</v>
      </c>
      <c r="CJ166" s="6">
        <v>0</v>
      </c>
      <c r="CK166" s="6"/>
      <c r="CL166" s="6">
        <f t="shared" si="61"/>
        <v>0</v>
      </c>
      <c r="CM166" s="6">
        <v>0</v>
      </c>
      <c r="CN166" s="6"/>
      <c r="CO166" s="6">
        <f t="shared" si="62"/>
        <v>0</v>
      </c>
      <c r="CP166" s="6">
        <v>0</v>
      </c>
      <c r="CQ166" s="6"/>
      <c r="CR166" s="6">
        <f t="shared" si="63"/>
        <v>0</v>
      </c>
      <c r="CS166" s="6">
        <v>0</v>
      </c>
      <c r="CT166" s="6"/>
      <c r="CU166" s="6">
        <f t="shared" si="64"/>
        <v>0</v>
      </c>
      <c r="CV166" s="6">
        <v>0</v>
      </c>
      <c r="CW166" s="6"/>
      <c r="CX166" s="6">
        <f t="shared" si="65"/>
        <v>0</v>
      </c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</row>
    <row r="167" spans="1:117">
      <c r="A167" s="6">
        <v>163</v>
      </c>
      <c r="B167" s="6">
        <v>0</v>
      </c>
      <c r="C167" s="6"/>
      <c r="D167" s="6">
        <v>0</v>
      </c>
      <c r="E167" s="33" t="s">
        <v>138</v>
      </c>
      <c r="F167" s="33" t="s">
        <v>138</v>
      </c>
      <c r="G167" s="33" t="s">
        <v>138</v>
      </c>
      <c r="H167" s="33" t="s">
        <v>138</v>
      </c>
      <c r="I167" s="33" t="s">
        <v>138</v>
      </c>
      <c r="J167" s="33" t="s">
        <v>138</v>
      </c>
      <c r="K167" s="33" t="s">
        <v>138</v>
      </c>
      <c r="L167" s="33" t="s">
        <v>138</v>
      </c>
      <c r="M167" s="33" t="s">
        <v>138</v>
      </c>
      <c r="N167" s="33" t="s">
        <v>138</v>
      </c>
      <c r="O167" s="33" t="s">
        <v>138</v>
      </c>
      <c r="P167" s="33" t="s">
        <v>138</v>
      </c>
      <c r="Q167" s="33" t="s">
        <v>138</v>
      </c>
      <c r="R167" s="33" t="s">
        <v>138</v>
      </c>
      <c r="S167" s="33" t="s">
        <v>138</v>
      </c>
      <c r="T167" s="33" t="s">
        <v>138</v>
      </c>
      <c r="U167" s="33" t="s">
        <v>138</v>
      </c>
      <c r="V167" s="33" t="s">
        <v>138</v>
      </c>
      <c r="W167" s="33" t="s">
        <v>138</v>
      </c>
      <c r="X167" s="33" t="s">
        <v>138</v>
      </c>
      <c r="Y167" s="33" t="s">
        <v>138</v>
      </c>
      <c r="Z167" s="33" t="s">
        <v>138</v>
      </c>
      <c r="AA167" s="33" t="s">
        <v>138</v>
      </c>
      <c r="AB167" s="35">
        <v>0</v>
      </c>
      <c r="AC167" s="35"/>
      <c r="AD167" s="35">
        <f t="shared" si="44"/>
        <v>0</v>
      </c>
      <c r="AE167" s="35">
        <v>0</v>
      </c>
      <c r="AF167" s="35"/>
      <c r="AG167" s="35">
        <f t="shared" si="45"/>
        <v>0</v>
      </c>
      <c r="AH167" s="35">
        <v>0</v>
      </c>
      <c r="AI167" s="35"/>
      <c r="AJ167" s="35">
        <f t="shared" si="46"/>
        <v>0</v>
      </c>
      <c r="AK167" s="6">
        <v>0</v>
      </c>
      <c r="AL167" s="6"/>
      <c r="AM167" s="35">
        <f t="shared" si="47"/>
        <v>0</v>
      </c>
      <c r="AN167" s="6"/>
      <c r="AO167" s="6"/>
      <c r="AP167" s="34"/>
      <c r="AQ167" s="35">
        <v>0</v>
      </c>
      <c r="AR167" s="35"/>
      <c r="AS167" s="35">
        <f t="shared" si="48"/>
        <v>0</v>
      </c>
      <c r="AT167" s="6">
        <v>0</v>
      </c>
      <c r="AU167" s="6"/>
      <c r="AV167" s="35">
        <f t="shared" si="49"/>
        <v>0</v>
      </c>
      <c r="AW167" s="6">
        <v>0</v>
      </c>
      <c r="AX167" s="6"/>
      <c r="AY167" s="35">
        <f t="shared" si="50"/>
        <v>0</v>
      </c>
      <c r="AZ167" s="35">
        <v>0</v>
      </c>
      <c r="BA167" s="35"/>
      <c r="BB167" s="35">
        <f t="shared" si="51"/>
        <v>0</v>
      </c>
      <c r="BC167" s="6">
        <v>0</v>
      </c>
      <c r="BD167" s="6"/>
      <c r="BE167" s="35">
        <f t="shared" si="52"/>
        <v>0</v>
      </c>
      <c r="BF167" s="6">
        <v>0</v>
      </c>
      <c r="BG167" s="6"/>
      <c r="BH167" s="6">
        <f t="shared" si="53"/>
        <v>0</v>
      </c>
      <c r="BI167" s="6"/>
      <c r="BJ167" s="6"/>
      <c r="BK167" s="6"/>
      <c r="BL167" s="6">
        <v>0</v>
      </c>
      <c r="BM167" s="6"/>
      <c r="BN167" s="6">
        <f t="shared" si="54"/>
        <v>0</v>
      </c>
      <c r="BO167" s="6">
        <v>0</v>
      </c>
      <c r="BP167" s="6"/>
      <c r="BQ167" s="35">
        <f t="shared" si="55"/>
        <v>0</v>
      </c>
      <c r="BR167" s="6">
        <v>0</v>
      </c>
      <c r="BS167" s="6"/>
      <c r="BT167" s="6">
        <f t="shared" si="56"/>
        <v>0</v>
      </c>
      <c r="BU167" s="6">
        <v>0</v>
      </c>
      <c r="BV167" s="6"/>
      <c r="BW167" s="35">
        <f t="shared" si="57"/>
        <v>0</v>
      </c>
      <c r="BX167" s="6">
        <v>0</v>
      </c>
      <c r="BY167" s="6"/>
      <c r="BZ167" s="6">
        <f t="shared" si="58"/>
        <v>0</v>
      </c>
      <c r="CA167" s="6">
        <v>0</v>
      </c>
      <c r="CB167" s="6"/>
      <c r="CC167" s="6">
        <f t="shared" si="59"/>
        <v>0</v>
      </c>
      <c r="CD167" s="6"/>
      <c r="CE167" s="6"/>
      <c r="CF167" s="6"/>
      <c r="CG167" s="6">
        <v>0</v>
      </c>
      <c r="CH167" s="6"/>
      <c r="CI167" s="6">
        <f t="shared" si="60"/>
        <v>0</v>
      </c>
      <c r="CJ167" s="6">
        <v>0</v>
      </c>
      <c r="CK167" s="6"/>
      <c r="CL167" s="6">
        <f t="shared" si="61"/>
        <v>0</v>
      </c>
      <c r="CM167" s="6">
        <v>0</v>
      </c>
      <c r="CN167" s="6"/>
      <c r="CO167" s="6">
        <f t="shared" si="62"/>
        <v>0</v>
      </c>
      <c r="CP167" s="6">
        <v>0</v>
      </c>
      <c r="CQ167" s="6"/>
      <c r="CR167" s="6">
        <f t="shared" si="63"/>
        <v>0</v>
      </c>
      <c r="CS167" s="6">
        <v>0</v>
      </c>
      <c r="CT167" s="6"/>
      <c r="CU167" s="6">
        <f t="shared" si="64"/>
        <v>0</v>
      </c>
      <c r="CV167" s="6">
        <v>0</v>
      </c>
      <c r="CW167" s="6"/>
      <c r="CX167" s="6">
        <f t="shared" si="65"/>
        <v>0</v>
      </c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</row>
    <row r="168" spans="1:117">
      <c r="A168" s="6">
        <v>164</v>
      </c>
      <c r="B168" s="6">
        <v>467</v>
      </c>
      <c r="C168" s="6"/>
      <c r="D168" s="6">
        <v>357</v>
      </c>
      <c r="E168" s="33" t="s">
        <v>37</v>
      </c>
      <c r="F168" s="33" t="s">
        <v>37</v>
      </c>
      <c r="G168" s="33" t="s">
        <v>37</v>
      </c>
      <c r="H168" s="33" t="s">
        <v>37</v>
      </c>
      <c r="I168" s="148" t="s">
        <v>37</v>
      </c>
      <c r="J168" s="33" t="s">
        <v>37</v>
      </c>
      <c r="K168" s="33" t="s">
        <v>37</v>
      </c>
      <c r="L168" s="33" t="s">
        <v>37</v>
      </c>
      <c r="M168" s="33" t="s">
        <v>37</v>
      </c>
      <c r="N168" s="33" t="s">
        <v>37</v>
      </c>
      <c r="O168" s="33" t="s">
        <v>37</v>
      </c>
      <c r="P168" s="33" t="s">
        <v>37</v>
      </c>
      <c r="Q168" s="33" t="s">
        <v>37</v>
      </c>
      <c r="R168" s="33" t="s">
        <v>37</v>
      </c>
      <c r="S168" s="33" t="s">
        <v>37</v>
      </c>
      <c r="T168" s="33" t="s">
        <v>37</v>
      </c>
      <c r="U168" s="33" t="s">
        <v>37</v>
      </c>
      <c r="V168" s="33" t="s">
        <v>37</v>
      </c>
      <c r="W168" s="33" t="s">
        <v>37</v>
      </c>
      <c r="X168" s="33" t="s">
        <v>37</v>
      </c>
      <c r="Y168" s="33" t="s">
        <v>37</v>
      </c>
      <c r="Z168" s="33" t="s">
        <v>37</v>
      </c>
      <c r="AA168" s="33" t="s">
        <v>37</v>
      </c>
      <c r="AB168" s="6">
        <v>880</v>
      </c>
      <c r="AC168" s="6"/>
      <c r="AD168" s="35">
        <f t="shared" si="44"/>
        <v>413</v>
      </c>
      <c r="AE168" s="6">
        <v>1258</v>
      </c>
      <c r="AF168" s="6"/>
      <c r="AG168" s="35">
        <f t="shared" si="45"/>
        <v>378</v>
      </c>
      <c r="AH168" s="35">
        <v>0</v>
      </c>
      <c r="AI168" s="35">
        <v>1630</v>
      </c>
      <c r="AJ168" s="35">
        <f t="shared" si="46"/>
        <v>372</v>
      </c>
      <c r="AK168" s="6">
        <v>328</v>
      </c>
      <c r="AL168" s="6"/>
      <c r="AM168" s="35">
        <f t="shared" si="47"/>
        <v>328</v>
      </c>
      <c r="AN168" s="6"/>
      <c r="AO168" s="6"/>
      <c r="AP168" s="34"/>
      <c r="AQ168" s="35">
        <v>716</v>
      </c>
      <c r="AR168" s="35"/>
      <c r="AS168" s="35">
        <f t="shared" si="48"/>
        <v>388</v>
      </c>
      <c r="AT168" s="6">
        <v>1087</v>
      </c>
      <c r="AU168" s="6"/>
      <c r="AV168" s="35">
        <f t="shared" si="49"/>
        <v>371</v>
      </c>
      <c r="AW168" s="6">
        <v>1469</v>
      </c>
      <c r="AX168" s="6"/>
      <c r="AY168" s="35">
        <f t="shared" si="50"/>
        <v>382</v>
      </c>
      <c r="AZ168" s="35">
        <v>291</v>
      </c>
      <c r="BA168" s="35">
        <v>1560</v>
      </c>
      <c r="BB168" s="35">
        <f t="shared" si="51"/>
        <v>382</v>
      </c>
      <c r="BC168" s="6">
        <v>679</v>
      </c>
      <c r="BD168" s="6"/>
      <c r="BE168" s="35">
        <f t="shared" si="52"/>
        <v>388</v>
      </c>
      <c r="BF168" s="6">
        <v>1042</v>
      </c>
      <c r="BG168" s="6"/>
      <c r="BH168" s="6">
        <f t="shared" si="53"/>
        <v>363</v>
      </c>
      <c r="BI168" s="6"/>
      <c r="BJ168" s="6"/>
      <c r="BK168" s="6"/>
      <c r="BL168" s="6">
        <v>1431</v>
      </c>
      <c r="BM168" s="6"/>
      <c r="BN168" s="6">
        <f t="shared" si="54"/>
        <v>389</v>
      </c>
      <c r="BO168" s="6">
        <v>254</v>
      </c>
      <c r="BP168" s="6">
        <v>1553</v>
      </c>
      <c r="BQ168" s="35">
        <f t="shared" si="55"/>
        <v>376</v>
      </c>
      <c r="BR168" s="6">
        <v>642</v>
      </c>
      <c r="BS168" s="6"/>
      <c r="BT168" s="6">
        <f t="shared" si="56"/>
        <v>388</v>
      </c>
      <c r="BU168" s="6">
        <v>1028</v>
      </c>
      <c r="BV168" s="6"/>
      <c r="BW168" s="35">
        <f t="shared" si="57"/>
        <v>386</v>
      </c>
      <c r="BX168" s="6">
        <v>1421</v>
      </c>
      <c r="BY168" s="6"/>
      <c r="BZ168" s="6">
        <f t="shared" si="58"/>
        <v>393</v>
      </c>
      <c r="CA168" s="6">
        <v>225</v>
      </c>
      <c r="CB168" s="6">
        <v>1560</v>
      </c>
      <c r="CC168" s="6">
        <f t="shared" si="59"/>
        <v>364</v>
      </c>
      <c r="CD168" s="6"/>
      <c r="CE168" s="6"/>
      <c r="CF168" s="6"/>
      <c r="CG168" s="6">
        <v>624</v>
      </c>
      <c r="CH168" s="6"/>
      <c r="CI168" s="6">
        <f t="shared" si="60"/>
        <v>399</v>
      </c>
      <c r="CJ168" s="6">
        <v>1018</v>
      </c>
      <c r="CK168" s="6"/>
      <c r="CL168" s="6">
        <f t="shared" si="61"/>
        <v>394</v>
      </c>
      <c r="CM168" s="6">
        <v>1410</v>
      </c>
      <c r="CN168" s="6"/>
      <c r="CO168" s="6">
        <f t="shared" si="62"/>
        <v>392</v>
      </c>
      <c r="CP168" s="6">
        <v>239</v>
      </c>
      <c r="CQ168" s="6">
        <v>1560</v>
      </c>
      <c r="CR168" s="6">
        <f t="shared" si="63"/>
        <v>389</v>
      </c>
      <c r="CS168" s="6">
        <v>633</v>
      </c>
      <c r="CT168" s="6"/>
      <c r="CU168" s="6">
        <f t="shared" si="64"/>
        <v>394</v>
      </c>
      <c r="CV168" s="6">
        <v>834</v>
      </c>
      <c r="CW168" s="6"/>
      <c r="CX168" s="6">
        <f t="shared" si="65"/>
        <v>201</v>
      </c>
      <c r="CY168" s="6"/>
      <c r="CZ168" s="6"/>
      <c r="DA168" s="6"/>
      <c r="DB168" s="6"/>
      <c r="DC168" s="6"/>
      <c r="DD168" s="6"/>
      <c r="DE168" s="35"/>
      <c r="DF168" s="6"/>
      <c r="DG168" s="6"/>
      <c r="DH168" s="35"/>
      <c r="DI168" s="6"/>
      <c r="DJ168" s="6"/>
      <c r="DK168" s="35"/>
      <c r="DL168" s="6"/>
      <c r="DM168" s="6"/>
    </row>
    <row r="169" spans="1:117">
      <c r="A169" s="6">
        <v>165</v>
      </c>
      <c r="B169" s="6">
        <v>0</v>
      </c>
      <c r="C169" s="6"/>
      <c r="D169" s="6">
        <v>0</v>
      </c>
      <c r="E169" s="33" t="s">
        <v>102</v>
      </c>
      <c r="F169" s="33" t="s">
        <v>102</v>
      </c>
      <c r="G169" s="33" t="s">
        <v>102</v>
      </c>
      <c r="H169" s="33" t="s">
        <v>102</v>
      </c>
      <c r="I169" s="33" t="s">
        <v>102</v>
      </c>
      <c r="J169" s="33" t="s">
        <v>102</v>
      </c>
      <c r="K169" s="33" t="s">
        <v>102</v>
      </c>
      <c r="L169" s="33" t="s">
        <v>102</v>
      </c>
      <c r="M169" s="33" t="s">
        <v>102</v>
      </c>
      <c r="N169" s="33" t="s">
        <v>102</v>
      </c>
      <c r="O169" s="33" t="s">
        <v>102</v>
      </c>
      <c r="P169" s="33" t="s">
        <v>102</v>
      </c>
      <c r="Q169" s="33" t="s">
        <v>102</v>
      </c>
      <c r="R169" s="33" t="s">
        <v>102</v>
      </c>
      <c r="S169" s="33" t="s">
        <v>102</v>
      </c>
      <c r="T169" s="33" t="s">
        <v>102</v>
      </c>
      <c r="U169" s="33" t="s">
        <v>102</v>
      </c>
      <c r="V169" s="33" t="s">
        <v>102</v>
      </c>
      <c r="W169" s="33" t="s">
        <v>102</v>
      </c>
      <c r="X169" s="33" t="s">
        <v>102</v>
      </c>
      <c r="Y169" s="33" t="s">
        <v>102</v>
      </c>
      <c r="Z169" s="33" t="s">
        <v>102</v>
      </c>
      <c r="AA169" s="33" t="s">
        <v>102</v>
      </c>
      <c r="AB169" s="35">
        <v>0</v>
      </c>
      <c r="AC169" s="35"/>
      <c r="AD169" s="35">
        <f t="shared" si="44"/>
        <v>0</v>
      </c>
      <c r="AE169" s="35">
        <v>0</v>
      </c>
      <c r="AF169" s="35"/>
      <c r="AG169" s="35">
        <f t="shared" si="45"/>
        <v>0</v>
      </c>
      <c r="AH169" s="35">
        <v>0</v>
      </c>
      <c r="AI169" s="35"/>
      <c r="AJ169" s="35">
        <f t="shared" si="46"/>
        <v>0</v>
      </c>
      <c r="AK169" s="35">
        <v>0</v>
      </c>
      <c r="AL169" s="35"/>
      <c r="AM169" s="35">
        <f t="shared" si="47"/>
        <v>0</v>
      </c>
      <c r="AN169" s="6"/>
      <c r="AO169" s="35"/>
      <c r="AP169" s="34"/>
      <c r="AQ169" s="35">
        <v>0</v>
      </c>
      <c r="AR169" s="35"/>
      <c r="AS169" s="35">
        <f t="shared" si="48"/>
        <v>0</v>
      </c>
      <c r="AT169" s="6">
        <v>0</v>
      </c>
      <c r="AU169" s="6"/>
      <c r="AV169" s="35">
        <f t="shared" si="49"/>
        <v>0</v>
      </c>
      <c r="AW169" s="6">
        <v>0</v>
      </c>
      <c r="AX169" s="6"/>
      <c r="AY169" s="35">
        <f t="shared" si="50"/>
        <v>0</v>
      </c>
      <c r="AZ169" s="6">
        <v>0</v>
      </c>
      <c r="BA169" s="6"/>
      <c r="BB169" s="35">
        <f t="shared" si="51"/>
        <v>0</v>
      </c>
      <c r="BC169" s="6">
        <v>0</v>
      </c>
      <c r="BD169" s="6"/>
      <c r="BE169" s="35">
        <f t="shared" si="52"/>
        <v>0</v>
      </c>
      <c r="BF169" s="6">
        <v>0</v>
      </c>
      <c r="BG169" s="6"/>
      <c r="BH169" s="6">
        <f t="shared" si="53"/>
        <v>0</v>
      </c>
      <c r="BI169" s="6"/>
      <c r="BJ169" s="35"/>
      <c r="BK169" s="6"/>
      <c r="BL169" s="6">
        <v>0</v>
      </c>
      <c r="BM169" s="6"/>
      <c r="BN169" s="6">
        <f t="shared" si="54"/>
        <v>0</v>
      </c>
      <c r="BO169" s="6">
        <v>0</v>
      </c>
      <c r="BP169" s="6"/>
      <c r="BQ169" s="35">
        <f t="shared" si="55"/>
        <v>0</v>
      </c>
      <c r="BR169" s="6">
        <v>0</v>
      </c>
      <c r="BS169" s="6"/>
      <c r="BT169" s="6">
        <f t="shared" si="56"/>
        <v>0</v>
      </c>
      <c r="BU169" s="6">
        <v>0</v>
      </c>
      <c r="BV169" s="6"/>
      <c r="BW169" s="35">
        <f t="shared" si="57"/>
        <v>0</v>
      </c>
      <c r="BX169" s="6">
        <v>0</v>
      </c>
      <c r="BY169" s="6"/>
      <c r="BZ169" s="6">
        <f t="shared" si="58"/>
        <v>0</v>
      </c>
      <c r="CA169" s="6">
        <v>0</v>
      </c>
      <c r="CB169" s="6"/>
      <c r="CC169" s="6">
        <f t="shared" si="59"/>
        <v>0</v>
      </c>
      <c r="CD169" s="6"/>
      <c r="CE169" s="6"/>
      <c r="CF169" s="6"/>
      <c r="CG169" s="6">
        <v>0</v>
      </c>
      <c r="CH169" s="6"/>
      <c r="CI169" s="6">
        <f t="shared" si="60"/>
        <v>0</v>
      </c>
      <c r="CJ169" s="6">
        <v>0</v>
      </c>
      <c r="CK169" s="6"/>
      <c r="CL169" s="6">
        <f t="shared" si="61"/>
        <v>0</v>
      </c>
      <c r="CM169" s="6">
        <v>0</v>
      </c>
      <c r="CN169" s="6"/>
      <c r="CO169" s="6">
        <f t="shared" si="62"/>
        <v>0</v>
      </c>
      <c r="CP169" s="6">
        <v>0</v>
      </c>
      <c r="CQ169" s="6"/>
      <c r="CR169" s="6">
        <f t="shared" si="63"/>
        <v>0</v>
      </c>
      <c r="CS169" s="6">
        <v>0</v>
      </c>
      <c r="CT169" s="6"/>
      <c r="CU169" s="6">
        <f t="shared" si="64"/>
        <v>0</v>
      </c>
      <c r="CV169" s="6">
        <v>196</v>
      </c>
      <c r="CW169" s="6"/>
      <c r="CX169" s="6">
        <f t="shared" si="65"/>
        <v>196</v>
      </c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</row>
    <row r="170" spans="1:117">
      <c r="A170" s="6">
        <v>166</v>
      </c>
      <c r="B170" s="6">
        <v>155</v>
      </c>
      <c r="C170" s="6">
        <v>710</v>
      </c>
      <c r="D170" s="6">
        <v>356</v>
      </c>
      <c r="E170" s="33" t="s">
        <v>37</v>
      </c>
      <c r="F170" s="33" t="s">
        <v>37</v>
      </c>
      <c r="G170" s="33" t="s">
        <v>37</v>
      </c>
      <c r="H170" s="33" t="s">
        <v>37</v>
      </c>
      <c r="I170" s="33" t="s">
        <v>37</v>
      </c>
      <c r="J170" s="148" t="s">
        <v>37</v>
      </c>
      <c r="K170" s="33" t="s">
        <v>37</v>
      </c>
      <c r="L170" s="33" t="s">
        <v>37</v>
      </c>
      <c r="M170" s="33" t="s">
        <v>37</v>
      </c>
      <c r="N170" s="33" t="s">
        <v>37</v>
      </c>
      <c r="O170" s="33" t="s">
        <v>37</v>
      </c>
      <c r="P170" s="33" t="s">
        <v>37</v>
      </c>
      <c r="Q170" s="33" t="s">
        <v>37</v>
      </c>
      <c r="R170" s="33" t="s">
        <v>37</v>
      </c>
      <c r="S170" s="33" t="s">
        <v>37</v>
      </c>
      <c r="T170" s="33" t="s">
        <v>37</v>
      </c>
      <c r="U170" s="33" t="s">
        <v>37</v>
      </c>
      <c r="V170" s="33" t="s">
        <v>37</v>
      </c>
      <c r="W170" s="33" t="s">
        <v>37</v>
      </c>
      <c r="X170" s="33" t="s">
        <v>37</v>
      </c>
      <c r="Y170" s="33" t="s">
        <v>37</v>
      </c>
      <c r="Z170" s="33" t="s">
        <v>37</v>
      </c>
      <c r="AA170" s="33" t="s">
        <v>37</v>
      </c>
      <c r="AB170" s="6">
        <v>570</v>
      </c>
      <c r="AC170" s="6"/>
      <c r="AD170" s="35">
        <f t="shared" si="44"/>
        <v>415</v>
      </c>
      <c r="AE170" s="6">
        <v>959</v>
      </c>
      <c r="AF170" s="6"/>
      <c r="AG170" s="35">
        <f t="shared" si="45"/>
        <v>389</v>
      </c>
      <c r="AH170" s="35">
        <v>1353</v>
      </c>
      <c r="AI170" s="35"/>
      <c r="AJ170" s="35">
        <f t="shared" si="46"/>
        <v>394</v>
      </c>
      <c r="AK170" s="6">
        <v>0</v>
      </c>
      <c r="AL170" s="6">
        <v>1706</v>
      </c>
      <c r="AM170" s="35">
        <f t="shared" si="47"/>
        <v>353</v>
      </c>
      <c r="AN170" s="6"/>
      <c r="AO170" s="6"/>
      <c r="AP170" s="34"/>
      <c r="AQ170" s="35">
        <v>368</v>
      </c>
      <c r="AR170" s="35"/>
      <c r="AS170" s="35">
        <f t="shared" si="48"/>
        <v>368</v>
      </c>
      <c r="AT170" s="6">
        <v>752</v>
      </c>
      <c r="AU170" s="6"/>
      <c r="AV170" s="35">
        <f t="shared" si="49"/>
        <v>384</v>
      </c>
      <c r="AW170" s="6">
        <v>1134</v>
      </c>
      <c r="AX170" s="6"/>
      <c r="AY170" s="35">
        <f t="shared" si="50"/>
        <v>382</v>
      </c>
      <c r="AZ170" s="35">
        <v>1525</v>
      </c>
      <c r="BA170" s="35"/>
      <c r="BB170" s="35">
        <f t="shared" si="51"/>
        <v>391</v>
      </c>
      <c r="BC170" s="6">
        <v>341</v>
      </c>
      <c r="BD170" s="6">
        <v>1570</v>
      </c>
      <c r="BE170" s="35">
        <f t="shared" si="52"/>
        <v>386</v>
      </c>
      <c r="BF170" s="6">
        <v>718</v>
      </c>
      <c r="BG170" s="6"/>
      <c r="BH170" s="6">
        <f t="shared" si="53"/>
        <v>377</v>
      </c>
      <c r="BI170" s="6"/>
      <c r="BJ170" s="6"/>
      <c r="BK170" s="6"/>
      <c r="BL170" s="6">
        <v>1116</v>
      </c>
      <c r="BM170" s="6"/>
      <c r="BN170" s="6">
        <f t="shared" si="54"/>
        <v>398</v>
      </c>
      <c r="BO170" s="6">
        <v>259</v>
      </c>
      <c r="BP170" s="6">
        <v>1239</v>
      </c>
      <c r="BQ170" s="35">
        <f t="shared" si="55"/>
        <v>382</v>
      </c>
      <c r="BR170" s="6">
        <v>651</v>
      </c>
      <c r="BS170" s="6"/>
      <c r="BT170" s="6">
        <f t="shared" si="56"/>
        <v>392</v>
      </c>
      <c r="BU170" s="6">
        <v>1042</v>
      </c>
      <c r="BV170" s="6"/>
      <c r="BW170" s="35">
        <f t="shared" si="57"/>
        <v>391</v>
      </c>
      <c r="BX170" s="6">
        <v>286</v>
      </c>
      <c r="BY170" s="6">
        <v>1145</v>
      </c>
      <c r="BZ170" s="6">
        <f t="shared" si="58"/>
        <v>389</v>
      </c>
      <c r="CA170" s="6">
        <v>660</v>
      </c>
      <c r="CB170" s="6"/>
      <c r="CC170" s="6">
        <f t="shared" si="59"/>
        <v>374</v>
      </c>
      <c r="CD170" s="6"/>
      <c r="CE170" s="6"/>
      <c r="CF170" s="6"/>
      <c r="CG170" s="6">
        <v>1063</v>
      </c>
      <c r="CH170" s="6"/>
      <c r="CI170" s="6">
        <f t="shared" si="60"/>
        <v>403</v>
      </c>
      <c r="CJ170" s="6">
        <v>1455</v>
      </c>
      <c r="CK170" s="6"/>
      <c r="CL170" s="6">
        <f t="shared" si="61"/>
        <v>392</v>
      </c>
      <c r="CM170" s="6">
        <v>286</v>
      </c>
      <c r="CN170" s="6">
        <v>1560</v>
      </c>
      <c r="CO170" s="6">
        <f t="shared" si="62"/>
        <v>391</v>
      </c>
      <c r="CP170" s="6">
        <v>680</v>
      </c>
      <c r="CQ170" s="6"/>
      <c r="CR170" s="6">
        <f t="shared" si="63"/>
        <v>394</v>
      </c>
      <c r="CS170" s="6">
        <v>205</v>
      </c>
      <c r="CT170" s="6">
        <v>862</v>
      </c>
      <c r="CU170" s="6">
        <f t="shared" si="64"/>
        <v>387</v>
      </c>
      <c r="CV170" s="6">
        <v>407</v>
      </c>
      <c r="CW170" s="6"/>
      <c r="CX170" s="6">
        <f t="shared" si="65"/>
        <v>202</v>
      </c>
      <c r="CY170" s="6"/>
      <c r="CZ170" s="6"/>
      <c r="DA170" s="6"/>
      <c r="DB170" s="6"/>
      <c r="DC170" s="6"/>
      <c r="DD170" s="6"/>
      <c r="DE170" s="35"/>
      <c r="DF170" s="6"/>
      <c r="DG170" s="6"/>
      <c r="DH170" s="35"/>
      <c r="DI170" s="6"/>
      <c r="DJ170" s="35"/>
      <c r="DK170" s="35"/>
      <c r="DL170" s="6"/>
      <c r="DM170" s="6"/>
    </row>
    <row r="171" spans="1:117">
      <c r="A171" s="6">
        <v>167</v>
      </c>
      <c r="B171" s="6">
        <v>0</v>
      </c>
      <c r="C171" s="6"/>
      <c r="D171" s="6">
        <v>0</v>
      </c>
      <c r="E171" s="33" t="s">
        <v>245</v>
      </c>
      <c r="F171" s="33" t="s">
        <v>245</v>
      </c>
      <c r="G171" s="33" t="s">
        <v>245</v>
      </c>
      <c r="H171" s="33" t="s">
        <v>245</v>
      </c>
      <c r="I171" s="33" t="s">
        <v>245</v>
      </c>
      <c r="J171" s="33" t="s">
        <v>245</v>
      </c>
      <c r="K171" s="33" t="s">
        <v>245</v>
      </c>
      <c r="L171" s="33" t="s">
        <v>245</v>
      </c>
      <c r="M171" s="33" t="s">
        <v>245</v>
      </c>
      <c r="N171" s="33" t="s">
        <v>245</v>
      </c>
      <c r="O171" s="33" t="s">
        <v>245</v>
      </c>
      <c r="P171" s="33" t="s">
        <v>245</v>
      </c>
      <c r="Q171" s="33" t="s">
        <v>245</v>
      </c>
      <c r="R171" s="33" t="s">
        <v>245</v>
      </c>
      <c r="S171" s="33" t="s">
        <v>245</v>
      </c>
      <c r="T171" s="33" t="s">
        <v>245</v>
      </c>
      <c r="U171" s="33" t="s">
        <v>245</v>
      </c>
      <c r="V171" s="33" t="s">
        <v>245</v>
      </c>
      <c r="W171" s="33" t="s">
        <v>245</v>
      </c>
      <c r="X171" s="33" t="s">
        <v>245</v>
      </c>
      <c r="Y171" s="33" t="s">
        <v>245</v>
      </c>
      <c r="Z171" s="33" t="s">
        <v>245</v>
      </c>
      <c r="AA171" s="33" t="s">
        <v>245</v>
      </c>
      <c r="AB171" s="6">
        <v>0</v>
      </c>
      <c r="AC171" s="6"/>
      <c r="AD171" s="35">
        <f t="shared" si="44"/>
        <v>0</v>
      </c>
      <c r="AE171" s="6">
        <v>0</v>
      </c>
      <c r="AF171" s="6"/>
      <c r="AG171" s="35">
        <f t="shared" si="45"/>
        <v>0</v>
      </c>
      <c r="AH171" s="35">
        <v>0</v>
      </c>
      <c r="AI171" s="35"/>
      <c r="AJ171" s="35">
        <f t="shared" si="46"/>
        <v>0</v>
      </c>
      <c r="AK171" s="6">
        <v>0</v>
      </c>
      <c r="AL171" s="6"/>
      <c r="AM171" s="35">
        <f t="shared" si="47"/>
        <v>0</v>
      </c>
      <c r="AN171" s="6"/>
      <c r="AO171" s="6"/>
      <c r="AP171" s="34"/>
      <c r="AQ171" s="35">
        <v>0</v>
      </c>
      <c r="AR171" s="35"/>
      <c r="AS171" s="35">
        <f t="shared" si="48"/>
        <v>0</v>
      </c>
      <c r="AT171" s="6">
        <v>0</v>
      </c>
      <c r="AU171" s="6"/>
      <c r="AV171" s="35">
        <f t="shared" si="49"/>
        <v>0</v>
      </c>
      <c r="AW171" s="6">
        <v>0</v>
      </c>
      <c r="AX171" s="6"/>
      <c r="AY171" s="35">
        <f t="shared" si="50"/>
        <v>0</v>
      </c>
      <c r="AZ171" s="4">
        <v>0</v>
      </c>
      <c r="BA171" s="35"/>
      <c r="BB171" s="35">
        <f t="shared" si="51"/>
        <v>0</v>
      </c>
      <c r="BC171" s="6">
        <v>0</v>
      </c>
      <c r="BD171" s="6"/>
      <c r="BE171" s="35">
        <f t="shared" si="52"/>
        <v>0</v>
      </c>
      <c r="BF171" s="6">
        <v>0</v>
      </c>
      <c r="BG171" s="6"/>
      <c r="BH171" s="6">
        <f t="shared" si="53"/>
        <v>0</v>
      </c>
      <c r="BI171" s="6"/>
      <c r="BJ171" s="6"/>
      <c r="BK171" s="6"/>
      <c r="BL171" s="6">
        <v>0</v>
      </c>
      <c r="BM171" s="6"/>
      <c r="BN171" s="6">
        <f t="shared" si="54"/>
        <v>0</v>
      </c>
      <c r="BO171" s="6">
        <v>0</v>
      </c>
      <c r="BP171" s="6"/>
      <c r="BQ171" s="35">
        <f t="shared" si="55"/>
        <v>0</v>
      </c>
      <c r="BR171" s="6">
        <v>0</v>
      </c>
      <c r="BS171" s="6"/>
      <c r="BT171" s="6">
        <f t="shared" si="56"/>
        <v>0</v>
      </c>
      <c r="BU171" s="6">
        <v>0</v>
      </c>
      <c r="BV171" s="6"/>
      <c r="BW171" s="35">
        <f t="shared" si="57"/>
        <v>0</v>
      </c>
      <c r="BX171" s="6">
        <v>0</v>
      </c>
      <c r="BY171" s="6"/>
      <c r="BZ171" s="6">
        <f t="shared" si="58"/>
        <v>0</v>
      </c>
      <c r="CA171" s="6">
        <v>0</v>
      </c>
      <c r="CB171" s="6"/>
      <c r="CC171" s="6">
        <f t="shared" si="59"/>
        <v>0</v>
      </c>
      <c r="CD171" s="6"/>
      <c r="CE171" s="6"/>
      <c r="CF171" s="6"/>
      <c r="CG171" s="6">
        <v>0</v>
      </c>
      <c r="CH171" s="6"/>
      <c r="CI171" s="6">
        <f t="shared" si="60"/>
        <v>0</v>
      </c>
      <c r="CJ171" s="6">
        <v>0</v>
      </c>
      <c r="CK171" s="6"/>
      <c r="CL171" s="6">
        <f t="shared" si="61"/>
        <v>0</v>
      </c>
      <c r="CM171" s="6">
        <v>0</v>
      </c>
      <c r="CN171" s="6"/>
      <c r="CO171" s="6">
        <f t="shared" si="62"/>
        <v>0</v>
      </c>
      <c r="CP171" s="6">
        <v>0</v>
      </c>
      <c r="CQ171" s="6"/>
      <c r="CR171" s="6">
        <f t="shared" si="63"/>
        <v>0</v>
      </c>
      <c r="CS171" s="6">
        <v>0</v>
      </c>
      <c r="CT171" s="6"/>
      <c r="CU171" s="6">
        <f t="shared" si="64"/>
        <v>0</v>
      </c>
      <c r="CV171" s="6">
        <v>0</v>
      </c>
      <c r="CW171" s="6"/>
      <c r="CX171" s="6">
        <f t="shared" si="65"/>
        <v>0</v>
      </c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</row>
    <row r="172" spans="1:117">
      <c r="A172" s="6">
        <v>168</v>
      </c>
      <c r="B172" s="6">
        <v>164</v>
      </c>
      <c r="C172" s="6">
        <v>1049</v>
      </c>
      <c r="D172" s="6">
        <v>344</v>
      </c>
      <c r="E172" s="33" t="s">
        <v>37</v>
      </c>
      <c r="F172" s="33" t="s">
        <v>37</v>
      </c>
      <c r="G172" s="33" t="s">
        <v>37</v>
      </c>
      <c r="H172" s="33" t="s">
        <v>37</v>
      </c>
      <c r="I172" s="148" t="s">
        <v>37</v>
      </c>
      <c r="J172" s="33" t="s">
        <v>37</v>
      </c>
      <c r="K172" s="33" t="s">
        <v>37</v>
      </c>
      <c r="L172" s="33" t="s">
        <v>37</v>
      </c>
      <c r="M172" s="33" t="s">
        <v>37</v>
      </c>
      <c r="N172" s="33" t="s">
        <v>37</v>
      </c>
      <c r="O172" s="33" t="s">
        <v>37</v>
      </c>
      <c r="P172" s="33" t="s">
        <v>37</v>
      </c>
      <c r="Q172" s="33" t="s">
        <v>37</v>
      </c>
      <c r="R172" s="33" t="s">
        <v>37</v>
      </c>
      <c r="S172" s="33" t="s">
        <v>37</v>
      </c>
      <c r="T172" s="33" t="s">
        <v>37</v>
      </c>
      <c r="U172" s="33" t="s">
        <v>37</v>
      </c>
      <c r="V172" s="33" t="s">
        <v>37</v>
      </c>
      <c r="W172" s="33" t="s">
        <v>37</v>
      </c>
      <c r="X172" s="33" t="s">
        <v>37</v>
      </c>
      <c r="Y172" s="33" t="s">
        <v>37</v>
      </c>
      <c r="Z172" s="33" t="s">
        <v>37</v>
      </c>
      <c r="AA172" s="33" t="s">
        <v>37</v>
      </c>
      <c r="AB172" s="35">
        <v>551</v>
      </c>
      <c r="AC172" s="35"/>
      <c r="AD172" s="35">
        <f t="shared" si="44"/>
        <v>387</v>
      </c>
      <c r="AE172" s="35">
        <v>927</v>
      </c>
      <c r="AF172" s="35"/>
      <c r="AG172" s="35">
        <f t="shared" si="45"/>
        <v>376</v>
      </c>
      <c r="AH172" s="35">
        <v>1320</v>
      </c>
      <c r="AI172" s="35"/>
      <c r="AJ172" s="35">
        <f t="shared" si="46"/>
        <v>393</v>
      </c>
      <c r="AK172" s="35">
        <v>239</v>
      </c>
      <c r="AL172" s="35">
        <v>1413</v>
      </c>
      <c r="AM172" s="35">
        <f t="shared" si="47"/>
        <v>332</v>
      </c>
      <c r="AN172" s="35"/>
      <c r="AO172" s="35"/>
      <c r="AP172" s="34"/>
      <c r="AQ172" s="35">
        <v>633</v>
      </c>
      <c r="AR172" s="35"/>
      <c r="AS172" s="35">
        <f t="shared" si="48"/>
        <v>394</v>
      </c>
      <c r="AT172" s="6">
        <v>1025</v>
      </c>
      <c r="AU172" s="6"/>
      <c r="AV172" s="35">
        <f t="shared" si="49"/>
        <v>392</v>
      </c>
      <c r="AW172" s="6">
        <v>1414</v>
      </c>
      <c r="AX172" s="6"/>
      <c r="AY172" s="35">
        <f t="shared" si="50"/>
        <v>389</v>
      </c>
      <c r="AZ172" s="35">
        <v>249</v>
      </c>
      <c r="BA172" s="6">
        <v>1560</v>
      </c>
      <c r="BB172" s="35">
        <f t="shared" si="51"/>
        <v>395</v>
      </c>
      <c r="BC172" s="6">
        <v>645</v>
      </c>
      <c r="BD172" s="6"/>
      <c r="BE172" s="35">
        <f t="shared" si="52"/>
        <v>396</v>
      </c>
      <c r="BF172" s="6">
        <v>18</v>
      </c>
      <c r="BG172" s="6">
        <v>1000</v>
      </c>
      <c r="BH172" s="6">
        <f t="shared" si="53"/>
        <v>373</v>
      </c>
      <c r="BI172" s="6"/>
      <c r="BJ172" s="35"/>
      <c r="BK172" s="6"/>
      <c r="BL172" s="6">
        <v>392</v>
      </c>
      <c r="BM172" s="6"/>
      <c r="BN172" s="6">
        <f t="shared" si="54"/>
        <v>374</v>
      </c>
      <c r="BO172" s="6">
        <v>763</v>
      </c>
      <c r="BP172" s="6"/>
      <c r="BQ172" s="35">
        <f t="shared" si="55"/>
        <v>371</v>
      </c>
      <c r="BR172" s="6">
        <v>1152</v>
      </c>
      <c r="BS172" s="6"/>
      <c r="BT172" s="6">
        <f t="shared" si="56"/>
        <v>389</v>
      </c>
      <c r="BU172" s="6">
        <v>1539</v>
      </c>
      <c r="BV172" s="6"/>
      <c r="BW172" s="35">
        <f t="shared" si="57"/>
        <v>387</v>
      </c>
      <c r="BX172" s="6">
        <v>369</v>
      </c>
      <c r="BY172" s="6">
        <v>1560</v>
      </c>
      <c r="BZ172" s="6">
        <f t="shared" si="58"/>
        <v>390</v>
      </c>
      <c r="CA172" s="6">
        <v>736</v>
      </c>
      <c r="CB172" s="6"/>
      <c r="CC172" s="6">
        <f t="shared" si="59"/>
        <v>367</v>
      </c>
      <c r="CD172" s="6"/>
      <c r="CE172" s="6"/>
      <c r="CF172" s="6"/>
      <c r="CG172" s="6">
        <v>1135</v>
      </c>
      <c r="CH172" s="6"/>
      <c r="CI172" s="6">
        <f t="shared" si="60"/>
        <v>399</v>
      </c>
      <c r="CJ172" s="6">
        <v>1498</v>
      </c>
      <c r="CK172" s="6"/>
      <c r="CL172" s="6">
        <f t="shared" si="61"/>
        <v>363</v>
      </c>
      <c r="CM172" s="6">
        <v>320</v>
      </c>
      <c r="CN172" s="6">
        <v>1560</v>
      </c>
      <c r="CO172" s="6">
        <f t="shared" si="62"/>
        <v>382</v>
      </c>
      <c r="CP172" s="6">
        <v>711</v>
      </c>
      <c r="CQ172" s="6"/>
      <c r="CR172" s="6">
        <f t="shared" si="63"/>
        <v>391</v>
      </c>
      <c r="CS172" s="6">
        <v>1103</v>
      </c>
      <c r="CT172" s="6"/>
      <c r="CU172" s="6">
        <f t="shared" si="64"/>
        <v>392</v>
      </c>
      <c r="CV172" s="6">
        <v>1304</v>
      </c>
      <c r="CW172" s="6"/>
      <c r="CX172" s="6">
        <f t="shared" si="65"/>
        <v>201</v>
      </c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</row>
    <row r="173" spans="1:117">
      <c r="A173" s="6">
        <v>169</v>
      </c>
      <c r="B173" s="6">
        <v>0</v>
      </c>
      <c r="C173" s="6"/>
      <c r="D173" s="6">
        <v>0</v>
      </c>
      <c r="E173" s="33" t="s">
        <v>108</v>
      </c>
      <c r="F173" s="33" t="s">
        <v>108</v>
      </c>
      <c r="G173" s="33" t="s">
        <v>108</v>
      </c>
      <c r="H173" s="33" t="s">
        <v>108</v>
      </c>
      <c r="I173" s="33" t="s">
        <v>108</v>
      </c>
      <c r="J173" s="33" t="s">
        <v>108</v>
      </c>
      <c r="K173" s="33" t="s">
        <v>108</v>
      </c>
      <c r="L173" s="33" t="s">
        <v>108</v>
      </c>
      <c r="M173" s="33" t="s">
        <v>108</v>
      </c>
      <c r="N173" s="33" t="s">
        <v>108</v>
      </c>
      <c r="O173" s="33" t="s">
        <v>108</v>
      </c>
      <c r="P173" s="33" t="s">
        <v>108</v>
      </c>
      <c r="Q173" s="33" t="s">
        <v>108</v>
      </c>
      <c r="R173" s="33" t="s">
        <v>108</v>
      </c>
      <c r="S173" s="33" t="s">
        <v>108</v>
      </c>
      <c r="T173" s="33" t="s">
        <v>108</v>
      </c>
      <c r="U173" s="33" t="s">
        <v>108</v>
      </c>
      <c r="V173" s="33" t="s">
        <v>108</v>
      </c>
      <c r="W173" s="33" t="s">
        <v>108</v>
      </c>
      <c r="X173" s="33" t="s">
        <v>108</v>
      </c>
      <c r="Y173" s="33" t="s">
        <v>108</v>
      </c>
      <c r="Z173" s="33" t="s">
        <v>108</v>
      </c>
      <c r="AA173" s="33" t="s">
        <v>108</v>
      </c>
      <c r="AB173" s="6">
        <v>0</v>
      </c>
      <c r="AC173" s="6"/>
      <c r="AD173" s="35">
        <f t="shared" si="44"/>
        <v>0</v>
      </c>
      <c r="AE173" s="6">
        <v>0</v>
      </c>
      <c r="AF173" s="6"/>
      <c r="AG173" s="35">
        <f t="shared" si="45"/>
        <v>0</v>
      </c>
      <c r="AH173" s="35">
        <v>0</v>
      </c>
      <c r="AI173" s="35"/>
      <c r="AJ173" s="35">
        <f t="shared" si="46"/>
        <v>0</v>
      </c>
      <c r="AK173" s="6">
        <v>0</v>
      </c>
      <c r="AL173" s="6"/>
      <c r="AM173" s="35">
        <f t="shared" si="47"/>
        <v>0</v>
      </c>
      <c r="AN173" s="6"/>
      <c r="AO173" s="6"/>
      <c r="AP173" s="34"/>
      <c r="AQ173" s="35">
        <v>0</v>
      </c>
      <c r="AR173" s="35"/>
      <c r="AS173" s="35">
        <f t="shared" si="48"/>
        <v>0</v>
      </c>
      <c r="AT173" s="6">
        <v>0</v>
      </c>
      <c r="AU173" s="6"/>
      <c r="AV173" s="35">
        <f t="shared" si="49"/>
        <v>0</v>
      </c>
      <c r="AW173" s="6">
        <v>0</v>
      </c>
      <c r="AX173" s="6"/>
      <c r="AY173" s="35">
        <f t="shared" si="50"/>
        <v>0</v>
      </c>
      <c r="AZ173" s="6">
        <v>0</v>
      </c>
      <c r="BA173" s="35"/>
      <c r="BB173" s="35">
        <f t="shared" si="51"/>
        <v>0</v>
      </c>
      <c r="BC173" s="6">
        <v>0</v>
      </c>
      <c r="BD173" s="6"/>
      <c r="BE173" s="35">
        <f t="shared" si="52"/>
        <v>0</v>
      </c>
      <c r="BF173" s="6">
        <v>0</v>
      </c>
      <c r="BG173" s="6"/>
      <c r="BH173" s="6">
        <f t="shared" si="53"/>
        <v>0</v>
      </c>
      <c r="BI173" s="6"/>
      <c r="BJ173" s="6"/>
      <c r="BK173" s="6"/>
      <c r="BL173" s="6">
        <v>0</v>
      </c>
      <c r="BM173" s="6"/>
      <c r="BN173" s="6">
        <f t="shared" si="54"/>
        <v>0</v>
      </c>
      <c r="BO173" s="6">
        <v>0</v>
      </c>
      <c r="BP173" s="6"/>
      <c r="BQ173" s="35">
        <f t="shared" si="55"/>
        <v>0</v>
      </c>
      <c r="BR173" s="6">
        <v>0</v>
      </c>
      <c r="BS173" s="6"/>
      <c r="BT173" s="6">
        <f t="shared" si="56"/>
        <v>0</v>
      </c>
      <c r="BU173" s="6">
        <v>0</v>
      </c>
      <c r="BV173" s="6"/>
      <c r="BW173" s="35">
        <f t="shared" si="57"/>
        <v>0</v>
      </c>
      <c r="BX173" s="6">
        <v>262</v>
      </c>
      <c r="BY173" s="6"/>
      <c r="BZ173" s="6">
        <f t="shared" si="58"/>
        <v>262</v>
      </c>
      <c r="CA173" s="6">
        <v>500</v>
      </c>
      <c r="CB173" s="6"/>
      <c r="CC173" s="6">
        <f t="shared" si="59"/>
        <v>238</v>
      </c>
      <c r="CD173" s="6"/>
      <c r="CE173" s="6"/>
      <c r="CF173" s="6"/>
      <c r="CG173" s="6">
        <v>500</v>
      </c>
      <c r="CH173" s="6"/>
      <c r="CI173" s="6">
        <f t="shared" si="60"/>
        <v>0</v>
      </c>
      <c r="CJ173" s="6">
        <v>500</v>
      </c>
      <c r="CK173" s="6"/>
      <c r="CL173" s="6">
        <f t="shared" si="61"/>
        <v>0</v>
      </c>
      <c r="CM173" s="6">
        <v>500</v>
      </c>
      <c r="CN173" s="6"/>
      <c r="CO173" s="6">
        <f t="shared" si="62"/>
        <v>0</v>
      </c>
      <c r="CP173" s="6">
        <v>500</v>
      </c>
      <c r="CQ173" s="6"/>
      <c r="CR173" s="6">
        <f t="shared" si="63"/>
        <v>0</v>
      </c>
      <c r="CS173" s="6">
        <v>500</v>
      </c>
      <c r="CT173" s="6"/>
      <c r="CU173" s="6">
        <f t="shared" si="64"/>
        <v>0</v>
      </c>
      <c r="CV173" s="6">
        <v>500</v>
      </c>
      <c r="CW173" s="6"/>
      <c r="CX173" s="6">
        <f t="shared" si="65"/>
        <v>0</v>
      </c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</row>
    <row r="174" spans="1:117">
      <c r="A174" s="6">
        <v>170</v>
      </c>
      <c r="B174" s="6">
        <v>790</v>
      </c>
      <c r="C174" s="6"/>
      <c r="D174" s="6">
        <v>363</v>
      </c>
      <c r="E174" s="33" t="s">
        <v>37</v>
      </c>
      <c r="F174" s="33" t="s">
        <v>37</v>
      </c>
      <c r="G174" s="33" t="s">
        <v>37</v>
      </c>
      <c r="H174" s="33" t="s">
        <v>37</v>
      </c>
      <c r="I174" s="33" t="s">
        <v>37</v>
      </c>
      <c r="J174" s="33" t="s">
        <v>37</v>
      </c>
      <c r="K174" s="33" t="s">
        <v>37</v>
      </c>
      <c r="L174" s="33" t="s">
        <v>37</v>
      </c>
      <c r="M174" s="33" t="s">
        <v>37</v>
      </c>
      <c r="N174" s="148" t="s">
        <v>37</v>
      </c>
      <c r="O174" s="33" t="s">
        <v>37</v>
      </c>
      <c r="P174" s="33" t="s">
        <v>37</v>
      </c>
      <c r="Q174" s="33" t="s">
        <v>37</v>
      </c>
      <c r="R174" s="33" t="s">
        <v>37</v>
      </c>
      <c r="S174" s="33" t="s">
        <v>37</v>
      </c>
      <c r="T174" s="33" t="s">
        <v>37</v>
      </c>
      <c r="U174" s="33" t="s">
        <v>37</v>
      </c>
      <c r="V174" s="33" t="s">
        <v>37</v>
      </c>
      <c r="W174" s="33" t="s">
        <v>37</v>
      </c>
      <c r="X174" s="33" t="s">
        <v>37</v>
      </c>
      <c r="Y174" s="33" t="s">
        <v>37</v>
      </c>
      <c r="Z174" s="33" t="s">
        <v>37</v>
      </c>
      <c r="AA174" s="33" t="s">
        <v>37</v>
      </c>
      <c r="AB174" s="6">
        <v>1205</v>
      </c>
      <c r="AC174" s="6"/>
      <c r="AD174" s="35">
        <f t="shared" si="44"/>
        <v>415</v>
      </c>
      <c r="AE174" s="6">
        <v>38</v>
      </c>
      <c r="AF174" s="6">
        <v>1560</v>
      </c>
      <c r="AG174" s="35">
        <f t="shared" si="45"/>
        <v>393</v>
      </c>
      <c r="AH174" s="35">
        <v>433</v>
      </c>
      <c r="AI174" s="35"/>
      <c r="AJ174" s="35">
        <f t="shared" si="46"/>
        <v>395</v>
      </c>
      <c r="AK174" s="6">
        <v>805</v>
      </c>
      <c r="AL174" s="6"/>
      <c r="AM174" s="35">
        <f t="shared" si="47"/>
        <v>372</v>
      </c>
      <c r="AN174" s="6"/>
      <c r="AO174" s="6"/>
      <c r="AP174" s="34"/>
      <c r="AQ174" s="35">
        <v>1204</v>
      </c>
      <c r="AR174" s="35"/>
      <c r="AS174" s="35">
        <f t="shared" si="48"/>
        <v>399</v>
      </c>
      <c r="AT174" s="6">
        <v>1578</v>
      </c>
      <c r="AU174" s="6"/>
      <c r="AV174" s="35">
        <f t="shared" si="49"/>
        <v>374</v>
      </c>
      <c r="AW174" s="6">
        <v>371</v>
      </c>
      <c r="AX174" s="6">
        <v>1582</v>
      </c>
      <c r="AY174" s="35">
        <f t="shared" si="50"/>
        <v>375</v>
      </c>
      <c r="AZ174" s="35">
        <v>738</v>
      </c>
      <c r="BA174" s="6"/>
      <c r="BB174" s="35">
        <f t="shared" si="51"/>
        <v>367</v>
      </c>
      <c r="BC174" s="6">
        <v>335</v>
      </c>
      <c r="BD174" s="6">
        <v>762</v>
      </c>
      <c r="BE174" s="35">
        <f t="shared" si="52"/>
        <v>359</v>
      </c>
      <c r="BF174" s="6">
        <v>693</v>
      </c>
      <c r="BG174" s="6"/>
      <c r="BH174" s="6">
        <f t="shared" si="53"/>
        <v>358</v>
      </c>
      <c r="BI174" s="6"/>
      <c r="BJ174" s="6"/>
      <c r="BK174" s="6"/>
      <c r="BL174" s="6">
        <v>1071</v>
      </c>
      <c r="BM174" s="6"/>
      <c r="BN174" s="6">
        <f t="shared" si="54"/>
        <v>378</v>
      </c>
      <c r="BO174" s="6">
        <v>246</v>
      </c>
      <c r="BP174" s="6">
        <v>1189</v>
      </c>
      <c r="BQ174" s="35">
        <f t="shared" si="55"/>
        <v>364</v>
      </c>
      <c r="BR174" s="6">
        <v>619</v>
      </c>
      <c r="BS174" s="6"/>
      <c r="BT174" s="6">
        <f t="shared" si="56"/>
        <v>373</v>
      </c>
      <c r="BU174" s="6">
        <v>993</v>
      </c>
      <c r="BV174" s="6"/>
      <c r="BW174" s="35">
        <f t="shared" si="57"/>
        <v>374</v>
      </c>
      <c r="BX174" s="6">
        <v>1373</v>
      </c>
      <c r="BY174" s="6"/>
      <c r="BZ174" s="6">
        <f t="shared" si="58"/>
        <v>380</v>
      </c>
      <c r="CA174" s="6">
        <v>167</v>
      </c>
      <c r="CB174" s="6">
        <v>1560</v>
      </c>
      <c r="CC174" s="6">
        <f t="shared" si="59"/>
        <v>354</v>
      </c>
      <c r="CD174" s="6"/>
      <c r="CE174" s="6"/>
      <c r="CF174" s="6"/>
      <c r="CG174" s="6">
        <v>554</v>
      </c>
      <c r="CH174" s="6"/>
      <c r="CI174" s="6">
        <f t="shared" si="60"/>
        <v>387</v>
      </c>
      <c r="CJ174" s="6">
        <v>936</v>
      </c>
      <c r="CK174" s="6"/>
      <c r="CL174" s="6">
        <f t="shared" si="61"/>
        <v>382</v>
      </c>
      <c r="CM174" s="6">
        <v>1316</v>
      </c>
      <c r="CN174" s="6"/>
      <c r="CO174" s="6">
        <f t="shared" si="62"/>
        <v>380</v>
      </c>
      <c r="CP174" s="6">
        <v>143</v>
      </c>
      <c r="CQ174" s="6">
        <v>1560</v>
      </c>
      <c r="CR174" s="6">
        <f t="shared" si="63"/>
        <v>387</v>
      </c>
      <c r="CS174" s="6">
        <v>531</v>
      </c>
      <c r="CT174" s="6"/>
      <c r="CU174" s="6">
        <f t="shared" si="64"/>
        <v>388</v>
      </c>
      <c r="CV174" s="6">
        <v>730</v>
      </c>
      <c r="CW174" s="6"/>
      <c r="CX174" s="6">
        <f t="shared" si="65"/>
        <v>199</v>
      </c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</row>
    <row r="175" spans="1:117">
      <c r="A175" s="6">
        <v>171</v>
      </c>
      <c r="B175" s="6">
        <v>739</v>
      </c>
      <c r="C175" s="6"/>
      <c r="D175" s="6">
        <v>357</v>
      </c>
      <c r="E175" s="33" t="s">
        <v>128</v>
      </c>
      <c r="F175" s="33" t="s">
        <v>128</v>
      </c>
      <c r="G175" s="33" t="s">
        <v>128</v>
      </c>
      <c r="H175" s="33" t="s">
        <v>128</v>
      </c>
      <c r="I175" s="33" t="s">
        <v>128</v>
      </c>
      <c r="J175" s="33" t="s">
        <v>128</v>
      </c>
      <c r="K175" s="33" t="s">
        <v>128</v>
      </c>
      <c r="L175" s="33" t="s">
        <v>128</v>
      </c>
      <c r="M175" s="148" t="s">
        <v>128</v>
      </c>
      <c r="N175" s="33" t="s">
        <v>128</v>
      </c>
      <c r="O175" s="33" t="s">
        <v>128</v>
      </c>
      <c r="P175" s="33" t="s">
        <v>128</v>
      </c>
      <c r="Q175" s="33" t="s">
        <v>128</v>
      </c>
      <c r="R175" s="33" t="s">
        <v>128</v>
      </c>
      <c r="S175" s="33" t="s">
        <v>128</v>
      </c>
      <c r="T175" s="33" t="s">
        <v>128</v>
      </c>
      <c r="U175" s="33" t="s">
        <v>128</v>
      </c>
      <c r="V175" s="33" t="s">
        <v>128</v>
      </c>
      <c r="W175" s="33" t="s">
        <v>128</v>
      </c>
      <c r="X175" s="33" t="s">
        <v>128</v>
      </c>
      <c r="Y175" s="33" t="s">
        <v>128</v>
      </c>
      <c r="Z175" s="33" t="s">
        <v>128</v>
      </c>
      <c r="AA175" s="33" t="s">
        <v>128</v>
      </c>
      <c r="AB175" s="6">
        <v>1152</v>
      </c>
      <c r="AC175" s="6"/>
      <c r="AD175" s="35">
        <f t="shared" si="44"/>
        <v>413</v>
      </c>
      <c r="AE175" s="6">
        <v>116</v>
      </c>
      <c r="AF175" s="6">
        <v>1419</v>
      </c>
      <c r="AG175" s="35">
        <f t="shared" si="45"/>
        <v>383</v>
      </c>
      <c r="AH175" s="35">
        <v>508</v>
      </c>
      <c r="AI175" s="35"/>
      <c r="AJ175" s="35">
        <f t="shared" si="46"/>
        <v>392</v>
      </c>
      <c r="AK175" s="6">
        <v>874</v>
      </c>
      <c r="AL175" s="6"/>
      <c r="AM175" s="35">
        <f t="shared" si="47"/>
        <v>366</v>
      </c>
      <c r="AN175" s="6"/>
      <c r="AO175" s="6"/>
      <c r="AP175" s="34"/>
      <c r="AQ175" s="35">
        <v>1245</v>
      </c>
      <c r="AR175" s="35"/>
      <c r="AS175" s="35">
        <f t="shared" si="48"/>
        <v>371</v>
      </c>
      <c r="AT175" s="6">
        <v>144</v>
      </c>
      <c r="AU175" s="6">
        <v>1480</v>
      </c>
      <c r="AV175" s="35">
        <f t="shared" si="49"/>
        <v>379</v>
      </c>
      <c r="AW175" s="6">
        <v>0</v>
      </c>
      <c r="AX175" s="6">
        <v>525</v>
      </c>
      <c r="AY175" s="35">
        <f t="shared" si="50"/>
        <v>381</v>
      </c>
      <c r="AZ175" s="6">
        <v>343</v>
      </c>
      <c r="BA175" s="35"/>
      <c r="BB175" s="35">
        <f t="shared" si="51"/>
        <v>343</v>
      </c>
      <c r="BC175" s="6">
        <v>730</v>
      </c>
      <c r="BD175" s="6"/>
      <c r="BE175" s="35">
        <f t="shared" si="52"/>
        <v>387</v>
      </c>
      <c r="BF175" s="6">
        <v>1090</v>
      </c>
      <c r="BG175" s="6"/>
      <c r="BH175" s="6">
        <f t="shared" si="53"/>
        <v>360</v>
      </c>
      <c r="BI175" s="6"/>
      <c r="BJ175" s="6"/>
      <c r="BK175" s="6"/>
      <c r="BL175" s="6">
        <v>1473</v>
      </c>
      <c r="BM175" s="6"/>
      <c r="BN175" s="6">
        <f t="shared" si="54"/>
        <v>383</v>
      </c>
      <c r="BO175" s="6">
        <v>249</v>
      </c>
      <c r="BP175" s="6">
        <f>1560+44</f>
        <v>1604</v>
      </c>
      <c r="BQ175" s="35">
        <f t="shared" si="55"/>
        <v>380</v>
      </c>
      <c r="BR175" s="6">
        <v>633</v>
      </c>
      <c r="BS175" s="6"/>
      <c r="BT175" s="6">
        <f t="shared" si="56"/>
        <v>384</v>
      </c>
      <c r="BU175" s="6">
        <v>1017</v>
      </c>
      <c r="BV175" s="6"/>
      <c r="BW175" s="35">
        <f t="shared" si="57"/>
        <v>384</v>
      </c>
      <c r="BX175" s="6">
        <v>1409</v>
      </c>
      <c r="BY175" s="6"/>
      <c r="BZ175" s="6">
        <f t="shared" si="58"/>
        <v>392</v>
      </c>
      <c r="CA175" s="6">
        <v>334</v>
      </c>
      <c r="CB175" s="6">
        <v>1420</v>
      </c>
      <c r="CC175" s="6">
        <f t="shared" si="59"/>
        <v>345</v>
      </c>
      <c r="CD175" s="6"/>
      <c r="CE175" s="6"/>
      <c r="CF175" s="6"/>
      <c r="CG175" s="6">
        <v>731</v>
      </c>
      <c r="CH175" s="6"/>
      <c r="CI175" s="6">
        <f t="shared" si="60"/>
        <v>397</v>
      </c>
      <c r="CJ175" s="6">
        <v>1107</v>
      </c>
      <c r="CK175" s="6"/>
      <c r="CL175" s="6">
        <f t="shared" si="61"/>
        <v>376</v>
      </c>
      <c r="CM175" s="6">
        <v>1485</v>
      </c>
      <c r="CN175" s="6"/>
      <c r="CO175" s="6">
        <f t="shared" si="62"/>
        <v>378</v>
      </c>
      <c r="CP175" s="6">
        <v>312</v>
      </c>
      <c r="CQ175" s="6">
        <v>1560</v>
      </c>
      <c r="CR175" s="6">
        <f t="shared" si="63"/>
        <v>387</v>
      </c>
      <c r="CS175" s="6">
        <v>708</v>
      </c>
      <c r="CT175" s="6"/>
      <c r="CU175" s="6">
        <f t="shared" si="64"/>
        <v>396</v>
      </c>
      <c r="CV175" s="6">
        <v>916</v>
      </c>
      <c r="CW175" s="6"/>
      <c r="CX175" s="6">
        <f t="shared" si="65"/>
        <v>208</v>
      </c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</row>
    <row r="176" spans="1:117">
      <c r="A176" s="6">
        <v>172</v>
      </c>
      <c r="B176" s="6">
        <v>286</v>
      </c>
      <c r="C176" s="6"/>
      <c r="D176" s="6">
        <v>286</v>
      </c>
      <c r="E176" s="148" t="s">
        <v>68</v>
      </c>
      <c r="F176" s="33" t="s">
        <v>68</v>
      </c>
      <c r="G176" s="33" t="s">
        <v>68</v>
      </c>
      <c r="H176" s="33" t="s">
        <v>68</v>
      </c>
      <c r="I176" s="33" t="s">
        <v>68</v>
      </c>
      <c r="J176" s="33" t="s">
        <v>68</v>
      </c>
      <c r="K176" s="33" t="s">
        <v>68</v>
      </c>
      <c r="L176" s="33" t="s">
        <v>68</v>
      </c>
      <c r="M176" s="33" t="s">
        <v>68</v>
      </c>
      <c r="N176" s="33" t="s">
        <v>68</v>
      </c>
      <c r="O176" s="33" t="s">
        <v>68</v>
      </c>
      <c r="P176" s="33" t="s">
        <v>68</v>
      </c>
      <c r="Q176" s="33" t="s">
        <v>68</v>
      </c>
      <c r="R176" s="33" t="s">
        <v>68</v>
      </c>
      <c r="S176" s="33" t="s">
        <v>68</v>
      </c>
      <c r="T176" s="33" t="s">
        <v>68</v>
      </c>
      <c r="U176" s="33" t="s">
        <v>68</v>
      </c>
      <c r="V176" s="148" t="s">
        <v>319</v>
      </c>
      <c r="W176" s="33" t="s">
        <v>319</v>
      </c>
      <c r="X176" s="33" t="s">
        <v>319</v>
      </c>
      <c r="Y176" s="33" t="s">
        <v>319</v>
      </c>
      <c r="Z176" s="33" t="s">
        <v>319</v>
      </c>
      <c r="AA176" s="33" t="s">
        <v>319</v>
      </c>
      <c r="AB176" s="35">
        <v>0</v>
      </c>
      <c r="AC176" s="35">
        <v>371</v>
      </c>
      <c r="AD176" s="35">
        <f t="shared" si="44"/>
        <v>85</v>
      </c>
      <c r="AE176" s="35">
        <v>0</v>
      </c>
      <c r="AF176" s="35"/>
      <c r="AG176" s="35">
        <f t="shared" si="45"/>
        <v>0</v>
      </c>
      <c r="AH176" s="35">
        <v>0</v>
      </c>
      <c r="AI176" s="35"/>
      <c r="AJ176" s="35">
        <f t="shared" si="46"/>
        <v>0</v>
      </c>
      <c r="AK176" s="6">
        <v>0</v>
      </c>
      <c r="AL176" s="35"/>
      <c r="AM176" s="35">
        <f t="shared" si="47"/>
        <v>0</v>
      </c>
      <c r="AN176" s="6"/>
      <c r="AO176" s="6"/>
      <c r="AP176" s="34"/>
      <c r="AQ176" s="35">
        <v>0</v>
      </c>
      <c r="AR176" s="35"/>
      <c r="AS176" s="35">
        <f t="shared" si="48"/>
        <v>0</v>
      </c>
      <c r="AT176" s="6">
        <v>0</v>
      </c>
      <c r="AU176" s="6"/>
      <c r="AV176" s="35">
        <f t="shared" si="49"/>
        <v>0</v>
      </c>
      <c r="AW176" s="6">
        <v>0</v>
      </c>
      <c r="AX176" s="6"/>
      <c r="AY176" s="35">
        <f t="shared" si="50"/>
        <v>0</v>
      </c>
      <c r="AZ176" s="35">
        <v>0</v>
      </c>
      <c r="BA176" s="6"/>
      <c r="BB176" s="35">
        <f t="shared" si="51"/>
        <v>0</v>
      </c>
      <c r="BC176" s="6">
        <v>0</v>
      </c>
      <c r="BD176" s="6"/>
      <c r="BE176" s="35">
        <f t="shared" si="52"/>
        <v>0</v>
      </c>
      <c r="BF176" s="6">
        <v>0</v>
      </c>
      <c r="BG176" s="6"/>
      <c r="BH176" s="6">
        <f t="shared" si="53"/>
        <v>0</v>
      </c>
      <c r="BI176" s="6"/>
      <c r="BJ176" s="35"/>
      <c r="BK176" s="6"/>
      <c r="BL176" s="6">
        <v>0</v>
      </c>
      <c r="BM176" s="6"/>
      <c r="BN176" s="6">
        <f t="shared" si="54"/>
        <v>0</v>
      </c>
      <c r="BO176" s="6">
        <v>0</v>
      </c>
      <c r="BP176" s="6"/>
      <c r="BQ176" s="35">
        <f t="shared" si="55"/>
        <v>0</v>
      </c>
      <c r="BR176" s="6">
        <v>0</v>
      </c>
      <c r="BS176" s="6"/>
      <c r="BT176" s="6">
        <f t="shared" si="56"/>
        <v>0</v>
      </c>
      <c r="BU176" s="6">
        <v>0</v>
      </c>
      <c r="BV176" s="6"/>
      <c r="BW176" s="35">
        <f t="shared" si="57"/>
        <v>0</v>
      </c>
      <c r="BX176" s="6">
        <v>0</v>
      </c>
      <c r="BY176" s="35"/>
      <c r="BZ176" s="6">
        <f t="shared" si="58"/>
        <v>0</v>
      </c>
      <c r="CA176" s="6">
        <v>0</v>
      </c>
      <c r="CB176" s="6"/>
      <c r="CC176" s="6">
        <f t="shared" si="59"/>
        <v>0</v>
      </c>
      <c r="CD176" s="6"/>
      <c r="CE176" s="35"/>
      <c r="CF176" s="6"/>
      <c r="CG176" s="6">
        <v>331</v>
      </c>
      <c r="CH176" s="6"/>
      <c r="CI176" s="6">
        <f t="shared" si="60"/>
        <v>331</v>
      </c>
      <c r="CJ176" s="6">
        <v>0</v>
      </c>
      <c r="CK176" s="6">
        <v>500</v>
      </c>
      <c r="CL176" s="6">
        <f t="shared" si="61"/>
        <v>169</v>
      </c>
      <c r="CM176" s="6">
        <v>0</v>
      </c>
      <c r="CN176" s="6"/>
      <c r="CO176" s="6">
        <f t="shared" si="62"/>
        <v>0</v>
      </c>
      <c r="CP176" s="6">
        <v>0</v>
      </c>
      <c r="CQ176" s="6"/>
      <c r="CR176" s="6">
        <f t="shared" si="63"/>
        <v>0</v>
      </c>
      <c r="CS176" s="6">
        <v>0</v>
      </c>
      <c r="CT176" s="6"/>
      <c r="CU176" s="6">
        <f t="shared" si="64"/>
        <v>0</v>
      </c>
      <c r="CV176" s="6">
        <v>0</v>
      </c>
      <c r="CW176" s="6"/>
      <c r="CX176" s="6">
        <f t="shared" si="65"/>
        <v>0</v>
      </c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</row>
    <row r="177" spans="1:117">
      <c r="A177" s="6">
        <v>173</v>
      </c>
      <c r="B177" s="6">
        <v>701</v>
      </c>
      <c r="C177" s="6"/>
      <c r="D177" s="6">
        <v>344</v>
      </c>
      <c r="E177" s="33" t="s">
        <v>128</v>
      </c>
      <c r="F177" s="33" t="s">
        <v>128</v>
      </c>
      <c r="G177" s="33" t="s">
        <v>128</v>
      </c>
      <c r="H177" s="33" t="s">
        <v>128</v>
      </c>
      <c r="I177" s="33" t="s">
        <v>128</v>
      </c>
      <c r="J177" s="33" t="s">
        <v>128</v>
      </c>
      <c r="K177" s="33" t="s">
        <v>128</v>
      </c>
      <c r="L177" s="33" t="s">
        <v>128</v>
      </c>
      <c r="M177" s="33" t="s">
        <v>128</v>
      </c>
      <c r="N177" s="33" t="s">
        <v>128</v>
      </c>
      <c r="O177" s="33" t="s">
        <v>128</v>
      </c>
      <c r="P177" s="33" t="s">
        <v>128</v>
      </c>
      <c r="Q177" s="33" t="s">
        <v>128</v>
      </c>
      <c r="R177" s="33" t="s">
        <v>128</v>
      </c>
      <c r="S177" s="33" t="s">
        <v>128</v>
      </c>
      <c r="T177" s="33" t="s">
        <v>128</v>
      </c>
      <c r="U177" s="33" t="s">
        <v>128</v>
      </c>
      <c r="V177" s="33" t="s">
        <v>128</v>
      </c>
      <c r="W177" s="33" t="s">
        <v>128</v>
      </c>
      <c r="X177" s="148" t="s">
        <v>307</v>
      </c>
      <c r="Y177" s="33" t="s">
        <v>307</v>
      </c>
      <c r="Z177" s="33" t="s">
        <v>307</v>
      </c>
      <c r="AA177" s="33" t="s">
        <v>307</v>
      </c>
      <c r="AB177" s="6">
        <v>1104</v>
      </c>
      <c r="AC177" s="6"/>
      <c r="AD177" s="35">
        <f t="shared" si="44"/>
        <v>403</v>
      </c>
      <c r="AE177" s="6">
        <v>1473</v>
      </c>
      <c r="AF177" s="6"/>
      <c r="AG177" s="35">
        <f t="shared" si="45"/>
        <v>369</v>
      </c>
      <c r="AH177" s="35">
        <v>289</v>
      </c>
      <c r="AI177" s="35">
        <v>1560</v>
      </c>
      <c r="AJ177" s="35">
        <f t="shared" si="46"/>
        <v>376</v>
      </c>
      <c r="AK177" s="6">
        <v>650</v>
      </c>
      <c r="AL177" s="6"/>
      <c r="AM177" s="35">
        <f t="shared" si="47"/>
        <v>361</v>
      </c>
      <c r="AN177" s="6"/>
      <c r="AO177" s="6"/>
      <c r="AP177" s="34"/>
      <c r="AQ177" s="35">
        <v>1039</v>
      </c>
      <c r="AR177" s="35"/>
      <c r="AS177" s="35">
        <f t="shared" si="48"/>
        <v>389</v>
      </c>
      <c r="AT177" s="6">
        <v>1412</v>
      </c>
      <c r="AU177" s="6"/>
      <c r="AV177" s="35">
        <f t="shared" si="49"/>
        <v>373</v>
      </c>
      <c r="AW177" s="6">
        <v>230</v>
      </c>
      <c r="AX177" s="6">
        <v>1560</v>
      </c>
      <c r="AY177" s="35">
        <f t="shared" si="50"/>
        <v>378</v>
      </c>
      <c r="AZ177" s="6">
        <v>604</v>
      </c>
      <c r="BA177" s="35"/>
      <c r="BB177" s="35">
        <f t="shared" si="51"/>
        <v>374</v>
      </c>
      <c r="BC177" s="6">
        <v>984</v>
      </c>
      <c r="BD177" s="6"/>
      <c r="BE177" s="35">
        <f t="shared" si="52"/>
        <v>380</v>
      </c>
      <c r="BF177" s="6">
        <v>1361</v>
      </c>
      <c r="BG177" s="6"/>
      <c r="BH177" s="6">
        <f t="shared" si="53"/>
        <v>377</v>
      </c>
      <c r="BI177" s="6"/>
      <c r="BJ177" s="6"/>
      <c r="BK177" s="6"/>
      <c r="BL177" s="6">
        <v>187</v>
      </c>
      <c r="BM177" s="6">
        <v>1560</v>
      </c>
      <c r="BN177" s="6">
        <f t="shared" si="54"/>
        <v>386</v>
      </c>
      <c r="BO177" s="6">
        <v>565</v>
      </c>
      <c r="BP177" s="6"/>
      <c r="BQ177" s="35">
        <f t="shared" si="55"/>
        <v>378</v>
      </c>
      <c r="BR177" s="6">
        <v>959</v>
      </c>
      <c r="BS177" s="6"/>
      <c r="BT177" s="6">
        <f t="shared" si="56"/>
        <v>394</v>
      </c>
      <c r="BU177" s="6">
        <v>1340</v>
      </c>
      <c r="BV177" s="6"/>
      <c r="BW177" s="35">
        <f t="shared" si="57"/>
        <v>381</v>
      </c>
      <c r="BX177" s="6">
        <v>175</v>
      </c>
      <c r="BY177" s="6">
        <v>1560</v>
      </c>
      <c r="BZ177" s="6">
        <f t="shared" si="58"/>
        <v>395</v>
      </c>
      <c r="CA177" s="6">
        <v>553</v>
      </c>
      <c r="CB177" s="6"/>
      <c r="CC177" s="6">
        <f t="shared" si="59"/>
        <v>378</v>
      </c>
      <c r="CD177" s="6"/>
      <c r="CE177" s="6"/>
      <c r="CF177" s="6"/>
      <c r="CG177" s="6">
        <v>959</v>
      </c>
      <c r="CH177" s="6"/>
      <c r="CI177" s="6">
        <f t="shared" si="60"/>
        <v>406</v>
      </c>
      <c r="CJ177" s="6">
        <v>0</v>
      </c>
      <c r="CK177" s="6">
        <v>1310</v>
      </c>
      <c r="CL177" s="6">
        <f t="shared" si="61"/>
        <v>351</v>
      </c>
      <c r="CM177" s="6">
        <v>371</v>
      </c>
      <c r="CN177" s="6"/>
      <c r="CO177" s="6">
        <f t="shared" si="62"/>
        <v>371</v>
      </c>
      <c r="CP177" s="6">
        <v>754</v>
      </c>
      <c r="CQ177" s="6"/>
      <c r="CR177" s="6">
        <f t="shared" si="63"/>
        <v>383</v>
      </c>
      <c r="CS177" s="6">
        <v>1134</v>
      </c>
      <c r="CT177" s="6"/>
      <c r="CU177" s="6">
        <f t="shared" si="64"/>
        <v>380</v>
      </c>
      <c r="CV177" s="6">
        <v>1344</v>
      </c>
      <c r="CW177" s="6"/>
      <c r="CX177" s="6">
        <f t="shared" si="65"/>
        <v>210</v>
      </c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</row>
    <row r="178" spans="1:117">
      <c r="A178" s="6">
        <v>174</v>
      </c>
      <c r="B178" s="6">
        <v>1081</v>
      </c>
      <c r="C178" s="6"/>
      <c r="D178" s="6">
        <v>358</v>
      </c>
      <c r="E178" s="33" t="s">
        <v>37</v>
      </c>
      <c r="F178" s="33" t="s">
        <v>37</v>
      </c>
      <c r="G178" s="33" t="s">
        <v>37</v>
      </c>
      <c r="H178" s="33" t="s">
        <v>37</v>
      </c>
      <c r="I178" s="33" t="s">
        <v>37</v>
      </c>
      <c r="J178" s="33" t="s">
        <v>37</v>
      </c>
      <c r="K178" s="33" t="s">
        <v>37</v>
      </c>
      <c r="L178" s="33" t="s">
        <v>37</v>
      </c>
      <c r="M178" s="33" t="s">
        <v>37</v>
      </c>
      <c r="N178" s="33" t="s">
        <v>37</v>
      </c>
      <c r="O178" s="33" t="s">
        <v>37</v>
      </c>
      <c r="P178" s="148" t="s">
        <v>37</v>
      </c>
      <c r="Q178" s="33" t="s">
        <v>37</v>
      </c>
      <c r="R178" s="33" t="s">
        <v>37</v>
      </c>
      <c r="S178" s="33" t="s">
        <v>37</v>
      </c>
      <c r="T178" s="33" t="s">
        <v>37</v>
      </c>
      <c r="U178" s="33" t="s">
        <v>37</v>
      </c>
      <c r="V178" s="33" t="s">
        <v>37</v>
      </c>
      <c r="W178" s="33" t="s">
        <v>37</v>
      </c>
      <c r="X178" s="33" t="s">
        <v>37</v>
      </c>
      <c r="Y178" s="33" t="s">
        <v>37</v>
      </c>
      <c r="Z178" s="33" t="s">
        <v>37</v>
      </c>
      <c r="AA178" s="33" t="s">
        <v>37</v>
      </c>
      <c r="AB178" s="6">
        <v>1489</v>
      </c>
      <c r="AC178" s="6"/>
      <c r="AD178" s="35">
        <f t="shared" si="44"/>
        <v>408</v>
      </c>
      <c r="AE178" s="6">
        <v>310</v>
      </c>
      <c r="AF178" s="6">
        <v>1560</v>
      </c>
      <c r="AG178" s="35">
        <f t="shared" si="45"/>
        <v>381</v>
      </c>
      <c r="AH178" s="35">
        <v>682</v>
      </c>
      <c r="AI178" s="35"/>
      <c r="AJ178" s="35">
        <f t="shared" si="46"/>
        <v>372</v>
      </c>
      <c r="AK178" s="6">
        <v>1037</v>
      </c>
      <c r="AL178" s="6"/>
      <c r="AM178" s="35">
        <f t="shared" si="47"/>
        <v>355</v>
      </c>
      <c r="AN178" s="6"/>
      <c r="AO178" s="6"/>
      <c r="AP178" s="34"/>
      <c r="AQ178" s="35">
        <v>15</v>
      </c>
      <c r="AR178" s="35">
        <v>1405</v>
      </c>
      <c r="AS178" s="35">
        <f t="shared" si="48"/>
        <v>383</v>
      </c>
      <c r="AT178" s="6">
        <v>390</v>
      </c>
      <c r="AU178" s="6"/>
      <c r="AV178" s="35">
        <f t="shared" si="49"/>
        <v>375</v>
      </c>
      <c r="AW178" s="6">
        <v>772</v>
      </c>
      <c r="AX178" s="6"/>
      <c r="AY178" s="35">
        <f t="shared" si="50"/>
        <v>382</v>
      </c>
      <c r="AZ178" s="35">
        <v>1166</v>
      </c>
      <c r="BA178" s="35"/>
      <c r="BB178" s="35">
        <f t="shared" si="51"/>
        <v>394</v>
      </c>
      <c r="BC178" s="6">
        <v>1556</v>
      </c>
      <c r="BD178" s="6"/>
      <c r="BE178" s="35">
        <f t="shared" si="52"/>
        <v>390</v>
      </c>
      <c r="BF178" s="6">
        <v>1910</v>
      </c>
      <c r="BG178" s="6"/>
      <c r="BH178" s="6">
        <f t="shared" si="53"/>
        <v>354</v>
      </c>
      <c r="BI178" s="6"/>
      <c r="BJ178" s="6"/>
      <c r="BK178" s="6"/>
      <c r="BL178" s="6">
        <v>363</v>
      </c>
      <c r="BM178" s="6">
        <v>1917</v>
      </c>
      <c r="BN178" s="6">
        <f t="shared" si="54"/>
        <v>370</v>
      </c>
      <c r="BO178" s="6">
        <v>744</v>
      </c>
      <c r="BP178" s="6"/>
      <c r="BQ178" s="35">
        <f t="shared" si="55"/>
        <v>381</v>
      </c>
      <c r="BR178" s="6">
        <v>1131</v>
      </c>
      <c r="BS178" s="6"/>
      <c r="BT178" s="6">
        <f t="shared" si="56"/>
        <v>387</v>
      </c>
      <c r="BU178" s="6">
        <v>1516</v>
      </c>
      <c r="BV178" s="6"/>
      <c r="BW178" s="35">
        <f t="shared" si="57"/>
        <v>385</v>
      </c>
      <c r="BX178" s="6">
        <v>349</v>
      </c>
      <c r="BY178" s="6">
        <v>1560</v>
      </c>
      <c r="BZ178" s="6">
        <f t="shared" si="58"/>
        <v>393</v>
      </c>
      <c r="CA178" s="6">
        <v>728</v>
      </c>
      <c r="CB178" s="6"/>
      <c r="CC178" s="6">
        <f t="shared" si="59"/>
        <v>379</v>
      </c>
      <c r="CD178" s="6"/>
      <c r="CE178" s="6"/>
      <c r="CF178" s="6"/>
      <c r="CG178" s="6">
        <v>1128</v>
      </c>
      <c r="CH178" s="6"/>
      <c r="CI178" s="6">
        <f t="shared" si="60"/>
        <v>400</v>
      </c>
      <c r="CJ178" s="6">
        <v>1512</v>
      </c>
      <c r="CK178" s="6"/>
      <c r="CL178" s="6">
        <f t="shared" si="61"/>
        <v>384</v>
      </c>
      <c r="CM178" s="6">
        <v>330</v>
      </c>
      <c r="CN178" s="6">
        <v>1560</v>
      </c>
      <c r="CO178" s="6">
        <f t="shared" si="62"/>
        <v>378</v>
      </c>
      <c r="CP178" s="6">
        <v>697</v>
      </c>
      <c r="CQ178" s="6"/>
      <c r="CR178" s="6">
        <f t="shared" si="63"/>
        <v>367</v>
      </c>
      <c r="CS178" s="6">
        <v>1091</v>
      </c>
      <c r="CT178" s="6"/>
      <c r="CU178" s="6">
        <f t="shared" si="64"/>
        <v>394</v>
      </c>
      <c r="CV178" s="6">
        <v>1293</v>
      </c>
      <c r="CW178" s="6"/>
      <c r="CX178" s="6">
        <f t="shared" si="65"/>
        <v>202</v>
      </c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</row>
    <row r="179" spans="1:117" ht="14.25" customHeight="1">
      <c r="A179" s="6">
        <v>175</v>
      </c>
      <c r="B179" s="6">
        <v>1054</v>
      </c>
      <c r="C179" s="6"/>
      <c r="D179" s="6">
        <v>353</v>
      </c>
      <c r="E179" s="33" t="s">
        <v>128</v>
      </c>
      <c r="F179" s="33" t="s">
        <v>128</v>
      </c>
      <c r="G179" s="33" t="s">
        <v>128</v>
      </c>
      <c r="H179" s="148" t="s">
        <v>128</v>
      </c>
      <c r="I179" s="33" t="s">
        <v>128</v>
      </c>
      <c r="J179" s="33" t="s">
        <v>128</v>
      </c>
      <c r="K179" s="33" t="s">
        <v>128</v>
      </c>
      <c r="L179" s="33" t="s">
        <v>128</v>
      </c>
      <c r="M179" s="33" t="s">
        <v>128</v>
      </c>
      <c r="N179" s="33" t="s">
        <v>128</v>
      </c>
      <c r="O179" s="33" t="s">
        <v>128</v>
      </c>
      <c r="P179" s="33" t="s">
        <v>128</v>
      </c>
      <c r="Q179" s="33" t="s">
        <v>128</v>
      </c>
      <c r="R179" s="33" t="s">
        <v>128</v>
      </c>
      <c r="S179" s="33" t="s">
        <v>128</v>
      </c>
      <c r="T179" s="33" t="s">
        <v>128</v>
      </c>
      <c r="U179" s="33" t="s">
        <v>128</v>
      </c>
      <c r="V179" s="33" t="s">
        <v>128</v>
      </c>
      <c r="W179" s="33" t="s">
        <v>128</v>
      </c>
      <c r="X179" s="33" t="s">
        <v>128</v>
      </c>
      <c r="Y179" s="33" t="s">
        <v>128</v>
      </c>
      <c r="Z179" s="33" t="s">
        <v>128</v>
      </c>
      <c r="AA179" s="33" t="s">
        <v>128</v>
      </c>
      <c r="AB179" s="6">
        <v>1460</v>
      </c>
      <c r="AC179" s="6"/>
      <c r="AD179" s="35">
        <f t="shared" si="44"/>
        <v>406</v>
      </c>
      <c r="AE179" s="6">
        <v>0</v>
      </c>
      <c r="AF179" s="6">
        <v>1628</v>
      </c>
      <c r="AG179" s="35">
        <f t="shared" si="45"/>
        <v>168</v>
      </c>
      <c r="AH179" s="35">
        <v>368</v>
      </c>
      <c r="AI179" s="35"/>
      <c r="AJ179" s="35">
        <f t="shared" si="46"/>
        <v>368</v>
      </c>
      <c r="AK179" s="6">
        <v>732</v>
      </c>
      <c r="AL179" s="6"/>
      <c r="AM179" s="35">
        <f t="shared" si="47"/>
        <v>364</v>
      </c>
      <c r="AN179" s="6"/>
      <c r="AO179" s="6"/>
      <c r="AP179" s="34"/>
      <c r="AQ179" s="35">
        <v>1119</v>
      </c>
      <c r="AR179" s="35"/>
      <c r="AS179" s="35">
        <f t="shared" si="48"/>
        <v>387</v>
      </c>
      <c r="AT179" s="6">
        <v>1500</v>
      </c>
      <c r="AU179" s="6"/>
      <c r="AV179" s="35">
        <f t="shared" si="49"/>
        <v>381</v>
      </c>
      <c r="AW179" s="6">
        <v>328</v>
      </c>
      <c r="AX179" s="6">
        <v>1560</v>
      </c>
      <c r="AY179" s="35">
        <f t="shared" si="50"/>
        <v>388</v>
      </c>
      <c r="AZ179" s="35">
        <v>713</v>
      </c>
      <c r="BA179" s="35"/>
      <c r="BB179" s="35">
        <f t="shared" si="51"/>
        <v>385</v>
      </c>
      <c r="BC179" s="35">
        <v>1098</v>
      </c>
      <c r="BD179" s="35"/>
      <c r="BE179" s="35">
        <f t="shared" si="52"/>
        <v>385</v>
      </c>
      <c r="BF179" s="6">
        <v>1474</v>
      </c>
      <c r="BG179" s="6"/>
      <c r="BH179" s="6">
        <f t="shared" si="53"/>
        <v>376</v>
      </c>
      <c r="BI179" s="6"/>
      <c r="BJ179" s="6"/>
      <c r="BK179" s="6"/>
      <c r="BL179" s="6">
        <v>305</v>
      </c>
      <c r="BM179" s="6">
        <v>1560</v>
      </c>
      <c r="BN179" s="6">
        <f t="shared" si="54"/>
        <v>391</v>
      </c>
      <c r="BO179" s="6">
        <v>684</v>
      </c>
      <c r="BP179" s="6"/>
      <c r="BQ179" s="35">
        <f t="shared" si="55"/>
        <v>379</v>
      </c>
      <c r="BR179" s="6">
        <v>1072</v>
      </c>
      <c r="BS179" s="6"/>
      <c r="BT179" s="6">
        <f t="shared" si="56"/>
        <v>388</v>
      </c>
      <c r="BU179" s="6">
        <v>227</v>
      </c>
      <c r="BV179" s="6">
        <v>1212</v>
      </c>
      <c r="BW179" s="35">
        <f t="shared" si="57"/>
        <v>367</v>
      </c>
      <c r="BX179" s="6">
        <v>613</v>
      </c>
      <c r="BY179" s="6"/>
      <c r="BZ179" s="6">
        <f t="shared" si="58"/>
        <v>386</v>
      </c>
      <c r="CA179" s="6">
        <v>986</v>
      </c>
      <c r="CB179" s="6"/>
      <c r="CC179" s="6">
        <f t="shared" si="59"/>
        <v>373</v>
      </c>
      <c r="CD179" s="6"/>
      <c r="CE179" s="6"/>
      <c r="CF179" s="6"/>
      <c r="CG179" s="6">
        <v>1375</v>
      </c>
      <c r="CH179" s="6"/>
      <c r="CI179" s="6">
        <f t="shared" si="60"/>
        <v>389</v>
      </c>
      <c r="CJ179" s="6">
        <v>192</v>
      </c>
      <c r="CK179" s="6">
        <v>1560</v>
      </c>
      <c r="CL179" s="6">
        <f t="shared" si="61"/>
        <v>377</v>
      </c>
      <c r="CM179" s="6">
        <v>586</v>
      </c>
      <c r="CN179" s="6"/>
      <c r="CO179" s="6">
        <f t="shared" si="62"/>
        <v>394</v>
      </c>
      <c r="CP179" s="6">
        <v>980</v>
      </c>
      <c r="CQ179" s="6"/>
      <c r="CR179" s="6">
        <f t="shared" si="63"/>
        <v>394</v>
      </c>
      <c r="CS179" s="6">
        <v>1375</v>
      </c>
      <c r="CT179" s="6"/>
      <c r="CU179" s="6">
        <f t="shared" si="64"/>
        <v>395</v>
      </c>
      <c r="CV179" s="6">
        <v>18</v>
      </c>
      <c r="CW179" s="6">
        <v>1560</v>
      </c>
      <c r="CX179" s="6">
        <f t="shared" si="65"/>
        <v>203</v>
      </c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</row>
    <row r="180" spans="1:117">
      <c r="A180" s="6">
        <v>176</v>
      </c>
      <c r="B180" s="6">
        <v>821</v>
      </c>
      <c r="C180" s="6"/>
      <c r="D180" s="6">
        <v>354</v>
      </c>
      <c r="E180" s="33" t="s">
        <v>128</v>
      </c>
      <c r="F180" s="33" t="s">
        <v>128</v>
      </c>
      <c r="G180" s="33" t="s">
        <v>128</v>
      </c>
      <c r="H180" s="33" t="s">
        <v>128</v>
      </c>
      <c r="I180" s="148" t="s">
        <v>128</v>
      </c>
      <c r="J180" s="33" t="s">
        <v>128</v>
      </c>
      <c r="K180" s="33" t="s">
        <v>128</v>
      </c>
      <c r="L180" s="33" t="s">
        <v>128</v>
      </c>
      <c r="M180" s="33" t="s">
        <v>128</v>
      </c>
      <c r="N180" s="33" t="s">
        <v>128</v>
      </c>
      <c r="O180" s="33" t="s">
        <v>128</v>
      </c>
      <c r="P180" s="33" t="s">
        <v>128</v>
      </c>
      <c r="Q180" s="33" t="s">
        <v>128</v>
      </c>
      <c r="R180" s="33" t="s">
        <v>128</v>
      </c>
      <c r="S180" s="33" t="s">
        <v>128</v>
      </c>
      <c r="T180" s="33" t="s">
        <v>128</v>
      </c>
      <c r="U180" s="33" t="s">
        <v>128</v>
      </c>
      <c r="V180" s="33" t="s">
        <v>128</v>
      </c>
      <c r="W180" s="33" t="s">
        <v>128</v>
      </c>
      <c r="X180" s="33" t="s">
        <v>128</v>
      </c>
      <c r="Y180" s="33" t="s">
        <v>128</v>
      </c>
      <c r="Z180" s="33" t="s">
        <v>128</v>
      </c>
      <c r="AA180" s="33" t="s">
        <v>128</v>
      </c>
      <c r="AB180" s="35">
        <v>1229</v>
      </c>
      <c r="AC180" s="35"/>
      <c r="AD180" s="35">
        <f t="shared" si="44"/>
        <v>408</v>
      </c>
      <c r="AE180" s="35">
        <v>1610</v>
      </c>
      <c r="AF180" s="35"/>
      <c r="AG180" s="35">
        <f t="shared" si="45"/>
        <v>381</v>
      </c>
      <c r="AH180" s="35">
        <v>0</v>
      </c>
      <c r="AI180" s="35">
        <v>1881</v>
      </c>
      <c r="AJ180" s="35">
        <f t="shared" si="46"/>
        <v>271</v>
      </c>
      <c r="AK180" s="35">
        <v>306</v>
      </c>
      <c r="AL180" s="35"/>
      <c r="AM180" s="35">
        <f t="shared" si="47"/>
        <v>306</v>
      </c>
      <c r="AN180" s="35"/>
      <c r="AO180" s="35"/>
      <c r="AP180" s="34"/>
      <c r="AQ180" s="35">
        <v>691</v>
      </c>
      <c r="AR180" s="35"/>
      <c r="AS180" s="35">
        <f t="shared" si="48"/>
        <v>385</v>
      </c>
      <c r="AT180" s="6">
        <v>1069</v>
      </c>
      <c r="AU180" s="6"/>
      <c r="AV180" s="35">
        <f t="shared" si="49"/>
        <v>378</v>
      </c>
      <c r="AW180" s="6">
        <v>1452</v>
      </c>
      <c r="AX180" s="6"/>
      <c r="AY180" s="35">
        <f t="shared" si="50"/>
        <v>383</v>
      </c>
      <c r="AZ180" s="35">
        <v>273</v>
      </c>
      <c r="BA180" s="6">
        <v>1560</v>
      </c>
      <c r="BB180" s="35">
        <f t="shared" si="51"/>
        <v>381</v>
      </c>
      <c r="BC180" s="6">
        <v>655</v>
      </c>
      <c r="BD180" s="6"/>
      <c r="BE180" s="35">
        <f t="shared" si="52"/>
        <v>382</v>
      </c>
      <c r="BF180" s="35">
        <v>1023</v>
      </c>
      <c r="BG180" s="6"/>
      <c r="BH180" s="6">
        <f t="shared" si="53"/>
        <v>368</v>
      </c>
      <c r="BI180" s="6"/>
      <c r="BJ180" s="35"/>
      <c r="BK180" s="6"/>
      <c r="BL180" s="6">
        <v>1409</v>
      </c>
      <c r="BM180" s="6"/>
      <c r="BN180" s="6">
        <f t="shared" si="54"/>
        <v>386</v>
      </c>
      <c r="BO180" s="6">
        <v>224</v>
      </c>
      <c r="BP180" s="6">
        <v>1560</v>
      </c>
      <c r="BQ180" s="35">
        <f t="shared" si="55"/>
        <v>375</v>
      </c>
      <c r="BR180" s="6">
        <v>595</v>
      </c>
      <c r="BS180" s="6"/>
      <c r="BT180" s="6">
        <f t="shared" si="56"/>
        <v>371</v>
      </c>
      <c r="BU180" s="6">
        <v>195</v>
      </c>
      <c r="BV180" s="6">
        <v>778</v>
      </c>
      <c r="BW180" s="35">
        <f t="shared" si="57"/>
        <v>378</v>
      </c>
      <c r="BX180" s="6">
        <v>580</v>
      </c>
      <c r="BY180" s="6"/>
      <c r="BZ180" s="6">
        <f t="shared" si="58"/>
        <v>385</v>
      </c>
      <c r="CA180" s="6">
        <v>51</v>
      </c>
      <c r="CB180" s="6">
        <v>892</v>
      </c>
      <c r="CC180" s="6">
        <f t="shared" si="59"/>
        <v>363</v>
      </c>
      <c r="CD180" s="6"/>
      <c r="CE180" s="6"/>
      <c r="CF180" s="6"/>
      <c r="CG180" s="6">
        <v>446</v>
      </c>
      <c r="CH180" s="6"/>
      <c r="CI180" s="6">
        <f t="shared" si="60"/>
        <v>395</v>
      </c>
      <c r="CJ180" s="6">
        <v>837</v>
      </c>
      <c r="CK180" s="6"/>
      <c r="CL180" s="6">
        <f t="shared" si="61"/>
        <v>391</v>
      </c>
      <c r="CM180" s="6">
        <v>1225</v>
      </c>
      <c r="CN180" s="6"/>
      <c r="CO180" s="6">
        <f t="shared" si="62"/>
        <v>388</v>
      </c>
      <c r="CP180" s="6">
        <v>324</v>
      </c>
      <c r="CQ180" s="6">
        <v>1275</v>
      </c>
      <c r="CR180" s="6">
        <f t="shared" si="63"/>
        <v>374</v>
      </c>
      <c r="CS180" s="6">
        <v>165</v>
      </c>
      <c r="CT180" s="6">
        <v>550</v>
      </c>
      <c r="CU180" s="6">
        <f t="shared" si="64"/>
        <v>391</v>
      </c>
      <c r="CV180" s="6">
        <v>370</v>
      </c>
      <c r="CW180" s="6"/>
      <c r="CX180" s="6">
        <f t="shared" si="65"/>
        <v>205</v>
      </c>
      <c r="CY180" s="6"/>
      <c r="CZ180" s="6"/>
      <c r="DA180" s="6"/>
      <c r="DB180" s="6"/>
      <c r="DC180" s="6"/>
      <c r="DD180" s="6"/>
      <c r="DE180" s="35"/>
      <c r="DF180" s="6"/>
      <c r="DG180" s="6"/>
      <c r="DH180" s="35"/>
      <c r="DI180" s="6"/>
      <c r="DJ180" s="6"/>
      <c r="DK180" s="35"/>
      <c r="DL180" s="6"/>
      <c r="DM180" s="6"/>
    </row>
    <row r="181" spans="1:117">
      <c r="A181" s="6">
        <v>177</v>
      </c>
      <c r="B181" s="6">
        <v>722</v>
      </c>
      <c r="C181" s="6"/>
      <c r="D181" s="6">
        <v>357</v>
      </c>
      <c r="E181" s="33" t="s">
        <v>128</v>
      </c>
      <c r="F181" s="33" t="s">
        <v>128</v>
      </c>
      <c r="G181" s="33" t="s">
        <v>128</v>
      </c>
      <c r="H181" s="33" t="s">
        <v>128</v>
      </c>
      <c r="I181" s="33" t="s">
        <v>128</v>
      </c>
      <c r="J181" s="33" t="s">
        <v>128</v>
      </c>
      <c r="K181" s="33" t="s">
        <v>128</v>
      </c>
      <c r="L181" s="33" t="s">
        <v>128</v>
      </c>
      <c r="M181" s="33" t="s">
        <v>128</v>
      </c>
      <c r="N181" s="33" t="s">
        <v>128</v>
      </c>
      <c r="O181" s="33" t="s">
        <v>128</v>
      </c>
      <c r="P181" s="33" t="s">
        <v>128</v>
      </c>
      <c r="Q181" s="33" t="s">
        <v>128</v>
      </c>
      <c r="R181" s="33" t="s">
        <v>128</v>
      </c>
      <c r="S181" s="33" t="s">
        <v>128</v>
      </c>
      <c r="T181" s="33" t="s">
        <v>128</v>
      </c>
      <c r="U181" s="33" t="s">
        <v>128</v>
      </c>
      <c r="V181" s="33" t="s">
        <v>128</v>
      </c>
      <c r="W181" s="33" t="s">
        <v>128</v>
      </c>
      <c r="X181" s="33" t="s">
        <v>128</v>
      </c>
      <c r="Y181" s="148" t="s">
        <v>307</v>
      </c>
      <c r="Z181" s="33" t="s">
        <v>307</v>
      </c>
      <c r="AA181" s="33" t="s">
        <v>307</v>
      </c>
      <c r="AB181" s="35">
        <v>1135</v>
      </c>
      <c r="AC181" s="35"/>
      <c r="AD181" s="35">
        <f t="shared" si="44"/>
        <v>413</v>
      </c>
      <c r="AE181" s="35">
        <v>1522</v>
      </c>
      <c r="AF181" s="35"/>
      <c r="AG181" s="35">
        <f t="shared" si="45"/>
        <v>387</v>
      </c>
      <c r="AH181" s="35">
        <v>365</v>
      </c>
      <c r="AI181" s="35">
        <v>1546</v>
      </c>
      <c r="AJ181" s="35">
        <f t="shared" si="46"/>
        <v>389</v>
      </c>
      <c r="AK181" s="6">
        <v>728</v>
      </c>
      <c r="AL181" s="6"/>
      <c r="AM181" s="35">
        <f t="shared" si="47"/>
        <v>363</v>
      </c>
      <c r="AN181" s="6"/>
      <c r="AO181" s="6"/>
      <c r="AP181" s="34"/>
      <c r="AQ181" s="35">
        <v>1117</v>
      </c>
      <c r="AR181" s="35"/>
      <c r="AS181" s="35">
        <f t="shared" si="48"/>
        <v>389</v>
      </c>
      <c r="AT181" s="6">
        <v>1492</v>
      </c>
      <c r="AU181" s="6"/>
      <c r="AV181" s="35">
        <f t="shared" si="49"/>
        <v>375</v>
      </c>
      <c r="AW181" s="6">
        <v>357</v>
      </c>
      <c r="AX181" s="6">
        <v>1517</v>
      </c>
      <c r="AY181" s="35">
        <f t="shared" si="50"/>
        <v>382</v>
      </c>
      <c r="AZ181" s="6">
        <v>738</v>
      </c>
      <c r="BA181" s="35"/>
      <c r="BB181" s="35">
        <f t="shared" si="51"/>
        <v>381</v>
      </c>
      <c r="BC181" s="6">
        <v>1126</v>
      </c>
      <c r="BD181" s="6"/>
      <c r="BE181" s="35">
        <f t="shared" si="52"/>
        <v>388</v>
      </c>
      <c r="BF181" s="35">
        <v>1493</v>
      </c>
      <c r="BG181" s="6"/>
      <c r="BH181" s="6">
        <f t="shared" si="53"/>
        <v>367</v>
      </c>
      <c r="BI181" s="6"/>
      <c r="BJ181" s="6"/>
      <c r="BK181" s="6"/>
      <c r="BL181" s="6">
        <v>331</v>
      </c>
      <c r="BM181" s="6">
        <v>1560</v>
      </c>
      <c r="BN181" s="6">
        <f t="shared" si="54"/>
        <v>398</v>
      </c>
      <c r="BO181" s="6">
        <v>707</v>
      </c>
      <c r="BP181" s="6"/>
      <c r="BQ181" s="35">
        <f t="shared" si="55"/>
        <v>376</v>
      </c>
      <c r="BR181" s="6">
        <v>1093</v>
      </c>
      <c r="BS181" s="6"/>
      <c r="BT181" s="6">
        <f t="shared" si="56"/>
        <v>386</v>
      </c>
      <c r="BU181" s="6">
        <v>1472</v>
      </c>
      <c r="BV181" s="6"/>
      <c r="BW181" s="35">
        <f t="shared" si="57"/>
        <v>379</v>
      </c>
      <c r="BX181" s="6">
        <v>307</v>
      </c>
      <c r="BY181" s="6">
        <v>1560</v>
      </c>
      <c r="BZ181" s="6">
        <f t="shared" si="58"/>
        <v>395</v>
      </c>
      <c r="CA181" s="6">
        <v>686</v>
      </c>
      <c r="CB181" s="6"/>
      <c r="CC181" s="6">
        <f t="shared" si="59"/>
        <v>379</v>
      </c>
      <c r="CD181" s="6"/>
      <c r="CE181" s="6"/>
      <c r="CF181" s="6"/>
      <c r="CG181" s="6">
        <v>1088</v>
      </c>
      <c r="CH181" s="6"/>
      <c r="CI181" s="6">
        <f t="shared" si="60"/>
        <v>402</v>
      </c>
      <c r="CJ181" s="6">
        <v>1474</v>
      </c>
      <c r="CK181" s="6"/>
      <c r="CL181" s="6">
        <f t="shared" si="61"/>
        <v>386</v>
      </c>
      <c r="CM181" s="6">
        <v>0</v>
      </c>
      <c r="CN181" s="6">
        <v>1669</v>
      </c>
      <c r="CO181" s="6">
        <f t="shared" si="62"/>
        <v>195</v>
      </c>
      <c r="CP181" s="6">
        <v>373</v>
      </c>
      <c r="CQ181" s="6"/>
      <c r="CR181" s="6">
        <f t="shared" si="63"/>
        <v>373</v>
      </c>
      <c r="CS181" s="6">
        <v>771</v>
      </c>
      <c r="CT181" s="6"/>
      <c r="CU181" s="6">
        <f t="shared" si="64"/>
        <v>398</v>
      </c>
      <c r="CV181" s="6">
        <v>72</v>
      </c>
      <c r="CW181" s="6">
        <v>908</v>
      </c>
      <c r="CX181" s="6">
        <f t="shared" si="65"/>
        <v>209</v>
      </c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</row>
    <row r="182" spans="1:117">
      <c r="A182" s="6">
        <v>178</v>
      </c>
      <c r="B182" s="6">
        <v>1362</v>
      </c>
      <c r="C182" s="6"/>
      <c r="D182" s="6">
        <v>359</v>
      </c>
      <c r="E182" s="33" t="s">
        <v>128</v>
      </c>
      <c r="F182" s="33" t="s">
        <v>128</v>
      </c>
      <c r="G182" s="33" t="s">
        <v>128</v>
      </c>
      <c r="H182" s="33" t="s">
        <v>128</v>
      </c>
      <c r="I182" s="148" t="s">
        <v>128</v>
      </c>
      <c r="J182" s="33" t="s">
        <v>128</v>
      </c>
      <c r="K182" s="33" t="s">
        <v>128</v>
      </c>
      <c r="L182" s="33" t="s">
        <v>128</v>
      </c>
      <c r="M182" s="33" t="s">
        <v>128</v>
      </c>
      <c r="N182" s="33" t="s">
        <v>128</v>
      </c>
      <c r="O182" s="33" t="s">
        <v>128</v>
      </c>
      <c r="P182" s="33" t="s">
        <v>128</v>
      </c>
      <c r="Q182" s="33" t="s">
        <v>128</v>
      </c>
      <c r="R182" s="33" t="s">
        <v>128</v>
      </c>
      <c r="S182" s="33" t="s">
        <v>128</v>
      </c>
      <c r="T182" s="33" t="s">
        <v>128</v>
      </c>
      <c r="U182" s="33" t="s">
        <v>128</v>
      </c>
      <c r="V182" s="33" t="s">
        <v>128</v>
      </c>
      <c r="W182" s="33" t="s">
        <v>128</v>
      </c>
      <c r="X182" s="33" t="s">
        <v>128</v>
      </c>
      <c r="Y182" s="33" t="s">
        <v>128</v>
      </c>
      <c r="Z182" s="33" t="s">
        <v>128</v>
      </c>
      <c r="AA182" s="33" t="s">
        <v>128</v>
      </c>
      <c r="AB182" s="6">
        <v>23</v>
      </c>
      <c r="AC182" s="6">
        <v>1747</v>
      </c>
      <c r="AD182" s="35">
        <f t="shared" si="44"/>
        <v>408</v>
      </c>
      <c r="AE182" s="6">
        <v>405</v>
      </c>
      <c r="AF182" s="6"/>
      <c r="AG182" s="35">
        <f t="shared" si="45"/>
        <v>382</v>
      </c>
      <c r="AH182" s="35">
        <v>0</v>
      </c>
      <c r="AI182" s="35">
        <v>542</v>
      </c>
      <c r="AJ182" s="35">
        <f t="shared" si="46"/>
        <v>137</v>
      </c>
      <c r="AK182" s="6">
        <v>287</v>
      </c>
      <c r="AL182" s="6"/>
      <c r="AM182" s="35">
        <f t="shared" si="47"/>
        <v>287</v>
      </c>
      <c r="AN182" s="6"/>
      <c r="AO182" s="6"/>
      <c r="AP182" s="34"/>
      <c r="AQ182" s="35">
        <v>674</v>
      </c>
      <c r="AR182" s="35"/>
      <c r="AS182" s="35">
        <f t="shared" si="48"/>
        <v>387</v>
      </c>
      <c r="AT182" s="6">
        <v>1056</v>
      </c>
      <c r="AU182" s="6"/>
      <c r="AV182" s="35">
        <f t="shared" si="49"/>
        <v>382</v>
      </c>
      <c r="AW182" s="6">
        <v>1440</v>
      </c>
      <c r="AX182" s="6"/>
      <c r="AY182" s="35">
        <f t="shared" si="50"/>
        <v>384</v>
      </c>
      <c r="AZ182" s="35">
        <v>267</v>
      </c>
      <c r="BA182" s="35">
        <v>1560</v>
      </c>
      <c r="BB182" s="35">
        <f t="shared" si="51"/>
        <v>387</v>
      </c>
      <c r="BC182" s="6">
        <v>653</v>
      </c>
      <c r="BD182" s="6"/>
      <c r="BE182" s="35">
        <f t="shared" si="52"/>
        <v>386</v>
      </c>
      <c r="BF182" s="35">
        <v>1016</v>
      </c>
      <c r="BG182" s="6"/>
      <c r="BH182" s="6">
        <f t="shared" si="53"/>
        <v>363</v>
      </c>
      <c r="BI182" s="6"/>
      <c r="BJ182" s="6"/>
      <c r="BK182" s="6"/>
      <c r="BL182" s="6">
        <v>1411</v>
      </c>
      <c r="BM182" s="6"/>
      <c r="BN182" s="6">
        <f t="shared" si="54"/>
        <v>395</v>
      </c>
      <c r="BO182" s="6">
        <v>222</v>
      </c>
      <c r="BP182" s="6">
        <v>1560</v>
      </c>
      <c r="BQ182" s="35">
        <f t="shared" si="55"/>
        <v>371</v>
      </c>
      <c r="BR182" s="6">
        <v>609</v>
      </c>
      <c r="BS182" s="6"/>
      <c r="BT182" s="6">
        <f t="shared" si="56"/>
        <v>387</v>
      </c>
      <c r="BU182" s="6">
        <v>996</v>
      </c>
      <c r="BV182" s="6"/>
      <c r="BW182" s="35">
        <f t="shared" si="57"/>
        <v>387</v>
      </c>
      <c r="BX182" s="6">
        <v>1385</v>
      </c>
      <c r="BY182" s="6"/>
      <c r="BZ182" s="6">
        <f t="shared" si="58"/>
        <v>389</v>
      </c>
      <c r="CA182" s="6">
        <v>197</v>
      </c>
      <c r="CB182" s="6">
        <v>1560</v>
      </c>
      <c r="CC182" s="6">
        <f t="shared" si="59"/>
        <v>372</v>
      </c>
      <c r="CD182" s="6"/>
      <c r="CE182" s="6"/>
      <c r="CF182" s="6"/>
      <c r="CG182" s="6">
        <v>591</v>
      </c>
      <c r="CH182" s="6"/>
      <c r="CI182" s="6">
        <f t="shared" si="60"/>
        <v>394</v>
      </c>
      <c r="CJ182" s="6">
        <v>981</v>
      </c>
      <c r="CK182" s="6"/>
      <c r="CL182" s="6">
        <f t="shared" si="61"/>
        <v>390</v>
      </c>
      <c r="CM182" s="6">
        <v>1375</v>
      </c>
      <c r="CN182" s="6"/>
      <c r="CO182" s="6">
        <f t="shared" si="62"/>
        <v>394</v>
      </c>
      <c r="CP182" s="6">
        <v>207</v>
      </c>
      <c r="CQ182" s="6">
        <v>1560</v>
      </c>
      <c r="CR182" s="6">
        <f t="shared" si="63"/>
        <v>392</v>
      </c>
      <c r="CS182" s="6">
        <v>600</v>
      </c>
      <c r="CT182" s="6"/>
      <c r="CU182" s="6">
        <f t="shared" si="64"/>
        <v>393</v>
      </c>
      <c r="CV182" s="6">
        <v>807</v>
      </c>
      <c r="CW182" s="6"/>
      <c r="CX182" s="6">
        <f t="shared" si="65"/>
        <v>207</v>
      </c>
      <c r="CY182" s="6"/>
      <c r="CZ182" s="6"/>
      <c r="DA182" s="6"/>
      <c r="DB182" s="6"/>
      <c r="DC182" s="6"/>
      <c r="DD182" s="6"/>
      <c r="DE182" s="35"/>
      <c r="DF182" s="6"/>
      <c r="DG182" s="6"/>
      <c r="DH182" s="35"/>
      <c r="DI182" s="6"/>
      <c r="DJ182" s="6"/>
      <c r="DK182" s="35"/>
      <c r="DL182" s="6"/>
      <c r="DM182" s="6"/>
    </row>
    <row r="183" spans="1:117">
      <c r="A183" s="6">
        <v>179</v>
      </c>
      <c r="B183" s="6">
        <v>403</v>
      </c>
      <c r="C183" s="6"/>
      <c r="D183" s="6">
        <v>342</v>
      </c>
      <c r="E183" s="33" t="s">
        <v>128</v>
      </c>
      <c r="F183" s="33" t="s">
        <v>128</v>
      </c>
      <c r="G183" s="33" t="s">
        <v>128</v>
      </c>
      <c r="H183" s="148" t="s">
        <v>128</v>
      </c>
      <c r="I183" s="33" t="s">
        <v>128</v>
      </c>
      <c r="J183" s="33" t="s">
        <v>128</v>
      </c>
      <c r="K183" s="33" t="s">
        <v>128</v>
      </c>
      <c r="L183" s="33" t="s">
        <v>128</v>
      </c>
      <c r="M183" s="33" t="s">
        <v>128</v>
      </c>
      <c r="N183" s="33" t="s">
        <v>128</v>
      </c>
      <c r="O183" s="33" t="s">
        <v>128</v>
      </c>
      <c r="P183" s="33" t="s">
        <v>128</v>
      </c>
      <c r="Q183" s="33" t="s">
        <v>128</v>
      </c>
      <c r="R183" s="33" t="s">
        <v>128</v>
      </c>
      <c r="S183" s="33" t="s">
        <v>128</v>
      </c>
      <c r="T183" s="33" t="s">
        <v>128</v>
      </c>
      <c r="U183" s="33" t="s">
        <v>128</v>
      </c>
      <c r="V183" s="33" t="s">
        <v>128</v>
      </c>
      <c r="W183" s="33" t="s">
        <v>128</v>
      </c>
      <c r="X183" s="33" t="s">
        <v>128</v>
      </c>
      <c r="Y183" s="33" t="s">
        <v>128</v>
      </c>
      <c r="Z183" s="33" t="s">
        <v>128</v>
      </c>
      <c r="AA183" s="33" t="s">
        <v>128</v>
      </c>
      <c r="AB183" s="6">
        <v>798</v>
      </c>
      <c r="AC183" s="6"/>
      <c r="AD183" s="35">
        <f t="shared" si="44"/>
        <v>395</v>
      </c>
      <c r="AE183" s="6">
        <v>0</v>
      </c>
      <c r="AF183" s="6">
        <v>931</v>
      </c>
      <c r="AG183" s="35">
        <f t="shared" si="45"/>
        <v>133</v>
      </c>
      <c r="AH183" s="35">
        <v>378</v>
      </c>
      <c r="AI183" s="35"/>
      <c r="AJ183" s="35">
        <f t="shared" si="46"/>
        <v>378</v>
      </c>
      <c r="AK183" s="6">
        <v>748</v>
      </c>
      <c r="AL183" s="6"/>
      <c r="AM183" s="35">
        <f t="shared" si="47"/>
        <v>370</v>
      </c>
      <c r="AN183" s="6"/>
      <c r="AO183" s="6"/>
      <c r="AP183" s="34"/>
      <c r="AQ183" s="35">
        <v>1128</v>
      </c>
      <c r="AR183" s="35"/>
      <c r="AS183" s="35">
        <f t="shared" si="48"/>
        <v>380</v>
      </c>
      <c r="AT183" s="6">
        <v>1509</v>
      </c>
      <c r="AU183" s="6"/>
      <c r="AV183" s="35">
        <f t="shared" si="49"/>
        <v>381</v>
      </c>
      <c r="AW183" s="6">
        <v>341</v>
      </c>
      <c r="AX183" s="6">
        <v>1560</v>
      </c>
      <c r="AY183" s="35">
        <f t="shared" si="50"/>
        <v>392</v>
      </c>
      <c r="AZ183" s="35">
        <v>728</v>
      </c>
      <c r="BA183" s="6"/>
      <c r="BB183" s="35">
        <f t="shared" si="51"/>
        <v>387</v>
      </c>
      <c r="BC183" s="35">
        <v>1122</v>
      </c>
      <c r="BD183" s="6"/>
      <c r="BE183" s="35">
        <f t="shared" si="52"/>
        <v>394</v>
      </c>
      <c r="BF183" s="35">
        <v>1498</v>
      </c>
      <c r="BG183" s="6"/>
      <c r="BH183" s="6">
        <f t="shared" si="53"/>
        <v>376</v>
      </c>
      <c r="BI183" s="6"/>
      <c r="BJ183" s="6"/>
      <c r="BK183" s="6"/>
      <c r="BL183" s="6">
        <v>338</v>
      </c>
      <c r="BM183" s="6">
        <v>1560</v>
      </c>
      <c r="BN183" s="6">
        <f t="shared" si="54"/>
        <v>400</v>
      </c>
      <c r="BO183" s="6">
        <v>725</v>
      </c>
      <c r="BP183" s="6"/>
      <c r="BQ183" s="35">
        <f t="shared" si="55"/>
        <v>387</v>
      </c>
      <c r="BR183" s="6">
        <v>1118</v>
      </c>
      <c r="BS183" s="6"/>
      <c r="BT183" s="6">
        <f t="shared" si="56"/>
        <v>393</v>
      </c>
      <c r="BU183" s="6">
        <v>1509</v>
      </c>
      <c r="BV183" s="6"/>
      <c r="BW183" s="35">
        <f t="shared" si="57"/>
        <v>391</v>
      </c>
      <c r="BX183" s="6">
        <v>338</v>
      </c>
      <c r="BY183" s="6">
        <v>1560</v>
      </c>
      <c r="BZ183" s="6">
        <f t="shared" si="58"/>
        <v>389</v>
      </c>
      <c r="CA183" s="6">
        <v>714</v>
      </c>
      <c r="CB183" s="6"/>
      <c r="CC183" s="6">
        <f t="shared" si="59"/>
        <v>376</v>
      </c>
      <c r="CD183" s="6"/>
      <c r="CE183" s="6"/>
      <c r="CF183" s="6"/>
      <c r="CG183" s="6">
        <v>1118</v>
      </c>
      <c r="CH183" s="6"/>
      <c r="CI183" s="6">
        <f t="shared" si="60"/>
        <v>404</v>
      </c>
      <c r="CJ183" s="6">
        <v>1515</v>
      </c>
      <c r="CK183" s="6"/>
      <c r="CL183" s="6">
        <f t="shared" si="61"/>
        <v>397</v>
      </c>
      <c r="CM183" s="6">
        <v>344</v>
      </c>
      <c r="CN183" s="6">
        <v>1568</v>
      </c>
      <c r="CO183" s="6">
        <f t="shared" si="62"/>
        <v>397</v>
      </c>
      <c r="CP183" s="6">
        <v>731</v>
      </c>
      <c r="CQ183" s="6"/>
      <c r="CR183" s="6">
        <f t="shared" si="63"/>
        <v>387</v>
      </c>
      <c r="CS183" s="6">
        <v>1128</v>
      </c>
      <c r="CT183" s="6"/>
      <c r="CU183" s="6">
        <f t="shared" si="64"/>
        <v>397</v>
      </c>
      <c r="CV183" s="6">
        <v>1335</v>
      </c>
      <c r="CW183" s="6"/>
      <c r="CX183" s="6">
        <f t="shared" si="65"/>
        <v>207</v>
      </c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</row>
    <row r="184" spans="1:117">
      <c r="A184" s="6">
        <v>180</v>
      </c>
      <c r="B184" s="6">
        <v>594</v>
      </c>
      <c r="C184" s="6"/>
      <c r="D184" s="6">
        <v>353</v>
      </c>
      <c r="E184" s="33" t="s">
        <v>128</v>
      </c>
      <c r="F184" s="33" t="s">
        <v>128</v>
      </c>
      <c r="G184" s="33" t="s">
        <v>128</v>
      </c>
      <c r="H184" s="33" t="s">
        <v>128</v>
      </c>
      <c r="I184" s="148" t="s">
        <v>128</v>
      </c>
      <c r="J184" s="33" t="s">
        <v>128</v>
      </c>
      <c r="K184" s="33" t="s">
        <v>128</v>
      </c>
      <c r="L184" s="33" t="s">
        <v>128</v>
      </c>
      <c r="M184" s="33" t="s">
        <v>128</v>
      </c>
      <c r="N184" s="33" t="s">
        <v>128</v>
      </c>
      <c r="O184" s="33" t="s">
        <v>128</v>
      </c>
      <c r="P184" s="33" t="s">
        <v>128</v>
      </c>
      <c r="Q184" s="33" t="s">
        <v>128</v>
      </c>
      <c r="R184" s="33" t="s">
        <v>128</v>
      </c>
      <c r="S184" s="33" t="s">
        <v>128</v>
      </c>
      <c r="T184" s="33" t="s">
        <v>128</v>
      </c>
      <c r="U184" s="33" t="s">
        <v>128</v>
      </c>
      <c r="V184" s="33" t="s">
        <v>128</v>
      </c>
      <c r="W184" s="33" t="s">
        <v>128</v>
      </c>
      <c r="X184" s="33" t="s">
        <v>128</v>
      </c>
      <c r="Y184" s="33" t="s">
        <v>128</v>
      </c>
      <c r="Z184" s="33" t="s">
        <v>128</v>
      </c>
      <c r="AA184" s="33" t="s">
        <v>128</v>
      </c>
      <c r="AB184" s="6">
        <v>984</v>
      </c>
      <c r="AC184" s="6"/>
      <c r="AD184" s="35">
        <f t="shared" si="44"/>
        <v>390</v>
      </c>
      <c r="AE184" s="6">
        <v>194</v>
      </c>
      <c r="AF184" s="6">
        <v>1151</v>
      </c>
      <c r="AG184" s="35">
        <f t="shared" si="45"/>
        <v>361</v>
      </c>
      <c r="AH184" s="35">
        <v>0</v>
      </c>
      <c r="AI184" s="35">
        <v>482</v>
      </c>
      <c r="AJ184" s="35">
        <f t="shared" si="46"/>
        <v>288</v>
      </c>
      <c r="AK184" s="6">
        <v>288</v>
      </c>
      <c r="AL184" s="6"/>
      <c r="AM184" s="35">
        <f t="shared" si="47"/>
        <v>288</v>
      </c>
      <c r="AN184" s="6"/>
      <c r="AO184" s="6"/>
      <c r="AP184" s="34"/>
      <c r="AQ184" s="35">
        <v>669</v>
      </c>
      <c r="AR184" s="35"/>
      <c r="AS184" s="35">
        <f t="shared" si="48"/>
        <v>381</v>
      </c>
      <c r="AT184" s="6">
        <v>1042</v>
      </c>
      <c r="AU184" s="6"/>
      <c r="AV184" s="35">
        <f t="shared" si="49"/>
        <v>373</v>
      </c>
      <c r="AW184" s="6">
        <v>1420</v>
      </c>
      <c r="AX184" s="6"/>
      <c r="AY184" s="35">
        <f t="shared" si="50"/>
        <v>378</v>
      </c>
      <c r="AZ184" s="6">
        <v>237</v>
      </c>
      <c r="BA184" s="35">
        <v>1560</v>
      </c>
      <c r="BB184" s="35">
        <f t="shared" si="51"/>
        <v>377</v>
      </c>
      <c r="BC184" s="6">
        <v>617</v>
      </c>
      <c r="BD184" s="6"/>
      <c r="BE184" s="35">
        <f t="shared" si="52"/>
        <v>380</v>
      </c>
      <c r="BF184" s="35">
        <v>964</v>
      </c>
      <c r="BG184" s="6"/>
      <c r="BH184" s="6">
        <f t="shared" si="53"/>
        <v>347</v>
      </c>
      <c r="BI184" s="6"/>
      <c r="BJ184" s="6"/>
      <c r="BK184" s="6"/>
      <c r="BL184" s="6">
        <v>1350</v>
      </c>
      <c r="BM184" s="6"/>
      <c r="BN184" s="6">
        <f t="shared" si="54"/>
        <v>386</v>
      </c>
      <c r="BO184" s="6">
        <v>166</v>
      </c>
      <c r="BP184" s="6">
        <v>1560</v>
      </c>
      <c r="BQ184" s="35">
        <f t="shared" si="55"/>
        <v>376</v>
      </c>
      <c r="BR184" s="35">
        <v>542</v>
      </c>
      <c r="BS184" s="6"/>
      <c r="BT184" s="6">
        <f t="shared" si="56"/>
        <v>376</v>
      </c>
      <c r="BU184" s="6">
        <v>899</v>
      </c>
      <c r="BV184" s="6"/>
      <c r="BW184" s="35">
        <f t="shared" si="57"/>
        <v>357</v>
      </c>
      <c r="BX184" s="6">
        <v>1269</v>
      </c>
      <c r="BY184" s="6"/>
      <c r="BZ184" s="6">
        <f t="shared" si="58"/>
        <v>370</v>
      </c>
      <c r="CA184" s="6">
        <v>77</v>
      </c>
      <c r="CB184" s="6">
        <v>1560</v>
      </c>
      <c r="CC184" s="6">
        <f t="shared" si="59"/>
        <v>368</v>
      </c>
      <c r="CD184" s="6"/>
      <c r="CE184" s="6"/>
      <c r="CF184" s="6"/>
      <c r="CG184" s="6">
        <v>460</v>
      </c>
      <c r="CH184" s="6"/>
      <c r="CI184" s="6">
        <f t="shared" si="60"/>
        <v>383</v>
      </c>
      <c r="CJ184" s="6">
        <v>839</v>
      </c>
      <c r="CK184" s="6"/>
      <c r="CL184" s="6">
        <f t="shared" si="61"/>
        <v>379</v>
      </c>
      <c r="CM184" s="6">
        <v>1211</v>
      </c>
      <c r="CN184" s="6"/>
      <c r="CO184" s="6">
        <f t="shared" si="62"/>
        <v>372</v>
      </c>
      <c r="CP184" s="6">
        <v>33</v>
      </c>
      <c r="CQ184" s="6">
        <v>1560</v>
      </c>
      <c r="CR184" s="6">
        <f t="shared" si="63"/>
        <v>382</v>
      </c>
      <c r="CS184" s="6">
        <v>415</v>
      </c>
      <c r="CT184" s="6"/>
      <c r="CU184" s="6">
        <f t="shared" si="64"/>
        <v>382</v>
      </c>
      <c r="CV184" s="6">
        <v>612</v>
      </c>
      <c r="CW184" s="6"/>
      <c r="CX184" s="6">
        <f t="shared" si="65"/>
        <v>197</v>
      </c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</row>
    <row r="185" spans="1:117">
      <c r="A185" s="6">
        <v>181</v>
      </c>
      <c r="B185" s="6">
        <v>960</v>
      </c>
      <c r="C185" s="6"/>
      <c r="D185" s="6">
        <v>221</v>
      </c>
      <c r="E185" s="33" t="s">
        <v>72</v>
      </c>
      <c r="F185" s="33" t="s">
        <v>72</v>
      </c>
      <c r="G185" s="33" t="s">
        <v>72</v>
      </c>
      <c r="H185" s="33" t="s">
        <v>72</v>
      </c>
      <c r="I185" s="33" t="s">
        <v>72</v>
      </c>
      <c r="J185" s="33" t="s">
        <v>72</v>
      </c>
      <c r="K185" s="33" t="s">
        <v>72</v>
      </c>
      <c r="L185" s="33" t="s">
        <v>72</v>
      </c>
      <c r="M185" s="33" t="s">
        <v>72</v>
      </c>
      <c r="N185" s="33" t="s">
        <v>72</v>
      </c>
      <c r="O185" s="33" t="s">
        <v>72</v>
      </c>
      <c r="P185" s="33" t="s">
        <v>72</v>
      </c>
      <c r="Q185" s="33" t="s">
        <v>72</v>
      </c>
      <c r="R185" s="148" t="s">
        <v>72</v>
      </c>
      <c r="S185" s="33" t="s">
        <v>72</v>
      </c>
      <c r="T185" s="33" t="s">
        <v>72</v>
      </c>
      <c r="U185" s="33" t="s">
        <v>72</v>
      </c>
      <c r="V185" s="33" t="s">
        <v>72</v>
      </c>
      <c r="W185" s="33" t="s">
        <v>72</v>
      </c>
      <c r="X185" s="33" t="s">
        <v>72</v>
      </c>
      <c r="Y185" s="33" t="s">
        <v>72</v>
      </c>
      <c r="Z185" s="33" t="s">
        <v>72</v>
      </c>
      <c r="AA185" s="33" t="s">
        <v>72</v>
      </c>
      <c r="AB185" s="35">
        <v>115</v>
      </c>
      <c r="AC185" s="35">
        <v>1100</v>
      </c>
      <c r="AD185" s="35">
        <f t="shared" si="44"/>
        <v>255</v>
      </c>
      <c r="AE185" s="35">
        <v>354</v>
      </c>
      <c r="AF185" s="35"/>
      <c r="AG185" s="35">
        <f t="shared" si="45"/>
        <v>239</v>
      </c>
      <c r="AH185" s="35">
        <v>30</v>
      </c>
      <c r="AI185" s="35">
        <v>563</v>
      </c>
      <c r="AJ185" s="35">
        <f t="shared" si="46"/>
        <v>239</v>
      </c>
      <c r="AK185" s="6">
        <v>255</v>
      </c>
      <c r="AL185" s="6"/>
      <c r="AM185" s="35">
        <f t="shared" si="47"/>
        <v>225</v>
      </c>
      <c r="AN185" s="6"/>
      <c r="AO185" s="6"/>
      <c r="AP185" s="34"/>
      <c r="AQ185" s="35">
        <v>71</v>
      </c>
      <c r="AR185" s="35">
        <v>423</v>
      </c>
      <c r="AS185" s="35">
        <f t="shared" si="48"/>
        <v>239</v>
      </c>
      <c r="AT185" s="6">
        <v>303</v>
      </c>
      <c r="AU185" s="6"/>
      <c r="AV185" s="35">
        <f t="shared" si="49"/>
        <v>232</v>
      </c>
      <c r="AW185" s="6">
        <v>537</v>
      </c>
      <c r="AX185" s="6"/>
      <c r="AY185" s="35">
        <f t="shared" si="50"/>
        <v>234</v>
      </c>
      <c r="AZ185" s="35">
        <v>772</v>
      </c>
      <c r="BA185" s="35"/>
      <c r="BB185" s="35">
        <f t="shared" si="51"/>
        <v>235</v>
      </c>
      <c r="BC185" s="6">
        <v>22</v>
      </c>
      <c r="BD185" s="6">
        <v>984</v>
      </c>
      <c r="BE185" s="35">
        <f t="shared" si="52"/>
        <v>234</v>
      </c>
      <c r="BF185" s="35">
        <v>246</v>
      </c>
      <c r="BG185" s="6"/>
      <c r="BH185" s="6">
        <f t="shared" si="53"/>
        <v>224</v>
      </c>
      <c r="BI185" s="6"/>
      <c r="BJ185" s="6"/>
      <c r="BK185" s="6"/>
      <c r="BL185" s="6">
        <v>477</v>
      </c>
      <c r="BM185" s="6"/>
      <c r="BN185" s="6">
        <f t="shared" si="54"/>
        <v>231</v>
      </c>
      <c r="BO185" s="6">
        <v>0</v>
      </c>
      <c r="BP185" s="6">
        <v>603</v>
      </c>
      <c r="BQ185" s="35">
        <f t="shared" si="55"/>
        <v>126</v>
      </c>
      <c r="BR185" s="6">
        <v>228</v>
      </c>
      <c r="BS185" s="6"/>
      <c r="BT185" s="6">
        <f t="shared" si="56"/>
        <v>228</v>
      </c>
      <c r="BU185" s="6">
        <v>125</v>
      </c>
      <c r="BV185" s="6">
        <v>334</v>
      </c>
      <c r="BW185" s="35">
        <f t="shared" si="57"/>
        <v>231</v>
      </c>
      <c r="BX185" s="6">
        <v>359</v>
      </c>
      <c r="BY185" s="6"/>
      <c r="BZ185" s="6">
        <f t="shared" si="58"/>
        <v>234</v>
      </c>
      <c r="CA185" s="6">
        <v>586</v>
      </c>
      <c r="CB185" s="6"/>
      <c r="CC185" s="6">
        <f t="shared" si="59"/>
        <v>227</v>
      </c>
      <c r="CD185" s="6"/>
      <c r="CE185" s="6"/>
      <c r="CF185" s="6"/>
      <c r="CG185" s="6">
        <v>825</v>
      </c>
      <c r="CH185" s="6"/>
      <c r="CI185" s="6">
        <f>CH185+CG185-CA185</f>
        <v>239</v>
      </c>
      <c r="CJ185" s="6">
        <v>1059</v>
      </c>
      <c r="CK185" s="6"/>
      <c r="CL185" s="6">
        <f t="shared" si="61"/>
        <v>234</v>
      </c>
      <c r="CM185" s="6">
        <v>189</v>
      </c>
      <c r="CN185" s="6">
        <v>1100</v>
      </c>
      <c r="CO185" s="6">
        <f t="shared" si="62"/>
        <v>230</v>
      </c>
      <c r="CP185" s="6">
        <v>425</v>
      </c>
      <c r="CQ185" s="6"/>
      <c r="CR185" s="6">
        <f t="shared" si="63"/>
        <v>236</v>
      </c>
      <c r="CS185" s="6">
        <v>659</v>
      </c>
      <c r="CT185" s="6"/>
      <c r="CU185" s="6">
        <f t="shared" si="64"/>
        <v>234</v>
      </c>
      <c r="CV185" s="6">
        <v>786</v>
      </c>
      <c r="CW185" s="6"/>
      <c r="CX185" s="6">
        <f t="shared" si="65"/>
        <v>127</v>
      </c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</row>
    <row r="186" spans="1:117">
      <c r="A186" s="274">
        <v>182</v>
      </c>
      <c r="B186" s="6">
        <v>440</v>
      </c>
      <c r="C186" s="6"/>
      <c r="D186" s="6">
        <v>214</v>
      </c>
      <c r="E186" s="33" t="s">
        <v>72</v>
      </c>
      <c r="F186" s="33" t="s">
        <v>72</v>
      </c>
      <c r="G186" s="33" t="s">
        <v>72</v>
      </c>
      <c r="H186" s="33" t="s">
        <v>72</v>
      </c>
      <c r="I186" s="33" t="s">
        <v>72</v>
      </c>
      <c r="J186" s="33" t="s">
        <v>72</v>
      </c>
      <c r="K186" s="33" t="s">
        <v>72</v>
      </c>
      <c r="L186" s="33" t="s">
        <v>72</v>
      </c>
      <c r="M186" s="33" t="s">
        <v>72</v>
      </c>
      <c r="N186" s="33" t="s">
        <v>72</v>
      </c>
      <c r="O186" s="33" t="s">
        <v>72</v>
      </c>
      <c r="P186" s="33" t="s">
        <v>72</v>
      </c>
      <c r="Q186" s="33" t="s">
        <v>72</v>
      </c>
      <c r="R186" s="33" t="s">
        <v>72</v>
      </c>
      <c r="S186" s="33" t="s">
        <v>72</v>
      </c>
      <c r="T186" s="33" t="s">
        <v>72</v>
      </c>
      <c r="U186" s="33" t="s">
        <v>72</v>
      </c>
      <c r="V186" s="33" t="s">
        <v>72</v>
      </c>
      <c r="W186" s="33" t="s">
        <v>72</v>
      </c>
      <c r="X186" s="148" t="s">
        <v>72</v>
      </c>
      <c r="Y186" s="33" t="s">
        <v>72</v>
      </c>
      <c r="Z186" s="33" t="s">
        <v>72</v>
      </c>
      <c r="AA186" s="33" t="s">
        <v>72</v>
      </c>
      <c r="AB186" s="6">
        <v>684</v>
      </c>
      <c r="AC186" s="6"/>
      <c r="AD186" s="35">
        <f t="shared" si="44"/>
        <v>244</v>
      </c>
      <c r="AE186" s="6">
        <v>912</v>
      </c>
      <c r="AF186" s="6"/>
      <c r="AG186" s="35">
        <f t="shared" si="45"/>
        <v>228</v>
      </c>
      <c r="AH186" s="35">
        <v>40</v>
      </c>
      <c r="AI186" s="35">
        <v>1100</v>
      </c>
      <c r="AJ186" s="35">
        <f t="shared" si="46"/>
        <v>228</v>
      </c>
      <c r="AK186" s="6">
        <v>254</v>
      </c>
      <c r="AL186" s="6"/>
      <c r="AM186" s="35">
        <f t="shared" si="47"/>
        <v>214</v>
      </c>
      <c r="AN186" s="6"/>
      <c r="AO186" s="6"/>
      <c r="AP186" s="34"/>
      <c r="AQ186" s="35">
        <v>476</v>
      </c>
      <c r="AR186" s="35"/>
      <c r="AS186" s="35">
        <f t="shared" si="48"/>
        <v>222</v>
      </c>
      <c r="AT186" s="6">
        <v>703</v>
      </c>
      <c r="AU186" s="6"/>
      <c r="AV186" s="35">
        <f t="shared" si="49"/>
        <v>227</v>
      </c>
      <c r="AW186" s="6">
        <v>213</v>
      </c>
      <c r="AX186" s="6">
        <v>718</v>
      </c>
      <c r="AY186" s="35">
        <f t="shared" si="50"/>
        <v>228</v>
      </c>
      <c r="AZ186" s="35">
        <v>442</v>
      </c>
      <c r="BA186" s="35"/>
      <c r="BB186" s="35">
        <f t="shared" si="51"/>
        <v>229</v>
      </c>
      <c r="BC186" s="6">
        <v>674</v>
      </c>
      <c r="BD186" s="6"/>
      <c r="BE186" s="35">
        <f t="shared" si="52"/>
        <v>232</v>
      </c>
      <c r="BF186" s="35">
        <v>897</v>
      </c>
      <c r="BG186" s="6"/>
      <c r="BH186" s="6">
        <f t="shared" si="53"/>
        <v>223</v>
      </c>
      <c r="BI186" s="6"/>
      <c r="BJ186" s="6"/>
      <c r="BK186" s="6"/>
      <c r="BL186" s="6">
        <v>31</v>
      </c>
      <c r="BM186" s="6">
        <v>1100</v>
      </c>
      <c r="BN186" s="6">
        <f t="shared" si="54"/>
        <v>234</v>
      </c>
      <c r="BO186" s="6">
        <v>260</v>
      </c>
      <c r="BP186" s="6"/>
      <c r="BQ186" s="35">
        <f t="shared" si="55"/>
        <v>229</v>
      </c>
      <c r="BR186" s="6">
        <v>487</v>
      </c>
      <c r="BS186" s="6"/>
      <c r="BT186" s="6">
        <f t="shared" si="56"/>
        <v>227</v>
      </c>
      <c r="BU186" s="6">
        <v>719</v>
      </c>
      <c r="BV186" s="6"/>
      <c r="BW186" s="35">
        <f t="shared" si="57"/>
        <v>232</v>
      </c>
      <c r="BX186" s="6">
        <v>954</v>
      </c>
      <c r="BY186" s="6"/>
      <c r="BZ186" s="6">
        <f t="shared" si="58"/>
        <v>235</v>
      </c>
      <c r="CA186" s="6">
        <v>5</v>
      </c>
      <c r="CB186" s="6">
        <v>1173</v>
      </c>
      <c r="CC186" s="6">
        <f t="shared" si="59"/>
        <v>224</v>
      </c>
      <c r="CD186" s="6"/>
      <c r="CE186" s="6"/>
      <c r="CF186" s="6"/>
      <c r="CG186" s="6">
        <v>241</v>
      </c>
      <c r="CH186" s="6"/>
      <c r="CI186" s="6">
        <f t="shared" si="60"/>
        <v>236</v>
      </c>
      <c r="CJ186" s="6">
        <v>473</v>
      </c>
      <c r="CK186" s="6"/>
      <c r="CL186" s="6">
        <f t="shared" si="61"/>
        <v>232</v>
      </c>
      <c r="CM186" s="6">
        <v>156</v>
      </c>
      <c r="CN186" s="6">
        <v>522</v>
      </c>
      <c r="CO186" s="6">
        <f t="shared" si="62"/>
        <v>205</v>
      </c>
      <c r="CP186" s="6">
        <v>355</v>
      </c>
      <c r="CQ186" s="6"/>
      <c r="CR186" s="6">
        <f t="shared" si="63"/>
        <v>199</v>
      </c>
      <c r="CS186" s="6">
        <v>583</v>
      </c>
      <c r="CT186" s="6"/>
      <c r="CU186" s="6">
        <f t="shared" si="64"/>
        <v>228</v>
      </c>
      <c r="CV186" s="6">
        <v>702</v>
      </c>
      <c r="CW186" s="6"/>
      <c r="CX186" s="6">
        <f t="shared" si="65"/>
        <v>119</v>
      </c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</row>
    <row r="187" spans="1:117">
      <c r="A187" s="274">
        <v>183</v>
      </c>
      <c r="B187" s="6">
        <v>464</v>
      </c>
      <c r="C187" s="6"/>
      <c r="D187" s="6">
        <v>232</v>
      </c>
      <c r="E187" s="33" t="s">
        <v>72</v>
      </c>
      <c r="F187" s="33" t="s">
        <v>72</v>
      </c>
      <c r="G187" s="33" t="s">
        <v>72</v>
      </c>
      <c r="H187" s="33" t="s">
        <v>72</v>
      </c>
      <c r="I187" s="33" t="s">
        <v>72</v>
      </c>
      <c r="J187" s="33" t="s">
        <v>72</v>
      </c>
      <c r="K187" s="33" t="s">
        <v>72</v>
      </c>
      <c r="L187" s="33" t="s">
        <v>72</v>
      </c>
      <c r="M187" s="33" t="s">
        <v>72</v>
      </c>
      <c r="N187" s="33" t="s">
        <v>72</v>
      </c>
      <c r="O187" s="33" t="s">
        <v>72</v>
      </c>
      <c r="P187" s="33" t="s">
        <v>72</v>
      </c>
      <c r="Q187" s="33" t="s">
        <v>72</v>
      </c>
      <c r="R187" s="33" t="s">
        <v>72</v>
      </c>
      <c r="S187" s="33" t="s">
        <v>72</v>
      </c>
      <c r="T187" s="33" t="s">
        <v>72</v>
      </c>
      <c r="U187" s="33" t="s">
        <v>72</v>
      </c>
      <c r="V187" s="33" t="s">
        <v>72</v>
      </c>
      <c r="W187" s="33" t="s">
        <v>72</v>
      </c>
      <c r="X187" s="148" t="s">
        <v>72</v>
      </c>
      <c r="Y187" s="33" t="s">
        <v>72</v>
      </c>
      <c r="Z187" s="33" t="s">
        <v>72</v>
      </c>
      <c r="AA187" s="33" t="s">
        <v>72</v>
      </c>
      <c r="AB187" s="6">
        <v>729</v>
      </c>
      <c r="AC187" s="6"/>
      <c r="AD187" s="35">
        <f t="shared" si="44"/>
        <v>265</v>
      </c>
      <c r="AE187" s="6">
        <v>976</v>
      </c>
      <c r="AF187" s="6"/>
      <c r="AG187" s="35">
        <f t="shared" si="45"/>
        <v>247</v>
      </c>
      <c r="AH187" s="35">
        <v>128</v>
      </c>
      <c r="AI187" s="35">
        <v>1100</v>
      </c>
      <c r="AJ187" s="35">
        <f t="shared" si="46"/>
        <v>252</v>
      </c>
      <c r="AK187" s="6">
        <v>357</v>
      </c>
      <c r="AL187" s="6"/>
      <c r="AM187" s="35">
        <f t="shared" si="47"/>
        <v>229</v>
      </c>
      <c r="AN187" s="6"/>
      <c r="AO187" s="6"/>
      <c r="AP187" s="34"/>
      <c r="AQ187" s="35">
        <v>608</v>
      </c>
      <c r="AR187" s="35"/>
      <c r="AS187" s="35">
        <f t="shared" si="48"/>
        <v>251</v>
      </c>
      <c r="AT187" s="6">
        <v>844</v>
      </c>
      <c r="AU187" s="6"/>
      <c r="AV187" s="35">
        <f t="shared" si="49"/>
        <v>236</v>
      </c>
      <c r="AW187" s="6">
        <v>1080</v>
      </c>
      <c r="AX187" s="6"/>
      <c r="AY187" s="35">
        <f t="shared" si="50"/>
        <v>236</v>
      </c>
      <c r="AZ187" s="35">
        <v>214</v>
      </c>
      <c r="BA187" s="35">
        <v>1100</v>
      </c>
      <c r="BB187" s="35">
        <f t="shared" si="51"/>
        <v>234</v>
      </c>
      <c r="BC187" s="6">
        <v>452</v>
      </c>
      <c r="BD187" s="6"/>
      <c r="BE187" s="35">
        <f t="shared" si="52"/>
        <v>238</v>
      </c>
      <c r="BF187" s="35">
        <v>676</v>
      </c>
      <c r="BG187" s="6"/>
      <c r="BH187" s="6">
        <f t="shared" si="53"/>
        <v>224</v>
      </c>
      <c r="BI187" s="6"/>
      <c r="BJ187" s="6"/>
      <c r="BK187" s="6"/>
      <c r="BL187" s="6">
        <v>913</v>
      </c>
      <c r="BM187" s="6"/>
      <c r="BN187" s="6">
        <f t="shared" si="54"/>
        <v>237</v>
      </c>
      <c r="BO187" s="6">
        <v>41</v>
      </c>
      <c r="BP187" s="6">
        <v>1100</v>
      </c>
      <c r="BQ187" s="35">
        <f t="shared" si="55"/>
        <v>228</v>
      </c>
      <c r="BR187" s="6">
        <v>276</v>
      </c>
      <c r="BS187" s="6"/>
      <c r="BT187" s="6">
        <f t="shared" si="56"/>
        <v>235</v>
      </c>
      <c r="BU187" s="6">
        <v>502</v>
      </c>
      <c r="BV187" s="6"/>
      <c r="BW187" s="35">
        <f t="shared" si="57"/>
        <v>226</v>
      </c>
      <c r="BX187" s="6">
        <v>730</v>
      </c>
      <c r="BY187" s="6"/>
      <c r="BZ187" s="6">
        <f t="shared" si="58"/>
        <v>228</v>
      </c>
      <c r="CA187" s="6">
        <v>959</v>
      </c>
      <c r="CB187" s="6"/>
      <c r="CC187" s="6">
        <f t="shared" si="59"/>
        <v>229</v>
      </c>
      <c r="CD187" s="6"/>
      <c r="CE187" s="6"/>
      <c r="CF187" s="6"/>
      <c r="CG187" s="6">
        <v>124</v>
      </c>
      <c r="CH187" s="6">
        <v>1075</v>
      </c>
      <c r="CI187" s="6">
        <f t="shared" si="60"/>
        <v>240</v>
      </c>
      <c r="CJ187" s="6">
        <v>353</v>
      </c>
      <c r="CK187" s="6"/>
      <c r="CL187" s="6">
        <f t="shared" si="61"/>
        <v>229</v>
      </c>
      <c r="CM187" s="6">
        <v>147</v>
      </c>
      <c r="CN187" s="6">
        <v>421</v>
      </c>
      <c r="CO187" s="6">
        <f t="shared" si="62"/>
        <v>215</v>
      </c>
      <c r="CP187" s="6">
        <v>380</v>
      </c>
      <c r="CQ187" s="6"/>
      <c r="CR187" s="6">
        <f t="shared" si="63"/>
        <v>233</v>
      </c>
      <c r="CS187" s="6">
        <v>609</v>
      </c>
      <c r="CT187" s="6"/>
      <c r="CU187" s="6">
        <f t="shared" si="64"/>
        <v>229</v>
      </c>
      <c r="CV187" s="6">
        <v>735</v>
      </c>
      <c r="CW187" s="6"/>
      <c r="CX187" s="6">
        <f t="shared" si="65"/>
        <v>126</v>
      </c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</row>
    <row r="188" spans="1:117">
      <c r="A188" s="273">
        <v>184</v>
      </c>
      <c r="B188" s="6">
        <v>337</v>
      </c>
      <c r="C188" s="6"/>
      <c r="D188" s="6">
        <v>227</v>
      </c>
      <c r="E188" s="33" t="s">
        <v>75</v>
      </c>
      <c r="F188" s="33" t="s">
        <v>75</v>
      </c>
      <c r="G188" s="33" t="s">
        <v>75</v>
      </c>
      <c r="H188" s="33" t="s">
        <v>75</v>
      </c>
      <c r="I188" s="33" t="s">
        <v>75</v>
      </c>
      <c r="J188" s="33" t="s">
        <v>75</v>
      </c>
      <c r="K188" s="33" t="s">
        <v>75</v>
      </c>
      <c r="L188" s="33" t="s">
        <v>75</v>
      </c>
      <c r="M188" s="33" t="s">
        <v>75</v>
      </c>
      <c r="N188" s="33" t="s">
        <v>75</v>
      </c>
      <c r="O188" s="33" t="s">
        <v>75</v>
      </c>
      <c r="P188" s="33" t="s">
        <v>75</v>
      </c>
      <c r="Q188" s="33" t="s">
        <v>75</v>
      </c>
      <c r="R188" s="33" t="s">
        <v>75</v>
      </c>
      <c r="S188" s="33" t="s">
        <v>75</v>
      </c>
      <c r="T188" s="148" t="s">
        <v>291</v>
      </c>
      <c r="U188" s="33" t="s">
        <v>291</v>
      </c>
      <c r="V188" s="33" t="s">
        <v>291</v>
      </c>
      <c r="W188" s="33" t="s">
        <v>291</v>
      </c>
      <c r="X188" s="33" t="s">
        <v>291</v>
      </c>
      <c r="Y188" s="33" t="s">
        <v>291</v>
      </c>
      <c r="Z188" s="33" t="s">
        <v>291</v>
      </c>
      <c r="AA188" s="33" t="s">
        <v>291</v>
      </c>
      <c r="AB188" s="6">
        <v>585</v>
      </c>
      <c r="AC188" s="6"/>
      <c r="AD188" s="35">
        <f t="shared" si="44"/>
        <v>248</v>
      </c>
      <c r="AE188" s="6">
        <v>827</v>
      </c>
      <c r="AF188" s="6"/>
      <c r="AG188" s="35">
        <f t="shared" si="45"/>
        <v>242</v>
      </c>
      <c r="AH188" s="35">
        <v>1075</v>
      </c>
      <c r="AI188" s="35"/>
      <c r="AJ188" s="35">
        <f t="shared" si="46"/>
        <v>248</v>
      </c>
      <c r="AK188" s="6">
        <v>204</v>
      </c>
      <c r="AL188" s="6">
        <v>1100</v>
      </c>
      <c r="AM188" s="35">
        <f t="shared" si="47"/>
        <v>229</v>
      </c>
      <c r="AN188" s="6"/>
      <c r="AO188" s="6"/>
      <c r="AP188" s="34"/>
      <c r="AQ188" s="35">
        <v>452</v>
      </c>
      <c r="AR188" s="35"/>
      <c r="AS188" s="35">
        <f t="shared" si="48"/>
        <v>248</v>
      </c>
      <c r="AT188" s="6">
        <v>693</v>
      </c>
      <c r="AU188" s="6"/>
      <c r="AV188" s="35">
        <f t="shared" si="49"/>
        <v>241</v>
      </c>
      <c r="AW188" s="6">
        <v>938</v>
      </c>
      <c r="AX188" s="6"/>
      <c r="AY188" s="35">
        <f t="shared" si="50"/>
        <v>245</v>
      </c>
      <c r="AZ188" s="35">
        <v>80</v>
      </c>
      <c r="BA188" s="35">
        <v>1100</v>
      </c>
      <c r="BB188" s="35">
        <f t="shared" si="51"/>
        <v>242</v>
      </c>
      <c r="BC188" s="6">
        <v>324</v>
      </c>
      <c r="BD188" s="6"/>
      <c r="BE188" s="35">
        <f t="shared" si="52"/>
        <v>244</v>
      </c>
      <c r="BF188" s="35">
        <v>561</v>
      </c>
      <c r="BG188" s="6"/>
      <c r="BH188" s="6">
        <f t="shared" si="53"/>
        <v>237</v>
      </c>
      <c r="BI188" s="6"/>
      <c r="BJ188" s="6"/>
      <c r="BK188" s="6"/>
      <c r="BL188" s="6">
        <v>813</v>
      </c>
      <c r="BM188" s="6"/>
      <c r="BN188" s="6">
        <f t="shared" si="54"/>
        <v>252</v>
      </c>
      <c r="BO188" s="6">
        <v>1054</v>
      </c>
      <c r="BP188" s="6"/>
      <c r="BQ188" s="35">
        <f t="shared" si="55"/>
        <v>241</v>
      </c>
      <c r="BR188" s="6">
        <v>199</v>
      </c>
      <c r="BS188" s="6">
        <v>1100</v>
      </c>
      <c r="BT188" s="6">
        <f t="shared" si="56"/>
        <v>245</v>
      </c>
      <c r="BU188" s="6">
        <v>0</v>
      </c>
      <c r="BV188" s="6">
        <v>418</v>
      </c>
      <c r="BW188" s="35">
        <f t="shared" si="57"/>
        <v>219</v>
      </c>
      <c r="BX188" s="6">
        <v>244</v>
      </c>
      <c r="BY188" s="6"/>
      <c r="BZ188" s="6">
        <f t="shared" si="58"/>
        <v>244</v>
      </c>
      <c r="CA188" s="6">
        <v>485</v>
      </c>
      <c r="CB188" s="6"/>
      <c r="CC188" s="6">
        <f t="shared" si="59"/>
        <v>241</v>
      </c>
      <c r="CD188" s="6"/>
      <c r="CE188" s="6"/>
      <c r="CF188" s="6"/>
      <c r="CG188" s="6">
        <v>740</v>
      </c>
      <c r="CH188" s="6"/>
      <c r="CI188" s="6">
        <f t="shared" si="60"/>
        <v>255</v>
      </c>
      <c r="CJ188" s="6">
        <v>991</v>
      </c>
      <c r="CK188" s="6"/>
      <c r="CL188" s="6">
        <f t="shared" si="61"/>
        <v>251</v>
      </c>
      <c r="CM188" s="6">
        <v>41</v>
      </c>
      <c r="CN188" s="6">
        <v>1200</v>
      </c>
      <c r="CO188" s="6">
        <f t="shared" si="62"/>
        <v>250</v>
      </c>
      <c r="CP188" s="6">
        <v>290</v>
      </c>
      <c r="CQ188" s="6"/>
      <c r="CR188" s="6">
        <f t="shared" si="63"/>
        <v>249</v>
      </c>
      <c r="CS188" s="6">
        <v>542</v>
      </c>
      <c r="CT188" s="6"/>
      <c r="CU188" s="6">
        <f t="shared" si="64"/>
        <v>252</v>
      </c>
      <c r="CV188" s="6">
        <v>677</v>
      </c>
      <c r="CW188" s="6"/>
      <c r="CX188" s="6">
        <f t="shared" si="65"/>
        <v>135</v>
      </c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</row>
    <row r="189" spans="1:117">
      <c r="A189" s="6">
        <v>185</v>
      </c>
      <c r="B189" s="6">
        <v>282</v>
      </c>
      <c r="C189" s="6"/>
      <c r="D189" s="6">
        <v>225</v>
      </c>
      <c r="E189" s="33" t="s">
        <v>72</v>
      </c>
      <c r="F189" s="33" t="s">
        <v>72</v>
      </c>
      <c r="G189" s="33" t="s">
        <v>72</v>
      </c>
      <c r="H189" s="33" t="s">
        <v>72</v>
      </c>
      <c r="I189" s="33" t="s">
        <v>72</v>
      </c>
      <c r="J189" s="33" t="s">
        <v>72</v>
      </c>
      <c r="K189" s="33" t="s">
        <v>72</v>
      </c>
      <c r="L189" s="33" t="s">
        <v>72</v>
      </c>
      <c r="M189" s="33" t="s">
        <v>72</v>
      </c>
      <c r="N189" s="33" t="s">
        <v>72</v>
      </c>
      <c r="O189" s="33" t="s">
        <v>72</v>
      </c>
      <c r="P189" s="33" t="s">
        <v>72</v>
      </c>
      <c r="Q189" s="33" t="s">
        <v>72</v>
      </c>
      <c r="R189" s="148" t="s">
        <v>72</v>
      </c>
      <c r="S189" s="33" t="s">
        <v>72</v>
      </c>
      <c r="T189" s="33" t="s">
        <v>72</v>
      </c>
      <c r="U189" s="33" t="s">
        <v>72</v>
      </c>
      <c r="V189" s="33" t="s">
        <v>72</v>
      </c>
      <c r="W189" s="33" t="s">
        <v>72</v>
      </c>
      <c r="X189" s="33" t="s">
        <v>72</v>
      </c>
      <c r="Y189" s="33" t="s">
        <v>72</v>
      </c>
      <c r="Z189" s="33" t="s">
        <v>72</v>
      </c>
      <c r="AA189" s="33" t="s">
        <v>72</v>
      </c>
      <c r="AB189" s="6">
        <v>546</v>
      </c>
      <c r="AC189" s="6"/>
      <c r="AD189" s="35">
        <f t="shared" si="44"/>
        <v>264</v>
      </c>
      <c r="AE189" s="6">
        <v>124</v>
      </c>
      <c r="AF189" s="6">
        <v>662</v>
      </c>
      <c r="AG189" s="35">
        <f t="shared" si="45"/>
        <v>240</v>
      </c>
      <c r="AH189" s="35">
        <v>365</v>
      </c>
      <c r="AI189" s="35"/>
      <c r="AJ189" s="35">
        <f t="shared" si="46"/>
        <v>241</v>
      </c>
      <c r="AK189" s="6">
        <v>591</v>
      </c>
      <c r="AL189" s="6"/>
      <c r="AM189" s="35">
        <f t="shared" si="47"/>
        <v>226</v>
      </c>
      <c r="AN189" s="6"/>
      <c r="AO189" s="6"/>
      <c r="AP189" s="34"/>
      <c r="AQ189" s="35">
        <v>837</v>
      </c>
      <c r="AR189" s="35"/>
      <c r="AS189" s="35">
        <f t="shared" si="48"/>
        <v>246</v>
      </c>
      <c r="AT189" s="6">
        <v>1073</v>
      </c>
      <c r="AU189" s="6"/>
      <c r="AV189" s="35">
        <f t="shared" si="49"/>
        <v>236</v>
      </c>
      <c r="AW189" s="6">
        <v>231</v>
      </c>
      <c r="AX189" s="6">
        <v>1077</v>
      </c>
      <c r="AY189" s="35">
        <f t="shared" si="50"/>
        <v>235</v>
      </c>
      <c r="AZ189" s="35">
        <v>466</v>
      </c>
      <c r="BA189" s="35"/>
      <c r="BB189" s="35">
        <f t="shared" si="51"/>
        <v>235</v>
      </c>
      <c r="BC189" s="6">
        <v>1</v>
      </c>
      <c r="BD189" s="6">
        <v>692</v>
      </c>
      <c r="BE189" s="35">
        <f t="shared" si="52"/>
        <v>227</v>
      </c>
      <c r="BF189" s="35">
        <v>221</v>
      </c>
      <c r="BG189" s="6"/>
      <c r="BH189" s="6">
        <f t="shared" si="53"/>
        <v>220</v>
      </c>
      <c r="BI189" s="6"/>
      <c r="BJ189" s="6"/>
      <c r="BK189" s="6"/>
      <c r="BL189" s="6">
        <v>454</v>
      </c>
      <c r="BM189" s="6"/>
      <c r="BN189" s="6">
        <f t="shared" si="54"/>
        <v>233</v>
      </c>
      <c r="BO189" s="6">
        <v>679</v>
      </c>
      <c r="BP189" s="6"/>
      <c r="BQ189" s="35">
        <f t="shared" si="55"/>
        <v>225</v>
      </c>
      <c r="BR189" s="6">
        <v>169</v>
      </c>
      <c r="BS189" s="6">
        <v>725</v>
      </c>
      <c r="BT189" s="6">
        <f t="shared" si="56"/>
        <v>215</v>
      </c>
      <c r="BU189" s="6">
        <v>399</v>
      </c>
      <c r="BV189" s="6"/>
      <c r="BW189" s="35">
        <f t="shared" si="57"/>
        <v>230</v>
      </c>
      <c r="BX189" s="6">
        <v>631</v>
      </c>
      <c r="BY189" s="6"/>
      <c r="BZ189" s="6">
        <f t="shared" si="58"/>
        <v>232</v>
      </c>
      <c r="CA189" s="6">
        <v>857</v>
      </c>
      <c r="CB189" s="6"/>
      <c r="CC189" s="6">
        <f t="shared" si="59"/>
        <v>226</v>
      </c>
      <c r="CD189" s="6"/>
      <c r="CE189" s="6"/>
      <c r="CF189" s="6"/>
      <c r="CG189" s="6">
        <v>1095</v>
      </c>
      <c r="CH189" s="6"/>
      <c r="CI189" s="6">
        <f t="shared" si="60"/>
        <v>238</v>
      </c>
      <c r="CJ189" s="6">
        <v>227</v>
      </c>
      <c r="CK189" s="6">
        <v>1100</v>
      </c>
      <c r="CL189" s="6">
        <f t="shared" si="61"/>
        <v>232</v>
      </c>
      <c r="CM189" s="6">
        <v>459</v>
      </c>
      <c r="CN189" s="6"/>
      <c r="CO189" s="6">
        <f t="shared" si="62"/>
        <v>232</v>
      </c>
      <c r="CP189" s="6">
        <v>690</v>
      </c>
      <c r="CQ189" s="6"/>
      <c r="CR189" s="6">
        <f t="shared" si="63"/>
        <v>231</v>
      </c>
      <c r="CS189" s="6">
        <v>924</v>
      </c>
      <c r="CT189" s="6"/>
      <c r="CU189" s="6">
        <f t="shared" si="64"/>
        <v>234</v>
      </c>
      <c r="CV189" s="6">
        <v>1049</v>
      </c>
      <c r="CW189" s="6"/>
      <c r="CX189" s="6">
        <f t="shared" si="65"/>
        <v>125</v>
      </c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</row>
    <row r="190" spans="1:117" ht="14.25" customHeight="1">
      <c r="A190" s="274">
        <v>186</v>
      </c>
      <c r="B190" s="6">
        <v>712</v>
      </c>
      <c r="C190" s="6"/>
      <c r="D190" s="6">
        <v>222</v>
      </c>
      <c r="E190" s="33" t="s">
        <v>72</v>
      </c>
      <c r="F190" s="33" t="s">
        <v>72</v>
      </c>
      <c r="G190" s="33" t="s">
        <v>72</v>
      </c>
      <c r="H190" s="33" t="s">
        <v>72</v>
      </c>
      <c r="I190" s="33" t="s">
        <v>72</v>
      </c>
      <c r="J190" s="33" t="s">
        <v>72</v>
      </c>
      <c r="K190" s="33" t="s">
        <v>72</v>
      </c>
      <c r="L190" s="33" t="s">
        <v>72</v>
      </c>
      <c r="M190" s="33" t="s">
        <v>72</v>
      </c>
      <c r="N190" s="33" t="s">
        <v>72</v>
      </c>
      <c r="O190" s="33" t="s">
        <v>72</v>
      </c>
      <c r="P190" s="33" t="s">
        <v>72</v>
      </c>
      <c r="Q190" s="33" t="s">
        <v>72</v>
      </c>
      <c r="R190" s="33" t="s">
        <v>72</v>
      </c>
      <c r="S190" s="148" t="s">
        <v>72</v>
      </c>
      <c r="T190" s="33" t="s">
        <v>72</v>
      </c>
      <c r="U190" s="33" t="s">
        <v>72</v>
      </c>
      <c r="V190" s="33" t="s">
        <v>72</v>
      </c>
      <c r="W190" s="33" t="s">
        <v>72</v>
      </c>
      <c r="X190" s="33" t="s">
        <v>72</v>
      </c>
      <c r="Y190" s="33" t="s">
        <v>72</v>
      </c>
      <c r="Z190" s="33" t="s">
        <v>72</v>
      </c>
      <c r="AA190" s="33" t="s">
        <v>72</v>
      </c>
      <c r="AB190" s="35">
        <v>971</v>
      </c>
      <c r="AC190" s="35"/>
      <c r="AD190" s="35">
        <f t="shared" si="44"/>
        <v>259</v>
      </c>
      <c r="AE190" s="35">
        <v>114</v>
      </c>
      <c r="AF190" s="35">
        <v>1100</v>
      </c>
      <c r="AG190" s="35">
        <f t="shared" si="45"/>
        <v>243</v>
      </c>
      <c r="AH190" s="35">
        <v>359</v>
      </c>
      <c r="AI190" s="35"/>
      <c r="AJ190" s="35">
        <f t="shared" si="46"/>
        <v>245</v>
      </c>
      <c r="AK190" s="6">
        <v>584</v>
      </c>
      <c r="AL190" s="6"/>
      <c r="AM190" s="35">
        <f t="shared" si="47"/>
        <v>225</v>
      </c>
      <c r="AN190" s="6"/>
      <c r="AO190" s="6"/>
      <c r="AP190" s="34"/>
      <c r="AQ190" s="35">
        <v>828</v>
      </c>
      <c r="AR190" s="35"/>
      <c r="AS190" s="35">
        <f t="shared" si="48"/>
        <v>244</v>
      </c>
      <c r="AT190" s="6">
        <v>1061</v>
      </c>
      <c r="AU190" s="6"/>
      <c r="AV190" s="35">
        <f t="shared" si="49"/>
        <v>233</v>
      </c>
      <c r="AW190" s="6">
        <v>181</v>
      </c>
      <c r="AX190" s="6">
        <v>1115</v>
      </c>
      <c r="AY190" s="35">
        <f t="shared" si="50"/>
        <v>235</v>
      </c>
      <c r="AZ190" s="6">
        <v>416</v>
      </c>
      <c r="BA190" s="6"/>
      <c r="BB190" s="35">
        <f t="shared" si="51"/>
        <v>235</v>
      </c>
      <c r="BC190" s="6">
        <v>648</v>
      </c>
      <c r="BD190" s="6"/>
      <c r="BE190" s="35">
        <f t="shared" si="52"/>
        <v>232</v>
      </c>
      <c r="BF190" s="35">
        <v>876</v>
      </c>
      <c r="BG190" s="6"/>
      <c r="BH190" s="6">
        <f t="shared" si="53"/>
        <v>228</v>
      </c>
      <c r="BI190" s="6"/>
      <c r="BJ190" s="35"/>
      <c r="BK190" s="6"/>
      <c r="BL190" s="6">
        <v>18</v>
      </c>
      <c r="BM190" s="6">
        <v>1100</v>
      </c>
      <c r="BN190" s="6">
        <f t="shared" si="54"/>
        <v>242</v>
      </c>
      <c r="BO190" s="6">
        <v>253</v>
      </c>
      <c r="BP190" s="6"/>
      <c r="BQ190" s="35">
        <f t="shared" si="55"/>
        <v>235</v>
      </c>
      <c r="BR190" s="6">
        <v>0</v>
      </c>
      <c r="BS190" s="6">
        <v>394</v>
      </c>
      <c r="BT190" s="6">
        <f t="shared" si="56"/>
        <v>141</v>
      </c>
      <c r="BU190" s="6">
        <v>230</v>
      </c>
      <c r="BV190" s="6"/>
      <c r="BW190" s="35">
        <f t="shared" si="57"/>
        <v>230</v>
      </c>
      <c r="BX190" s="6">
        <v>471</v>
      </c>
      <c r="BY190" s="35"/>
      <c r="BZ190" s="6">
        <f t="shared" si="58"/>
        <v>241</v>
      </c>
      <c r="CA190" s="6">
        <v>705</v>
      </c>
      <c r="CB190" s="6"/>
      <c r="CC190" s="6">
        <f t="shared" si="59"/>
        <v>234</v>
      </c>
      <c r="CD190" s="6"/>
      <c r="CE190" s="35"/>
      <c r="CF190" s="6"/>
      <c r="CG190" s="6">
        <v>952</v>
      </c>
      <c r="CH190" s="6"/>
      <c r="CI190" s="6">
        <f t="shared" si="60"/>
        <v>247</v>
      </c>
      <c r="CJ190" s="6">
        <v>94</v>
      </c>
      <c r="CK190" s="6">
        <v>1100</v>
      </c>
      <c r="CL190" s="6">
        <f t="shared" si="61"/>
        <v>242</v>
      </c>
      <c r="CM190" s="6">
        <v>336</v>
      </c>
      <c r="CN190" s="6"/>
      <c r="CO190" s="6">
        <f t="shared" si="62"/>
        <v>242</v>
      </c>
      <c r="CP190" s="35">
        <v>577</v>
      </c>
      <c r="CQ190" s="6"/>
      <c r="CR190" s="6">
        <f t="shared" si="63"/>
        <v>241</v>
      </c>
      <c r="CS190" s="6">
        <v>818</v>
      </c>
      <c r="CT190" s="6"/>
      <c r="CU190" s="6">
        <f t="shared" si="64"/>
        <v>241</v>
      </c>
      <c r="CV190" s="6">
        <v>949</v>
      </c>
      <c r="CW190" s="6"/>
      <c r="CX190" s="6">
        <f t="shared" si="65"/>
        <v>131</v>
      </c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</row>
    <row r="191" spans="1:117">
      <c r="A191" s="6">
        <v>187</v>
      </c>
      <c r="B191" s="6">
        <v>653</v>
      </c>
      <c r="C191" s="6"/>
      <c r="D191" s="6">
        <v>227</v>
      </c>
      <c r="E191" s="33" t="s">
        <v>72</v>
      </c>
      <c r="F191" s="33" t="s">
        <v>72</v>
      </c>
      <c r="G191" s="33" t="s">
        <v>72</v>
      </c>
      <c r="H191" s="33" t="s">
        <v>72</v>
      </c>
      <c r="I191" s="33" t="s">
        <v>72</v>
      </c>
      <c r="J191" s="33" t="s">
        <v>72</v>
      </c>
      <c r="K191" s="33" t="s">
        <v>72</v>
      </c>
      <c r="L191" s="33" t="s">
        <v>72</v>
      </c>
      <c r="M191" s="33" t="s">
        <v>72</v>
      </c>
      <c r="N191" s="148" t="s">
        <v>72</v>
      </c>
      <c r="O191" s="33" t="s">
        <v>72</v>
      </c>
      <c r="P191" s="33" t="s">
        <v>72</v>
      </c>
      <c r="Q191" s="33" t="s">
        <v>72</v>
      </c>
      <c r="R191" s="33" t="s">
        <v>72</v>
      </c>
      <c r="S191" s="33" t="s">
        <v>72</v>
      </c>
      <c r="T191" s="33" t="s">
        <v>72</v>
      </c>
      <c r="U191" s="33" t="s">
        <v>72</v>
      </c>
      <c r="V191" s="33" t="s">
        <v>72</v>
      </c>
      <c r="W191" s="33" t="s">
        <v>72</v>
      </c>
      <c r="X191" s="33" t="s">
        <v>72</v>
      </c>
      <c r="Y191" s="33" t="s">
        <v>72</v>
      </c>
      <c r="Z191" s="33" t="s">
        <v>72</v>
      </c>
      <c r="AA191" s="33" t="s">
        <v>72</v>
      </c>
      <c r="AB191" s="6">
        <v>918</v>
      </c>
      <c r="AC191" s="6"/>
      <c r="AD191" s="35">
        <f t="shared" si="44"/>
        <v>265</v>
      </c>
      <c r="AE191" s="6">
        <v>86</v>
      </c>
      <c r="AF191" s="6">
        <v>1079</v>
      </c>
      <c r="AG191" s="35">
        <f t="shared" si="45"/>
        <v>247</v>
      </c>
      <c r="AH191" s="35">
        <v>336</v>
      </c>
      <c r="AI191" s="35"/>
      <c r="AJ191" s="35">
        <f t="shared" si="46"/>
        <v>250</v>
      </c>
      <c r="AK191" s="6">
        <v>568</v>
      </c>
      <c r="AL191" s="6"/>
      <c r="AM191" s="35">
        <f t="shared" si="47"/>
        <v>232</v>
      </c>
      <c r="AN191" s="6"/>
      <c r="AO191" s="6"/>
      <c r="AP191" s="34"/>
      <c r="AQ191" s="35">
        <v>2</v>
      </c>
      <c r="AR191" s="35">
        <v>815</v>
      </c>
      <c r="AS191" s="35">
        <f t="shared" si="48"/>
        <v>249</v>
      </c>
      <c r="AT191" s="6">
        <v>238</v>
      </c>
      <c r="AU191" s="6"/>
      <c r="AV191" s="35">
        <f t="shared" si="49"/>
        <v>236</v>
      </c>
      <c r="AW191" s="6">
        <v>473</v>
      </c>
      <c r="AX191" s="6"/>
      <c r="AY191" s="35">
        <f t="shared" si="50"/>
        <v>235</v>
      </c>
      <c r="AZ191" s="35">
        <v>705</v>
      </c>
      <c r="BA191" s="35"/>
      <c r="BB191" s="35">
        <f t="shared" si="51"/>
        <v>232</v>
      </c>
      <c r="BC191" s="6">
        <v>204</v>
      </c>
      <c r="BD191" s="6">
        <v>715</v>
      </c>
      <c r="BE191" s="35">
        <f t="shared" si="52"/>
        <v>214</v>
      </c>
      <c r="BF191" s="35">
        <v>418</v>
      </c>
      <c r="BG191" s="6"/>
      <c r="BH191" s="6">
        <f t="shared" si="53"/>
        <v>214</v>
      </c>
      <c r="BI191" s="6"/>
      <c r="BJ191" s="6"/>
      <c r="BK191" s="6"/>
      <c r="BL191" s="6">
        <v>652</v>
      </c>
      <c r="BM191" s="6"/>
      <c r="BN191" s="6">
        <f t="shared" si="54"/>
        <v>234</v>
      </c>
      <c r="BO191" s="6">
        <v>880</v>
      </c>
      <c r="BP191" s="6"/>
      <c r="BQ191" s="35">
        <f t="shared" si="55"/>
        <v>228</v>
      </c>
      <c r="BR191" s="6">
        <v>9</v>
      </c>
      <c r="BS191" s="6">
        <v>1095</v>
      </c>
      <c r="BT191" s="6">
        <f t="shared" si="56"/>
        <v>224</v>
      </c>
      <c r="BU191" s="6">
        <v>239</v>
      </c>
      <c r="BV191" s="6"/>
      <c r="BW191" s="35">
        <f t="shared" si="57"/>
        <v>230</v>
      </c>
      <c r="BX191" s="6">
        <v>475</v>
      </c>
      <c r="BY191" s="6"/>
      <c r="BZ191" s="6">
        <f t="shared" si="58"/>
        <v>236</v>
      </c>
      <c r="CA191" s="6">
        <v>705</v>
      </c>
      <c r="CB191" s="6"/>
      <c r="CC191" s="6">
        <f t="shared" si="59"/>
        <v>230</v>
      </c>
      <c r="CD191" s="6"/>
      <c r="CE191" s="6"/>
      <c r="CF191" s="6"/>
      <c r="CG191" s="6">
        <v>945</v>
      </c>
      <c r="CH191" s="6"/>
      <c r="CI191" s="6">
        <f t="shared" si="60"/>
        <v>240</v>
      </c>
      <c r="CJ191" s="6">
        <v>78</v>
      </c>
      <c r="CK191" s="6">
        <v>1100</v>
      </c>
      <c r="CL191" s="6">
        <f t="shared" si="61"/>
        <v>233</v>
      </c>
      <c r="CM191" s="6">
        <v>314</v>
      </c>
      <c r="CN191" s="6"/>
      <c r="CO191" s="6">
        <f t="shared" si="62"/>
        <v>236</v>
      </c>
      <c r="CP191" s="6">
        <v>553</v>
      </c>
      <c r="CQ191" s="6"/>
      <c r="CR191" s="6">
        <f t="shared" si="63"/>
        <v>239</v>
      </c>
      <c r="CS191" s="6">
        <v>793</v>
      </c>
      <c r="CT191" s="6"/>
      <c r="CU191" s="6">
        <f t="shared" si="64"/>
        <v>240</v>
      </c>
      <c r="CV191" s="6">
        <v>918</v>
      </c>
      <c r="CW191" s="6"/>
      <c r="CX191" s="6">
        <f t="shared" si="65"/>
        <v>125</v>
      </c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</row>
    <row r="192" spans="1:117">
      <c r="A192" s="6">
        <v>188</v>
      </c>
      <c r="B192" s="6">
        <v>679</v>
      </c>
      <c r="C192" s="6"/>
      <c r="D192" s="6">
        <v>225</v>
      </c>
      <c r="E192" s="141" t="s">
        <v>72</v>
      </c>
      <c r="F192" s="141" t="s">
        <v>72</v>
      </c>
      <c r="G192" s="141" t="s">
        <v>72</v>
      </c>
      <c r="H192" s="141" t="s">
        <v>72</v>
      </c>
      <c r="I192" s="141" t="s">
        <v>72</v>
      </c>
      <c r="J192" s="141" t="s">
        <v>72</v>
      </c>
      <c r="K192" s="141" t="s">
        <v>72</v>
      </c>
      <c r="L192" s="141" t="s">
        <v>72</v>
      </c>
      <c r="M192" s="141" t="s">
        <v>72</v>
      </c>
      <c r="N192" s="141" t="s">
        <v>72</v>
      </c>
      <c r="O192" s="163" t="s">
        <v>72</v>
      </c>
      <c r="P192" s="141" t="s">
        <v>72</v>
      </c>
      <c r="Q192" s="141" t="s">
        <v>72</v>
      </c>
      <c r="R192" s="141" t="s">
        <v>72</v>
      </c>
      <c r="S192" s="141" t="s">
        <v>72</v>
      </c>
      <c r="T192" s="141" t="s">
        <v>72</v>
      </c>
      <c r="U192" s="141" t="s">
        <v>72</v>
      </c>
      <c r="V192" s="141" t="s">
        <v>72</v>
      </c>
      <c r="W192" s="141" t="s">
        <v>72</v>
      </c>
      <c r="X192" s="141" t="s">
        <v>72</v>
      </c>
      <c r="Y192" s="141" t="s">
        <v>72</v>
      </c>
      <c r="Z192" s="141" t="s">
        <v>72</v>
      </c>
      <c r="AA192" s="141" t="s">
        <v>72</v>
      </c>
      <c r="AB192" s="6">
        <v>941</v>
      </c>
      <c r="AC192" s="6"/>
      <c r="AD192" s="35">
        <f t="shared" si="44"/>
        <v>262</v>
      </c>
      <c r="AE192" s="6">
        <v>160</v>
      </c>
      <c r="AF192" s="6">
        <v>1026</v>
      </c>
      <c r="AG192" s="35">
        <f t="shared" si="45"/>
        <v>245</v>
      </c>
      <c r="AH192" s="35">
        <v>33</v>
      </c>
      <c r="AI192" s="35">
        <v>375</v>
      </c>
      <c r="AJ192" s="35">
        <f t="shared" si="46"/>
        <v>248</v>
      </c>
      <c r="AK192" s="6">
        <v>1</v>
      </c>
      <c r="AL192" s="6">
        <v>249</v>
      </c>
      <c r="AM192" s="35">
        <f t="shared" si="47"/>
        <v>217</v>
      </c>
      <c r="AN192" s="6"/>
      <c r="AO192" s="6"/>
      <c r="AP192" s="34"/>
      <c r="AQ192" s="35">
        <v>229</v>
      </c>
      <c r="AR192" s="35"/>
      <c r="AS192" s="35">
        <f t="shared" si="48"/>
        <v>228</v>
      </c>
      <c r="AT192" s="6">
        <v>445</v>
      </c>
      <c r="AU192" s="6"/>
      <c r="AV192" s="35">
        <f t="shared" si="49"/>
        <v>216</v>
      </c>
      <c r="AW192" s="6">
        <v>125</v>
      </c>
      <c r="AX192" s="6">
        <v>543</v>
      </c>
      <c r="AY192" s="35">
        <f t="shared" si="50"/>
        <v>223</v>
      </c>
      <c r="AZ192" s="35">
        <v>347</v>
      </c>
      <c r="BA192" s="35"/>
      <c r="BB192" s="35">
        <f t="shared" si="51"/>
        <v>222</v>
      </c>
      <c r="BC192" s="6">
        <v>0</v>
      </c>
      <c r="BD192" s="6">
        <v>447</v>
      </c>
      <c r="BE192" s="35">
        <f t="shared" si="52"/>
        <v>100</v>
      </c>
      <c r="BF192" s="35">
        <v>213</v>
      </c>
      <c r="BG192" s="6"/>
      <c r="BH192" s="6">
        <f t="shared" si="53"/>
        <v>213</v>
      </c>
      <c r="BI192" s="6"/>
      <c r="BJ192" s="6"/>
      <c r="BK192" s="6"/>
      <c r="BL192" s="6">
        <v>451</v>
      </c>
      <c r="BM192" s="6"/>
      <c r="BN192" s="6">
        <f t="shared" si="54"/>
        <v>238</v>
      </c>
      <c r="BO192" s="6">
        <v>57</v>
      </c>
      <c r="BP192" s="6">
        <v>617</v>
      </c>
      <c r="BQ192" s="35">
        <f t="shared" si="55"/>
        <v>223</v>
      </c>
      <c r="BR192" s="6">
        <v>291</v>
      </c>
      <c r="BS192" s="6"/>
      <c r="BT192" s="6">
        <f t="shared" si="56"/>
        <v>234</v>
      </c>
      <c r="BU192" s="6">
        <v>520</v>
      </c>
      <c r="BV192" s="6"/>
      <c r="BW192" s="35">
        <f t="shared" si="57"/>
        <v>229</v>
      </c>
      <c r="BX192" s="6">
        <v>758</v>
      </c>
      <c r="BY192" s="6"/>
      <c r="BZ192" s="6">
        <f t="shared" si="58"/>
        <v>238</v>
      </c>
      <c r="CA192" s="6">
        <v>109</v>
      </c>
      <c r="CB192" s="6">
        <v>874</v>
      </c>
      <c r="CC192" s="6">
        <f t="shared" si="59"/>
        <v>225</v>
      </c>
      <c r="CD192" s="6"/>
      <c r="CE192" s="6"/>
      <c r="CF192" s="6"/>
      <c r="CG192" s="6">
        <v>335</v>
      </c>
      <c r="CH192" s="6"/>
      <c r="CI192" s="6">
        <f t="shared" si="60"/>
        <v>226</v>
      </c>
      <c r="CJ192" s="6">
        <v>565</v>
      </c>
      <c r="CK192" s="6"/>
      <c r="CL192" s="6">
        <f t="shared" si="61"/>
        <v>230</v>
      </c>
      <c r="CM192" s="6">
        <v>123</v>
      </c>
      <c r="CN192" s="6">
        <v>667</v>
      </c>
      <c r="CO192" s="6">
        <f t="shared" si="62"/>
        <v>225</v>
      </c>
      <c r="CP192" s="6">
        <v>347</v>
      </c>
      <c r="CQ192" s="6"/>
      <c r="CR192" s="6">
        <f t="shared" si="63"/>
        <v>224</v>
      </c>
      <c r="CS192" s="6">
        <v>582</v>
      </c>
      <c r="CT192" s="6"/>
      <c r="CU192" s="6">
        <f t="shared" si="64"/>
        <v>235</v>
      </c>
      <c r="CV192" s="6">
        <v>706</v>
      </c>
      <c r="CW192" s="6"/>
      <c r="CX192" s="6">
        <f t="shared" si="65"/>
        <v>124</v>
      </c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</row>
    <row r="193" spans="1:117">
      <c r="A193" s="273">
        <v>189</v>
      </c>
      <c r="B193" s="6">
        <v>290</v>
      </c>
      <c r="C193" s="6"/>
      <c r="D193" s="6">
        <v>229</v>
      </c>
      <c r="E193" s="33" t="s">
        <v>75</v>
      </c>
      <c r="F193" s="33" t="s">
        <v>75</v>
      </c>
      <c r="G193" s="33" t="s">
        <v>75</v>
      </c>
      <c r="H193" s="33" t="s">
        <v>75</v>
      </c>
      <c r="I193" s="33" t="s">
        <v>75</v>
      </c>
      <c r="J193" s="33" t="s">
        <v>75</v>
      </c>
      <c r="K193" s="33" t="s">
        <v>75</v>
      </c>
      <c r="L193" s="33" t="s">
        <v>75</v>
      </c>
      <c r="M193" s="33" t="s">
        <v>75</v>
      </c>
      <c r="N193" s="33" t="s">
        <v>75</v>
      </c>
      <c r="O193" s="33" t="s">
        <v>75</v>
      </c>
      <c r="P193" s="33" t="s">
        <v>75</v>
      </c>
      <c r="Q193" s="33" t="s">
        <v>75</v>
      </c>
      <c r="R193" s="33" t="s">
        <v>75</v>
      </c>
      <c r="S193" s="33" t="s">
        <v>75</v>
      </c>
      <c r="T193" s="148" t="s">
        <v>291</v>
      </c>
      <c r="U193" s="33" t="s">
        <v>291</v>
      </c>
      <c r="V193" s="33" t="s">
        <v>291</v>
      </c>
      <c r="W193" s="33" t="s">
        <v>291</v>
      </c>
      <c r="X193" s="33" t="s">
        <v>291</v>
      </c>
      <c r="Y193" s="33" t="s">
        <v>291</v>
      </c>
      <c r="Z193" s="33" t="s">
        <v>291</v>
      </c>
      <c r="AA193" s="33" t="s">
        <v>291</v>
      </c>
      <c r="AB193" s="6">
        <v>552</v>
      </c>
      <c r="AC193" s="6"/>
      <c r="AD193" s="35">
        <f t="shared" si="44"/>
        <v>262</v>
      </c>
      <c r="AE193" s="6">
        <v>799</v>
      </c>
      <c r="AF193" s="6"/>
      <c r="AG193" s="35">
        <f t="shared" si="45"/>
        <v>247</v>
      </c>
      <c r="AH193" s="35">
        <v>1049</v>
      </c>
      <c r="AI193" s="35"/>
      <c r="AJ193" s="35">
        <f t="shared" si="46"/>
        <v>250</v>
      </c>
      <c r="AK193" s="6">
        <v>175</v>
      </c>
      <c r="AL193" s="6">
        <v>1100</v>
      </c>
      <c r="AM193" s="35">
        <f t="shared" si="47"/>
        <v>226</v>
      </c>
      <c r="AN193" s="6"/>
      <c r="AO193" s="6"/>
      <c r="AP193" s="34"/>
      <c r="AQ193" s="35">
        <v>425</v>
      </c>
      <c r="AR193" s="35"/>
      <c r="AS193" s="35">
        <f t="shared" si="48"/>
        <v>250</v>
      </c>
      <c r="AT193" s="6">
        <v>671</v>
      </c>
      <c r="AU193" s="6"/>
      <c r="AV193" s="35">
        <f t="shared" si="49"/>
        <v>246</v>
      </c>
      <c r="AW193" s="6">
        <v>913</v>
      </c>
      <c r="AX193" s="6"/>
      <c r="AY193" s="35">
        <f t="shared" si="50"/>
        <v>242</v>
      </c>
      <c r="AZ193" s="35">
        <v>56</v>
      </c>
      <c r="BA193" s="35">
        <v>1100</v>
      </c>
      <c r="BB193" s="35">
        <f t="shared" si="51"/>
        <v>243</v>
      </c>
      <c r="BC193" s="6">
        <v>303</v>
      </c>
      <c r="BD193" s="6"/>
      <c r="BE193" s="35">
        <f t="shared" si="52"/>
        <v>247</v>
      </c>
      <c r="BF193" s="35">
        <v>542</v>
      </c>
      <c r="BG193" s="6"/>
      <c r="BH193" s="6">
        <f t="shared" si="53"/>
        <v>239</v>
      </c>
      <c r="BI193" s="6"/>
      <c r="BJ193" s="6"/>
      <c r="BK193" s="6"/>
      <c r="BL193" s="6">
        <v>795</v>
      </c>
      <c r="BM193" s="6"/>
      <c r="BN193" s="6">
        <f t="shared" si="54"/>
        <v>253</v>
      </c>
      <c r="BO193" s="6">
        <v>1031</v>
      </c>
      <c r="BP193" s="6"/>
      <c r="BQ193" s="35">
        <f t="shared" si="55"/>
        <v>236</v>
      </c>
      <c r="BR193" s="6">
        <v>179</v>
      </c>
      <c r="BS193" s="6">
        <v>1100</v>
      </c>
      <c r="BT193" s="6">
        <f t="shared" si="56"/>
        <v>248</v>
      </c>
      <c r="BU193" s="6">
        <v>0</v>
      </c>
      <c r="BV193" s="6">
        <v>394</v>
      </c>
      <c r="BW193" s="35">
        <f t="shared" si="57"/>
        <v>215</v>
      </c>
      <c r="BX193" s="6">
        <v>238</v>
      </c>
      <c r="BY193" s="6"/>
      <c r="BZ193" s="6">
        <f t="shared" si="58"/>
        <v>238</v>
      </c>
      <c r="CA193" s="6">
        <v>479</v>
      </c>
      <c r="CB193" s="6"/>
      <c r="CC193" s="6">
        <f t="shared" si="59"/>
        <v>241</v>
      </c>
      <c r="CD193" s="6"/>
      <c r="CE193" s="6"/>
      <c r="CF193" s="6"/>
      <c r="CG193" s="6">
        <v>737</v>
      </c>
      <c r="CH193" s="6"/>
      <c r="CI193" s="6">
        <f t="shared" si="60"/>
        <v>258</v>
      </c>
      <c r="CJ193" s="6">
        <v>983</v>
      </c>
      <c r="CK193" s="6"/>
      <c r="CL193" s="6">
        <f t="shared" si="61"/>
        <v>246</v>
      </c>
      <c r="CM193" s="6">
        <v>130</v>
      </c>
      <c r="CN193" s="6">
        <v>1100</v>
      </c>
      <c r="CO193" s="6">
        <f t="shared" si="62"/>
        <v>247</v>
      </c>
      <c r="CP193" s="6">
        <v>382</v>
      </c>
      <c r="CQ193" s="6"/>
      <c r="CR193" s="6">
        <f t="shared" si="63"/>
        <v>252</v>
      </c>
      <c r="CS193" s="6">
        <v>97</v>
      </c>
      <c r="CT193" s="6">
        <v>537</v>
      </c>
      <c r="CU193" s="6">
        <f t="shared" si="64"/>
        <v>252</v>
      </c>
      <c r="CV193" s="6">
        <v>232</v>
      </c>
      <c r="CW193" s="6"/>
      <c r="CX193" s="6">
        <f t="shared" si="65"/>
        <v>135</v>
      </c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</row>
    <row r="194" spans="1:117">
      <c r="A194" s="273">
        <v>190</v>
      </c>
      <c r="B194" s="6">
        <v>0</v>
      </c>
      <c r="C194" s="6">
        <v>268</v>
      </c>
      <c r="D194" s="6">
        <v>208</v>
      </c>
      <c r="E194" s="33" t="s">
        <v>72</v>
      </c>
      <c r="F194" s="148" t="s">
        <v>72</v>
      </c>
      <c r="G194" s="33" t="s">
        <v>72</v>
      </c>
      <c r="H194" s="33" t="s">
        <v>72</v>
      </c>
      <c r="I194" s="33" t="s">
        <v>72</v>
      </c>
      <c r="J194" s="33" t="s">
        <v>72</v>
      </c>
      <c r="K194" s="33" t="s">
        <v>72</v>
      </c>
      <c r="L194" s="33" t="s">
        <v>72</v>
      </c>
      <c r="M194" s="33" t="s">
        <v>72</v>
      </c>
      <c r="N194" s="33" t="s">
        <v>72</v>
      </c>
      <c r="O194" s="33" t="s">
        <v>72</v>
      </c>
      <c r="P194" s="33" t="s">
        <v>72</v>
      </c>
      <c r="Q194" s="33" t="s">
        <v>72</v>
      </c>
      <c r="R194" s="33" t="s">
        <v>72</v>
      </c>
      <c r="S194" s="33" t="s">
        <v>72</v>
      </c>
      <c r="T194" s="33" t="s">
        <v>72</v>
      </c>
      <c r="U194" s="33" t="s">
        <v>72</v>
      </c>
      <c r="V194" s="33" t="s">
        <v>72</v>
      </c>
      <c r="W194" s="33" t="s">
        <v>72</v>
      </c>
      <c r="X194" s="33" t="s">
        <v>72</v>
      </c>
      <c r="Y194" s="33" t="s">
        <v>72</v>
      </c>
      <c r="Z194" s="33" t="s">
        <v>72</v>
      </c>
      <c r="AA194" s="148" t="s">
        <v>291</v>
      </c>
      <c r="AB194" s="6">
        <v>246</v>
      </c>
      <c r="AC194" s="6"/>
      <c r="AD194" s="35">
        <f t="shared" si="44"/>
        <v>246</v>
      </c>
      <c r="AE194" s="6">
        <v>493</v>
      </c>
      <c r="AF194" s="6"/>
      <c r="AG194" s="35">
        <f t="shared" si="45"/>
        <v>247</v>
      </c>
      <c r="AH194" s="35">
        <v>743</v>
      </c>
      <c r="AI194" s="35"/>
      <c r="AJ194" s="35">
        <f t="shared" si="46"/>
        <v>250</v>
      </c>
      <c r="AK194" s="6">
        <v>979</v>
      </c>
      <c r="AL194" s="6"/>
      <c r="AM194" s="35">
        <f t="shared" si="47"/>
        <v>236</v>
      </c>
      <c r="AN194" s="6"/>
      <c r="AO194" s="6"/>
      <c r="AP194" s="34"/>
      <c r="AQ194" s="35">
        <v>176</v>
      </c>
      <c r="AR194" s="35">
        <v>1054</v>
      </c>
      <c r="AS194" s="35">
        <f t="shared" si="48"/>
        <v>251</v>
      </c>
      <c r="AT194" s="6">
        <v>413</v>
      </c>
      <c r="AU194" s="6"/>
      <c r="AV194" s="35">
        <f t="shared" si="49"/>
        <v>237</v>
      </c>
      <c r="AW194" s="6">
        <v>650</v>
      </c>
      <c r="AX194" s="6"/>
      <c r="AY194" s="35">
        <f t="shared" si="50"/>
        <v>237</v>
      </c>
      <c r="AZ194" s="35">
        <v>116</v>
      </c>
      <c r="BA194" s="35">
        <v>768</v>
      </c>
      <c r="BB194" s="35">
        <f t="shared" si="51"/>
        <v>234</v>
      </c>
      <c r="BC194" s="35">
        <v>342</v>
      </c>
      <c r="BD194" s="6"/>
      <c r="BE194" s="35">
        <f t="shared" si="52"/>
        <v>226</v>
      </c>
      <c r="BF194" s="35">
        <v>565</v>
      </c>
      <c r="BG194" s="6"/>
      <c r="BH194" s="6">
        <f t="shared" si="53"/>
        <v>223</v>
      </c>
      <c r="BI194" s="6"/>
      <c r="BJ194" s="6"/>
      <c r="BK194" s="6"/>
      <c r="BL194" s="6">
        <v>798</v>
      </c>
      <c r="BM194" s="6"/>
      <c r="BN194" s="6">
        <f t="shared" si="54"/>
        <v>233</v>
      </c>
      <c r="BO194" s="6">
        <v>114</v>
      </c>
      <c r="BP194" s="6">
        <v>907</v>
      </c>
      <c r="BQ194" s="35">
        <f t="shared" si="55"/>
        <v>223</v>
      </c>
      <c r="BR194" s="6">
        <v>336</v>
      </c>
      <c r="BS194" s="6"/>
      <c r="BT194" s="6">
        <f t="shared" si="56"/>
        <v>222</v>
      </c>
      <c r="BU194" s="35">
        <v>565</v>
      </c>
      <c r="BV194" s="6"/>
      <c r="BW194" s="35">
        <f t="shared" si="57"/>
        <v>229</v>
      </c>
      <c r="BX194" s="6">
        <v>57</v>
      </c>
      <c r="BY194" s="6">
        <v>737</v>
      </c>
      <c r="BZ194" s="6">
        <f t="shared" si="58"/>
        <v>229</v>
      </c>
      <c r="CA194" s="6">
        <v>277</v>
      </c>
      <c r="CB194" s="6"/>
      <c r="CC194" s="6">
        <f t="shared" si="59"/>
        <v>220</v>
      </c>
      <c r="CD194" s="6"/>
      <c r="CE194" s="6"/>
      <c r="CF194" s="6"/>
      <c r="CG194" s="6">
        <v>513</v>
      </c>
      <c r="CH194" s="6"/>
      <c r="CI194" s="6">
        <f t="shared" si="60"/>
        <v>236</v>
      </c>
      <c r="CJ194" s="6">
        <v>743</v>
      </c>
      <c r="CK194" s="6"/>
      <c r="CL194" s="6">
        <f t="shared" si="61"/>
        <v>230</v>
      </c>
      <c r="CM194" s="6">
        <v>973</v>
      </c>
      <c r="CN194" s="6"/>
      <c r="CO194" s="6">
        <f t="shared" si="62"/>
        <v>230</v>
      </c>
      <c r="CP194" s="6">
        <v>1206</v>
      </c>
      <c r="CQ194" s="6"/>
      <c r="CR194" s="6">
        <f t="shared" si="63"/>
        <v>233</v>
      </c>
      <c r="CS194" s="6">
        <v>0</v>
      </c>
      <c r="CT194" s="6">
        <v>1303</v>
      </c>
      <c r="CU194" s="6">
        <f t="shared" si="64"/>
        <v>97</v>
      </c>
      <c r="CV194" s="6">
        <v>96</v>
      </c>
      <c r="CW194" s="6"/>
      <c r="CX194" s="6">
        <f t="shared" si="65"/>
        <v>96</v>
      </c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</row>
    <row r="195" spans="1:117">
      <c r="A195" s="273">
        <v>191</v>
      </c>
      <c r="B195" s="6">
        <v>392</v>
      </c>
      <c r="C195" s="6"/>
      <c r="D195" s="6">
        <v>214</v>
      </c>
      <c r="E195" s="33" t="s">
        <v>72</v>
      </c>
      <c r="F195" s="33" t="s">
        <v>72</v>
      </c>
      <c r="G195" s="33" t="s">
        <v>72</v>
      </c>
      <c r="H195" s="33" t="s">
        <v>72</v>
      </c>
      <c r="I195" s="33" t="s">
        <v>72</v>
      </c>
      <c r="J195" s="33" t="s">
        <v>72</v>
      </c>
      <c r="K195" s="33" t="s">
        <v>72</v>
      </c>
      <c r="L195" s="33" t="s">
        <v>72</v>
      </c>
      <c r="M195" s="33" t="s">
        <v>72</v>
      </c>
      <c r="N195" s="33" t="s">
        <v>72</v>
      </c>
      <c r="O195" s="33" t="s">
        <v>72</v>
      </c>
      <c r="P195" s="33" t="s">
        <v>72</v>
      </c>
      <c r="Q195" s="33" t="s">
        <v>72</v>
      </c>
      <c r="R195" s="33" t="s">
        <v>72</v>
      </c>
      <c r="S195" s="33" t="s">
        <v>72</v>
      </c>
      <c r="T195" s="33" t="s">
        <v>72</v>
      </c>
      <c r="U195" s="33" t="s">
        <v>72</v>
      </c>
      <c r="V195" s="33" t="s">
        <v>72</v>
      </c>
      <c r="W195" s="33" t="s">
        <v>72</v>
      </c>
      <c r="X195" s="33" t="s">
        <v>72</v>
      </c>
      <c r="Y195" s="148" t="s">
        <v>291</v>
      </c>
      <c r="Z195" s="33" t="s">
        <v>291</v>
      </c>
      <c r="AA195" s="33" t="s">
        <v>291</v>
      </c>
      <c r="AB195" s="35">
        <v>27</v>
      </c>
      <c r="AC195" s="35">
        <v>610</v>
      </c>
      <c r="AD195" s="35">
        <f t="shared" si="44"/>
        <v>245</v>
      </c>
      <c r="AE195" s="35">
        <v>254</v>
      </c>
      <c r="AF195" s="35"/>
      <c r="AG195" s="35">
        <f t="shared" si="45"/>
        <v>227</v>
      </c>
      <c r="AH195" s="35">
        <v>489</v>
      </c>
      <c r="AI195" s="35"/>
      <c r="AJ195" s="35">
        <f t="shared" si="46"/>
        <v>235</v>
      </c>
      <c r="AK195" s="6">
        <v>707</v>
      </c>
      <c r="AL195" s="6"/>
      <c r="AM195" s="35">
        <f t="shared" si="47"/>
        <v>218</v>
      </c>
      <c r="AN195" s="6"/>
      <c r="AO195" s="6"/>
      <c r="AP195" s="34"/>
      <c r="AQ195" s="35">
        <v>63</v>
      </c>
      <c r="AR195" s="35">
        <v>876</v>
      </c>
      <c r="AS195" s="35">
        <f t="shared" si="48"/>
        <v>232</v>
      </c>
      <c r="AT195" s="6">
        <v>285</v>
      </c>
      <c r="AU195" s="6"/>
      <c r="AV195" s="35">
        <f t="shared" si="49"/>
        <v>222</v>
      </c>
      <c r="AW195" s="6">
        <v>499</v>
      </c>
      <c r="AX195" s="6"/>
      <c r="AY195" s="35">
        <f t="shared" si="50"/>
        <v>214</v>
      </c>
      <c r="AZ195" s="35">
        <v>716</v>
      </c>
      <c r="BA195" s="35"/>
      <c r="BB195" s="35">
        <f t="shared" si="51"/>
        <v>217</v>
      </c>
      <c r="BC195" s="6">
        <v>209</v>
      </c>
      <c r="BD195" s="6">
        <v>718</v>
      </c>
      <c r="BE195" s="35">
        <f t="shared" si="52"/>
        <v>211</v>
      </c>
      <c r="BF195" s="35">
        <v>429</v>
      </c>
      <c r="BG195" s="6"/>
      <c r="BH195" s="6">
        <f t="shared" si="53"/>
        <v>220</v>
      </c>
      <c r="BI195" s="6"/>
      <c r="BJ195" s="6"/>
      <c r="BK195" s="6"/>
      <c r="BL195" s="6">
        <v>26</v>
      </c>
      <c r="BM195" s="6">
        <v>628</v>
      </c>
      <c r="BN195" s="6">
        <f t="shared" si="54"/>
        <v>225</v>
      </c>
      <c r="BO195" s="6">
        <v>244</v>
      </c>
      <c r="BP195" s="6"/>
      <c r="BQ195" s="35">
        <f t="shared" si="55"/>
        <v>218</v>
      </c>
      <c r="BR195" s="6">
        <v>466</v>
      </c>
      <c r="BS195" s="6"/>
      <c r="BT195" s="6">
        <f t="shared" si="56"/>
        <v>222</v>
      </c>
      <c r="BU195" s="35">
        <v>118</v>
      </c>
      <c r="BV195" s="6">
        <v>569</v>
      </c>
      <c r="BW195" s="35">
        <f t="shared" si="57"/>
        <v>221</v>
      </c>
      <c r="BX195" s="6">
        <v>330</v>
      </c>
      <c r="BY195" s="6"/>
      <c r="BZ195" s="6">
        <f t="shared" si="58"/>
        <v>212</v>
      </c>
      <c r="CA195" s="6">
        <v>544</v>
      </c>
      <c r="CB195" s="6"/>
      <c r="CC195" s="6">
        <f t="shared" si="59"/>
        <v>214</v>
      </c>
      <c r="CD195" s="6"/>
      <c r="CE195" s="6"/>
      <c r="CF195" s="6"/>
      <c r="CG195" s="6">
        <v>770</v>
      </c>
      <c r="CH195" s="6"/>
      <c r="CI195" s="6">
        <f t="shared" si="60"/>
        <v>226</v>
      </c>
      <c r="CJ195" s="6">
        <v>993</v>
      </c>
      <c r="CK195" s="6"/>
      <c r="CL195" s="6">
        <f t="shared" si="61"/>
        <v>223</v>
      </c>
      <c r="CM195" s="6">
        <v>0</v>
      </c>
      <c r="CN195" s="6">
        <v>1090</v>
      </c>
      <c r="CO195" s="6">
        <f t="shared" si="62"/>
        <v>97</v>
      </c>
      <c r="CP195" s="6">
        <v>201</v>
      </c>
      <c r="CQ195" s="6"/>
      <c r="CR195" s="6">
        <f t="shared" si="63"/>
        <v>201</v>
      </c>
      <c r="CS195" s="6">
        <v>434</v>
      </c>
      <c r="CT195" s="6"/>
      <c r="CU195" s="6">
        <f t="shared" si="64"/>
        <v>233</v>
      </c>
      <c r="CV195" s="6">
        <v>557</v>
      </c>
      <c r="CW195" s="6"/>
      <c r="CX195" s="6">
        <f t="shared" si="65"/>
        <v>123</v>
      </c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</row>
    <row r="196" spans="1:117">
      <c r="A196" s="274">
        <v>192</v>
      </c>
      <c r="B196" s="6">
        <v>985</v>
      </c>
      <c r="C196" s="6"/>
      <c r="D196" s="6">
        <v>221</v>
      </c>
      <c r="E196" s="33" t="s">
        <v>72</v>
      </c>
      <c r="F196" s="33" t="s">
        <v>72</v>
      </c>
      <c r="G196" s="33" t="s">
        <v>72</v>
      </c>
      <c r="H196" s="33" t="s">
        <v>72</v>
      </c>
      <c r="I196" s="33" t="s">
        <v>72</v>
      </c>
      <c r="J196" s="33" t="s">
        <v>72</v>
      </c>
      <c r="K196" s="33" t="s">
        <v>72</v>
      </c>
      <c r="L196" s="33" t="s">
        <v>72</v>
      </c>
      <c r="M196" s="33" t="s">
        <v>72</v>
      </c>
      <c r="N196" s="33" t="s">
        <v>72</v>
      </c>
      <c r="O196" s="33" t="s">
        <v>72</v>
      </c>
      <c r="P196" s="33" t="s">
        <v>72</v>
      </c>
      <c r="Q196" s="33" t="s">
        <v>72</v>
      </c>
      <c r="R196" s="33" t="s">
        <v>72</v>
      </c>
      <c r="S196" s="148" t="s">
        <v>72</v>
      </c>
      <c r="T196" s="33" t="s">
        <v>72</v>
      </c>
      <c r="U196" s="33" t="s">
        <v>72</v>
      </c>
      <c r="V196" s="33" t="s">
        <v>72</v>
      </c>
      <c r="W196" s="33" t="s">
        <v>72</v>
      </c>
      <c r="X196" s="33" t="s">
        <v>72</v>
      </c>
      <c r="Y196" s="33" t="s">
        <v>72</v>
      </c>
      <c r="Z196" s="33" t="s">
        <v>72</v>
      </c>
      <c r="AA196" s="33" t="s">
        <v>72</v>
      </c>
      <c r="AB196" s="6">
        <v>138</v>
      </c>
      <c r="AC196" s="6">
        <v>1100</v>
      </c>
      <c r="AD196" s="35">
        <f t="shared" si="44"/>
        <v>253</v>
      </c>
      <c r="AE196" s="6">
        <v>373</v>
      </c>
      <c r="AF196" s="6"/>
      <c r="AG196" s="35">
        <f t="shared" si="45"/>
        <v>235</v>
      </c>
      <c r="AH196" s="35">
        <v>613</v>
      </c>
      <c r="AI196" s="35"/>
      <c r="AJ196" s="35">
        <f t="shared" si="46"/>
        <v>240</v>
      </c>
      <c r="AK196" s="6">
        <v>849</v>
      </c>
      <c r="AL196" s="6"/>
      <c r="AM196" s="35">
        <f t="shared" si="47"/>
        <v>236</v>
      </c>
      <c r="AN196" s="6"/>
      <c r="AO196" s="6"/>
      <c r="AP196" s="34"/>
      <c r="AQ196" s="35">
        <v>1094</v>
      </c>
      <c r="AR196" s="35"/>
      <c r="AS196" s="35">
        <f t="shared" si="48"/>
        <v>245</v>
      </c>
      <c r="AT196" s="6">
        <v>226</v>
      </c>
      <c r="AU196" s="6">
        <v>1100</v>
      </c>
      <c r="AV196" s="35">
        <f t="shared" si="49"/>
        <v>232</v>
      </c>
      <c r="AW196" s="6">
        <v>456</v>
      </c>
      <c r="AX196" s="6"/>
      <c r="AY196" s="35">
        <f t="shared" si="50"/>
        <v>230</v>
      </c>
      <c r="AZ196" s="35">
        <v>687</v>
      </c>
      <c r="BA196" s="35"/>
      <c r="BB196" s="35">
        <f t="shared" si="51"/>
        <v>231</v>
      </c>
      <c r="BC196" s="6">
        <v>918</v>
      </c>
      <c r="BD196" s="6"/>
      <c r="BE196" s="35">
        <f t="shared" si="52"/>
        <v>231</v>
      </c>
      <c r="BF196" s="35">
        <v>40</v>
      </c>
      <c r="BG196" s="6">
        <v>1100</v>
      </c>
      <c r="BH196" s="6">
        <f t="shared" si="53"/>
        <v>222</v>
      </c>
      <c r="BI196" s="6"/>
      <c r="BJ196" s="6"/>
      <c r="BK196" s="6"/>
      <c r="BL196" s="6">
        <v>273</v>
      </c>
      <c r="BM196" s="6"/>
      <c r="BN196" s="6">
        <f t="shared" si="54"/>
        <v>233</v>
      </c>
      <c r="BO196" s="6">
        <v>499</v>
      </c>
      <c r="BP196" s="6"/>
      <c r="BQ196" s="35">
        <f t="shared" si="55"/>
        <v>226</v>
      </c>
      <c r="BR196" s="6">
        <v>0</v>
      </c>
      <c r="BS196" s="6">
        <v>644</v>
      </c>
      <c r="BT196" s="6">
        <f t="shared" si="56"/>
        <v>145</v>
      </c>
      <c r="BU196" s="35">
        <v>221</v>
      </c>
      <c r="BV196" s="6"/>
      <c r="BW196" s="35">
        <f t="shared" si="57"/>
        <v>221</v>
      </c>
      <c r="BX196" s="6">
        <v>450</v>
      </c>
      <c r="BY196" s="6"/>
      <c r="BZ196" s="6">
        <f t="shared" si="58"/>
        <v>229</v>
      </c>
      <c r="CA196" s="6">
        <v>672</v>
      </c>
      <c r="CB196" s="6"/>
      <c r="CC196" s="6">
        <f t="shared" si="59"/>
        <v>222</v>
      </c>
      <c r="CD196" s="6"/>
      <c r="CE196" s="6"/>
      <c r="CF196" s="6"/>
      <c r="CG196" s="6">
        <v>205</v>
      </c>
      <c r="CH196" s="6">
        <v>704</v>
      </c>
      <c r="CI196" s="6">
        <f t="shared" si="60"/>
        <v>237</v>
      </c>
      <c r="CJ196" s="6">
        <v>429</v>
      </c>
      <c r="CK196" s="6"/>
      <c r="CL196" s="6">
        <f t="shared" si="61"/>
        <v>224</v>
      </c>
      <c r="CM196" s="6">
        <v>663</v>
      </c>
      <c r="CN196" s="6"/>
      <c r="CO196" s="6">
        <f t="shared" si="62"/>
        <v>234</v>
      </c>
      <c r="CP196" s="6">
        <v>898</v>
      </c>
      <c r="CQ196" s="6"/>
      <c r="CR196" s="6">
        <f t="shared" si="63"/>
        <v>235</v>
      </c>
      <c r="CS196" s="6">
        <v>27</v>
      </c>
      <c r="CT196" s="6">
        <v>1100</v>
      </c>
      <c r="CU196" s="6">
        <f t="shared" si="64"/>
        <v>229</v>
      </c>
      <c r="CV196" s="6">
        <v>149</v>
      </c>
      <c r="CW196" s="6"/>
      <c r="CX196" s="6">
        <f t="shared" si="65"/>
        <v>122</v>
      </c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</row>
    <row r="197" spans="1:117">
      <c r="A197" s="274">
        <v>193</v>
      </c>
      <c r="B197" s="6">
        <v>143</v>
      </c>
      <c r="C197" s="6">
        <v>1100</v>
      </c>
      <c r="D197" s="6">
        <v>224</v>
      </c>
      <c r="E197" s="33" t="s">
        <v>72</v>
      </c>
      <c r="F197" s="33" t="s">
        <v>72</v>
      </c>
      <c r="G197" s="33" t="s">
        <v>72</v>
      </c>
      <c r="H197" s="33" t="s">
        <v>72</v>
      </c>
      <c r="I197" s="33" t="s">
        <v>72</v>
      </c>
      <c r="J197" s="33" t="s">
        <v>72</v>
      </c>
      <c r="K197" s="33" t="s">
        <v>72</v>
      </c>
      <c r="L197" s="33" t="s">
        <v>72</v>
      </c>
      <c r="M197" s="33" t="s">
        <v>72</v>
      </c>
      <c r="N197" s="33" t="s">
        <v>72</v>
      </c>
      <c r="O197" s="33" t="s">
        <v>72</v>
      </c>
      <c r="P197" s="148" t="s">
        <v>72</v>
      </c>
      <c r="Q197" s="33" t="s">
        <v>72</v>
      </c>
      <c r="R197" s="33" t="s">
        <v>72</v>
      </c>
      <c r="S197" s="33" t="s">
        <v>72</v>
      </c>
      <c r="T197" s="33" t="s">
        <v>72</v>
      </c>
      <c r="U197" s="33" t="s">
        <v>72</v>
      </c>
      <c r="V197" s="33" t="s">
        <v>72</v>
      </c>
      <c r="W197" s="33" t="s">
        <v>72</v>
      </c>
      <c r="X197" s="33" t="s">
        <v>72</v>
      </c>
      <c r="Y197" s="33" t="s">
        <v>72</v>
      </c>
      <c r="Z197" s="33" t="s">
        <v>72</v>
      </c>
      <c r="AA197" s="33" t="s">
        <v>72</v>
      </c>
      <c r="AB197" s="6">
        <v>408</v>
      </c>
      <c r="AC197" s="6"/>
      <c r="AD197" s="35">
        <f t="shared" si="44"/>
        <v>265</v>
      </c>
      <c r="AE197" s="6">
        <v>658</v>
      </c>
      <c r="AF197" s="6"/>
      <c r="AG197" s="35">
        <f t="shared" si="45"/>
        <v>250</v>
      </c>
      <c r="AH197" s="35">
        <v>908</v>
      </c>
      <c r="AI197" s="35"/>
      <c r="AJ197" s="35">
        <f t="shared" si="46"/>
        <v>250</v>
      </c>
      <c r="AK197" s="6">
        <v>42</v>
      </c>
      <c r="AL197" s="6">
        <v>1100</v>
      </c>
      <c r="AM197" s="35">
        <f t="shared" si="47"/>
        <v>234</v>
      </c>
      <c r="AN197" s="6"/>
      <c r="AO197" s="6"/>
      <c r="AP197" s="34"/>
      <c r="AQ197" s="35">
        <v>293</v>
      </c>
      <c r="AR197" s="35"/>
      <c r="AS197" s="35">
        <f t="shared" si="48"/>
        <v>251</v>
      </c>
      <c r="AT197" s="6">
        <v>532</v>
      </c>
      <c r="AU197" s="6"/>
      <c r="AV197" s="35">
        <f t="shared" si="49"/>
        <v>239</v>
      </c>
      <c r="AW197" s="6">
        <v>766</v>
      </c>
      <c r="AX197" s="6"/>
      <c r="AY197" s="35">
        <f t="shared" si="50"/>
        <v>234</v>
      </c>
      <c r="AZ197" s="35">
        <v>1006</v>
      </c>
      <c r="BA197" s="35"/>
      <c r="BB197" s="35">
        <f t="shared" si="51"/>
        <v>240</v>
      </c>
      <c r="BC197" s="6">
        <v>144</v>
      </c>
      <c r="BD197" s="6">
        <v>1100</v>
      </c>
      <c r="BE197" s="35">
        <f t="shared" si="52"/>
        <v>238</v>
      </c>
      <c r="BF197" s="35">
        <v>372</v>
      </c>
      <c r="BG197" s="6"/>
      <c r="BH197" s="6">
        <f t="shared" si="53"/>
        <v>228</v>
      </c>
      <c r="BI197" s="6"/>
      <c r="BJ197" s="6"/>
      <c r="BK197" s="6"/>
      <c r="BL197" s="6">
        <v>161</v>
      </c>
      <c r="BM197" s="6">
        <v>436</v>
      </c>
      <c r="BN197" s="6">
        <f t="shared" si="54"/>
        <v>225</v>
      </c>
      <c r="BO197" s="6">
        <v>392</v>
      </c>
      <c r="BP197" s="6"/>
      <c r="BQ197" s="35">
        <f t="shared" si="55"/>
        <v>231</v>
      </c>
      <c r="BR197" s="6">
        <v>627</v>
      </c>
      <c r="BS197" s="6"/>
      <c r="BT197" s="6">
        <f t="shared" si="56"/>
        <v>235</v>
      </c>
      <c r="BU197" s="35">
        <v>857</v>
      </c>
      <c r="BV197" s="6"/>
      <c r="BW197" s="35">
        <f t="shared" si="57"/>
        <v>230</v>
      </c>
      <c r="BX197" s="6">
        <v>1093</v>
      </c>
      <c r="BY197" s="6"/>
      <c r="BZ197" s="6">
        <f t="shared" si="58"/>
        <v>236</v>
      </c>
      <c r="CA197" s="6">
        <v>219</v>
      </c>
      <c r="CB197" s="6">
        <v>1100</v>
      </c>
      <c r="CC197" s="6">
        <f t="shared" si="59"/>
        <v>226</v>
      </c>
      <c r="CD197" s="6"/>
      <c r="CE197" s="6"/>
      <c r="CF197" s="6"/>
      <c r="CG197" s="6">
        <v>460</v>
      </c>
      <c r="CH197" s="6"/>
      <c r="CI197" s="6">
        <f t="shared" si="60"/>
        <v>241</v>
      </c>
      <c r="CJ197" s="6">
        <v>699</v>
      </c>
      <c r="CK197" s="6"/>
      <c r="CL197" s="6">
        <f t="shared" si="61"/>
        <v>239</v>
      </c>
      <c r="CM197" s="6">
        <v>930</v>
      </c>
      <c r="CN197" s="6"/>
      <c r="CO197" s="6">
        <f t="shared" si="62"/>
        <v>231</v>
      </c>
      <c r="CP197" s="6">
        <v>69</v>
      </c>
      <c r="CQ197" s="6">
        <v>1100</v>
      </c>
      <c r="CR197" s="6">
        <f t="shared" si="63"/>
        <v>239</v>
      </c>
      <c r="CS197" s="6">
        <v>305</v>
      </c>
      <c r="CT197" s="6"/>
      <c r="CU197" s="6">
        <f t="shared" si="64"/>
        <v>236</v>
      </c>
      <c r="CV197" s="6">
        <v>431</v>
      </c>
      <c r="CW197" s="6"/>
      <c r="CX197" s="6">
        <f t="shared" si="65"/>
        <v>126</v>
      </c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</row>
    <row r="198" spans="1:117">
      <c r="A198" s="274">
        <v>194</v>
      </c>
      <c r="B198" s="6">
        <v>467</v>
      </c>
      <c r="C198" s="6"/>
      <c r="D198" s="6">
        <v>227</v>
      </c>
      <c r="E198" s="33" t="s">
        <v>72</v>
      </c>
      <c r="F198" s="33" t="s">
        <v>72</v>
      </c>
      <c r="G198" s="33" t="s">
        <v>72</v>
      </c>
      <c r="H198" s="33" t="s">
        <v>72</v>
      </c>
      <c r="I198" s="33" t="s">
        <v>72</v>
      </c>
      <c r="J198" s="33" t="s">
        <v>72</v>
      </c>
      <c r="K198" s="33" t="s">
        <v>72</v>
      </c>
      <c r="L198" s="33" t="s">
        <v>72</v>
      </c>
      <c r="M198" s="33" t="s">
        <v>72</v>
      </c>
      <c r="N198" s="33" t="s">
        <v>72</v>
      </c>
      <c r="O198" s="33" t="s">
        <v>72</v>
      </c>
      <c r="P198" s="33" t="s">
        <v>72</v>
      </c>
      <c r="Q198" s="33" t="s">
        <v>72</v>
      </c>
      <c r="R198" s="33" t="s">
        <v>72</v>
      </c>
      <c r="S198" s="33" t="s">
        <v>72</v>
      </c>
      <c r="T198" s="33" t="s">
        <v>72</v>
      </c>
      <c r="U198" s="33" t="s">
        <v>72</v>
      </c>
      <c r="V198" s="33" t="s">
        <v>72</v>
      </c>
      <c r="W198" s="33" t="s">
        <v>72</v>
      </c>
      <c r="X198" s="148" t="s">
        <v>72</v>
      </c>
      <c r="Y198" s="33" t="s">
        <v>72</v>
      </c>
      <c r="Z198" s="33" t="s">
        <v>72</v>
      </c>
      <c r="AA198" s="33" t="s">
        <v>72</v>
      </c>
      <c r="AB198" s="6">
        <v>86</v>
      </c>
      <c r="AC198" s="6">
        <v>626</v>
      </c>
      <c r="AD198" s="35">
        <f t="shared" ref="AD198:AD256" si="66">AC198+AB198-B198</f>
        <v>245</v>
      </c>
      <c r="AE198" s="6">
        <v>329</v>
      </c>
      <c r="AF198" s="6"/>
      <c r="AG198" s="35">
        <f t="shared" ref="AG198:AG256" si="67">AF198+AE198-AB198</f>
        <v>243</v>
      </c>
      <c r="AH198" s="35">
        <v>29</v>
      </c>
      <c r="AI198" s="35">
        <v>540</v>
      </c>
      <c r="AJ198" s="35">
        <f t="shared" ref="AJ198:AJ256" si="68">AI198+AH198-AE198</f>
        <v>240</v>
      </c>
      <c r="AK198" s="6">
        <v>248</v>
      </c>
      <c r="AL198" s="6"/>
      <c r="AM198" s="35">
        <f t="shared" ref="AM198:AM256" si="69">AL198+AK198-AH198</f>
        <v>219</v>
      </c>
      <c r="AN198" s="6"/>
      <c r="AO198" s="6"/>
      <c r="AP198" s="34"/>
      <c r="AQ198" s="35">
        <v>498</v>
      </c>
      <c r="AR198" s="35"/>
      <c r="AS198" s="35">
        <f t="shared" ref="AS198:AS256" si="70">AR198+AQ198-AK198</f>
        <v>250</v>
      </c>
      <c r="AT198" s="6">
        <v>729</v>
      </c>
      <c r="AU198" s="6"/>
      <c r="AV198" s="35">
        <f t="shared" ref="AV198:AV256" si="71">AU198+AT198-AQ198</f>
        <v>231</v>
      </c>
      <c r="AW198" s="6">
        <v>967</v>
      </c>
      <c r="AX198" s="6"/>
      <c r="AY198" s="35">
        <f t="shared" ref="AY198:AY256" si="72">AX198+AW198-AT198</f>
        <v>238</v>
      </c>
      <c r="AZ198" s="35">
        <v>105</v>
      </c>
      <c r="BA198" s="35">
        <v>1100</v>
      </c>
      <c r="BB198" s="35">
        <f t="shared" ref="BB198:BB256" si="73">BA198+AZ198-AW198</f>
        <v>238</v>
      </c>
      <c r="BC198" s="6">
        <v>342</v>
      </c>
      <c r="BD198" s="6"/>
      <c r="BE198" s="35">
        <f t="shared" ref="BE198:BE256" si="74">BD198+BC198-AZ198</f>
        <v>237</v>
      </c>
      <c r="BF198" s="35">
        <v>569</v>
      </c>
      <c r="BG198" s="6"/>
      <c r="BH198" s="6">
        <f t="shared" ref="BH198:BH256" si="75">BG198+BF198-BC198</f>
        <v>227</v>
      </c>
      <c r="BI198" s="6"/>
      <c r="BJ198" s="6"/>
      <c r="BK198" s="6"/>
      <c r="BL198" s="6">
        <v>805</v>
      </c>
      <c r="BM198" s="35"/>
      <c r="BN198" s="6">
        <f t="shared" ref="BN198:BN256" si="76">BM198+BL198-BF198</f>
        <v>236</v>
      </c>
      <c r="BO198" s="6">
        <v>1034</v>
      </c>
      <c r="BP198" s="6"/>
      <c r="BQ198" s="35">
        <f t="shared" ref="BQ198:BQ256" si="77">BP198+BO198-BL198</f>
        <v>229</v>
      </c>
      <c r="BR198" s="6">
        <v>167</v>
      </c>
      <c r="BS198" s="6">
        <v>1100</v>
      </c>
      <c r="BT198" s="6">
        <f t="shared" ref="BT198:BT256" si="78">BS198+BR198-BO198</f>
        <v>233</v>
      </c>
      <c r="BU198" s="35">
        <v>400</v>
      </c>
      <c r="BV198" s="6"/>
      <c r="BW198" s="35">
        <f t="shared" ref="BW198:BW256" si="79">BV198+BU198-BR198</f>
        <v>233</v>
      </c>
      <c r="BX198" s="6">
        <v>638</v>
      </c>
      <c r="BY198" s="6"/>
      <c r="BZ198" s="6">
        <f t="shared" ref="BZ198:BZ256" si="80">BY198+BX198-BU198</f>
        <v>238</v>
      </c>
      <c r="CA198" s="6">
        <v>865</v>
      </c>
      <c r="CB198" s="6"/>
      <c r="CC198" s="6">
        <f t="shared" ref="CC198:CC256" si="81">CB198+CA198-BX198</f>
        <v>227</v>
      </c>
      <c r="CD198" s="6"/>
      <c r="CE198" s="6"/>
      <c r="CF198" s="6"/>
      <c r="CG198" s="6">
        <v>16</v>
      </c>
      <c r="CH198" s="6">
        <v>1091</v>
      </c>
      <c r="CI198" s="6">
        <f t="shared" ref="CI198:CI256" si="82">CH198+CG198-CA198</f>
        <v>242</v>
      </c>
      <c r="CJ198" s="6">
        <v>256</v>
      </c>
      <c r="CK198" s="6"/>
      <c r="CL198" s="6">
        <f t="shared" ref="CL198:CL256" si="83">CK198+CJ198-CG198</f>
        <v>240</v>
      </c>
      <c r="CM198" s="6">
        <v>175</v>
      </c>
      <c r="CN198" s="6">
        <v>302</v>
      </c>
      <c r="CO198" s="6">
        <f t="shared" ref="CO198:CO256" si="84">CN198+CM198-CJ198</f>
        <v>221</v>
      </c>
      <c r="CP198" s="6">
        <v>409</v>
      </c>
      <c r="CQ198" s="6"/>
      <c r="CR198" s="6">
        <f t="shared" ref="CR198:CR256" si="85">CQ198+CP198-CM198</f>
        <v>234</v>
      </c>
      <c r="CS198" s="6">
        <v>648</v>
      </c>
      <c r="CT198" s="6"/>
      <c r="CU198" s="6">
        <f t="shared" ref="CU198:CU256" si="86">CT198+CS198-CP198</f>
        <v>239</v>
      </c>
      <c r="CV198" s="6">
        <v>774</v>
      </c>
      <c r="CW198" s="6"/>
      <c r="CX198" s="6">
        <f t="shared" ref="CX198:CX256" si="87">CW198+CV198-CS198</f>
        <v>126</v>
      </c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</row>
    <row r="199" spans="1:117">
      <c r="A199" s="274">
        <v>195</v>
      </c>
      <c r="B199" s="6">
        <v>461</v>
      </c>
      <c r="C199" s="6"/>
      <c r="D199" s="6">
        <v>229</v>
      </c>
      <c r="E199" s="33" t="s">
        <v>72</v>
      </c>
      <c r="F199" s="33" t="s">
        <v>72</v>
      </c>
      <c r="G199" s="33" t="s">
        <v>72</v>
      </c>
      <c r="H199" s="33" t="s">
        <v>72</v>
      </c>
      <c r="I199" s="33" t="s">
        <v>72</v>
      </c>
      <c r="J199" s="33" t="s">
        <v>72</v>
      </c>
      <c r="K199" s="33" t="s">
        <v>72</v>
      </c>
      <c r="L199" s="33" t="s">
        <v>72</v>
      </c>
      <c r="M199" s="33" t="s">
        <v>72</v>
      </c>
      <c r="N199" s="33" t="s">
        <v>72</v>
      </c>
      <c r="O199" s="33" t="s">
        <v>72</v>
      </c>
      <c r="P199" s="33" t="s">
        <v>72</v>
      </c>
      <c r="Q199" s="33" t="s">
        <v>72</v>
      </c>
      <c r="R199" s="33" t="s">
        <v>72</v>
      </c>
      <c r="S199" s="33" t="s">
        <v>72</v>
      </c>
      <c r="T199" s="33" t="s">
        <v>72</v>
      </c>
      <c r="U199" s="33" t="s">
        <v>72</v>
      </c>
      <c r="V199" s="33" t="s">
        <v>72</v>
      </c>
      <c r="W199" s="33" t="s">
        <v>72</v>
      </c>
      <c r="X199" s="33" t="s">
        <v>72</v>
      </c>
      <c r="Y199" s="148" t="s">
        <v>72</v>
      </c>
      <c r="Z199" s="33" t="s">
        <v>72</v>
      </c>
      <c r="AA199" s="33" t="s">
        <v>72</v>
      </c>
      <c r="AB199" s="35">
        <v>720</v>
      </c>
      <c r="AC199" s="35"/>
      <c r="AD199" s="35">
        <f t="shared" si="66"/>
        <v>259</v>
      </c>
      <c r="AE199" s="35">
        <v>964</v>
      </c>
      <c r="AF199" s="35"/>
      <c r="AG199" s="35">
        <f t="shared" si="67"/>
        <v>244</v>
      </c>
      <c r="AH199" s="35">
        <v>102</v>
      </c>
      <c r="AI199" s="35">
        <v>1100</v>
      </c>
      <c r="AJ199" s="35">
        <f t="shared" si="68"/>
        <v>238</v>
      </c>
      <c r="AK199" s="35">
        <v>324</v>
      </c>
      <c r="AL199" s="35"/>
      <c r="AM199" s="35">
        <f t="shared" si="69"/>
        <v>222</v>
      </c>
      <c r="AN199" s="35"/>
      <c r="AO199" s="35"/>
      <c r="AP199" s="34"/>
      <c r="AQ199" s="35">
        <v>557</v>
      </c>
      <c r="AR199" s="35"/>
      <c r="AS199" s="35">
        <f t="shared" si="70"/>
        <v>233</v>
      </c>
      <c r="AT199" s="6">
        <v>788</v>
      </c>
      <c r="AU199" s="6"/>
      <c r="AV199" s="35">
        <f t="shared" si="71"/>
        <v>231</v>
      </c>
      <c r="AW199" s="6">
        <v>1034</v>
      </c>
      <c r="AX199" s="6"/>
      <c r="AY199" s="35">
        <f t="shared" si="72"/>
        <v>246</v>
      </c>
      <c r="AZ199" s="6">
        <v>160</v>
      </c>
      <c r="BA199" s="6">
        <v>1100</v>
      </c>
      <c r="BB199" s="35">
        <f t="shared" si="73"/>
        <v>226</v>
      </c>
      <c r="BC199" s="6">
        <v>391</v>
      </c>
      <c r="BD199" s="6"/>
      <c r="BE199" s="35">
        <f t="shared" si="74"/>
        <v>231</v>
      </c>
      <c r="BF199" s="35">
        <v>611</v>
      </c>
      <c r="BG199" s="6"/>
      <c r="BH199" s="6">
        <f t="shared" si="75"/>
        <v>220</v>
      </c>
      <c r="BI199" s="6"/>
      <c r="BJ199" s="35"/>
      <c r="BK199" s="6"/>
      <c r="BL199" s="6">
        <v>831</v>
      </c>
      <c r="BM199" s="35"/>
      <c r="BN199" s="6">
        <f t="shared" si="76"/>
        <v>220</v>
      </c>
      <c r="BO199" s="6">
        <v>1055</v>
      </c>
      <c r="BP199" s="6"/>
      <c r="BQ199" s="35">
        <f t="shared" si="77"/>
        <v>224</v>
      </c>
      <c r="BR199" s="35">
        <v>225</v>
      </c>
      <c r="BS199" s="6">
        <v>1059</v>
      </c>
      <c r="BT199" s="6">
        <f t="shared" si="78"/>
        <v>229</v>
      </c>
      <c r="BU199" s="35">
        <v>447</v>
      </c>
      <c r="BV199" s="6"/>
      <c r="BW199" s="35">
        <f t="shared" si="79"/>
        <v>222</v>
      </c>
      <c r="BX199" s="6">
        <v>678</v>
      </c>
      <c r="BY199" s="35"/>
      <c r="BZ199" s="6">
        <f t="shared" si="80"/>
        <v>231</v>
      </c>
      <c r="CA199" s="6">
        <v>885</v>
      </c>
      <c r="CB199" s="6"/>
      <c r="CC199" s="6">
        <f t="shared" si="81"/>
        <v>207</v>
      </c>
      <c r="CD199" s="6"/>
      <c r="CE199" s="35"/>
      <c r="CF199" s="6"/>
      <c r="CG199" s="6">
        <v>213</v>
      </c>
      <c r="CH199" s="6">
        <v>901</v>
      </c>
      <c r="CI199" s="6">
        <f t="shared" si="82"/>
        <v>229</v>
      </c>
      <c r="CJ199" s="6">
        <v>443</v>
      </c>
      <c r="CK199" s="6"/>
      <c r="CL199" s="6">
        <f t="shared" si="83"/>
        <v>230</v>
      </c>
      <c r="CM199" s="6">
        <v>0</v>
      </c>
      <c r="CN199" s="6">
        <v>610</v>
      </c>
      <c r="CO199" s="6">
        <f t="shared" si="84"/>
        <v>167</v>
      </c>
      <c r="CP199" s="6">
        <v>218</v>
      </c>
      <c r="CQ199" s="35"/>
      <c r="CR199" s="6">
        <f t="shared" si="85"/>
        <v>218</v>
      </c>
      <c r="CS199" s="6">
        <v>458</v>
      </c>
      <c r="CT199" s="6"/>
      <c r="CU199" s="6">
        <f t="shared" si="86"/>
        <v>240</v>
      </c>
      <c r="CV199" s="6">
        <v>585</v>
      </c>
      <c r="CW199" s="6"/>
      <c r="CX199" s="6">
        <f t="shared" si="87"/>
        <v>127</v>
      </c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</row>
    <row r="200" spans="1:117">
      <c r="A200" s="6">
        <v>196</v>
      </c>
      <c r="B200" s="6">
        <v>77</v>
      </c>
      <c r="C200" s="6">
        <v>203</v>
      </c>
      <c r="D200" s="6">
        <v>187</v>
      </c>
      <c r="E200" s="33" t="s">
        <v>72</v>
      </c>
      <c r="F200" s="33" t="s">
        <v>72</v>
      </c>
      <c r="G200" s="148" t="s">
        <v>72</v>
      </c>
      <c r="H200" s="33" t="s">
        <v>72</v>
      </c>
      <c r="I200" s="33" t="s">
        <v>72</v>
      </c>
      <c r="J200" s="33" t="s">
        <v>72</v>
      </c>
      <c r="K200" s="33" t="s">
        <v>72</v>
      </c>
      <c r="L200" s="33" t="s">
        <v>72</v>
      </c>
      <c r="M200" s="33" t="s">
        <v>72</v>
      </c>
      <c r="N200" s="33" t="s">
        <v>72</v>
      </c>
      <c r="O200" s="33" t="s">
        <v>72</v>
      </c>
      <c r="P200" s="33" t="s">
        <v>72</v>
      </c>
      <c r="Q200" s="33" t="s">
        <v>72</v>
      </c>
      <c r="R200" s="33" t="s">
        <v>72</v>
      </c>
      <c r="S200" s="33" t="s">
        <v>72</v>
      </c>
      <c r="T200" s="33" t="s">
        <v>72</v>
      </c>
      <c r="U200" s="33" t="s">
        <v>72</v>
      </c>
      <c r="V200" s="33" t="s">
        <v>72</v>
      </c>
      <c r="W200" s="33" t="s">
        <v>72</v>
      </c>
      <c r="X200" s="33" t="s">
        <v>72</v>
      </c>
      <c r="Y200" s="33" t="s">
        <v>72</v>
      </c>
      <c r="Z200" s="33" t="s">
        <v>72</v>
      </c>
      <c r="AA200" s="33" t="s">
        <v>72</v>
      </c>
      <c r="AB200" s="6">
        <v>0</v>
      </c>
      <c r="AC200" s="6">
        <v>333</v>
      </c>
      <c r="AD200" s="35">
        <f t="shared" si="66"/>
        <v>256</v>
      </c>
      <c r="AE200" s="6">
        <v>16</v>
      </c>
      <c r="AF200" s="6">
        <v>188</v>
      </c>
      <c r="AG200" s="35">
        <f t="shared" si="67"/>
        <v>204</v>
      </c>
      <c r="AH200" s="35">
        <v>258</v>
      </c>
      <c r="AI200" s="35"/>
      <c r="AJ200" s="35">
        <f t="shared" si="68"/>
        <v>242</v>
      </c>
      <c r="AK200" s="6">
        <v>494</v>
      </c>
      <c r="AL200" s="6"/>
      <c r="AM200" s="35">
        <f t="shared" si="69"/>
        <v>236</v>
      </c>
      <c r="AN200" s="35"/>
      <c r="AO200" s="6"/>
      <c r="AP200" s="34"/>
      <c r="AQ200" s="35">
        <v>742</v>
      </c>
      <c r="AR200" s="35"/>
      <c r="AS200" s="35">
        <f t="shared" si="70"/>
        <v>248</v>
      </c>
      <c r="AT200" s="6">
        <v>43</v>
      </c>
      <c r="AU200" s="6">
        <v>931</v>
      </c>
      <c r="AV200" s="35">
        <f t="shared" si="71"/>
        <v>232</v>
      </c>
      <c r="AW200" s="6">
        <v>277</v>
      </c>
      <c r="AX200" s="6"/>
      <c r="AY200" s="35">
        <f t="shared" si="72"/>
        <v>234</v>
      </c>
      <c r="AZ200" s="35">
        <v>65</v>
      </c>
      <c r="BA200" s="35">
        <v>428</v>
      </c>
      <c r="BB200" s="35">
        <f t="shared" si="73"/>
        <v>216</v>
      </c>
      <c r="BC200" s="6">
        <v>298</v>
      </c>
      <c r="BD200" s="6"/>
      <c r="BE200" s="35">
        <f t="shared" si="74"/>
        <v>233</v>
      </c>
      <c r="BF200" s="35">
        <v>518</v>
      </c>
      <c r="BG200" s="6"/>
      <c r="BH200" s="6">
        <f t="shared" si="75"/>
        <v>220</v>
      </c>
      <c r="BI200" s="6"/>
      <c r="BJ200" s="6"/>
      <c r="BK200" s="6"/>
      <c r="BL200" s="6">
        <v>750</v>
      </c>
      <c r="BM200" s="35"/>
      <c r="BN200" s="6">
        <f t="shared" si="76"/>
        <v>232</v>
      </c>
      <c r="BO200" s="6">
        <v>973</v>
      </c>
      <c r="BP200" s="6"/>
      <c r="BQ200" s="35">
        <f t="shared" si="77"/>
        <v>223</v>
      </c>
      <c r="BR200" s="35">
        <v>219</v>
      </c>
      <c r="BS200" s="6">
        <v>976</v>
      </c>
      <c r="BT200" s="6">
        <f t="shared" si="78"/>
        <v>222</v>
      </c>
      <c r="BU200" s="35">
        <v>78</v>
      </c>
      <c r="BV200" s="6">
        <v>360</v>
      </c>
      <c r="BW200" s="35">
        <f t="shared" si="79"/>
        <v>219</v>
      </c>
      <c r="BX200" s="6">
        <v>310</v>
      </c>
      <c r="BY200" s="6"/>
      <c r="BZ200" s="6">
        <f t="shared" si="80"/>
        <v>232</v>
      </c>
      <c r="CA200" s="6">
        <v>534</v>
      </c>
      <c r="CB200" s="6"/>
      <c r="CC200" s="6">
        <f t="shared" si="81"/>
        <v>224</v>
      </c>
      <c r="CD200" s="6"/>
      <c r="CE200" s="6"/>
      <c r="CF200" s="6"/>
      <c r="CG200" s="6">
        <v>771</v>
      </c>
      <c r="CH200" s="6"/>
      <c r="CI200" s="6">
        <f t="shared" si="82"/>
        <v>237</v>
      </c>
      <c r="CJ200" s="6">
        <v>1006</v>
      </c>
      <c r="CK200" s="6"/>
      <c r="CL200" s="6">
        <f t="shared" si="83"/>
        <v>235</v>
      </c>
      <c r="CM200" s="6">
        <v>4</v>
      </c>
      <c r="CN200" s="6">
        <f>1100+101</f>
        <v>1201</v>
      </c>
      <c r="CO200" s="6">
        <f t="shared" si="84"/>
        <v>199</v>
      </c>
      <c r="CP200" s="6">
        <v>233</v>
      </c>
      <c r="CQ200" s="6"/>
      <c r="CR200" s="6">
        <f t="shared" si="85"/>
        <v>229</v>
      </c>
      <c r="CS200" s="6">
        <v>467</v>
      </c>
      <c r="CT200" s="6"/>
      <c r="CU200" s="6">
        <f t="shared" si="86"/>
        <v>234</v>
      </c>
      <c r="CV200" s="6">
        <v>567</v>
      </c>
      <c r="CW200" s="6"/>
      <c r="CX200" s="6">
        <f t="shared" si="87"/>
        <v>100</v>
      </c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</row>
    <row r="201" spans="1:117">
      <c r="A201" s="274">
        <v>197</v>
      </c>
      <c r="B201" s="6">
        <v>1062</v>
      </c>
      <c r="C201" s="10"/>
      <c r="D201" s="6">
        <v>228</v>
      </c>
      <c r="E201" s="33" t="s">
        <v>72</v>
      </c>
      <c r="F201" s="33" t="s">
        <v>72</v>
      </c>
      <c r="G201" s="33" t="s">
        <v>72</v>
      </c>
      <c r="H201" s="33" t="s">
        <v>72</v>
      </c>
      <c r="I201" s="33" t="s">
        <v>72</v>
      </c>
      <c r="J201" s="33" t="s">
        <v>72</v>
      </c>
      <c r="K201" s="33" t="s">
        <v>72</v>
      </c>
      <c r="L201" s="33" t="s">
        <v>72</v>
      </c>
      <c r="M201" s="33" t="s">
        <v>72</v>
      </c>
      <c r="N201" s="33" t="s">
        <v>72</v>
      </c>
      <c r="O201" s="33" t="s">
        <v>72</v>
      </c>
      <c r="P201" s="33" t="s">
        <v>72</v>
      </c>
      <c r="Q201" s="33" t="s">
        <v>72</v>
      </c>
      <c r="R201" s="33" t="s">
        <v>72</v>
      </c>
      <c r="S201" s="148" t="s">
        <v>72</v>
      </c>
      <c r="T201" s="33" t="s">
        <v>72</v>
      </c>
      <c r="U201" s="33" t="s">
        <v>72</v>
      </c>
      <c r="V201" s="33" t="s">
        <v>72</v>
      </c>
      <c r="W201" s="33" t="s">
        <v>72</v>
      </c>
      <c r="X201" s="33" t="s">
        <v>72</v>
      </c>
      <c r="Y201" s="33" t="s">
        <v>72</v>
      </c>
      <c r="Z201" s="33" t="s">
        <v>72</v>
      </c>
      <c r="AA201" s="33" t="s">
        <v>72</v>
      </c>
      <c r="AB201" s="6">
        <v>224</v>
      </c>
      <c r="AC201" s="6">
        <v>1100</v>
      </c>
      <c r="AD201" s="35">
        <f t="shared" si="66"/>
        <v>262</v>
      </c>
      <c r="AE201" s="6">
        <v>468</v>
      </c>
      <c r="AF201" s="6"/>
      <c r="AG201" s="35">
        <f t="shared" si="67"/>
        <v>244</v>
      </c>
      <c r="AH201" s="35">
        <v>717</v>
      </c>
      <c r="AI201" s="35"/>
      <c r="AJ201" s="35">
        <f t="shared" si="68"/>
        <v>249</v>
      </c>
      <c r="AK201" s="6">
        <v>944</v>
      </c>
      <c r="AL201" s="6"/>
      <c r="AM201" s="35">
        <f t="shared" si="69"/>
        <v>227</v>
      </c>
      <c r="AN201" s="6"/>
      <c r="AO201" s="6"/>
      <c r="AP201" s="34"/>
      <c r="AQ201" s="35">
        <v>91</v>
      </c>
      <c r="AR201" s="35">
        <v>1100</v>
      </c>
      <c r="AS201" s="35">
        <f t="shared" si="70"/>
        <v>247</v>
      </c>
      <c r="AT201" s="6">
        <v>329</v>
      </c>
      <c r="AU201" s="6"/>
      <c r="AV201" s="35">
        <f t="shared" si="71"/>
        <v>238</v>
      </c>
      <c r="AW201" s="6">
        <v>566</v>
      </c>
      <c r="AX201" s="6"/>
      <c r="AY201" s="35">
        <f t="shared" si="72"/>
        <v>237</v>
      </c>
      <c r="AZ201" s="35">
        <v>786</v>
      </c>
      <c r="BA201" s="35"/>
      <c r="BB201" s="35">
        <f t="shared" si="73"/>
        <v>220</v>
      </c>
      <c r="BC201" s="6">
        <v>1023</v>
      </c>
      <c r="BD201" s="6"/>
      <c r="BE201" s="35">
        <f t="shared" si="74"/>
        <v>237</v>
      </c>
      <c r="BF201" s="35">
        <v>145</v>
      </c>
      <c r="BG201" s="6">
        <v>1100</v>
      </c>
      <c r="BH201" s="6">
        <f t="shared" si="75"/>
        <v>222</v>
      </c>
      <c r="BI201" s="6"/>
      <c r="BJ201" s="6"/>
      <c r="BK201" s="6"/>
      <c r="BL201" s="6">
        <v>377</v>
      </c>
      <c r="BM201" s="35"/>
      <c r="BN201" s="6">
        <f t="shared" si="76"/>
        <v>232</v>
      </c>
      <c r="BO201" s="6">
        <v>5</v>
      </c>
      <c r="BP201" s="6">
        <v>596</v>
      </c>
      <c r="BQ201" s="35">
        <f t="shared" si="77"/>
        <v>224</v>
      </c>
      <c r="BR201" s="35">
        <v>235</v>
      </c>
      <c r="BS201" s="6"/>
      <c r="BT201" s="6">
        <f t="shared" si="78"/>
        <v>230</v>
      </c>
      <c r="BU201" s="35">
        <v>155</v>
      </c>
      <c r="BV201" s="6">
        <v>291</v>
      </c>
      <c r="BW201" s="35">
        <f t="shared" si="79"/>
        <v>211</v>
      </c>
      <c r="BX201" s="6">
        <v>382</v>
      </c>
      <c r="BY201" s="6"/>
      <c r="BZ201" s="6">
        <f t="shared" si="80"/>
        <v>227</v>
      </c>
      <c r="CA201" s="6">
        <v>606</v>
      </c>
      <c r="CB201" s="6"/>
      <c r="CC201" s="6">
        <f t="shared" si="81"/>
        <v>224</v>
      </c>
      <c r="CD201" s="6"/>
      <c r="CE201" s="6"/>
      <c r="CF201" s="6"/>
      <c r="CG201" s="6">
        <v>130</v>
      </c>
      <c r="CH201" s="6">
        <v>713</v>
      </c>
      <c r="CI201" s="6">
        <f t="shared" si="82"/>
        <v>237</v>
      </c>
      <c r="CJ201" s="6">
        <v>364</v>
      </c>
      <c r="CK201" s="6"/>
      <c r="CL201" s="6">
        <f t="shared" si="83"/>
        <v>234</v>
      </c>
      <c r="CM201" s="6">
        <v>111</v>
      </c>
      <c r="CN201" s="6">
        <v>462</v>
      </c>
      <c r="CO201" s="6">
        <f t="shared" si="84"/>
        <v>209</v>
      </c>
      <c r="CP201" s="6">
        <v>343</v>
      </c>
      <c r="CQ201" s="6"/>
      <c r="CR201" s="6">
        <f t="shared" si="85"/>
        <v>232</v>
      </c>
      <c r="CS201" s="6">
        <v>577</v>
      </c>
      <c r="CT201" s="6"/>
      <c r="CU201" s="6">
        <f t="shared" si="86"/>
        <v>234</v>
      </c>
      <c r="CV201" s="6">
        <v>702</v>
      </c>
      <c r="CW201" s="6"/>
      <c r="CX201" s="6">
        <f t="shared" si="87"/>
        <v>125</v>
      </c>
      <c r="CY201" s="6"/>
      <c r="CZ201" s="6"/>
      <c r="DA201" s="6"/>
      <c r="DB201" s="6"/>
      <c r="DC201" s="6"/>
      <c r="DD201" s="6"/>
      <c r="DE201" s="6"/>
      <c r="DF201" s="10"/>
      <c r="DG201" s="6"/>
      <c r="DH201" s="6"/>
      <c r="DI201" s="10"/>
      <c r="DJ201" s="6"/>
      <c r="DK201" s="6"/>
      <c r="DL201" s="10"/>
      <c r="DM201" s="6"/>
    </row>
    <row r="202" spans="1:117">
      <c r="A202" s="6">
        <v>198</v>
      </c>
      <c r="B202" s="6">
        <v>1020</v>
      </c>
      <c r="C202" s="10"/>
      <c r="D202" s="6">
        <v>230</v>
      </c>
      <c r="E202" s="33" t="s">
        <v>72</v>
      </c>
      <c r="F202" s="33" t="s">
        <v>72</v>
      </c>
      <c r="G202" s="33" t="s">
        <v>72</v>
      </c>
      <c r="H202" s="33" t="s">
        <v>72</v>
      </c>
      <c r="I202" s="33" t="s">
        <v>72</v>
      </c>
      <c r="J202" s="33" t="s">
        <v>72</v>
      </c>
      <c r="K202" s="33" t="s">
        <v>72</v>
      </c>
      <c r="L202" s="33" t="s">
        <v>72</v>
      </c>
      <c r="M202" s="148" t="s">
        <v>72</v>
      </c>
      <c r="N202" s="33" t="s">
        <v>72</v>
      </c>
      <c r="O202" s="33" t="s">
        <v>72</v>
      </c>
      <c r="P202" s="33" t="s">
        <v>72</v>
      </c>
      <c r="Q202" s="33" t="s">
        <v>72</v>
      </c>
      <c r="R202" s="33" t="s">
        <v>72</v>
      </c>
      <c r="S202" s="33" t="s">
        <v>72</v>
      </c>
      <c r="T202" s="33" t="s">
        <v>72</v>
      </c>
      <c r="U202" s="33" t="s">
        <v>72</v>
      </c>
      <c r="V202" s="33" t="s">
        <v>72</v>
      </c>
      <c r="W202" s="33" t="s">
        <v>72</v>
      </c>
      <c r="X202" s="33" t="s">
        <v>72</v>
      </c>
      <c r="Y202" s="33" t="s">
        <v>72</v>
      </c>
      <c r="Z202" s="33" t="s">
        <v>72</v>
      </c>
      <c r="AA202" s="33" t="s">
        <v>72</v>
      </c>
      <c r="AB202" s="6">
        <v>183</v>
      </c>
      <c r="AC202" s="6">
        <v>1100</v>
      </c>
      <c r="AD202" s="35">
        <f t="shared" si="66"/>
        <v>263</v>
      </c>
      <c r="AE202" s="6">
        <v>432</v>
      </c>
      <c r="AF202" s="6"/>
      <c r="AG202" s="35">
        <f t="shared" si="67"/>
        <v>249</v>
      </c>
      <c r="AH202" s="35">
        <v>683</v>
      </c>
      <c r="AI202" s="35"/>
      <c r="AJ202" s="35">
        <f t="shared" si="68"/>
        <v>251</v>
      </c>
      <c r="AK202" s="6">
        <v>918</v>
      </c>
      <c r="AL202" s="6"/>
      <c r="AM202" s="35">
        <f t="shared" si="69"/>
        <v>235</v>
      </c>
      <c r="AN202" s="6"/>
      <c r="AO202" s="6"/>
      <c r="AP202" s="34"/>
      <c r="AQ202" s="35">
        <v>68</v>
      </c>
      <c r="AR202" s="35">
        <v>1100</v>
      </c>
      <c r="AS202" s="35">
        <f t="shared" si="70"/>
        <v>250</v>
      </c>
      <c r="AT202" s="6">
        <v>304</v>
      </c>
      <c r="AU202" s="6"/>
      <c r="AV202" s="35">
        <f t="shared" si="71"/>
        <v>236</v>
      </c>
      <c r="AW202" s="6">
        <v>530</v>
      </c>
      <c r="AX202" s="6"/>
      <c r="AY202" s="35">
        <f t="shared" si="72"/>
        <v>226</v>
      </c>
      <c r="AZ202" s="35">
        <v>201</v>
      </c>
      <c r="BA202" s="35">
        <v>548</v>
      </c>
      <c r="BB202" s="35">
        <f t="shared" si="73"/>
        <v>219</v>
      </c>
      <c r="BC202" s="6">
        <v>434</v>
      </c>
      <c r="BD202" s="6"/>
      <c r="BE202" s="35">
        <f t="shared" si="74"/>
        <v>233</v>
      </c>
      <c r="BF202" s="35">
        <v>110</v>
      </c>
      <c r="BG202" s="6">
        <v>470</v>
      </c>
      <c r="BH202" s="6">
        <f t="shared" si="75"/>
        <v>146</v>
      </c>
      <c r="BI202" s="6"/>
      <c r="BJ202" s="6"/>
      <c r="BK202" s="6"/>
      <c r="BL202" s="6">
        <v>54</v>
      </c>
      <c r="BM202" s="35">
        <v>284</v>
      </c>
      <c r="BN202" s="6">
        <f t="shared" si="76"/>
        <v>228</v>
      </c>
      <c r="BO202" s="6">
        <v>277</v>
      </c>
      <c r="BP202" s="6"/>
      <c r="BQ202" s="35">
        <f t="shared" si="77"/>
        <v>223</v>
      </c>
      <c r="BR202" s="35">
        <v>505</v>
      </c>
      <c r="BS202" s="6"/>
      <c r="BT202" s="6">
        <f t="shared" si="78"/>
        <v>228</v>
      </c>
      <c r="BU202" s="35">
        <v>730</v>
      </c>
      <c r="BV202" s="6"/>
      <c r="BW202" s="35">
        <f t="shared" si="79"/>
        <v>225</v>
      </c>
      <c r="BX202" s="6">
        <v>956</v>
      </c>
      <c r="BY202" s="6"/>
      <c r="BZ202" s="6">
        <f t="shared" si="80"/>
        <v>226</v>
      </c>
      <c r="CA202" s="6">
        <v>11</v>
      </c>
      <c r="CB202" s="6">
        <v>1165</v>
      </c>
      <c r="CC202" s="6">
        <f t="shared" si="81"/>
        <v>220</v>
      </c>
      <c r="CD202" s="6"/>
      <c r="CE202" s="6"/>
      <c r="CF202" s="6"/>
      <c r="CG202" s="6">
        <v>249</v>
      </c>
      <c r="CH202" s="6"/>
      <c r="CI202" s="6">
        <f t="shared" si="82"/>
        <v>238</v>
      </c>
      <c r="CJ202" s="6">
        <v>483</v>
      </c>
      <c r="CK202" s="6"/>
      <c r="CL202" s="6">
        <f t="shared" si="83"/>
        <v>234</v>
      </c>
      <c r="CM202" s="6">
        <v>3</v>
      </c>
      <c r="CN202" s="6">
        <v>713</v>
      </c>
      <c r="CO202" s="6">
        <f t="shared" si="84"/>
        <v>233</v>
      </c>
      <c r="CP202" s="6">
        <v>239</v>
      </c>
      <c r="CQ202" s="6"/>
      <c r="CR202" s="6">
        <f t="shared" si="85"/>
        <v>236</v>
      </c>
      <c r="CS202" s="6">
        <v>475</v>
      </c>
      <c r="CT202" s="6"/>
      <c r="CU202" s="6">
        <f t="shared" si="86"/>
        <v>236</v>
      </c>
      <c r="CV202" s="6">
        <v>599</v>
      </c>
      <c r="CW202" s="6"/>
      <c r="CX202" s="6">
        <f t="shared" si="87"/>
        <v>124</v>
      </c>
      <c r="CY202" s="6"/>
      <c r="CZ202" s="6"/>
      <c r="DA202" s="6"/>
      <c r="DB202" s="6"/>
      <c r="DC202" s="6"/>
      <c r="DD202" s="6"/>
      <c r="DE202" s="6"/>
      <c r="DF202" s="10"/>
      <c r="DG202" s="6"/>
      <c r="DH202" s="6"/>
      <c r="DI202" s="10"/>
      <c r="DJ202" s="6"/>
      <c r="DK202" s="6"/>
      <c r="DL202" s="10"/>
      <c r="DM202" s="6"/>
    </row>
    <row r="203" spans="1:117">
      <c r="A203" s="273">
        <v>199</v>
      </c>
      <c r="B203" s="6">
        <v>499</v>
      </c>
      <c r="C203" s="10"/>
      <c r="D203" s="6">
        <v>232</v>
      </c>
      <c r="E203" s="33" t="s">
        <v>75</v>
      </c>
      <c r="F203" s="33" t="s">
        <v>75</v>
      </c>
      <c r="G203" s="33" t="s">
        <v>75</v>
      </c>
      <c r="H203" s="33" t="s">
        <v>75</v>
      </c>
      <c r="I203" s="33" t="s">
        <v>75</v>
      </c>
      <c r="J203" s="33" t="s">
        <v>75</v>
      </c>
      <c r="K203" s="33" t="s">
        <v>75</v>
      </c>
      <c r="L203" s="33" t="s">
        <v>75</v>
      </c>
      <c r="M203" s="33" t="s">
        <v>75</v>
      </c>
      <c r="N203" s="33" t="s">
        <v>75</v>
      </c>
      <c r="O203" s="148" t="s">
        <v>291</v>
      </c>
      <c r="P203" s="33" t="s">
        <v>291</v>
      </c>
      <c r="Q203" s="33" t="s">
        <v>291</v>
      </c>
      <c r="R203" s="33" t="s">
        <v>291</v>
      </c>
      <c r="S203" s="33" t="s">
        <v>291</v>
      </c>
      <c r="T203" s="33" t="s">
        <v>291</v>
      </c>
      <c r="U203" s="33" t="s">
        <v>291</v>
      </c>
      <c r="V203" s="33" t="s">
        <v>291</v>
      </c>
      <c r="W203" s="33" t="s">
        <v>291</v>
      </c>
      <c r="X203" s="33" t="s">
        <v>291</v>
      </c>
      <c r="Y203" s="33" t="s">
        <v>291</v>
      </c>
      <c r="Z203" s="33" t="s">
        <v>291</v>
      </c>
      <c r="AA203" s="33" t="s">
        <v>291</v>
      </c>
      <c r="AB203" s="6">
        <v>766</v>
      </c>
      <c r="AC203" s="6"/>
      <c r="AD203" s="35">
        <f t="shared" si="66"/>
        <v>267</v>
      </c>
      <c r="AE203" s="6">
        <v>1017</v>
      </c>
      <c r="AF203" s="6"/>
      <c r="AG203" s="35">
        <f t="shared" si="67"/>
        <v>251</v>
      </c>
      <c r="AH203" s="35">
        <v>169</v>
      </c>
      <c r="AI203" s="35">
        <v>1100</v>
      </c>
      <c r="AJ203" s="35">
        <f t="shared" si="68"/>
        <v>252</v>
      </c>
      <c r="AK203" s="6">
        <v>406</v>
      </c>
      <c r="AL203" s="6"/>
      <c r="AM203" s="35">
        <f t="shared" si="69"/>
        <v>237</v>
      </c>
      <c r="AN203" s="6"/>
      <c r="AO203" s="6"/>
      <c r="AP203" s="34"/>
      <c r="AQ203" s="35">
        <v>660</v>
      </c>
      <c r="AR203" s="35"/>
      <c r="AS203" s="35">
        <f t="shared" si="70"/>
        <v>254</v>
      </c>
      <c r="AT203" s="6">
        <v>907</v>
      </c>
      <c r="AU203" s="6"/>
      <c r="AV203" s="35">
        <f t="shared" si="71"/>
        <v>247</v>
      </c>
      <c r="AW203" s="6">
        <v>57</v>
      </c>
      <c r="AX203" s="6">
        <v>1100</v>
      </c>
      <c r="AY203" s="35">
        <f t="shared" si="72"/>
        <v>250</v>
      </c>
      <c r="AZ203" s="35">
        <v>305</v>
      </c>
      <c r="BA203" s="35"/>
      <c r="BB203" s="35">
        <f t="shared" si="73"/>
        <v>248</v>
      </c>
      <c r="BC203" s="6">
        <v>0</v>
      </c>
      <c r="BD203" s="6">
        <v>420</v>
      </c>
      <c r="BE203" s="35">
        <f t="shared" si="74"/>
        <v>115</v>
      </c>
      <c r="BF203" s="35">
        <v>202</v>
      </c>
      <c r="BG203" s="6"/>
      <c r="BH203" s="6">
        <f t="shared" si="75"/>
        <v>202</v>
      </c>
      <c r="BI203" s="6"/>
      <c r="BJ203" s="6"/>
      <c r="BK203" s="6"/>
      <c r="BL203" s="6">
        <v>437</v>
      </c>
      <c r="BM203" s="35"/>
      <c r="BN203" s="6">
        <f t="shared" si="76"/>
        <v>235</v>
      </c>
      <c r="BO203" s="6">
        <v>663</v>
      </c>
      <c r="BP203" s="6"/>
      <c r="BQ203" s="35">
        <f t="shared" si="77"/>
        <v>226</v>
      </c>
      <c r="BR203" s="35">
        <v>15</v>
      </c>
      <c r="BS203" s="6">
        <v>876</v>
      </c>
      <c r="BT203" s="6">
        <f t="shared" si="78"/>
        <v>228</v>
      </c>
      <c r="BU203" s="35">
        <v>245</v>
      </c>
      <c r="BV203" s="6"/>
      <c r="BW203" s="35">
        <f t="shared" si="79"/>
        <v>230</v>
      </c>
      <c r="BX203" s="6">
        <v>477</v>
      </c>
      <c r="BY203" s="6"/>
      <c r="BZ203" s="6">
        <f t="shared" si="80"/>
        <v>232</v>
      </c>
      <c r="CA203" s="6">
        <v>701</v>
      </c>
      <c r="CB203" s="6"/>
      <c r="CC203" s="6">
        <f t="shared" si="81"/>
        <v>224</v>
      </c>
      <c r="CD203" s="6"/>
      <c r="CE203" s="6"/>
      <c r="CF203" s="6"/>
      <c r="CG203" s="6">
        <v>941</v>
      </c>
      <c r="CH203" s="6"/>
      <c r="CI203" s="6">
        <f t="shared" si="82"/>
        <v>240</v>
      </c>
      <c r="CJ203" s="6">
        <v>75</v>
      </c>
      <c r="CK203" s="6">
        <v>1100</v>
      </c>
      <c r="CL203" s="6">
        <f t="shared" si="83"/>
        <v>234</v>
      </c>
      <c r="CM203" s="6">
        <v>308</v>
      </c>
      <c r="CN203" s="6"/>
      <c r="CO203" s="6">
        <f t="shared" si="84"/>
        <v>233</v>
      </c>
      <c r="CP203" s="6">
        <v>534</v>
      </c>
      <c r="CQ203" s="6"/>
      <c r="CR203" s="6">
        <f t="shared" si="85"/>
        <v>226</v>
      </c>
      <c r="CS203" s="6">
        <v>89</v>
      </c>
      <c r="CT203" s="6">
        <v>673</v>
      </c>
      <c r="CU203" s="6">
        <f t="shared" si="86"/>
        <v>228</v>
      </c>
      <c r="CV203" s="6">
        <v>214</v>
      </c>
      <c r="CW203" s="6"/>
      <c r="CX203" s="6">
        <f t="shared" si="87"/>
        <v>125</v>
      </c>
      <c r="CY203" s="6"/>
      <c r="CZ203" s="6"/>
      <c r="DA203" s="6"/>
      <c r="DB203" s="6"/>
      <c r="DC203" s="6"/>
      <c r="DD203" s="6"/>
      <c r="DE203" s="6"/>
      <c r="DF203" s="10"/>
      <c r="DG203" s="6"/>
      <c r="DH203" s="6"/>
      <c r="DI203" s="10"/>
      <c r="DJ203" s="6"/>
      <c r="DK203" s="6"/>
      <c r="DL203" s="10"/>
      <c r="DM203" s="6"/>
    </row>
    <row r="204" spans="1:117">
      <c r="A204" s="274">
        <v>200</v>
      </c>
      <c r="B204" s="6">
        <v>777</v>
      </c>
      <c r="C204" s="10"/>
      <c r="D204" s="6">
        <v>225</v>
      </c>
      <c r="E204" s="33" t="s">
        <v>72</v>
      </c>
      <c r="F204" s="33" t="s">
        <v>72</v>
      </c>
      <c r="G204" s="33" t="s">
        <v>72</v>
      </c>
      <c r="H204" s="33" t="s">
        <v>72</v>
      </c>
      <c r="I204" s="33" t="s">
        <v>72</v>
      </c>
      <c r="J204" s="33" t="s">
        <v>72</v>
      </c>
      <c r="K204" s="33" t="s">
        <v>72</v>
      </c>
      <c r="L204" s="33" t="s">
        <v>72</v>
      </c>
      <c r="M204" s="33" t="s">
        <v>72</v>
      </c>
      <c r="N204" s="33" t="s">
        <v>72</v>
      </c>
      <c r="O204" s="33" t="s">
        <v>72</v>
      </c>
      <c r="P204" s="33" t="s">
        <v>72</v>
      </c>
      <c r="Q204" s="33" t="s">
        <v>72</v>
      </c>
      <c r="R204" s="148" t="s">
        <v>72</v>
      </c>
      <c r="S204" s="33" t="s">
        <v>72</v>
      </c>
      <c r="T204" s="33" t="s">
        <v>72</v>
      </c>
      <c r="U204" s="33" t="s">
        <v>72</v>
      </c>
      <c r="V204" s="33" t="s">
        <v>72</v>
      </c>
      <c r="W204" s="33" t="s">
        <v>72</v>
      </c>
      <c r="X204" s="33" t="s">
        <v>72</v>
      </c>
      <c r="Y204" s="33" t="s">
        <v>72</v>
      </c>
      <c r="Z204" s="33" t="s">
        <v>72</v>
      </c>
      <c r="AA204" s="33" t="s">
        <v>72</v>
      </c>
      <c r="AB204" s="6">
        <v>1037</v>
      </c>
      <c r="AC204" s="6"/>
      <c r="AD204" s="35">
        <f t="shared" si="66"/>
        <v>260</v>
      </c>
      <c r="AE204" s="6">
        <v>171</v>
      </c>
      <c r="AF204" s="6">
        <v>1100</v>
      </c>
      <c r="AG204" s="35">
        <f t="shared" si="67"/>
        <v>234</v>
      </c>
      <c r="AH204" s="35">
        <v>418</v>
      </c>
      <c r="AI204" s="35"/>
      <c r="AJ204" s="35">
        <f t="shared" si="68"/>
        <v>247</v>
      </c>
      <c r="AK204" s="6">
        <v>651</v>
      </c>
      <c r="AL204" s="6"/>
      <c r="AM204" s="35">
        <f t="shared" si="69"/>
        <v>233</v>
      </c>
      <c r="AN204" s="6"/>
      <c r="AO204" s="6"/>
      <c r="AP204" s="34"/>
      <c r="AQ204" s="35">
        <v>897</v>
      </c>
      <c r="AR204" s="35"/>
      <c r="AS204" s="35">
        <f t="shared" si="70"/>
        <v>246</v>
      </c>
      <c r="AT204" s="6">
        <v>35</v>
      </c>
      <c r="AU204" s="6">
        <v>1100</v>
      </c>
      <c r="AV204" s="35">
        <f t="shared" si="71"/>
        <v>238</v>
      </c>
      <c r="AW204" s="6">
        <v>264</v>
      </c>
      <c r="AX204" s="6"/>
      <c r="AY204" s="35">
        <f t="shared" si="72"/>
        <v>229</v>
      </c>
      <c r="AZ204" s="35">
        <v>190</v>
      </c>
      <c r="BA204" s="35">
        <v>309</v>
      </c>
      <c r="BB204" s="35">
        <f t="shared" si="73"/>
        <v>235</v>
      </c>
      <c r="BC204" s="6">
        <v>424</v>
      </c>
      <c r="BD204" s="6"/>
      <c r="BE204" s="35">
        <f t="shared" si="74"/>
        <v>234</v>
      </c>
      <c r="BF204" s="35">
        <v>654</v>
      </c>
      <c r="BG204" s="6"/>
      <c r="BH204" s="6">
        <f t="shared" si="75"/>
        <v>230</v>
      </c>
      <c r="BI204" s="6"/>
      <c r="BJ204" s="6"/>
      <c r="BK204" s="6"/>
      <c r="BL204" s="35">
        <v>885</v>
      </c>
      <c r="BM204" s="35"/>
      <c r="BN204" s="6">
        <f t="shared" si="76"/>
        <v>231</v>
      </c>
      <c r="BO204" s="6">
        <v>1111</v>
      </c>
      <c r="BP204" s="6"/>
      <c r="BQ204" s="35">
        <f t="shared" si="77"/>
        <v>226</v>
      </c>
      <c r="BR204" s="35">
        <v>168</v>
      </c>
      <c r="BS204" s="6">
        <v>1167</v>
      </c>
      <c r="BT204" s="6">
        <f t="shared" si="78"/>
        <v>224</v>
      </c>
      <c r="BU204" s="35">
        <v>406</v>
      </c>
      <c r="BV204" s="6"/>
      <c r="BW204" s="35">
        <f t="shared" si="79"/>
        <v>238</v>
      </c>
      <c r="BX204" s="6">
        <v>644</v>
      </c>
      <c r="BY204" s="6"/>
      <c r="BZ204" s="6">
        <f t="shared" si="80"/>
        <v>238</v>
      </c>
      <c r="CA204" s="6">
        <v>873</v>
      </c>
      <c r="CB204" s="6"/>
      <c r="CC204" s="6">
        <f t="shared" si="81"/>
        <v>229</v>
      </c>
      <c r="CD204" s="6"/>
      <c r="CE204" s="6"/>
      <c r="CF204" s="6"/>
      <c r="CG204" s="6">
        <v>18</v>
      </c>
      <c r="CH204" s="6">
        <v>1100</v>
      </c>
      <c r="CI204" s="6">
        <f t="shared" si="82"/>
        <v>245</v>
      </c>
      <c r="CJ204" s="6">
        <v>260</v>
      </c>
      <c r="CK204" s="6"/>
      <c r="CL204" s="6">
        <f t="shared" si="83"/>
        <v>242</v>
      </c>
      <c r="CM204" s="6">
        <v>498</v>
      </c>
      <c r="CN204" s="6"/>
      <c r="CO204" s="6">
        <f t="shared" si="84"/>
        <v>238</v>
      </c>
      <c r="CP204" s="6">
        <v>735</v>
      </c>
      <c r="CQ204" s="6"/>
      <c r="CR204" s="6">
        <f t="shared" si="85"/>
        <v>237</v>
      </c>
      <c r="CS204" s="6">
        <v>965</v>
      </c>
      <c r="CT204" s="6"/>
      <c r="CU204" s="6">
        <f t="shared" si="86"/>
        <v>230</v>
      </c>
      <c r="CV204" s="6">
        <v>1086</v>
      </c>
      <c r="CW204" s="6"/>
      <c r="CX204" s="6">
        <f t="shared" si="87"/>
        <v>121</v>
      </c>
      <c r="CY204" s="6"/>
      <c r="CZ204" s="6"/>
      <c r="DA204" s="6"/>
      <c r="DB204" s="6"/>
      <c r="DC204" s="6"/>
      <c r="DD204" s="6"/>
      <c r="DE204" s="6"/>
      <c r="DF204" s="10"/>
      <c r="DG204" s="6"/>
      <c r="DH204" s="6"/>
      <c r="DI204" s="10"/>
      <c r="DJ204" s="6"/>
      <c r="DK204" s="6"/>
      <c r="DL204" s="10"/>
      <c r="DM204" s="6"/>
    </row>
    <row r="205" spans="1:117">
      <c r="A205" s="274">
        <v>201</v>
      </c>
      <c r="B205" s="6">
        <v>156</v>
      </c>
      <c r="C205" s="10">
        <v>1059</v>
      </c>
      <c r="D205" s="6">
        <v>192</v>
      </c>
      <c r="E205" s="163" t="s">
        <v>72</v>
      </c>
      <c r="F205" s="141" t="s">
        <v>72</v>
      </c>
      <c r="G205" s="141" t="s">
        <v>72</v>
      </c>
      <c r="H205" s="141" t="s">
        <v>72</v>
      </c>
      <c r="I205" s="141" t="s">
        <v>72</v>
      </c>
      <c r="J205" s="141" t="s">
        <v>72</v>
      </c>
      <c r="K205" s="141" t="s">
        <v>72</v>
      </c>
      <c r="L205" s="141" t="s">
        <v>72</v>
      </c>
      <c r="M205" s="141" t="s">
        <v>72</v>
      </c>
      <c r="N205" s="141" t="s">
        <v>72</v>
      </c>
      <c r="O205" s="141" t="s">
        <v>72</v>
      </c>
      <c r="P205" s="141" t="s">
        <v>72</v>
      </c>
      <c r="Q205" s="141" t="s">
        <v>72</v>
      </c>
      <c r="R205" s="141" t="s">
        <v>72</v>
      </c>
      <c r="S205" s="141" t="s">
        <v>72</v>
      </c>
      <c r="T205" s="141" t="s">
        <v>72</v>
      </c>
      <c r="U205" s="141" t="s">
        <v>72</v>
      </c>
      <c r="V205" s="141" t="s">
        <v>72</v>
      </c>
      <c r="W205" s="141" t="s">
        <v>72</v>
      </c>
      <c r="X205" s="141" t="s">
        <v>72</v>
      </c>
      <c r="Y205" s="141" t="s">
        <v>72</v>
      </c>
      <c r="Z205" s="141" t="s">
        <v>72</v>
      </c>
      <c r="AA205" s="163" t="s">
        <v>72</v>
      </c>
      <c r="AB205" s="6">
        <v>38</v>
      </c>
      <c r="AC205" s="6">
        <v>375</v>
      </c>
      <c r="AD205" s="35">
        <f t="shared" si="66"/>
        <v>257</v>
      </c>
      <c r="AE205" s="6">
        <v>272</v>
      </c>
      <c r="AF205" s="6"/>
      <c r="AG205" s="35">
        <f t="shared" si="67"/>
        <v>234</v>
      </c>
      <c r="AH205" s="35">
        <v>518</v>
      </c>
      <c r="AI205" s="35"/>
      <c r="AJ205" s="35">
        <f t="shared" si="68"/>
        <v>246</v>
      </c>
      <c r="AK205" s="6">
        <v>89</v>
      </c>
      <c r="AL205" s="6">
        <v>656</v>
      </c>
      <c r="AM205" s="35">
        <f t="shared" si="69"/>
        <v>227</v>
      </c>
      <c r="AN205" s="6"/>
      <c r="AO205" s="6"/>
      <c r="AP205" s="34"/>
      <c r="AQ205" s="35">
        <v>330</v>
      </c>
      <c r="AR205" s="35"/>
      <c r="AS205" s="35">
        <f t="shared" si="70"/>
        <v>241</v>
      </c>
      <c r="AT205" s="6">
        <v>564</v>
      </c>
      <c r="AU205" s="6"/>
      <c r="AV205" s="35">
        <f t="shared" si="71"/>
        <v>234</v>
      </c>
      <c r="AW205" s="6">
        <v>797</v>
      </c>
      <c r="AX205" s="6"/>
      <c r="AY205" s="35">
        <f t="shared" si="72"/>
        <v>233</v>
      </c>
      <c r="AZ205" s="35">
        <v>88</v>
      </c>
      <c r="BA205" s="35">
        <v>914</v>
      </c>
      <c r="BB205" s="35">
        <f t="shared" si="73"/>
        <v>205</v>
      </c>
      <c r="BC205" s="6">
        <v>293</v>
      </c>
      <c r="BD205" s="6"/>
      <c r="BE205" s="35">
        <f t="shared" si="74"/>
        <v>205</v>
      </c>
      <c r="BF205" s="35">
        <v>521</v>
      </c>
      <c r="BG205" s="6"/>
      <c r="BH205" s="6">
        <f t="shared" si="75"/>
        <v>228</v>
      </c>
      <c r="BI205" s="6"/>
      <c r="BJ205" s="6"/>
      <c r="BK205" s="6"/>
      <c r="BL205" s="35">
        <v>59</v>
      </c>
      <c r="BM205" s="35">
        <v>691</v>
      </c>
      <c r="BN205" s="6">
        <f t="shared" si="76"/>
        <v>229</v>
      </c>
      <c r="BO205" s="35">
        <v>290</v>
      </c>
      <c r="BP205" s="35"/>
      <c r="BQ205" s="35">
        <f t="shared" si="77"/>
        <v>231</v>
      </c>
      <c r="BR205" s="35">
        <v>515</v>
      </c>
      <c r="BS205" s="35"/>
      <c r="BT205" s="6">
        <f t="shared" si="78"/>
        <v>225</v>
      </c>
      <c r="BU205" s="35">
        <v>749</v>
      </c>
      <c r="BV205" s="35"/>
      <c r="BW205" s="35">
        <f t="shared" si="79"/>
        <v>234</v>
      </c>
      <c r="BX205" s="35">
        <v>987</v>
      </c>
      <c r="BY205" s="6"/>
      <c r="BZ205" s="6">
        <f t="shared" si="80"/>
        <v>238</v>
      </c>
      <c r="CA205" s="6">
        <v>109</v>
      </c>
      <c r="CB205" s="6">
        <v>1100</v>
      </c>
      <c r="CC205" s="6">
        <f t="shared" si="81"/>
        <v>222</v>
      </c>
      <c r="CD205" s="6"/>
      <c r="CE205" s="6"/>
      <c r="CF205" s="6"/>
      <c r="CG205" s="6">
        <v>354</v>
      </c>
      <c r="CH205" s="6"/>
      <c r="CI205" s="6">
        <f t="shared" si="82"/>
        <v>245</v>
      </c>
      <c r="CJ205" s="6">
        <v>595</v>
      </c>
      <c r="CK205" s="6"/>
      <c r="CL205" s="6">
        <f t="shared" si="83"/>
        <v>241</v>
      </c>
      <c r="CM205" s="6">
        <v>829</v>
      </c>
      <c r="CN205" s="6"/>
      <c r="CO205" s="6">
        <f t="shared" si="84"/>
        <v>234</v>
      </c>
      <c r="CP205" s="6">
        <v>907</v>
      </c>
      <c r="CQ205" s="6"/>
      <c r="CR205" s="6">
        <f t="shared" si="85"/>
        <v>78</v>
      </c>
      <c r="CS205" s="6">
        <v>0</v>
      </c>
      <c r="CT205" s="6">
        <v>999</v>
      </c>
      <c r="CU205" s="6">
        <f t="shared" si="86"/>
        <v>92</v>
      </c>
      <c r="CV205" s="6">
        <v>67</v>
      </c>
      <c r="CW205" s="6"/>
      <c r="CX205" s="6">
        <f t="shared" si="87"/>
        <v>67</v>
      </c>
      <c r="CY205" s="6"/>
      <c r="CZ205" s="6"/>
      <c r="DA205" s="6"/>
      <c r="DB205" s="6"/>
      <c r="DC205" s="6"/>
      <c r="DD205" s="6"/>
      <c r="DE205" s="6"/>
      <c r="DF205" s="10"/>
      <c r="DG205" s="6"/>
      <c r="DH205" s="6"/>
      <c r="DI205" s="10"/>
      <c r="DJ205" s="6"/>
      <c r="DK205" s="6"/>
      <c r="DL205" s="10"/>
      <c r="DM205" s="6"/>
    </row>
    <row r="206" spans="1:117">
      <c r="A206" s="6">
        <v>202</v>
      </c>
      <c r="B206" s="6">
        <v>637</v>
      </c>
      <c r="C206" s="10"/>
      <c r="D206" s="6">
        <v>227</v>
      </c>
      <c r="E206" s="141" t="s">
        <v>72</v>
      </c>
      <c r="F206" s="141" t="s">
        <v>72</v>
      </c>
      <c r="G206" s="141" t="s">
        <v>72</v>
      </c>
      <c r="H206" s="141" t="s">
        <v>72</v>
      </c>
      <c r="I206" s="141" t="s">
        <v>72</v>
      </c>
      <c r="J206" s="141" t="s">
        <v>72</v>
      </c>
      <c r="K206" s="141" t="s">
        <v>72</v>
      </c>
      <c r="L206" s="141" t="s">
        <v>72</v>
      </c>
      <c r="M206" s="141" t="s">
        <v>72</v>
      </c>
      <c r="N206" s="141" t="s">
        <v>72</v>
      </c>
      <c r="O206" s="141" t="s">
        <v>72</v>
      </c>
      <c r="P206" s="163" t="s">
        <v>72</v>
      </c>
      <c r="Q206" s="141" t="s">
        <v>72</v>
      </c>
      <c r="R206" s="141" t="s">
        <v>72</v>
      </c>
      <c r="S206" s="141" t="s">
        <v>72</v>
      </c>
      <c r="T206" s="141" t="s">
        <v>72</v>
      </c>
      <c r="U206" s="141" t="s">
        <v>72</v>
      </c>
      <c r="V206" s="141" t="s">
        <v>72</v>
      </c>
      <c r="W206" s="141" t="s">
        <v>72</v>
      </c>
      <c r="X206" s="141" t="s">
        <v>72</v>
      </c>
      <c r="Y206" s="141" t="s">
        <v>72</v>
      </c>
      <c r="Z206" s="141" t="s">
        <v>72</v>
      </c>
      <c r="AA206" s="141" t="s">
        <v>72</v>
      </c>
      <c r="AB206" s="6">
        <v>899</v>
      </c>
      <c r="AC206" s="6"/>
      <c r="AD206" s="35">
        <f t="shared" si="66"/>
        <v>262</v>
      </c>
      <c r="AE206" s="6">
        <v>49</v>
      </c>
      <c r="AF206" s="6">
        <v>1100</v>
      </c>
      <c r="AG206" s="35">
        <f t="shared" si="67"/>
        <v>250</v>
      </c>
      <c r="AH206" s="35">
        <v>298</v>
      </c>
      <c r="AI206" s="35"/>
      <c r="AJ206" s="35">
        <f t="shared" si="68"/>
        <v>249</v>
      </c>
      <c r="AK206" s="6">
        <v>533</v>
      </c>
      <c r="AL206" s="6"/>
      <c r="AM206" s="35">
        <f t="shared" si="69"/>
        <v>235</v>
      </c>
      <c r="AN206" s="6"/>
      <c r="AO206" s="6"/>
      <c r="AP206" s="34"/>
      <c r="AQ206" s="35">
        <v>783</v>
      </c>
      <c r="AR206" s="35"/>
      <c r="AS206" s="35">
        <f t="shared" si="70"/>
        <v>250</v>
      </c>
      <c r="AT206" s="6">
        <v>1019</v>
      </c>
      <c r="AU206" s="6"/>
      <c r="AV206" s="35">
        <f t="shared" si="71"/>
        <v>236</v>
      </c>
      <c r="AW206" s="6">
        <v>150</v>
      </c>
      <c r="AX206" s="6">
        <v>1100</v>
      </c>
      <c r="AY206" s="35">
        <f t="shared" si="72"/>
        <v>231</v>
      </c>
      <c r="AZ206" s="35">
        <v>377</v>
      </c>
      <c r="BA206" s="35"/>
      <c r="BB206" s="35">
        <f t="shared" si="73"/>
        <v>227</v>
      </c>
      <c r="BC206" s="35">
        <v>605</v>
      </c>
      <c r="BD206" s="6"/>
      <c r="BE206" s="35">
        <f t="shared" si="74"/>
        <v>228</v>
      </c>
      <c r="BF206" s="6">
        <v>202</v>
      </c>
      <c r="BG206" s="6">
        <v>627</v>
      </c>
      <c r="BH206" s="6">
        <f t="shared" si="75"/>
        <v>224</v>
      </c>
      <c r="BI206" s="6"/>
      <c r="BJ206" s="6"/>
      <c r="BK206" s="6"/>
      <c r="BL206" s="35">
        <v>150</v>
      </c>
      <c r="BM206" s="35">
        <v>276</v>
      </c>
      <c r="BN206" s="6">
        <f t="shared" si="76"/>
        <v>224</v>
      </c>
      <c r="BO206" s="35">
        <v>376</v>
      </c>
      <c r="BP206" s="35"/>
      <c r="BQ206" s="35">
        <f t="shared" si="77"/>
        <v>226</v>
      </c>
      <c r="BR206" s="35">
        <v>604</v>
      </c>
      <c r="BS206" s="35"/>
      <c r="BT206" s="6">
        <f t="shared" si="78"/>
        <v>228</v>
      </c>
      <c r="BU206" s="35">
        <v>833</v>
      </c>
      <c r="BV206" s="35"/>
      <c r="BW206" s="35">
        <f t="shared" si="79"/>
        <v>229</v>
      </c>
      <c r="BX206" s="35">
        <v>214</v>
      </c>
      <c r="BY206" s="6">
        <v>845</v>
      </c>
      <c r="BZ206" s="6">
        <f t="shared" si="80"/>
        <v>226</v>
      </c>
      <c r="CA206" s="6">
        <v>436</v>
      </c>
      <c r="CB206" s="6"/>
      <c r="CC206" s="6">
        <f t="shared" si="81"/>
        <v>222</v>
      </c>
      <c r="CD206" s="6"/>
      <c r="CE206" s="6"/>
      <c r="CF206" s="6"/>
      <c r="CG206" s="6">
        <v>675</v>
      </c>
      <c r="CH206" s="6"/>
      <c r="CI206" s="6">
        <f t="shared" si="82"/>
        <v>239</v>
      </c>
      <c r="CJ206" s="6">
        <v>904</v>
      </c>
      <c r="CK206" s="6"/>
      <c r="CL206" s="6">
        <f t="shared" si="83"/>
        <v>229</v>
      </c>
      <c r="CM206" s="6">
        <v>34</v>
      </c>
      <c r="CN206" s="6">
        <v>1100</v>
      </c>
      <c r="CO206" s="6">
        <f t="shared" si="84"/>
        <v>230</v>
      </c>
      <c r="CP206" s="6">
        <v>264</v>
      </c>
      <c r="CQ206" s="6"/>
      <c r="CR206" s="6">
        <f t="shared" si="85"/>
        <v>230</v>
      </c>
      <c r="CS206" s="6">
        <v>498</v>
      </c>
      <c r="CT206" s="6"/>
      <c r="CU206" s="6">
        <f t="shared" si="86"/>
        <v>234</v>
      </c>
      <c r="CV206" s="6">
        <v>621</v>
      </c>
      <c r="CW206" s="6"/>
      <c r="CX206" s="6">
        <f t="shared" si="87"/>
        <v>123</v>
      </c>
      <c r="CY206" s="6"/>
      <c r="CZ206" s="6"/>
      <c r="DA206" s="6"/>
      <c r="DB206" s="6"/>
      <c r="DC206" s="6"/>
      <c r="DD206" s="6"/>
      <c r="DE206" s="6"/>
      <c r="DF206" s="10"/>
      <c r="DG206" s="6"/>
      <c r="DH206" s="6"/>
      <c r="DI206" s="10"/>
      <c r="DJ206" s="6"/>
      <c r="DK206" s="6"/>
      <c r="DL206" s="10"/>
      <c r="DM206" s="6"/>
    </row>
    <row r="207" spans="1:117">
      <c r="A207" s="273">
        <v>203</v>
      </c>
      <c r="B207" s="6">
        <v>408</v>
      </c>
      <c r="C207" s="10"/>
      <c r="D207" s="6">
        <v>235</v>
      </c>
      <c r="E207" s="141" t="s">
        <v>75</v>
      </c>
      <c r="F207" s="141" t="s">
        <v>75</v>
      </c>
      <c r="G207" s="141" t="s">
        <v>75</v>
      </c>
      <c r="H207" s="141" t="s">
        <v>75</v>
      </c>
      <c r="I207" s="141" t="s">
        <v>75</v>
      </c>
      <c r="J207" s="141" t="s">
        <v>75</v>
      </c>
      <c r="K207" s="141" t="s">
        <v>75</v>
      </c>
      <c r="L207" s="141" t="s">
        <v>75</v>
      </c>
      <c r="M207" s="141" t="s">
        <v>75</v>
      </c>
      <c r="N207" s="141" t="s">
        <v>75</v>
      </c>
      <c r="O207" s="141" t="s">
        <v>75</v>
      </c>
      <c r="P207" s="141" t="s">
        <v>75</v>
      </c>
      <c r="Q207" s="141" t="s">
        <v>75</v>
      </c>
      <c r="R207" s="141" t="s">
        <v>75</v>
      </c>
      <c r="S207" s="141" t="s">
        <v>75</v>
      </c>
      <c r="T207" s="141" t="s">
        <v>75</v>
      </c>
      <c r="U207" s="141" t="s">
        <v>75</v>
      </c>
      <c r="V207" s="141" t="s">
        <v>75</v>
      </c>
      <c r="W207" s="163" t="s">
        <v>291</v>
      </c>
      <c r="X207" s="141" t="s">
        <v>291</v>
      </c>
      <c r="Y207" s="141" t="s">
        <v>291</v>
      </c>
      <c r="Z207" s="141" t="s">
        <v>291</v>
      </c>
      <c r="AA207" s="141" t="s">
        <v>291</v>
      </c>
      <c r="AB207" s="6">
        <v>677</v>
      </c>
      <c r="AC207" s="6"/>
      <c r="AD207" s="35">
        <f t="shared" si="66"/>
        <v>269</v>
      </c>
      <c r="AE207" s="6">
        <v>931</v>
      </c>
      <c r="AF207" s="6"/>
      <c r="AG207" s="35">
        <f t="shared" si="67"/>
        <v>254</v>
      </c>
      <c r="AH207" s="35">
        <v>89</v>
      </c>
      <c r="AI207" s="35">
        <v>1100</v>
      </c>
      <c r="AJ207" s="35">
        <f t="shared" si="68"/>
        <v>258</v>
      </c>
      <c r="AK207" s="6">
        <v>333</v>
      </c>
      <c r="AL207" s="6"/>
      <c r="AM207" s="35">
        <f t="shared" si="69"/>
        <v>244</v>
      </c>
      <c r="AN207" s="6"/>
      <c r="AO207" s="6"/>
      <c r="AP207" s="34"/>
      <c r="AQ207" s="35">
        <v>591</v>
      </c>
      <c r="AR207" s="35"/>
      <c r="AS207" s="35">
        <f t="shared" si="70"/>
        <v>258</v>
      </c>
      <c r="AT207" s="6">
        <v>843</v>
      </c>
      <c r="AU207" s="6"/>
      <c r="AV207" s="35">
        <f t="shared" si="71"/>
        <v>252</v>
      </c>
      <c r="AW207" s="6">
        <v>1099</v>
      </c>
      <c r="AX207" s="6"/>
      <c r="AY207" s="35">
        <f t="shared" si="72"/>
        <v>256</v>
      </c>
      <c r="AZ207" s="35">
        <v>253</v>
      </c>
      <c r="BA207" s="35">
        <v>1100</v>
      </c>
      <c r="BB207" s="35">
        <f t="shared" si="73"/>
        <v>254</v>
      </c>
      <c r="BC207" s="35">
        <v>507</v>
      </c>
      <c r="BD207" s="6"/>
      <c r="BE207" s="35">
        <f t="shared" si="74"/>
        <v>254</v>
      </c>
      <c r="BF207" s="6">
        <v>755</v>
      </c>
      <c r="BG207" s="6"/>
      <c r="BH207" s="6">
        <f t="shared" si="75"/>
        <v>248</v>
      </c>
      <c r="BI207" s="6"/>
      <c r="BJ207" s="6"/>
      <c r="BK207" s="6"/>
      <c r="BL207" s="35">
        <v>41</v>
      </c>
      <c r="BM207" s="35">
        <v>964</v>
      </c>
      <c r="BN207" s="6">
        <f t="shared" si="76"/>
        <v>250</v>
      </c>
      <c r="BO207" s="35">
        <v>292</v>
      </c>
      <c r="BP207" s="35"/>
      <c r="BQ207" s="35">
        <f t="shared" si="77"/>
        <v>251</v>
      </c>
      <c r="BR207" s="35">
        <v>547</v>
      </c>
      <c r="BS207" s="35"/>
      <c r="BT207" s="6">
        <f t="shared" si="78"/>
        <v>255</v>
      </c>
      <c r="BU207" s="35">
        <v>800</v>
      </c>
      <c r="BV207" s="35"/>
      <c r="BW207" s="35">
        <f t="shared" si="79"/>
        <v>253</v>
      </c>
      <c r="BX207" s="35">
        <v>1059</v>
      </c>
      <c r="BY207" s="6"/>
      <c r="BZ207" s="6">
        <f t="shared" si="80"/>
        <v>259</v>
      </c>
      <c r="CA207" s="6">
        <v>207</v>
      </c>
      <c r="CB207" s="6">
        <v>1100</v>
      </c>
      <c r="CC207" s="6">
        <f t="shared" si="81"/>
        <v>248</v>
      </c>
      <c r="CD207" s="6"/>
      <c r="CE207" s="6"/>
      <c r="CF207" s="6"/>
      <c r="CG207" s="6">
        <v>472</v>
      </c>
      <c r="CH207" s="6"/>
      <c r="CI207" s="6">
        <f t="shared" si="82"/>
        <v>265</v>
      </c>
      <c r="CJ207" s="6">
        <v>172</v>
      </c>
      <c r="CK207" s="6">
        <v>545</v>
      </c>
      <c r="CL207" s="6">
        <f t="shared" si="83"/>
        <v>245</v>
      </c>
      <c r="CM207" s="6">
        <v>426</v>
      </c>
      <c r="CN207" s="6"/>
      <c r="CO207" s="6">
        <f t="shared" si="84"/>
        <v>254</v>
      </c>
      <c r="CP207" s="6">
        <v>687</v>
      </c>
      <c r="CQ207" s="6"/>
      <c r="CR207" s="6">
        <f t="shared" si="85"/>
        <v>261</v>
      </c>
      <c r="CS207" s="6">
        <v>100</v>
      </c>
      <c r="CT207" s="6">
        <v>849</v>
      </c>
      <c r="CU207" s="6">
        <f t="shared" si="86"/>
        <v>262</v>
      </c>
      <c r="CV207" s="6">
        <v>238</v>
      </c>
      <c r="CW207" s="6"/>
      <c r="CX207" s="6">
        <f t="shared" si="87"/>
        <v>138</v>
      </c>
      <c r="CY207" s="6"/>
      <c r="CZ207" s="6"/>
      <c r="DA207" s="6"/>
      <c r="DB207" s="6"/>
      <c r="DC207" s="6"/>
      <c r="DD207" s="6"/>
      <c r="DE207" s="6"/>
      <c r="DF207" s="10"/>
      <c r="DG207" s="6"/>
      <c r="DH207" s="6"/>
      <c r="DI207" s="10"/>
      <c r="DJ207" s="6"/>
      <c r="DK207" s="6"/>
      <c r="DL207" s="10"/>
      <c r="DM207" s="6"/>
    </row>
    <row r="208" spans="1:117">
      <c r="A208" s="6">
        <v>204</v>
      </c>
      <c r="B208" s="6">
        <v>363</v>
      </c>
      <c r="C208" s="10"/>
      <c r="D208" s="6">
        <v>231</v>
      </c>
      <c r="E208" s="141" t="s">
        <v>72</v>
      </c>
      <c r="F208" s="141" t="s">
        <v>72</v>
      </c>
      <c r="G208" s="141" t="s">
        <v>72</v>
      </c>
      <c r="H208" s="141" t="s">
        <v>72</v>
      </c>
      <c r="I208" s="141" t="s">
        <v>72</v>
      </c>
      <c r="J208" s="141" t="s">
        <v>72</v>
      </c>
      <c r="K208" s="141" t="s">
        <v>72</v>
      </c>
      <c r="L208" s="141" t="s">
        <v>72</v>
      </c>
      <c r="M208" s="163" t="s">
        <v>72</v>
      </c>
      <c r="N208" s="141" t="s">
        <v>72</v>
      </c>
      <c r="O208" s="141" t="s">
        <v>72</v>
      </c>
      <c r="P208" s="141" t="s">
        <v>72</v>
      </c>
      <c r="Q208" s="141" t="s">
        <v>72</v>
      </c>
      <c r="R208" s="141" t="s">
        <v>72</v>
      </c>
      <c r="S208" s="141" t="s">
        <v>72</v>
      </c>
      <c r="T208" s="141" t="s">
        <v>72</v>
      </c>
      <c r="U208" s="141" t="s">
        <v>72</v>
      </c>
      <c r="V208" s="141" t="s">
        <v>72</v>
      </c>
      <c r="W208" s="141" t="s">
        <v>72</v>
      </c>
      <c r="X208" s="141" t="s">
        <v>72</v>
      </c>
      <c r="Y208" s="141" t="s">
        <v>72</v>
      </c>
      <c r="Z208" s="141" t="s">
        <v>72</v>
      </c>
      <c r="AA208" s="141" t="s">
        <v>72</v>
      </c>
      <c r="AB208" s="6">
        <v>626</v>
      </c>
      <c r="AC208" s="6"/>
      <c r="AD208" s="35">
        <f t="shared" si="66"/>
        <v>263</v>
      </c>
      <c r="AE208" s="6">
        <v>858</v>
      </c>
      <c r="AF208" s="6"/>
      <c r="AG208" s="35">
        <f t="shared" si="67"/>
        <v>232</v>
      </c>
      <c r="AH208" s="35">
        <v>9</v>
      </c>
      <c r="AI208" s="35">
        <v>1100</v>
      </c>
      <c r="AJ208" s="35">
        <f t="shared" si="68"/>
        <v>251</v>
      </c>
      <c r="AK208" s="6">
        <v>244</v>
      </c>
      <c r="AL208" s="6"/>
      <c r="AM208" s="35">
        <f t="shared" si="69"/>
        <v>235</v>
      </c>
      <c r="AN208" s="6"/>
      <c r="AO208" s="6"/>
      <c r="AP208" s="34"/>
      <c r="AQ208" s="35">
        <v>57</v>
      </c>
      <c r="AR208" s="35">
        <v>432</v>
      </c>
      <c r="AS208" s="35">
        <f t="shared" si="70"/>
        <v>245</v>
      </c>
      <c r="AT208" s="6">
        <v>295</v>
      </c>
      <c r="AU208" s="6"/>
      <c r="AV208" s="35">
        <f t="shared" si="71"/>
        <v>238</v>
      </c>
      <c r="AW208" s="6">
        <v>532</v>
      </c>
      <c r="AX208" s="6"/>
      <c r="AY208" s="35">
        <f t="shared" si="72"/>
        <v>237</v>
      </c>
      <c r="AZ208" s="35">
        <v>207</v>
      </c>
      <c r="BA208" s="35">
        <v>539</v>
      </c>
      <c r="BB208" s="35">
        <f t="shared" si="73"/>
        <v>214</v>
      </c>
      <c r="BC208" s="35">
        <v>434</v>
      </c>
      <c r="BD208" s="6"/>
      <c r="BE208" s="35">
        <f t="shared" si="74"/>
        <v>227</v>
      </c>
      <c r="BF208" s="6">
        <v>665</v>
      </c>
      <c r="BG208" s="6"/>
      <c r="BH208" s="6">
        <f t="shared" si="75"/>
        <v>231</v>
      </c>
      <c r="BI208" s="6"/>
      <c r="BJ208" s="6"/>
      <c r="BK208" s="6"/>
      <c r="BL208" s="35">
        <v>908</v>
      </c>
      <c r="BM208" s="35"/>
      <c r="BN208" s="6">
        <f t="shared" si="76"/>
        <v>243</v>
      </c>
      <c r="BO208" s="35">
        <v>37</v>
      </c>
      <c r="BP208" s="35">
        <v>1105</v>
      </c>
      <c r="BQ208" s="35">
        <f t="shared" si="77"/>
        <v>234</v>
      </c>
      <c r="BR208" s="35">
        <v>275</v>
      </c>
      <c r="BS208" s="35"/>
      <c r="BT208" s="6">
        <f t="shared" si="78"/>
        <v>238</v>
      </c>
      <c r="BU208" s="35">
        <v>514</v>
      </c>
      <c r="BV208" s="35"/>
      <c r="BW208" s="35">
        <f t="shared" si="79"/>
        <v>239</v>
      </c>
      <c r="BX208" s="35">
        <v>753</v>
      </c>
      <c r="BY208" s="6"/>
      <c r="BZ208" s="6">
        <f t="shared" si="80"/>
        <v>239</v>
      </c>
      <c r="CA208" s="35">
        <v>986</v>
      </c>
      <c r="CB208" s="6"/>
      <c r="CC208" s="6">
        <f t="shared" si="81"/>
        <v>233</v>
      </c>
      <c r="CD208" s="6"/>
      <c r="CE208" s="6"/>
      <c r="CF208" s="6"/>
      <c r="CG208" s="6">
        <v>32</v>
      </c>
      <c r="CH208" s="6">
        <v>1200</v>
      </c>
      <c r="CI208" s="6">
        <f t="shared" si="82"/>
        <v>246</v>
      </c>
      <c r="CJ208" s="6">
        <v>276</v>
      </c>
      <c r="CK208" s="6"/>
      <c r="CL208" s="6">
        <f t="shared" si="83"/>
        <v>244</v>
      </c>
      <c r="CM208" s="6">
        <v>517</v>
      </c>
      <c r="CN208" s="6"/>
      <c r="CO208" s="6">
        <f t="shared" si="84"/>
        <v>241</v>
      </c>
      <c r="CP208" s="6">
        <v>758</v>
      </c>
      <c r="CQ208" s="6"/>
      <c r="CR208" s="6">
        <f t="shared" si="85"/>
        <v>241</v>
      </c>
      <c r="CS208" s="6">
        <v>1002</v>
      </c>
      <c r="CT208" s="6"/>
      <c r="CU208" s="6">
        <f t="shared" si="86"/>
        <v>244</v>
      </c>
      <c r="CV208" s="6">
        <v>28</v>
      </c>
      <c r="CW208" s="6">
        <v>1100</v>
      </c>
      <c r="CX208" s="6">
        <f t="shared" si="87"/>
        <v>126</v>
      </c>
      <c r="CY208" s="6"/>
      <c r="CZ208" s="6"/>
      <c r="DA208" s="6"/>
      <c r="DB208" s="6"/>
      <c r="DC208" s="6"/>
      <c r="DD208" s="6"/>
      <c r="DE208" s="6"/>
      <c r="DF208" s="10"/>
      <c r="DG208" s="6"/>
      <c r="DH208" s="6"/>
      <c r="DI208" s="10"/>
      <c r="DJ208" s="6"/>
      <c r="DK208" s="6"/>
      <c r="DL208" s="10"/>
      <c r="DM208" s="6"/>
    </row>
    <row r="209" spans="1:117">
      <c r="A209" s="6">
        <v>205</v>
      </c>
      <c r="B209" s="6">
        <v>139</v>
      </c>
      <c r="C209" s="10">
        <v>1100</v>
      </c>
      <c r="D209" s="6">
        <v>227</v>
      </c>
      <c r="E209" s="141" t="s">
        <v>72</v>
      </c>
      <c r="F209" s="141" t="s">
        <v>72</v>
      </c>
      <c r="G209" s="141" t="s">
        <v>72</v>
      </c>
      <c r="H209" s="141" t="s">
        <v>72</v>
      </c>
      <c r="I209" s="141" t="s">
        <v>72</v>
      </c>
      <c r="J209" s="141" t="s">
        <v>72</v>
      </c>
      <c r="K209" s="141" t="s">
        <v>72</v>
      </c>
      <c r="L209" s="141" t="s">
        <v>72</v>
      </c>
      <c r="M209" s="141" t="s">
        <v>72</v>
      </c>
      <c r="N209" s="141" t="s">
        <v>72</v>
      </c>
      <c r="O209" s="141" t="s">
        <v>72</v>
      </c>
      <c r="P209" s="163" t="s">
        <v>72</v>
      </c>
      <c r="Q209" s="141" t="s">
        <v>72</v>
      </c>
      <c r="R209" s="141" t="s">
        <v>72</v>
      </c>
      <c r="S209" s="141" t="s">
        <v>72</v>
      </c>
      <c r="T209" s="141" t="s">
        <v>72</v>
      </c>
      <c r="U209" s="141" t="s">
        <v>72</v>
      </c>
      <c r="V209" s="141" t="s">
        <v>72</v>
      </c>
      <c r="W209" s="141" t="s">
        <v>72</v>
      </c>
      <c r="X209" s="141" t="s">
        <v>72</v>
      </c>
      <c r="Y209" s="141" t="s">
        <v>72</v>
      </c>
      <c r="Z209" s="141" t="s">
        <v>72</v>
      </c>
      <c r="AA209" s="141" t="s">
        <v>72</v>
      </c>
      <c r="AB209" s="6">
        <v>398</v>
      </c>
      <c r="AC209" s="6"/>
      <c r="AD209" s="35">
        <f t="shared" si="66"/>
        <v>259</v>
      </c>
      <c r="AE209" s="6">
        <v>643</v>
      </c>
      <c r="AF209" s="6"/>
      <c r="AG209" s="35">
        <f t="shared" si="67"/>
        <v>245</v>
      </c>
      <c r="AH209" s="35">
        <v>890</v>
      </c>
      <c r="AI209" s="35"/>
      <c r="AJ209" s="35">
        <f t="shared" si="68"/>
        <v>247</v>
      </c>
      <c r="AK209" s="6">
        <v>11</v>
      </c>
      <c r="AL209" s="6">
        <v>1100</v>
      </c>
      <c r="AM209" s="35">
        <f t="shared" si="69"/>
        <v>221</v>
      </c>
      <c r="AN209" s="6"/>
      <c r="AO209" s="6"/>
      <c r="AP209" s="34"/>
      <c r="AQ209" s="35">
        <v>260</v>
      </c>
      <c r="AR209" s="35"/>
      <c r="AS209" s="35">
        <f t="shared" si="70"/>
        <v>249</v>
      </c>
      <c r="AT209" s="6">
        <v>496</v>
      </c>
      <c r="AU209" s="6"/>
      <c r="AV209" s="35">
        <f t="shared" si="71"/>
        <v>236</v>
      </c>
      <c r="AW209" s="6">
        <v>734</v>
      </c>
      <c r="AX209" s="6"/>
      <c r="AY209" s="35">
        <f t="shared" si="72"/>
        <v>238</v>
      </c>
      <c r="AZ209" s="35">
        <v>960</v>
      </c>
      <c r="BA209" s="35"/>
      <c r="BB209" s="35">
        <f t="shared" si="73"/>
        <v>226</v>
      </c>
      <c r="BC209" s="35">
        <v>93</v>
      </c>
      <c r="BD209" s="6">
        <v>1100</v>
      </c>
      <c r="BE209" s="35">
        <f t="shared" si="74"/>
        <v>233</v>
      </c>
      <c r="BF209" s="6">
        <v>321</v>
      </c>
      <c r="BG209" s="6"/>
      <c r="BH209" s="6">
        <f t="shared" si="75"/>
        <v>228</v>
      </c>
      <c r="BI209" s="6"/>
      <c r="BJ209" s="6"/>
      <c r="BK209" s="6"/>
      <c r="BL209" s="35">
        <v>163</v>
      </c>
      <c r="BM209" s="35">
        <v>392</v>
      </c>
      <c r="BN209" s="6">
        <f t="shared" si="76"/>
        <v>234</v>
      </c>
      <c r="BO209" s="35">
        <v>393</v>
      </c>
      <c r="BP209" s="35"/>
      <c r="BQ209" s="35">
        <f t="shared" si="77"/>
        <v>230</v>
      </c>
      <c r="BR209" s="35">
        <v>628</v>
      </c>
      <c r="BS209" s="35"/>
      <c r="BT209" s="6">
        <f t="shared" si="78"/>
        <v>235</v>
      </c>
      <c r="BU209" s="35">
        <v>861</v>
      </c>
      <c r="BV209" s="35"/>
      <c r="BW209" s="35">
        <f t="shared" si="79"/>
        <v>233</v>
      </c>
      <c r="BX209" s="35">
        <v>1098</v>
      </c>
      <c r="BY209" s="6"/>
      <c r="BZ209" s="6">
        <f t="shared" si="80"/>
        <v>237</v>
      </c>
      <c r="CA209" s="6">
        <v>225</v>
      </c>
      <c r="CB209" s="6">
        <v>1100</v>
      </c>
      <c r="CC209" s="6">
        <f t="shared" si="81"/>
        <v>227</v>
      </c>
      <c r="CD209" s="6"/>
      <c r="CE209" s="6"/>
      <c r="CF209" s="6"/>
      <c r="CG209" s="6">
        <v>470</v>
      </c>
      <c r="CH209" s="6"/>
      <c r="CI209" s="6">
        <f t="shared" si="82"/>
        <v>245</v>
      </c>
      <c r="CJ209" s="6">
        <v>710</v>
      </c>
      <c r="CK209" s="6"/>
      <c r="CL209" s="6">
        <f t="shared" si="83"/>
        <v>240</v>
      </c>
      <c r="CM209" s="6">
        <v>951</v>
      </c>
      <c r="CN209" s="6"/>
      <c r="CO209" s="6">
        <f t="shared" si="84"/>
        <v>241</v>
      </c>
      <c r="CP209" s="6">
        <v>93</v>
      </c>
      <c r="CQ209" s="6">
        <v>1100</v>
      </c>
      <c r="CR209" s="6">
        <f t="shared" si="85"/>
        <v>242</v>
      </c>
      <c r="CS209" s="6">
        <v>334</v>
      </c>
      <c r="CT209" s="6"/>
      <c r="CU209" s="6">
        <f t="shared" si="86"/>
        <v>241</v>
      </c>
      <c r="CV209" s="6">
        <v>461</v>
      </c>
      <c r="CW209" s="6"/>
      <c r="CX209" s="6">
        <f t="shared" si="87"/>
        <v>127</v>
      </c>
      <c r="CY209" s="6"/>
      <c r="CZ209" s="6"/>
      <c r="DA209" s="6"/>
      <c r="DB209" s="6"/>
      <c r="DC209" s="6"/>
      <c r="DD209" s="6"/>
      <c r="DE209" s="6"/>
      <c r="DF209" s="10"/>
      <c r="DG209" s="6"/>
      <c r="DH209" s="6"/>
      <c r="DI209" s="10"/>
      <c r="DJ209" s="6"/>
      <c r="DK209" s="6"/>
      <c r="DL209" s="10"/>
      <c r="DM209" s="6"/>
    </row>
    <row r="210" spans="1:117">
      <c r="A210" s="6">
        <v>206</v>
      </c>
      <c r="B210" s="6">
        <v>1039</v>
      </c>
      <c r="C210" s="10"/>
      <c r="D210" s="6">
        <v>209</v>
      </c>
      <c r="E210" s="141" t="s">
        <v>72</v>
      </c>
      <c r="F210" s="141" t="s">
        <v>72</v>
      </c>
      <c r="G210" s="141" t="s">
        <v>72</v>
      </c>
      <c r="H210" s="141" t="s">
        <v>72</v>
      </c>
      <c r="I210" s="141" t="s">
        <v>72</v>
      </c>
      <c r="J210" s="141" t="s">
        <v>72</v>
      </c>
      <c r="K210" s="141" t="s">
        <v>72</v>
      </c>
      <c r="L210" s="141" t="s">
        <v>72</v>
      </c>
      <c r="M210" s="141" t="s">
        <v>72</v>
      </c>
      <c r="N210" s="141" t="s">
        <v>72</v>
      </c>
      <c r="O210" s="141" t="s">
        <v>72</v>
      </c>
      <c r="P210" s="141" t="s">
        <v>72</v>
      </c>
      <c r="Q210" s="141" t="s">
        <v>72</v>
      </c>
      <c r="R210" s="163" t="s">
        <v>72</v>
      </c>
      <c r="S210" s="141" t="s">
        <v>72</v>
      </c>
      <c r="T210" s="141" t="s">
        <v>72</v>
      </c>
      <c r="U210" s="141" t="s">
        <v>72</v>
      </c>
      <c r="V210" s="141" t="s">
        <v>72</v>
      </c>
      <c r="W210" s="141" t="s">
        <v>72</v>
      </c>
      <c r="X210" s="141" t="s">
        <v>72</v>
      </c>
      <c r="Y210" s="141" t="s">
        <v>72</v>
      </c>
      <c r="Z210" s="141" t="s">
        <v>72</v>
      </c>
      <c r="AA210" s="141" t="s">
        <v>72</v>
      </c>
      <c r="AB210" s="6">
        <v>190</v>
      </c>
      <c r="AC210" s="6">
        <v>1100</v>
      </c>
      <c r="AD210" s="35">
        <f t="shared" si="66"/>
        <v>251</v>
      </c>
      <c r="AE210" s="6">
        <v>438</v>
      </c>
      <c r="AF210" s="6"/>
      <c r="AG210" s="35">
        <f t="shared" si="67"/>
        <v>248</v>
      </c>
      <c r="AH210" s="35">
        <v>2</v>
      </c>
      <c r="AI210" s="35">
        <f>463+184</f>
        <v>647</v>
      </c>
      <c r="AJ210" s="35">
        <f t="shared" si="68"/>
        <v>211</v>
      </c>
      <c r="AK210" s="6">
        <v>226</v>
      </c>
      <c r="AL210" s="6"/>
      <c r="AM210" s="35">
        <f t="shared" si="69"/>
        <v>224</v>
      </c>
      <c r="AN210" s="6"/>
      <c r="AO210" s="6"/>
      <c r="AP210" s="34"/>
      <c r="AQ210" s="35">
        <v>477</v>
      </c>
      <c r="AR210" s="35"/>
      <c r="AS210" s="35">
        <f t="shared" si="70"/>
        <v>251</v>
      </c>
      <c r="AT210" s="6">
        <v>711</v>
      </c>
      <c r="AU210" s="6"/>
      <c r="AV210" s="35">
        <f t="shared" si="71"/>
        <v>234</v>
      </c>
      <c r="AW210" s="6">
        <v>949</v>
      </c>
      <c r="AX210" s="6"/>
      <c r="AY210" s="35">
        <f t="shared" si="72"/>
        <v>238</v>
      </c>
      <c r="AZ210" s="35">
        <v>157</v>
      </c>
      <c r="BA210" s="35">
        <v>1021</v>
      </c>
      <c r="BB210" s="35">
        <f t="shared" si="73"/>
        <v>229</v>
      </c>
      <c r="BC210" s="35">
        <v>374</v>
      </c>
      <c r="BD210" s="6"/>
      <c r="BE210" s="35">
        <f t="shared" si="74"/>
        <v>217</v>
      </c>
      <c r="BF210" s="6">
        <v>544</v>
      </c>
      <c r="BG210" s="6"/>
      <c r="BH210" s="6">
        <f t="shared" si="75"/>
        <v>170</v>
      </c>
      <c r="BI210" s="6"/>
      <c r="BJ210" s="6"/>
      <c r="BK210" s="6"/>
      <c r="BL210" s="35">
        <v>779</v>
      </c>
      <c r="BM210" s="35"/>
      <c r="BN210" s="6">
        <f t="shared" si="76"/>
        <v>235</v>
      </c>
      <c r="BO210" s="35">
        <v>0</v>
      </c>
      <c r="BP210" s="35">
        <v>930</v>
      </c>
      <c r="BQ210" s="35">
        <f t="shared" si="77"/>
        <v>151</v>
      </c>
      <c r="BR210" s="35">
        <v>229</v>
      </c>
      <c r="BS210" s="35"/>
      <c r="BT210" s="6">
        <f t="shared" si="78"/>
        <v>229</v>
      </c>
      <c r="BU210" s="35">
        <v>461</v>
      </c>
      <c r="BV210" s="35"/>
      <c r="BW210" s="35">
        <f t="shared" si="79"/>
        <v>232</v>
      </c>
      <c r="BX210" s="35">
        <v>694</v>
      </c>
      <c r="BY210" s="6"/>
      <c r="BZ210" s="6">
        <f t="shared" si="80"/>
        <v>233</v>
      </c>
      <c r="CA210" s="6">
        <v>919</v>
      </c>
      <c r="CB210" s="6"/>
      <c r="CC210" s="6">
        <f t="shared" si="81"/>
        <v>225</v>
      </c>
      <c r="CD210" s="6"/>
      <c r="CE210" s="6"/>
      <c r="CF210" s="6"/>
      <c r="CG210" s="6">
        <v>60</v>
      </c>
      <c r="CH210" s="6">
        <v>1100</v>
      </c>
      <c r="CI210" s="6">
        <f t="shared" si="82"/>
        <v>241</v>
      </c>
      <c r="CJ210" s="6">
        <v>295</v>
      </c>
      <c r="CK210" s="6"/>
      <c r="CL210" s="6">
        <f t="shared" si="83"/>
        <v>235</v>
      </c>
      <c r="CM210" s="6">
        <v>531</v>
      </c>
      <c r="CN210" s="6"/>
      <c r="CO210" s="6">
        <f t="shared" si="84"/>
        <v>236</v>
      </c>
      <c r="CP210" s="6">
        <v>769</v>
      </c>
      <c r="CQ210" s="6"/>
      <c r="CR210" s="6">
        <f t="shared" si="85"/>
        <v>238</v>
      </c>
      <c r="CS210" s="6">
        <v>1003</v>
      </c>
      <c r="CT210" s="6"/>
      <c r="CU210" s="6">
        <f t="shared" si="86"/>
        <v>234</v>
      </c>
      <c r="CV210" s="6">
        <v>27</v>
      </c>
      <c r="CW210" s="6">
        <v>1100</v>
      </c>
      <c r="CX210" s="6">
        <f t="shared" si="87"/>
        <v>124</v>
      </c>
      <c r="CY210" s="6"/>
      <c r="CZ210" s="6"/>
      <c r="DA210" s="6"/>
      <c r="DB210" s="6"/>
      <c r="DC210" s="6"/>
      <c r="DD210" s="6"/>
      <c r="DE210" s="6"/>
      <c r="DF210" s="10"/>
      <c r="DG210" s="6"/>
      <c r="DH210" s="6"/>
      <c r="DI210" s="10"/>
      <c r="DJ210" s="6"/>
      <c r="DK210" s="6"/>
      <c r="DL210" s="10"/>
      <c r="DM210" s="6"/>
    </row>
    <row r="211" spans="1:117">
      <c r="A211" s="273">
        <v>207</v>
      </c>
      <c r="B211" s="6">
        <v>182</v>
      </c>
      <c r="C211" s="10">
        <v>660</v>
      </c>
      <c r="D211" s="6">
        <v>224</v>
      </c>
      <c r="E211" s="163" t="s">
        <v>75</v>
      </c>
      <c r="F211" s="141" t="s">
        <v>75</v>
      </c>
      <c r="G211" s="141" t="s">
        <v>75</v>
      </c>
      <c r="H211" s="141" t="s">
        <v>75</v>
      </c>
      <c r="I211" s="141" t="s">
        <v>75</v>
      </c>
      <c r="J211" s="141" t="s">
        <v>75</v>
      </c>
      <c r="K211" s="141" t="s">
        <v>75</v>
      </c>
      <c r="L211" s="141" t="s">
        <v>75</v>
      </c>
      <c r="M211" s="141" t="s">
        <v>75</v>
      </c>
      <c r="N211" s="141" t="s">
        <v>75</v>
      </c>
      <c r="O211" s="141" t="s">
        <v>75</v>
      </c>
      <c r="P211" s="141" t="s">
        <v>75</v>
      </c>
      <c r="Q211" s="141" t="s">
        <v>75</v>
      </c>
      <c r="R211" s="141" t="s">
        <v>75</v>
      </c>
      <c r="S211" s="141" t="s">
        <v>75</v>
      </c>
      <c r="T211" s="141" t="s">
        <v>75</v>
      </c>
      <c r="U211" s="141" t="s">
        <v>75</v>
      </c>
      <c r="V211" s="141" t="s">
        <v>75</v>
      </c>
      <c r="W211" s="141" t="s">
        <v>75</v>
      </c>
      <c r="X211" s="163" t="s">
        <v>291</v>
      </c>
      <c r="Y211" s="141" t="s">
        <v>291</v>
      </c>
      <c r="Z211" s="141" t="s">
        <v>291</v>
      </c>
      <c r="AA211" s="141" t="s">
        <v>291</v>
      </c>
      <c r="AB211" s="6">
        <v>457</v>
      </c>
      <c r="AC211" s="6"/>
      <c r="AD211" s="35">
        <f t="shared" si="66"/>
        <v>275</v>
      </c>
      <c r="AE211" s="6">
        <v>711</v>
      </c>
      <c r="AF211" s="6"/>
      <c r="AG211" s="35">
        <f t="shared" si="67"/>
        <v>254</v>
      </c>
      <c r="AH211" s="35">
        <v>971</v>
      </c>
      <c r="AI211" s="35"/>
      <c r="AJ211" s="35">
        <f t="shared" si="68"/>
        <v>260</v>
      </c>
      <c r="AK211" s="6">
        <v>115</v>
      </c>
      <c r="AL211" s="6">
        <v>1100</v>
      </c>
      <c r="AM211" s="35">
        <f t="shared" si="69"/>
        <v>244</v>
      </c>
      <c r="AN211" s="6"/>
      <c r="AO211" s="6"/>
      <c r="AP211" s="34"/>
      <c r="AQ211" s="35">
        <v>375</v>
      </c>
      <c r="AR211" s="35"/>
      <c r="AS211" s="35">
        <f t="shared" si="70"/>
        <v>260</v>
      </c>
      <c r="AT211" s="6">
        <v>629</v>
      </c>
      <c r="AU211" s="6"/>
      <c r="AV211" s="35">
        <f t="shared" si="71"/>
        <v>254</v>
      </c>
      <c r="AW211" s="6">
        <v>887</v>
      </c>
      <c r="AX211" s="6"/>
      <c r="AY211" s="35">
        <f t="shared" si="72"/>
        <v>258</v>
      </c>
      <c r="AZ211" s="35">
        <v>42</v>
      </c>
      <c r="BA211" s="35">
        <v>1100</v>
      </c>
      <c r="BB211" s="35">
        <f t="shared" si="73"/>
        <v>255</v>
      </c>
      <c r="BC211" s="35">
        <v>297</v>
      </c>
      <c r="BD211" s="6"/>
      <c r="BE211" s="35">
        <f t="shared" si="74"/>
        <v>255</v>
      </c>
      <c r="BF211" s="6">
        <v>547</v>
      </c>
      <c r="BG211" s="6"/>
      <c r="BH211" s="6">
        <f t="shared" si="75"/>
        <v>250</v>
      </c>
      <c r="BI211" s="6"/>
      <c r="BJ211" s="6"/>
      <c r="BK211" s="6"/>
      <c r="BL211" s="35">
        <v>810</v>
      </c>
      <c r="BM211" s="35"/>
      <c r="BN211" s="6">
        <f t="shared" si="76"/>
        <v>263</v>
      </c>
      <c r="BO211" s="35">
        <v>1064</v>
      </c>
      <c r="BP211" s="35"/>
      <c r="BQ211" s="35">
        <f t="shared" si="77"/>
        <v>254</v>
      </c>
      <c r="BR211" s="35">
        <v>222</v>
      </c>
      <c r="BS211" s="35">
        <v>1100</v>
      </c>
      <c r="BT211" s="6">
        <f t="shared" si="78"/>
        <v>258</v>
      </c>
      <c r="BU211" s="35">
        <v>477</v>
      </c>
      <c r="BV211" s="35"/>
      <c r="BW211" s="35">
        <f t="shared" si="79"/>
        <v>255</v>
      </c>
      <c r="BX211" s="35">
        <v>737</v>
      </c>
      <c r="BY211" s="6"/>
      <c r="BZ211" s="6">
        <f t="shared" si="80"/>
        <v>260</v>
      </c>
      <c r="CA211" s="6">
        <v>4</v>
      </c>
      <c r="CB211" s="6">
        <v>984</v>
      </c>
      <c r="CC211" s="6">
        <f t="shared" si="81"/>
        <v>251</v>
      </c>
      <c r="CD211" s="6"/>
      <c r="CE211" s="6"/>
      <c r="CF211" s="6"/>
      <c r="CG211" s="6">
        <v>269</v>
      </c>
      <c r="CH211" s="6"/>
      <c r="CI211" s="6">
        <f t="shared" si="82"/>
        <v>265</v>
      </c>
      <c r="CJ211" s="6">
        <v>0</v>
      </c>
      <c r="CK211" s="6">
        <v>507</v>
      </c>
      <c r="CL211" s="6">
        <f t="shared" si="83"/>
        <v>238</v>
      </c>
      <c r="CM211" s="6">
        <v>252</v>
      </c>
      <c r="CN211" s="6"/>
      <c r="CO211" s="6">
        <f t="shared" si="84"/>
        <v>252</v>
      </c>
      <c r="CP211" s="6">
        <v>515</v>
      </c>
      <c r="CQ211" s="6"/>
      <c r="CR211" s="6">
        <f t="shared" si="85"/>
        <v>263</v>
      </c>
      <c r="CS211" s="6">
        <v>92</v>
      </c>
      <c r="CT211" s="6">
        <v>677</v>
      </c>
      <c r="CU211" s="6">
        <f t="shared" si="86"/>
        <v>254</v>
      </c>
      <c r="CV211" s="6">
        <v>226</v>
      </c>
      <c r="CW211" s="6"/>
      <c r="CX211" s="6">
        <f t="shared" si="87"/>
        <v>134</v>
      </c>
      <c r="CY211" s="6"/>
      <c r="CZ211" s="6"/>
      <c r="DA211" s="6"/>
      <c r="DB211" s="6"/>
      <c r="DC211" s="6"/>
      <c r="DD211" s="6"/>
      <c r="DE211" s="6"/>
      <c r="DF211" s="10"/>
      <c r="DG211" s="6"/>
      <c r="DH211" s="6"/>
      <c r="DI211" s="10"/>
      <c r="DJ211" s="6"/>
      <c r="DK211" s="6"/>
      <c r="DL211" s="10"/>
      <c r="DM211" s="6"/>
    </row>
    <row r="212" spans="1:117">
      <c r="A212" s="6">
        <v>208</v>
      </c>
      <c r="B212" s="6">
        <v>178</v>
      </c>
      <c r="C212" s="10">
        <v>1100</v>
      </c>
      <c r="D212" s="6">
        <v>234</v>
      </c>
      <c r="E212" s="141" t="s">
        <v>72</v>
      </c>
      <c r="F212" s="141" t="s">
        <v>72</v>
      </c>
      <c r="G212" s="141" t="s">
        <v>72</v>
      </c>
      <c r="H212" s="141" t="s">
        <v>72</v>
      </c>
      <c r="I212" s="141" t="s">
        <v>72</v>
      </c>
      <c r="J212" s="141" t="s">
        <v>72</v>
      </c>
      <c r="K212" s="141" t="s">
        <v>72</v>
      </c>
      <c r="L212" s="141" t="s">
        <v>72</v>
      </c>
      <c r="M212" s="141" t="s">
        <v>72</v>
      </c>
      <c r="N212" s="141" t="s">
        <v>72</v>
      </c>
      <c r="O212" s="141" t="s">
        <v>72</v>
      </c>
      <c r="P212" s="163" t="s">
        <v>72</v>
      </c>
      <c r="Q212" s="141" t="s">
        <v>72</v>
      </c>
      <c r="R212" s="141" t="s">
        <v>72</v>
      </c>
      <c r="S212" s="141" t="s">
        <v>72</v>
      </c>
      <c r="T212" s="141" t="s">
        <v>72</v>
      </c>
      <c r="U212" s="141" t="s">
        <v>72</v>
      </c>
      <c r="V212" s="141" t="s">
        <v>72</v>
      </c>
      <c r="W212" s="141" t="s">
        <v>72</v>
      </c>
      <c r="X212" s="141" t="s">
        <v>72</v>
      </c>
      <c r="Y212" s="141" t="s">
        <v>72</v>
      </c>
      <c r="Z212" s="141" t="s">
        <v>72</v>
      </c>
      <c r="AA212" s="141" t="s">
        <v>72</v>
      </c>
      <c r="AB212" s="6">
        <v>441</v>
      </c>
      <c r="AC212" s="6"/>
      <c r="AD212" s="35">
        <f t="shared" si="66"/>
        <v>263</v>
      </c>
      <c r="AE212" s="6">
        <v>691</v>
      </c>
      <c r="AF212" s="6"/>
      <c r="AG212" s="35">
        <f t="shared" si="67"/>
        <v>250</v>
      </c>
      <c r="AH212" s="35">
        <v>946</v>
      </c>
      <c r="AI212" s="35"/>
      <c r="AJ212" s="35">
        <f t="shared" si="68"/>
        <v>255</v>
      </c>
      <c r="AK212" s="6">
        <v>79</v>
      </c>
      <c r="AL212" s="6">
        <v>1100</v>
      </c>
      <c r="AM212" s="35">
        <f t="shared" si="69"/>
        <v>233</v>
      </c>
      <c r="AN212" s="6"/>
      <c r="AO212" s="6"/>
      <c r="AP212" s="34"/>
      <c r="AQ212" s="35">
        <v>335</v>
      </c>
      <c r="AR212" s="35"/>
      <c r="AS212" s="35">
        <f t="shared" si="70"/>
        <v>256</v>
      </c>
      <c r="AT212" s="6">
        <v>573</v>
      </c>
      <c r="AU212" s="6"/>
      <c r="AV212" s="35">
        <f t="shared" si="71"/>
        <v>238</v>
      </c>
      <c r="AW212" s="6">
        <v>812</v>
      </c>
      <c r="AX212" s="6"/>
      <c r="AY212" s="35">
        <f t="shared" si="72"/>
        <v>239</v>
      </c>
      <c r="AZ212" s="35">
        <v>1050</v>
      </c>
      <c r="BA212" s="35"/>
      <c r="BB212" s="35">
        <f t="shared" si="73"/>
        <v>238</v>
      </c>
      <c r="BC212" s="35">
        <v>188</v>
      </c>
      <c r="BD212" s="6">
        <v>1100</v>
      </c>
      <c r="BE212" s="35">
        <f t="shared" si="74"/>
        <v>238</v>
      </c>
      <c r="BF212" s="6">
        <v>420</v>
      </c>
      <c r="BG212" s="6"/>
      <c r="BH212" s="6">
        <f t="shared" si="75"/>
        <v>232</v>
      </c>
      <c r="BI212" s="6"/>
      <c r="BJ212" s="6"/>
      <c r="BK212" s="6"/>
      <c r="BL212" s="35">
        <v>220</v>
      </c>
      <c r="BM212" s="35">
        <v>424</v>
      </c>
      <c r="BN212" s="6">
        <f t="shared" si="76"/>
        <v>224</v>
      </c>
      <c r="BO212" s="35">
        <v>452</v>
      </c>
      <c r="BP212" s="35"/>
      <c r="BQ212" s="35">
        <f t="shared" si="77"/>
        <v>232</v>
      </c>
      <c r="BR212" s="35">
        <v>684</v>
      </c>
      <c r="BS212" s="35"/>
      <c r="BT212" s="6">
        <f t="shared" si="78"/>
        <v>232</v>
      </c>
      <c r="BU212" s="35">
        <v>125</v>
      </c>
      <c r="BV212" s="35">
        <v>782</v>
      </c>
      <c r="BW212" s="35">
        <f t="shared" si="79"/>
        <v>223</v>
      </c>
      <c r="BX212" s="35">
        <v>363</v>
      </c>
      <c r="BY212" s="6"/>
      <c r="BZ212" s="6">
        <f t="shared" si="80"/>
        <v>238</v>
      </c>
      <c r="CA212" s="6">
        <v>593</v>
      </c>
      <c r="CB212" s="6"/>
      <c r="CC212" s="6">
        <f t="shared" si="81"/>
        <v>230</v>
      </c>
      <c r="CD212" s="6"/>
      <c r="CE212" s="6"/>
      <c r="CF212" s="6"/>
      <c r="CG212" s="6">
        <v>834</v>
      </c>
      <c r="CH212" s="6"/>
      <c r="CI212" s="6">
        <f t="shared" si="82"/>
        <v>241</v>
      </c>
      <c r="CJ212" s="6">
        <v>1069</v>
      </c>
      <c r="CK212" s="6"/>
      <c r="CL212" s="6">
        <f t="shared" si="83"/>
        <v>235</v>
      </c>
      <c r="CM212" s="6">
        <v>200</v>
      </c>
      <c r="CN212" s="6">
        <v>1100</v>
      </c>
      <c r="CO212" s="6">
        <f t="shared" si="84"/>
        <v>231</v>
      </c>
      <c r="CP212" s="6">
        <v>441</v>
      </c>
      <c r="CQ212" s="6"/>
      <c r="CR212" s="6">
        <f t="shared" si="85"/>
        <v>241</v>
      </c>
      <c r="CS212" s="6">
        <v>683</v>
      </c>
      <c r="CT212" s="35"/>
      <c r="CU212" s="6">
        <f t="shared" si="86"/>
        <v>242</v>
      </c>
      <c r="CV212" s="6">
        <v>806</v>
      </c>
      <c r="CW212" s="6"/>
      <c r="CX212" s="6">
        <f t="shared" si="87"/>
        <v>123</v>
      </c>
      <c r="CY212" s="6"/>
      <c r="CZ212" s="6"/>
      <c r="DA212" s="6"/>
      <c r="DB212" s="6"/>
      <c r="DC212" s="6"/>
      <c r="DD212" s="6"/>
      <c r="DE212" s="6"/>
      <c r="DF212" s="10"/>
      <c r="DG212" s="6"/>
      <c r="DH212" s="6"/>
      <c r="DI212" s="10"/>
      <c r="DJ212" s="6"/>
      <c r="DK212" s="6"/>
      <c r="DL212" s="10"/>
      <c r="DM212" s="6"/>
    </row>
    <row r="213" spans="1:117" ht="15.75" customHeight="1">
      <c r="A213" s="273">
        <v>209</v>
      </c>
      <c r="B213" s="6">
        <v>347</v>
      </c>
      <c r="C213" s="10"/>
      <c r="D213" s="6">
        <v>239</v>
      </c>
      <c r="E213" s="141" t="s">
        <v>75</v>
      </c>
      <c r="F213" s="141" t="s">
        <v>75</v>
      </c>
      <c r="G213" s="141" t="s">
        <v>75</v>
      </c>
      <c r="H213" s="141" t="s">
        <v>75</v>
      </c>
      <c r="I213" s="141" t="s">
        <v>75</v>
      </c>
      <c r="J213" s="141" t="s">
        <v>75</v>
      </c>
      <c r="K213" s="141" t="s">
        <v>75</v>
      </c>
      <c r="L213" s="141" t="s">
        <v>75</v>
      </c>
      <c r="M213" s="141" t="s">
        <v>75</v>
      </c>
      <c r="N213" s="141" t="s">
        <v>75</v>
      </c>
      <c r="O213" s="141" t="s">
        <v>75</v>
      </c>
      <c r="P213" s="141" t="s">
        <v>75</v>
      </c>
      <c r="Q213" s="141" t="s">
        <v>75</v>
      </c>
      <c r="R213" s="141" t="s">
        <v>75</v>
      </c>
      <c r="S213" s="163" t="s">
        <v>291</v>
      </c>
      <c r="T213" s="141" t="s">
        <v>291</v>
      </c>
      <c r="U213" s="141" t="s">
        <v>291</v>
      </c>
      <c r="V213" s="141" t="s">
        <v>291</v>
      </c>
      <c r="W213" s="141" t="s">
        <v>291</v>
      </c>
      <c r="X213" s="141" t="s">
        <v>291</v>
      </c>
      <c r="Y213" s="141" t="s">
        <v>291</v>
      </c>
      <c r="Z213" s="141" t="s">
        <v>291</v>
      </c>
      <c r="AA213" s="141" t="s">
        <v>291</v>
      </c>
      <c r="AB213" s="6">
        <v>623</v>
      </c>
      <c r="AC213" s="6"/>
      <c r="AD213" s="35">
        <f t="shared" si="66"/>
        <v>276</v>
      </c>
      <c r="AE213" s="6">
        <v>882</v>
      </c>
      <c r="AF213" s="6"/>
      <c r="AG213" s="35">
        <f t="shared" si="67"/>
        <v>259</v>
      </c>
      <c r="AH213" s="35">
        <v>44</v>
      </c>
      <c r="AI213" s="35">
        <v>1100</v>
      </c>
      <c r="AJ213" s="35">
        <f t="shared" si="68"/>
        <v>262</v>
      </c>
      <c r="AK213" s="6">
        <v>290</v>
      </c>
      <c r="AL213" s="6"/>
      <c r="AM213" s="35">
        <f t="shared" si="69"/>
        <v>246</v>
      </c>
      <c r="AN213" s="6"/>
      <c r="AO213" s="6"/>
      <c r="AP213" s="34"/>
      <c r="AQ213" s="35">
        <v>549</v>
      </c>
      <c r="AR213" s="35"/>
      <c r="AS213" s="35">
        <f t="shared" si="70"/>
        <v>259</v>
      </c>
      <c r="AT213" s="6">
        <v>803</v>
      </c>
      <c r="AU213" s="6"/>
      <c r="AV213" s="35">
        <f t="shared" si="71"/>
        <v>254</v>
      </c>
      <c r="AW213" s="6">
        <v>1061</v>
      </c>
      <c r="AX213" s="6"/>
      <c r="AY213" s="35">
        <f t="shared" si="72"/>
        <v>258</v>
      </c>
      <c r="AZ213" s="35">
        <v>216</v>
      </c>
      <c r="BA213" s="35">
        <v>1100</v>
      </c>
      <c r="BB213" s="35">
        <f t="shared" si="73"/>
        <v>255</v>
      </c>
      <c r="BC213" s="35">
        <v>468</v>
      </c>
      <c r="BD213" s="6"/>
      <c r="BE213" s="35">
        <f t="shared" si="74"/>
        <v>252</v>
      </c>
      <c r="BF213" s="6">
        <v>711</v>
      </c>
      <c r="BG213" s="6"/>
      <c r="BH213" s="6">
        <f t="shared" si="75"/>
        <v>243</v>
      </c>
      <c r="BI213" s="6"/>
      <c r="BJ213" s="6"/>
      <c r="BK213" s="6"/>
      <c r="BL213" s="35">
        <v>965</v>
      </c>
      <c r="BM213" s="35"/>
      <c r="BN213" s="6">
        <f t="shared" si="76"/>
        <v>254</v>
      </c>
      <c r="BO213" s="35">
        <v>152</v>
      </c>
      <c r="BP213" s="35">
        <v>1054</v>
      </c>
      <c r="BQ213" s="35">
        <f t="shared" si="77"/>
        <v>241</v>
      </c>
      <c r="BR213" s="35">
        <v>397</v>
      </c>
      <c r="BS213" s="35"/>
      <c r="BT213" s="6">
        <f t="shared" si="78"/>
        <v>245</v>
      </c>
      <c r="BU213" s="35">
        <v>188</v>
      </c>
      <c r="BV213" s="35">
        <v>426</v>
      </c>
      <c r="BW213" s="35">
        <f t="shared" si="79"/>
        <v>217</v>
      </c>
      <c r="BX213" s="35">
        <v>440</v>
      </c>
      <c r="BY213" s="6"/>
      <c r="BZ213" s="6">
        <f t="shared" si="80"/>
        <v>252</v>
      </c>
      <c r="CA213" s="6">
        <v>683</v>
      </c>
      <c r="CB213" s="6"/>
      <c r="CC213" s="6">
        <f t="shared" si="81"/>
        <v>243</v>
      </c>
      <c r="CD213" s="6"/>
      <c r="CE213" s="6"/>
      <c r="CF213" s="6"/>
      <c r="CG213" s="6">
        <v>943</v>
      </c>
      <c r="CH213" s="6"/>
      <c r="CI213" s="6">
        <f t="shared" si="82"/>
        <v>260</v>
      </c>
      <c r="CJ213" s="6">
        <v>118</v>
      </c>
      <c r="CK213" s="6">
        <v>1078</v>
      </c>
      <c r="CL213" s="6">
        <f t="shared" si="83"/>
        <v>253</v>
      </c>
      <c r="CM213" s="6">
        <v>370</v>
      </c>
      <c r="CN213" s="6"/>
      <c r="CO213" s="6">
        <f t="shared" si="84"/>
        <v>252</v>
      </c>
      <c r="CP213" s="6">
        <v>623</v>
      </c>
      <c r="CQ213" s="6"/>
      <c r="CR213" s="6">
        <f t="shared" si="85"/>
        <v>253</v>
      </c>
      <c r="CS213" s="6">
        <v>869</v>
      </c>
      <c r="CT213" s="6"/>
      <c r="CU213" s="6">
        <f t="shared" si="86"/>
        <v>246</v>
      </c>
      <c r="CV213" s="6">
        <v>1001</v>
      </c>
      <c r="CW213" s="6"/>
      <c r="CX213" s="6">
        <f t="shared" si="87"/>
        <v>132</v>
      </c>
      <c r="CY213" s="6"/>
      <c r="CZ213" s="6"/>
      <c r="DA213" s="6"/>
      <c r="DB213" s="6"/>
      <c r="DC213" s="6"/>
      <c r="DD213" s="6"/>
      <c r="DE213" s="6"/>
      <c r="DF213" s="10"/>
      <c r="DG213" s="6"/>
      <c r="DH213" s="6"/>
      <c r="DI213" s="10"/>
      <c r="DJ213" s="6"/>
      <c r="DK213" s="6"/>
      <c r="DL213" s="10"/>
      <c r="DM213" s="6"/>
    </row>
    <row r="214" spans="1:117">
      <c r="A214" s="6">
        <v>210</v>
      </c>
      <c r="B214" s="6">
        <v>772</v>
      </c>
      <c r="C214" s="10"/>
      <c r="D214" s="6">
        <v>235</v>
      </c>
      <c r="E214" s="141" t="s">
        <v>72</v>
      </c>
      <c r="F214" s="141" t="s">
        <v>72</v>
      </c>
      <c r="G214" s="141" t="s">
        <v>72</v>
      </c>
      <c r="H214" s="141" t="s">
        <v>72</v>
      </c>
      <c r="I214" s="141" t="s">
        <v>72</v>
      </c>
      <c r="J214" s="141" t="s">
        <v>72</v>
      </c>
      <c r="K214" s="141" t="s">
        <v>72</v>
      </c>
      <c r="L214" s="141" t="s">
        <v>72</v>
      </c>
      <c r="M214" s="163" t="s">
        <v>72</v>
      </c>
      <c r="N214" s="141" t="s">
        <v>72</v>
      </c>
      <c r="O214" s="141" t="s">
        <v>72</v>
      </c>
      <c r="P214" s="141" t="s">
        <v>72</v>
      </c>
      <c r="Q214" s="141" t="s">
        <v>72</v>
      </c>
      <c r="R214" s="141" t="s">
        <v>72</v>
      </c>
      <c r="S214" s="141" t="s">
        <v>72</v>
      </c>
      <c r="T214" s="141" t="s">
        <v>72</v>
      </c>
      <c r="U214" s="141" t="s">
        <v>72</v>
      </c>
      <c r="V214" s="141" t="s">
        <v>72</v>
      </c>
      <c r="W214" s="141" t="s">
        <v>72</v>
      </c>
      <c r="X214" s="141" t="s">
        <v>72</v>
      </c>
      <c r="Y214" s="141" t="s">
        <v>72</v>
      </c>
      <c r="Z214" s="141" t="s">
        <v>72</v>
      </c>
      <c r="AA214" s="141" t="s">
        <v>72</v>
      </c>
      <c r="AB214" s="6">
        <v>1040</v>
      </c>
      <c r="AC214" s="6"/>
      <c r="AD214" s="35">
        <f t="shared" si="66"/>
        <v>268</v>
      </c>
      <c r="AE214" s="6">
        <v>196</v>
      </c>
      <c r="AF214" s="6">
        <v>1096</v>
      </c>
      <c r="AG214" s="35">
        <f t="shared" si="67"/>
        <v>252</v>
      </c>
      <c r="AH214" s="35">
        <v>450</v>
      </c>
      <c r="AI214" s="35"/>
      <c r="AJ214" s="35">
        <f t="shared" si="68"/>
        <v>254</v>
      </c>
      <c r="AK214" s="6">
        <v>692</v>
      </c>
      <c r="AL214" s="6"/>
      <c r="AM214" s="35">
        <f t="shared" si="69"/>
        <v>242</v>
      </c>
      <c r="AN214" s="6"/>
      <c r="AO214" s="6"/>
      <c r="AP214" s="34"/>
      <c r="AQ214" s="35">
        <v>951</v>
      </c>
      <c r="AR214" s="35"/>
      <c r="AS214" s="35">
        <f t="shared" si="70"/>
        <v>259</v>
      </c>
      <c r="AT214" s="6">
        <v>90</v>
      </c>
      <c r="AU214" s="6">
        <v>1100</v>
      </c>
      <c r="AV214" s="35">
        <f t="shared" si="71"/>
        <v>239</v>
      </c>
      <c r="AW214" s="35">
        <v>327</v>
      </c>
      <c r="AX214" s="6"/>
      <c r="AY214" s="35">
        <f t="shared" si="72"/>
        <v>237</v>
      </c>
      <c r="AZ214" s="35">
        <v>166</v>
      </c>
      <c r="BA214" s="35">
        <v>385</v>
      </c>
      <c r="BB214" s="35">
        <f t="shared" si="73"/>
        <v>224</v>
      </c>
      <c r="BC214" s="35">
        <v>399</v>
      </c>
      <c r="BD214" s="6"/>
      <c r="BE214" s="35">
        <f t="shared" si="74"/>
        <v>233</v>
      </c>
      <c r="BF214" s="6">
        <v>630</v>
      </c>
      <c r="BG214" s="6"/>
      <c r="BH214" s="6">
        <f t="shared" si="75"/>
        <v>231</v>
      </c>
      <c r="BI214" s="6"/>
      <c r="BJ214" s="6"/>
      <c r="BK214" s="6"/>
      <c r="BL214" s="35">
        <v>872</v>
      </c>
      <c r="BM214" s="35"/>
      <c r="BN214" s="6">
        <f t="shared" si="76"/>
        <v>242</v>
      </c>
      <c r="BO214" s="35">
        <v>2</v>
      </c>
      <c r="BP214" s="35">
        <v>1100</v>
      </c>
      <c r="BQ214" s="35">
        <f t="shared" si="77"/>
        <v>230</v>
      </c>
      <c r="BR214" s="35">
        <v>238</v>
      </c>
      <c r="BS214" s="35"/>
      <c r="BT214" s="6">
        <f t="shared" si="78"/>
        <v>236</v>
      </c>
      <c r="BU214" s="35">
        <v>473</v>
      </c>
      <c r="BV214" s="35"/>
      <c r="BW214" s="35">
        <f t="shared" si="79"/>
        <v>235</v>
      </c>
      <c r="BX214" s="35">
        <v>710</v>
      </c>
      <c r="BY214" s="6"/>
      <c r="BZ214" s="6">
        <f t="shared" si="80"/>
        <v>237</v>
      </c>
      <c r="CA214" s="6">
        <v>935</v>
      </c>
      <c r="CB214" s="6"/>
      <c r="CC214" s="6">
        <f t="shared" si="81"/>
        <v>225</v>
      </c>
      <c r="CD214" s="6"/>
      <c r="CE214" s="6"/>
      <c r="CF214" s="6"/>
      <c r="CG214" s="6">
        <v>77</v>
      </c>
      <c r="CH214" s="6">
        <v>1100</v>
      </c>
      <c r="CI214" s="6">
        <f t="shared" si="82"/>
        <v>242</v>
      </c>
      <c r="CJ214" s="6">
        <v>310</v>
      </c>
      <c r="CK214" s="6"/>
      <c r="CL214" s="6">
        <f t="shared" si="83"/>
        <v>233</v>
      </c>
      <c r="CM214" s="6">
        <v>548</v>
      </c>
      <c r="CN214" s="6"/>
      <c r="CO214" s="6">
        <f t="shared" si="84"/>
        <v>238</v>
      </c>
      <c r="CP214" s="6">
        <v>787</v>
      </c>
      <c r="CQ214" s="6"/>
      <c r="CR214" s="6">
        <f t="shared" si="85"/>
        <v>239</v>
      </c>
      <c r="CS214" s="6">
        <v>1028</v>
      </c>
      <c r="CT214" s="6"/>
      <c r="CU214" s="6">
        <f t="shared" si="86"/>
        <v>241</v>
      </c>
      <c r="CV214" s="6">
        <v>52</v>
      </c>
      <c r="CW214" s="6">
        <v>1100</v>
      </c>
      <c r="CX214" s="6">
        <f t="shared" si="87"/>
        <v>124</v>
      </c>
      <c r="CY214" s="6"/>
      <c r="CZ214" s="6"/>
      <c r="DA214" s="6"/>
      <c r="DB214" s="6"/>
      <c r="DC214" s="6"/>
      <c r="DD214" s="6"/>
      <c r="DE214" s="6"/>
      <c r="DF214" s="10"/>
      <c r="DG214" s="6"/>
      <c r="DH214" s="6"/>
      <c r="DI214" s="10"/>
      <c r="DJ214" s="6"/>
      <c r="DK214" s="6"/>
      <c r="DL214" s="10"/>
      <c r="DM214" s="6"/>
    </row>
    <row r="215" spans="1:117">
      <c r="A215" s="273">
        <v>211</v>
      </c>
      <c r="B215" s="6">
        <v>247</v>
      </c>
      <c r="C215" s="10"/>
      <c r="D215" s="6">
        <v>230</v>
      </c>
      <c r="E215" s="141" t="s">
        <v>75</v>
      </c>
      <c r="F215" s="141" t="s">
        <v>75</v>
      </c>
      <c r="G215" s="141" t="s">
        <v>75</v>
      </c>
      <c r="H215" s="141" t="s">
        <v>75</v>
      </c>
      <c r="I215" s="141" t="s">
        <v>75</v>
      </c>
      <c r="J215" s="141" t="s">
        <v>75</v>
      </c>
      <c r="K215" s="141" t="s">
        <v>75</v>
      </c>
      <c r="L215" s="141" t="s">
        <v>75</v>
      </c>
      <c r="M215" s="141" t="s">
        <v>75</v>
      </c>
      <c r="N215" s="141" t="s">
        <v>75</v>
      </c>
      <c r="O215" s="163" t="s">
        <v>291</v>
      </c>
      <c r="P215" s="141" t="s">
        <v>291</v>
      </c>
      <c r="Q215" s="141" t="s">
        <v>291</v>
      </c>
      <c r="R215" s="141" t="s">
        <v>291</v>
      </c>
      <c r="S215" s="141" t="s">
        <v>291</v>
      </c>
      <c r="T215" s="141" t="s">
        <v>291</v>
      </c>
      <c r="U215" s="141" t="s">
        <v>291</v>
      </c>
      <c r="V215" s="141" t="s">
        <v>291</v>
      </c>
      <c r="W215" s="141" t="s">
        <v>291</v>
      </c>
      <c r="X215" s="141" t="s">
        <v>291</v>
      </c>
      <c r="Y215" s="141" t="s">
        <v>291</v>
      </c>
      <c r="Z215" s="141" t="s">
        <v>291</v>
      </c>
      <c r="AA215" s="141" t="s">
        <v>291</v>
      </c>
      <c r="AB215" s="6">
        <v>2</v>
      </c>
      <c r="AC215" s="6">
        <v>513</v>
      </c>
      <c r="AD215" s="35">
        <f t="shared" si="66"/>
        <v>268</v>
      </c>
      <c r="AE215" s="6">
        <v>256</v>
      </c>
      <c r="AF215" s="6"/>
      <c r="AG215" s="35">
        <f t="shared" si="67"/>
        <v>254</v>
      </c>
      <c r="AH215" s="35">
        <v>508</v>
      </c>
      <c r="AI215" s="35"/>
      <c r="AJ215" s="35">
        <f t="shared" si="68"/>
        <v>252</v>
      </c>
      <c r="AK215" s="6">
        <v>741</v>
      </c>
      <c r="AL215" s="6"/>
      <c r="AM215" s="35">
        <f t="shared" si="69"/>
        <v>233</v>
      </c>
      <c r="AN215" s="6"/>
      <c r="AO215" s="6"/>
      <c r="AP215" s="34"/>
      <c r="AQ215" s="35">
        <v>993</v>
      </c>
      <c r="AR215" s="35"/>
      <c r="AS215" s="35">
        <f t="shared" si="70"/>
        <v>252</v>
      </c>
      <c r="AT215" s="6">
        <v>145</v>
      </c>
      <c r="AU215" s="6">
        <v>1100</v>
      </c>
      <c r="AV215" s="35">
        <f t="shared" si="71"/>
        <v>252</v>
      </c>
      <c r="AW215" s="6">
        <v>398</v>
      </c>
      <c r="AX215" s="6"/>
      <c r="AY215" s="35">
        <f t="shared" si="72"/>
        <v>253</v>
      </c>
      <c r="AZ215" s="35">
        <v>652</v>
      </c>
      <c r="BA215" s="35"/>
      <c r="BB215" s="35">
        <f t="shared" si="73"/>
        <v>254</v>
      </c>
      <c r="BC215" s="35">
        <v>906</v>
      </c>
      <c r="BD215" s="6"/>
      <c r="BE215" s="35">
        <f t="shared" si="74"/>
        <v>254</v>
      </c>
      <c r="BF215" s="6">
        <v>169</v>
      </c>
      <c r="BG215" s="6">
        <v>966</v>
      </c>
      <c r="BH215" s="6">
        <f t="shared" si="75"/>
        <v>229</v>
      </c>
      <c r="BI215" s="6"/>
      <c r="BJ215" s="6"/>
      <c r="BK215" s="6"/>
      <c r="BL215" s="35">
        <v>429</v>
      </c>
      <c r="BM215" s="35"/>
      <c r="BN215" s="6">
        <f t="shared" si="76"/>
        <v>260</v>
      </c>
      <c r="BO215" s="35">
        <v>679</v>
      </c>
      <c r="BP215" s="35"/>
      <c r="BQ215" s="35">
        <f t="shared" si="77"/>
        <v>250</v>
      </c>
      <c r="BR215" s="35">
        <v>933</v>
      </c>
      <c r="BS215" s="35"/>
      <c r="BT215" s="6">
        <f t="shared" si="78"/>
        <v>254</v>
      </c>
      <c r="BU215" s="35">
        <v>89</v>
      </c>
      <c r="BV215" s="35">
        <v>1100</v>
      </c>
      <c r="BW215" s="35">
        <f t="shared" si="79"/>
        <v>256</v>
      </c>
      <c r="BX215" s="35">
        <v>347</v>
      </c>
      <c r="BY215" s="6"/>
      <c r="BZ215" s="6">
        <f t="shared" si="80"/>
        <v>258</v>
      </c>
      <c r="CA215" s="6">
        <v>597</v>
      </c>
      <c r="CB215" s="6"/>
      <c r="CC215" s="6">
        <f t="shared" si="81"/>
        <v>250</v>
      </c>
      <c r="CD215" s="6"/>
      <c r="CE215" s="6"/>
      <c r="CF215" s="6"/>
      <c r="CG215" s="6">
        <v>129</v>
      </c>
      <c r="CH215" s="6">
        <v>731</v>
      </c>
      <c r="CI215" s="6">
        <f t="shared" si="82"/>
        <v>263</v>
      </c>
      <c r="CJ215" s="6">
        <v>386</v>
      </c>
      <c r="CK215" s="6"/>
      <c r="CL215" s="6">
        <f t="shared" si="83"/>
        <v>257</v>
      </c>
      <c r="CM215" s="6">
        <v>643</v>
      </c>
      <c r="CN215" s="6"/>
      <c r="CO215" s="6">
        <f t="shared" si="84"/>
        <v>257</v>
      </c>
      <c r="CP215" s="6">
        <v>904</v>
      </c>
      <c r="CQ215" s="6"/>
      <c r="CR215" s="6">
        <f t="shared" si="85"/>
        <v>261</v>
      </c>
      <c r="CS215" s="6">
        <v>104</v>
      </c>
      <c r="CT215" s="35">
        <v>1063</v>
      </c>
      <c r="CU215" s="6">
        <f t="shared" si="86"/>
        <v>263</v>
      </c>
      <c r="CV215" s="6">
        <v>241</v>
      </c>
      <c r="CW215" s="6"/>
      <c r="CX215" s="6">
        <f t="shared" si="87"/>
        <v>137</v>
      </c>
      <c r="CY215" s="6"/>
      <c r="CZ215" s="6"/>
      <c r="DA215" s="6"/>
      <c r="DB215" s="6"/>
      <c r="DC215" s="6"/>
      <c r="DD215" s="6"/>
      <c r="DE215" s="6"/>
      <c r="DF215" s="10"/>
      <c r="DG215" s="6"/>
      <c r="DH215" s="6"/>
      <c r="DI215" s="10"/>
      <c r="DJ215" s="6"/>
      <c r="DK215" s="6"/>
      <c r="DL215" s="10"/>
      <c r="DM215" s="6"/>
    </row>
    <row r="216" spans="1:117">
      <c r="A216" s="273">
        <v>212</v>
      </c>
      <c r="B216" s="6">
        <v>118</v>
      </c>
      <c r="C216" s="10">
        <v>1100</v>
      </c>
      <c r="D216" s="6">
        <v>235</v>
      </c>
      <c r="E216" s="141" t="s">
        <v>75</v>
      </c>
      <c r="F216" s="141" t="s">
        <v>75</v>
      </c>
      <c r="G216" s="141" t="s">
        <v>75</v>
      </c>
      <c r="H216" s="141" t="s">
        <v>75</v>
      </c>
      <c r="I216" s="141" t="s">
        <v>75</v>
      </c>
      <c r="J216" s="141" t="s">
        <v>75</v>
      </c>
      <c r="K216" s="141" t="s">
        <v>75</v>
      </c>
      <c r="L216" s="141" t="s">
        <v>75</v>
      </c>
      <c r="M216" s="141" t="s">
        <v>75</v>
      </c>
      <c r="N216" s="141" t="s">
        <v>75</v>
      </c>
      <c r="O216" s="141" t="s">
        <v>75</v>
      </c>
      <c r="P216" s="141" t="s">
        <v>75</v>
      </c>
      <c r="Q216" s="141" t="s">
        <v>75</v>
      </c>
      <c r="R216" s="141" t="s">
        <v>75</v>
      </c>
      <c r="S216" s="141" t="s">
        <v>75</v>
      </c>
      <c r="T216" s="141" t="s">
        <v>75</v>
      </c>
      <c r="U216" s="163" t="s">
        <v>291</v>
      </c>
      <c r="V216" s="141" t="s">
        <v>291</v>
      </c>
      <c r="W216" s="141" t="s">
        <v>291</v>
      </c>
      <c r="X216" s="141" t="s">
        <v>291</v>
      </c>
      <c r="Y216" s="141" t="s">
        <v>291</v>
      </c>
      <c r="Z216" s="141" t="s">
        <v>291</v>
      </c>
      <c r="AA216" s="141" t="s">
        <v>291</v>
      </c>
      <c r="AB216" s="6">
        <v>385</v>
      </c>
      <c r="AC216" s="6"/>
      <c r="AD216" s="35">
        <f t="shared" si="66"/>
        <v>267</v>
      </c>
      <c r="AE216" s="6">
        <v>637</v>
      </c>
      <c r="AF216" s="6"/>
      <c r="AG216" s="35">
        <f t="shared" si="67"/>
        <v>252</v>
      </c>
      <c r="AH216" s="35">
        <v>890</v>
      </c>
      <c r="AI216" s="35"/>
      <c r="AJ216" s="35">
        <f t="shared" si="68"/>
        <v>253</v>
      </c>
      <c r="AK216" s="6">
        <v>26</v>
      </c>
      <c r="AL216" s="6">
        <v>1100</v>
      </c>
      <c r="AM216" s="35">
        <f t="shared" si="69"/>
        <v>236</v>
      </c>
      <c r="AN216" s="6"/>
      <c r="AO216" s="35"/>
      <c r="AP216" s="34"/>
      <c r="AQ216" s="35">
        <v>276</v>
      </c>
      <c r="AR216" s="35"/>
      <c r="AS216" s="35">
        <f t="shared" si="70"/>
        <v>250</v>
      </c>
      <c r="AT216" s="35">
        <v>524</v>
      </c>
      <c r="AU216" s="6"/>
      <c r="AV216" s="35">
        <f t="shared" si="71"/>
        <v>248</v>
      </c>
      <c r="AW216" s="6">
        <v>216</v>
      </c>
      <c r="AX216" s="6">
        <v>559</v>
      </c>
      <c r="AY216" s="35">
        <f t="shared" si="72"/>
        <v>251</v>
      </c>
      <c r="AZ216" s="35">
        <v>468</v>
      </c>
      <c r="BA216" s="35"/>
      <c r="BB216" s="35">
        <f t="shared" si="73"/>
        <v>252</v>
      </c>
      <c r="BC216" s="35">
        <v>716</v>
      </c>
      <c r="BD216" s="6"/>
      <c r="BE216" s="35">
        <f t="shared" si="74"/>
        <v>248</v>
      </c>
      <c r="BF216" s="6">
        <v>957</v>
      </c>
      <c r="BG216" s="6"/>
      <c r="BH216" s="6">
        <f t="shared" si="75"/>
        <v>241</v>
      </c>
      <c r="BI216" s="6"/>
      <c r="BJ216" s="6"/>
      <c r="BK216" s="6"/>
      <c r="BL216" s="35">
        <v>110</v>
      </c>
      <c r="BM216" s="35">
        <v>1100</v>
      </c>
      <c r="BN216" s="6">
        <f t="shared" si="76"/>
        <v>253</v>
      </c>
      <c r="BO216" s="35">
        <v>358</v>
      </c>
      <c r="BP216" s="35"/>
      <c r="BQ216" s="35">
        <f t="shared" si="77"/>
        <v>248</v>
      </c>
      <c r="BR216" s="35">
        <v>609</v>
      </c>
      <c r="BS216" s="35"/>
      <c r="BT216" s="6">
        <f t="shared" si="78"/>
        <v>251</v>
      </c>
      <c r="BU216" s="35">
        <v>861</v>
      </c>
      <c r="BV216" s="35"/>
      <c r="BW216" s="35">
        <f t="shared" si="79"/>
        <v>252</v>
      </c>
      <c r="BX216" s="35">
        <v>0</v>
      </c>
      <c r="BY216" s="6">
        <v>959</v>
      </c>
      <c r="BZ216" s="6">
        <f t="shared" si="80"/>
        <v>98</v>
      </c>
      <c r="CA216" s="6">
        <v>158</v>
      </c>
      <c r="CB216" s="6"/>
      <c r="CC216" s="6">
        <f t="shared" si="81"/>
        <v>158</v>
      </c>
      <c r="CD216" s="6"/>
      <c r="CE216" s="6"/>
      <c r="CF216" s="6"/>
      <c r="CG216" s="6">
        <v>412</v>
      </c>
      <c r="CH216" s="6"/>
      <c r="CI216" s="6">
        <f t="shared" si="82"/>
        <v>254</v>
      </c>
      <c r="CJ216" s="6">
        <v>666</v>
      </c>
      <c r="CK216" s="6"/>
      <c r="CL216" s="6">
        <f t="shared" si="83"/>
        <v>254</v>
      </c>
      <c r="CM216" s="6">
        <v>919</v>
      </c>
      <c r="CN216" s="6"/>
      <c r="CO216" s="6">
        <f t="shared" si="84"/>
        <v>253</v>
      </c>
      <c r="CP216" s="6">
        <v>77</v>
      </c>
      <c r="CQ216" s="6">
        <v>1100</v>
      </c>
      <c r="CR216" s="6">
        <f t="shared" si="85"/>
        <v>258</v>
      </c>
      <c r="CS216" s="6">
        <v>335</v>
      </c>
      <c r="CT216" s="6"/>
      <c r="CU216" s="6">
        <f t="shared" si="86"/>
        <v>258</v>
      </c>
      <c r="CV216" s="6">
        <v>470</v>
      </c>
      <c r="CW216" s="6"/>
      <c r="CX216" s="6">
        <f t="shared" si="87"/>
        <v>135</v>
      </c>
      <c r="CY216" s="6"/>
      <c r="CZ216" s="6"/>
      <c r="DA216" s="6"/>
      <c r="DB216" s="6"/>
      <c r="DC216" s="6"/>
      <c r="DD216" s="6"/>
      <c r="DE216" s="6"/>
      <c r="DF216" s="10"/>
      <c r="DG216" s="6"/>
      <c r="DH216" s="6"/>
      <c r="DI216" s="10"/>
      <c r="DJ216" s="6"/>
      <c r="DK216" s="6"/>
      <c r="DL216" s="10"/>
      <c r="DM216" s="6"/>
    </row>
    <row r="217" spans="1:117">
      <c r="A217" s="151">
        <v>213</v>
      </c>
      <c r="B217" s="6">
        <v>988</v>
      </c>
      <c r="C217" s="10"/>
      <c r="D217" s="6">
        <v>230</v>
      </c>
      <c r="E217" s="141" t="s">
        <v>72</v>
      </c>
      <c r="F217" s="141" t="s">
        <v>72</v>
      </c>
      <c r="G217" s="141" t="s">
        <v>72</v>
      </c>
      <c r="H217" s="141" t="s">
        <v>72</v>
      </c>
      <c r="I217" s="141" t="s">
        <v>72</v>
      </c>
      <c r="J217" s="141" t="s">
        <v>72</v>
      </c>
      <c r="K217" s="141" t="s">
        <v>72</v>
      </c>
      <c r="L217" s="141" t="s">
        <v>72</v>
      </c>
      <c r="M217" s="163" t="s">
        <v>72</v>
      </c>
      <c r="N217" s="141" t="s">
        <v>72</v>
      </c>
      <c r="O217" s="141" t="s">
        <v>72</v>
      </c>
      <c r="P217" s="141" t="s">
        <v>72</v>
      </c>
      <c r="Q217" s="141" t="s">
        <v>72</v>
      </c>
      <c r="R217" s="141" t="s">
        <v>72</v>
      </c>
      <c r="S217" s="141" t="s">
        <v>72</v>
      </c>
      <c r="T217" s="141" t="s">
        <v>72</v>
      </c>
      <c r="U217" s="141" t="s">
        <v>72</v>
      </c>
      <c r="V217" s="141" t="s">
        <v>72</v>
      </c>
      <c r="W217" s="141" t="s">
        <v>72</v>
      </c>
      <c r="X217" s="141" t="s">
        <v>72</v>
      </c>
      <c r="Y217" s="141" t="s">
        <v>72</v>
      </c>
      <c r="Z217" s="141" t="s">
        <v>72</v>
      </c>
      <c r="AA217" s="141" t="s">
        <v>72</v>
      </c>
      <c r="AB217" s="6">
        <v>156</v>
      </c>
      <c r="AC217" s="6">
        <v>1100</v>
      </c>
      <c r="AD217" s="35">
        <f t="shared" si="66"/>
        <v>268</v>
      </c>
      <c r="AE217" s="6">
        <v>412</v>
      </c>
      <c r="AF217" s="6"/>
      <c r="AG217" s="35">
        <f t="shared" si="67"/>
        <v>256</v>
      </c>
      <c r="AH217" s="35">
        <v>671</v>
      </c>
      <c r="AI217" s="35"/>
      <c r="AJ217" s="35">
        <f t="shared" si="68"/>
        <v>259</v>
      </c>
      <c r="AK217" s="6">
        <v>915</v>
      </c>
      <c r="AL217" s="6"/>
      <c r="AM217" s="35">
        <f t="shared" si="69"/>
        <v>244</v>
      </c>
      <c r="AN217" s="6"/>
      <c r="AO217" s="6"/>
      <c r="AP217" s="34"/>
      <c r="AQ217" s="35">
        <v>66</v>
      </c>
      <c r="AR217" s="35">
        <v>1100</v>
      </c>
      <c r="AS217" s="35">
        <f t="shared" si="70"/>
        <v>251</v>
      </c>
      <c r="AT217" s="6">
        <v>297</v>
      </c>
      <c r="AU217" s="6"/>
      <c r="AV217" s="35">
        <f t="shared" si="71"/>
        <v>231</v>
      </c>
      <c r="AW217" s="6">
        <v>0</v>
      </c>
      <c r="AX217" s="6">
        <v>386</v>
      </c>
      <c r="AY217" s="35">
        <f t="shared" si="72"/>
        <v>89</v>
      </c>
      <c r="AZ217" s="35">
        <v>231</v>
      </c>
      <c r="BA217" s="35"/>
      <c r="BB217" s="35">
        <f t="shared" si="73"/>
        <v>231</v>
      </c>
      <c r="BC217" s="35">
        <v>468</v>
      </c>
      <c r="BD217" s="6"/>
      <c r="BE217" s="35">
        <f t="shared" si="74"/>
        <v>237</v>
      </c>
      <c r="BF217" s="6">
        <v>700</v>
      </c>
      <c r="BG217" s="6"/>
      <c r="BH217" s="6">
        <f t="shared" si="75"/>
        <v>232</v>
      </c>
      <c r="BI217" s="6"/>
      <c r="BJ217" s="6"/>
      <c r="BK217" s="6"/>
      <c r="BL217" s="35">
        <v>942</v>
      </c>
      <c r="BM217" s="35"/>
      <c r="BN217" s="6">
        <f t="shared" si="76"/>
        <v>242</v>
      </c>
      <c r="BO217" s="35">
        <v>70</v>
      </c>
      <c r="BP217" s="35">
        <v>1105</v>
      </c>
      <c r="BQ217" s="35">
        <f t="shared" si="77"/>
        <v>233</v>
      </c>
      <c r="BR217" s="35">
        <v>309</v>
      </c>
      <c r="BS217" s="35"/>
      <c r="BT217" s="6">
        <f t="shared" si="78"/>
        <v>239</v>
      </c>
      <c r="BU217" s="35">
        <v>546</v>
      </c>
      <c r="BV217" s="35"/>
      <c r="BW217" s="35">
        <f t="shared" si="79"/>
        <v>237</v>
      </c>
      <c r="BX217" s="35">
        <v>781</v>
      </c>
      <c r="BY217" s="6"/>
      <c r="BZ217" s="6">
        <f t="shared" si="80"/>
        <v>235</v>
      </c>
      <c r="CA217" s="35">
        <v>1013</v>
      </c>
      <c r="CB217" s="6"/>
      <c r="CC217" s="6">
        <f t="shared" si="81"/>
        <v>232</v>
      </c>
      <c r="CD217" s="6"/>
      <c r="CE217" s="6"/>
      <c r="CF217" s="6"/>
      <c r="CG217" s="6">
        <v>158</v>
      </c>
      <c r="CH217" s="6">
        <v>1100</v>
      </c>
      <c r="CI217" s="6">
        <f t="shared" si="82"/>
        <v>245</v>
      </c>
      <c r="CJ217" s="6">
        <v>397</v>
      </c>
      <c r="CK217" s="6"/>
      <c r="CL217" s="6">
        <f t="shared" si="83"/>
        <v>239</v>
      </c>
      <c r="CM217" s="6">
        <v>640</v>
      </c>
      <c r="CN217" s="6"/>
      <c r="CO217" s="6">
        <f t="shared" si="84"/>
        <v>243</v>
      </c>
      <c r="CP217" s="6">
        <v>878</v>
      </c>
      <c r="CQ217" s="6"/>
      <c r="CR217" s="6">
        <f t="shared" si="85"/>
        <v>238</v>
      </c>
      <c r="CS217" s="6">
        <v>22</v>
      </c>
      <c r="CT217" s="6">
        <v>1100</v>
      </c>
      <c r="CU217" s="6">
        <f t="shared" si="86"/>
        <v>244</v>
      </c>
      <c r="CV217" s="6">
        <v>153</v>
      </c>
      <c r="CW217" s="6"/>
      <c r="CX217" s="6">
        <f t="shared" si="87"/>
        <v>131</v>
      </c>
      <c r="CY217" s="6"/>
      <c r="CZ217" s="6"/>
      <c r="DA217" s="6"/>
      <c r="DB217" s="6"/>
      <c r="DC217" s="6"/>
      <c r="DD217" s="6"/>
      <c r="DE217" s="6"/>
      <c r="DF217" s="10"/>
      <c r="DG217" s="6"/>
      <c r="DH217" s="6"/>
      <c r="DI217" s="10"/>
      <c r="DJ217" s="6"/>
      <c r="DK217" s="6"/>
      <c r="DL217" s="10"/>
      <c r="DM217" s="6"/>
    </row>
    <row r="218" spans="1:117">
      <c r="A218" s="273">
        <v>214</v>
      </c>
      <c r="B218" s="6">
        <v>114</v>
      </c>
      <c r="C218" s="10">
        <v>1100</v>
      </c>
      <c r="D218" s="6">
        <v>236</v>
      </c>
      <c r="E218" s="141" t="s">
        <v>75</v>
      </c>
      <c r="F218" s="141" t="s">
        <v>75</v>
      </c>
      <c r="G218" s="141" t="s">
        <v>75</v>
      </c>
      <c r="H218" s="141" t="s">
        <v>75</v>
      </c>
      <c r="I218" s="141" t="s">
        <v>75</v>
      </c>
      <c r="J218" s="141" t="s">
        <v>75</v>
      </c>
      <c r="K218" s="141" t="s">
        <v>75</v>
      </c>
      <c r="L218" s="141" t="s">
        <v>75</v>
      </c>
      <c r="M218" s="141" t="s">
        <v>75</v>
      </c>
      <c r="N218" s="141" t="s">
        <v>75</v>
      </c>
      <c r="O218" s="141" t="s">
        <v>75</v>
      </c>
      <c r="P218" s="141" t="s">
        <v>75</v>
      </c>
      <c r="Q218" s="141" t="s">
        <v>75</v>
      </c>
      <c r="R218" s="141" t="s">
        <v>75</v>
      </c>
      <c r="S218" s="141" t="s">
        <v>75</v>
      </c>
      <c r="T218" s="141" t="s">
        <v>75</v>
      </c>
      <c r="U218" s="163" t="s">
        <v>291</v>
      </c>
      <c r="V218" s="141" t="s">
        <v>291</v>
      </c>
      <c r="W218" s="141" t="s">
        <v>291</v>
      </c>
      <c r="X218" s="141" t="s">
        <v>291</v>
      </c>
      <c r="Y218" s="141" t="s">
        <v>291</v>
      </c>
      <c r="Z218" s="141" t="s">
        <v>291</v>
      </c>
      <c r="AA218" s="141" t="s">
        <v>291</v>
      </c>
      <c r="AB218" s="6">
        <v>377</v>
      </c>
      <c r="AC218" s="6"/>
      <c r="AD218" s="35">
        <f t="shared" si="66"/>
        <v>263</v>
      </c>
      <c r="AE218" s="6">
        <v>630</v>
      </c>
      <c r="AF218" s="6"/>
      <c r="AG218" s="35">
        <f t="shared" si="67"/>
        <v>253</v>
      </c>
      <c r="AH218" s="35">
        <v>878</v>
      </c>
      <c r="AI218" s="35"/>
      <c r="AJ218" s="35">
        <f t="shared" si="68"/>
        <v>248</v>
      </c>
      <c r="AK218" s="6">
        <v>19</v>
      </c>
      <c r="AL218" s="6">
        <v>1100</v>
      </c>
      <c r="AM218" s="35">
        <f t="shared" si="69"/>
        <v>241</v>
      </c>
      <c r="AN218" s="6"/>
      <c r="AO218" s="6"/>
      <c r="AP218" s="34"/>
      <c r="AQ218" s="35">
        <v>275</v>
      </c>
      <c r="AR218" s="35"/>
      <c r="AS218" s="35">
        <f t="shared" si="70"/>
        <v>256</v>
      </c>
      <c r="AT218" s="6">
        <v>524</v>
      </c>
      <c r="AU218" s="6"/>
      <c r="AV218" s="35">
        <f t="shared" si="71"/>
        <v>249</v>
      </c>
      <c r="AW218" s="6">
        <v>781</v>
      </c>
      <c r="AX218" s="6"/>
      <c r="AY218" s="35">
        <f t="shared" si="72"/>
        <v>257</v>
      </c>
      <c r="AZ218" s="35">
        <v>1035</v>
      </c>
      <c r="BA218" s="35"/>
      <c r="BB218" s="35">
        <f t="shared" si="73"/>
        <v>254</v>
      </c>
      <c r="BC218" s="35">
        <v>171</v>
      </c>
      <c r="BD218" s="6">
        <v>1100</v>
      </c>
      <c r="BE218" s="35">
        <f t="shared" si="74"/>
        <v>236</v>
      </c>
      <c r="BF218" s="6">
        <v>389</v>
      </c>
      <c r="BG218" s="6"/>
      <c r="BH218" s="6">
        <f t="shared" si="75"/>
        <v>218</v>
      </c>
      <c r="BI218" s="6"/>
      <c r="BJ218" s="6"/>
      <c r="BK218" s="6"/>
      <c r="BL218" s="35">
        <v>649</v>
      </c>
      <c r="BM218" s="35"/>
      <c r="BN218" s="6">
        <f t="shared" si="76"/>
        <v>260</v>
      </c>
      <c r="BO218" s="35">
        <v>901</v>
      </c>
      <c r="BP218" s="35"/>
      <c r="BQ218" s="35">
        <f t="shared" si="77"/>
        <v>252</v>
      </c>
      <c r="BR218" s="35">
        <v>55</v>
      </c>
      <c r="BS218" s="35">
        <v>1100</v>
      </c>
      <c r="BT218" s="6">
        <f t="shared" si="78"/>
        <v>254</v>
      </c>
      <c r="BU218" s="35">
        <v>310</v>
      </c>
      <c r="BV218" s="35"/>
      <c r="BW218" s="35">
        <f t="shared" si="79"/>
        <v>255</v>
      </c>
      <c r="BX218" s="35">
        <v>0</v>
      </c>
      <c r="BY218" s="6">
        <v>400</v>
      </c>
      <c r="BZ218" s="6">
        <f t="shared" si="80"/>
        <v>90</v>
      </c>
      <c r="CA218" s="6">
        <v>239</v>
      </c>
      <c r="CB218" s="6"/>
      <c r="CC218" s="6">
        <f t="shared" si="81"/>
        <v>239</v>
      </c>
      <c r="CD218" s="6"/>
      <c r="CE218" s="6"/>
      <c r="CF218" s="6"/>
      <c r="CG218" s="6">
        <v>502</v>
      </c>
      <c r="CH218" s="6"/>
      <c r="CI218" s="6">
        <f t="shared" si="82"/>
        <v>263</v>
      </c>
      <c r="CJ218" s="6">
        <v>764</v>
      </c>
      <c r="CK218" s="6"/>
      <c r="CL218" s="6">
        <f t="shared" si="83"/>
        <v>262</v>
      </c>
      <c r="CM218" s="6">
        <v>1010</v>
      </c>
      <c r="CN218" s="6"/>
      <c r="CO218" s="6">
        <f t="shared" si="84"/>
        <v>246</v>
      </c>
      <c r="CP218" s="6">
        <v>177</v>
      </c>
      <c r="CQ218" s="6">
        <v>1100</v>
      </c>
      <c r="CR218" s="6">
        <f t="shared" si="85"/>
        <v>267</v>
      </c>
      <c r="CS218" s="6">
        <v>439</v>
      </c>
      <c r="CT218" s="6"/>
      <c r="CU218" s="6">
        <f t="shared" si="86"/>
        <v>262</v>
      </c>
      <c r="CV218" s="6">
        <v>575</v>
      </c>
      <c r="CW218" s="6"/>
      <c r="CX218" s="6">
        <f t="shared" si="87"/>
        <v>136</v>
      </c>
      <c r="CY218" s="6"/>
      <c r="CZ218" s="6"/>
      <c r="DA218" s="6"/>
      <c r="DB218" s="6"/>
      <c r="DC218" s="6"/>
      <c r="DD218" s="6"/>
      <c r="DE218" s="6"/>
      <c r="DF218" s="10"/>
      <c r="DG218" s="6"/>
      <c r="DH218" s="6"/>
      <c r="DI218" s="10"/>
      <c r="DJ218" s="6"/>
      <c r="DK218" s="6"/>
      <c r="DL218" s="10"/>
      <c r="DM218" s="6"/>
    </row>
    <row r="219" spans="1:117">
      <c r="A219" s="6">
        <v>215</v>
      </c>
      <c r="B219" s="6">
        <v>31</v>
      </c>
      <c r="C219" s="10">
        <v>1100</v>
      </c>
      <c r="D219" s="6">
        <v>234</v>
      </c>
      <c r="E219" s="141" t="s">
        <v>72</v>
      </c>
      <c r="F219" s="141" t="s">
        <v>72</v>
      </c>
      <c r="G219" s="141" t="s">
        <v>72</v>
      </c>
      <c r="H219" s="141" t="s">
        <v>72</v>
      </c>
      <c r="I219" s="141" t="s">
        <v>72</v>
      </c>
      <c r="J219" s="141" t="s">
        <v>72</v>
      </c>
      <c r="K219" s="141" t="s">
        <v>72</v>
      </c>
      <c r="L219" s="141" t="s">
        <v>72</v>
      </c>
      <c r="M219" s="141" t="s">
        <v>72</v>
      </c>
      <c r="N219" s="163" t="s">
        <v>72</v>
      </c>
      <c r="O219" s="141" t="s">
        <v>72</v>
      </c>
      <c r="P219" s="141" t="s">
        <v>72</v>
      </c>
      <c r="Q219" s="141" t="s">
        <v>72</v>
      </c>
      <c r="R219" s="141" t="s">
        <v>72</v>
      </c>
      <c r="S219" s="141" t="s">
        <v>72</v>
      </c>
      <c r="T219" s="141" t="s">
        <v>72</v>
      </c>
      <c r="U219" s="141" t="s">
        <v>72</v>
      </c>
      <c r="V219" s="141" t="s">
        <v>72</v>
      </c>
      <c r="W219" s="141" t="s">
        <v>72</v>
      </c>
      <c r="X219" s="141" t="s">
        <v>72</v>
      </c>
      <c r="Y219" s="141" t="s">
        <v>72</v>
      </c>
      <c r="Z219" s="141" t="s">
        <v>72</v>
      </c>
      <c r="AA219" s="141" t="s">
        <v>72</v>
      </c>
      <c r="AB219" s="6">
        <v>299</v>
      </c>
      <c r="AC219" s="6"/>
      <c r="AD219" s="35">
        <f t="shared" si="66"/>
        <v>268</v>
      </c>
      <c r="AE219" s="6">
        <v>550</v>
      </c>
      <c r="AF219" s="6"/>
      <c r="AG219" s="35">
        <f t="shared" si="67"/>
        <v>251</v>
      </c>
      <c r="AH219" s="35">
        <v>803</v>
      </c>
      <c r="AI219" s="35"/>
      <c r="AJ219" s="35">
        <f t="shared" si="68"/>
        <v>253</v>
      </c>
      <c r="AK219" s="6">
        <v>1045</v>
      </c>
      <c r="AL219" s="6"/>
      <c r="AM219" s="35">
        <f t="shared" si="69"/>
        <v>242</v>
      </c>
      <c r="AN219" s="6"/>
      <c r="AO219" s="6"/>
      <c r="AP219" s="34"/>
      <c r="AQ219" s="35">
        <v>204</v>
      </c>
      <c r="AR219" s="35">
        <v>1100</v>
      </c>
      <c r="AS219" s="35">
        <f t="shared" si="70"/>
        <v>259</v>
      </c>
      <c r="AT219" s="6">
        <v>441</v>
      </c>
      <c r="AU219" s="6"/>
      <c r="AV219" s="35">
        <f t="shared" si="71"/>
        <v>237</v>
      </c>
      <c r="AW219" s="6">
        <v>679</v>
      </c>
      <c r="AX219" s="6"/>
      <c r="AY219" s="35">
        <f t="shared" si="72"/>
        <v>238</v>
      </c>
      <c r="AZ219" s="35">
        <v>0</v>
      </c>
      <c r="BA219" s="35">
        <v>848</v>
      </c>
      <c r="BB219" s="35">
        <f t="shared" si="73"/>
        <v>169</v>
      </c>
      <c r="BC219" s="35">
        <v>227</v>
      </c>
      <c r="BD219" s="6"/>
      <c r="BE219" s="35">
        <f t="shared" si="74"/>
        <v>227</v>
      </c>
      <c r="BF219" s="6">
        <v>452</v>
      </c>
      <c r="BG219" s="6"/>
      <c r="BH219" s="6">
        <f t="shared" si="75"/>
        <v>225</v>
      </c>
      <c r="BI219" s="6"/>
      <c r="BJ219" s="6"/>
      <c r="BK219" s="6"/>
      <c r="BL219" s="35">
        <v>691</v>
      </c>
      <c r="BM219" s="35"/>
      <c r="BN219" s="6">
        <f t="shared" si="76"/>
        <v>239</v>
      </c>
      <c r="BO219" s="35">
        <v>922</v>
      </c>
      <c r="BP219" s="35"/>
      <c r="BQ219" s="35">
        <f t="shared" si="77"/>
        <v>231</v>
      </c>
      <c r="BR219" s="35">
        <v>52</v>
      </c>
      <c r="BS219" s="35">
        <v>1100</v>
      </c>
      <c r="BT219" s="6">
        <f t="shared" si="78"/>
        <v>230</v>
      </c>
      <c r="BU219" s="35">
        <v>282</v>
      </c>
      <c r="BV219" s="35"/>
      <c r="BW219" s="35">
        <f t="shared" si="79"/>
        <v>230</v>
      </c>
      <c r="BX219" s="35">
        <v>2</v>
      </c>
      <c r="BY219" s="6">
        <v>513</v>
      </c>
      <c r="BZ219" s="6">
        <f t="shared" si="80"/>
        <v>233</v>
      </c>
      <c r="CA219" s="6">
        <v>229</v>
      </c>
      <c r="CB219" s="6"/>
      <c r="CC219" s="6">
        <f t="shared" si="81"/>
        <v>227</v>
      </c>
      <c r="CD219" s="6"/>
      <c r="CE219" s="6"/>
      <c r="CF219" s="6"/>
      <c r="CG219" s="6">
        <v>471</v>
      </c>
      <c r="CH219" s="6"/>
      <c r="CI219" s="6">
        <f t="shared" si="82"/>
        <v>242</v>
      </c>
      <c r="CJ219" s="6">
        <v>708</v>
      </c>
      <c r="CK219" s="6"/>
      <c r="CL219" s="6">
        <f t="shared" si="83"/>
        <v>237</v>
      </c>
      <c r="CM219" s="6">
        <v>946</v>
      </c>
      <c r="CN219" s="6"/>
      <c r="CO219" s="6">
        <f t="shared" si="84"/>
        <v>238</v>
      </c>
      <c r="CP219" s="6">
        <v>83</v>
      </c>
      <c r="CQ219" s="6">
        <v>1100</v>
      </c>
      <c r="CR219" s="6">
        <f t="shared" si="85"/>
        <v>237</v>
      </c>
      <c r="CS219" s="6">
        <v>333</v>
      </c>
      <c r="CT219" s="6"/>
      <c r="CU219" s="6">
        <f t="shared" si="86"/>
        <v>250</v>
      </c>
      <c r="CV219" s="6">
        <v>462</v>
      </c>
      <c r="CW219" s="6"/>
      <c r="CX219" s="6">
        <f t="shared" si="87"/>
        <v>129</v>
      </c>
      <c r="CY219" s="6"/>
      <c r="CZ219" s="6"/>
      <c r="DA219" s="6"/>
      <c r="DB219" s="6"/>
      <c r="DC219" s="6"/>
      <c r="DD219" s="6"/>
      <c r="DE219" s="6"/>
      <c r="DF219" s="10"/>
      <c r="DG219" s="6"/>
      <c r="DH219" s="6"/>
      <c r="DI219" s="10"/>
      <c r="DJ219" s="6"/>
      <c r="DK219" s="6"/>
      <c r="DL219" s="10"/>
      <c r="DM219" s="6"/>
    </row>
    <row r="220" spans="1:117">
      <c r="A220" s="273">
        <v>216</v>
      </c>
      <c r="B220" s="6">
        <v>337</v>
      </c>
      <c r="C220" s="10"/>
      <c r="D220" s="6">
        <v>236</v>
      </c>
      <c r="E220" s="141" t="s">
        <v>75</v>
      </c>
      <c r="F220" s="141" t="s">
        <v>75</v>
      </c>
      <c r="G220" s="141" t="s">
        <v>75</v>
      </c>
      <c r="H220" s="141" t="s">
        <v>75</v>
      </c>
      <c r="I220" s="141" t="s">
        <v>75</v>
      </c>
      <c r="J220" s="141" t="s">
        <v>75</v>
      </c>
      <c r="K220" s="141" t="s">
        <v>75</v>
      </c>
      <c r="L220" s="141" t="s">
        <v>75</v>
      </c>
      <c r="M220" s="141" t="s">
        <v>75</v>
      </c>
      <c r="N220" s="141" t="s">
        <v>75</v>
      </c>
      <c r="O220" s="141" t="s">
        <v>75</v>
      </c>
      <c r="P220" s="141" t="s">
        <v>75</v>
      </c>
      <c r="Q220" s="141" t="s">
        <v>75</v>
      </c>
      <c r="R220" s="141" t="s">
        <v>75</v>
      </c>
      <c r="S220" s="141" t="s">
        <v>75</v>
      </c>
      <c r="T220" s="163" t="s">
        <v>291</v>
      </c>
      <c r="U220" s="141" t="s">
        <v>291</v>
      </c>
      <c r="V220" s="141" t="s">
        <v>291</v>
      </c>
      <c r="W220" s="141" t="s">
        <v>291</v>
      </c>
      <c r="X220" s="141" t="s">
        <v>291</v>
      </c>
      <c r="Y220" s="141" t="s">
        <v>291</v>
      </c>
      <c r="Z220" s="141" t="s">
        <v>291</v>
      </c>
      <c r="AA220" s="141" t="s">
        <v>291</v>
      </c>
      <c r="AB220" s="6">
        <v>610</v>
      </c>
      <c r="AC220" s="6"/>
      <c r="AD220" s="35">
        <f t="shared" si="66"/>
        <v>273</v>
      </c>
      <c r="AE220" s="6">
        <v>867</v>
      </c>
      <c r="AF220" s="6"/>
      <c r="AG220" s="35">
        <f t="shared" si="67"/>
        <v>257</v>
      </c>
      <c r="AH220" s="35">
        <v>14</v>
      </c>
      <c r="AI220" s="35">
        <v>1100</v>
      </c>
      <c r="AJ220" s="35">
        <f t="shared" si="68"/>
        <v>247</v>
      </c>
      <c r="AK220" s="6">
        <v>251</v>
      </c>
      <c r="AL220" s="6"/>
      <c r="AM220" s="35">
        <f t="shared" si="69"/>
        <v>237</v>
      </c>
      <c r="AN220" s="6"/>
      <c r="AO220" s="6"/>
      <c r="AP220" s="34"/>
      <c r="AQ220" s="35">
        <v>508</v>
      </c>
      <c r="AR220" s="35"/>
      <c r="AS220" s="35">
        <f t="shared" si="70"/>
        <v>257</v>
      </c>
      <c r="AT220" s="6">
        <v>759</v>
      </c>
      <c r="AU220" s="6"/>
      <c r="AV220" s="35">
        <f t="shared" si="71"/>
        <v>251</v>
      </c>
      <c r="AW220" s="6">
        <v>1014</v>
      </c>
      <c r="AX220" s="6"/>
      <c r="AY220" s="35">
        <f t="shared" si="72"/>
        <v>255</v>
      </c>
      <c r="AZ220" s="35">
        <v>155</v>
      </c>
      <c r="BA220" s="35">
        <v>1100</v>
      </c>
      <c r="BB220" s="35">
        <f t="shared" si="73"/>
        <v>241</v>
      </c>
      <c r="BC220" s="35">
        <v>398</v>
      </c>
      <c r="BD220" s="6"/>
      <c r="BE220" s="35">
        <f t="shared" si="74"/>
        <v>243</v>
      </c>
      <c r="BF220" s="6">
        <v>633</v>
      </c>
      <c r="BG220" s="35"/>
      <c r="BH220" s="6">
        <f t="shared" si="75"/>
        <v>235</v>
      </c>
      <c r="BI220" s="35"/>
      <c r="BJ220" s="35"/>
      <c r="BK220" s="6"/>
      <c r="BL220" s="35">
        <v>884</v>
      </c>
      <c r="BM220" s="35"/>
      <c r="BN220" s="6">
        <f t="shared" si="76"/>
        <v>251</v>
      </c>
      <c r="BO220" s="35">
        <v>26</v>
      </c>
      <c r="BP220" s="35">
        <v>1100</v>
      </c>
      <c r="BQ220" s="35">
        <f t="shared" si="77"/>
        <v>242</v>
      </c>
      <c r="BR220" s="35">
        <v>272</v>
      </c>
      <c r="BS220" s="35"/>
      <c r="BT220" s="6">
        <f t="shared" si="78"/>
        <v>246</v>
      </c>
      <c r="BU220" s="35">
        <v>0</v>
      </c>
      <c r="BV220" s="35">
        <v>383</v>
      </c>
      <c r="BW220" s="35">
        <f t="shared" si="79"/>
        <v>111</v>
      </c>
      <c r="BX220" s="35">
        <v>248</v>
      </c>
      <c r="BY220" s="6"/>
      <c r="BZ220" s="6">
        <f t="shared" si="80"/>
        <v>248</v>
      </c>
      <c r="CA220" s="6">
        <v>8</v>
      </c>
      <c r="CB220" s="6">
        <v>470</v>
      </c>
      <c r="CC220" s="6">
        <f t="shared" si="81"/>
        <v>230</v>
      </c>
      <c r="CD220" s="6"/>
      <c r="CE220" s="6"/>
      <c r="CF220" s="6"/>
      <c r="CG220" s="6">
        <v>250</v>
      </c>
      <c r="CH220" s="6"/>
      <c r="CI220" s="6">
        <f t="shared" si="82"/>
        <v>242</v>
      </c>
      <c r="CJ220" s="6">
        <v>492</v>
      </c>
      <c r="CK220" s="6"/>
      <c r="CL220" s="6">
        <f t="shared" si="83"/>
        <v>242</v>
      </c>
      <c r="CM220" s="6">
        <v>734</v>
      </c>
      <c r="CN220" s="6"/>
      <c r="CO220" s="6">
        <f t="shared" si="84"/>
        <v>242</v>
      </c>
      <c r="CP220" s="6">
        <v>979</v>
      </c>
      <c r="CQ220" s="6"/>
      <c r="CR220" s="6">
        <f t="shared" si="85"/>
        <v>245</v>
      </c>
      <c r="CS220" s="6">
        <v>125</v>
      </c>
      <c r="CT220" s="6">
        <v>1100</v>
      </c>
      <c r="CU220" s="6">
        <f t="shared" si="86"/>
        <v>246</v>
      </c>
      <c r="CV220" s="6">
        <v>255</v>
      </c>
      <c r="CW220" s="6"/>
      <c r="CX220" s="6">
        <f t="shared" si="87"/>
        <v>130</v>
      </c>
      <c r="CY220" s="6"/>
      <c r="CZ220" s="6"/>
      <c r="DA220" s="6"/>
      <c r="DB220" s="6"/>
      <c r="DC220" s="6"/>
      <c r="DD220" s="6"/>
      <c r="DE220" s="6"/>
      <c r="DF220" s="10"/>
      <c r="DG220" s="6"/>
      <c r="DH220" s="6"/>
      <c r="DI220" s="10"/>
      <c r="DJ220" s="6"/>
      <c r="DK220" s="6"/>
      <c r="DL220" s="10"/>
      <c r="DM220" s="6"/>
    </row>
    <row r="221" spans="1:117">
      <c r="A221" s="6">
        <v>217</v>
      </c>
      <c r="B221" s="6"/>
      <c r="C221" s="10"/>
      <c r="D221" s="6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6"/>
      <c r="AC221" s="6"/>
      <c r="AD221" s="35"/>
      <c r="AE221" s="6"/>
      <c r="AF221" s="6"/>
      <c r="AG221" s="35"/>
      <c r="AH221" s="35"/>
      <c r="AI221" s="35"/>
      <c r="AJ221" s="35"/>
      <c r="AK221" s="6"/>
      <c r="AL221" s="6"/>
      <c r="AM221" s="35"/>
      <c r="AN221" s="6"/>
      <c r="AO221" s="6"/>
      <c r="AP221" s="34"/>
      <c r="AQ221" s="35"/>
      <c r="AR221" s="35"/>
      <c r="AS221" s="35"/>
      <c r="AT221" s="35"/>
      <c r="AU221" s="35"/>
      <c r="AV221" s="35"/>
      <c r="AW221" s="6"/>
      <c r="AX221" s="6"/>
      <c r="AY221" s="35"/>
      <c r="AZ221" s="35"/>
      <c r="BA221" s="35"/>
      <c r="BB221" s="35"/>
      <c r="BC221" s="35"/>
      <c r="BD221" s="6"/>
      <c r="BE221" s="35"/>
      <c r="BF221" s="6"/>
      <c r="BG221" s="35"/>
      <c r="BH221" s="6"/>
      <c r="BI221" s="35"/>
      <c r="BJ221" s="35"/>
      <c r="BK221" s="6"/>
      <c r="BL221" s="35"/>
      <c r="BM221" s="35"/>
      <c r="BN221" s="6"/>
      <c r="BO221" s="35"/>
      <c r="BP221" s="35"/>
      <c r="BQ221" s="35"/>
      <c r="BR221" s="35"/>
      <c r="BS221" s="35"/>
      <c r="BT221" s="6"/>
      <c r="BU221" s="35"/>
      <c r="BV221" s="35"/>
      <c r="BW221" s="35"/>
      <c r="BX221" s="35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10"/>
      <c r="DG221" s="6"/>
      <c r="DH221" s="6"/>
      <c r="DI221" s="10"/>
      <c r="DJ221" s="6"/>
      <c r="DK221" s="6"/>
      <c r="DL221" s="10"/>
      <c r="DM221" s="6"/>
    </row>
    <row r="222" spans="1:117">
      <c r="A222" s="6">
        <v>218</v>
      </c>
      <c r="B222" s="6"/>
      <c r="C222" s="10"/>
      <c r="D222" s="6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6"/>
      <c r="AC222" s="6"/>
      <c r="AD222" s="35"/>
      <c r="AE222" s="6"/>
      <c r="AF222" s="6"/>
      <c r="AG222" s="35"/>
      <c r="AH222" s="35"/>
      <c r="AI222" s="35"/>
      <c r="AJ222" s="35"/>
      <c r="AK222" s="6"/>
      <c r="AL222" s="6"/>
      <c r="AM222" s="35"/>
      <c r="AN222" s="6"/>
      <c r="AO222" s="6"/>
      <c r="AP222" s="34"/>
      <c r="AQ222" s="35"/>
      <c r="AR222" s="35"/>
      <c r="AS222" s="35"/>
      <c r="AT222" s="35"/>
      <c r="AU222" s="6"/>
      <c r="AV222" s="35"/>
      <c r="AW222" s="6"/>
      <c r="AX222" s="6"/>
      <c r="AY222" s="35"/>
      <c r="AZ222" s="35"/>
      <c r="BA222" s="35"/>
      <c r="BB222" s="35"/>
      <c r="BC222" s="35"/>
      <c r="BD222" s="6"/>
      <c r="BE222" s="35"/>
      <c r="BF222" s="6"/>
      <c r="BG222" s="35"/>
      <c r="BH222" s="6"/>
      <c r="BI222" s="35"/>
      <c r="BJ222" s="35"/>
      <c r="BK222" s="6"/>
      <c r="BL222" s="35"/>
      <c r="BM222" s="35"/>
      <c r="BN222" s="6"/>
      <c r="BO222" s="35"/>
      <c r="BP222" s="35"/>
      <c r="BQ222" s="35"/>
      <c r="BR222" s="35"/>
      <c r="BS222" s="35"/>
      <c r="BT222" s="6"/>
      <c r="BU222" s="35"/>
      <c r="BV222" s="35"/>
      <c r="BW222" s="35"/>
      <c r="BX222" s="35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10"/>
      <c r="DG222" s="6"/>
      <c r="DH222" s="6"/>
      <c r="DI222" s="10"/>
      <c r="DJ222" s="6"/>
      <c r="DK222" s="6"/>
      <c r="DL222" s="10"/>
      <c r="DM222" s="6"/>
    </row>
    <row r="223" spans="1:117">
      <c r="A223" s="6">
        <v>219</v>
      </c>
      <c r="B223" s="6"/>
      <c r="C223" s="10"/>
      <c r="D223" s="6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6"/>
      <c r="AC223" s="6"/>
      <c r="AD223" s="35"/>
      <c r="AE223" s="6"/>
      <c r="AF223" s="6"/>
      <c r="AG223" s="35"/>
      <c r="AH223" s="35"/>
      <c r="AI223" s="35"/>
      <c r="AJ223" s="35"/>
      <c r="AK223" s="6"/>
      <c r="AL223" s="6"/>
      <c r="AM223" s="35"/>
      <c r="AN223" s="6"/>
      <c r="AO223" s="6"/>
      <c r="AP223" s="34"/>
      <c r="AQ223" s="35"/>
      <c r="AR223" s="35"/>
      <c r="AS223" s="35"/>
      <c r="AT223" s="6"/>
      <c r="AU223" s="6"/>
      <c r="AV223" s="35"/>
      <c r="AW223" s="6"/>
      <c r="AX223" s="6"/>
      <c r="AY223" s="35"/>
      <c r="AZ223" s="35"/>
      <c r="BA223" s="35"/>
      <c r="BB223" s="35"/>
      <c r="BC223" s="35"/>
      <c r="BD223" s="6"/>
      <c r="BE223" s="35"/>
      <c r="BF223" s="6"/>
      <c r="BG223" s="35"/>
      <c r="BH223" s="6"/>
      <c r="BI223" s="35"/>
      <c r="BJ223" s="35"/>
      <c r="BK223" s="6"/>
      <c r="BL223" s="35"/>
      <c r="BM223" s="35"/>
      <c r="BN223" s="6"/>
      <c r="BO223" s="35"/>
      <c r="BP223" s="35"/>
      <c r="BQ223" s="35"/>
      <c r="BR223" s="35"/>
      <c r="BS223" s="35"/>
      <c r="BT223" s="6"/>
      <c r="BU223" s="35"/>
      <c r="BV223" s="35"/>
      <c r="BW223" s="35"/>
      <c r="BX223" s="35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10"/>
      <c r="DG223" s="6"/>
      <c r="DH223" s="6"/>
      <c r="DI223" s="10"/>
      <c r="DJ223" s="6"/>
      <c r="DK223" s="6"/>
      <c r="DL223" s="10"/>
      <c r="DM223" s="6"/>
    </row>
    <row r="224" spans="1:117">
      <c r="A224" s="6">
        <v>220</v>
      </c>
      <c r="B224" s="6"/>
      <c r="C224" s="10"/>
      <c r="D224" s="6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6"/>
      <c r="AC224" s="6"/>
      <c r="AD224" s="35"/>
      <c r="AE224" s="6"/>
      <c r="AF224" s="6"/>
      <c r="AG224" s="35"/>
      <c r="AH224" s="35"/>
      <c r="AI224" s="35"/>
      <c r="AJ224" s="35"/>
      <c r="AK224" s="6"/>
      <c r="AL224" s="6"/>
      <c r="AM224" s="35"/>
      <c r="AN224" s="6"/>
      <c r="AO224" s="6"/>
      <c r="AP224" s="34"/>
      <c r="AQ224" s="35"/>
      <c r="AR224" s="35"/>
      <c r="AS224" s="35"/>
      <c r="AT224" s="6"/>
      <c r="AU224" s="6"/>
      <c r="AV224" s="35"/>
      <c r="AW224" s="6"/>
      <c r="AX224" s="6"/>
      <c r="AY224" s="35"/>
      <c r="AZ224" s="35"/>
      <c r="BA224" s="35"/>
      <c r="BB224" s="35"/>
      <c r="BC224" s="35"/>
      <c r="BD224" s="6"/>
      <c r="BE224" s="35"/>
      <c r="BF224" s="6"/>
      <c r="BG224" s="35"/>
      <c r="BH224" s="6"/>
      <c r="BI224" s="35"/>
      <c r="BJ224" s="35"/>
      <c r="BK224" s="6"/>
      <c r="BL224" s="35"/>
      <c r="BM224" s="35"/>
      <c r="BN224" s="6"/>
      <c r="BO224" s="35"/>
      <c r="BP224" s="35"/>
      <c r="BQ224" s="35"/>
      <c r="BR224" s="35"/>
      <c r="BS224" s="35"/>
      <c r="BT224" s="6"/>
      <c r="BU224" s="35"/>
      <c r="BV224" s="35"/>
      <c r="BW224" s="35"/>
      <c r="BX224" s="35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10"/>
      <c r="DG224" s="6"/>
      <c r="DH224" s="6"/>
      <c r="DI224" s="10"/>
      <c r="DJ224" s="6"/>
      <c r="DK224" s="6"/>
      <c r="DL224" s="10"/>
      <c r="DM224" s="6"/>
    </row>
    <row r="225" spans="1:117">
      <c r="A225" s="6">
        <v>221</v>
      </c>
      <c r="B225" s="6"/>
      <c r="C225" s="10"/>
      <c r="D225" s="6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6"/>
      <c r="AC225" s="6"/>
      <c r="AD225" s="35"/>
      <c r="AE225" s="6"/>
      <c r="AF225" s="6"/>
      <c r="AG225" s="35"/>
      <c r="AH225" s="35"/>
      <c r="AI225" s="35"/>
      <c r="AJ225" s="35"/>
      <c r="AK225" s="6"/>
      <c r="AL225" s="6"/>
      <c r="AM225" s="35"/>
      <c r="AN225" s="6"/>
      <c r="AO225" s="6"/>
      <c r="AP225" s="34"/>
      <c r="AQ225" s="35"/>
      <c r="AR225" s="35"/>
      <c r="AS225" s="35"/>
      <c r="AT225" s="6"/>
      <c r="AU225" s="6"/>
      <c r="AV225" s="35"/>
      <c r="AW225" s="6"/>
      <c r="AX225" s="6"/>
      <c r="AY225" s="35"/>
      <c r="AZ225" s="35"/>
      <c r="BA225" s="35"/>
      <c r="BB225" s="35"/>
      <c r="BC225" s="35"/>
      <c r="BD225" s="6"/>
      <c r="BE225" s="35"/>
      <c r="BF225" s="6"/>
      <c r="BG225" s="35"/>
      <c r="BH225" s="6"/>
      <c r="BI225" s="35"/>
      <c r="BJ225" s="35"/>
      <c r="BK225" s="6"/>
      <c r="BL225" s="35"/>
      <c r="BM225" s="35"/>
      <c r="BN225" s="6"/>
      <c r="BO225" s="35"/>
      <c r="BP225" s="35"/>
      <c r="BQ225" s="35"/>
      <c r="BR225" s="35"/>
      <c r="BS225" s="35"/>
      <c r="BT225" s="6"/>
      <c r="BU225" s="6"/>
      <c r="BV225" s="35"/>
      <c r="BW225" s="35"/>
      <c r="BX225" s="35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10"/>
      <c r="DG225" s="6"/>
      <c r="DH225" s="6"/>
      <c r="DI225" s="10"/>
      <c r="DJ225" s="6"/>
      <c r="DK225" s="6"/>
      <c r="DL225" s="10"/>
      <c r="DM225" s="6"/>
    </row>
    <row r="226" spans="1:117">
      <c r="A226" s="6">
        <v>222</v>
      </c>
      <c r="B226" s="6"/>
      <c r="C226" s="10"/>
      <c r="D226" s="6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6"/>
      <c r="AC226" s="6"/>
      <c r="AD226" s="35"/>
      <c r="AE226" s="6"/>
      <c r="AF226" s="6"/>
      <c r="AG226" s="35"/>
      <c r="AH226" s="35"/>
      <c r="AI226" s="35"/>
      <c r="AJ226" s="35"/>
      <c r="AK226" s="6"/>
      <c r="AL226" s="6"/>
      <c r="AM226" s="35"/>
      <c r="AN226" s="6"/>
      <c r="AO226" s="35"/>
      <c r="AP226" s="34"/>
      <c r="AQ226" s="35"/>
      <c r="AR226" s="35"/>
      <c r="AS226" s="35"/>
      <c r="AT226" s="6"/>
      <c r="AU226" s="6"/>
      <c r="AV226" s="35"/>
      <c r="AW226" s="6"/>
      <c r="AX226" s="6"/>
      <c r="AY226" s="35"/>
      <c r="AZ226" s="35"/>
      <c r="BA226" s="35"/>
      <c r="BB226" s="35"/>
      <c r="BC226" s="35"/>
      <c r="BD226" s="6"/>
      <c r="BE226" s="35"/>
      <c r="BF226" s="6"/>
      <c r="BG226" s="35"/>
      <c r="BH226" s="6"/>
      <c r="BI226" s="35"/>
      <c r="BJ226" s="35"/>
      <c r="BK226" s="6"/>
      <c r="BL226" s="35"/>
      <c r="BM226" s="35"/>
      <c r="BN226" s="6"/>
      <c r="BO226" s="35"/>
      <c r="BP226" s="35"/>
      <c r="BQ226" s="35"/>
      <c r="BR226" s="35"/>
      <c r="BS226" s="35"/>
      <c r="BT226" s="6"/>
      <c r="BU226" s="6"/>
      <c r="BV226" s="35"/>
      <c r="BW226" s="35"/>
      <c r="BX226" s="35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10"/>
      <c r="DG226" s="6"/>
      <c r="DH226" s="6"/>
      <c r="DI226" s="10"/>
      <c r="DJ226" s="6"/>
      <c r="DK226" s="6"/>
      <c r="DL226" s="10"/>
      <c r="DM226" s="6"/>
    </row>
    <row r="227" spans="1:117">
      <c r="A227" s="6">
        <v>223</v>
      </c>
      <c r="B227" s="6"/>
      <c r="C227" s="10"/>
      <c r="D227" s="6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6"/>
      <c r="AC227" s="6"/>
      <c r="AD227" s="35"/>
      <c r="AE227" s="6"/>
      <c r="AF227" s="6"/>
      <c r="AG227" s="35"/>
      <c r="AH227" s="35"/>
      <c r="AI227" s="35"/>
      <c r="AJ227" s="35"/>
      <c r="AK227" s="6"/>
      <c r="AL227" s="6"/>
      <c r="AM227" s="35"/>
      <c r="AN227" s="6"/>
      <c r="AO227" s="6"/>
      <c r="AP227" s="34"/>
      <c r="AQ227" s="35"/>
      <c r="AR227" s="35"/>
      <c r="AS227" s="35"/>
      <c r="AT227" s="6"/>
      <c r="AU227" s="6"/>
      <c r="AV227" s="35"/>
      <c r="AW227" s="6"/>
      <c r="AX227" s="6"/>
      <c r="AY227" s="35"/>
      <c r="AZ227" s="35"/>
      <c r="BA227" s="35"/>
      <c r="BB227" s="35"/>
      <c r="BC227" s="35"/>
      <c r="BD227" s="6"/>
      <c r="BE227" s="35"/>
      <c r="BF227" s="6"/>
      <c r="BG227" s="35"/>
      <c r="BH227" s="6"/>
      <c r="BI227" s="35"/>
      <c r="BJ227" s="35"/>
      <c r="BK227" s="6"/>
      <c r="BL227" s="35"/>
      <c r="BM227" s="35"/>
      <c r="BN227" s="6"/>
      <c r="BO227" s="35"/>
      <c r="BP227" s="35"/>
      <c r="BQ227" s="35"/>
      <c r="BR227" s="35"/>
      <c r="BS227" s="35"/>
      <c r="BT227" s="6"/>
      <c r="BU227" s="6"/>
      <c r="BV227" s="35"/>
      <c r="BW227" s="35"/>
      <c r="BX227" s="35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10"/>
      <c r="DG227" s="6"/>
      <c r="DH227" s="6"/>
      <c r="DI227" s="10"/>
      <c r="DJ227" s="6"/>
      <c r="DK227" s="6"/>
      <c r="DL227" s="10"/>
      <c r="DM227" s="6"/>
    </row>
    <row r="228" spans="1:117">
      <c r="A228" s="6">
        <v>224</v>
      </c>
      <c r="B228" s="6"/>
      <c r="C228" s="10"/>
      <c r="D228" s="6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6"/>
      <c r="AC228" s="6"/>
      <c r="AD228" s="35"/>
      <c r="AE228" s="6"/>
      <c r="AF228" s="6"/>
      <c r="AG228" s="35"/>
      <c r="AH228" s="35"/>
      <c r="AI228" s="35"/>
      <c r="AJ228" s="35"/>
      <c r="AK228" s="6"/>
      <c r="AL228" s="6"/>
      <c r="AM228" s="35"/>
      <c r="AN228" s="6"/>
      <c r="AO228" s="6"/>
      <c r="AP228" s="34"/>
      <c r="AQ228" s="35"/>
      <c r="AR228" s="35"/>
      <c r="AS228" s="35"/>
      <c r="AT228" s="6"/>
      <c r="AU228" s="6"/>
      <c r="AV228" s="35"/>
      <c r="AW228" s="6"/>
      <c r="AX228" s="6"/>
      <c r="AY228" s="35"/>
      <c r="AZ228" s="35"/>
      <c r="BA228" s="35"/>
      <c r="BB228" s="35"/>
      <c r="BC228" s="35"/>
      <c r="BD228" s="6"/>
      <c r="BE228" s="35"/>
      <c r="BF228" s="6"/>
      <c r="BG228" s="35"/>
      <c r="BH228" s="6"/>
      <c r="BI228" s="35"/>
      <c r="BJ228" s="35"/>
      <c r="BK228" s="6"/>
      <c r="BL228" s="35"/>
      <c r="BM228" s="35"/>
      <c r="BN228" s="6"/>
      <c r="BO228" s="35"/>
      <c r="BP228" s="35"/>
      <c r="BQ228" s="35"/>
      <c r="BR228" s="35"/>
      <c r="BS228" s="35"/>
      <c r="BT228" s="6"/>
      <c r="BU228" s="6"/>
      <c r="BV228" s="35"/>
      <c r="BW228" s="35"/>
      <c r="BX228" s="35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10"/>
      <c r="DG228" s="6"/>
      <c r="DH228" s="6"/>
      <c r="DI228" s="10"/>
      <c r="DJ228" s="6"/>
      <c r="DK228" s="6"/>
      <c r="DL228" s="10"/>
      <c r="DM228" s="6"/>
    </row>
    <row r="229" spans="1:117">
      <c r="A229" s="6">
        <v>225</v>
      </c>
      <c r="B229" s="6"/>
      <c r="C229" s="10"/>
      <c r="D229" s="6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6"/>
      <c r="AC229" s="6"/>
      <c r="AD229" s="35"/>
      <c r="AE229" s="6"/>
      <c r="AF229" s="6"/>
      <c r="AG229" s="35"/>
      <c r="AH229" s="35"/>
      <c r="AI229" s="35"/>
      <c r="AJ229" s="35"/>
      <c r="AK229" s="6"/>
      <c r="AL229" s="6"/>
      <c r="AM229" s="35"/>
      <c r="AN229" s="6"/>
      <c r="AO229" s="6"/>
      <c r="AP229" s="34"/>
      <c r="AQ229" s="35"/>
      <c r="AR229" s="35"/>
      <c r="AS229" s="35"/>
      <c r="AT229" s="6"/>
      <c r="AU229" s="6"/>
      <c r="AV229" s="35"/>
      <c r="AW229" s="6"/>
      <c r="AX229" s="6"/>
      <c r="AY229" s="35"/>
      <c r="AZ229" s="35"/>
      <c r="BA229" s="35"/>
      <c r="BB229" s="35"/>
      <c r="BC229" s="35"/>
      <c r="BD229" s="6"/>
      <c r="BE229" s="35"/>
      <c r="BF229" s="6"/>
      <c r="BG229" s="35"/>
      <c r="BH229" s="6"/>
      <c r="BI229" s="35"/>
      <c r="BJ229" s="35"/>
      <c r="BK229" s="6"/>
      <c r="BL229" s="35"/>
      <c r="BM229" s="35"/>
      <c r="BN229" s="6"/>
      <c r="BO229" s="35"/>
      <c r="BP229" s="35"/>
      <c r="BQ229" s="35"/>
      <c r="BR229" s="35"/>
      <c r="BS229" s="35"/>
      <c r="BT229" s="6"/>
      <c r="BU229" s="6"/>
      <c r="BV229" s="35"/>
      <c r="BW229" s="35"/>
      <c r="BX229" s="35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10"/>
      <c r="DG229" s="6"/>
      <c r="DH229" s="6"/>
      <c r="DI229" s="10"/>
      <c r="DJ229" s="6"/>
      <c r="DK229" s="6"/>
      <c r="DL229" s="10"/>
      <c r="DM229" s="6"/>
    </row>
    <row r="230" spans="1:117">
      <c r="A230" s="6">
        <v>226</v>
      </c>
      <c r="B230" s="6"/>
      <c r="C230" s="10"/>
      <c r="D230" s="6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6"/>
      <c r="AC230" s="6"/>
      <c r="AD230" s="35"/>
      <c r="AE230" s="6"/>
      <c r="AF230" s="6"/>
      <c r="AG230" s="35"/>
      <c r="AH230" s="35"/>
      <c r="AI230" s="35"/>
      <c r="AJ230" s="35"/>
      <c r="AK230" s="6"/>
      <c r="AL230" s="6"/>
      <c r="AM230" s="35"/>
      <c r="AN230" s="6"/>
      <c r="AO230" s="6"/>
      <c r="AP230" s="34"/>
      <c r="AQ230" s="35"/>
      <c r="AR230" s="35"/>
      <c r="AS230" s="35"/>
      <c r="AT230" s="6"/>
      <c r="AU230" s="6"/>
      <c r="AV230" s="35"/>
      <c r="AW230" s="6"/>
      <c r="AX230" s="6"/>
      <c r="AY230" s="35"/>
      <c r="AZ230" s="35"/>
      <c r="BA230" s="35"/>
      <c r="BB230" s="35"/>
      <c r="BC230" s="35"/>
      <c r="BD230" s="6"/>
      <c r="BE230" s="35"/>
      <c r="BF230" s="6"/>
      <c r="BG230" s="35"/>
      <c r="BH230" s="6"/>
      <c r="BI230" s="35"/>
      <c r="BJ230" s="35"/>
      <c r="BK230" s="6"/>
      <c r="BL230" s="35"/>
      <c r="BM230" s="35"/>
      <c r="BN230" s="6"/>
      <c r="BO230" s="35"/>
      <c r="BP230" s="35"/>
      <c r="BQ230" s="35"/>
      <c r="BR230" s="35"/>
      <c r="BS230" s="35"/>
      <c r="BT230" s="6"/>
      <c r="BU230" s="6"/>
      <c r="BV230" s="35"/>
      <c r="BW230" s="35"/>
      <c r="BX230" s="35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10"/>
      <c r="DG230" s="6"/>
      <c r="DH230" s="6"/>
      <c r="DI230" s="10"/>
      <c r="DJ230" s="6"/>
      <c r="DK230" s="6"/>
      <c r="DL230" s="10"/>
      <c r="DM230" s="6"/>
    </row>
    <row r="231" spans="1:117">
      <c r="A231" s="151">
        <v>227</v>
      </c>
      <c r="B231" s="6"/>
      <c r="C231" s="10"/>
      <c r="D231" s="6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6"/>
      <c r="AC231" s="6"/>
      <c r="AD231" s="35"/>
      <c r="AE231" s="6"/>
      <c r="AF231" s="6"/>
      <c r="AG231" s="35"/>
      <c r="AH231" s="35"/>
      <c r="AI231" s="35"/>
      <c r="AJ231" s="35"/>
      <c r="AK231" s="6"/>
      <c r="AL231" s="6"/>
      <c r="AM231" s="35"/>
      <c r="AN231" s="6"/>
      <c r="AO231" s="6"/>
      <c r="AP231" s="34"/>
      <c r="AQ231" s="35"/>
      <c r="AR231" s="35"/>
      <c r="AS231" s="35"/>
      <c r="AT231" s="6"/>
      <c r="AU231" s="6"/>
      <c r="AV231" s="35"/>
      <c r="AW231" s="6"/>
      <c r="AX231" s="6"/>
      <c r="AY231" s="35"/>
      <c r="AZ231" s="35"/>
      <c r="BA231" s="35"/>
      <c r="BB231" s="35"/>
      <c r="BC231" s="35"/>
      <c r="BD231" s="6"/>
      <c r="BE231" s="35"/>
      <c r="BF231" s="6"/>
      <c r="BG231" s="35"/>
      <c r="BH231" s="6"/>
      <c r="BI231" s="35"/>
      <c r="BJ231" s="35"/>
      <c r="BK231" s="6"/>
      <c r="BL231" s="35"/>
      <c r="BM231" s="35"/>
      <c r="BN231" s="6"/>
      <c r="BO231" s="35"/>
      <c r="BP231" s="35"/>
      <c r="BQ231" s="35"/>
      <c r="BR231" s="35"/>
      <c r="BS231" s="35"/>
      <c r="BT231" s="6"/>
      <c r="BU231" s="6"/>
      <c r="BV231" s="35"/>
      <c r="BW231" s="35"/>
      <c r="BX231" s="35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10"/>
      <c r="DG231" s="6"/>
      <c r="DH231" s="6"/>
      <c r="DI231" s="10"/>
      <c r="DJ231" s="6"/>
      <c r="DK231" s="6"/>
      <c r="DL231" s="10"/>
      <c r="DM231" s="6"/>
    </row>
    <row r="232" spans="1:117">
      <c r="A232" s="151">
        <v>228</v>
      </c>
      <c r="B232" s="6"/>
      <c r="C232" s="10"/>
      <c r="D232" s="6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6"/>
      <c r="AC232" s="6"/>
      <c r="AD232" s="35"/>
      <c r="AE232" s="6"/>
      <c r="AF232" s="6"/>
      <c r="AG232" s="35"/>
      <c r="AH232" s="35"/>
      <c r="AI232" s="35"/>
      <c r="AJ232" s="35"/>
      <c r="AK232" s="6"/>
      <c r="AL232" s="6"/>
      <c r="AM232" s="35"/>
      <c r="AN232" s="6"/>
      <c r="AO232" s="6"/>
      <c r="AP232" s="34"/>
      <c r="AQ232" s="35"/>
      <c r="AR232" s="35"/>
      <c r="AS232" s="35"/>
      <c r="AT232" s="6"/>
      <c r="AU232" s="35"/>
      <c r="AV232" s="35"/>
      <c r="AW232" s="6"/>
      <c r="AX232" s="6"/>
      <c r="AY232" s="35"/>
      <c r="AZ232" s="35"/>
      <c r="BA232" s="35"/>
      <c r="BB232" s="35"/>
      <c r="BC232" s="35"/>
      <c r="BD232" s="6"/>
      <c r="BE232" s="35"/>
      <c r="BF232" s="6"/>
      <c r="BG232" s="35"/>
      <c r="BH232" s="6"/>
      <c r="BI232" s="35"/>
      <c r="BJ232" s="35"/>
      <c r="BK232" s="6"/>
      <c r="BL232" s="35"/>
      <c r="BM232" s="35"/>
      <c r="BN232" s="6"/>
      <c r="BO232" s="35"/>
      <c r="BP232" s="35"/>
      <c r="BQ232" s="35"/>
      <c r="BR232" s="35"/>
      <c r="BS232" s="35"/>
      <c r="BT232" s="6"/>
      <c r="BU232" s="6"/>
      <c r="BV232" s="35"/>
      <c r="BW232" s="35"/>
      <c r="BX232" s="35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10"/>
      <c r="DG232" s="6"/>
      <c r="DH232" s="6"/>
      <c r="DI232" s="10"/>
      <c r="DJ232" s="6"/>
      <c r="DK232" s="6"/>
      <c r="DL232" s="10"/>
      <c r="DM232" s="6"/>
    </row>
    <row r="233" spans="1:117">
      <c r="A233" s="151">
        <v>229</v>
      </c>
      <c r="B233" s="6"/>
      <c r="C233" s="10"/>
      <c r="D233" s="6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6"/>
      <c r="AC233" s="6"/>
      <c r="AD233" s="35"/>
      <c r="AE233" s="6"/>
      <c r="AF233" s="6"/>
      <c r="AG233" s="35"/>
      <c r="AH233" s="35"/>
      <c r="AI233" s="35"/>
      <c r="AJ233" s="35"/>
      <c r="AK233" s="6"/>
      <c r="AL233" s="6"/>
      <c r="AM233" s="35"/>
      <c r="AN233" s="6"/>
      <c r="AO233" s="6"/>
      <c r="AP233" s="34"/>
      <c r="AQ233" s="35"/>
      <c r="AR233" s="35"/>
      <c r="AS233" s="35"/>
      <c r="AT233" s="6"/>
      <c r="AU233" s="6"/>
      <c r="AV233" s="35"/>
      <c r="AW233" s="6"/>
      <c r="AX233" s="6"/>
      <c r="AY233" s="35"/>
      <c r="AZ233" s="35"/>
      <c r="BA233" s="35"/>
      <c r="BB233" s="35"/>
      <c r="BC233" s="35"/>
      <c r="BD233" s="6"/>
      <c r="BE233" s="35"/>
      <c r="BF233" s="6"/>
      <c r="BG233" s="35"/>
      <c r="BH233" s="6"/>
      <c r="BI233" s="35"/>
      <c r="BJ233" s="35"/>
      <c r="BK233" s="6"/>
      <c r="BL233" s="35"/>
      <c r="BM233" s="35"/>
      <c r="BN233" s="6"/>
      <c r="BO233" s="35"/>
      <c r="BP233" s="35"/>
      <c r="BQ233" s="35"/>
      <c r="BR233" s="35"/>
      <c r="BS233" s="35"/>
      <c r="BT233" s="6"/>
      <c r="BU233" s="6"/>
      <c r="BV233" s="35"/>
      <c r="BW233" s="35"/>
      <c r="BX233" s="35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10"/>
      <c r="DG233" s="6"/>
      <c r="DH233" s="6"/>
      <c r="DI233" s="10"/>
      <c r="DJ233" s="6"/>
      <c r="DK233" s="6"/>
      <c r="DL233" s="10"/>
      <c r="DM233" s="6"/>
    </row>
    <row r="234" spans="1:117">
      <c r="A234" s="151">
        <v>230</v>
      </c>
      <c r="B234" s="6"/>
      <c r="C234" s="10"/>
      <c r="D234" s="6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6"/>
      <c r="AC234" s="6"/>
      <c r="AD234" s="35"/>
      <c r="AE234" s="6"/>
      <c r="AF234" s="6"/>
      <c r="AG234" s="35"/>
      <c r="AH234" s="35"/>
      <c r="AI234" s="35"/>
      <c r="AJ234" s="35"/>
      <c r="AK234" s="6"/>
      <c r="AL234" s="6"/>
      <c r="AM234" s="35"/>
      <c r="AN234" s="6"/>
      <c r="AO234" s="6"/>
      <c r="AP234" s="34"/>
      <c r="AQ234" s="35"/>
      <c r="AR234" s="35"/>
      <c r="AS234" s="35"/>
      <c r="AT234" s="6"/>
      <c r="AU234" s="6"/>
      <c r="AV234" s="35"/>
      <c r="AW234" s="6"/>
      <c r="AX234" s="6"/>
      <c r="AY234" s="35"/>
      <c r="AZ234" s="35"/>
      <c r="BA234" s="35"/>
      <c r="BB234" s="35"/>
      <c r="BC234" s="35"/>
      <c r="BD234" s="6"/>
      <c r="BE234" s="35"/>
      <c r="BF234" s="6"/>
      <c r="BG234" s="35"/>
      <c r="BH234" s="6"/>
      <c r="BI234" s="35"/>
      <c r="BJ234" s="35"/>
      <c r="BK234" s="6"/>
      <c r="BL234" s="35"/>
      <c r="BM234" s="35"/>
      <c r="BN234" s="6"/>
      <c r="BO234" s="35"/>
      <c r="BP234" s="35"/>
      <c r="BQ234" s="35"/>
      <c r="BR234" s="35"/>
      <c r="BS234" s="35"/>
      <c r="BT234" s="6"/>
      <c r="BU234" s="6"/>
      <c r="BV234" s="35"/>
      <c r="BW234" s="35"/>
      <c r="BX234" s="35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10"/>
      <c r="DG234" s="6"/>
      <c r="DH234" s="6"/>
      <c r="DI234" s="10"/>
      <c r="DJ234" s="6"/>
      <c r="DK234" s="6"/>
      <c r="DL234" s="10"/>
      <c r="DM234" s="6"/>
    </row>
    <row r="235" spans="1:117">
      <c r="A235" s="151">
        <v>231</v>
      </c>
      <c r="B235" s="6"/>
      <c r="C235" s="10"/>
      <c r="D235" s="6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6"/>
      <c r="AC235" s="6"/>
      <c r="AD235" s="35"/>
      <c r="AE235" s="6"/>
      <c r="AF235" s="6"/>
      <c r="AG235" s="35"/>
      <c r="AH235" s="35"/>
      <c r="AI235" s="35"/>
      <c r="AJ235" s="35"/>
      <c r="AK235" s="6"/>
      <c r="AL235" s="6"/>
      <c r="AM235" s="35"/>
      <c r="AN235" s="6"/>
      <c r="AO235" s="6"/>
      <c r="AP235" s="34"/>
      <c r="AQ235" s="35"/>
      <c r="AR235" s="35"/>
      <c r="AS235" s="35"/>
      <c r="AT235" s="6"/>
      <c r="AU235" s="6"/>
      <c r="AV235" s="35"/>
      <c r="AW235" s="6"/>
      <c r="AX235" s="6"/>
      <c r="AY235" s="35"/>
      <c r="AZ235" s="35"/>
      <c r="BA235" s="35"/>
      <c r="BB235" s="35"/>
      <c r="BC235" s="35"/>
      <c r="BD235" s="6"/>
      <c r="BE235" s="35"/>
      <c r="BF235" s="6"/>
      <c r="BG235" s="35"/>
      <c r="BH235" s="6"/>
      <c r="BI235" s="35"/>
      <c r="BJ235" s="35"/>
      <c r="BK235" s="6"/>
      <c r="BL235" s="35"/>
      <c r="BM235" s="35"/>
      <c r="BN235" s="6"/>
      <c r="BO235" s="35"/>
      <c r="BP235" s="35"/>
      <c r="BQ235" s="35"/>
      <c r="BR235" s="35"/>
      <c r="BS235" s="35"/>
      <c r="BT235" s="6"/>
      <c r="BU235" s="6"/>
      <c r="BV235" s="35"/>
      <c r="BW235" s="35"/>
      <c r="BX235" s="35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10"/>
      <c r="DG235" s="6"/>
      <c r="DH235" s="6"/>
      <c r="DI235" s="10"/>
      <c r="DJ235" s="6"/>
      <c r="DK235" s="6"/>
      <c r="DL235" s="10"/>
      <c r="DM235" s="6"/>
    </row>
    <row r="236" spans="1:117">
      <c r="A236" s="151">
        <v>232</v>
      </c>
      <c r="B236" s="6"/>
      <c r="C236" s="10"/>
      <c r="D236" s="6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6"/>
      <c r="AC236" s="6"/>
      <c r="AD236" s="35"/>
      <c r="AE236" s="6"/>
      <c r="AF236" s="6"/>
      <c r="AG236" s="35"/>
      <c r="AH236" s="35"/>
      <c r="AI236" s="35"/>
      <c r="AJ236" s="35"/>
      <c r="AK236" s="6"/>
      <c r="AL236" s="6"/>
      <c r="AM236" s="35"/>
      <c r="AN236" s="6"/>
      <c r="AO236" s="6"/>
      <c r="AP236" s="34"/>
      <c r="AQ236" s="35"/>
      <c r="AR236" s="35"/>
      <c r="AS236" s="35"/>
      <c r="AT236" s="6"/>
      <c r="AU236" s="35"/>
      <c r="AV236" s="35"/>
      <c r="AW236" s="6"/>
      <c r="AX236" s="6"/>
      <c r="AY236" s="35"/>
      <c r="AZ236" s="35"/>
      <c r="BA236" s="35"/>
      <c r="BB236" s="35"/>
      <c r="BC236" s="35"/>
      <c r="BD236" s="6"/>
      <c r="BE236" s="35"/>
      <c r="BF236" s="6"/>
      <c r="BG236" s="35"/>
      <c r="BH236" s="6"/>
      <c r="BI236" s="35"/>
      <c r="BJ236" s="35"/>
      <c r="BK236" s="6"/>
      <c r="BL236" s="35"/>
      <c r="BM236" s="35"/>
      <c r="BN236" s="6"/>
      <c r="BO236" s="35"/>
      <c r="BP236" s="35"/>
      <c r="BQ236" s="35"/>
      <c r="BR236" s="35"/>
      <c r="BS236" s="35"/>
      <c r="BT236" s="6"/>
      <c r="BU236" s="6"/>
      <c r="BV236" s="35"/>
      <c r="BW236" s="35"/>
      <c r="BX236" s="35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10"/>
      <c r="DG236" s="6"/>
      <c r="DH236" s="6"/>
      <c r="DI236" s="10"/>
      <c r="DJ236" s="6"/>
      <c r="DK236" s="6"/>
      <c r="DL236" s="10"/>
      <c r="DM236" s="6"/>
    </row>
    <row r="237" spans="1:117">
      <c r="A237" s="151">
        <v>233</v>
      </c>
      <c r="B237" s="6"/>
      <c r="C237" s="10"/>
      <c r="D237" s="6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6"/>
      <c r="AC237" s="6"/>
      <c r="AD237" s="35"/>
      <c r="AE237" s="6"/>
      <c r="AF237" s="6"/>
      <c r="AG237" s="35"/>
      <c r="AH237" s="35"/>
      <c r="AI237" s="35"/>
      <c r="AJ237" s="35"/>
      <c r="AK237" s="6"/>
      <c r="AL237" s="6"/>
      <c r="AM237" s="35"/>
      <c r="AN237" s="6"/>
      <c r="AO237" s="6"/>
      <c r="AP237" s="34"/>
      <c r="AQ237" s="35"/>
      <c r="AR237" s="35"/>
      <c r="AS237" s="35"/>
      <c r="AT237" s="6"/>
      <c r="AU237" s="6"/>
      <c r="AV237" s="35"/>
      <c r="AW237" s="6"/>
      <c r="AX237" s="6"/>
      <c r="AY237" s="35"/>
      <c r="AZ237" s="35"/>
      <c r="BA237" s="35"/>
      <c r="BB237" s="35"/>
      <c r="BC237" s="35"/>
      <c r="BD237" s="6"/>
      <c r="BE237" s="35"/>
      <c r="BF237" s="6"/>
      <c r="BG237" s="35"/>
      <c r="BH237" s="6"/>
      <c r="BI237" s="35"/>
      <c r="BJ237" s="35"/>
      <c r="BK237" s="6"/>
      <c r="BL237" s="35"/>
      <c r="BM237" s="35"/>
      <c r="BN237" s="6"/>
      <c r="BO237" s="35"/>
      <c r="BP237" s="35"/>
      <c r="BQ237" s="35"/>
      <c r="BR237" s="35"/>
      <c r="BS237" s="35"/>
      <c r="BT237" s="6"/>
      <c r="BU237" s="6"/>
      <c r="BV237" s="35"/>
      <c r="BW237" s="35"/>
      <c r="BX237" s="35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10"/>
      <c r="DG237" s="6"/>
      <c r="DH237" s="6"/>
      <c r="DI237" s="10"/>
      <c r="DJ237" s="6"/>
      <c r="DK237" s="6"/>
      <c r="DL237" s="10"/>
      <c r="DM237" s="6"/>
    </row>
    <row r="238" spans="1:117">
      <c r="A238" s="151">
        <v>234</v>
      </c>
      <c r="B238" s="6"/>
      <c r="C238" s="10"/>
      <c r="D238" s="6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6"/>
      <c r="AC238" s="6"/>
      <c r="AD238" s="35"/>
      <c r="AE238" s="6"/>
      <c r="AF238" s="6"/>
      <c r="AG238" s="35"/>
      <c r="AH238" s="35"/>
      <c r="AI238" s="35"/>
      <c r="AJ238" s="35"/>
      <c r="AK238" s="6"/>
      <c r="AL238" s="6"/>
      <c r="AM238" s="35"/>
      <c r="AN238" s="6"/>
      <c r="AO238" s="6"/>
      <c r="AP238" s="34"/>
      <c r="AQ238" s="35"/>
      <c r="AR238" s="35"/>
      <c r="AS238" s="35"/>
      <c r="AT238" s="35"/>
      <c r="AU238" s="6"/>
      <c r="AV238" s="35"/>
      <c r="AW238" s="6"/>
      <c r="AX238" s="6"/>
      <c r="AY238" s="35"/>
      <c r="AZ238" s="35"/>
      <c r="BA238" s="35"/>
      <c r="BB238" s="35"/>
      <c r="BC238" s="35"/>
      <c r="BD238" s="6"/>
      <c r="BE238" s="35"/>
      <c r="BF238" s="6"/>
      <c r="BG238" s="35"/>
      <c r="BH238" s="6"/>
      <c r="BI238" s="35"/>
      <c r="BJ238" s="35"/>
      <c r="BK238" s="6"/>
      <c r="BL238" s="35"/>
      <c r="BM238" s="35"/>
      <c r="BN238" s="6"/>
      <c r="BO238" s="35"/>
      <c r="BP238" s="35"/>
      <c r="BQ238" s="35"/>
      <c r="BR238" s="35"/>
      <c r="BS238" s="35"/>
      <c r="BT238" s="6"/>
      <c r="BU238" s="6"/>
      <c r="BV238" s="35"/>
      <c r="BW238" s="35"/>
      <c r="BX238" s="35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10"/>
      <c r="DG238" s="6"/>
      <c r="DH238" s="6"/>
      <c r="DI238" s="10"/>
      <c r="DJ238" s="6"/>
      <c r="DK238" s="6"/>
      <c r="DL238" s="10"/>
      <c r="DM238" s="6"/>
    </row>
    <row r="239" spans="1:117">
      <c r="A239" s="151">
        <v>235</v>
      </c>
      <c r="B239" s="6"/>
      <c r="C239" s="10"/>
      <c r="D239" s="6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6"/>
      <c r="AC239" s="6"/>
      <c r="AD239" s="35"/>
      <c r="AE239" s="6"/>
      <c r="AF239" s="6"/>
      <c r="AG239" s="35"/>
      <c r="AH239" s="35"/>
      <c r="AI239" s="35"/>
      <c r="AJ239" s="35"/>
      <c r="AK239" s="6"/>
      <c r="AL239" s="6"/>
      <c r="AM239" s="35"/>
      <c r="AN239" s="6"/>
      <c r="AO239" s="6"/>
      <c r="AP239" s="34"/>
      <c r="AQ239" s="35"/>
      <c r="AR239" s="35"/>
      <c r="AS239" s="35"/>
      <c r="AT239" s="6"/>
      <c r="AU239" s="6"/>
      <c r="AV239" s="35"/>
      <c r="AW239" s="6"/>
      <c r="AX239" s="6"/>
      <c r="AY239" s="35"/>
      <c r="AZ239" s="35"/>
      <c r="BA239" s="35"/>
      <c r="BB239" s="35"/>
      <c r="BC239" s="35"/>
      <c r="BD239" s="6"/>
      <c r="BE239" s="35"/>
      <c r="BF239" s="6"/>
      <c r="BG239" s="6"/>
      <c r="BH239" s="6"/>
      <c r="BI239" s="6"/>
      <c r="BJ239" s="6"/>
      <c r="BK239" s="6"/>
      <c r="BL239" s="35"/>
      <c r="BM239" s="35"/>
      <c r="BN239" s="6"/>
      <c r="BO239" s="35"/>
      <c r="BP239" s="35"/>
      <c r="BQ239" s="35"/>
      <c r="BR239" s="35"/>
      <c r="BS239" s="35"/>
      <c r="BT239" s="6"/>
      <c r="BU239" s="35"/>
      <c r="BV239" s="35"/>
      <c r="BW239" s="35"/>
      <c r="BX239" s="35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10"/>
      <c r="DG239" s="6"/>
      <c r="DH239" s="6"/>
      <c r="DI239" s="10"/>
      <c r="DJ239" s="6"/>
      <c r="DK239" s="6"/>
      <c r="DL239" s="10"/>
      <c r="DM239" s="6"/>
    </row>
    <row r="240" spans="1:117">
      <c r="A240" s="151">
        <v>236</v>
      </c>
      <c r="B240" s="6"/>
      <c r="C240" s="10"/>
      <c r="D240" s="6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6"/>
      <c r="AC240" s="6"/>
      <c r="AD240" s="35"/>
      <c r="AE240" s="6"/>
      <c r="AF240" s="6"/>
      <c r="AG240" s="35"/>
      <c r="AH240" s="35"/>
      <c r="AI240" s="35"/>
      <c r="AJ240" s="35"/>
      <c r="AK240" s="6"/>
      <c r="AL240" s="6"/>
      <c r="AM240" s="35"/>
      <c r="AN240" s="6"/>
      <c r="AO240" s="6"/>
      <c r="AP240" s="34"/>
      <c r="AQ240" s="35"/>
      <c r="AR240" s="35"/>
      <c r="AS240" s="35"/>
      <c r="AT240" s="6"/>
      <c r="AU240" s="6"/>
      <c r="AV240" s="35"/>
      <c r="AW240" s="6"/>
      <c r="AX240" s="6"/>
      <c r="AY240" s="35"/>
      <c r="AZ240" s="35"/>
      <c r="BA240" s="35"/>
      <c r="BB240" s="35"/>
      <c r="BC240" s="35"/>
      <c r="BD240" s="6"/>
      <c r="BE240" s="35"/>
      <c r="BF240" s="6"/>
      <c r="BG240" s="6"/>
      <c r="BH240" s="6"/>
      <c r="BI240" s="6"/>
      <c r="BJ240" s="6"/>
      <c r="BK240" s="6"/>
      <c r="BL240" s="35"/>
      <c r="BM240" s="35"/>
      <c r="BN240" s="6"/>
      <c r="BO240" s="35"/>
      <c r="BP240" s="35"/>
      <c r="BQ240" s="35"/>
      <c r="BR240" s="35"/>
      <c r="BS240" s="35"/>
      <c r="BT240" s="6"/>
      <c r="BU240" s="35"/>
      <c r="BV240" s="35"/>
      <c r="BW240" s="35"/>
      <c r="BX240" s="35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10"/>
      <c r="DG240" s="6"/>
      <c r="DH240" s="6"/>
      <c r="DI240" s="10"/>
      <c r="DJ240" s="6"/>
      <c r="DK240" s="6"/>
      <c r="DL240" s="10"/>
      <c r="DM240" s="6"/>
    </row>
    <row r="241" spans="1:117">
      <c r="A241" s="151">
        <v>237</v>
      </c>
      <c r="B241" s="6"/>
      <c r="C241" s="10"/>
      <c r="D241" s="6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6"/>
      <c r="AC241" s="6"/>
      <c r="AD241" s="35"/>
      <c r="AE241" s="6"/>
      <c r="AF241" s="6"/>
      <c r="AG241" s="35"/>
      <c r="AH241" s="35"/>
      <c r="AI241" s="35"/>
      <c r="AJ241" s="35"/>
      <c r="AK241" s="6"/>
      <c r="AL241" s="6"/>
      <c r="AM241" s="35"/>
      <c r="AN241" s="6"/>
      <c r="AO241" s="6"/>
      <c r="AP241" s="34"/>
      <c r="AQ241" s="35"/>
      <c r="AR241" s="35"/>
      <c r="AS241" s="35"/>
      <c r="AT241" s="6"/>
      <c r="AU241" s="6"/>
      <c r="AV241" s="35"/>
      <c r="AW241" s="6"/>
      <c r="AX241" s="6"/>
      <c r="AY241" s="35"/>
      <c r="AZ241" s="35"/>
      <c r="BA241" s="35"/>
      <c r="BB241" s="35"/>
      <c r="BC241" s="35"/>
      <c r="BD241" s="6"/>
      <c r="BE241" s="35"/>
      <c r="BF241" s="6"/>
      <c r="BG241" s="6"/>
      <c r="BH241" s="6"/>
      <c r="BI241" s="6"/>
      <c r="BJ241" s="6"/>
      <c r="BK241" s="6"/>
      <c r="BL241" s="35"/>
      <c r="BM241" s="35"/>
      <c r="BN241" s="6"/>
      <c r="BO241" s="35"/>
      <c r="BP241" s="35"/>
      <c r="BQ241" s="35"/>
      <c r="BR241" s="35"/>
      <c r="BS241" s="35"/>
      <c r="BT241" s="6"/>
      <c r="BU241" s="35"/>
      <c r="BV241" s="35"/>
      <c r="BW241" s="35"/>
      <c r="BX241" s="35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10"/>
      <c r="DG241" s="6"/>
      <c r="DH241" s="6"/>
      <c r="DI241" s="10"/>
      <c r="DJ241" s="6"/>
      <c r="DK241" s="6"/>
      <c r="DL241" s="10"/>
      <c r="DM241" s="6"/>
    </row>
    <row r="242" spans="1:117">
      <c r="A242" s="151">
        <v>238</v>
      </c>
      <c r="B242" s="6"/>
      <c r="C242" s="10"/>
      <c r="D242" s="6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6"/>
      <c r="AC242" s="6"/>
      <c r="AD242" s="35"/>
      <c r="AE242" s="6"/>
      <c r="AF242" s="6"/>
      <c r="AG242" s="35"/>
      <c r="AH242" s="35"/>
      <c r="AI242" s="35"/>
      <c r="AJ242" s="35"/>
      <c r="AK242" s="6"/>
      <c r="AL242" s="6"/>
      <c r="AM242" s="35"/>
      <c r="AN242" s="6"/>
      <c r="AO242" s="6"/>
      <c r="AP242" s="34"/>
      <c r="AQ242" s="35"/>
      <c r="AR242" s="35"/>
      <c r="AS242" s="35"/>
      <c r="AT242" s="6"/>
      <c r="AU242" s="6"/>
      <c r="AV242" s="35"/>
      <c r="AW242" s="6"/>
      <c r="AX242" s="6"/>
      <c r="AY242" s="35"/>
      <c r="AZ242" s="35"/>
      <c r="BA242" s="35"/>
      <c r="BB242" s="35"/>
      <c r="BC242" s="35"/>
      <c r="BD242" s="6"/>
      <c r="BE242" s="35"/>
      <c r="BF242" s="6"/>
      <c r="BG242" s="6"/>
      <c r="BH242" s="6"/>
      <c r="BI242" s="6"/>
      <c r="BJ242" s="6"/>
      <c r="BK242" s="6"/>
      <c r="BL242" s="35"/>
      <c r="BM242" s="35"/>
      <c r="BN242" s="6"/>
      <c r="BO242" s="35"/>
      <c r="BP242" s="35"/>
      <c r="BQ242" s="35"/>
      <c r="BR242" s="35"/>
      <c r="BS242" s="35"/>
      <c r="BT242" s="6"/>
      <c r="BU242" s="35"/>
      <c r="BV242" s="35"/>
      <c r="BW242" s="35"/>
      <c r="BX242" s="35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10"/>
      <c r="DG242" s="6"/>
      <c r="DH242" s="6"/>
      <c r="DI242" s="10"/>
      <c r="DJ242" s="6"/>
      <c r="DK242" s="6"/>
      <c r="DL242" s="10"/>
      <c r="DM242" s="6"/>
    </row>
    <row r="243" spans="1:117">
      <c r="A243" s="151">
        <v>239</v>
      </c>
      <c r="B243" s="6"/>
      <c r="C243" s="10"/>
      <c r="D243" s="6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6"/>
      <c r="AC243" s="6"/>
      <c r="AD243" s="35"/>
      <c r="AE243" s="6"/>
      <c r="AF243" s="6"/>
      <c r="AG243" s="35"/>
      <c r="AH243" s="35"/>
      <c r="AI243" s="35"/>
      <c r="AJ243" s="35"/>
      <c r="AK243" s="6"/>
      <c r="AL243" s="6"/>
      <c r="AM243" s="35"/>
      <c r="AN243" s="6"/>
      <c r="AO243" s="6"/>
      <c r="AP243" s="34"/>
      <c r="AQ243" s="35"/>
      <c r="AR243" s="35"/>
      <c r="AS243" s="35"/>
      <c r="AT243" s="6"/>
      <c r="AU243" s="6"/>
      <c r="AV243" s="35"/>
      <c r="AW243" s="6"/>
      <c r="AX243" s="6"/>
      <c r="AY243" s="35"/>
      <c r="AZ243" s="35"/>
      <c r="BA243" s="35"/>
      <c r="BB243" s="35"/>
      <c r="BC243" s="35"/>
      <c r="BD243" s="6"/>
      <c r="BE243" s="35"/>
      <c r="BF243" s="6"/>
      <c r="BG243" s="6"/>
      <c r="BH243" s="6"/>
      <c r="BI243" s="6"/>
      <c r="BJ243" s="6"/>
      <c r="BK243" s="6"/>
      <c r="BL243" s="35"/>
      <c r="BM243" s="35"/>
      <c r="BN243" s="6"/>
      <c r="BO243" s="35"/>
      <c r="BP243" s="35"/>
      <c r="BQ243" s="35"/>
      <c r="BR243" s="35"/>
      <c r="BS243" s="35"/>
      <c r="BT243" s="6"/>
      <c r="BU243" s="6"/>
      <c r="BV243" s="35"/>
      <c r="BW243" s="35"/>
      <c r="BX243" s="35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10"/>
      <c r="DG243" s="6"/>
      <c r="DH243" s="6"/>
      <c r="DI243" s="10"/>
      <c r="DJ243" s="6"/>
      <c r="DK243" s="6"/>
      <c r="DL243" s="10"/>
      <c r="DM243" s="6"/>
    </row>
    <row r="244" spans="1:117">
      <c r="A244" s="151">
        <v>240</v>
      </c>
      <c r="B244" s="6"/>
      <c r="C244" s="10"/>
      <c r="D244" s="6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6"/>
      <c r="AC244" s="6"/>
      <c r="AD244" s="35"/>
      <c r="AE244" s="6"/>
      <c r="AF244" s="6"/>
      <c r="AG244" s="35"/>
      <c r="AH244" s="35"/>
      <c r="AI244" s="35"/>
      <c r="AJ244" s="35"/>
      <c r="AK244" s="6"/>
      <c r="AL244" s="6"/>
      <c r="AM244" s="35"/>
      <c r="AN244" s="6"/>
      <c r="AO244" s="6"/>
      <c r="AP244" s="34"/>
      <c r="AQ244" s="35"/>
      <c r="AR244" s="35"/>
      <c r="AS244" s="35"/>
      <c r="AT244" s="6"/>
      <c r="AU244" s="6"/>
      <c r="AV244" s="35"/>
      <c r="AW244" s="6"/>
      <c r="AX244" s="6"/>
      <c r="AY244" s="35"/>
      <c r="AZ244" s="35"/>
      <c r="BA244" s="35"/>
      <c r="BB244" s="35"/>
      <c r="BC244" s="35"/>
      <c r="BD244" s="6"/>
      <c r="BE244" s="35"/>
      <c r="BF244" s="6"/>
      <c r="BG244" s="6"/>
      <c r="BH244" s="6"/>
      <c r="BI244" s="6"/>
      <c r="BJ244" s="6"/>
      <c r="BK244" s="6"/>
      <c r="BL244" s="35"/>
      <c r="BM244" s="35"/>
      <c r="BN244" s="6"/>
      <c r="BO244" s="35"/>
      <c r="BP244" s="35"/>
      <c r="BQ244" s="35"/>
      <c r="BR244" s="35"/>
      <c r="BS244" s="35"/>
      <c r="BT244" s="6"/>
      <c r="BU244" s="6"/>
      <c r="BV244" s="35"/>
      <c r="BW244" s="35"/>
      <c r="BX244" s="35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10"/>
      <c r="DG244" s="6"/>
      <c r="DH244" s="6"/>
      <c r="DI244" s="10"/>
      <c r="DJ244" s="6"/>
      <c r="DK244" s="6"/>
      <c r="DL244" s="10"/>
      <c r="DM244" s="6"/>
    </row>
    <row r="245" spans="1:117">
      <c r="A245" s="151">
        <v>241</v>
      </c>
      <c r="B245" s="6"/>
      <c r="C245" s="10"/>
      <c r="D245" s="6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6"/>
      <c r="AC245" s="6"/>
      <c r="AD245" s="35"/>
      <c r="AE245" s="6"/>
      <c r="AF245" s="6"/>
      <c r="AG245" s="35"/>
      <c r="AH245" s="35"/>
      <c r="AI245" s="35"/>
      <c r="AJ245" s="35"/>
      <c r="AK245" s="6"/>
      <c r="AL245" s="6"/>
      <c r="AM245" s="35"/>
      <c r="AN245" s="6"/>
      <c r="AO245" s="6"/>
      <c r="AP245" s="34"/>
      <c r="AQ245" s="35"/>
      <c r="AR245" s="35"/>
      <c r="AS245" s="35"/>
      <c r="AT245" s="6"/>
      <c r="AU245" s="6"/>
      <c r="AV245" s="35"/>
      <c r="AW245" s="6"/>
      <c r="AX245" s="6"/>
      <c r="AY245" s="35"/>
      <c r="AZ245" s="35"/>
      <c r="BA245" s="35"/>
      <c r="BB245" s="35"/>
      <c r="BC245" s="35"/>
      <c r="BD245" s="6"/>
      <c r="BE245" s="35"/>
      <c r="BF245" s="6"/>
      <c r="BG245" s="6"/>
      <c r="BH245" s="6"/>
      <c r="BI245" s="6"/>
      <c r="BJ245" s="6"/>
      <c r="BK245" s="6"/>
      <c r="BL245" s="35"/>
      <c r="BM245" s="35"/>
      <c r="BN245" s="6"/>
      <c r="BO245" s="35"/>
      <c r="BP245" s="35"/>
      <c r="BQ245" s="35"/>
      <c r="BR245" s="35"/>
      <c r="BS245" s="35"/>
      <c r="BT245" s="6"/>
      <c r="BU245" s="6"/>
      <c r="BV245" s="35"/>
      <c r="BW245" s="35"/>
      <c r="BX245" s="35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10"/>
      <c r="DG245" s="6"/>
      <c r="DH245" s="6"/>
      <c r="DI245" s="10"/>
      <c r="DJ245" s="6"/>
      <c r="DK245" s="6"/>
      <c r="DL245" s="10"/>
      <c r="DM245" s="6"/>
    </row>
    <row r="246" spans="1:117">
      <c r="A246" s="151">
        <v>242</v>
      </c>
      <c r="B246" s="6"/>
      <c r="C246" s="10"/>
      <c r="D246" s="6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6"/>
      <c r="AC246" s="6"/>
      <c r="AD246" s="35"/>
      <c r="AE246" s="6"/>
      <c r="AF246" s="6"/>
      <c r="AG246" s="35"/>
      <c r="AH246" s="35"/>
      <c r="AI246" s="35"/>
      <c r="AJ246" s="35"/>
      <c r="AK246" s="6"/>
      <c r="AL246" s="6"/>
      <c r="AM246" s="35"/>
      <c r="AN246" s="6"/>
      <c r="AO246" s="6"/>
      <c r="AP246" s="34"/>
      <c r="AQ246" s="35"/>
      <c r="AR246" s="35"/>
      <c r="AS246" s="35"/>
      <c r="AT246" s="6"/>
      <c r="AU246" s="6"/>
      <c r="AV246" s="35"/>
      <c r="AW246" s="6"/>
      <c r="AX246" s="6"/>
      <c r="AY246" s="35"/>
      <c r="AZ246" s="35"/>
      <c r="BA246" s="35"/>
      <c r="BB246" s="35"/>
      <c r="BC246" s="35"/>
      <c r="BD246" s="6"/>
      <c r="BE246" s="35"/>
      <c r="BF246" s="6"/>
      <c r="BG246" s="6"/>
      <c r="BH246" s="6"/>
      <c r="BI246" s="6"/>
      <c r="BJ246" s="6"/>
      <c r="BK246" s="6"/>
      <c r="BL246" s="35"/>
      <c r="BM246" s="35"/>
      <c r="BN246" s="6"/>
      <c r="BO246" s="35"/>
      <c r="BP246" s="35"/>
      <c r="BQ246" s="35"/>
      <c r="BR246" s="35"/>
      <c r="BS246" s="35"/>
      <c r="BT246" s="6"/>
      <c r="BU246" s="6"/>
      <c r="BV246" s="35"/>
      <c r="BW246" s="35"/>
      <c r="BX246" s="35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10"/>
      <c r="DG246" s="6"/>
      <c r="DH246" s="6"/>
      <c r="DI246" s="10"/>
      <c r="DJ246" s="6"/>
      <c r="DK246" s="6"/>
      <c r="DL246" s="10"/>
      <c r="DM246" s="6"/>
    </row>
    <row r="247" spans="1:117">
      <c r="A247" s="151">
        <v>243</v>
      </c>
      <c r="B247" s="6"/>
      <c r="C247" s="10"/>
      <c r="D247" s="6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6"/>
      <c r="AC247" s="6"/>
      <c r="AD247" s="35"/>
      <c r="AE247" s="6"/>
      <c r="AF247" s="6"/>
      <c r="AG247" s="35"/>
      <c r="AH247" s="35"/>
      <c r="AI247" s="35"/>
      <c r="AJ247" s="35"/>
      <c r="AK247" s="6"/>
      <c r="AL247" s="6"/>
      <c r="AM247" s="35"/>
      <c r="AN247" s="6"/>
      <c r="AO247" s="6"/>
      <c r="AP247" s="34"/>
      <c r="AQ247" s="35"/>
      <c r="AR247" s="35"/>
      <c r="AS247" s="35"/>
      <c r="AT247" s="6"/>
      <c r="AU247" s="6"/>
      <c r="AV247" s="35"/>
      <c r="AW247" s="6"/>
      <c r="AX247" s="6"/>
      <c r="AY247" s="35"/>
      <c r="AZ247" s="35"/>
      <c r="BA247" s="35"/>
      <c r="BB247" s="35"/>
      <c r="BC247" s="35"/>
      <c r="BD247" s="6"/>
      <c r="BE247" s="35"/>
      <c r="BF247" s="6"/>
      <c r="BG247" s="6"/>
      <c r="BH247" s="6"/>
      <c r="BI247" s="6"/>
      <c r="BJ247" s="6"/>
      <c r="BK247" s="6"/>
      <c r="BL247" s="35"/>
      <c r="BM247" s="35"/>
      <c r="BN247" s="6"/>
      <c r="BO247" s="35"/>
      <c r="BP247" s="35"/>
      <c r="BQ247" s="35"/>
      <c r="BR247" s="35"/>
      <c r="BS247" s="35"/>
      <c r="BT247" s="6"/>
      <c r="BU247" s="6"/>
      <c r="BV247" s="35"/>
      <c r="BW247" s="35"/>
      <c r="BX247" s="35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10"/>
      <c r="DG247" s="6"/>
      <c r="DH247" s="6"/>
      <c r="DI247" s="10"/>
      <c r="DJ247" s="6"/>
      <c r="DK247" s="6"/>
      <c r="DL247" s="10"/>
      <c r="DM247" s="6"/>
    </row>
    <row r="248" spans="1:117">
      <c r="A248" s="151">
        <v>244</v>
      </c>
      <c r="B248" s="6"/>
      <c r="C248" s="10"/>
      <c r="D248" s="6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6"/>
      <c r="AC248" s="6"/>
      <c r="AD248" s="35"/>
      <c r="AE248" s="6"/>
      <c r="AF248" s="6"/>
      <c r="AG248" s="35"/>
      <c r="AH248" s="35"/>
      <c r="AI248" s="35"/>
      <c r="AJ248" s="35"/>
      <c r="AK248" s="35"/>
      <c r="AL248" s="6"/>
      <c r="AM248" s="35"/>
      <c r="AN248" s="6"/>
      <c r="AO248" s="6"/>
      <c r="AP248" s="34"/>
      <c r="AQ248" s="35"/>
      <c r="AR248" s="35"/>
      <c r="AS248" s="35"/>
      <c r="AT248" s="6"/>
      <c r="AU248" s="6"/>
      <c r="AV248" s="35"/>
      <c r="AW248" s="6"/>
      <c r="AX248" s="6"/>
      <c r="AY248" s="35"/>
      <c r="AZ248" s="35"/>
      <c r="BA248" s="35"/>
      <c r="BB248" s="35"/>
      <c r="BC248" s="35"/>
      <c r="BD248" s="6"/>
      <c r="BE248" s="35"/>
      <c r="BF248" s="6"/>
      <c r="BG248" s="6"/>
      <c r="BH248" s="6"/>
      <c r="BI248" s="6"/>
      <c r="BJ248" s="35"/>
      <c r="BK248" s="6"/>
      <c r="BL248" s="35"/>
      <c r="BM248" s="35"/>
      <c r="BN248" s="6"/>
      <c r="BO248" s="35"/>
      <c r="BP248" s="35"/>
      <c r="BQ248" s="35"/>
      <c r="BR248" s="35"/>
      <c r="BS248" s="35"/>
      <c r="BT248" s="6"/>
      <c r="BU248" s="6"/>
      <c r="BV248" s="35"/>
      <c r="BW248" s="35"/>
      <c r="BX248" s="35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10"/>
      <c r="DG248" s="6"/>
      <c r="DH248" s="6"/>
      <c r="DI248" s="10"/>
      <c r="DJ248" s="6"/>
      <c r="DK248" s="6"/>
      <c r="DL248" s="10"/>
      <c r="DM248" s="6"/>
    </row>
    <row r="249" spans="1:117">
      <c r="A249" s="151">
        <v>245</v>
      </c>
      <c r="B249" s="6"/>
      <c r="C249" s="10"/>
      <c r="D249" s="6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6"/>
      <c r="AC249" s="6"/>
      <c r="AD249" s="35"/>
      <c r="AE249" s="6"/>
      <c r="AF249" s="6"/>
      <c r="AG249" s="35"/>
      <c r="AH249" s="35"/>
      <c r="AI249" s="35"/>
      <c r="AJ249" s="35"/>
      <c r="AK249" s="6"/>
      <c r="AL249" s="6"/>
      <c r="AM249" s="35"/>
      <c r="AN249" s="6"/>
      <c r="AO249" s="6"/>
      <c r="AP249" s="34"/>
      <c r="AQ249" s="35"/>
      <c r="AR249" s="35"/>
      <c r="AS249" s="35"/>
      <c r="AT249" s="6"/>
      <c r="AU249" s="6"/>
      <c r="AV249" s="35"/>
      <c r="AW249" s="6"/>
      <c r="AX249" s="6"/>
      <c r="AY249" s="35"/>
      <c r="AZ249" s="35"/>
      <c r="BA249" s="35"/>
      <c r="BB249" s="35"/>
      <c r="BC249" s="35"/>
      <c r="BD249" s="6"/>
      <c r="BE249" s="35"/>
      <c r="BF249" s="6"/>
      <c r="BG249" s="6"/>
      <c r="BH249" s="6"/>
      <c r="BI249" s="6"/>
      <c r="BJ249" s="6"/>
      <c r="BK249" s="6"/>
      <c r="BL249" s="35"/>
      <c r="BM249" s="35"/>
      <c r="BN249" s="6"/>
      <c r="BO249" s="35"/>
      <c r="BP249" s="35"/>
      <c r="BQ249" s="35"/>
      <c r="BR249" s="35"/>
      <c r="BS249" s="35"/>
      <c r="BT249" s="6"/>
      <c r="BU249" s="6"/>
      <c r="BV249" s="35"/>
      <c r="BW249" s="35"/>
      <c r="BX249" s="35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10"/>
      <c r="DG249" s="6"/>
      <c r="DH249" s="6"/>
      <c r="DI249" s="10"/>
      <c r="DJ249" s="6"/>
      <c r="DK249" s="6"/>
      <c r="DL249" s="10"/>
      <c r="DM249" s="6"/>
    </row>
    <row r="250" spans="1:117">
      <c r="A250" s="275">
        <v>246</v>
      </c>
      <c r="B250" s="6">
        <v>87</v>
      </c>
      <c r="C250" s="10">
        <v>1100</v>
      </c>
      <c r="D250" s="6">
        <v>229</v>
      </c>
      <c r="E250" s="141" t="s">
        <v>75</v>
      </c>
      <c r="F250" s="141" t="s">
        <v>75</v>
      </c>
      <c r="G250" s="141" t="s">
        <v>75</v>
      </c>
      <c r="H250" s="141" t="s">
        <v>75</v>
      </c>
      <c r="I250" s="141" t="s">
        <v>75</v>
      </c>
      <c r="J250" s="141" t="s">
        <v>75</v>
      </c>
      <c r="K250" s="141" t="s">
        <v>75</v>
      </c>
      <c r="L250" s="141" t="s">
        <v>75</v>
      </c>
      <c r="M250" s="141" t="s">
        <v>75</v>
      </c>
      <c r="N250" s="141" t="s">
        <v>75</v>
      </c>
      <c r="O250" s="141" t="s">
        <v>75</v>
      </c>
      <c r="P250" s="141" t="s">
        <v>75</v>
      </c>
      <c r="Q250" s="141" t="s">
        <v>75</v>
      </c>
      <c r="R250" s="141" t="s">
        <v>75</v>
      </c>
      <c r="S250" s="141" t="s">
        <v>75</v>
      </c>
      <c r="T250" s="141" t="s">
        <v>75</v>
      </c>
      <c r="U250" s="163" t="s">
        <v>291</v>
      </c>
      <c r="V250" s="141" t="s">
        <v>291</v>
      </c>
      <c r="W250" s="141" t="s">
        <v>291</v>
      </c>
      <c r="X250" s="141" t="s">
        <v>291</v>
      </c>
      <c r="Y250" s="141" t="s">
        <v>291</v>
      </c>
      <c r="Z250" s="141" t="s">
        <v>291</v>
      </c>
      <c r="AA250" s="141" t="s">
        <v>291</v>
      </c>
      <c r="AB250" s="6">
        <v>349</v>
      </c>
      <c r="AC250" s="6"/>
      <c r="AD250" s="35">
        <f t="shared" si="66"/>
        <v>262</v>
      </c>
      <c r="AE250" s="6">
        <v>601</v>
      </c>
      <c r="AF250" s="6"/>
      <c r="AG250" s="35">
        <f t="shared" si="67"/>
        <v>252</v>
      </c>
      <c r="AH250" s="35">
        <v>157</v>
      </c>
      <c r="AI250" s="35">
        <v>693</v>
      </c>
      <c r="AJ250" s="35">
        <f t="shared" si="68"/>
        <v>249</v>
      </c>
      <c r="AK250" s="6">
        <v>389</v>
      </c>
      <c r="AL250" s="6"/>
      <c r="AM250" s="35">
        <f t="shared" si="69"/>
        <v>232</v>
      </c>
      <c r="AN250" s="6"/>
      <c r="AO250" s="6"/>
      <c r="AP250" s="34"/>
      <c r="AQ250" s="35">
        <v>133</v>
      </c>
      <c r="AR250" s="35">
        <v>500</v>
      </c>
      <c r="AS250" s="35">
        <f t="shared" si="70"/>
        <v>244</v>
      </c>
      <c r="AT250" s="6">
        <v>379</v>
      </c>
      <c r="AU250" s="6"/>
      <c r="AV250" s="35">
        <f t="shared" si="71"/>
        <v>246</v>
      </c>
      <c r="AW250" s="6">
        <v>195</v>
      </c>
      <c r="AX250" s="6">
        <v>425</v>
      </c>
      <c r="AY250" s="35">
        <f t="shared" si="72"/>
        <v>241</v>
      </c>
      <c r="AZ250" s="35">
        <v>441</v>
      </c>
      <c r="BA250" s="35"/>
      <c r="BB250" s="35">
        <f t="shared" si="73"/>
        <v>246</v>
      </c>
      <c r="BC250" s="35">
        <v>691</v>
      </c>
      <c r="BD250" s="6"/>
      <c r="BE250" s="35">
        <f t="shared" si="74"/>
        <v>250</v>
      </c>
      <c r="BF250" s="6">
        <v>928</v>
      </c>
      <c r="BG250" s="6"/>
      <c r="BH250" s="6">
        <f t="shared" si="75"/>
        <v>237</v>
      </c>
      <c r="BI250" s="6"/>
      <c r="BJ250" s="6"/>
      <c r="BK250" s="6"/>
      <c r="BL250" s="35">
        <v>80</v>
      </c>
      <c r="BM250" s="35">
        <v>1100</v>
      </c>
      <c r="BN250" s="6">
        <f t="shared" si="76"/>
        <v>252</v>
      </c>
      <c r="BO250" s="35">
        <v>327</v>
      </c>
      <c r="BP250" s="35"/>
      <c r="BQ250" s="35">
        <f t="shared" si="77"/>
        <v>247</v>
      </c>
      <c r="BR250" s="35">
        <v>577</v>
      </c>
      <c r="BS250" s="35"/>
      <c r="BT250" s="6">
        <f t="shared" si="78"/>
        <v>250</v>
      </c>
      <c r="BU250" s="6">
        <v>816</v>
      </c>
      <c r="BV250" s="35"/>
      <c r="BW250" s="35">
        <f t="shared" si="79"/>
        <v>239</v>
      </c>
      <c r="BX250" s="6">
        <v>0</v>
      </c>
      <c r="BY250" s="6">
        <v>943</v>
      </c>
      <c r="BZ250" s="6">
        <f t="shared" si="80"/>
        <v>127</v>
      </c>
      <c r="CA250" s="6">
        <v>170</v>
      </c>
      <c r="CB250" s="6"/>
      <c r="CC250" s="6">
        <f t="shared" si="81"/>
        <v>170</v>
      </c>
      <c r="CD250" s="6"/>
      <c r="CE250" s="6"/>
      <c r="CF250" s="6"/>
      <c r="CG250" s="6">
        <v>421</v>
      </c>
      <c r="CH250" s="6"/>
      <c r="CI250" s="6">
        <f t="shared" si="82"/>
        <v>251</v>
      </c>
      <c r="CJ250" s="6">
        <v>663</v>
      </c>
      <c r="CK250" s="6"/>
      <c r="CL250" s="6">
        <f t="shared" si="83"/>
        <v>242</v>
      </c>
      <c r="CM250" s="6">
        <v>860</v>
      </c>
      <c r="CN250" s="6"/>
      <c r="CO250" s="6">
        <f t="shared" si="84"/>
        <v>197</v>
      </c>
      <c r="CP250" s="6">
        <v>1098</v>
      </c>
      <c r="CQ250" s="6"/>
      <c r="CR250" s="6">
        <f t="shared" si="85"/>
        <v>238</v>
      </c>
      <c r="CS250" s="6">
        <v>243</v>
      </c>
      <c r="CT250" s="6">
        <v>1100</v>
      </c>
      <c r="CU250" s="6">
        <f t="shared" si="86"/>
        <v>245</v>
      </c>
      <c r="CV250" s="6">
        <v>367</v>
      </c>
      <c r="CW250" s="6"/>
      <c r="CX250" s="6">
        <f t="shared" si="87"/>
        <v>124</v>
      </c>
      <c r="CY250" s="6"/>
      <c r="CZ250" s="6"/>
      <c r="DA250" s="6"/>
      <c r="DB250" s="6"/>
      <c r="DC250" s="6"/>
      <c r="DD250" s="6"/>
      <c r="DE250" s="6"/>
      <c r="DF250" s="10"/>
      <c r="DG250" s="6"/>
      <c r="DH250" s="6"/>
      <c r="DI250" s="10"/>
      <c r="DJ250" s="6"/>
      <c r="DK250" s="6"/>
      <c r="DL250" s="10"/>
      <c r="DM250" s="6"/>
    </row>
    <row r="251" spans="1:117">
      <c r="A251" s="151">
        <v>247</v>
      </c>
      <c r="B251" s="6">
        <v>174</v>
      </c>
      <c r="C251" s="10"/>
      <c r="D251" s="6">
        <v>174</v>
      </c>
      <c r="E251" s="163" t="s">
        <v>79</v>
      </c>
      <c r="F251" s="141" t="s">
        <v>79</v>
      </c>
      <c r="G251" s="141" t="s">
        <v>79</v>
      </c>
      <c r="H251" s="141" t="s">
        <v>79</v>
      </c>
      <c r="I251" s="141" t="s">
        <v>79</v>
      </c>
      <c r="J251" s="141" t="s">
        <v>79</v>
      </c>
      <c r="K251" s="141" t="s">
        <v>79</v>
      </c>
      <c r="L251" s="141" t="s">
        <v>79</v>
      </c>
      <c r="M251" s="141" t="s">
        <v>79</v>
      </c>
      <c r="N251" s="141" t="s">
        <v>79</v>
      </c>
      <c r="O251" s="141" t="s">
        <v>79</v>
      </c>
      <c r="P251" s="141" t="s">
        <v>79</v>
      </c>
      <c r="Q251" s="141" t="s">
        <v>79</v>
      </c>
      <c r="R251" s="141" t="s">
        <v>79</v>
      </c>
      <c r="S251" s="141" t="s">
        <v>79</v>
      </c>
      <c r="T251" s="141" t="s">
        <v>79</v>
      </c>
      <c r="U251" s="141" t="s">
        <v>79</v>
      </c>
      <c r="V251" s="141" t="s">
        <v>79</v>
      </c>
      <c r="W251" s="141" t="s">
        <v>79</v>
      </c>
      <c r="X251" s="141" t="s">
        <v>79</v>
      </c>
      <c r="Y251" s="141" t="s">
        <v>79</v>
      </c>
      <c r="Z251" s="141" t="s">
        <v>79</v>
      </c>
      <c r="AA251" s="141" t="s">
        <v>79</v>
      </c>
      <c r="AB251" s="6">
        <v>359</v>
      </c>
      <c r="AC251" s="6"/>
      <c r="AD251" s="35">
        <f t="shared" si="66"/>
        <v>185</v>
      </c>
      <c r="AE251" s="6">
        <v>359</v>
      </c>
      <c r="AF251" s="6"/>
      <c r="AG251" s="35">
        <f t="shared" si="67"/>
        <v>0</v>
      </c>
      <c r="AH251" s="35">
        <v>359</v>
      </c>
      <c r="AI251" s="35"/>
      <c r="AJ251" s="35">
        <f t="shared" si="68"/>
        <v>0</v>
      </c>
      <c r="AK251" s="6">
        <v>359</v>
      </c>
      <c r="AL251" s="6"/>
      <c r="AM251" s="35">
        <f t="shared" si="69"/>
        <v>0</v>
      </c>
      <c r="AN251" s="6"/>
      <c r="AO251" s="6"/>
      <c r="AP251" s="34"/>
      <c r="AQ251" s="35">
        <v>359</v>
      </c>
      <c r="AR251" s="35"/>
      <c r="AS251" s="35">
        <f t="shared" si="70"/>
        <v>0</v>
      </c>
      <c r="AT251" s="6">
        <v>359</v>
      </c>
      <c r="AU251" s="6"/>
      <c r="AV251" s="35">
        <f t="shared" si="71"/>
        <v>0</v>
      </c>
      <c r="AW251" s="6">
        <v>359</v>
      </c>
      <c r="AX251" s="6"/>
      <c r="AY251" s="35">
        <f t="shared" si="72"/>
        <v>0</v>
      </c>
      <c r="AZ251" s="35">
        <v>359</v>
      </c>
      <c r="BA251" s="35"/>
      <c r="BB251" s="35">
        <f t="shared" si="73"/>
        <v>0</v>
      </c>
      <c r="BC251" s="35">
        <v>359</v>
      </c>
      <c r="BD251" s="6"/>
      <c r="BE251" s="35">
        <f t="shared" si="74"/>
        <v>0</v>
      </c>
      <c r="BF251" s="6">
        <v>359</v>
      </c>
      <c r="BG251" s="6"/>
      <c r="BH251" s="6">
        <f t="shared" si="75"/>
        <v>0</v>
      </c>
      <c r="BI251" s="6"/>
      <c r="BJ251" s="6"/>
      <c r="BK251" s="6"/>
      <c r="BL251" s="35">
        <v>359</v>
      </c>
      <c r="BM251" s="35"/>
      <c r="BN251" s="6">
        <f t="shared" si="76"/>
        <v>0</v>
      </c>
      <c r="BO251" s="35">
        <v>359</v>
      </c>
      <c r="BP251" s="35"/>
      <c r="BQ251" s="35">
        <f t="shared" si="77"/>
        <v>0</v>
      </c>
      <c r="BR251" s="35">
        <v>359</v>
      </c>
      <c r="BS251" s="35"/>
      <c r="BT251" s="6">
        <f t="shared" si="78"/>
        <v>0</v>
      </c>
      <c r="BU251" s="6">
        <v>359</v>
      </c>
      <c r="BV251" s="6"/>
      <c r="BW251" s="35">
        <f t="shared" si="79"/>
        <v>0</v>
      </c>
      <c r="BX251" s="6">
        <v>359</v>
      </c>
      <c r="BY251" s="6"/>
      <c r="BZ251" s="6">
        <f t="shared" si="80"/>
        <v>0</v>
      </c>
      <c r="CA251" s="6">
        <v>359</v>
      </c>
      <c r="CB251" s="6"/>
      <c r="CC251" s="6">
        <f t="shared" si="81"/>
        <v>0</v>
      </c>
      <c r="CD251" s="6"/>
      <c r="CE251" s="6"/>
      <c r="CF251" s="6"/>
      <c r="CG251" s="6">
        <v>359</v>
      </c>
      <c r="CH251" s="6"/>
      <c r="CI251" s="6">
        <f t="shared" si="82"/>
        <v>0</v>
      </c>
      <c r="CJ251" s="6">
        <v>359</v>
      </c>
      <c r="CK251" s="6"/>
      <c r="CL251" s="6">
        <f t="shared" si="83"/>
        <v>0</v>
      </c>
      <c r="CM251" s="6">
        <v>359</v>
      </c>
      <c r="CN251" s="6"/>
      <c r="CO251" s="6">
        <f t="shared" si="84"/>
        <v>0</v>
      </c>
      <c r="CP251" s="6">
        <v>359</v>
      </c>
      <c r="CQ251" s="6"/>
      <c r="CR251" s="6">
        <f t="shared" si="85"/>
        <v>0</v>
      </c>
      <c r="CS251" s="6">
        <v>359</v>
      </c>
      <c r="CT251" s="6"/>
      <c r="CU251" s="6">
        <f t="shared" si="86"/>
        <v>0</v>
      </c>
      <c r="CV251" s="6">
        <v>359</v>
      </c>
      <c r="CW251" s="6"/>
      <c r="CX251" s="6">
        <f t="shared" si="87"/>
        <v>0</v>
      </c>
      <c r="CY251" s="6"/>
      <c r="CZ251" s="6"/>
      <c r="DA251" s="6"/>
      <c r="DB251" s="6"/>
      <c r="DC251" s="6"/>
      <c r="DD251" s="6"/>
      <c r="DE251" s="6"/>
      <c r="DF251" s="10"/>
      <c r="DG251" s="6"/>
      <c r="DH251" s="6"/>
      <c r="DI251" s="10"/>
      <c r="DJ251" s="6"/>
      <c r="DK251" s="6"/>
      <c r="DL251" s="10"/>
      <c r="DM251" s="6"/>
    </row>
    <row r="252" spans="1:117">
      <c r="A252" s="151">
        <v>248</v>
      </c>
      <c r="B252" s="6"/>
      <c r="C252" s="10"/>
      <c r="D252" s="6"/>
      <c r="E252" s="141"/>
      <c r="F252" s="141"/>
      <c r="G252" s="141"/>
      <c r="H252" s="141"/>
      <c r="I252" s="141"/>
      <c r="J252" s="141"/>
      <c r="K252" s="141"/>
      <c r="L252" s="141"/>
      <c r="M252" s="163" t="s">
        <v>296</v>
      </c>
      <c r="N252" s="141" t="s">
        <v>296</v>
      </c>
      <c r="O252" s="141" t="s">
        <v>296</v>
      </c>
      <c r="P252" s="141" t="s">
        <v>296</v>
      </c>
      <c r="Q252" s="141" t="s">
        <v>296</v>
      </c>
      <c r="R252" s="141" t="s">
        <v>296</v>
      </c>
      <c r="S252" s="141" t="s">
        <v>296</v>
      </c>
      <c r="T252" s="141" t="s">
        <v>296</v>
      </c>
      <c r="U252" s="141" t="s">
        <v>296</v>
      </c>
      <c r="V252" s="141" t="s">
        <v>296</v>
      </c>
      <c r="W252" s="141" t="s">
        <v>296</v>
      </c>
      <c r="X252" s="141" t="s">
        <v>296</v>
      </c>
      <c r="Y252" s="141" t="s">
        <v>296</v>
      </c>
      <c r="Z252" s="141" t="s">
        <v>296</v>
      </c>
      <c r="AA252" s="141" t="s">
        <v>296</v>
      </c>
      <c r="AB252" s="6"/>
      <c r="AC252" s="6"/>
      <c r="AD252" s="35"/>
      <c r="AE252" s="6"/>
      <c r="AF252" s="6"/>
      <c r="AG252" s="35"/>
      <c r="AH252" s="35"/>
      <c r="AI252" s="35"/>
      <c r="AJ252" s="35"/>
      <c r="AK252" s="6"/>
      <c r="AL252" s="6"/>
      <c r="AM252" s="35"/>
      <c r="AN252" s="6"/>
      <c r="AO252" s="6"/>
      <c r="AP252" s="34"/>
      <c r="AQ252" s="35"/>
      <c r="AR252" s="35"/>
      <c r="AS252" s="35"/>
      <c r="AT252" s="6"/>
      <c r="AU252" s="6"/>
      <c r="AV252" s="35"/>
      <c r="AW252" s="6"/>
      <c r="AX252" s="6"/>
      <c r="AY252" s="35"/>
      <c r="AZ252" s="35">
        <v>178</v>
      </c>
      <c r="BA252" s="35"/>
      <c r="BB252" s="35">
        <f t="shared" si="73"/>
        <v>178</v>
      </c>
      <c r="BC252" s="35">
        <v>421</v>
      </c>
      <c r="BD252" s="6"/>
      <c r="BE252" s="35">
        <f t="shared" si="74"/>
        <v>243</v>
      </c>
      <c r="BF252" s="6">
        <v>0</v>
      </c>
      <c r="BG252" s="6">
        <v>500</v>
      </c>
      <c r="BH252" s="6">
        <f t="shared" si="75"/>
        <v>79</v>
      </c>
      <c r="BI252" s="6"/>
      <c r="BJ252" s="6"/>
      <c r="BK252" s="6"/>
      <c r="BL252" s="35">
        <v>0</v>
      </c>
      <c r="BM252" s="35"/>
      <c r="BN252" s="6">
        <f t="shared" si="76"/>
        <v>0</v>
      </c>
      <c r="BO252" s="35">
        <v>0</v>
      </c>
      <c r="BP252" s="35"/>
      <c r="BQ252" s="35">
        <f t="shared" si="77"/>
        <v>0</v>
      </c>
      <c r="BR252" s="35">
        <v>0</v>
      </c>
      <c r="BS252" s="35"/>
      <c r="BT252" s="6">
        <f t="shared" si="78"/>
        <v>0</v>
      </c>
      <c r="BU252" s="6">
        <v>0</v>
      </c>
      <c r="BV252" s="6"/>
      <c r="BW252" s="35">
        <f t="shared" si="79"/>
        <v>0</v>
      </c>
      <c r="BX252" s="6">
        <v>0</v>
      </c>
      <c r="BY252" s="6"/>
      <c r="BZ252" s="6">
        <f t="shared" si="80"/>
        <v>0</v>
      </c>
      <c r="CA252" s="6">
        <v>0</v>
      </c>
      <c r="CB252" s="6"/>
      <c r="CC252" s="6">
        <f t="shared" si="81"/>
        <v>0</v>
      </c>
      <c r="CD252" s="6"/>
      <c r="CE252" s="6"/>
      <c r="CF252" s="6"/>
      <c r="CG252" s="6">
        <v>0</v>
      </c>
      <c r="CH252" s="6"/>
      <c r="CI252" s="6">
        <f t="shared" si="82"/>
        <v>0</v>
      </c>
      <c r="CJ252" s="6">
        <v>0</v>
      </c>
      <c r="CK252" s="6"/>
      <c r="CL252" s="6">
        <f t="shared" si="83"/>
        <v>0</v>
      </c>
      <c r="CM252" s="6">
        <v>0</v>
      </c>
      <c r="CN252" s="6"/>
      <c r="CO252" s="6">
        <f t="shared" si="84"/>
        <v>0</v>
      </c>
      <c r="CP252" s="6">
        <v>0</v>
      </c>
      <c r="CQ252" s="6"/>
      <c r="CR252" s="6">
        <f t="shared" si="85"/>
        <v>0</v>
      </c>
      <c r="CS252" s="6">
        <v>0</v>
      </c>
      <c r="CT252" s="6"/>
      <c r="CU252" s="6">
        <f t="shared" si="86"/>
        <v>0</v>
      </c>
      <c r="CV252" s="6">
        <v>0</v>
      </c>
      <c r="CW252" s="6"/>
      <c r="CX252" s="6">
        <f t="shared" si="87"/>
        <v>0</v>
      </c>
      <c r="CY252" s="6"/>
      <c r="CZ252" s="6"/>
      <c r="DA252" s="6"/>
      <c r="DB252" s="6"/>
      <c r="DC252" s="6"/>
      <c r="DD252" s="6"/>
      <c r="DE252" s="6"/>
      <c r="DF252" s="10"/>
      <c r="DG252" s="6"/>
      <c r="DH252" s="6"/>
      <c r="DI252" s="10"/>
      <c r="DJ252" s="6"/>
      <c r="DK252" s="6"/>
      <c r="DL252" s="10"/>
      <c r="DM252" s="6"/>
    </row>
    <row r="253" spans="1:117">
      <c r="A253" s="151">
        <v>249</v>
      </c>
      <c r="B253" s="6">
        <v>1003</v>
      </c>
      <c r="C253" s="10"/>
      <c r="D253" s="6">
        <v>239</v>
      </c>
      <c r="E253" s="33" t="s">
        <v>75</v>
      </c>
      <c r="F253" s="33" t="s">
        <v>75</v>
      </c>
      <c r="G253" s="33" t="s">
        <v>75</v>
      </c>
      <c r="H253" s="33" t="s">
        <v>75</v>
      </c>
      <c r="I253" s="33" t="s">
        <v>75</v>
      </c>
      <c r="J253" s="33" t="s">
        <v>75</v>
      </c>
      <c r="K253" s="33" t="s">
        <v>75</v>
      </c>
      <c r="L253" s="33" t="s">
        <v>75</v>
      </c>
      <c r="M253" s="33" t="s">
        <v>75</v>
      </c>
      <c r="N253" s="33" t="s">
        <v>75</v>
      </c>
      <c r="O253" s="33" t="s">
        <v>75</v>
      </c>
      <c r="P253" s="148" t="s">
        <v>75</v>
      </c>
      <c r="Q253" s="33" t="s">
        <v>75</v>
      </c>
      <c r="R253" s="33" t="s">
        <v>75</v>
      </c>
      <c r="S253" s="33" t="s">
        <v>75</v>
      </c>
      <c r="T253" s="33" t="s">
        <v>75</v>
      </c>
      <c r="U253" s="33" t="s">
        <v>75</v>
      </c>
      <c r="V253" s="33" t="s">
        <v>75</v>
      </c>
      <c r="W253" s="33" t="s">
        <v>75</v>
      </c>
      <c r="X253" s="33" t="s">
        <v>75</v>
      </c>
      <c r="Y253" s="33" t="s">
        <v>75</v>
      </c>
      <c r="Z253" s="33" t="s">
        <v>75</v>
      </c>
      <c r="AA253" s="33" t="s">
        <v>75</v>
      </c>
      <c r="AB253" s="6">
        <v>176</v>
      </c>
      <c r="AC253" s="6">
        <v>1100</v>
      </c>
      <c r="AD253" s="35">
        <f t="shared" si="66"/>
        <v>273</v>
      </c>
      <c r="AE253" s="6">
        <v>424</v>
      </c>
      <c r="AF253" s="6"/>
      <c r="AG253" s="35">
        <f t="shared" si="67"/>
        <v>248</v>
      </c>
      <c r="AH253" s="35">
        <v>681</v>
      </c>
      <c r="AI253" s="35"/>
      <c r="AJ253" s="35">
        <f t="shared" si="68"/>
        <v>257</v>
      </c>
      <c r="AK253" s="6">
        <v>922</v>
      </c>
      <c r="AL253" s="6"/>
      <c r="AM253" s="35">
        <f t="shared" si="69"/>
        <v>241</v>
      </c>
      <c r="AN253" s="6"/>
      <c r="AO253" s="6"/>
      <c r="AP253" s="34"/>
      <c r="AQ253" s="35">
        <v>84</v>
      </c>
      <c r="AR253" s="35">
        <v>1100</v>
      </c>
      <c r="AS253" s="35">
        <f t="shared" si="70"/>
        <v>262</v>
      </c>
      <c r="AT253" s="6">
        <v>342</v>
      </c>
      <c r="AU253" s="6"/>
      <c r="AV253" s="35">
        <f t="shared" si="71"/>
        <v>258</v>
      </c>
      <c r="AW253" s="6">
        <v>586</v>
      </c>
      <c r="AX253" s="6"/>
      <c r="AY253" s="35">
        <f t="shared" si="72"/>
        <v>244</v>
      </c>
      <c r="AZ253" s="35">
        <v>822</v>
      </c>
      <c r="BA253" s="35"/>
      <c r="BB253" s="35">
        <f t="shared" si="73"/>
        <v>236</v>
      </c>
      <c r="BC253" s="35">
        <v>188</v>
      </c>
      <c r="BD253" s="6">
        <v>872</v>
      </c>
      <c r="BE253" s="35">
        <f t="shared" si="74"/>
        <v>238</v>
      </c>
      <c r="BF253" s="6">
        <v>0</v>
      </c>
      <c r="BG253" s="6">
        <v>349</v>
      </c>
      <c r="BH253" s="6">
        <f t="shared" si="75"/>
        <v>161</v>
      </c>
      <c r="BI253" s="6"/>
      <c r="BJ253" s="6"/>
      <c r="BK253" s="6"/>
      <c r="BL253" s="35">
        <v>249</v>
      </c>
      <c r="BM253" s="35"/>
      <c r="BN253" s="6">
        <f t="shared" si="76"/>
        <v>249</v>
      </c>
      <c r="BO253" s="35">
        <v>132</v>
      </c>
      <c r="BP253" s="35">
        <v>359</v>
      </c>
      <c r="BQ253" s="35">
        <f t="shared" si="77"/>
        <v>242</v>
      </c>
      <c r="BR253" s="35">
        <v>386</v>
      </c>
      <c r="BS253" s="35"/>
      <c r="BT253" s="6">
        <f t="shared" si="78"/>
        <v>254</v>
      </c>
      <c r="BU253" s="6">
        <v>640</v>
      </c>
      <c r="BV253" s="6"/>
      <c r="BW253" s="35">
        <f t="shared" si="79"/>
        <v>254</v>
      </c>
      <c r="BX253" s="6">
        <v>897</v>
      </c>
      <c r="BY253" s="6"/>
      <c r="BZ253" s="6">
        <f t="shared" si="80"/>
        <v>257</v>
      </c>
      <c r="CA253" s="6">
        <v>183</v>
      </c>
      <c r="CB253" s="6">
        <v>938</v>
      </c>
      <c r="CC253" s="6">
        <f t="shared" si="81"/>
        <v>224</v>
      </c>
      <c r="CD253" s="6"/>
      <c r="CE253" s="6"/>
      <c r="CF253" s="6"/>
      <c r="CG253" s="6">
        <v>442</v>
      </c>
      <c r="CH253" s="6"/>
      <c r="CI253" s="6">
        <f t="shared" si="82"/>
        <v>259</v>
      </c>
      <c r="CJ253" s="6">
        <v>694</v>
      </c>
      <c r="CK253" s="6"/>
      <c r="CL253" s="6">
        <f t="shared" si="83"/>
        <v>252</v>
      </c>
      <c r="CM253" s="6">
        <v>931</v>
      </c>
      <c r="CN253" s="6"/>
      <c r="CO253" s="6">
        <f t="shared" si="84"/>
        <v>237</v>
      </c>
      <c r="CP253" s="6">
        <v>82</v>
      </c>
      <c r="CQ253" s="6">
        <v>1100</v>
      </c>
      <c r="CR253" s="6">
        <f t="shared" si="85"/>
        <v>251</v>
      </c>
      <c r="CS253" s="6">
        <v>286</v>
      </c>
      <c r="CT253" s="6"/>
      <c r="CU253" s="6">
        <f t="shared" si="86"/>
        <v>204</v>
      </c>
      <c r="CV253" s="6">
        <v>410</v>
      </c>
      <c r="CW253" s="6"/>
      <c r="CX253" s="6">
        <f t="shared" si="87"/>
        <v>124</v>
      </c>
      <c r="CY253" s="6"/>
      <c r="CZ253" s="6"/>
      <c r="DA253" s="6"/>
      <c r="DB253" s="6"/>
      <c r="DC253" s="6"/>
      <c r="DD253" s="6"/>
      <c r="DE253" s="6"/>
      <c r="DF253" s="10"/>
      <c r="DG253" s="6"/>
      <c r="DH253" s="6"/>
      <c r="DI253" s="10"/>
      <c r="DJ253" s="6"/>
      <c r="DK253" s="6"/>
      <c r="DL253" s="10"/>
      <c r="DM253" s="6"/>
    </row>
    <row r="254" spans="1:117">
      <c r="A254" s="275">
        <v>250</v>
      </c>
      <c r="B254" s="6">
        <v>639</v>
      </c>
      <c r="C254" s="10"/>
      <c r="D254" s="6">
        <v>237</v>
      </c>
      <c r="E254" s="141" t="s">
        <v>75</v>
      </c>
      <c r="F254" s="141" t="s">
        <v>75</v>
      </c>
      <c r="G254" s="141" t="s">
        <v>75</v>
      </c>
      <c r="H254" s="141" t="s">
        <v>75</v>
      </c>
      <c r="I254" s="141" t="s">
        <v>75</v>
      </c>
      <c r="J254" s="141" t="s">
        <v>75</v>
      </c>
      <c r="K254" s="141" t="s">
        <v>75</v>
      </c>
      <c r="L254" s="141" t="s">
        <v>75</v>
      </c>
      <c r="M254" s="141" t="s">
        <v>75</v>
      </c>
      <c r="N254" s="141" t="s">
        <v>75</v>
      </c>
      <c r="O254" s="141" t="s">
        <v>75</v>
      </c>
      <c r="P254" s="141" t="s">
        <v>75</v>
      </c>
      <c r="Q254" s="141" t="s">
        <v>75</v>
      </c>
      <c r="R254" s="163" t="s">
        <v>291</v>
      </c>
      <c r="S254" s="141" t="s">
        <v>291</v>
      </c>
      <c r="T254" s="141" t="s">
        <v>291</v>
      </c>
      <c r="U254" s="141" t="s">
        <v>291</v>
      </c>
      <c r="V254" s="141" t="s">
        <v>291</v>
      </c>
      <c r="W254" s="141" t="s">
        <v>291</v>
      </c>
      <c r="X254" s="141" t="s">
        <v>291</v>
      </c>
      <c r="Y254" s="141" t="s">
        <v>291</v>
      </c>
      <c r="Z254" s="141" t="s">
        <v>291</v>
      </c>
      <c r="AA254" s="141" t="s">
        <v>291</v>
      </c>
      <c r="AB254" s="6">
        <v>912</v>
      </c>
      <c r="AC254" s="6"/>
      <c r="AD254" s="35">
        <f t="shared" si="66"/>
        <v>273</v>
      </c>
      <c r="AE254" s="6">
        <v>67</v>
      </c>
      <c r="AF254" s="6">
        <v>1100</v>
      </c>
      <c r="AG254" s="35">
        <f t="shared" si="67"/>
        <v>255</v>
      </c>
      <c r="AH254" s="35">
        <v>325</v>
      </c>
      <c r="AI254" s="35"/>
      <c r="AJ254" s="35">
        <f t="shared" si="68"/>
        <v>258</v>
      </c>
      <c r="AK254" s="6">
        <v>565</v>
      </c>
      <c r="AL254" s="6"/>
      <c r="AM254" s="35">
        <f t="shared" si="69"/>
        <v>240</v>
      </c>
      <c r="AN254" s="6"/>
      <c r="AO254" s="6"/>
      <c r="AP254" s="34"/>
      <c r="AQ254" s="35">
        <v>819</v>
      </c>
      <c r="AR254" s="35"/>
      <c r="AS254" s="35">
        <f t="shared" si="70"/>
        <v>254</v>
      </c>
      <c r="AT254" s="6">
        <v>1070</v>
      </c>
      <c r="AU254" s="6"/>
      <c r="AV254" s="35">
        <f t="shared" si="71"/>
        <v>251</v>
      </c>
      <c r="AW254" s="6">
        <v>215</v>
      </c>
      <c r="AX254" s="6">
        <v>1100</v>
      </c>
      <c r="AY254" s="35">
        <f t="shared" si="72"/>
        <v>245</v>
      </c>
      <c r="AZ254" s="35">
        <v>463</v>
      </c>
      <c r="BA254" s="35"/>
      <c r="BB254" s="35">
        <f t="shared" si="73"/>
        <v>248</v>
      </c>
      <c r="BC254" s="35">
        <v>712</v>
      </c>
      <c r="BD254" s="6"/>
      <c r="BE254" s="35">
        <f t="shared" si="74"/>
        <v>249</v>
      </c>
      <c r="BF254" s="6">
        <v>956</v>
      </c>
      <c r="BG254" s="6"/>
      <c r="BH254" s="6">
        <f t="shared" si="75"/>
        <v>244</v>
      </c>
      <c r="BI254" s="6"/>
      <c r="BJ254" s="6"/>
      <c r="BK254" s="6"/>
      <c r="BL254" s="35">
        <v>159</v>
      </c>
      <c r="BM254" s="35">
        <v>1050</v>
      </c>
      <c r="BN254" s="6">
        <f t="shared" si="76"/>
        <v>253</v>
      </c>
      <c r="BO254" s="35">
        <v>401</v>
      </c>
      <c r="BP254" s="35"/>
      <c r="BQ254" s="35">
        <f t="shared" si="77"/>
        <v>242</v>
      </c>
      <c r="BR254" s="35">
        <v>192</v>
      </c>
      <c r="BS254" s="35">
        <v>429</v>
      </c>
      <c r="BT254" s="6">
        <f t="shared" si="78"/>
        <v>220</v>
      </c>
      <c r="BU254" s="35">
        <v>437</v>
      </c>
      <c r="BV254" s="6"/>
      <c r="BW254" s="35">
        <f t="shared" si="79"/>
        <v>245</v>
      </c>
      <c r="BX254" s="6">
        <v>686</v>
      </c>
      <c r="BY254" s="6"/>
      <c r="BZ254" s="6">
        <f t="shared" si="80"/>
        <v>249</v>
      </c>
      <c r="CA254" s="6">
        <v>930</v>
      </c>
      <c r="CB254" s="6"/>
      <c r="CC254" s="6">
        <f t="shared" si="81"/>
        <v>244</v>
      </c>
      <c r="CD254" s="6"/>
      <c r="CE254" s="6"/>
      <c r="CF254" s="6"/>
      <c r="CG254" s="6">
        <v>83</v>
      </c>
      <c r="CH254" s="6">
        <v>1100</v>
      </c>
      <c r="CI254" s="6">
        <f t="shared" si="82"/>
        <v>253</v>
      </c>
      <c r="CJ254" s="6">
        <v>329</v>
      </c>
      <c r="CK254" s="6"/>
      <c r="CL254" s="6">
        <f t="shared" si="83"/>
        <v>246</v>
      </c>
      <c r="CM254" s="6">
        <v>580</v>
      </c>
      <c r="CN254" s="6"/>
      <c r="CO254" s="6">
        <f t="shared" si="84"/>
        <v>251</v>
      </c>
      <c r="CP254" s="6">
        <v>831</v>
      </c>
      <c r="CQ254" s="6"/>
      <c r="CR254" s="6">
        <f t="shared" si="85"/>
        <v>251</v>
      </c>
      <c r="CS254" s="6">
        <v>99</v>
      </c>
      <c r="CT254" s="6">
        <v>987</v>
      </c>
      <c r="CU254" s="6">
        <f t="shared" si="86"/>
        <v>255</v>
      </c>
      <c r="CV254" s="6">
        <v>235</v>
      </c>
      <c r="CW254" s="6"/>
      <c r="CX254" s="6">
        <f t="shared" si="87"/>
        <v>136</v>
      </c>
      <c r="CY254" s="6"/>
      <c r="CZ254" s="6"/>
      <c r="DA254" s="6"/>
      <c r="DB254" s="6"/>
      <c r="DC254" s="6"/>
      <c r="DD254" s="6"/>
      <c r="DE254" s="6"/>
      <c r="DF254" s="10"/>
      <c r="DG254" s="6"/>
      <c r="DH254" s="6"/>
      <c r="DI254" s="10"/>
      <c r="DJ254" s="6"/>
      <c r="DK254" s="6"/>
      <c r="DL254" s="10"/>
      <c r="DM254" s="6"/>
    </row>
    <row r="255" spans="1:117">
      <c r="A255" s="151">
        <v>251</v>
      </c>
      <c r="B255" s="6">
        <v>12</v>
      </c>
      <c r="C255" s="10">
        <v>1100</v>
      </c>
      <c r="D255" s="6">
        <v>238</v>
      </c>
      <c r="E255" s="33" t="s">
        <v>75</v>
      </c>
      <c r="F255" s="33" t="s">
        <v>75</v>
      </c>
      <c r="G255" s="33" t="s">
        <v>75</v>
      </c>
      <c r="H255" s="33" t="s">
        <v>75</v>
      </c>
      <c r="I255" s="33" t="s">
        <v>75</v>
      </c>
      <c r="J255" s="33" t="s">
        <v>75</v>
      </c>
      <c r="K255" s="33" t="s">
        <v>75</v>
      </c>
      <c r="L255" s="33" t="s">
        <v>75</v>
      </c>
      <c r="M255" s="33" t="s">
        <v>75</v>
      </c>
      <c r="N255" s="33" t="s">
        <v>75</v>
      </c>
      <c r="O255" s="33" t="s">
        <v>75</v>
      </c>
      <c r="P255" s="148" t="s">
        <v>75</v>
      </c>
      <c r="Q255" s="33" t="s">
        <v>75</v>
      </c>
      <c r="R255" s="33" t="s">
        <v>75</v>
      </c>
      <c r="S255" s="33" t="s">
        <v>75</v>
      </c>
      <c r="T255" s="33" t="s">
        <v>75</v>
      </c>
      <c r="U255" s="33" t="s">
        <v>75</v>
      </c>
      <c r="V255" s="33" t="s">
        <v>75</v>
      </c>
      <c r="W255" s="33" t="s">
        <v>75</v>
      </c>
      <c r="X255" s="33" t="s">
        <v>75</v>
      </c>
      <c r="Y255" s="33" t="s">
        <v>75</v>
      </c>
      <c r="Z255" s="33" t="s">
        <v>75</v>
      </c>
      <c r="AA255" s="33" t="s">
        <v>75</v>
      </c>
      <c r="AB255" s="6">
        <v>279</v>
      </c>
      <c r="AC255" s="6"/>
      <c r="AD255" s="35">
        <f t="shared" si="66"/>
        <v>267</v>
      </c>
      <c r="AE255" s="6">
        <v>532</v>
      </c>
      <c r="AF255" s="6"/>
      <c r="AG255" s="35">
        <f t="shared" si="67"/>
        <v>253</v>
      </c>
      <c r="AH255" s="35">
        <v>791</v>
      </c>
      <c r="AI255" s="35"/>
      <c r="AJ255" s="35">
        <f t="shared" si="68"/>
        <v>259</v>
      </c>
      <c r="AK255" s="6">
        <v>1029</v>
      </c>
      <c r="AL255" s="6"/>
      <c r="AM255" s="35">
        <f t="shared" si="69"/>
        <v>238</v>
      </c>
      <c r="AN255" s="6"/>
      <c r="AO255" s="6"/>
      <c r="AP255" s="34"/>
      <c r="AQ255" s="35">
        <v>186</v>
      </c>
      <c r="AR255" s="35">
        <v>1100</v>
      </c>
      <c r="AS255" s="35">
        <f t="shared" si="70"/>
        <v>257</v>
      </c>
      <c r="AT255" s="6">
        <v>438</v>
      </c>
      <c r="AU255" s="6"/>
      <c r="AV255" s="35">
        <f t="shared" si="71"/>
        <v>252</v>
      </c>
      <c r="AW255" s="6">
        <v>686</v>
      </c>
      <c r="AX255" s="6"/>
      <c r="AY255" s="35">
        <f t="shared" si="72"/>
        <v>248</v>
      </c>
      <c r="AZ255" s="35">
        <v>940</v>
      </c>
      <c r="BA255" s="35"/>
      <c r="BB255" s="35">
        <f t="shared" si="73"/>
        <v>254</v>
      </c>
      <c r="BC255" s="35">
        <v>92</v>
      </c>
      <c r="BD255" s="6">
        <v>1100</v>
      </c>
      <c r="BE255" s="35">
        <f t="shared" si="74"/>
        <v>252</v>
      </c>
      <c r="BF255" s="6">
        <v>331</v>
      </c>
      <c r="BG255" s="6"/>
      <c r="BH255" s="6">
        <f t="shared" si="75"/>
        <v>239</v>
      </c>
      <c r="BI255" s="6"/>
      <c r="BJ255" s="6"/>
      <c r="BK255" s="6"/>
      <c r="BL255" s="35">
        <v>193</v>
      </c>
      <c r="BM255" s="35">
        <v>387</v>
      </c>
      <c r="BN255" s="6">
        <f t="shared" si="76"/>
        <v>249</v>
      </c>
      <c r="BO255" s="35">
        <v>442</v>
      </c>
      <c r="BP255" s="35"/>
      <c r="BQ255" s="35">
        <f t="shared" si="77"/>
        <v>249</v>
      </c>
      <c r="BR255" s="35">
        <v>693</v>
      </c>
      <c r="BS255" s="35"/>
      <c r="BT255" s="6">
        <f t="shared" si="78"/>
        <v>251</v>
      </c>
      <c r="BU255" s="6">
        <v>929</v>
      </c>
      <c r="BV255" s="6"/>
      <c r="BW255" s="35">
        <f t="shared" si="79"/>
        <v>236</v>
      </c>
      <c r="BX255" s="6">
        <v>83</v>
      </c>
      <c r="BY255" s="6">
        <v>1100</v>
      </c>
      <c r="BZ255" s="6">
        <f t="shared" si="80"/>
        <v>254</v>
      </c>
      <c r="CA255" s="6">
        <v>329</v>
      </c>
      <c r="CB255" s="6"/>
      <c r="CC255" s="6">
        <f t="shared" si="81"/>
        <v>246</v>
      </c>
      <c r="CD255" s="6"/>
      <c r="CE255" s="6"/>
      <c r="CF255" s="6"/>
      <c r="CG255" s="6">
        <v>590</v>
      </c>
      <c r="CH255" s="6"/>
      <c r="CI255" s="6">
        <f t="shared" si="82"/>
        <v>261</v>
      </c>
      <c r="CJ255" s="6">
        <v>844</v>
      </c>
      <c r="CK255" s="6"/>
      <c r="CL255" s="6">
        <f t="shared" si="83"/>
        <v>254</v>
      </c>
      <c r="CM255" s="6">
        <v>1</v>
      </c>
      <c r="CN255" s="6">
        <v>1100</v>
      </c>
      <c r="CO255" s="6">
        <f t="shared" si="84"/>
        <v>257</v>
      </c>
      <c r="CP255" s="6">
        <v>252</v>
      </c>
      <c r="CQ255" s="6"/>
      <c r="CR255" s="6">
        <f t="shared" si="85"/>
        <v>251</v>
      </c>
      <c r="CS255" s="6">
        <v>511</v>
      </c>
      <c r="CT255" s="6"/>
      <c r="CU255" s="6">
        <f t="shared" si="86"/>
        <v>259</v>
      </c>
      <c r="CV255" s="6">
        <v>648</v>
      </c>
      <c r="CW255" s="6"/>
      <c r="CX255" s="6">
        <f t="shared" si="87"/>
        <v>137</v>
      </c>
      <c r="CY255" s="6"/>
      <c r="CZ255" s="6"/>
      <c r="DA255" s="6"/>
      <c r="DB255" s="6"/>
      <c r="DC255" s="6"/>
      <c r="DD255" s="6"/>
      <c r="DE255" s="6"/>
      <c r="DF255" s="10"/>
      <c r="DG255" s="6"/>
      <c r="DH255" s="6"/>
      <c r="DI255" s="10"/>
      <c r="DJ255" s="6"/>
      <c r="DK255" s="6"/>
      <c r="DL255" s="10"/>
      <c r="DM255" s="6"/>
    </row>
    <row r="256" spans="1:117">
      <c r="A256" s="275">
        <v>252</v>
      </c>
      <c r="B256" s="6">
        <v>637</v>
      </c>
      <c r="C256" s="10"/>
      <c r="D256" s="6">
        <v>239</v>
      </c>
      <c r="E256" s="33" t="s">
        <v>75</v>
      </c>
      <c r="F256" s="33" t="s">
        <v>75</v>
      </c>
      <c r="G256" s="33" t="s">
        <v>75</v>
      </c>
      <c r="H256" s="33" t="s">
        <v>75</v>
      </c>
      <c r="I256" s="33" t="s">
        <v>75</v>
      </c>
      <c r="J256" s="33" t="s">
        <v>75</v>
      </c>
      <c r="K256" s="33" t="s">
        <v>75</v>
      </c>
      <c r="L256" s="33" t="s">
        <v>75</v>
      </c>
      <c r="M256" s="33" t="s">
        <v>75</v>
      </c>
      <c r="N256" s="33" t="s">
        <v>75</v>
      </c>
      <c r="O256" s="33" t="s">
        <v>75</v>
      </c>
      <c r="P256" s="33" t="s">
        <v>75</v>
      </c>
      <c r="Q256" s="33" t="s">
        <v>75</v>
      </c>
      <c r="R256" s="148" t="s">
        <v>291</v>
      </c>
      <c r="S256" s="33" t="s">
        <v>291</v>
      </c>
      <c r="T256" s="33" t="s">
        <v>291</v>
      </c>
      <c r="U256" s="33" t="s">
        <v>291</v>
      </c>
      <c r="V256" s="33" t="s">
        <v>291</v>
      </c>
      <c r="W256" s="33" t="s">
        <v>291</v>
      </c>
      <c r="X256" s="33" t="s">
        <v>291</v>
      </c>
      <c r="Y256" s="33" t="s">
        <v>291</v>
      </c>
      <c r="Z256" s="33" t="s">
        <v>291</v>
      </c>
      <c r="AA256" s="33" t="s">
        <v>291</v>
      </c>
      <c r="AB256" s="6">
        <v>914</v>
      </c>
      <c r="AC256" s="6"/>
      <c r="AD256" s="35">
        <f t="shared" si="66"/>
        <v>277</v>
      </c>
      <c r="AE256" s="6">
        <v>70</v>
      </c>
      <c r="AF256" s="6">
        <v>1100</v>
      </c>
      <c r="AG256" s="35">
        <f t="shared" si="67"/>
        <v>256</v>
      </c>
      <c r="AH256" s="35">
        <v>331</v>
      </c>
      <c r="AI256" s="35"/>
      <c r="AJ256" s="35">
        <f t="shared" si="68"/>
        <v>261</v>
      </c>
      <c r="AK256" s="6">
        <v>570</v>
      </c>
      <c r="AL256" s="6"/>
      <c r="AM256" s="35">
        <f t="shared" si="69"/>
        <v>239</v>
      </c>
      <c r="AN256" s="6"/>
      <c r="AO256" s="6"/>
      <c r="AP256" s="34"/>
      <c r="AQ256" s="35">
        <v>822</v>
      </c>
      <c r="AR256" s="35"/>
      <c r="AS256" s="35">
        <f t="shared" si="70"/>
        <v>252</v>
      </c>
      <c r="AT256" s="6">
        <v>1</v>
      </c>
      <c r="AU256" s="6">
        <v>1070</v>
      </c>
      <c r="AV256" s="35">
        <f t="shared" si="71"/>
        <v>249</v>
      </c>
      <c r="AW256" s="6">
        <v>249</v>
      </c>
      <c r="AX256" s="6"/>
      <c r="AY256" s="35">
        <f t="shared" si="72"/>
        <v>248</v>
      </c>
      <c r="AZ256" s="35">
        <v>484</v>
      </c>
      <c r="BA256" s="35"/>
      <c r="BB256" s="35">
        <f t="shared" si="73"/>
        <v>235</v>
      </c>
      <c r="BC256" s="35">
        <v>735</v>
      </c>
      <c r="BD256" s="6"/>
      <c r="BE256" s="35">
        <f t="shared" si="74"/>
        <v>251</v>
      </c>
      <c r="BF256" s="6">
        <v>977</v>
      </c>
      <c r="BG256" s="6"/>
      <c r="BH256" s="6">
        <f t="shared" si="75"/>
        <v>242</v>
      </c>
      <c r="BI256" s="6"/>
      <c r="BJ256" s="6"/>
      <c r="BK256" s="6"/>
      <c r="BL256" s="35">
        <v>161</v>
      </c>
      <c r="BM256" s="35">
        <v>1069</v>
      </c>
      <c r="BN256" s="6">
        <f t="shared" si="76"/>
        <v>253</v>
      </c>
      <c r="BO256" s="35">
        <v>406</v>
      </c>
      <c r="BP256" s="35"/>
      <c r="BQ256" s="35">
        <f t="shared" si="77"/>
        <v>245</v>
      </c>
      <c r="BR256" s="35">
        <v>208</v>
      </c>
      <c r="BS256" s="35">
        <v>429</v>
      </c>
      <c r="BT256" s="6">
        <f t="shared" si="78"/>
        <v>231</v>
      </c>
      <c r="BU256" s="35">
        <v>455</v>
      </c>
      <c r="BV256" s="6"/>
      <c r="BW256" s="35">
        <f t="shared" si="79"/>
        <v>247</v>
      </c>
      <c r="BX256" s="6">
        <v>710</v>
      </c>
      <c r="BY256" s="6"/>
      <c r="BZ256" s="6">
        <f t="shared" si="80"/>
        <v>255</v>
      </c>
      <c r="CA256" s="6">
        <v>951</v>
      </c>
      <c r="CB256" s="6"/>
      <c r="CC256" s="6">
        <f t="shared" si="81"/>
        <v>241</v>
      </c>
      <c r="CD256" s="6"/>
      <c r="CE256" s="6"/>
      <c r="CF256" s="6"/>
      <c r="CG256" s="6">
        <v>95</v>
      </c>
      <c r="CH256" s="6">
        <v>1078</v>
      </c>
      <c r="CI256" s="6">
        <f t="shared" si="82"/>
        <v>222</v>
      </c>
      <c r="CJ256" s="6">
        <v>336</v>
      </c>
      <c r="CK256" s="6"/>
      <c r="CL256" s="6">
        <f t="shared" si="83"/>
        <v>241</v>
      </c>
      <c r="CM256" s="6">
        <v>582</v>
      </c>
      <c r="CN256" s="6"/>
      <c r="CO256" s="6">
        <f t="shared" si="84"/>
        <v>246</v>
      </c>
      <c r="CP256" s="6">
        <v>837</v>
      </c>
      <c r="CQ256" s="6"/>
      <c r="CR256" s="6">
        <f t="shared" si="85"/>
        <v>255</v>
      </c>
      <c r="CS256" s="6">
        <v>102</v>
      </c>
      <c r="CT256" s="6">
        <v>992</v>
      </c>
      <c r="CU256" s="6">
        <f t="shared" si="86"/>
        <v>257</v>
      </c>
      <c r="CV256" s="6">
        <v>236</v>
      </c>
      <c r="CW256" s="6"/>
      <c r="CX256" s="6">
        <f t="shared" si="87"/>
        <v>134</v>
      </c>
      <c r="CY256" s="6"/>
      <c r="CZ256" s="6"/>
      <c r="DA256" s="6"/>
      <c r="DB256" s="6"/>
      <c r="DC256" s="6"/>
      <c r="DD256" s="6"/>
      <c r="DE256" s="6"/>
      <c r="DF256" s="10"/>
      <c r="DG256" s="6"/>
      <c r="DH256" s="6"/>
      <c r="DI256" s="10"/>
      <c r="DJ256" s="6"/>
      <c r="DK256" s="6"/>
      <c r="DL256" s="10"/>
      <c r="DM256" s="6"/>
    </row>
    <row r="257" spans="1:117">
      <c r="A257" s="6">
        <v>253</v>
      </c>
      <c r="B257" s="6"/>
      <c r="C257" s="10"/>
      <c r="D257" s="6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6"/>
      <c r="AC257" s="6"/>
      <c r="AD257" s="35"/>
      <c r="AE257" s="6"/>
      <c r="AF257" s="6"/>
      <c r="AG257" s="35"/>
      <c r="AH257" s="35"/>
      <c r="AI257" s="35"/>
      <c r="AJ257" s="35"/>
      <c r="AK257" s="6"/>
      <c r="AL257" s="6"/>
      <c r="AM257" s="35"/>
      <c r="AN257" s="6"/>
      <c r="AO257" s="6"/>
      <c r="AP257" s="34"/>
      <c r="AQ257" s="35"/>
      <c r="AR257" s="35"/>
      <c r="AS257" s="35"/>
      <c r="AT257" s="6"/>
      <c r="AU257" s="6"/>
      <c r="AV257" s="35"/>
      <c r="AW257" s="6"/>
      <c r="AX257" s="6"/>
      <c r="AY257" s="35"/>
      <c r="AZ257" s="35"/>
      <c r="BA257" s="35"/>
      <c r="BB257" s="35"/>
      <c r="BC257" s="269"/>
      <c r="BD257" s="6"/>
      <c r="BE257" s="35"/>
      <c r="BF257" s="6"/>
      <c r="BG257" s="6"/>
      <c r="BH257" s="6"/>
      <c r="BI257" s="6"/>
      <c r="BJ257" s="6"/>
      <c r="BK257" s="6"/>
      <c r="BL257" s="35"/>
      <c r="BM257" s="35"/>
      <c r="BN257" s="6"/>
      <c r="BO257" s="35"/>
      <c r="BP257" s="35"/>
      <c r="BQ257" s="35"/>
      <c r="BR257" s="35"/>
      <c r="BS257" s="35"/>
      <c r="BT257" s="6"/>
      <c r="BU257" s="6"/>
      <c r="BV257" s="6"/>
      <c r="BW257" s="35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10"/>
      <c r="DG257" s="6"/>
      <c r="DH257" s="6"/>
      <c r="DI257" s="10"/>
      <c r="DJ257" s="6"/>
      <c r="DK257" s="6"/>
      <c r="DL257" s="10"/>
      <c r="DM257" s="6"/>
    </row>
    <row r="258" spans="1:117">
      <c r="A258" s="6">
        <v>254</v>
      </c>
      <c r="B258" s="6"/>
      <c r="C258" s="10"/>
      <c r="D258" s="6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6"/>
      <c r="AC258" s="6"/>
      <c r="AD258" s="35"/>
      <c r="AE258" s="6"/>
      <c r="AF258" s="6"/>
      <c r="AG258" s="35"/>
      <c r="AH258" s="35"/>
      <c r="AI258" s="35"/>
      <c r="AJ258" s="35"/>
      <c r="AK258" s="6"/>
      <c r="AL258" s="6"/>
      <c r="AM258" s="35"/>
      <c r="AN258" s="6"/>
      <c r="AO258" s="6"/>
      <c r="AP258" s="34"/>
      <c r="AQ258" s="35"/>
      <c r="AR258" s="35"/>
      <c r="AS258" s="35"/>
      <c r="AT258" s="6"/>
      <c r="AU258" s="6"/>
      <c r="AV258" s="35"/>
      <c r="AW258" s="6"/>
      <c r="AX258" s="6"/>
      <c r="AY258" s="35"/>
      <c r="AZ258" s="35"/>
      <c r="BA258" s="35"/>
      <c r="BB258" s="35"/>
      <c r="BC258" s="35"/>
      <c r="BD258" s="6"/>
      <c r="BE258" s="35"/>
      <c r="BF258" s="6"/>
      <c r="BG258" s="6"/>
      <c r="BH258" s="6"/>
      <c r="BI258" s="6"/>
      <c r="BJ258" s="6"/>
      <c r="BK258" s="6"/>
      <c r="BL258" s="35"/>
      <c r="BM258" s="35"/>
      <c r="BN258" s="6"/>
      <c r="BO258" s="35"/>
      <c r="BP258" s="35"/>
      <c r="BQ258" s="35"/>
      <c r="BR258" s="35"/>
      <c r="BS258" s="35"/>
      <c r="BT258" s="6"/>
      <c r="BU258" s="6"/>
      <c r="BV258" s="6"/>
      <c r="BW258" s="35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10"/>
      <c r="DG258" s="6"/>
      <c r="DH258" s="6"/>
      <c r="DI258" s="10"/>
      <c r="DJ258" s="6"/>
      <c r="DK258" s="6"/>
      <c r="DL258" s="10"/>
      <c r="DM258" s="6"/>
    </row>
    <row r="259" spans="1:117">
      <c r="A259" s="6">
        <v>255</v>
      </c>
      <c r="B259" s="6"/>
      <c r="C259" s="10"/>
      <c r="D259" s="6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6"/>
      <c r="AC259" s="6"/>
      <c r="AD259" s="35"/>
      <c r="AE259" s="6"/>
      <c r="AF259" s="6"/>
      <c r="AG259" s="35"/>
      <c r="AH259" s="35"/>
      <c r="AI259" s="35"/>
      <c r="AJ259" s="35"/>
      <c r="AK259" s="6"/>
      <c r="AL259" s="6"/>
      <c r="AM259" s="35"/>
      <c r="AN259" s="6"/>
      <c r="AO259" s="6"/>
      <c r="AP259" s="34"/>
      <c r="AQ259" s="35"/>
      <c r="AR259" s="35"/>
      <c r="AS259" s="35"/>
      <c r="AT259" s="6"/>
      <c r="AU259" s="6"/>
      <c r="AV259" s="35"/>
      <c r="AW259" s="6"/>
      <c r="AX259" s="6"/>
      <c r="AY259" s="35"/>
      <c r="AZ259" s="35"/>
      <c r="BA259" s="35"/>
      <c r="BB259" s="35"/>
      <c r="BC259" s="35"/>
      <c r="BD259" s="6"/>
      <c r="BE259" s="35"/>
      <c r="BF259" s="6"/>
      <c r="BG259" s="6"/>
      <c r="BH259" s="6"/>
      <c r="BI259" s="6"/>
      <c r="BJ259" s="6"/>
      <c r="BK259" s="6"/>
      <c r="BL259" s="35"/>
      <c r="BM259" s="35"/>
      <c r="BN259" s="6"/>
      <c r="BO259" s="35"/>
      <c r="BP259" s="35"/>
      <c r="BQ259" s="35"/>
      <c r="BR259" s="35"/>
      <c r="BS259" s="35"/>
      <c r="BT259" s="6"/>
      <c r="BU259" s="6"/>
      <c r="BV259" s="6"/>
      <c r="BW259" s="35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10"/>
      <c r="DG259" s="6"/>
      <c r="DH259" s="6"/>
      <c r="DI259" s="10"/>
      <c r="DJ259" s="6"/>
      <c r="DK259" s="6"/>
      <c r="DL259" s="10"/>
      <c r="DM259" s="6"/>
    </row>
    <row r="260" spans="1:117">
      <c r="A260" s="6">
        <v>256</v>
      </c>
      <c r="B260" s="6"/>
      <c r="C260" s="10"/>
      <c r="D260" s="6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6"/>
      <c r="AC260" s="6"/>
      <c r="AD260" s="35"/>
      <c r="AE260" s="6"/>
      <c r="AF260" s="6"/>
      <c r="AG260" s="35"/>
      <c r="AH260" s="35"/>
      <c r="AI260" s="35"/>
      <c r="AJ260" s="35"/>
      <c r="AK260" s="6"/>
      <c r="AL260" s="6"/>
      <c r="AM260" s="35"/>
      <c r="AN260" s="6"/>
      <c r="AO260" s="6"/>
      <c r="AP260" s="34"/>
      <c r="AQ260" s="35"/>
      <c r="AR260" s="35"/>
      <c r="AS260" s="35"/>
      <c r="AT260" s="6"/>
      <c r="AU260" s="6"/>
      <c r="AV260" s="35"/>
      <c r="AW260" s="6"/>
      <c r="AX260" s="6"/>
      <c r="AY260" s="35"/>
      <c r="AZ260" s="35"/>
      <c r="BA260" s="35"/>
      <c r="BB260" s="35"/>
      <c r="BC260" s="35"/>
      <c r="BD260" s="6"/>
      <c r="BE260" s="35"/>
      <c r="BF260" s="6"/>
      <c r="BG260" s="6"/>
      <c r="BH260" s="6"/>
      <c r="BI260" s="6"/>
      <c r="BJ260" s="6"/>
      <c r="BK260" s="6"/>
      <c r="BL260" s="35"/>
      <c r="BM260" s="35"/>
      <c r="BN260" s="6"/>
      <c r="BO260" s="35"/>
      <c r="BP260" s="35"/>
      <c r="BQ260" s="35"/>
      <c r="BR260" s="35"/>
      <c r="BS260" s="35"/>
      <c r="BT260" s="6"/>
      <c r="BU260" s="6"/>
      <c r="BV260" s="6"/>
      <c r="BW260" s="35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10"/>
      <c r="DG260" s="6"/>
      <c r="DH260" s="6"/>
      <c r="DI260" s="10"/>
      <c r="DJ260" s="6"/>
      <c r="DK260" s="6"/>
      <c r="DL260" s="10"/>
      <c r="DM260" s="6"/>
    </row>
    <row r="261" spans="1:117">
      <c r="A261" s="6">
        <v>257</v>
      </c>
      <c r="B261" s="6"/>
      <c r="C261" s="10"/>
      <c r="D261" s="6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6"/>
      <c r="AC261" s="6"/>
      <c r="AD261" s="35"/>
      <c r="AE261" s="6"/>
      <c r="AF261" s="6"/>
      <c r="AG261" s="35"/>
      <c r="AH261" s="35"/>
      <c r="AI261" s="35"/>
      <c r="AJ261" s="35"/>
      <c r="AK261" s="6"/>
      <c r="AL261" s="6"/>
      <c r="AM261" s="35"/>
      <c r="AN261" s="6"/>
      <c r="AO261" s="6"/>
      <c r="AP261" s="34"/>
      <c r="AQ261" s="35"/>
      <c r="AR261" s="35"/>
      <c r="AS261" s="35"/>
      <c r="AT261" s="6"/>
      <c r="AU261" s="6"/>
      <c r="AV261" s="35"/>
      <c r="AW261" s="6"/>
      <c r="AX261" s="6"/>
      <c r="AY261" s="35"/>
      <c r="AZ261" s="35"/>
      <c r="BA261" s="35"/>
      <c r="BB261" s="35"/>
      <c r="BC261" s="35"/>
      <c r="BD261" s="6"/>
      <c r="BE261" s="35"/>
      <c r="BF261" s="6"/>
      <c r="BG261" s="6"/>
      <c r="BH261" s="6"/>
      <c r="BI261" s="6"/>
      <c r="BJ261" s="6"/>
      <c r="BK261" s="6"/>
      <c r="BL261" s="35"/>
      <c r="BM261" s="35"/>
      <c r="BN261" s="6"/>
      <c r="BO261" s="35"/>
      <c r="BP261" s="35"/>
      <c r="BQ261" s="35"/>
      <c r="BR261" s="35"/>
      <c r="BS261" s="35"/>
      <c r="BT261" s="6"/>
      <c r="BU261" s="6"/>
      <c r="BV261" s="6"/>
      <c r="BW261" s="35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10"/>
      <c r="DG261" s="6"/>
      <c r="DH261" s="6"/>
      <c r="DI261" s="10"/>
      <c r="DJ261" s="6"/>
      <c r="DK261" s="6"/>
      <c r="DL261" s="10"/>
      <c r="DM261" s="6"/>
    </row>
    <row r="262" spans="1:117">
      <c r="A262" s="6">
        <v>258</v>
      </c>
      <c r="B262" s="6"/>
      <c r="C262" s="10"/>
      <c r="D262" s="6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6"/>
      <c r="AC262" s="6"/>
      <c r="AD262" s="35"/>
      <c r="AE262" s="6"/>
      <c r="AF262" s="6"/>
      <c r="AG262" s="35"/>
      <c r="AH262" s="35"/>
      <c r="AI262" s="35"/>
      <c r="AJ262" s="35"/>
      <c r="AK262" s="6"/>
      <c r="AL262" s="6"/>
      <c r="AM262" s="35"/>
      <c r="AN262" s="6"/>
      <c r="AO262" s="6"/>
      <c r="AP262" s="34"/>
      <c r="AQ262" s="35"/>
      <c r="AR262" s="35"/>
      <c r="AS262" s="35"/>
      <c r="AT262" s="6"/>
      <c r="AU262" s="6"/>
      <c r="AV262" s="35"/>
      <c r="AW262" s="6"/>
      <c r="AX262" s="6"/>
      <c r="AY262" s="35"/>
      <c r="AZ262" s="35"/>
      <c r="BA262" s="35"/>
      <c r="BB262" s="35"/>
      <c r="BC262" s="35"/>
      <c r="BD262" s="6"/>
      <c r="BE262" s="35"/>
      <c r="BF262" s="6"/>
      <c r="BG262" s="6"/>
      <c r="BH262" s="6"/>
      <c r="BI262" s="6"/>
      <c r="BJ262" s="6"/>
      <c r="BK262" s="6"/>
      <c r="BL262" s="35"/>
      <c r="BM262" s="35"/>
      <c r="BN262" s="6"/>
      <c r="BO262" s="35"/>
      <c r="BP262" s="35"/>
      <c r="BQ262" s="35"/>
      <c r="BR262" s="35"/>
      <c r="BS262" s="35"/>
      <c r="BT262" s="6"/>
      <c r="BU262" s="6"/>
      <c r="BV262" s="6"/>
      <c r="BW262" s="35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10"/>
      <c r="DG262" s="6"/>
      <c r="DH262" s="6"/>
      <c r="DI262" s="10"/>
      <c r="DJ262" s="6"/>
      <c r="DK262" s="6"/>
      <c r="DL262" s="10"/>
      <c r="DM262" s="6"/>
    </row>
    <row r="263" spans="1:117" ht="14.25" customHeight="1">
      <c r="A263" s="6">
        <v>259</v>
      </c>
      <c r="B263" s="6"/>
      <c r="C263" s="10"/>
      <c r="D263" s="6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6"/>
      <c r="AC263" s="6"/>
      <c r="AD263" s="35"/>
      <c r="AE263" s="6"/>
      <c r="AF263" s="6"/>
      <c r="AG263" s="35"/>
      <c r="AH263" s="35"/>
      <c r="AI263" s="35"/>
      <c r="AJ263" s="35"/>
      <c r="AK263" s="6"/>
      <c r="AL263" s="6"/>
      <c r="AM263" s="35"/>
      <c r="AN263" s="6"/>
      <c r="AO263" s="6"/>
      <c r="AP263" s="34"/>
      <c r="AQ263" s="35"/>
      <c r="AR263" s="35"/>
      <c r="AS263" s="35"/>
      <c r="AT263" s="6"/>
      <c r="AU263" s="6"/>
      <c r="AV263" s="35"/>
      <c r="AW263" s="6"/>
      <c r="AX263" s="6"/>
      <c r="AY263" s="35"/>
      <c r="AZ263" s="35"/>
      <c r="BA263" s="35"/>
      <c r="BB263" s="35"/>
      <c r="BC263" s="35"/>
      <c r="BD263" s="6"/>
      <c r="BE263" s="35"/>
      <c r="BF263" s="6"/>
      <c r="BG263" s="6"/>
      <c r="BH263" s="6"/>
      <c r="BI263" s="6"/>
      <c r="BJ263" s="6"/>
      <c r="BK263" s="6"/>
      <c r="BL263" s="35"/>
      <c r="BM263" s="35"/>
      <c r="BN263" s="6"/>
      <c r="BO263" s="35"/>
      <c r="BP263" s="35"/>
      <c r="BQ263" s="35"/>
      <c r="BR263" s="35"/>
      <c r="BS263" s="35"/>
      <c r="BT263" s="6"/>
      <c r="BU263" s="6"/>
      <c r="BV263" s="6"/>
      <c r="BW263" s="35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10"/>
      <c r="DG263" s="6"/>
      <c r="DH263" s="6"/>
      <c r="DI263" s="10"/>
      <c r="DJ263" s="6"/>
      <c r="DK263" s="6"/>
      <c r="DL263" s="10"/>
      <c r="DM263" s="6"/>
    </row>
    <row r="264" spans="1:117">
      <c r="A264" s="6">
        <v>260</v>
      </c>
      <c r="B264" s="6"/>
      <c r="C264" s="10"/>
      <c r="D264" s="6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6"/>
      <c r="AC264" s="6"/>
      <c r="AD264" s="35"/>
      <c r="AE264" s="6"/>
      <c r="AF264" s="6"/>
      <c r="AG264" s="35"/>
      <c r="AH264" s="35"/>
      <c r="AI264" s="35"/>
      <c r="AJ264" s="35"/>
      <c r="AK264" s="6"/>
      <c r="AL264" s="6"/>
      <c r="AM264" s="35"/>
      <c r="AN264" s="6"/>
      <c r="AO264" s="6"/>
      <c r="AP264" s="34"/>
      <c r="AQ264" s="35"/>
      <c r="AR264" s="35"/>
      <c r="AS264" s="35"/>
      <c r="AT264" s="6"/>
      <c r="AU264" s="6"/>
      <c r="AV264" s="35"/>
      <c r="AW264" s="6"/>
      <c r="AX264" s="6"/>
      <c r="AY264" s="35"/>
      <c r="AZ264" s="35"/>
      <c r="BA264" s="35"/>
      <c r="BB264" s="35"/>
      <c r="BC264" s="35"/>
      <c r="BD264" s="6"/>
      <c r="BE264" s="35"/>
      <c r="BF264" s="6"/>
      <c r="BG264" s="6"/>
      <c r="BH264" s="6"/>
      <c r="BI264" s="6"/>
      <c r="BJ264" s="6"/>
      <c r="BK264" s="6"/>
      <c r="BL264" s="35"/>
      <c r="BM264" s="35"/>
      <c r="BN264" s="6"/>
      <c r="BO264" s="35"/>
      <c r="BP264" s="35"/>
      <c r="BQ264" s="35"/>
      <c r="BR264" s="35"/>
      <c r="BS264" s="35"/>
      <c r="BT264" s="6"/>
      <c r="BU264" s="6"/>
      <c r="BV264" s="6"/>
      <c r="BW264" s="35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10"/>
      <c r="DG264" s="6"/>
      <c r="DH264" s="6"/>
      <c r="DI264" s="10"/>
      <c r="DJ264" s="6"/>
      <c r="DK264" s="6"/>
      <c r="DL264" s="10"/>
      <c r="DM264" s="6"/>
    </row>
    <row r="265" spans="1:117">
      <c r="A265" s="6">
        <v>361</v>
      </c>
      <c r="B265" s="6">
        <v>47</v>
      </c>
      <c r="C265" s="10"/>
      <c r="D265" s="6">
        <v>0</v>
      </c>
      <c r="E265" s="33" t="s">
        <v>110</v>
      </c>
      <c r="F265" s="33" t="s">
        <v>110</v>
      </c>
      <c r="G265" s="33" t="s">
        <v>110</v>
      </c>
      <c r="H265" s="33" t="s">
        <v>110</v>
      </c>
      <c r="I265" s="33" t="s">
        <v>110</v>
      </c>
      <c r="J265" s="33" t="s">
        <v>110</v>
      </c>
      <c r="K265" s="33" t="s">
        <v>110</v>
      </c>
      <c r="L265" s="33" t="s">
        <v>110</v>
      </c>
      <c r="M265" s="33" t="s">
        <v>110</v>
      </c>
      <c r="N265" s="33" t="s">
        <v>110</v>
      </c>
      <c r="O265" s="33" t="s">
        <v>110</v>
      </c>
      <c r="P265" s="33" t="s">
        <v>110</v>
      </c>
      <c r="Q265" s="33" t="s">
        <v>110</v>
      </c>
      <c r="R265" s="33" t="s">
        <v>110</v>
      </c>
      <c r="S265" s="33" t="s">
        <v>110</v>
      </c>
      <c r="T265" s="33" t="s">
        <v>110</v>
      </c>
      <c r="U265" s="33" t="s">
        <v>110</v>
      </c>
      <c r="V265" s="33" t="s">
        <v>110</v>
      </c>
      <c r="W265" s="33" t="s">
        <v>110</v>
      </c>
      <c r="X265" s="33" t="s">
        <v>110</v>
      </c>
      <c r="Y265" s="33" t="s">
        <v>110</v>
      </c>
      <c r="Z265" s="33" t="s">
        <v>110</v>
      </c>
      <c r="AA265" s="33" t="s">
        <v>110</v>
      </c>
      <c r="AB265" s="6">
        <v>47</v>
      </c>
      <c r="AC265" s="6"/>
      <c r="AD265" s="35">
        <f>AC265+AB265-B265</f>
        <v>0</v>
      </c>
      <c r="AE265" s="6">
        <v>47</v>
      </c>
      <c r="AF265" s="6"/>
      <c r="AG265" s="35">
        <f>AF265+AE265-AB265</f>
        <v>0</v>
      </c>
      <c r="AH265" s="35">
        <v>47</v>
      </c>
      <c r="AI265" s="35"/>
      <c r="AJ265" s="35">
        <f>AI265+AH265-AE265</f>
        <v>0</v>
      </c>
      <c r="AK265" s="6">
        <v>47</v>
      </c>
      <c r="AL265" s="6"/>
      <c r="AM265" s="35">
        <f>AL265+AK265-AH265</f>
        <v>0</v>
      </c>
      <c r="AN265" s="34"/>
      <c r="AO265" s="34"/>
      <c r="AP265" s="34"/>
      <c r="AQ265" s="35">
        <v>47</v>
      </c>
      <c r="AR265" s="35"/>
      <c r="AS265" s="35">
        <f>AR265+AQ265-AK265</f>
        <v>0</v>
      </c>
      <c r="AT265" s="6">
        <v>47</v>
      </c>
      <c r="AU265" s="6"/>
      <c r="AV265" s="35">
        <f>AU265+AT265-AQ265</f>
        <v>0</v>
      </c>
      <c r="AW265" s="6">
        <v>47</v>
      </c>
      <c r="AX265" s="6"/>
      <c r="AY265" s="35">
        <f>AX265+AW265-AT265</f>
        <v>0</v>
      </c>
      <c r="AZ265" s="35">
        <v>47</v>
      </c>
      <c r="BA265" s="6"/>
      <c r="BB265" s="35">
        <f>BA265+AZ265-AW265</f>
        <v>0</v>
      </c>
      <c r="BC265" s="35">
        <v>47</v>
      </c>
      <c r="BD265" s="6"/>
      <c r="BE265" s="35">
        <f>BD265+BC265-AZ265</f>
        <v>0</v>
      </c>
      <c r="BF265" s="6">
        <v>47</v>
      </c>
      <c r="BG265" s="6"/>
      <c r="BH265" s="6">
        <f>BG265+BF265-BC265</f>
        <v>0</v>
      </c>
      <c r="BI265" s="6"/>
      <c r="BJ265" s="6"/>
      <c r="BK265" s="6"/>
      <c r="BL265" s="35">
        <v>47</v>
      </c>
      <c r="BM265" s="35"/>
      <c r="BN265" s="6">
        <f>BM265+BL265-BF265</f>
        <v>0</v>
      </c>
      <c r="BO265" s="35">
        <v>47</v>
      </c>
      <c r="BP265" s="35"/>
      <c r="BQ265" s="35">
        <f>BP265+BO265-BL265</f>
        <v>0</v>
      </c>
      <c r="BR265" s="35">
        <v>47</v>
      </c>
      <c r="BS265" s="35"/>
      <c r="BT265" s="6">
        <f>BS265+BR265-BO265</f>
        <v>0</v>
      </c>
      <c r="BU265" s="6">
        <v>47</v>
      </c>
      <c r="BV265" s="6"/>
      <c r="BW265" s="35">
        <f>BV265+BU265-BR265</f>
        <v>0</v>
      </c>
      <c r="BX265" s="6">
        <v>47</v>
      </c>
      <c r="BY265" s="6"/>
      <c r="BZ265" s="6">
        <f>BY265+BX265-BU265</f>
        <v>0</v>
      </c>
      <c r="CA265" s="6">
        <v>47</v>
      </c>
      <c r="CB265" s="6"/>
      <c r="CC265" s="6">
        <f>CB265+CA265-BX265</f>
        <v>0</v>
      </c>
      <c r="CD265" s="6"/>
      <c r="CE265" s="6"/>
      <c r="CF265" s="6"/>
      <c r="CG265" s="6">
        <v>47</v>
      </c>
      <c r="CH265" s="6"/>
      <c r="CI265" s="6">
        <f>CH265+CG265-CA265</f>
        <v>0</v>
      </c>
      <c r="CJ265" s="6">
        <v>47</v>
      </c>
      <c r="CK265" s="6"/>
      <c r="CL265" s="6">
        <f>CK265+CJ265-CG265</f>
        <v>0</v>
      </c>
      <c r="CM265" s="6">
        <v>47</v>
      </c>
      <c r="CN265" s="6"/>
      <c r="CO265" s="6">
        <f t="shared" ref="CO265:CO270" si="88">CN265+CM265-CJ265</f>
        <v>0</v>
      </c>
      <c r="CP265" s="6">
        <v>47</v>
      </c>
      <c r="CQ265" s="6"/>
      <c r="CR265" s="6">
        <f t="shared" ref="CR265:CR270" si="89">CQ265+CP265-CM265</f>
        <v>0</v>
      </c>
      <c r="CS265" s="6">
        <v>47</v>
      </c>
      <c r="CT265" s="6"/>
      <c r="CU265" s="6">
        <f t="shared" ref="CU265:CU270" si="90">CT265+CS265-CP265</f>
        <v>0</v>
      </c>
      <c r="CV265" s="6">
        <v>47</v>
      </c>
      <c r="CW265" s="6"/>
      <c r="CX265" s="6">
        <f t="shared" ref="CX265:CX270" si="91">CW265+CV265-CS265</f>
        <v>0</v>
      </c>
      <c r="CY265" s="6"/>
      <c r="CZ265" s="6"/>
      <c r="DA265" s="6"/>
      <c r="DB265" s="6"/>
      <c r="DC265" s="6"/>
      <c r="DD265" s="6"/>
      <c r="DE265" s="6"/>
      <c r="DF265" s="10"/>
      <c r="DG265" s="6"/>
      <c r="DH265" s="6"/>
      <c r="DI265" s="10"/>
      <c r="DJ265" s="6"/>
      <c r="DK265" s="6"/>
      <c r="DL265" s="10"/>
      <c r="DM265" s="6"/>
    </row>
    <row r="266" spans="1:117">
      <c r="A266" s="6">
        <v>362</v>
      </c>
      <c r="B266" s="6">
        <v>34</v>
      </c>
      <c r="C266" s="10"/>
      <c r="D266" s="6">
        <v>0</v>
      </c>
      <c r="E266" s="33" t="s">
        <v>111</v>
      </c>
      <c r="F266" s="33" t="s">
        <v>111</v>
      </c>
      <c r="G266" s="33" t="s">
        <v>111</v>
      </c>
      <c r="H266" s="33" t="s">
        <v>111</v>
      </c>
      <c r="I266" s="33" t="s">
        <v>111</v>
      </c>
      <c r="J266" s="33" t="s">
        <v>111</v>
      </c>
      <c r="K266" s="33" t="s">
        <v>111</v>
      </c>
      <c r="L266" s="33" t="s">
        <v>111</v>
      </c>
      <c r="M266" s="33" t="s">
        <v>111</v>
      </c>
      <c r="N266" s="33" t="s">
        <v>111</v>
      </c>
      <c r="O266" s="33" t="s">
        <v>111</v>
      </c>
      <c r="P266" s="33" t="s">
        <v>111</v>
      </c>
      <c r="Q266" s="33" t="s">
        <v>111</v>
      </c>
      <c r="R266" s="33" t="s">
        <v>111</v>
      </c>
      <c r="S266" s="33" t="s">
        <v>111</v>
      </c>
      <c r="T266" s="33" t="s">
        <v>111</v>
      </c>
      <c r="U266" s="33" t="s">
        <v>111</v>
      </c>
      <c r="V266" s="33" t="s">
        <v>111</v>
      </c>
      <c r="W266" s="33" t="s">
        <v>111</v>
      </c>
      <c r="X266" s="33" t="s">
        <v>111</v>
      </c>
      <c r="Y266" s="33" t="s">
        <v>111</v>
      </c>
      <c r="Z266" s="33" t="s">
        <v>111</v>
      </c>
      <c r="AA266" s="33" t="s">
        <v>111</v>
      </c>
      <c r="AB266" s="6">
        <v>34</v>
      </c>
      <c r="AC266" s="6"/>
      <c r="AD266" s="35">
        <f>AC266+AB266-B266</f>
        <v>0</v>
      </c>
      <c r="AE266" s="6">
        <v>34</v>
      </c>
      <c r="AF266" s="6"/>
      <c r="AG266" s="35">
        <f>AF266+AE266-AB266</f>
        <v>0</v>
      </c>
      <c r="AH266" s="35">
        <v>34</v>
      </c>
      <c r="AI266" s="35"/>
      <c r="AJ266" s="35">
        <f>AI266+AH266-AE266</f>
        <v>0</v>
      </c>
      <c r="AK266" s="6">
        <v>34</v>
      </c>
      <c r="AL266" s="6"/>
      <c r="AM266" s="35">
        <f>AL266+AK266-AH266</f>
        <v>0</v>
      </c>
      <c r="AN266" s="34"/>
      <c r="AO266" s="34"/>
      <c r="AP266" s="34"/>
      <c r="AQ266" s="35">
        <v>34</v>
      </c>
      <c r="AR266" s="35"/>
      <c r="AS266" s="35">
        <f>AR266+AQ266-AK266</f>
        <v>0</v>
      </c>
      <c r="AT266" s="6">
        <v>34</v>
      </c>
      <c r="AU266" s="6"/>
      <c r="AV266" s="35">
        <f>AU266+AT266-AQ266</f>
        <v>0</v>
      </c>
      <c r="AW266" s="6">
        <v>34</v>
      </c>
      <c r="AX266" s="6"/>
      <c r="AY266" s="35">
        <f>AX266+AW266-AT266</f>
        <v>0</v>
      </c>
      <c r="AZ266" s="35">
        <v>34</v>
      </c>
      <c r="BA266" s="6"/>
      <c r="BB266" s="35">
        <f>BA266+AZ266-AW266</f>
        <v>0</v>
      </c>
      <c r="BC266" s="35">
        <v>34</v>
      </c>
      <c r="BD266" s="6"/>
      <c r="BE266" s="35">
        <f>BD266+BC266-AZ266</f>
        <v>0</v>
      </c>
      <c r="BF266" s="6">
        <v>34</v>
      </c>
      <c r="BG266" s="6"/>
      <c r="BH266" s="6">
        <f>BG266+BF266-BC266</f>
        <v>0</v>
      </c>
      <c r="BI266" s="6"/>
      <c r="BJ266" s="6"/>
      <c r="BK266" s="6"/>
      <c r="BL266" s="35">
        <v>34</v>
      </c>
      <c r="BM266" s="35"/>
      <c r="BN266" s="6">
        <f>BM266+BL266-BF266</f>
        <v>0</v>
      </c>
      <c r="BO266" s="35">
        <v>34</v>
      </c>
      <c r="BP266" s="35"/>
      <c r="BQ266" s="35">
        <f>BP266+BO266-BL266</f>
        <v>0</v>
      </c>
      <c r="BR266" s="35">
        <v>34</v>
      </c>
      <c r="BS266" s="35"/>
      <c r="BT266" s="6">
        <f>BS266+BR266-BO266</f>
        <v>0</v>
      </c>
      <c r="BU266" s="6">
        <v>34</v>
      </c>
      <c r="BV266" s="6"/>
      <c r="BW266" s="35">
        <f>BV266+BU266-BR266</f>
        <v>0</v>
      </c>
      <c r="BX266" s="6">
        <v>34</v>
      </c>
      <c r="BY266" s="6"/>
      <c r="BZ266" s="6">
        <f>BY266+BX266-BU266</f>
        <v>0</v>
      </c>
      <c r="CA266" s="6">
        <v>34</v>
      </c>
      <c r="CB266" s="6"/>
      <c r="CC266" s="6">
        <f>CB266+CA266-BX266</f>
        <v>0</v>
      </c>
      <c r="CD266" s="6"/>
      <c r="CE266" s="6"/>
      <c r="CF266" s="6"/>
      <c r="CG266" s="6">
        <v>34</v>
      </c>
      <c r="CH266" s="6"/>
      <c r="CI266" s="6">
        <f>CH266+CG266-CA266</f>
        <v>0</v>
      </c>
      <c r="CJ266" s="6">
        <v>34</v>
      </c>
      <c r="CK266" s="6"/>
      <c r="CL266" s="6">
        <f>CK266+CJ266-CG266</f>
        <v>0</v>
      </c>
      <c r="CM266" s="6">
        <v>34</v>
      </c>
      <c r="CN266" s="6"/>
      <c r="CO266" s="6">
        <f t="shared" si="88"/>
        <v>0</v>
      </c>
      <c r="CP266" s="6">
        <v>34</v>
      </c>
      <c r="CQ266" s="6"/>
      <c r="CR266" s="6">
        <f t="shared" si="89"/>
        <v>0</v>
      </c>
      <c r="CS266" s="6">
        <v>34</v>
      </c>
      <c r="CT266" s="6"/>
      <c r="CU266" s="6">
        <f t="shared" si="90"/>
        <v>0</v>
      </c>
      <c r="CV266" s="6">
        <v>34</v>
      </c>
      <c r="CW266" s="6"/>
      <c r="CX266" s="6">
        <f t="shared" si="91"/>
        <v>0</v>
      </c>
      <c r="CY266" s="6"/>
      <c r="CZ266" s="6"/>
      <c r="DA266" s="6"/>
      <c r="DB266" s="6"/>
      <c r="DC266" s="6"/>
      <c r="DD266" s="6"/>
      <c r="DE266" s="6"/>
      <c r="DF266" s="10"/>
      <c r="DG266" s="6"/>
      <c r="DH266" s="6"/>
      <c r="DI266" s="10"/>
      <c r="DJ266" s="6"/>
      <c r="DK266" s="6"/>
      <c r="DL266" s="10"/>
      <c r="DM266" s="6"/>
    </row>
    <row r="267" spans="1:117">
      <c r="A267" s="6" t="s">
        <v>293</v>
      </c>
      <c r="B267" s="6">
        <v>35</v>
      </c>
      <c r="C267" s="10"/>
      <c r="D267" s="6">
        <v>0</v>
      </c>
      <c r="E267" s="33" t="s">
        <v>246</v>
      </c>
      <c r="F267" s="33" t="s">
        <v>246</v>
      </c>
      <c r="G267" s="33" t="s">
        <v>246</v>
      </c>
      <c r="H267" s="33" t="s">
        <v>246</v>
      </c>
      <c r="I267" s="33" t="s">
        <v>246</v>
      </c>
      <c r="J267" s="33" t="s">
        <v>246</v>
      </c>
      <c r="K267" s="33" t="s">
        <v>246</v>
      </c>
      <c r="L267" s="33" t="s">
        <v>246</v>
      </c>
      <c r="M267" s="33" t="s">
        <v>246</v>
      </c>
      <c r="N267" s="33" t="s">
        <v>246</v>
      </c>
      <c r="O267" s="33" t="s">
        <v>246</v>
      </c>
      <c r="P267" s="33" t="s">
        <v>246</v>
      </c>
      <c r="Q267" s="33" t="s">
        <v>246</v>
      </c>
      <c r="R267" s="33" t="s">
        <v>246</v>
      </c>
      <c r="S267" s="33" t="s">
        <v>246</v>
      </c>
      <c r="T267" s="33" t="s">
        <v>246</v>
      </c>
      <c r="U267" s="33" t="s">
        <v>246</v>
      </c>
      <c r="V267" s="33" t="s">
        <v>246</v>
      </c>
      <c r="W267" s="33" t="s">
        <v>246</v>
      </c>
      <c r="X267" s="33" t="s">
        <v>246</v>
      </c>
      <c r="Y267" s="33" t="s">
        <v>246</v>
      </c>
      <c r="Z267" s="33" t="s">
        <v>246</v>
      </c>
      <c r="AA267" s="33" t="s">
        <v>246</v>
      </c>
      <c r="AB267" s="6">
        <v>35</v>
      </c>
      <c r="AC267" s="6"/>
      <c r="AD267" s="35">
        <f>AC267+AB267-B267</f>
        <v>0</v>
      </c>
      <c r="AE267" s="6">
        <v>35</v>
      </c>
      <c r="AF267" s="6"/>
      <c r="AG267" s="35">
        <f>AF267+AE267-AB267</f>
        <v>0</v>
      </c>
      <c r="AH267" s="35">
        <v>35</v>
      </c>
      <c r="AI267" s="35"/>
      <c r="AJ267" s="35">
        <f>AI267+AH267-AE267</f>
        <v>0</v>
      </c>
      <c r="AK267" s="6">
        <v>35</v>
      </c>
      <c r="AL267" s="6"/>
      <c r="AM267" s="35">
        <f>AL267+AK267-AH267</f>
        <v>0</v>
      </c>
      <c r="AN267" s="34"/>
      <c r="AO267" s="34"/>
      <c r="AP267" s="34"/>
      <c r="AQ267" s="35">
        <v>35</v>
      </c>
      <c r="AR267" s="35"/>
      <c r="AS267" s="35">
        <f>AR267+AQ267-AK267</f>
        <v>0</v>
      </c>
      <c r="AT267" s="6">
        <v>35</v>
      </c>
      <c r="AU267" s="6"/>
      <c r="AV267" s="35">
        <f>AU267+AT267-AQ267</f>
        <v>0</v>
      </c>
      <c r="AW267" s="6">
        <v>35</v>
      </c>
      <c r="AX267" s="6"/>
      <c r="AY267" s="35">
        <f>AX267+AW267-AT267</f>
        <v>0</v>
      </c>
      <c r="AZ267" s="35">
        <v>35</v>
      </c>
      <c r="BA267" s="6"/>
      <c r="BB267" s="35">
        <f>BA267+AZ267-AW267</f>
        <v>0</v>
      </c>
      <c r="BC267" s="35">
        <v>35</v>
      </c>
      <c r="BD267" s="6"/>
      <c r="BE267" s="35">
        <f>BD267+BC267-AZ267</f>
        <v>0</v>
      </c>
      <c r="BF267" s="6">
        <v>35</v>
      </c>
      <c r="BG267" s="6"/>
      <c r="BH267" s="6">
        <f>BG267+BF267-BC267</f>
        <v>0</v>
      </c>
      <c r="BI267" s="6"/>
      <c r="BJ267" s="6"/>
      <c r="BK267" s="6"/>
      <c r="BL267" s="35">
        <v>35</v>
      </c>
      <c r="BM267" s="35"/>
      <c r="BN267" s="6">
        <f>BM267+BL267-BF267</f>
        <v>0</v>
      </c>
      <c r="BO267" s="35">
        <v>35</v>
      </c>
      <c r="BP267" s="35"/>
      <c r="BQ267" s="35">
        <f>BP267+BO267-BL267</f>
        <v>0</v>
      </c>
      <c r="BR267" s="35">
        <v>35</v>
      </c>
      <c r="BS267" s="35"/>
      <c r="BT267" s="6">
        <f>BS267+BR267-BO267</f>
        <v>0</v>
      </c>
      <c r="BU267" s="6">
        <v>35</v>
      </c>
      <c r="BV267" s="6"/>
      <c r="BW267" s="35">
        <f>BV267+BU267-BR267</f>
        <v>0</v>
      </c>
      <c r="BX267" s="6">
        <v>35</v>
      </c>
      <c r="BY267" s="6"/>
      <c r="BZ267" s="6">
        <f>BY267+BX267-BU267</f>
        <v>0</v>
      </c>
      <c r="CA267" s="6">
        <v>35</v>
      </c>
      <c r="CB267" s="6"/>
      <c r="CC267" s="6">
        <f>CB267+CA267-BX267</f>
        <v>0</v>
      </c>
      <c r="CD267" s="6"/>
      <c r="CE267" s="6"/>
      <c r="CF267" s="6"/>
      <c r="CG267" s="6">
        <v>35</v>
      </c>
      <c r="CH267" s="6"/>
      <c r="CI267" s="6">
        <f>CH267+CG267-CA267</f>
        <v>0</v>
      </c>
      <c r="CJ267" s="6">
        <v>0</v>
      </c>
      <c r="CK267" s="6">
        <v>35</v>
      </c>
      <c r="CL267" s="6">
        <f>CK267+CJ267-CG267</f>
        <v>0</v>
      </c>
      <c r="CM267" s="6">
        <v>199</v>
      </c>
      <c r="CN267" s="6"/>
      <c r="CO267" s="6">
        <f t="shared" si="88"/>
        <v>199</v>
      </c>
      <c r="CP267" s="6">
        <v>427</v>
      </c>
      <c r="CQ267" s="6"/>
      <c r="CR267" s="6">
        <f t="shared" si="89"/>
        <v>228</v>
      </c>
      <c r="CS267" s="6">
        <v>658</v>
      </c>
      <c r="CT267" s="6"/>
      <c r="CU267" s="6">
        <f t="shared" si="90"/>
        <v>231</v>
      </c>
      <c r="CV267" s="6">
        <v>782</v>
      </c>
      <c r="CW267" s="6"/>
      <c r="CX267" s="6">
        <f t="shared" si="91"/>
        <v>124</v>
      </c>
      <c r="CY267" s="6"/>
      <c r="CZ267" s="6"/>
      <c r="DA267" s="6"/>
      <c r="DB267" s="6"/>
      <c r="DC267" s="6"/>
      <c r="DD267" s="6"/>
      <c r="DE267" s="6"/>
      <c r="DF267" s="10"/>
      <c r="DG267" s="6"/>
      <c r="DH267" s="6"/>
      <c r="DI267" s="10"/>
      <c r="DJ267" s="6"/>
      <c r="DK267" s="6"/>
      <c r="DL267" s="10"/>
      <c r="DM267" s="6"/>
    </row>
    <row r="268" spans="1:117">
      <c r="A268" s="6" t="s">
        <v>294</v>
      </c>
      <c r="B268" s="6"/>
      <c r="C268" s="10"/>
      <c r="D268" s="6"/>
      <c r="E268" s="33"/>
      <c r="F268" s="33"/>
      <c r="G268" s="33"/>
      <c r="H268" s="33"/>
      <c r="I268" s="148" t="s">
        <v>291</v>
      </c>
      <c r="J268" s="33" t="s">
        <v>291</v>
      </c>
      <c r="K268" s="33" t="s">
        <v>291</v>
      </c>
      <c r="L268" s="33" t="s">
        <v>291</v>
      </c>
      <c r="M268" s="33" t="s">
        <v>291</v>
      </c>
      <c r="N268" s="33" t="s">
        <v>291</v>
      </c>
      <c r="O268" s="33" t="s">
        <v>291</v>
      </c>
      <c r="P268" s="33" t="s">
        <v>291</v>
      </c>
      <c r="Q268" s="33" t="s">
        <v>291</v>
      </c>
      <c r="R268" s="33" t="s">
        <v>291</v>
      </c>
      <c r="S268" s="33" t="s">
        <v>291</v>
      </c>
      <c r="T268" s="33" t="s">
        <v>291</v>
      </c>
      <c r="U268" s="33" t="s">
        <v>291</v>
      </c>
      <c r="V268" s="33" t="s">
        <v>291</v>
      </c>
      <c r="W268" s="33" t="s">
        <v>291</v>
      </c>
      <c r="X268" s="33" t="s">
        <v>291</v>
      </c>
      <c r="Y268" s="33" t="s">
        <v>291</v>
      </c>
      <c r="Z268" s="33" t="s">
        <v>291</v>
      </c>
      <c r="AA268" s="33" t="s">
        <v>291</v>
      </c>
      <c r="AB268" s="6"/>
      <c r="AC268" s="6"/>
      <c r="AD268" s="35"/>
      <c r="AE268" s="6"/>
      <c r="AF268" s="6"/>
      <c r="AG268" s="35"/>
      <c r="AH268" s="35"/>
      <c r="AI268" s="35"/>
      <c r="AJ268" s="35"/>
      <c r="AK268" s="6">
        <v>137</v>
      </c>
      <c r="AL268" s="6"/>
      <c r="AM268" s="35">
        <f>AL268+AK268-AH268</f>
        <v>137</v>
      </c>
      <c r="AN268" s="34"/>
      <c r="AO268" s="34"/>
      <c r="AP268" s="34"/>
      <c r="AQ268" s="35">
        <v>418</v>
      </c>
      <c r="AR268" s="35"/>
      <c r="AS268" s="35">
        <f>AR268+AQ268-AK268</f>
        <v>281</v>
      </c>
      <c r="AT268" s="6">
        <v>0</v>
      </c>
      <c r="AU268" s="6">
        <v>500</v>
      </c>
      <c r="AV268" s="35">
        <f>AU268+AT268-AQ268</f>
        <v>82</v>
      </c>
      <c r="AW268" s="6">
        <v>0</v>
      </c>
      <c r="AX268" s="6"/>
      <c r="AY268" s="35">
        <f>AX268+AW268-AT268</f>
        <v>0</v>
      </c>
      <c r="AZ268" s="35">
        <v>0</v>
      </c>
      <c r="BA268" s="6"/>
      <c r="BB268" s="35">
        <f>BA268+AZ268-AW268</f>
        <v>0</v>
      </c>
      <c r="BC268" s="35">
        <v>0</v>
      </c>
      <c r="BD268" s="6"/>
      <c r="BE268" s="35">
        <f>BD268+BC268-AZ268</f>
        <v>0</v>
      </c>
      <c r="BF268" s="6">
        <v>0</v>
      </c>
      <c r="BG268" s="6"/>
      <c r="BH268" s="6">
        <f>BG268+BF268-BC268</f>
        <v>0</v>
      </c>
      <c r="BI268" s="6"/>
      <c r="BJ268" s="6"/>
      <c r="BK268" s="6"/>
      <c r="BL268" s="35">
        <v>0</v>
      </c>
      <c r="BM268" s="35"/>
      <c r="BN268" s="6">
        <f>BM268+BL268-BF268</f>
        <v>0</v>
      </c>
      <c r="BO268" s="35">
        <v>0</v>
      </c>
      <c r="BP268" s="35"/>
      <c r="BQ268" s="35">
        <f>BP268+BO268-BL268</f>
        <v>0</v>
      </c>
      <c r="BR268" s="35">
        <v>0</v>
      </c>
      <c r="BS268" s="35"/>
      <c r="BT268" s="6">
        <f>BS268+BR268-BO268</f>
        <v>0</v>
      </c>
      <c r="BU268" s="6">
        <v>0</v>
      </c>
      <c r="BV268" s="6"/>
      <c r="BW268" s="35">
        <f>BV268+BU268-BR268</f>
        <v>0</v>
      </c>
      <c r="BX268" s="6">
        <v>0</v>
      </c>
      <c r="BY268" s="6"/>
      <c r="BZ268" s="6">
        <f>BY268+BX268-BU268</f>
        <v>0</v>
      </c>
      <c r="CA268" s="6">
        <v>0</v>
      </c>
      <c r="CB268" s="6"/>
      <c r="CC268" s="6">
        <f>CB268+CA268-BX268</f>
        <v>0</v>
      </c>
      <c r="CD268" s="6"/>
      <c r="CE268" s="6"/>
      <c r="CF268" s="6"/>
      <c r="CG268" s="6">
        <v>0</v>
      </c>
      <c r="CH268" s="6"/>
      <c r="CI268" s="6">
        <f>CH268+CG268-CA268</f>
        <v>0</v>
      </c>
      <c r="CJ268" s="6">
        <v>280</v>
      </c>
      <c r="CK268" s="6"/>
      <c r="CL268" s="6">
        <f>CK268+CJ268-CG268</f>
        <v>280</v>
      </c>
      <c r="CM268" s="6">
        <v>2</v>
      </c>
      <c r="CN268" s="6">
        <v>500</v>
      </c>
      <c r="CO268" s="6">
        <f t="shared" si="88"/>
        <v>222</v>
      </c>
      <c r="CP268" s="6">
        <v>297</v>
      </c>
      <c r="CQ268" s="6"/>
      <c r="CR268" s="6">
        <f t="shared" si="89"/>
        <v>295</v>
      </c>
      <c r="CS268" s="6">
        <v>597</v>
      </c>
      <c r="CT268" s="6"/>
      <c r="CU268" s="6">
        <f t="shared" si="90"/>
        <v>300</v>
      </c>
      <c r="CV268" s="6">
        <v>757</v>
      </c>
      <c r="CW268" s="6"/>
      <c r="CX268" s="6">
        <f t="shared" si="91"/>
        <v>160</v>
      </c>
      <c r="CY268" s="6"/>
      <c r="CZ268" s="6"/>
      <c r="DA268" s="6"/>
      <c r="DB268" s="6"/>
      <c r="DC268" s="6"/>
      <c r="DD268" s="6"/>
      <c r="DE268" s="6"/>
      <c r="DF268" s="10"/>
      <c r="DG268" s="6"/>
      <c r="DH268" s="6"/>
      <c r="DI268" s="10"/>
      <c r="DJ268" s="6"/>
      <c r="DK268" s="6"/>
      <c r="DL268" s="10"/>
      <c r="DM268" s="6"/>
    </row>
    <row r="269" spans="1:117">
      <c r="A269" s="6" t="s">
        <v>321</v>
      </c>
      <c r="B269" s="6"/>
      <c r="C269" s="10"/>
      <c r="D269" s="6"/>
      <c r="E269" s="33"/>
      <c r="F269" s="33"/>
      <c r="G269" s="33"/>
      <c r="H269" s="33"/>
      <c r="I269" s="148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148" t="s">
        <v>246</v>
      </c>
      <c r="Y269" s="33" t="s">
        <v>246</v>
      </c>
      <c r="Z269" s="33" t="s">
        <v>246</v>
      </c>
      <c r="AA269" s="33" t="s">
        <v>246</v>
      </c>
      <c r="AB269" s="6"/>
      <c r="AC269" s="6"/>
      <c r="AD269" s="35"/>
      <c r="AE269" s="6"/>
      <c r="AF269" s="6"/>
      <c r="AG269" s="35"/>
      <c r="AH269" s="35"/>
      <c r="AI269" s="35"/>
      <c r="AJ269" s="35"/>
      <c r="AK269" s="6"/>
      <c r="AL269" s="6"/>
      <c r="AM269" s="35"/>
      <c r="AN269" s="34"/>
      <c r="AO269" s="34"/>
      <c r="AP269" s="34"/>
      <c r="AQ269" s="35"/>
      <c r="AR269" s="35"/>
      <c r="AS269" s="35"/>
      <c r="AT269" s="6"/>
      <c r="AU269" s="6"/>
      <c r="AV269" s="35"/>
      <c r="AW269" s="6"/>
      <c r="AX269" s="6"/>
      <c r="AY269" s="35"/>
      <c r="AZ269" s="35"/>
      <c r="BA269" s="6"/>
      <c r="BB269" s="35"/>
      <c r="BC269" s="35"/>
      <c r="BD269" s="6"/>
      <c r="BE269" s="35"/>
      <c r="BF269" s="6"/>
      <c r="BG269" s="6"/>
      <c r="BH269" s="6"/>
      <c r="BI269" s="6"/>
      <c r="BJ269" s="6"/>
      <c r="BK269" s="6"/>
      <c r="BL269" s="35"/>
      <c r="BM269" s="35"/>
      <c r="BN269" s="6"/>
      <c r="BO269" s="35"/>
      <c r="BP269" s="35"/>
      <c r="BQ269" s="35"/>
      <c r="BR269" s="35"/>
      <c r="BS269" s="35"/>
      <c r="BT269" s="6"/>
      <c r="BU269" s="6"/>
      <c r="BV269" s="6"/>
      <c r="BW269" s="35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>
        <v>0</v>
      </c>
      <c r="CN269" s="6"/>
      <c r="CO269" s="6">
        <f t="shared" si="88"/>
        <v>0</v>
      </c>
      <c r="CP269" s="6">
        <v>198</v>
      </c>
      <c r="CQ269" s="6"/>
      <c r="CR269" s="6">
        <f t="shared" si="89"/>
        <v>198</v>
      </c>
      <c r="CS269" s="6">
        <v>433</v>
      </c>
      <c r="CT269" s="6"/>
      <c r="CU269" s="6">
        <f t="shared" si="90"/>
        <v>235</v>
      </c>
      <c r="CV269" s="6">
        <v>561</v>
      </c>
      <c r="CW269" s="6"/>
      <c r="CX269" s="6">
        <f t="shared" si="91"/>
        <v>128</v>
      </c>
      <c r="CY269" s="6"/>
      <c r="CZ269" s="6"/>
      <c r="DA269" s="6"/>
      <c r="DB269" s="6"/>
      <c r="DC269" s="6"/>
      <c r="DD269" s="6"/>
      <c r="DE269" s="6"/>
      <c r="DF269" s="10"/>
      <c r="DG269" s="6"/>
      <c r="DH269" s="6"/>
      <c r="DI269" s="10"/>
      <c r="DJ269" s="6"/>
      <c r="DK269" s="6"/>
      <c r="DL269" s="10"/>
      <c r="DM269" s="6"/>
    </row>
    <row r="270" spans="1:117">
      <c r="A270" s="6" t="s">
        <v>322</v>
      </c>
      <c r="B270" s="6"/>
      <c r="C270" s="10"/>
      <c r="D270" s="6"/>
      <c r="E270" s="33"/>
      <c r="F270" s="33"/>
      <c r="G270" s="33"/>
      <c r="H270" s="33"/>
      <c r="I270" s="148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148" t="s">
        <v>246</v>
      </c>
      <c r="Y270" s="33" t="s">
        <v>246</v>
      </c>
      <c r="Z270" s="33" t="s">
        <v>246</v>
      </c>
      <c r="AA270" s="33" t="s">
        <v>246</v>
      </c>
      <c r="AB270" s="6"/>
      <c r="AC270" s="6"/>
      <c r="AD270" s="35"/>
      <c r="AE270" s="6"/>
      <c r="AF270" s="6"/>
      <c r="AG270" s="35"/>
      <c r="AH270" s="35"/>
      <c r="AI270" s="35"/>
      <c r="AJ270" s="35"/>
      <c r="AK270" s="6"/>
      <c r="AL270" s="6"/>
      <c r="AM270" s="35"/>
      <c r="AN270" s="34"/>
      <c r="AO270" s="34"/>
      <c r="AP270" s="34"/>
      <c r="AQ270" s="35"/>
      <c r="AR270" s="35"/>
      <c r="AS270" s="35"/>
      <c r="AT270" s="6"/>
      <c r="AU270" s="6"/>
      <c r="AV270" s="35"/>
      <c r="AW270" s="6"/>
      <c r="AX270" s="6"/>
      <c r="AY270" s="35"/>
      <c r="AZ270" s="35"/>
      <c r="BA270" s="6"/>
      <c r="BB270" s="35"/>
      <c r="BC270" s="35"/>
      <c r="BD270" s="6"/>
      <c r="BE270" s="35"/>
      <c r="BF270" s="6"/>
      <c r="BG270" s="6"/>
      <c r="BH270" s="6"/>
      <c r="BI270" s="6"/>
      <c r="BJ270" s="6"/>
      <c r="BK270" s="6"/>
      <c r="BL270" s="35"/>
      <c r="BM270" s="35"/>
      <c r="BN270" s="6"/>
      <c r="BO270" s="35"/>
      <c r="BP270" s="35"/>
      <c r="BQ270" s="35"/>
      <c r="BR270" s="35"/>
      <c r="BS270" s="35"/>
      <c r="BT270" s="6"/>
      <c r="BU270" s="6"/>
      <c r="BV270" s="6"/>
      <c r="BW270" s="35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>
        <v>0</v>
      </c>
      <c r="CN270" s="6"/>
      <c r="CO270" s="6">
        <f t="shared" si="88"/>
        <v>0</v>
      </c>
      <c r="CP270" s="6">
        <v>157</v>
      </c>
      <c r="CQ270" s="6"/>
      <c r="CR270" s="6">
        <f t="shared" si="89"/>
        <v>157</v>
      </c>
      <c r="CS270" s="6">
        <v>392</v>
      </c>
      <c r="CT270" s="6"/>
      <c r="CU270" s="6">
        <f t="shared" si="90"/>
        <v>235</v>
      </c>
      <c r="CV270" s="6">
        <v>513</v>
      </c>
      <c r="CW270" s="6"/>
      <c r="CX270" s="6">
        <f t="shared" si="91"/>
        <v>121</v>
      </c>
      <c r="CY270" s="6"/>
      <c r="CZ270" s="6"/>
      <c r="DA270" s="6"/>
      <c r="DB270" s="6"/>
      <c r="DC270" s="6"/>
      <c r="DD270" s="6"/>
      <c r="DE270" s="6"/>
      <c r="DF270" s="10"/>
      <c r="DG270" s="6"/>
      <c r="DH270" s="6"/>
      <c r="DI270" s="10"/>
      <c r="DJ270" s="6"/>
      <c r="DK270" s="6"/>
      <c r="DL270" s="10"/>
      <c r="DM270" s="6"/>
    </row>
    <row r="271" spans="1:117">
      <c r="A271" s="6" t="s">
        <v>1</v>
      </c>
      <c r="B271" s="35"/>
      <c r="C271" s="35">
        <f>SUM(C5:C267)</f>
        <v>82607</v>
      </c>
      <c r="D271" s="35">
        <f>SUM(D5:D267)</f>
        <v>68671</v>
      </c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  <c r="AA271" s="142"/>
      <c r="AB271" s="35"/>
      <c r="AC271" s="35">
        <f>SUBTOTAL(9,AC4:AC267)</f>
        <v>63347</v>
      </c>
      <c r="AD271" s="35">
        <f>SUBTOTAL(9,AD4:AD267)</f>
        <v>79209</v>
      </c>
      <c r="AE271" s="35"/>
      <c r="AF271" s="35">
        <f>SUBTOTAL(9,AF4:AF267)</f>
        <v>86728</v>
      </c>
      <c r="AG271" s="35">
        <f>SUBTOTAL(9,AG4:AG267)</f>
        <v>74062</v>
      </c>
      <c r="AH271" s="35"/>
      <c r="AI271" s="35">
        <f>SUBTOTAL(9,AI4:AI267)</f>
        <v>74067</v>
      </c>
      <c r="AJ271" s="35">
        <f>SUBTOTAL(9,AJ4:AJ267)</f>
        <v>74330</v>
      </c>
      <c r="AK271" s="35"/>
      <c r="AL271" s="35">
        <f t="shared" ref="AL271:CL271" si="92">SUBTOTAL(9,AL4:AL268)</f>
        <v>67920</v>
      </c>
      <c r="AM271" s="35">
        <f>SUBTOTAL(9,AM4:AM268)</f>
        <v>70046</v>
      </c>
      <c r="AN271" s="35">
        <f t="shared" si="92"/>
        <v>0</v>
      </c>
      <c r="AO271" s="35">
        <f t="shared" si="92"/>
        <v>0</v>
      </c>
      <c r="AP271" s="35">
        <f t="shared" si="92"/>
        <v>0</v>
      </c>
      <c r="AQ271" s="35"/>
      <c r="AR271" s="35">
        <f t="shared" si="92"/>
        <v>70946</v>
      </c>
      <c r="AS271" s="35">
        <f>SUBTOTAL(9,AS4:AS268)</f>
        <v>75576</v>
      </c>
      <c r="AT271" s="35"/>
      <c r="AU271" s="35">
        <f t="shared" si="92"/>
        <v>77712</v>
      </c>
      <c r="AV271" s="35">
        <f t="shared" si="92"/>
        <v>74696</v>
      </c>
      <c r="AW271" s="35"/>
      <c r="AX271" s="35">
        <f t="shared" si="92"/>
        <v>61749</v>
      </c>
      <c r="AY271" s="35">
        <f t="shared" si="92"/>
        <v>74665</v>
      </c>
      <c r="AZ271" s="35"/>
      <c r="BA271" s="35">
        <f t="shared" si="92"/>
        <v>87147</v>
      </c>
      <c r="BB271" s="35">
        <f t="shared" si="92"/>
        <v>74532</v>
      </c>
      <c r="BC271" s="35"/>
      <c r="BD271" s="35">
        <f t="shared" si="92"/>
        <v>76088</v>
      </c>
      <c r="BE271" s="35">
        <f t="shared" si="92"/>
        <v>74004</v>
      </c>
      <c r="BF271" s="35"/>
      <c r="BG271" s="35">
        <f t="shared" si="92"/>
        <v>77086</v>
      </c>
      <c r="BH271" s="35">
        <f t="shared" si="92"/>
        <v>71995</v>
      </c>
      <c r="BI271" s="35"/>
      <c r="BJ271" s="35">
        <f t="shared" si="92"/>
        <v>0</v>
      </c>
      <c r="BK271" s="35">
        <f t="shared" si="92"/>
        <v>0</v>
      </c>
      <c r="BL271" s="35"/>
      <c r="BM271" s="35">
        <f t="shared" si="92"/>
        <v>60344</v>
      </c>
      <c r="BN271" s="35">
        <f t="shared" si="92"/>
        <v>76337</v>
      </c>
      <c r="BO271" s="35"/>
      <c r="BP271" s="35">
        <f t="shared" si="92"/>
        <v>75403</v>
      </c>
      <c r="BQ271" s="35">
        <f t="shared" si="92"/>
        <v>73485</v>
      </c>
      <c r="BR271" s="35"/>
      <c r="BS271" s="35">
        <f t="shared" si="92"/>
        <v>80351</v>
      </c>
      <c r="BT271" s="35">
        <f t="shared" si="92"/>
        <v>74329</v>
      </c>
      <c r="BU271" s="35"/>
      <c r="BV271" s="35">
        <f t="shared" si="92"/>
        <v>69990</v>
      </c>
      <c r="BW271" s="35">
        <f t="shared" si="92"/>
        <v>72303</v>
      </c>
      <c r="BX271" s="35"/>
      <c r="BY271" s="35">
        <f t="shared" si="92"/>
        <v>75025</v>
      </c>
      <c r="BZ271" s="35">
        <f t="shared" si="92"/>
        <v>74138</v>
      </c>
      <c r="CA271" s="35"/>
      <c r="CB271" s="35">
        <f t="shared" si="92"/>
        <v>87025</v>
      </c>
      <c r="CC271" s="35">
        <f t="shared" si="92"/>
        <v>70018</v>
      </c>
      <c r="CD271" s="35">
        <f t="shared" si="92"/>
        <v>0</v>
      </c>
      <c r="CE271" s="35">
        <f t="shared" si="92"/>
        <v>0</v>
      </c>
      <c r="CF271" s="35">
        <f t="shared" si="92"/>
        <v>0</v>
      </c>
      <c r="CG271" s="35"/>
      <c r="CH271" s="35">
        <f t="shared" si="92"/>
        <v>57775</v>
      </c>
      <c r="CI271" s="35">
        <f t="shared" si="92"/>
        <v>75672</v>
      </c>
      <c r="CJ271" s="35"/>
      <c r="CK271" s="35">
        <f t="shared" si="92"/>
        <v>67357</v>
      </c>
      <c r="CL271" s="35">
        <f t="shared" si="92"/>
        <v>74129</v>
      </c>
      <c r="CM271" s="35"/>
      <c r="CN271" s="35">
        <f>SUBTOTAL(9,CN4:CN270)</f>
        <v>77383</v>
      </c>
      <c r="CO271" s="35">
        <f t="shared" ref="CO271:DM271" si="93">SUBTOTAL(9,CO4:CO270)</f>
        <v>72870</v>
      </c>
      <c r="CP271" s="35"/>
      <c r="CQ271" s="35">
        <f>SUBTOTAL(9,CQ4:CQ270)</f>
        <v>76079</v>
      </c>
      <c r="CR271" s="35">
        <f t="shared" si="93"/>
        <v>73988</v>
      </c>
      <c r="CS271" s="35"/>
      <c r="CT271" s="35">
        <f t="shared" si="93"/>
        <v>74245</v>
      </c>
      <c r="CU271" s="35">
        <f>SUBTOTAL(9,CU4:CU270)</f>
        <v>74177</v>
      </c>
      <c r="CV271" s="35">
        <f>SUBTOTAL(9,CV4:CV270)</f>
        <v>147684</v>
      </c>
      <c r="CW271" s="35">
        <f>SUBTOTAL(9,CW4:CW270)</f>
        <v>37795</v>
      </c>
      <c r="CX271" s="35">
        <f>SUBTOTAL(9,CX4:CX270)</f>
        <v>40073</v>
      </c>
      <c r="CY271" s="35">
        <f t="shared" si="93"/>
        <v>0</v>
      </c>
      <c r="CZ271" s="35">
        <f t="shared" si="93"/>
        <v>0</v>
      </c>
      <c r="DA271" s="35">
        <f t="shared" si="93"/>
        <v>0</v>
      </c>
      <c r="DB271" s="35">
        <f t="shared" si="93"/>
        <v>0</v>
      </c>
      <c r="DC271" s="35">
        <f t="shared" si="93"/>
        <v>0</v>
      </c>
      <c r="DD271" s="35">
        <f t="shared" si="93"/>
        <v>0</v>
      </c>
      <c r="DE271" s="35">
        <f t="shared" si="93"/>
        <v>0</v>
      </c>
      <c r="DF271" s="35">
        <f t="shared" si="93"/>
        <v>0</v>
      </c>
      <c r="DG271" s="35">
        <f t="shared" si="93"/>
        <v>0</v>
      </c>
      <c r="DH271" s="35">
        <f t="shared" si="93"/>
        <v>0</v>
      </c>
      <c r="DI271" s="35">
        <f t="shared" si="93"/>
        <v>0</v>
      </c>
      <c r="DJ271" s="35">
        <f t="shared" si="93"/>
        <v>0</v>
      </c>
      <c r="DK271" s="35">
        <f t="shared" si="93"/>
        <v>0</v>
      </c>
      <c r="DL271" s="35">
        <f t="shared" si="93"/>
        <v>0</v>
      </c>
      <c r="DM271" s="35">
        <f t="shared" si="93"/>
        <v>0</v>
      </c>
    </row>
    <row r="272" spans="1:117">
      <c r="A272" s="5"/>
      <c r="B272" s="29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N272" s="29"/>
      <c r="AZ272" s="29"/>
      <c r="BB272" s="29"/>
      <c r="BC272" s="29"/>
      <c r="BF272" s="29"/>
      <c r="BG272" s="29"/>
      <c r="BH272" s="29"/>
      <c r="BR272" s="29"/>
      <c r="BS272" s="29"/>
      <c r="BT272" s="29"/>
      <c r="BU272" s="29"/>
      <c r="BV272" s="29"/>
      <c r="BW272" s="29"/>
      <c r="BY272" s="29"/>
      <c r="BZ272" s="29"/>
      <c r="CA272" s="29"/>
      <c r="CB272" s="29"/>
      <c r="CC272" s="29"/>
      <c r="CE272" s="29"/>
      <c r="CF272" s="29"/>
      <c r="CI272" s="29"/>
      <c r="CK272" s="29"/>
      <c r="CL272" s="29"/>
      <c r="CN272" s="29"/>
      <c r="CO272" s="29"/>
      <c r="CQ272" s="29"/>
      <c r="CR272" s="29"/>
      <c r="CW272" s="29"/>
      <c r="CX272" s="29"/>
    </row>
    <row r="273" spans="1:119">
      <c r="A273" s="5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J273" s="29"/>
      <c r="BE273" s="29"/>
      <c r="BF273" s="29"/>
      <c r="BK273" s="29"/>
      <c r="BS273" s="29"/>
      <c r="BT273" s="29"/>
      <c r="BV273" s="29"/>
      <c r="BW273" s="29"/>
      <c r="BY273" s="29"/>
      <c r="BZ273" s="29"/>
      <c r="CB273" s="29"/>
      <c r="CC273" s="29"/>
      <c r="CF273" s="29"/>
      <c r="CL273" s="29"/>
    </row>
    <row r="274" spans="1:119">
      <c r="B274" s="9"/>
      <c r="AB274" s="9" t="s">
        <v>258</v>
      </c>
      <c r="AE274" s="9" t="s">
        <v>259</v>
      </c>
      <c r="AH274" s="9" t="s">
        <v>260</v>
      </c>
      <c r="AK274" s="9" t="s">
        <v>261</v>
      </c>
      <c r="AN274" s="9" t="s">
        <v>262</v>
      </c>
      <c r="AQ274" s="9" t="s">
        <v>263</v>
      </c>
      <c r="AT274" s="4" t="s">
        <v>264</v>
      </c>
      <c r="AW274" s="9" t="s">
        <v>265</v>
      </c>
      <c r="AZ274" s="9" t="s">
        <v>266</v>
      </c>
      <c r="BC274" s="9" t="s">
        <v>267</v>
      </c>
      <c r="BF274" s="9" t="s">
        <v>268</v>
      </c>
      <c r="BI274" s="9" t="s">
        <v>269</v>
      </c>
      <c r="BL274" s="9" t="s">
        <v>270</v>
      </c>
      <c r="BO274" s="9" t="s">
        <v>271</v>
      </c>
      <c r="BR274" s="9" t="s">
        <v>272</v>
      </c>
      <c r="BU274" s="9" t="s">
        <v>273</v>
      </c>
      <c r="BX274" s="9" t="s">
        <v>274</v>
      </c>
      <c r="CA274" s="9" t="s">
        <v>275</v>
      </c>
      <c r="CD274" s="9" t="s">
        <v>276</v>
      </c>
      <c r="CG274" s="9" t="s">
        <v>277</v>
      </c>
      <c r="CJ274" s="9" t="s">
        <v>278</v>
      </c>
      <c r="CM274" s="9" t="s">
        <v>279</v>
      </c>
      <c r="CP274" s="9" t="s">
        <v>280</v>
      </c>
      <c r="CS274" s="9" t="s">
        <v>281</v>
      </c>
      <c r="CV274" s="9" t="s">
        <v>282</v>
      </c>
      <c r="CY274" s="9" t="s">
        <v>283</v>
      </c>
      <c r="DB274" s="4" t="s">
        <v>284</v>
      </c>
      <c r="DD274" s="9"/>
      <c r="DE274" s="4" t="s">
        <v>285</v>
      </c>
      <c r="DG274" s="9"/>
      <c r="DH274" s="4" t="s">
        <v>286</v>
      </c>
      <c r="DJ274" s="9"/>
      <c r="DK274" s="4" t="s">
        <v>287</v>
      </c>
      <c r="DM274" s="9"/>
    </row>
    <row r="275" spans="1:119" s="4" customFormat="1">
      <c r="A275" s="23"/>
      <c r="B275" s="24"/>
      <c r="C275" s="24"/>
      <c r="D275" s="2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24" t="s">
        <v>41</v>
      </c>
      <c r="AC275" s="24" t="s">
        <v>4</v>
      </c>
      <c r="AD275" s="24" t="s">
        <v>2</v>
      </c>
      <c r="AE275" s="24" t="s">
        <v>41</v>
      </c>
      <c r="AF275" s="24" t="s">
        <v>4</v>
      </c>
      <c r="AG275" s="24" t="s">
        <v>2</v>
      </c>
      <c r="AH275" s="24" t="s">
        <v>41</v>
      </c>
      <c r="AI275" s="24" t="s">
        <v>4</v>
      </c>
      <c r="AJ275" s="24" t="s">
        <v>2</v>
      </c>
      <c r="AK275" s="24" t="s">
        <v>41</v>
      </c>
      <c r="AL275" s="24" t="s">
        <v>4</v>
      </c>
      <c r="AM275" s="24" t="s">
        <v>2</v>
      </c>
      <c r="AN275" s="24" t="s">
        <v>41</v>
      </c>
      <c r="AO275" s="24" t="s">
        <v>4</v>
      </c>
      <c r="AP275" s="24" t="s">
        <v>2</v>
      </c>
      <c r="AQ275" s="24" t="s">
        <v>41</v>
      </c>
      <c r="AR275" s="24" t="s">
        <v>4</v>
      </c>
      <c r="AS275" s="24" t="s">
        <v>2</v>
      </c>
      <c r="AT275" s="24" t="s">
        <v>41</v>
      </c>
      <c r="AU275" s="24" t="s">
        <v>4</v>
      </c>
      <c r="AV275" s="24" t="s">
        <v>2</v>
      </c>
      <c r="AW275" s="24" t="s">
        <v>41</v>
      </c>
      <c r="AX275" s="24" t="s">
        <v>4</v>
      </c>
      <c r="AY275" s="24" t="s">
        <v>2</v>
      </c>
      <c r="AZ275" s="24" t="s">
        <v>41</v>
      </c>
      <c r="BA275" s="24" t="s">
        <v>4</v>
      </c>
      <c r="BB275" s="24" t="s">
        <v>2</v>
      </c>
      <c r="BC275" s="24" t="s">
        <v>41</v>
      </c>
      <c r="BD275" s="24" t="s">
        <v>4</v>
      </c>
      <c r="BE275" s="24" t="s">
        <v>2</v>
      </c>
      <c r="BF275" s="24" t="s">
        <v>41</v>
      </c>
      <c r="BG275" s="24" t="s">
        <v>4</v>
      </c>
      <c r="BH275" s="24" t="s">
        <v>2</v>
      </c>
      <c r="BI275" s="24" t="s">
        <v>41</v>
      </c>
      <c r="BJ275" s="24" t="s">
        <v>4</v>
      </c>
      <c r="BK275" s="24" t="s">
        <v>2</v>
      </c>
      <c r="BL275" s="24" t="s">
        <v>41</v>
      </c>
      <c r="BM275" s="24" t="s">
        <v>4</v>
      </c>
      <c r="BN275" s="24" t="s">
        <v>2</v>
      </c>
      <c r="BO275" s="24" t="s">
        <v>41</v>
      </c>
      <c r="BP275" s="24" t="s">
        <v>4</v>
      </c>
      <c r="BQ275" s="24" t="s">
        <v>2</v>
      </c>
      <c r="BR275" s="24" t="s">
        <v>41</v>
      </c>
      <c r="BS275" s="24" t="s">
        <v>4</v>
      </c>
      <c r="BT275" s="24" t="s">
        <v>2</v>
      </c>
      <c r="BU275" s="24" t="s">
        <v>41</v>
      </c>
      <c r="BV275" s="24" t="s">
        <v>4</v>
      </c>
      <c r="BW275" s="24" t="s">
        <v>2</v>
      </c>
      <c r="BX275" s="24" t="s">
        <v>41</v>
      </c>
      <c r="BY275" s="24" t="s">
        <v>4</v>
      </c>
      <c r="BZ275" s="24" t="s">
        <v>2</v>
      </c>
      <c r="CA275" s="24" t="s">
        <v>41</v>
      </c>
      <c r="CB275" s="24" t="s">
        <v>4</v>
      </c>
      <c r="CC275" s="24" t="s">
        <v>2</v>
      </c>
      <c r="CD275" s="24" t="s">
        <v>41</v>
      </c>
      <c r="CE275" s="24" t="s">
        <v>4</v>
      </c>
      <c r="CF275" s="24" t="s">
        <v>2</v>
      </c>
      <c r="CG275" s="24" t="s">
        <v>41</v>
      </c>
      <c r="CH275" s="24" t="s">
        <v>4</v>
      </c>
      <c r="CI275" s="24" t="s">
        <v>2</v>
      </c>
      <c r="CJ275" s="24" t="s">
        <v>41</v>
      </c>
      <c r="CK275" s="24" t="s">
        <v>4</v>
      </c>
      <c r="CL275" s="24" t="s">
        <v>2</v>
      </c>
      <c r="CM275" s="24" t="s">
        <v>41</v>
      </c>
      <c r="CN275" s="24" t="s">
        <v>4</v>
      </c>
      <c r="CO275" s="24" t="s">
        <v>2</v>
      </c>
      <c r="CP275" s="24" t="s">
        <v>41</v>
      </c>
      <c r="CQ275" s="24" t="s">
        <v>4</v>
      </c>
      <c r="CR275" s="24" t="s">
        <v>2</v>
      </c>
      <c r="CS275" s="24" t="s">
        <v>41</v>
      </c>
      <c r="CT275" s="24" t="s">
        <v>4</v>
      </c>
      <c r="CU275" s="24" t="s">
        <v>2</v>
      </c>
      <c r="CV275" s="24" t="s">
        <v>41</v>
      </c>
      <c r="CW275" s="24" t="s">
        <v>4</v>
      </c>
      <c r="CX275" s="24" t="s">
        <v>2</v>
      </c>
      <c r="CY275" s="24" t="s">
        <v>41</v>
      </c>
      <c r="CZ275" s="24" t="s">
        <v>4</v>
      </c>
      <c r="DA275" s="24" t="s">
        <v>2</v>
      </c>
      <c r="DB275" s="24" t="s">
        <v>41</v>
      </c>
      <c r="DC275" s="24" t="s">
        <v>4</v>
      </c>
      <c r="DD275" s="24" t="s">
        <v>2</v>
      </c>
      <c r="DE275" s="24" t="s">
        <v>41</v>
      </c>
      <c r="DF275" s="24" t="s">
        <v>4</v>
      </c>
      <c r="DG275" s="24" t="s">
        <v>2</v>
      </c>
      <c r="DH275" s="24" t="s">
        <v>41</v>
      </c>
      <c r="DI275" s="24" t="s">
        <v>4</v>
      </c>
      <c r="DJ275" s="24" t="s">
        <v>2</v>
      </c>
      <c r="DK275" s="24" t="s">
        <v>41</v>
      </c>
      <c r="DL275" s="24" t="s">
        <v>4</v>
      </c>
      <c r="DM275" s="24" t="s">
        <v>2</v>
      </c>
    </row>
    <row r="276" spans="1:119" s="4" customFormat="1" ht="16.5" customHeight="1">
      <c r="A276" s="73" t="s">
        <v>143</v>
      </c>
      <c r="B276" s="25"/>
      <c r="C276" s="25"/>
      <c r="D276" s="2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  <c r="AB276" s="25">
        <v>94</v>
      </c>
      <c r="AC276" s="25">
        <v>26552</v>
      </c>
      <c r="AD276" s="25">
        <v>37518</v>
      </c>
      <c r="AE276" s="25">
        <v>94</v>
      </c>
      <c r="AF276" s="25">
        <v>35057</v>
      </c>
      <c r="AG276" s="25">
        <v>35451</v>
      </c>
      <c r="AH276" s="25">
        <v>94</v>
      </c>
      <c r="AI276" s="25">
        <v>35557</v>
      </c>
      <c r="AJ276" s="25">
        <v>35688</v>
      </c>
      <c r="AK276" s="25">
        <v>94</v>
      </c>
      <c r="AL276" s="25">
        <v>39786</v>
      </c>
      <c r="AM276" s="25">
        <v>33278</v>
      </c>
      <c r="AN276" s="25"/>
      <c r="AO276" s="25"/>
      <c r="AP276" s="25"/>
      <c r="AQ276" s="25">
        <v>94</v>
      </c>
      <c r="AR276" s="25">
        <v>34922</v>
      </c>
      <c r="AS276" s="25">
        <v>35799</v>
      </c>
      <c r="AT276" s="25">
        <v>94</v>
      </c>
      <c r="AU276" s="25">
        <v>33603</v>
      </c>
      <c r="AV276" s="25">
        <v>35566</v>
      </c>
      <c r="AW276" s="25">
        <v>94</v>
      </c>
      <c r="AX276" s="25">
        <v>29275</v>
      </c>
      <c r="AY276" s="25">
        <v>35800</v>
      </c>
      <c r="AZ276" s="25">
        <v>94</v>
      </c>
      <c r="BA276" s="25">
        <v>42824</v>
      </c>
      <c r="BB276" s="25">
        <v>36016</v>
      </c>
      <c r="BC276" s="25">
        <v>94</v>
      </c>
      <c r="BD276" s="25">
        <v>37026</v>
      </c>
      <c r="BE276" s="25">
        <v>35176</v>
      </c>
      <c r="BF276" s="25">
        <v>93</v>
      </c>
      <c r="BG276" s="25">
        <f>1962+35174</f>
        <v>37136</v>
      </c>
      <c r="BH276" s="25">
        <f>81+33973</f>
        <v>34054</v>
      </c>
      <c r="BI276" s="25"/>
      <c r="BJ276" s="25"/>
      <c r="BK276" s="25"/>
      <c r="BL276" s="25">
        <v>93</v>
      </c>
      <c r="BM276" s="25">
        <v>25340</v>
      </c>
      <c r="BN276" s="25">
        <v>35952</v>
      </c>
      <c r="BO276" s="25">
        <v>92</v>
      </c>
      <c r="BP276" s="25">
        <v>40038</v>
      </c>
      <c r="BQ276" s="25">
        <v>34343</v>
      </c>
      <c r="BR276" s="25">
        <v>87</v>
      </c>
      <c r="BS276" s="25">
        <f>29903+786+1919</f>
        <v>32608</v>
      </c>
      <c r="BT276" s="25">
        <f>32919+7+69</f>
        <v>32995</v>
      </c>
      <c r="BU276" s="25">
        <v>77</v>
      </c>
      <c r="BV276" s="25">
        <v>37962</v>
      </c>
      <c r="BW276" s="25">
        <v>28420</v>
      </c>
      <c r="BX276" s="25">
        <v>73</v>
      </c>
      <c r="BY276" s="25">
        <v>31095</v>
      </c>
      <c r="BZ276" s="25">
        <v>28083</v>
      </c>
      <c r="CA276" s="91">
        <v>70</v>
      </c>
      <c r="CB276" s="91">
        <f>43410+1629</f>
        <v>45039</v>
      </c>
      <c r="CC276" s="91">
        <f>24424+51</f>
        <v>24475</v>
      </c>
      <c r="CD276" s="25"/>
      <c r="CE276" s="25"/>
      <c r="CF276" s="25"/>
      <c r="CG276" s="25">
        <v>57</v>
      </c>
      <c r="CH276" s="25">
        <v>13269</v>
      </c>
      <c r="CI276" s="25">
        <v>22341</v>
      </c>
      <c r="CJ276" s="25">
        <v>55</v>
      </c>
      <c r="CK276" s="25">
        <v>15146</v>
      </c>
      <c r="CL276" s="25">
        <v>21100</v>
      </c>
      <c r="CM276" s="25">
        <v>56</v>
      </c>
      <c r="CN276" s="25">
        <v>30347</v>
      </c>
      <c r="CO276" s="25">
        <v>20730</v>
      </c>
      <c r="CP276" s="25">
        <v>53</v>
      </c>
      <c r="CQ276" s="25">
        <v>22569</v>
      </c>
      <c r="CR276" s="25">
        <v>19160</v>
      </c>
      <c r="CS276" s="25">
        <v>50</v>
      </c>
      <c r="CT276" s="25">
        <f>19063+875</f>
        <v>19938</v>
      </c>
      <c r="CU276" s="25">
        <f>18076+12</f>
        <v>18088</v>
      </c>
      <c r="CV276" s="25">
        <v>50</v>
      </c>
      <c r="CW276" s="25">
        <v>10214</v>
      </c>
      <c r="CX276" s="25">
        <v>9710</v>
      </c>
      <c r="CY276" s="25"/>
      <c r="CZ276" s="25"/>
      <c r="DA276" s="25"/>
      <c r="DB276" s="25"/>
      <c r="DC276" s="25"/>
      <c r="DD276" s="25"/>
      <c r="DE276" s="25"/>
      <c r="DF276" s="25"/>
      <c r="DG276" s="25"/>
      <c r="DH276" s="25"/>
      <c r="DI276" s="25"/>
      <c r="DJ276" s="25"/>
      <c r="DK276" s="25"/>
      <c r="DL276" s="25"/>
      <c r="DM276" s="25"/>
    </row>
    <row r="277" spans="1:119" s="28" customFormat="1">
      <c r="A277" s="74" t="s">
        <v>146</v>
      </c>
      <c r="B277" s="27"/>
      <c r="C277" s="27"/>
      <c r="D277" s="27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27">
        <v>56</v>
      </c>
      <c r="AC277" s="27">
        <v>16840</v>
      </c>
      <c r="AD277" s="27">
        <v>22004</v>
      </c>
      <c r="AE277" s="27">
        <v>56</v>
      </c>
      <c r="AF277" s="27">
        <v>39160</v>
      </c>
      <c r="AG277" s="27">
        <v>20358</v>
      </c>
      <c r="AH277" s="27">
        <v>56</v>
      </c>
      <c r="AI277" s="27">
        <v>15288</v>
      </c>
      <c r="AJ277" s="27">
        <v>20385</v>
      </c>
      <c r="AK277" s="27">
        <v>56</v>
      </c>
      <c r="AL277" s="27">
        <v>7404</v>
      </c>
      <c r="AM277" s="27">
        <v>19780</v>
      </c>
      <c r="AN277" s="27"/>
      <c r="AO277" s="27"/>
      <c r="AP277" s="27"/>
      <c r="AQ277" s="27">
        <v>56</v>
      </c>
      <c r="AR277" s="27">
        <v>19595</v>
      </c>
      <c r="AS277" s="27">
        <v>21470</v>
      </c>
      <c r="AT277" s="27">
        <v>56</v>
      </c>
      <c r="AU277" s="27">
        <v>34808</v>
      </c>
      <c r="AV277" s="27">
        <v>21070</v>
      </c>
      <c r="AW277" s="27">
        <v>56</v>
      </c>
      <c r="AX277" s="27">
        <v>12640</v>
      </c>
      <c r="AY277" s="27">
        <v>21329</v>
      </c>
      <c r="AZ277" s="76">
        <v>56</v>
      </c>
      <c r="BA277" s="76">
        <v>20273</v>
      </c>
      <c r="BB277" s="76">
        <v>20556</v>
      </c>
      <c r="BC277" s="27">
        <v>56</v>
      </c>
      <c r="BD277" s="27">
        <v>21999</v>
      </c>
      <c r="BE277" s="27">
        <v>21122</v>
      </c>
      <c r="BF277" s="27">
        <v>56</v>
      </c>
      <c r="BG277" s="27">
        <v>28848</v>
      </c>
      <c r="BH277" s="27">
        <v>20455</v>
      </c>
      <c r="BI277" s="27"/>
      <c r="BJ277" s="27"/>
      <c r="BK277" s="27"/>
      <c r="BL277" s="27">
        <v>56</v>
      </c>
      <c r="BM277" s="27">
        <v>12003</v>
      </c>
      <c r="BN277" s="27">
        <v>21749</v>
      </c>
      <c r="BO277" s="27">
        <v>56</v>
      </c>
      <c r="BP277" s="27">
        <v>18789</v>
      </c>
      <c r="BQ277" s="27">
        <v>21072</v>
      </c>
      <c r="BR277" s="27">
        <v>60</v>
      </c>
      <c r="BS277" s="27">
        <v>23896</v>
      </c>
      <c r="BT277" s="27">
        <v>22781</v>
      </c>
      <c r="BU277" s="27">
        <v>69</v>
      </c>
      <c r="BV277" s="27">
        <v>19252</v>
      </c>
      <c r="BW277" s="27">
        <v>25563</v>
      </c>
      <c r="BX277" s="27">
        <v>65</v>
      </c>
      <c r="BY277" s="27">
        <v>26474</v>
      </c>
      <c r="BZ277" s="27">
        <v>24902</v>
      </c>
      <c r="CA277" s="27">
        <v>62</v>
      </c>
      <c r="CB277" s="27">
        <f>21204+1059</f>
        <v>22263</v>
      </c>
      <c r="CC277" s="27">
        <f>22476+55</f>
        <v>22531</v>
      </c>
      <c r="CD277" s="27"/>
      <c r="CE277" s="27"/>
      <c r="CF277" s="27"/>
      <c r="CG277" s="27">
        <v>61</v>
      </c>
      <c r="CH277" s="27">
        <v>24854</v>
      </c>
      <c r="CI277" s="27">
        <v>23922</v>
      </c>
      <c r="CJ277" s="179">
        <v>60</v>
      </c>
      <c r="CK277" s="27">
        <v>31847</v>
      </c>
      <c r="CL277" s="27">
        <v>22899</v>
      </c>
      <c r="CM277" s="27">
        <v>53</v>
      </c>
      <c r="CN277" s="27">
        <v>19650</v>
      </c>
      <c r="CO277" s="27">
        <v>20293</v>
      </c>
      <c r="CP277" s="25">
        <v>51</v>
      </c>
      <c r="CQ277" s="27">
        <v>22147</v>
      </c>
      <c r="CR277" s="25">
        <v>19642</v>
      </c>
      <c r="CS277" s="27">
        <v>48</v>
      </c>
      <c r="CT277" s="27">
        <f>18153+3227</f>
        <v>21380</v>
      </c>
      <c r="CU277" s="27">
        <f>18431+113+104</f>
        <v>18648</v>
      </c>
      <c r="CV277" s="27">
        <v>46</v>
      </c>
      <c r="CW277" s="27">
        <v>13266</v>
      </c>
      <c r="CX277" s="27">
        <v>9562</v>
      </c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</row>
    <row r="278" spans="1:119" s="28" customFormat="1">
      <c r="A278" s="74" t="s">
        <v>312</v>
      </c>
      <c r="B278" s="27"/>
      <c r="C278" s="27"/>
      <c r="D278" s="27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76"/>
      <c r="BA278" s="76"/>
      <c r="BB278" s="76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>
        <v>2</v>
      </c>
      <c r="BV278" s="27"/>
      <c r="BW278" s="27">
        <v>507</v>
      </c>
      <c r="BX278" s="27">
        <v>10</v>
      </c>
      <c r="BY278" s="27">
        <v>196</v>
      </c>
      <c r="BZ278" s="27">
        <v>3312</v>
      </c>
      <c r="CA278" s="27">
        <v>18</v>
      </c>
      <c r="CB278" s="27">
        <v>332</v>
      </c>
      <c r="CC278" s="27">
        <v>6210</v>
      </c>
      <c r="CD278" s="27"/>
      <c r="CE278" s="27"/>
      <c r="CF278" s="27"/>
      <c r="CG278" s="27">
        <v>27</v>
      </c>
      <c r="CH278" s="27">
        <v>1067</v>
      </c>
      <c r="CI278" s="27">
        <v>10174</v>
      </c>
      <c r="CJ278" s="179">
        <v>28</v>
      </c>
      <c r="CK278" s="27">
        <v>5078</v>
      </c>
      <c r="CL278" s="27">
        <v>10846</v>
      </c>
      <c r="CM278" s="27">
        <v>35</v>
      </c>
      <c r="CN278" s="27">
        <v>9466</v>
      </c>
      <c r="CO278" s="27">
        <v>12830</v>
      </c>
      <c r="CP278" s="25">
        <v>40</v>
      </c>
      <c r="CQ278" s="27">
        <v>15399</v>
      </c>
      <c r="CR278" s="25">
        <v>15231</v>
      </c>
      <c r="CS278" s="27">
        <v>46</v>
      </c>
      <c r="CT278" s="27">
        <v>13756</v>
      </c>
      <c r="CU278" s="27">
        <v>17565</v>
      </c>
      <c r="CV278" s="27">
        <v>50</v>
      </c>
      <c r="CW278" s="27">
        <v>3399</v>
      </c>
      <c r="CX278" s="27">
        <v>10229</v>
      </c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</row>
    <row r="279" spans="1:119" s="4" customFormat="1">
      <c r="A279" s="74" t="s">
        <v>150</v>
      </c>
      <c r="B279" s="25"/>
      <c r="C279" s="25"/>
      <c r="D279" s="25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69">
        <v>24</v>
      </c>
      <c r="AC279" s="69">
        <v>9427</v>
      </c>
      <c r="AD279" s="69">
        <v>8670</v>
      </c>
      <c r="AE279" s="69">
        <v>24</v>
      </c>
      <c r="AF279" s="69">
        <v>2960</v>
      </c>
      <c r="AG279" s="69">
        <v>8182</v>
      </c>
      <c r="AH279" s="68">
        <v>24</v>
      </c>
      <c r="AI279" s="68">
        <v>11604</v>
      </c>
      <c r="AJ279" s="68">
        <v>8073</v>
      </c>
      <c r="AK279" s="70">
        <v>24</v>
      </c>
      <c r="AL279" s="70">
        <v>11025</v>
      </c>
      <c r="AM279" s="70">
        <v>7321</v>
      </c>
      <c r="AN279" s="70"/>
      <c r="AO279" s="25"/>
      <c r="AP279" s="25"/>
      <c r="AQ279" s="71">
        <v>24</v>
      </c>
      <c r="AR279" s="71">
        <v>5729</v>
      </c>
      <c r="AS279" s="71">
        <v>7820</v>
      </c>
      <c r="AT279" s="72">
        <v>24</v>
      </c>
      <c r="AU279" s="72">
        <v>2400</v>
      </c>
      <c r="AV279" s="72">
        <v>8153</v>
      </c>
      <c r="AW279" s="75">
        <v>24</v>
      </c>
      <c r="AX279" s="75">
        <v>11711</v>
      </c>
      <c r="AY279" s="174">
        <v>7854</v>
      </c>
      <c r="AZ279" s="76">
        <v>24</v>
      </c>
      <c r="BA279" s="76">
        <v>8390</v>
      </c>
      <c r="BB279" s="76">
        <v>8204</v>
      </c>
      <c r="BC279" s="25">
        <v>24</v>
      </c>
      <c r="BD279" s="25">
        <v>6715</v>
      </c>
      <c r="BE279" s="25">
        <v>8042</v>
      </c>
      <c r="BF279" s="25">
        <v>24</v>
      </c>
      <c r="BG279" s="25">
        <v>5990</v>
      </c>
      <c r="BH279" s="25">
        <v>7971</v>
      </c>
      <c r="BI279" s="25"/>
      <c r="BJ279" s="25"/>
      <c r="BK279" s="25"/>
      <c r="BL279" s="25">
        <v>24</v>
      </c>
      <c r="BM279" s="25">
        <v>12000</v>
      </c>
      <c r="BN279" s="25">
        <v>8412</v>
      </c>
      <c r="BO279" s="25">
        <v>24</v>
      </c>
      <c r="BP279" s="25">
        <v>6000</v>
      </c>
      <c r="BQ279" s="25">
        <v>8075</v>
      </c>
      <c r="BR279" s="25">
        <v>24</v>
      </c>
      <c r="BS279" s="25">
        <v>7746</v>
      </c>
      <c r="BT279" s="25">
        <v>8066</v>
      </c>
      <c r="BU279" s="25">
        <v>24</v>
      </c>
      <c r="BV279" s="25">
        <v>7081</v>
      </c>
      <c r="BW279" s="25">
        <v>8097</v>
      </c>
      <c r="BX279" s="25">
        <v>24</v>
      </c>
      <c r="BY279" s="25">
        <v>11763</v>
      </c>
      <c r="BZ279" s="25">
        <v>7932</v>
      </c>
      <c r="CA279" s="25">
        <v>22</v>
      </c>
      <c r="CB279" s="25">
        <v>8887</v>
      </c>
      <c r="CC279" s="25">
        <v>7149</v>
      </c>
      <c r="CD279" s="25"/>
      <c r="CE279" s="25"/>
      <c r="CF279" s="25"/>
      <c r="CG279" s="25">
        <v>22</v>
      </c>
      <c r="CH279" s="25">
        <v>5592</v>
      </c>
      <c r="CI279" s="25">
        <v>7497</v>
      </c>
      <c r="CJ279" s="25">
        <v>22</v>
      </c>
      <c r="CK279" s="25">
        <v>8064</v>
      </c>
      <c r="CL279" s="25">
        <v>6888</v>
      </c>
      <c r="CM279" s="25">
        <v>22</v>
      </c>
      <c r="CN279" s="25">
        <v>4449</v>
      </c>
      <c r="CO279" s="25">
        <v>7190</v>
      </c>
      <c r="CP279" s="25">
        <v>21</v>
      </c>
      <c r="CQ279" s="25">
        <v>9364</v>
      </c>
      <c r="CR279" s="25">
        <v>7276</v>
      </c>
      <c r="CS279" s="25">
        <v>21</v>
      </c>
      <c r="CT279" s="25">
        <v>6691</v>
      </c>
      <c r="CU279" s="25">
        <v>6998</v>
      </c>
      <c r="CV279" s="25">
        <v>19</v>
      </c>
      <c r="CW279" s="25">
        <f>1102+3514</f>
        <v>4616</v>
      </c>
      <c r="CX279" s="25">
        <f>72+3445</f>
        <v>3517</v>
      </c>
      <c r="CY279" s="25"/>
      <c r="CZ279" s="25"/>
      <c r="DA279" s="25"/>
      <c r="DB279" s="25"/>
      <c r="DC279" s="25"/>
      <c r="DD279" s="25"/>
      <c r="DE279" s="25"/>
      <c r="DF279" s="25"/>
      <c r="DG279" s="25"/>
      <c r="DH279" s="25"/>
      <c r="DI279" s="25"/>
      <c r="DJ279" s="25"/>
      <c r="DK279" s="25"/>
      <c r="DL279" s="25"/>
      <c r="DM279" s="25"/>
      <c r="DN279" s="29"/>
      <c r="DO279" s="29"/>
    </row>
    <row r="280" spans="1:119" s="4" customFormat="1">
      <c r="A280" s="74" t="s">
        <v>323</v>
      </c>
      <c r="B280" s="25"/>
      <c r="C280" s="25"/>
      <c r="D280" s="25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69"/>
      <c r="AC280" s="69"/>
      <c r="AD280" s="69"/>
      <c r="AE280" s="69"/>
      <c r="AF280" s="69"/>
      <c r="AG280" s="69"/>
      <c r="AH280" s="68"/>
      <c r="AI280" s="68"/>
      <c r="AJ280" s="68"/>
      <c r="AK280" s="70"/>
      <c r="AL280" s="70"/>
      <c r="AM280" s="70"/>
      <c r="AN280" s="70"/>
      <c r="AO280" s="25"/>
      <c r="AP280" s="25"/>
      <c r="AQ280" s="71"/>
      <c r="AR280" s="71"/>
      <c r="AS280" s="71"/>
      <c r="AT280" s="72"/>
      <c r="AU280" s="72"/>
      <c r="AV280" s="72"/>
      <c r="AW280" s="75"/>
      <c r="AX280" s="75"/>
      <c r="AY280" s="174"/>
      <c r="AZ280" s="76"/>
      <c r="BA280" s="76"/>
      <c r="BB280" s="76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>
        <v>1</v>
      </c>
      <c r="CQ280" s="25"/>
      <c r="CR280" s="25">
        <v>215</v>
      </c>
      <c r="CS280" s="25">
        <v>1</v>
      </c>
      <c r="CT280" s="25"/>
      <c r="CU280" s="25">
        <v>342</v>
      </c>
      <c r="CV280" s="25">
        <v>1</v>
      </c>
      <c r="CW280" s="25"/>
      <c r="CX280" s="25">
        <v>180</v>
      </c>
      <c r="CY280" s="25"/>
      <c r="CZ280" s="25"/>
      <c r="DA280" s="25"/>
      <c r="DB280" s="25"/>
      <c r="DC280" s="25"/>
      <c r="DD280" s="25"/>
      <c r="DE280" s="25"/>
      <c r="DF280" s="25"/>
      <c r="DG280" s="25"/>
      <c r="DH280" s="25"/>
      <c r="DI280" s="25"/>
      <c r="DJ280" s="25"/>
      <c r="DK280" s="25"/>
      <c r="DL280" s="25"/>
      <c r="DM280" s="25"/>
      <c r="DN280" s="29"/>
      <c r="DO280" s="29"/>
    </row>
    <row r="281" spans="1:119" s="4" customFormat="1">
      <c r="A281" s="74" t="s">
        <v>303</v>
      </c>
      <c r="B281" s="25"/>
      <c r="C281" s="25"/>
      <c r="D281" s="25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69"/>
      <c r="AC281" s="69"/>
      <c r="AD281" s="69"/>
      <c r="AE281" s="69"/>
      <c r="AF281" s="69"/>
      <c r="AG281" s="69"/>
      <c r="AH281" s="68"/>
      <c r="AI281" s="68"/>
      <c r="AJ281" s="68"/>
      <c r="AK281" s="70"/>
      <c r="AL281" s="70"/>
      <c r="AM281" s="70"/>
      <c r="AN281" s="70"/>
      <c r="AO281" s="25"/>
      <c r="AP281" s="25"/>
      <c r="AQ281" s="71"/>
      <c r="AR281" s="71"/>
      <c r="AS281" s="71"/>
      <c r="AT281" s="72"/>
      <c r="AU281" s="72"/>
      <c r="AV281" s="72"/>
      <c r="AW281" s="75"/>
      <c r="AX281" s="75"/>
      <c r="AY281" s="174"/>
      <c r="AZ281" s="76"/>
      <c r="BA281" s="76"/>
      <c r="BB281" s="76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>
        <v>1</v>
      </c>
      <c r="BP281" s="25"/>
      <c r="BQ281" s="25">
        <v>223</v>
      </c>
      <c r="BR281" s="25">
        <v>1</v>
      </c>
      <c r="BS281" s="25">
        <v>500</v>
      </c>
      <c r="BT281" s="25">
        <v>345</v>
      </c>
      <c r="BU281" s="25">
        <v>1</v>
      </c>
      <c r="BV281" s="25"/>
      <c r="BW281" s="25"/>
      <c r="BX281" s="25">
        <v>1</v>
      </c>
      <c r="BY281" s="25"/>
      <c r="BZ281" s="25"/>
      <c r="CA281" s="25">
        <v>1</v>
      </c>
      <c r="CB281" s="25"/>
      <c r="CC281" s="25"/>
      <c r="CD281" s="25"/>
      <c r="CE281" s="25"/>
      <c r="CF281" s="25"/>
      <c r="CG281" s="25">
        <v>1</v>
      </c>
      <c r="CH281" s="25"/>
      <c r="CI281" s="25"/>
      <c r="CJ281" s="25">
        <v>1</v>
      </c>
      <c r="CK281" s="25"/>
      <c r="CL281" s="25"/>
      <c r="CM281" s="25">
        <v>1</v>
      </c>
      <c r="CN281" s="25"/>
      <c r="CO281" s="25"/>
      <c r="CP281" s="25">
        <v>1</v>
      </c>
      <c r="CQ281" s="25"/>
      <c r="CR281" s="25"/>
      <c r="CS281" s="25">
        <v>1</v>
      </c>
      <c r="CT281" s="25"/>
      <c r="CU281" s="25"/>
      <c r="CV281" s="25">
        <v>1</v>
      </c>
      <c r="CW281" s="25"/>
      <c r="CX281" s="25"/>
      <c r="CY281" s="25"/>
      <c r="CZ281" s="25"/>
      <c r="DA281" s="25"/>
      <c r="DB281" s="25"/>
      <c r="DC281" s="25"/>
      <c r="DD281" s="25"/>
      <c r="DE281" s="25"/>
      <c r="DF281" s="25"/>
      <c r="DG281" s="25"/>
      <c r="DH281" s="25"/>
      <c r="DI281" s="25"/>
      <c r="DJ281" s="25"/>
      <c r="DK281" s="25"/>
      <c r="DL281" s="25"/>
      <c r="DM281" s="25"/>
      <c r="DN281" s="29"/>
      <c r="DO281" s="29"/>
    </row>
    <row r="282" spans="1:119" s="4" customFormat="1">
      <c r="A282" s="74" t="s">
        <v>151</v>
      </c>
      <c r="B282" s="25"/>
      <c r="C282" s="25"/>
      <c r="D282" s="25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25">
        <v>15</v>
      </c>
      <c r="AC282" s="25">
        <v>1613</v>
      </c>
      <c r="AD282" s="25">
        <v>4020</v>
      </c>
      <c r="AE282" s="25">
        <v>15</v>
      </c>
      <c r="AF282" s="25">
        <v>2200</v>
      </c>
      <c r="AG282" s="25">
        <v>3787</v>
      </c>
      <c r="AH282" s="68">
        <v>15</v>
      </c>
      <c r="AI282" s="68">
        <v>5093</v>
      </c>
      <c r="AJ282" s="68">
        <v>3814</v>
      </c>
      <c r="AK282" s="70">
        <v>15</v>
      </c>
      <c r="AL282" s="99">
        <v>5500</v>
      </c>
      <c r="AM282" s="70">
        <v>3563</v>
      </c>
      <c r="AN282" s="70"/>
      <c r="AO282" s="25"/>
      <c r="AP282" s="25"/>
      <c r="AQ282" s="71">
        <v>15</v>
      </c>
      <c r="AR282" s="71">
        <v>2700</v>
      </c>
      <c r="AS282" s="71">
        <v>3813</v>
      </c>
      <c r="AT282" s="72">
        <v>15</v>
      </c>
      <c r="AU282" s="72">
        <v>2170</v>
      </c>
      <c r="AV282" s="72">
        <v>3750</v>
      </c>
      <c r="AW282" s="75">
        <v>15</v>
      </c>
      <c r="AX282" s="75">
        <v>3184</v>
      </c>
      <c r="AY282" s="75">
        <v>3751</v>
      </c>
      <c r="AZ282" s="76">
        <v>15</v>
      </c>
      <c r="BA282" s="76">
        <v>6600</v>
      </c>
      <c r="BB282" s="76">
        <v>3717</v>
      </c>
      <c r="BC282" s="106">
        <v>15</v>
      </c>
      <c r="BD282" s="106">
        <v>3492</v>
      </c>
      <c r="BE282" s="106">
        <v>3588</v>
      </c>
      <c r="BF282" s="25">
        <v>13</v>
      </c>
      <c r="BG282" s="25">
        <f>966+349</f>
        <v>1315</v>
      </c>
      <c r="BH282" s="25">
        <f>60+3034</f>
        <v>3094</v>
      </c>
      <c r="BI282" s="25"/>
      <c r="BJ282" s="25"/>
      <c r="BK282" s="25"/>
      <c r="BL282" s="25">
        <v>13</v>
      </c>
      <c r="BM282" s="25">
        <v>5670</v>
      </c>
      <c r="BN282" s="25">
        <v>3292</v>
      </c>
      <c r="BO282" s="25">
        <v>13</v>
      </c>
      <c r="BP282" s="25">
        <v>2513</v>
      </c>
      <c r="BQ282" s="56">
        <v>3190</v>
      </c>
      <c r="BR282" s="25">
        <v>11</v>
      </c>
      <c r="BS282" s="25">
        <f>4400+858</f>
        <v>5258</v>
      </c>
      <c r="BT282" s="25">
        <f>2757+51</f>
        <v>2808</v>
      </c>
      <c r="BU282" s="25">
        <v>10</v>
      </c>
      <c r="BV282" s="25">
        <v>1621</v>
      </c>
      <c r="BW282" s="25">
        <v>2318</v>
      </c>
      <c r="BX282" s="25">
        <v>7</v>
      </c>
      <c r="BY282" s="25">
        <v>3402</v>
      </c>
      <c r="BZ282" s="25">
        <v>1345</v>
      </c>
      <c r="CA282" s="91">
        <v>4</v>
      </c>
      <c r="CB282" s="91">
        <v>3022</v>
      </c>
      <c r="CC282" s="91">
        <v>969</v>
      </c>
      <c r="CD282" s="25"/>
      <c r="CE282" s="25"/>
      <c r="CF282" s="25"/>
      <c r="CG282" s="25">
        <v>4</v>
      </c>
      <c r="CH282" s="25"/>
      <c r="CI282" s="25">
        <v>1050</v>
      </c>
      <c r="CJ282" s="25">
        <v>3</v>
      </c>
      <c r="CK282" s="25">
        <v>1052</v>
      </c>
      <c r="CL282" s="25">
        <v>817</v>
      </c>
      <c r="CM282" s="25">
        <v>2</v>
      </c>
      <c r="CN282" s="25">
        <v>1100</v>
      </c>
      <c r="CO282" s="25">
        <v>494</v>
      </c>
      <c r="CP282" s="25">
        <v>2</v>
      </c>
      <c r="CQ282" s="25">
        <v>1100</v>
      </c>
      <c r="CR282" s="25">
        <v>502</v>
      </c>
      <c r="CS282" s="25">
        <v>2</v>
      </c>
      <c r="CT282" s="25"/>
      <c r="CU282" s="25">
        <v>463</v>
      </c>
      <c r="CV282" s="25">
        <v>2</v>
      </c>
      <c r="CW282" s="25"/>
      <c r="CX282" s="25">
        <v>261</v>
      </c>
      <c r="CY282" s="25"/>
      <c r="CZ282" s="25"/>
      <c r="DA282" s="25"/>
      <c r="DB282" s="25"/>
      <c r="DC282" s="25"/>
      <c r="DD282" s="25"/>
      <c r="DE282" s="25"/>
      <c r="DF282" s="25"/>
      <c r="DG282" s="25"/>
      <c r="DH282" s="25"/>
      <c r="DI282" s="25"/>
      <c r="DJ282" s="25"/>
      <c r="DK282" s="25"/>
      <c r="DL282" s="25"/>
      <c r="DM282" s="25"/>
    </row>
    <row r="283" spans="1:119" s="4" customFormat="1">
      <c r="A283" s="74" t="s">
        <v>302</v>
      </c>
      <c r="B283" s="25"/>
      <c r="C283" s="25"/>
      <c r="D283" s="25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25"/>
      <c r="AC283" s="25"/>
      <c r="AD283" s="25"/>
      <c r="AE283" s="25"/>
      <c r="AF283" s="25"/>
      <c r="AG283" s="25"/>
      <c r="AH283" s="68"/>
      <c r="AI283" s="68"/>
      <c r="AJ283" s="68"/>
      <c r="AK283" s="70"/>
      <c r="AL283" s="99"/>
      <c r="AM283" s="70"/>
      <c r="AN283" s="70"/>
      <c r="AO283" s="25"/>
      <c r="AP283" s="25"/>
      <c r="AQ283" s="71"/>
      <c r="AR283" s="71"/>
      <c r="AS283" s="71"/>
      <c r="AT283" s="72"/>
      <c r="AU283" s="72"/>
      <c r="AV283" s="72"/>
      <c r="AW283" s="75"/>
      <c r="AX283" s="75"/>
      <c r="AY283" s="75"/>
      <c r="AZ283" s="76"/>
      <c r="BA283" s="76"/>
      <c r="BB283" s="76"/>
      <c r="BC283" s="106"/>
      <c r="BD283" s="106"/>
      <c r="BE283" s="106"/>
      <c r="BF283" s="25">
        <v>2</v>
      </c>
      <c r="BG283" s="25"/>
      <c r="BH283" s="25">
        <v>371</v>
      </c>
      <c r="BI283" s="25"/>
      <c r="BJ283" s="25"/>
      <c r="BK283" s="25"/>
      <c r="BL283" s="25">
        <v>2</v>
      </c>
      <c r="BM283" s="25"/>
      <c r="BN283" s="25">
        <v>495</v>
      </c>
      <c r="BO283" s="25">
        <v>2</v>
      </c>
      <c r="BP283" s="25"/>
      <c r="BQ283" s="56">
        <v>476</v>
      </c>
      <c r="BR283" s="25">
        <v>4</v>
      </c>
      <c r="BS283" s="25">
        <v>876</v>
      </c>
      <c r="BT283" s="25">
        <v>882</v>
      </c>
      <c r="BU283" s="25">
        <v>5</v>
      </c>
      <c r="BV283" s="25">
        <v>1100</v>
      </c>
      <c r="BW283" s="25">
        <v>1166</v>
      </c>
      <c r="BX283" s="25">
        <v>8</v>
      </c>
      <c r="BY283" s="25"/>
      <c r="BZ283" s="25">
        <v>1976</v>
      </c>
      <c r="CA283" s="91">
        <v>11</v>
      </c>
      <c r="CB283" s="91">
        <v>470</v>
      </c>
      <c r="CC283" s="91">
        <v>2481</v>
      </c>
      <c r="CD283" s="25"/>
      <c r="CE283" s="25"/>
      <c r="CF283" s="25"/>
      <c r="CG283" s="25">
        <v>11</v>
      </c>
      <c r="CH283" s="25">
        <v>2909</v>
      </c>
      <c r="CI283" s="25">
        <v>2761</v>
      </c>
      <c r="CJ283" s="25">
        <v>12</v>
      </c>
      <c r="CK283" s="25">
        <v>2178</v>
      </c>
      <c r="CL283" s="25">
        <v>2900</v>
      </c>
      <c r="CM283" s="25">
        <v>13</v>
      </c>
      <c r="CN283" s="25">
        <v>2300</v>
      </c>
      <c r="CO283" s="25">
        <v>3180</v>
      </c>
      <c r="CP283" s="25">
        <v>14</v>
      </c>
      <c r="CQ283" s="25">
        <v>2200</v>
      </c>
      <c r="CR283" s="25">
        <v>3480</v>
      </c>
      <c r="CS283" s="25">
        <v>14</v>
      </c>
      <c r="CT283" s="25">
        <v>7978</v>
      </c>
      <c r="CU283" s="25">
        <v>3513</v>
      </c>
      <c r="CV283" s="25">
        <v>15</v>
      </c>
      <c r="CW283" s="25"/>
      <c r="CX283" s="25">
        <v>1950</v>
      </c>
      <c r="CY283" s="25"/>
      <c r="CZ283" s="25"/>
      <c r="DA283" s="25"/>
      <c r="DB283" s="25"/>
      <c r="DC283" s="25"/>
      <c r="DD283" s="25"/>
      <c r="DE283" s="25"/>
      <c r="DF283" s="25"/>
      <c r="DG283" s="25"/>
      <c r="DH283" s="25"/>
      <c r="DI283" s="25"/>
      <c r="DJ283" s="25"/>
      <c r="DK283" s="25"/>
      <c r="DL283" s="25"/>
      <c r="DM283" s="25"/>
    </row>
    <row r="284" spans="1:119" s="4" customFormat="1">
      <c r="A284" s="74" t="s">
        <v>152</v>
      </c>
      <c r="B284" s="25"/>
      <c r="C284" s="25"/>
      <c r="D284" s="25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25">
        <v>26</v>
      </c>
      <c r="AC284" s="25">
        <v>8544</v>
      </c>
      <c r="AD284" s="25">
        <v>6727</v>
      </c>
      <c r="AE284" s="25">
        <v>26</v>
      </c>
      <c r="AF284" s="25">
        <v>7351</v>
      </c>
      <c r="AG284" s="25">
        <v>6284</v>
      </c>
      <c r="AH284" s="68">
        <v>26</v>
      </c>
      <c r="AI284" s="68">
        <v>6525</v>
      </c>
      <c r="AJ284" s="68">
        <v>6370</v>
      </c>
      <c r="AK284" s="70">
        <v>26</v>
      </c>
      <c r="AL284" s="70">
        <v>4205</v>
      </c>
      <c r="AM284" s="70">
        <v>5967</v>
      </c>
      <c r="AN284" s="70"/>
      <c r="AO284" s="25"/>
      <c r="AP284" s="25"/>
      <c r="AQ284" s="71">
        <v>26</v>
      </c>
      <c r="AR284" s="71">
        <v>8000</v>
      </c>
      <c r="AS284" s="71">
        <v>6393</v>
      </c>
      <c r="AT284" s="86">
        <v>26</v>
      </c>
      <c r="AU284" s="86">
        <v>4231</v>
      </c>
      <c r="AV284" s="86">
        <v>6075</v>
      </c>
      <c r="AW284" s="75">
        <v>26</v>
      </c>
      <c r="AX284" s="75">
        <v>4939</v>
      </c>
      <c r="AY284" s="75">
        <v>5931</v>
      </c>
      <c r="AZ284" s="76">
        <v>26</v>
      </c>
      <c r="BA284" s="76">
        <v>9060</v>
      </c>
      <c r="BB284" s="76">
        <v>5861</v>
      </c>
      <c r="BC284" s="106">
        <v>26</v>
      </c>
      <c r="BD284" s="106">
        <v>6856</v>
      </c>
      <c r="BE284" s="106">
        <v>5833</v>
      </c>
      <c r="BF284" s="88">
        <v>26</v>
      </c>
      <c r="BG284" s="88">
        <v>3297</v>
      </c>
      <c r="BH284" s="88">
        <v>5705</v>
      </c>
      <c r="BI284" s="25"/>
      <c r="BJ284" s="25"/>
      <c r="BK284" s="25"/>
      <c r="BL284" s="25">
        <v>26</v>
      </c>
      <c r="BM284" s="25">
        <v>5331</v>
      </c>
      <c r="BN284" s="25">
        <v>6056</v>
      </c>
      <c r="BO284" s="25">
        <v>26</v>
      </c>
      <c r="BP284" s="25">
        <v>8063</v>
      </c>
      <c r="BQ284" s="56">
        <v>5739</v>
      </c>
      <c r="BR284" s="25">
        <v>26</v>
      </c>
      <c r="BS284" s="25">
        <v>8260</v>
      </c>
      <c r="BT284" s="25">
        <v>5786</v>
      </c>
      <c r="BU284" s="25">
        <v>26</v>
      </c>
      <c r="BV284" s="25">
        <v>2336</v>
      </c>
      <c r="BW284" s="25">
        <v>5949</v>
      </c>
      <c r="BX284" s="25">
        <v>26</v>
      </c>
      <c r="BY284" s="25">
        <v>2095</v>
      </c>
      <c r="BZ284" s="25">
        <v>6058</v>
      </c>
      <c r="CA284" s="91">
        <v>26</v>
      </c>
      <c r="CB284" s="91">
        <v>6512</v>
      </c>
      <c r="CC284" s="91">
        <v>5851</v>
      </c>
      <c r="CD284" s="25"/>
      <c r="CE284" s="25"/>
      <c r="CF284" s="25"/>
      <c r="CG284" s="25">
        <v>26</v>
      </c>
      <c r="CH284" s="25">
        <v>10084</v>
      </c>
      <c r="CI284" s="25">
        <v>6220</v>
      </c>
      <c r="CJ284" s="25">
        <v>26</v>
      </c>
      <c r="CK284" s="25">
        <v>3300</v>
      </c>
      <c r="CL284" s="25">
        <v>6096</v>
      </c>
      <c r="CM284" s="25">
        <v>26</v>
      </c>
      <c r="CN284" s="25">
        <v>9288</v>
      </c>
      <c r="CO284" s="25">
        <v>5776</v>
      </c>
      <c r="CP284" s="149">
        <v>25</v>
      </c>
      <c r="CQ284" s="149">
        <v>3300</v>
      </c>
      <c r="CR284" s="149">
        <v>5680</v>
      </c>
      <c r="CS284" s="25">
        <v>25</v>
      </c>
      <c r="CT284" s="25">
        <v>4502</v>
      </c>
      <c r="CU284" s="25">
        <v>5638</v>
      </c>
      <c r="CV284" s="25">
        <v>24</v>
      </c>
      <c r="CW284" s="25">
        <v>3300</v>
      </c>
      <c r="CX284" s="25">
        <v>2922</v>
      </c>
      <c r="CY284" s="25"/>
      <c r="CZ284" s="25"/>
      <c r="DA284" s="25"/>
      <c r="DB284" s="25"/>
      <c r="DC284" s="25"/>
      <c r="DD284" s="25"/>
      <c r="DE284" s="25"/>
      <c r="DF284" s="25"/>
      <c r="DG284" s="25"/>
      <c r="DH284" s="25"/>
      <c r="DI284" s="25"/>
      <c r="DJ284" s="25"/>
      <c r="DK284" s="25"/>
      <c r="DL284" s="25"/>
      <c r="DM284" s="25"/>
    </row>
    <row r="285" spans="1:119" s="205" customFormat="1">
      <c r="A285" s="209" t="s">
        <v>153</v>
      </c>
      <c r="B285" s="202"/>
      <c r="C285" s="202"/>
      <c r="D285" s="202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202">
        <v>1</v>
      </c>
      <c r="AC285" s="202"/>
      <c r="AD285" s="202">
        <v>185</v>
      </c>
      <c r="AE285" s="202">
        <v>1</v>
      </c>
      <c r="AF285" s="202"/>
      <c r="AG285" s="202"/>
      <c r="AH285" s="202">
        <v>1</v>
      </c>
      <c r="AI285" s="202"/>
      <c r="AJ285" s="202"/>
      <c r="AK285" s="202">
        <v>1</v>
      </c>
      <c r="AL285" s="202"/>
      <c r="AM285" s="202"/>
      <c r="AN285" s="202"/>
      <c r="AO285" s="202"/>
      <c r="AP285" s="202"/>
      <c r="AQ285" s="202">
        <v>1</v>
      </c>
      <c r="AR285" s="202"/>
      <c r="AS285" s="202"/>
      <c r="AT285" s="202">
        <v>1</v>
      </c>
      <c r="AU285" s="202"/>
      <c r="AV285" s="202"/>
      <c r="AW285" s="202">
        <v>1</v>
      </c>
      <c r="AX285" s="202"/>
      <c r="AY285" s="202"/>
      <c r="AZ285" s="202">
        <v>1</v>
      </c>
      <c r="BA285" s="202"/>
      <c r="BB285" s="202"/>
      <c r="BC285" s="202">
        <v>1</v>
      </c>
      <c r="BD285" s="202"/>
      <c r="BE285" s="202"/>
      <c r="BF285" s="202">
        <v>1</v>
      </c>
      <c r="BG285" s="202"/>
      <c r="BH285" s="202"/>
      <c r="BI285" s="202"/>
      <c r="BJ285" s="202"/>
      <c r="BK285" s="202"/>
      <c r="BL285" s="202">
        <v>1</v>
      </c>
      <c r="BM285" s="202"/>
      <c r="BN285" s="202"/>
      <c r="BO285" s="202">
        <v>1</v>
      </c>
      <c r="BP285" s="202"/>
      <c r="BQ285" s="203"/>
      <c r="BR285" s="202">
        <v>1</v>
      </c>
      <c r="BS285" s="202"/>
      <c r="BT285" s="202"/>
      <c r="BU285" s="202">
        <v>1</v>
      </c>
      <c r="BV285" s="202"/>
      <c r="BW285" s="202"/>
      <c r="BX285" s="202">
        <v>1</v>
      </c>
      <c r="BY285" s="202"/>
      <c r="BZ285" s="202"/>
      <c r="CA285" s="202">
        <v>1</v>
      </c>
      <c r="CB285" s="202"/>
      <c r="CC285" s="202"/>
      <c r="CD285" s="202"/>
      <c r="CE285" s="202"/>
      <c r="CF285" s="202"/>
      <c r="CG285" s="202">
        <v>1</v>
      </c>
      <c r="CH285" s="202"/>
      <c r="CI285" s="202"/>
      <c r="CJ285" s="202">
        <v>1</v>
      </c>
      <c r="CK285" s="202"/>
      <c r="CL285" s="202"/>
      <c r="CM285" s="202">
        <v>1</v>
      </c>
      <c r="CN285" s="202"/>
      <c r="CO285" s="202"/>
      <c r="CP285" s="204">
        <v>1</v>
      </c>
      <c r="CQ285" s="202"/>
      <c r="CR285" s="204"/>
      <c r="CS285" s="202">
        <v>1</v>
      </c>
      <c r="CT285" s="202"/>
      <c r="CU285" s="202"/>
      <c r="CV285" s="202">
        <v>1</v>
      </c>
      <c r="CW285" s="202"/>
      <c r="CX285" s="202"/>
      <c r="CY285" s="202"/>
      <c r="CZ285" s="202"/>
      <c r="DA285" s="202"/>
      <c r="DB285" s="202"/>
      <c r="DC285" s="202"/>
      <c r="DD285" s="202"/>
      <c r="DE285" s="202"/>
      <c r="DF285" s="202"/>
      <c r="DG285" s="202"/>
      <c r="DH285" s="202"/>
      <c r="DI285" s="202"/>
      <c r="DJ285" s="202"/>
      <c r="DK285" s="202"/>
      <c r="DL285" s="202"/>
      <c r="DM285" s="202"/>
    </row>
    <row r="286" spans="1:119" s="205" customFormat="1">
      <c r="A286" s="74" t="s">
        <v>297</v>
      </c>
      <c r="B286" s="202"/>
      <c r="C286" s="202"/>
      <c r="D286" s="202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202"/>
      <c r="AC286" s="202"/>
      <c r="AD286" s="202"/>
      <c r="AE286" s="202"/>
      <c r="AF286" s="202"/>
      <c r="AG286" s="202"/>
      <c r="AH286" s="202"/>
      <c r="AI286" s="202"/>
      <c r="AJ286" s="202"/>
      <c r="AK286" s="202"/>
      <c r="AL286" s="202"/>
      <c r="AM286" s="202"/>
      <c r="AN286" s="202"/>
      <c r="AO286" s="202"/>
      <c r="AP286" s="202"/>
      <c r="AQ286" s="202"/>
      <c r="AR286" s="202"/>
      <c r="AS286" s="202"/>
      <c r="AT286" s="202"/>
      <c r="AU286" s="202"/>
      <c r="AV286" s="202"/>
      <c r="AW286" s="202"/>
      <c r="AX286" s="202"/>
      <c r="AY286" s="202"/>
      <c r="AZ286" s="202">
        <v>1</v>
      </c>
      <c r="BA286" s="202"/>
      <c r="BB286" s="202">
        <v>178</v>
      </c>
      <c r="BC286" s="202">
        <v>1</v>
      </c>
      <c r="BD286" s="202"/>
      <c r="BE286" s="202">
        <v>243</v>
      </c>
      <c r="BF286" s="202">
        <v>1</v>
      </c>
      <c r="BG286" s="202">
        <v>500</v>
      </c>
      <c r="BH286" s="202">
        <v>79</v>
      </c>
      <c r="BI286" s="202"/>
      <c r="BJ286" s="202"/>
      <c r="BK286" s="202"/>
      <c r="BL286" s="202">
        <v>1</v>
      </c>
      <c r="BM286" s="202"/>
      <c r="BN286" s="202"/>
      <c r="BO286" s="202">
        <v>1</v>
      </c>
      <c r="BP286" s="202"/>
      <c r="BQ286" s="203"/>
      <c r="BR286" s="202">
        <v>1</v>
      </c>
      <c r="BS286" s="202"/>
      <c r="BT286" s="202"/>
      <c r="BU286" s="202">
        <v>1</v>
      </c>
      <c r="BV286" s="202"/>
      <c r="BW286" s="202"/>
      <c r="BX286" s="202">
        <v>1</v>
      </c>
      <c r="BY286" s="202"/>
      <c r="BZ286" s="202"/>
      <c r="CA286" s="202">
        <v>1</v>
      </c>
      <c r="CB286" s="202"/>
      <c r="CC286" s="202"/>
      <c r="CD286" s="202"/>
      <c r="CE286" s="202"/>
      <c r="CF286" s="202"/>
      <c r="CG286" s="202">
        <v>1</v>
      </c>
      <c r="CH286" s="202"/>
      <c r="CI286" s="202"/>
      <c r="CJ286" s="202">
        <v>1</v>
      </c>
      <c r="CK286" s="202"/>
      <c r="CL286" s="202"/>
      <c r="CM286" s="202">
        <v>1</v>
      </c>
      <c r="CN286" s="202"/>
      <c r="CO286" s="202"/>
      <c r="CP286" s="202">
        <v>1</v>
      </c>
      <c r="CQ286" s="202"/>
      <c r="CR286" s="202"/>
      <c r="CS286" s="202">
        <v>1</v>
      </c>
      <c r="CT286" s="202"/>
      <c r="CU286" s="202"/>
      <c r="CV286" s="202">
        <v>1</v>
      </c>
      <c r="CW286" s="202"/>
      <c r="CX286" s="202"/>
      <c r="CY286" s="202"/>
      <c r="CZ286" s="202"/>
      <c r="DA286" s="202"/>
      <c r="DB286" s="202"/>
      <c r="DC286" s="202"/>
      <c r="DD286" s="202"/>
      <c r="DE286" s="202"/>
      <c r="DF286" s="202"/>
      <c r="DG286" s="202"/>
      <c r="DH286" s="202"/>
      <c r="DI286" s="202"/>
      <c r="DJ286" s="202"/>
      <c r="DK286" s="202"/>
      <c r="DL286" s="202"/>
      <c r="DM286" s="202"/>
    </row>
    <row r="287" spans="1:119" s="16" customFormat="1" ht="15" customHeight="1">
      <c r="A287" s="90" t="s">
        <v>155</v>
      </c>
      <c r="B287" s="42"/>
      <c r="C287" s="42"/>
      <c r="D287" s="42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  <c r="AB287" s="97">
        <v>1</v>
      </c>
      <c r="AC287" s="97"/>
      <c r="AD287" s="97"/>
      <c r="AE287" s="97">
        <v>1</v>
      </c>
      <c r="AF287" s="97"/>
      <c r="AG287" s="97"/>
      <c r="AH287" s="98">
        <v>1</v>
      </c>
      <c r="AI287" s="98"/>
      <c r="AJ287" s="98"/>
      <c r="AK287" s="95">
        <v>1</v>
      </c>
      <c r="AL287" s="214"/>
      <c r="AM287" s="214"/>
      <c r="AN287" s="101"/>
      <c r="AO287" s="101"/>
      <c r="AP287" s="101"/>
      <c r="AQ287" s="165">
        <v>1</v>
      </c>
      <c r="AR287" s="165"/>
      <c r="AS287" s="165"/>
      <c r="AT287" s="166">
        <v>1</v>
      </c>
      <c r="AU287" s="166"/>
      <c r="AV287" s="166"/>
      <c r="AW287" s="104">
        <v>1</v>
      </c>
      <c r="AX287" s="104"/>
      <c r="AY287" s="104"/>
      <c r="AZ287" s="202">
        <v>1</v>
      </c>
      <c r="BA287" s="202"/>
      <c r="BB287" s="202"/>
      <c r="BC287" s="172">
        <v>1</v>
      </c>
      <c r="BD287" s="172"/>
      <c r="BE287" s="172"/>
      <c r="BF287" s="108">
        <v>1</v>
      </c>
      <c r="BG287" s="108"/>
      <c r="BH287" s="108"/>
      <c r="BI287" s="110"/>
      <c r="BJ287" s="110"/>
      <c r="BK287" s="110"/>
      <c r="BL287" s="175">
        <v>1</v>
      </c>
      <c r="BM287" s="175"/>
      <c r="BN287" s="175"/>
      <c r="BO287" s="52">
        <v>1</v>
      </c>
      <c r="BP287" s="52"/>
      <c r="BQ287" s="52"/>
      <c r="BR287" s="54">
        <v>1</v>
      </c>
      <c r="BS287" s="54"/>
      <c r="BT287" s="54"/>
      <c r="BU287" s="55">
        <v>1</v>
      </c>
      <c r="BV287" s="55"/>
      <c r="BW287" s="55"/>
      <c r="BX287" s="55">
        <v>1</v>
      </c>
      <c r="BY287" s="55"/>
      <c r="BZ287" s="55"/>
      <c r="CA287" s="124">
        <v>1</v>
      </c>
      <c r="CB287" s="124"/>
      <c r="CC287" s="124"/>
      <c r="CD287" s="178"/>
      <c r="CE287" s="178"/>
      <c r="CF287" s="178"/>
      <c r="CG287" s="57">
        <v>1</v>
      </c>
      <c r="CH287" s="57"/>
      <c r="CI287" s="57"/>
      <c r="CJ287" s="58">
        <v>1</v>
      </c>
      <c r="CK287" s="58"/>
      <c r="CL287" s="58"/>
      <c r="CM287" s="60">
        <v>1</v>
      </c>
      <c r="CN287" s="60"/>
      <c r="CO287" s="60"/>
      <c r="CP287" s="150">
        <v>1</v>
      </c>
      <c r="CQ287" s="150"/>
      <c r="CR287" s="150"/>
      <c r="CS287" s="62">
        <v>1</v>
      </c>
      <c r="CT287" s="62"/>
      <c r="CU287" s="62"/>
      <c r="CV287" s="95">
        <v>1</v>
      </c>
      <c r="CW287" s="95"/>
      <c r="CX287" s="95"/>
      <c r="CY287" s="95"/>
      <c r="CZ287" s="95"/>
      <c r="DA287" s="95"/>
      <c r="DB287" s="95"/>
      <c r="DC287" s="95"/>
      <c r="DD287" s="95"/>
      <c r="DE287" s="42"/>
      <c r="DF287" s="42"/>
      <c r="DG287" s="42"/>
      <c r="DH287" s="42"/>
      <c r="DI287" s="42"/>
      <c r="DJ287" s="42"/>
      <c r="DK287" s="42"/>
      <c r="DL287" s="42"/>
      <c r="DM287" s="42"/>
    </row>
    <row r="288" spans="1:119" s="16" customFormat="1" ht="15" customHeight="1">
      <c r="A288" s="90" t="s">
        <v>156</v>
      </c>
      <c r="B288" s="42"/>
      <c r="C288" s="42"/>
      <c r="D288" s="42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  <c r="AB288" s="97">
        <v>1</v>
      </c>
      <c r="AC288" s="97"/>
      <c r="AD288" s="97"/>
      <c r="AE288" s="97">
        <v>1</v>
      </c>
      <c r="AF288" s="97"/>
      <c r="AG288" s="97"/>
      <c r="AH288" s="98">
        <v>1</v>
      </c>
      <c r="AI288" s="98"/>
      <c r="AJ288" s="98"/>
      <c r="AK288" s="95">
        <v>1</v>
      </c>
      <c r="AL288" s="214"/>
      <c r="AM288" s="214"/>
      <c r="AN288" s="101"/>
      <c r="AO288" s="101"/>
      <c r="AP288" s="101"/>
      <c r="AQ288" s="165">
        <v>1</v>
      </c>
      <c r="AR288" s="165"/>
      <c r="AS288" s="165"/>
      <c r="AT288" s="166">
        <v>1</v>
      </c>
      <c r="AU288" s="166"/>
      <c r="AV288" s="166"/>
      <c r="AW288" s="104">
        <v>1</v>
      </c>
      <c r="AX288" s="104"/>
      <c r="AY288" s="104"/>
      <c r="AZ288" s="105">
        <v>1</v>
      </c>
      <c r="BA288" s="105"/>
      <c r="BB288" s="105"/>
      <c r="BC288" s="172">
        <v>1</v>
      </c>
      <c r="BD288" s="172"/>
      <c r="BE288" s="172"/>
      <c r="BF288" s="108">
        <v>1</v>
      </c>
      <c r="BG288" s="108"/>
      <c r="BH288" s="108"/>
      <c r="BI288" s="110"/>
      <c r="BJ288" s="110"/>
      <c r="BK288" s="110"/>
      <c r="BL288" s="175">
        <v>1</v>
      </c>
      <c r="BM288" s="175"/>
      <c r="BN288" s="175"/>
      <c r="BO288" s="52">
        <v>1</v>
      </c>
      <c r="BP288" s="52"/>
      <c r="BQ288" s="52"/>
      <c r="BR288" s="54">
        <v>1</v>
      </c>
      <c r="BS288" s="54"/>
      <c r="BT288" s="54"/>
      <c r="BU288" s="55">
        <v>1</v>
      </c>
      <c r="BV288" s="55"/>
      <c r="BW288" s="55"/>
      <c r="BX288" s="55">
        <v>1</v>
      </c>
      <c r="BY288" s="55"/>
      <c r="BZ288" s="55"/>
      <c r="CA288" s="124">
        <v>1</v>
      </c>
      <c r="CB288" s="124"/>
      <c r="CC288" s="124"/>
      <c r="CD288" s="178"/>
      <c r="CE288" s="178"/>
      <c r="CF288" s="178"/>
      <c r="CG288" s="57">
        <v>1</v>
      </c>
      <c r="CH288" s="57"/>
      <c r="CI288" s="57"/>
      <c r="CJ288" s="58">
        <v>1</v>
      </c>
      <c r="CK288" s="58"/>
      <c r="CL288" s="58"/>
      <c r="CM288" s="60">
        <v>1</v>
      </c>
      <c r="CN288" s="60"/>
      <c r="CO288" s="60"/>
      <c r="CP288" s="150">
        <v>1</v>
      </c>
      <c r="CQ288" s="150"/>
      <c r="CR288" s="150"/>
      <c r="CS288" s="62">
        <v>1</v>
      </c>
      <c r="CT288" s="62"/>
      <c r="CU288" s="62"/>
      <c r="CV288" s="95">
        <v>1</v>
      </c>
      <c r="CW288" s="95"/>
      <c r="CX288" s="95"/>
      <c r="CY288" s="95"/>
      <c r="CZ288" s="95"/>
      <c r="DA288" s="95"/>
      <c r="DB288" s="95"/>
      <c r="DC288" s="95"/>
      <c r="DD288" s="95"/>
      <c r="DE288" s="42"/>
      <c r="DF288" s="42"/>
      <c r="DG288" s="42"/>
      <c r="DH288" s="42"/>
      <c r="DI288" s="42"/>
      <c r="DJ288" s="42"/>
      <c r="DK288" s="42"/>
      <c r="DL288" s="42"/>
      <c r="DM288" s="42"/>
    </row>
    <row r="289" spans="1:117" s="16" customFormat="1" ht="15" customHeight="1">
      <c r="A289" s="90" t="s">
        <v>157</v>
      </c>
      <c r="B289" s="42"/>
      <c r="C289" s="42"/>
      <c r="D289" s="42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97">
        <v>1</v>
      </c>
      <c r="AC289" s="97"/>
      <c r="AD289" s="97"/>
      <c r="AE289" s="97">
        <v>1</v>
      </c>
      <c r="AF289" s="97"/>
      <c r="AG289" s="97"/>
      <c r="AH289" s="98">
        <v>1</v>
      </c>
      <c r="AI289" s="98"/>
      <c r="AJ289" s="98"/>
      <c r="AK289" s="95">
        <v>1</v>
      </c>
      <c r="AL289" s="214"/>
      <c r="AM289" s="214"/>
      <c r="AN289" s="101"/>
      <c r="AO289" s="101"/>
      <c r="AP289" s="101"/>
      <c r="AQ289" s="165">
        <v>1</v>
      </c>
      <c r="AR289" s="165"/>
      <c r="AS289" s="165"/>
      <c r="AT289" s="166">
        <v>1</v>
      </c>
      <c r="AU289" s="166"/>
      <c r="AV289" s="166"/>
      <c r="AW289" s="104">
        <v>1</v>
      </c>
      <c r="AX289" s="104"/>
      <c r="AY289" s="104"/>
      <c r="AZ289" s="105">
        <v>1</v>
      </c>
      <c r="BA289" s="105"/>
      <c r="BB289" s="105"/>
      <c r="BC289" s="172">
        <v>1</v>
      </c>
      <c r="BD289" s="172"/>
      <c r="BE289" s="172"/>
      <c r="BF289" s="108">
        <v>1</v>
      </c>
      <c r="BG289" s="108"/>
      <c r="BH289" s="108"/>
      <c r="BI289" s="110"/>
      <c r="BJ289" s="110"/>
      <c r="BK289" s="110"/>
      <c r="BL289" s="175">
        <v>1</v>
      </c>
      <c r="BM289" s="175"/>
      <c r="BN289" s="175"/>
      <c r="BO289" s="52">
        <v>1</v>
      </c>
      <c r="BP289" s="52"/>
      <c r="BQ289" s="52"/>
      <c r="BR289" s="54">
        <v>1</v>
      </c>
      <c r="BS289" s="54"/>
      <c r="BT289" s="54"/>
      <c r="BU289" s="55">
        <v>1</v>
      </c>
      <c r="BV289" s="55"/>
      <c r="BW289" s="55"/>
      <c r="BX289" s="55">
        <v>1</v>
      </c>
      <c r="BY289" s="55"/>
      <c r="BZ289" s="55"/>
      <c r="CA289" s="124">
        <v>1</v>
      </c>
      <c r="CB289" s="124"/>
      <c r="CC289" s="124"/>
      <c r="CD289" s="178"/>
      <c r="CE289" s="178"/>
      <c r="CF289" s="178"/>
      <c r="CG289" s="57">
        <v>1</v>
      </c>
      <c r="CH289" s="57"/>
      <c r="CI289" s="57"/>
      <c r="CJ289" s="58">
        <v>1</v>
      </c>
      <c r="CK289" s="58"/>
      <c r="CL289" s="58"/>
      <c r="CM289" s="60">
        <v>1</v>
      </c>
      <c r="CN289" s="60"/>
      <c r="CO289" s="60"/>
      <c r="CP289" s="150">
        <v>1</v>
      </c>
      <c r="CQ289" s="150"/>
      <c r="CR289" s="150"/>
      <c r="CS289" s="62">
        <v>1</v>
      </c>
      <c r="CT289" s="62"/>
      <c r="CU289" s="62"/>
      <c r="CV289" s="95">
        <v>1</v>
      </c>
      <c r="CW289" s="95"/>
      <c r="CX289" s="95"/>
      <c r="CY289" s="95"/>
      <c r="CZ289" s="95"/>
      <c r="DA289" s="95"/>
      <c r="DB289" s="95"/>
      <c r="DC289" s="95"/>
      <c r="DD289" s="95"/>
      <c r="DE289" s="42"/>
      <c r="DF289" s="42"/>
      <c r="DG289" s="42"/>
      <c r="DH289" s="42"/>
      <c r="DI289" s="42"/>
      <c r="DJ289" s="42"/>
      <c r="DK289" s="42"/>
      <c r="DL289" s="42"/>
      <c r="DM289" s="42"/>
    </row>
    <row r="290" spans="1:117" s="16" customFormat="1" ht="15" customHeight="1">
      <c r="A290" s="90" t="s">
        <v>154</v>
      </c>
      <c r="B290" s="42"/>
      <c r="C290" s="42"/>
      <c r="D290" s="42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97"/>
      <c r="AC290" s="97"/>
      <c r="AD290" s="97"/>
      <c r="AE290" s="97"/>
      <c r="AF290" s="97"/>
      <c r="AG290" s="97"/>
      <c r="AH290" s="98"/>
      <c r="AI290" s="98"/>
      <c r="AJ290" s="98"/>
      <c r="AK290" s="95"/>
      <c r="AL290" s="214"/>
      <c r="AM290" s="214"/>
      <c r="AN290" s="101"/>
      <c r="AO290" s="101"/>
      <c r="AP290" s="101"/>
      <c r="AQ290" s="165"/>
      <c r="AR290" s="165"/>
      <c r="AS290" s="165"/>
      <c r="AT290" s="166"/>
      <c r="AU290" s="166"/>
      <c r="AV290" s="166"/>
      <c r="AW290" s="104"/>
      <c r="AX290" s="104"/>
      <c r="AY290" s="104"/>
      <c r="AZ290" s="105"/>
      <c r="BA290" s="105"/>
      <c r="BB290" s="105"/>
      <c r="BC290" s="172"/>
      <c r="BD290" s="172"/>
      <c r="BE290" s="172"/>
      <c r="BF290" s="108"/>
      <c r="BG290" s="108"/>
      <c r="BH290" s="108"/>
      <c r="BI290" s="110"/>
      <c r="BJ290" s="110"/>
      <c r="BK290" s="110"/>
      <c r="BL290" s="175"/>
      <c r="BM290" s="175"/>
      <c r="BN290" s="175"/>
      <c r="BO290" s="52"/>
      <c r="BP290" s="52"/>
      <c r="BQ290" s="52"/>
      <c r="BR290" s="54"/>
      <c r="BS290" s="54"/>
      <c r="BT290" s="54"/>
      <c r="BU290" s="55"/>
      <c r="BV290" s="55"/>
      <c r="BW290" s="55"/>
      <c r="BX290" s="55"/>
      <c r="BY290" s="55"/>
      <c r="BZ290" s="55"/>
      <c r="CA290" s="124"/>
      <c r="CB290" s="124"/>
      <c r="CC290" s="124"/>
      <c r="CD290" s="178"/>
      <c r="CE290" s="178"/>
      <c r="CF290" s="178"/>
      <c r="CG290" s="57">
        <v>5</v>
      </c>
      <c r="CH290" s="57"/>
      <c r="CI290" s="57">
        <v>1221</v>
      </c>
      <c r="CJ290" s="58">
        <v>7</v>
      </c>
      <c r="CK290" s="58"/>
      <c r="CL290" s="58">
        <v>1890</v>
      </c>
      <c r="CM290" s="60">
        <v>7</v>
      </c>
      <c r="CN290" s="60"/>
      <c r="CO290" s="60">
        <v>1915</v>
      </c>
      <c r="CP290" s="150">
        <v>7</v>
      </c>
      <c r="CQ290" s="150"/>
      <c r="CR290" s="150">
        <v>1924</v>
      </c>
      <c r="CS290" s="62">
        <v>7</v>
      </c>
      <c r="CT290" s="62"/>
      <c r="CU290" s="62">
        <v>1921</v>
      </c>
      <c r="CV290" s="95">
        <v>7</v>
      </c>
      <c r="CW290" s="95">
        <v>3000</v>
      </c>
      <c r="CX290" s="95">
        <v>1013</v>
      </c>
      <c r="CY290" s="95"/>
      <c r="CZ290" s="95"/>
      <c r="DA290" s="95"/>
      <c r="DB290" s="95"/>
      <c r="DC290" s="95"/>
      <c r="DD290" s="95"/>
      <c r="DE290" s="42"/>
      <c r="DF290" s="42"/>
      <c r="DG290" s="42"/>
      <c r="DH290" s="42"/>
      <c r="DI290" s="42"/>
      <c r="DJ290" s="42"/>
      <c r="DK290" s="42"/>
      <c r="DL290" s="42"/>
      <c r="DM290" s="42"/>
    </row>
    <row r="291" spans="1:117" s="16" customFormat="1" ht="15" customHeight="1">
      <c r="A291" s="90" t="s">
        <v>254</v>
      </c>
      <c r="B291" s="42"/>
      <c r="C291" s="42"/>
      <c r="D291" s="42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97">
        <v>1</v>
      </c>
      <c r="AC291" s="97"/>
      <c r="AD291" s="97"/>
      <c r="AE291" s="97">
        <v>1</v>
      </c>
      <c r="AF291" s="97"/>
      <c r="AG291" s="97"/>
      <c r="AH291" s="98">
        <v>1</v>
      </c>
      <c r="AI291" s="98"/>
      <c r="AJ291" s="98"/>
      <c r="AK291" s="95">
        <v>1</v>
      </c>
      <c r="AL291" s="214"/>
      <c r="AM291" s="214"/>
      <c r="AN291" s="101"/>
      <c r="AO291" s="101"/>
      <c r="AP291" s="101"/>
      <c r="AQ291" s="165">
        <v>1</v>
      </c>
      <c r="AR291" s="165"/>
      <c r="AS291" s="165"/>
      <c r="AT291" s="166">
        <v>1</v>
      </c>
      <c r="AU291" s="166"/>
      <c r="AV291" s="166"/>
      <c r="AW291" s="104">
        <v>1</v>
      </c>
      <c r="AX291" s="104"/>
      <c r="AY291" s="104"/>
      <c r="AZ291" s="105">
        <v>1</v>
      </c>
      <c r="BA291" s="105"/>
      <c r="BB291" s="105"/>
      <c r="BC291" s="172">
        <v>1</v>
      </c>
      <c r="BD291" s="172"/>
      <c r="BE291" s="172"/>
      <c r="BF291" s="108">
        <v>1</v>
      </c>
      <c r="BG291" s="108"/>
      <c r="BH291" s="108"/>
      <c r="BI291" s="110"/>
      <c r="BJ291" s="110"/>
      <c r="BK291" s="110"/>
      <c r="BL291" s="175">
        <v>1</v>
      </c>
      <c r="BM291" s="175"/>
      <c r="BN291" s="175"/>
      <c r="BO291" s="52">
        <v>1</v>
      </c>
      <c r="BP291" s="52"/>
      <c r="BQ291" s="52"/>
      <c r="BR291" s="54">
        <v>1</v>
      </c>
      <c r="BS291" s="54"/>
      <c r="BT291" s="54"/>
      <c r="BU291" s="55">
        <v>1</v>
      </c>
      <c r="BV291" s="55"/>
      <c r="BW291" s="55"/>
      <c r="BX291" s="55">
        <v>1</v>
      </c>
      <c r="BY291" s="55"/>
      <c r="BZ291" s="55"/>
      <c r="CA291" s="124">
        <v>1</v>
      </c>
      <c r="CB291" s="124"/>
      <c r="CC291" s="124"/>
      <c r="CD291" s="178"/>
      <c r="CE291" s="178"/>
      <c r="CF291" s="178"/>
      <c r="CG291" s="57">
        <v>1</v>
      </c>
      <c r="CH291" s="57"/>
      <c r="CI291" s="57"/>
      <c r="CJ291" s="58">
        <v>1</v>
      </c>
      <c r="CK291" s="58">
        <v>35</v>
      </c>
      <c r="CL291" s="58"/>
      <c r="CM291" s="60">
        <v>3</v>
      </c>
      <c r="CN291" s="60"/>
      <c r="CO291" s="60">
        <v>199</v>
      </c>
      <c r="CP291" s="150">
        <v>3</v>
      </c>
      <c r="CQ291" s="150"/>
      <c r="CR291" s="150">
        <v>583</v>
      </c>
      <c r="CS291" s="62">
        <v>3</v>
      </c>
      <c r="CT291" s="62"/>
      <c r="CU291" s="62">
        <v>701</v>
      </c>
      <c r="CV291" s="95">
        <v>3</v>
      </c>
      <c r="CW291" s="95"/>
      <c r="CX291" s="95">
        <v>373</v>
      </c>
      <c r="CY291" s="95"/>
      <c r="CZ291" s="95"/>
      <c r="DA291" s="95"/>
      <c r="DB291" s="95"/>
      <c r="DC291" s="95"/>
      <c r="DD291" s="95"/>
      <c r="DE291" s="42"/>
      <c r="DF291" s="42"/>
      <c r="DG291" s="42"/>
      <c r="DH291" s="42"/>
      <c r="DI291" s="42"/>
      <c r="DJ291" s="42"/>
      <c r="DK291" s="42"/>
      <c r="DL291" s="42"/>
      <c r="DM291" s="42"/>
    </row>
    <row r="292" spans="1:117" s="16" customFormat="1" ht="15" customHeight="1">
      <c r="A292" s="90" t="s">
        <v>295</v>
      </c>
      <c r="B292" s="42"/>
      <c r="C292" s="42"/>
      <c r="D292" s="42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  <c r="AB292" s="97"/>
      <c r="AC292" s="97"/>
      <c r="AD292" s="97"/>
      <c r="AE292" s="97"/>
      <c r="AF292" s="97"/>
      <c r="AG292" s="97"/>
      <c r="AH292" s="98"/>
      <c r="AI292" s="98"/>
      <c r="AJ292" s="98"/>
      <c r="AK292" s="95">
        <v>1</v>
      </c>
      <c r="AL292" s="214"/>
      <c r="AM292" s="214">
        <v>137</v>
      </c>
      <c r="AN292" s="101"/>
      <c r="AO292" s="101"/>
      <c r="AP292" s="101"/>
      <c r="AQ292" s="165">
        <v>1</v>
      </c>
      <c r="AR292" s="165"/>
      <c r="AS292" s="165">
        <v>281</v>
      </c>
      <c r="AT292" s="166">
        <v>1</v>
      </c>
      <c r="AU292" s="166">
        <v>500</v>
      </c>
      <c r="AV292" s="166">
        <v>82</v>
      </c>
      <c r="AW292" s="104">
        <v>1</v>
      </c>
      <c r="AX292" s="104"/>
      <c r="AY292" s="104"/>
      <c r="AZ292" s="105">
        <v>1</v>
      </c>
      <c r="BA292" s="105"/>
      <c r="BB292" s="105"/>
      <c r="BC292" s="172">
        <v>1</v>
      </c>
      <c r="BD292" s="172"/>
      <c r="BE292" s="172"/>
      <c r="BF292" s="108">
        <v>1</v>
      </c>
      <c r="BG292" s="108"/>
      <c r="BH292" s="108"/>
      <c r="BI292" s="110"/>
      <c r="BJ292" s="110"/>
      <c r="BK292" s="110"/>
      <c r="BL292" s="175">
        <v>1</v>
      </c>
      <c r="BM292" s="175"/>
      <c r="BN292" s="175"/>
      <c r="BO292" s="52">
        <v>1</v>
      </c>
      <c r="BP292" s="52"/>
      <c r="BQ292" s="52"/>
      <c r="BR292" s="54">
        <v>1</v>
      </c>
      <c r="BS292" s="54"/>
      <c r="BT292" s="54"/>
      <c r="BU292" s="55">
        <v>1</v>
      </c>
      <c r="BV292" s="55"/>
      <c r="BW292" s="55"/>
      <c r="BX292" s="55">
        <v>1</v>
      </c>
      <c r="BY292" s="55"/>
      <c r="BZ292" s="55"/>
      <c r="CA292" s="124">
        <v>1</v>
      </c>
      <c r="CB292" s="124"/>
      <c r="CC292" s="124"/>
      <c r="CD292" s="178"/>
      <c r="CE292" s="178"/>
      <c r="CF292" s="178"/>
      <c r="CG292" s="57">
        <v>1</v>
      </c>
      <c r="CH292" s="57"/>
      <c r="CI292" s="57"/>
      <c r="CJ292" s="58">
        <v>1</v>
      </c>
      <c r="CK292" s="58"/>
      <c r="CL292" s="58">
        <v>280</v>
      </c>
      <c r="CM292" s="60">
        <v>1</v>
      </c>
      <c r="CN292" s="60">
        <v>500</v>
      </c>
      <c r="CO292" s="60">
        <v>222</v>
      </c>
      <c r="CP292" s="150">
        <v>1</v>
      </c>
      <c r="CQ292" s="150"/>
      <c r="CR292" s="150">
        <v>295</v>
      </c>
      <c r="CS292" s="62">
        <v>1</v>
      </c>
      <c r="CT292" s="62"/>
      <c r="CU292" s="62">
        <v>300</v>
      </c>
      <c r="CV292" s="95">
        <v>1</v>
      </c>
      <c r="CW292" s="95"/>
      <c r="CX292" s="95">
        <v>160</v>
      </c>
      <c r="CY292" s="95"/>
      <c r="CZ292" s="95"/>
      <c r="DA292" s="95"/>
      <c r="DB292" s="95"/>
      <c r="DC292" s="95"/>
      <c r="DD292" s="95"/>
      <c r="DE292" s="42"/>
      <c r="DF292" s="42"/>
      <c r="DG292" s="42"/>
      <c r="DH292" s="42"/>
      <c r="DI292" s="42"/>
      <c r="DJ292" s="42"/>
      <c r="DK292" s="42"/>
      <c r="DL292" s="42"/>
      <c r="DM292" s="42"/>
    </row>
    <row r="293" spans="1:117" s="16" customFormat="1" ht="15" customHeight="1">
      <c r="A293" s="90" t="s">
        <v>308</v>
      </c>
      <c r="B293" s="42"/>
      <c r="C293" s="42"/>
      <c r="D293" s="42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  <c r="AB293" s="97"/>
      <c r="AC293" s="97"/>
      <c r="AD293" s="97"/>
      <c r="AE293" s="97"/>
      <c r="AF293" s="97"/>
      <c r="AG293" s="97"/>
      <c r="AH293" s="98"/>
      <c r="AI293" s="98"/>
      <c r="AJ293" s="98"/>
      <c r="AK293" s="95"/>
      <c r="AL293" s="214"/>
      <c r="AM293" s="214"/>
      <c r="AN293" s="101"/>
      <c r="AO293" s="101"/>
      <c r="AP293" s="101"/>
      <c r="AQ293" s="165"/>
      <c r="AR293" s="165"/>
      <c r="AS293" s="165"/>
      <c r="AT293" s="166"/>
      <c r="AU293" s="166"/>
      <c r="AV293" s="166"/>
      <c r="AW293" s="104"/>
      <c r="AX293" s="104"/>
      <c r="AY293" s="104"/>
      <c r="AZ293" s="105"/>
      <c r="BA293" s="105"/>
      <c r="BB293" s="105"/>
      <c r="BC293" s="172"/>
      <c r="BD293" s="172"/>
      <c r="BE293" s="172"/>
      <c r="BF293" s="108"/>
      <c r="BG293" s="108"/>
      <c r="BH293" s="108"/>
      <c r="BI293" s="110"/>
      <c r="BJ293" s="110"/>
      <c r="BK293" s="110"/>
      <c r="BL293" s="175"/>
      <c r="BM293" s="175"/>
      <c r="BN293" s="175"/>
      <c r="BO293" s="52"/>
      <c r="BP293" s="52"/>
      <c r="BQ293" s="52"/>
      <c r="BR293" s="54">
        <v>1</v>
      </c>
      <c r="BS293" s="54"/>
      <c r="BT293" s="54">
        <v>336</v>
      </c>
      <c r="BU293" s="55"/>
      <c r="BV293" s="55">
        <v>428</v>
      </c>
      <c r="BW293" s="55">
        <v>92</v>
      </c>
      <c r="BX293" s="55"/>
      <c r="BY293" s="55"/>
      <c r="BZ293" s="55"/>
      <c r="CA293" s="124"/>
      <c r="CB293" s="124"/>
      <c r="CC293" s="124"/>
      <c r="CD293" s="178"/>
      <c r="CE293" s="178"/>
      <c r="CF293" s="178"/>
      <c r="CG293" s="57"/>
      <c r="CH293" s="57"/>
      <c r="CI293" s="57"/>
      <c r="CJ293" s="58"/>
      <c r="CK293" s="58"/>
      <c r="CL293" s="58"/>
      <c r="CM293" s="60"/>
      <c r="CN293" s="60"/>
      <c r="CO293" s="60"/>
      <c r="CP293" s="150"/>
      <c r="CQ293" s="150"/>
      <c r="CR293" s="150"/>
      <c r="CS293" s="62"/>
      <c r="CT293" s="62"/>
      <c r="CU293" s="62"/>
      <c r="CV293" s="95"/>
      <c r="CW293" s="95"/>
      <c r="CX293" s="95"/>
      <c r="CY293" s="95"/>
      <c r="CZ293" s="95"/>
      <c r="DA293" s="95"/>
      <c r="DB293" s="95"/>
      <c r="DC293" s="95"/>
      <c r="DD293" s="95"/>
      <c r="DE293" s="42"/>
      <c r="DF293" s="42"/>
      <c r="DG293" s="42"/>
      <c r="DH293" s="42"/>
      <c r="DI293" s="42"/>
      <c r="DJ293" s="42"/>
      <c r="DK293" s="42"/>
      <c r="DL293" s="42"/>
      <c r="DM293" s="42"/>
    </row>
    <row r="294" spans="1:117" s="16" customFormat="1" ht="15" customHeight="1">
      <c r="A294" s="90" t="s">
        <v>309</v>
      </c>
      <c r="B294" s="42"/>
      <c r="C294" s="42"/>
      <c r="D294" s="42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  <c r="AB294" s="97"/>
      <c r="AC294" s="97"/>
      <c r="AD294" s="97"/>
      <c r="AE294" s="97"/>
      <c r="AF294" s="97"/>
      <c r="AG294" s="97"/>
      <c r="AH294" s="98"/>
      <c r="AI294" s="98"/>
      <c r="AJ294" s="98"/>
      <c r="AK294" s="95"/>
      <c r="AL294" s="214"/>
      <c r="AM294" s="214"/>
      <c r="AN294" s="101"/>
      <c r="AO294" s="101"/>
      <c r="AP294" s="101"/>
      <c r="AQ294" s="165"/>
      <c r="AR294" s="165"/>
      <c r="AS294" s="165"/>
      <c r="AT294" s="166"/>
      <c r="AU294" s="166"/>
      <c r="AV294" s="166"/>
      <c r="AW294" s="104"/>
      <c r="AX294" s="104"/>
      <c r="AY294" s="104"/>
      <c r="AZ294" s="105"/>
      <c r="BA294" s="105"/>
      <c r="BB294" s="105"/>
      <c r="BC294" s="172"/>
      <c r="BD294" s="172"/>
      <c r="BE294" s="172"/>
      <c r="BF294" s="108"/>
      <c r="BG294" s="108"/>
      <c r="BH294" s="108"/>
      <c r="BI294" s="110"/>
      <c r="BJ294" s="110"/>
      <c r="BK294" s="110"/>
      <c r="BL294" s="175"/>
      <c r="BM294" s="175"/>
      <c r="BN294" s="175"/>
      <c r="BO294" s="52"/>
      <c r="BP294" s="52"/>
      <c r="BQ294" s="52"/>
      <c r="BR294" s="54">
        <v>1</v>
      </c>
      <c r="BS294" s="54">
        <v>172</v>
      </c>
      <c r="BT294" s="54">
        <v>309</v>
      </c>
      <c r="BU294" s="55"/>
      <c r="BV294" s="55">
        <v>210</v>
      </c>
      <c r="BW294" s="55">
        <v>73</v>
      </c>
      <c r="BX294" s="55"/>
      <c r="BY294" s="55"/>
      <c r="BZ294" s="55"/>
      <c r="CA294" s="124"/>
      <c r="CB294" s="124"/>
      <c r="CC294" s="124"/>
      <c r="CD294" s="178"/>
      <c r="CE294" s="178"/>
      <c r="CF294" s="178"/>
      <c r="CG294" s="57"/>
      <c r="CH294" s="57"/>
      <c r="CI294" s="57"/>
      <c r="CJ294" s="58"/>
      <c r="CK294" s="58"/>
      <c r="CL294" s="58"/>
      <c r="CM294" s="60"/>
      <c r="CN294" s="60"/>
      <c r="CO294" s="60"/>
      <c r="CP294" s="150"/>
      <c r="CQ294" s="150"/>
      <c r="CR294" s="150"/>
      <c r="CS294" s="62"/>
      <c r="CT294" s="62"/>
      <c r="CU294" s="62"/>
      <c r="CV294" s="95"/>
      <c r="CW294" s="95"/>
      <c r="CX294" s="95"/>
      <c r="CY294" s="95"/>
      <c r="CZ294" s="95"/>
      <c r="DA294" s="95"/>
      <c r="DB294" s="95"/>
      <c r="DC294" s="95"/>
      <c r="DD294" s="95"/>
      <c r="DE294" s="42"/>
      <c r="DF294" s="42"/>
      <c r="DG294" s="42"/>
      <c r="DH294" s="42"/>
      <c r="DI294" s="42"/>
      <c r="DJ294" s="42"/>
      <c r="DK294" s="42"/>
      <c r="DL294" s="42"/>
      <c r="DM294" s="42"/>
    </row>
    <row r="295" spans="1:117" s="16" customFormat="1" ht="15" customHeight="1">
      <c r="A295" s="90" t="s">
        <v>314</v>
      </c>
      <c r="B295" s="42"/>
      <c r="C295" s="42"/>
      <c r="D295" s="42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  <c r="AB295" s="97"/>
      <c r="AC295" s="97"/>
      <c r="AD295" s="97"/>
      <c r="AE295" s="97"/>
      <c r="AF295" s="97"/>
      <c r="AG295" s="97"/>
      <c r="AH295" s="98"/>
      <c r="AI295" s="98"/>
      <c r="AJ295" s="98"/>
      <c r="AK295" s="95"/>
      <c r="AL295" s="214"/>
      <c r="AM295" s="214"/>
      <c r="AN295" s="101"/>
      <c r="AO295" s="101"/>
      <c r="AP295" s="101"/>
      <c r="AQ295" s="165"/>
      <c r="AR295" s="165"/>
      <c r="AS295" s="165"/>
      <c r="AT295" s="166"/>
      <c r="AU295" s="166"/>
      <c r="AV295" s="166"/>
      <c r="AW295" s="104"/>
      <c r="AX295" s="104"/>
      <c r="AY295" s="104"/>
      <c r="AZ295" s="105"/>
      <c r="BA295" s="105"/>
      <c r="BB295" s="105"/>
      <c r="BC295" s="172"/>
      <c r="BD295" s="172"/>
      <c r="BE295" s="172"/>
      <c r="BF295" s="108"/>
      <c r="BG295" s="108"/>
      <c r="BH295" s="108"/>
      <c r="BI295" s="110"/>
      <c r="BJ295" s="110"/>
      <c r="BK295" s="110"/>
      <c r="BL295" s="175"/>
      <c r="BM295" s="175"/>
      <c r="BN295" s="175"/>
      <c r="BO295" s="52"/>
      <c r="BP295" s="52"/>
      <c r="BQ295" s="52"/>
      <c r="BR295" s="54"/>
      <c r="BS295" s="54"/>
      <c r="BT295" s="54"/>
      <c r="BU295" s="55">
        <v>1</v>
      </c>
      <c r="BV295" s="55"/>
      <c r="BW295" s="55">
        <v>118</v>
      </c>
      <c r="BX295" s="55">
        <v>1</v>
      </c>
      <c r="BY295" s="55"/>
      <c r="BZ295" s="55">
        <v>268</v>
      </c>
      <c r="CA295" s="124">
        <v>1</v>
      </c>
      <c r="CB295" s="124">
        <v>500</v>
      </c>
      <c r="CC295" s="124">
        <v>114</v>
      </c>
      <c r="CD295" s="178"/>
      <c r="CE295" s="178"/>
      <c r="CF295" s="178"/>
      <c r="CG295" s="57">
        <v>1</v>
      </c>
      <c r="CH295" s="57"/>
      <c r="CI295" s="57">
        <v>155</v>
      </c>
      <c r="CJ295" s="58">
        <v>1</v>
      </c>
      <c r="CK295" s="58">
        <v>157</v>
      </c>
      <c r="CL295" s="58">
        <v>244</v>
      </c>
      <c r="CM295" s="60"/>
      <c r="CN295" s="60">
        <v>283</v>
      </c>
      <c r="CO295" s="60">
        <v>41</v>
      </c>
      <c r="CP295" s="150"/>
      <c r="CQ295" s="150"/>
      <c r="CR295" s="150"/>
      <c r="CS295" s="62"/>
      <c r="CT295" s="62"/>
      <c r="CU295" s="62"/>
      <c r="CV295" s="95"/>
      <c r="CW295" s="95"/>
      <c r="CX295" s="95"/>
      <c r="CY295" s="95"/>
      <c r="CZ295" s="95"/>
      <c r="DA295" s="95"/>
      <c r="DB295" s="95"/>
      <c r="DC295" s="95"/>
      <c r="DD295" s="95"/>
      <c r="DE295" s="42"/>
      <c r="DF295" s="42"/>
      <c r="DG295" s="42"/>
      <c r="DH295" s="42"/>
      <c r="DI295" s="42"/>
      <c r="DJ295" s="42"/>
      <c r="DK295" s="42"/>
      <c r="DL295" s="42"/>
      <c r="DM295" s="42"/>
    </row>
    <row r="296" spans="1:117" s="16" customFormat="1" ht="15" customHeight="1">
      <c r="A296" s="90" t="s">
        <v>159</v>
      </c>
      <c r="B296" s="42"/>
      <c r="C296" s="42"/>
      <c r="D296" s="42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  <c r="AB296" s="97"/>
      <c r="AC296" s="97"/>
      <c r="AD296" s="97"/>
      <c r="AE296" s="97"/>
      <c r="AF296" s="97"/>
      <c r="AG296" s="97"/>
      <c r="AH296" s="98"/>
      <c r="AI296" s="98"/>
      <c r="AJ296" s="98"/>
      <c r="AK296" s="95"/>
      <c r="AL296" s="214"/>
      <c r="AM296" s="214"/>
      <c r="AN296" s="101"/>
      <c r="AO296" s="101"/>
      <c r="AP296" s="101"/>
      <c r="AQ296" s="165"/>
      <c r="AR296" s="165"/>
      <c r="AS296" s="165"/>
      <c r="AT296" s="166"/>
      <c r="AU296" s="166"/>
      <c r="AV296" s="166"/>
      <c r="AW296" s="104"/>
      <c r="AX296" s="104"/>
      <c r="AY296" s="104"/>
      <c r="AZ296" s="105"/>
      <c r="BA296" s="105"/>
      <c r="BB296" s="105"/>
      <c r="BC296" s="172"/>
      <c r="BD296" s="172"/>
      <c r="BE296" s="172"/>
      <c r="BF296" s="108">
        <v>1</v>
      </c>
      <c r="BG296" s="108"/>
      <c r="BH296" s="108">
        <v>266</v>
      </c>
      <c r="BI296" s="110"/>
      <c r="BJ296" s="110"/>
      <c r="BK296" s="110"/>
      <c r="BL296" s="175">
        <v>1</v>
      </c>
      <c r="BM296" s="175"/>
      <c r="BN296" s="175">
        <v>381</v>
      </c>
      <c r="BO296" s="52">
        <v>1</v>
      </c>
      <c r="BP296" s="52"/>
      <c r="BQ296" s="52">
        <v>367</v>
      </c>
      <c r="BR296" s="54"/>
      <c r="BS296" s="54">
        <v>1035</v>
      </c>
      <c r="BT296" s="54">
        <v>21</v>
      </c>
      <c r="BU296" s="55"/>
      <c r="BV296" s="55"/>
      <c r="BW296" s="55"/>
      <c r="BX296" s="55"/>
      <c r="BY296" s="55"/>
      <c r="BZ296" s="55"/>
      <c r="CA296" s="124"/>
      <c r="CB296" s="124"/>
      <c r="CC296" s="124"/>
      <c r="CD296" s="178"/>
      <c r="CE296" s="178"/>
      <c r="CF296" s="178"/>
      <c r="CG296" s="57"/>
      <c r="CH296" s="57"/>
      <c r="CI296" s="57"/>
      <c r="CJ296" s="58"/>
      <c r="CK296" s="58"/>
      <c r="CL296" s="58"/>
      <c r="CM296" s="60"/>
      <c r="CN296" s="60"/>
      <c r="CO296" s="60"/>
      <c r="CP296" s="150"/>
      <c r="CQ296" s="150"/>
      <c r="CR296" s="150"/>
      <c r="CS296" s="62"/>
      <c r="CT296" s="62"/>
      <c r="CU296" s="62"/>
      <c r="CV296" s="95"/>
      <c r="CW296" s="95"/>
      <c r="CX296" s="95"/>
      <c r="CY296" s="95"/>
      <c r="CZ296" s="95"/>
      <c r="DA296" s="95"/>
      <c r="DB296" s="95"/>
      <c r="DC296" s="95"/>
      <c r="DD296" s="95"/>
      <c r="DE296" s="42"/>
      <c r="DF296" s="42"/>
      <c r="DG296" s="42"/>
      <c r="DH296" s="42"/>
      <c r="DI296" s="42"/>
      <c r="DJ296" s="42"/>
      <c r="DK296" s="42"/>
      <c r="DL296" s="42"/>
      <c r="DM296" s="42"/>
    </row>
    <row r="297" spans="1:117" s="16" customFormat="1" ht="15" customHeight="1">
      <c r="A297" s="90" t="s">
        <v>160</v>
      </c>
      <c r="B297" s="42"/>
      <c r="C297" s="42"/>
      <c r="D297" s="42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  <c r="AB297" s="97">
        <v>1</v>
      </c>
      <c r="AC297" s="97"/>
      <c r="AD297" s="97"/>
      <c r="AE297" s="97">
        <v>1</v>
      </c>
      <c r="AF297" s="97"/>
      <c r="AG297" s="97"/>
      <c r="AH297" s="98">
        <v>1</v>
      </c>
      <c r="AI297" s="98"/>
      <c r="AJ297" s="98"/>
      <c r="AK297" s="95">
        <v>1</v>
      </c>
      <c r="AL297" s="40"/>
      <c r="AM297" s="40"/>
      <c r="AN297" s="101"/>
      <c r="AO297" s="101"/>
      <c r="AP297" s="101"/>
      <c r="AQ297" s="165">
        <v>1</v>
      </c>
      <c r="AR297" s="165"/>
      <c r="AS297" s="165"/>
      <c r="AT297" s="166">
        <v>1</v>
      </c>
      <c r="AU297" s="166"/>
      <c r="AV297" s="166"/>
      <c r="AW297" s="104">
        <v>1</v>
      </c>
      <c r="AX297" s="104"/>
      <c r="AY297" s="104"/>
      <c r="AZ297" s="105">
        <v>1</v>
      </c>
      <c r="BA297" s="105"/>
      <c r="BB297" s="105"/>
      <c r="BC297" s="105">
        <v>1</v>
      </c>
      <c r="BD297" s="172"/>
      <c r="BE297" s="172"/>
      <c r="BF297" s="108">
        <v>1</v>
      </c>
      <c r="BG297" s="108"/>
      <c r="BH297" s="108"/>
      <c r="BI297" s="110"/>
      <c r="BJ297" s="110"/>
      <c r="BK297" s="110"/>
      <c r="BL297" s="175">
        <v>1</v>
      </c>
      <c r="BM297" s="175"/>
      <c r="BN297" s="175"/>
      <c r="BO297" s="52">
        <v>1</v>
      </c>
      <c r="BP297" s="52"/>
      <c r="BQ297" s="52"/>
      <c r="BR297" s="54">
        <v>1</v>
      </c>
      <c r="BS297" s="54"/>
      <c r="BT297" s="54"/>
      <c r="BU297" s="55">
        <v>1</v>
      </c>
      <c r="BV297" s="55"/>
      <c r="BW297" s="55"/>
      <c r="BX297" s="55">
        <v>1</v>
      </c>
      <c r="BY297" s="55"/>
      <c r="BZ297" s="55"/>
      <c r="CA297" s="124">
        <v>1</v>
      </c>
      <c r="CB297" s="124"/>
      <c r="CC297" s="124"/>
      <c r="CD297" s="178"/>
      <c r="CE297" s="178"/>
      <c r="CF297" s="178"/>
      <c r="CG297" s="57">
        <v>1</v>
      </c>
      <c r="CH297" s="57"/>
      <c r="CI297" s="57"/>
      <c r="CJ297" s="58">
        <v>1</v>
      </c>
      <c r="CK297" s="58"/>
      <c r="CL297" s="58"/>
      <c r="CM297" s="60">
        <v>1</v>
      </c>
      <c r="CN297" s="60"/>
      <c r="CO297" s="60"/>
      <c r="CP297" s="150">
        <v>1</v>
      </c>
      <c r="CQ297" s="150"/>
      <c r="CR297" s="150"/>
      <c r="CS297" s="62">
        <v>1</v>
      </c>
      <c r="CT297" s="62"/>
      <c r="CU297" s="62"/>
      <c r="CV297" s="95">
        <v>1</v>
      </c>
      <c r="CW297" s="95"/>
      <c r="CX297" s="95">
        <v>196</v>
      </c>
      <c r="CY297" s="95"/>
      <c r="CZ297" s="95"/>
      <c r="DA297" s="95"/>
      <c r="DB297" s="95"/>
      <c r="DC297" s="95"/>
      <c r="DD297" s="95"/>
      <c r="DE297" s="42"/>
      <c r="DF297" s="42"/>
      <c r="DG297" s="42"/>
      <c r="DH297" s="42"/>
      <c r="DI297" s="42"/>
      <c r="DJ297" s="42"/>
      <c r="DK297" s="42"/>
      <c r="DL297" s="42"/>
      <c r="DM297" s="42"/>
    </row>
    <row r="298" spans="1:117" s="16" customFormat="1" ht="15" customHeight="1">
      <c r="A298" s="90" t="s">
        <v>161</v>
      </c>
      <c r="B298" s="42"/>
      <c r="C298" s="42"/>
      <c r="D298" s="42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  <c r="AB298" s="97">
        <v>1</v>
      </c>
      <c r="AC298" s="97"/>
      <c r="AD298" s="97"/>
      <c r="AE298" s="97">
        <v>1</v>
      </c>
      <c r="AF298" s="97"/>
      <c r="AG298" s="97"/>
      <c r="AH298" s="98">
        <v>1</v>
      </c>
      <c r="AI298" s="98"/>
      <c r="AJ298" s="98"/>
      <c r="AK298" s="95">
        <v>1</v>
      </c>
      <c r="AL298" s="40"/>
      <c r="AM298" s="40"/>
      <c r="AN298" s="101"/>
      <c r="AO298" s="101"/>
      <c r="AP298" s="101"/>
      <c r="AQ298" s="165">
        <v>1</v>
      </c>
      <c r="AR298" s="165"/>
      <c r="AS298" s="165"/>
      <c r="AT298" s="166">
        <v>1</v>
      </c>
      <c r="AU298" s="166"/>
      <c r="AV298" s="166"/>
      <c r="AW298" s="104">
        <v>1</v>
      </c>
      <c r="AX298" s="104"/>
      <c r="AY298" s="104"/>
      <c r="AZ298" s="105">
        <v>1</v>
      </c>
      <c r="BA298" s="105"/>
      <c r="BB298" s="105"/>
      <c r="BC298" s="105">
        <v>1</v>
      </c>
      <c r="BD298" s="172"/>
      <c r="BE298" s="172"/>
      <c r="BF298" s="108">
        <v>1</v>
      </c>
      <c r="BG298" s="108"/>
      <c r="BH298" s="108"/>
      <c r="BI298" s="110"/>
      <c r="BJ298" s="110"/>
      <c r="BK298" s="110"/>
      <c r="BL298" s="175">
        <v>1</v>
      </c>
      <c r="BM298" s="175"/>
      <c r="BN298" s="175"/>
      <c r="BO298" s="52">
        <v>1</v>
      </c>
      <c r="BP298" s="52"/>
      <c r="BQ298" s="52"/>
      <c r="BR298" s="54">
        <v>1</v>
      </c>
      <c r="BS298" s="54"/>
      <c r="BT298" s="54"/>
      <c r="BU298" s="55">
        <v>1</v>
      </c>
      <c r="BV298" s="55"/>
      <c r="BW298" s="55"/>
      <c r="BX298" s="55">
        <v>1</v>
      </c>
      <c r="BY298" s="55"/>
      <c r="BZ298" s="55"/>
      <c r="CA298" s="124">
        <v>1</v>
      </c>
      <c r="CB298" s="124"/>
      <c r="CC298" s="124"/>
      <c r="CD298" s="178"/>
      <c r="CE298" s="178"/>
      <c r="CF298" s="178"/>
      <c r="CG298" s="57">
        <v>1</v>
      </c>
      <c r="CH298" s="57"/>
      <c r="CI298" s="57"/>
      <c r="CJ298" s="58">
        <v>1</v>
      </c>
      <c r="CK298" s="58"/>
      <c r="CL298" s="58"/>
      <c r="CM298" s="60">
        <v>1</v>
      </c>
      <c r="CN298" s="60"/>
      <c r="CO298" s="60"/>
      <c r="CP298" s="150">
        <v>1</v>
      </c>
      <c r="CQ298" s="150"/>
      <c r="CR298" s="150"/>
      <c r="CS298" s="62">
        <v>1</v>
      </c>
      <c r="CT298" s="62"/>
      <c r="CU298" s="62"/>
      <c r="CV298" s="95">
        <v>1</v>
      </c>
      <c r="CW298" s="95"/>
      <c r="CX298" s="95"/>
      <c r="CY298" s="95"/>
      <c r="CZ298" s="95"/>
      <c r="DA298" s="95"/>
      <c r="DB298" s="95"/>
      <c r="DC298" s="95"/>
      <c r="DD298" s="95"/>
      <c r="DE298" s="42"/>
      <c r="DF298" s="42"/>
      <c r="DG298" s="42"/>
      <c r="DH298" s="42"/>
      <c r="DI298" s="42"/>
      <c r="DJ298" s="42"/>
      <c r="DK298" s="42"/>
      <c r="DL298" s="42"/>
      <c r="DM298" s="42"/>
    </row>
    <row r="299" spans="1:117" s="16" customFormat="1" ht="15" customHeight="1">
      <c r="A299" s="90" t="s">
        <v>162</v>
      </c>
      <c r="B299" s="42"/>
      <c r="C299" s="42"/>
      <c r="D299" s="42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  <c r="AB299" s="97">
        <v>1</v>
      </c>
      <c r="AC299" s="97">
        <v>371</v>
      </c>
      <c r="AD299" s="97">
        <v>85</v>
      </c>
      <c r="AE299" s="97">
        <v>1</v>
      </c>
      <c r="AF299" s="97"/>
      <c r="AG299" s="97"/>
      <c r="AH299" s="98">
        <v>1</v>
      </c>
      <c r="AI299" s="98"/>
      <c r="AJ299" s="98"/>
      <c r="AK299" s="95">
        <v>1</v>
      </c>
      <c r="AL299" s="40"/>
      <c r="AM299" s="40"/>
      <c r="AN299" s="101"/>
      <c r="AO299" s="101"/>
      <c r="AP299" s="101"/>
      <c r="AQ299" s="165">
        <v>1</v>
      </c>
      <c r="AR299" s="165"/>
      <c r="AS299" s="165"/>
      <c r="AT299" s="166">
        <v>1</v>
      </c>
      <c r="AU299" s="166"/>
      <c r="AV299" s="166"/>
      <c r="AW299" s="104">
        <v>1</v>
      </c>
      <c r="AX299" s="104"/>
      <c r="AY299" s="104"/>
      <c r="AZ299" s="105">
        <v>1</v>
      </c>
      <c r="BA299" s="105"/>
      <c r="BB299" s="105"/>
      <c r="BC299" s="105">
        <v>1</v>
      </c>
      <c r="BD299" s="172"/>
      <c r="BE299" s="172"/>
      <c r="BF299" s="108">
        <v>1</v>
      </c>
      <c r="BG299" s="108"/>
      <c r="BH299" s="108"/>
      <c r="BI299" s="110"/>
      <c r="BJ299" s="110"/>
      <c r="BK299" s="110"/>
      <c r="BL299" s="175">
        <v>1</v>
      </c>
      <c r="BM299" s="175"/>
      <c r="BN299" s="175"/>
      <c r="BO299" s="52">
        <v>1</v>
      </c>
      <c r="BP299" s="52"/>
      <c r="BQ299" s="52"/>
      <c r="BR299" s="54">
        <v>1</v>
      </c>
      <c r="BS299" s="54"/>
      <c r="BT299" s="54"/>
      <c r="BU299" s="55">
        <v>1</v>
      </c>
      <c r="BV299" s="55"/>
      <c r="BW299" s="55"/>
      <c r="BX299" s="55">
        <v>1</v>
      </c>
      <c r="BY299" s="55"/>
      <c r="BZ299" s="55"/>
      <c r="CA299" s="124">
        <v>1</v>
      </c>
      <c r="CB299" s="124"/>
      <c r="CC299" s="124"/>
      <c r="CD299" s="178"/>
      <c r="CE299" s="178"/>
      <c r="CF299" s="178"/>
      <c r="CG299" s="57"/>
      <c r="CH299" s="57"/>
      <c r="CI299" s="57"/>
      <c r="CJ299" s="58"/>
      <c r="CK299" s="58"/>
      <c r="CL299" s="58"/>
      <c r="CM299" s="60"/>
      <c r="CN299" s="60"/>
      <c r="CO299" s="60"/>
      <c r="CP299" s="150"/>
      <c r="CQ299" s="150"/>
      <c r="CR299" s="150"/>
      <c r="CS299" s="62"/>
      <c r="CT299" s="62"/>
      <c r="CU299" s="62"/>
      <c r="CV299" s="95"/>
      <c r="CW299" s="95"/>
      <c r="CX299" s="95"/>
      <c r="CY299" s="95"/>
      <c r="CZ299" s="95"/>
      <c r="DA299" s="95"/>
      <c r="DB299" s="95"/>
      <c r="DC299" s="95"/>
      <c r="DD299" s="95"/>
      <c r="DE299" s="42"/>
      <c r="DF299" s="42"/>
      <c r="DG299" s="42"/>
      <c r="DH299" s="42"/>
      <c r="DI299" s="42"/>
      <c r="DJ299" s="42"/>
      <c r="DK299" s="42"/>
      <c r="DL299" s="42"/>
      <c r="DM299" s="42"/>
    </row>
    <row r="300" spans="1:117" s="16" customFormat="1" ht="15" customHeight="1">
      <c r="A300" s="90" t="s">
        <v>163</v>
      </c>
      <c r="B300" s="42"/>
      <c r="C300" s="42"/>
      <c r="D300" s="42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  <c r="AB300" s="97">
        <v>1</v>
      </c>
      <c r="AC300" s="97"/>
      <c r="AD300" s="97"/>
      <c r="AE300" s="97">
        <v>1</v>
      </c>
      <c r="AF300" s="97"/>
      <c r="AG300" s="97"/>
      <c r="AH300" s="98">
        <v>1</v>
      </c>
      <c r="AI300" s="98"/>
      <c r="AJ300" s="98"/>
      <c r="AK300" s="95">
        <v>1</v>
      </c>
      <c r="AL300" s="40"/>
      <c r="AM300" s="40"/>
      <c r="AN300" s="101"/>
      <c r="AO300" s="101"/>
      <c r="AP300" s="101"/>
      <c r="AQ300" s="165">
        <v>1</v>
      </c>
      <c r="AR300" s="165"/>
      <c r="AS300" s="165"/>
      <c r="AT300" s="166">
        <v>1</v>
      </c>
      <c r="AU300" s="166"/>
      <c r="AV300" s="166"/>
      <c r="AW300" s="104">
        <v>1</v>
      </c>
      <c r="AX300" s="104"/>
      <c r="AY300" s="104"/>
      <c r="AZ300" s="105">
        <v>1</v>
      </c>
      <c r="BA300" s="105"/>
      <c r="BB300" s="105"/>
      <c r="BC300" s="105">
        <v>1</v>
      </c>
      <c r="BD300" s="172"/>
      <c r="BE300" s="172"/>
      <c r="BF300" s="108">
        <v>1</v>
      </c>
      <c r="BG300" s="108"/>
      <c r="BH300" s="108"/>
      <c r="BI300" s="110"/>
      <c r="BJ300" s="110"/>
      <c r="BK300" s="110"/>
      <c r="BL300" s="175">
        <v>1</v>
      </c>
      <c r="BM300" s="175"/>
      <c r="BN300" s="175"/>
      <c r="BO300" s="52">
        <v>1</v>
      </c>
      <c r="BP300" s="52"/>
      <c r="BQ300" s="52"/>
      <c r="BR300" s="54">
        <v>1</v>
      </c>
      <c r="BS300" s="54"/>
      <c r="BT300" s="54"/>
      <c r="BU300" s="55">
        <v>1</v>
      </c>
      <c r="BV300" s="55"/>
      <c r="BW300" s="55"/>
      <c r="BX300" s="55">
        <v>1</v>
      </c>
      <c r="BY300" s="55"/>
      <c r="BZ300" s="55">
        <v>262</v>
      </c>
      <c r="CA300" s="124">
        <v>1</v>
      </c>
      <c r="CB300" s="124"/>
      <c r="CC300" s="124">
        <v>238</v>
      </c>
      <c r="CD300" s="178"/>
      <c r="CE300" s="178"/>
      <c r="CF300" s="178"/>
      <c r="CG300" s="57">
        <v>1</v>
      </c>
      <c r="CH300" s="57"/>
      <c r="CI300" s="57"/>
      <c r="CJ300" s="58">
        <v>1</v>
      </c>
      <c r="CK300" s="58"/>
      <c r="CL300" s="58"/>
      <c r="CM300" s="60">
        <v>1</v>
      </c>
      <c r="CN300" s="60"/>
      <c r="CO300" s="60"/>
      <c r="CP300" s="150">
        <v>1</v>
      </c>
      <c r="CQ300" s="150"/>
      <c r="CR300" s="150"/>
      <c r="CS300" s="62">
        <v>1</v>
      </c>
      <c r="CT300" s="62"/>
      <c r="CU300" s="62"/>
      <c r="CV300" s="95">
        <v>1</v>
      </c>
      <c r="CW300" s="95"/>
      <c r="CX300" s="95"/>
      <c r="CY300" s="95"/>
      <c r="CZ300" s="95"/>
      <c r="DA300" s="95"/>
      <c r="DB300" s="95"/>
      <c r="DC300" s="95"/>
      <c r="DD300" s="95"/>
      <c r="DE300" s="42"/>
      <c r="DF300" s="42"/>
      <c r="DG300" s="42"/>
      <c r="DH300" s="42"/>
      <c r="DI300" s="42"/>
      <c r="DJ300" s="42"/>
      <c r="DK300" s="42"/>
      <c r="DL300" s="42"/>
      <c r="DM300" s="42"/>
    </row>
    <row r="301" spans="1:117" s="16" customFormat="1" ht="15" customHeight="1">
      <c r="A301" s="90" t="s">
        <v>164</v>
      </c>
      <c r="B301" s="42"/>
      <c r="C301" s="42"/>
      <c r="D301" s="42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  <c r="AB301" s="97">
        <v>1</v>
      </c>
      <c r="AC301" s="97"/>
      <c r="AD301" s="97"/>
      <c r="AE301" s="97">
        <v>1</v>
      </c>
      <c r="AF301" s="97"/>
      <c r="AG301" s="97"/>
      <c r="AH301" s="98">
        <v>1</v>
      </c>
      <c r="AI301" s="98"/>
      <c r="AJ301" s="98"/>
      <c r="AK301" s="95">
        <v>1</v>
      </c>
      <c r="AL301" s="40"/>
      <c r="AM301" s="40"/>
      <c r="AN301" s="101"/>
      <c r="AO301" s="101"/>
      <c r="AP301" s="101"/>
      <c r="AQ301" s="165">
        <v>1</v>
      </c>
      <c r="AR301" s="165"/>
      <c r="AS301" s="165"/>
      <c r="AT301" s="166">
        <v>1</v>
      </c>
      <c r="AU301" s="166"/>
      <c r="AV301" s="166"/>
      <c r="AW301" s="104">
        <v>1</v>
      </c>
      <c r="AX301" s="104"/>
      <c r="AY301" s="104"/>
      <c r="AZ301" s="105">
        <v>1</v>
      </c>
      <c r="BA301" s="105"/>
      <c r="BB301" s="105"/>
      <c r="BC301" s="105">
        <v>1</v>
      </c>
      <c r="BD301" s="172"/>
      <c r="BE301" s="172"/>
      <c r="BF301" s="108">
        <v>1</v>
      </c>
      <c r="BG301" s="108"/>
      <c r="BH301" s="108"/>
      <c r="BI301" s="110"/>
      <c r="BJ301" s="110"/>
      <c r="BK301" s="110"/>
      <c r="BL301" s="175">
        <v>1</v>
      </c>
      <c r="BM301" s="175"/>
      <c r="BN301" s="175"/>
      <c r="BO301" s="52">
        <v>1</v>
      </c>
      <c r="BP301" s="52"/>
      <c r="BQ301" s="52"/>
      <c r="BR301" s="54">
        <v>1</v>
      </c>
      <c r="BS301" s="54"/>
      <c r="BT301" s="54"/>
      <c r="BU301" s="55">
        <v>1</v>
      </c>
      <c r="BV301" s="55"/>
      <c r="BW301" s="55"/>
      <c r="BX301" s="55">
        <v>1</v>
      </c>
      <c r="BY301" s="55"/>
      <c r="BZ301" s="55"/>
      <c r="CA301" s="124">
        <v>1</v>
      </c>
      <c r="CB301" s="124"/>
      <c r="CC301" s="124"/>
      <c r="CD301" s="178"/>
      <c r="CE301" s="178"/>
      <c r="CF301" s="178"/>
      <c r="CG301" s="57">
        <v>1</v>
      </c>
      <c r="CH301" s="57"/>
      <c r="CI301" s="57"/>
      <c r="CJ301" s="58">
        <v>1</v>
      </c>
      <c r="CK301" s="58"/>
      <c r="CL301" s="58"/>
      <c r="CM301" s="60">
        <v>1</v>
      </c>
      <c r="CN301" s="60"/>
      <c r="CO301" s="60"/>
      <c r="CP301" s="150">
        <v>1</v>
      </c>
      <c r="CQ301" s="150"/>
      <c r="CR301" s="150"/>
      <c r="CS301" s="62">
        <v>1</v>
      </c>
      <c r="CT301" s="62"/>
      <c r="CU301" s="62"/>
      <c r="CV301" s="95">
        <v>1</v>
      </c>
      <c r="CW301" s="95"/>
      <c r="CX301" s="95"/>
      <c r="CY301" s="95"/>
      <c r="CZ301" s="95"/>
      <c r="DA301" s="95"/>
      <c r="DB301" s="95"/>
      <c r="DC301" s="95"/>
      <c r="DD301" s="95"/>
      <c r="DE301" s="42"/>
      <c r="DF301" s="42"/>
      <c r="DG301" s="42"/>
      <c r="DH301" s="42"/>
      <c r="DI301" s="42"/>
      <c r="DJ301" s="42"/>
      <c r="DK301" s="42"/>
      <c r="DL301" s="42"/>
      <c r="DM301" s="42"/>
    </row>
    <row r="302" spans="1:117" s="16" customFormat="1" ht="15" customHeight="1">
      <c r="A302" s="90" t="s">
        <v>318</v>
      </c>
      <c r="B302" s="42"/>
      <c r="C302" s="42"/>
      <c r="D302" s="42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  <c r="AB302" s="97"/>
      <c r="AC302" s="97"/>
      <c r="AD302" s="97"/>
      <c r="AE302" s="97"/>
      <c r="AF302" s="97"/>
      <c r="AG302" s="97"/>
      <c r="AH302" s="98"/>
      <c r="AI302" s="98"/>
      <c r="AJ302" s="98"/>
      <c r="AK302" s="95"/>
      <c r="AL302" s="40"/>
      <c r="AM302" s="40"/>
      <c r="AN302" s="101"/>
      <c r="AO302" s="101"/>
      <c r="AP302" s="101"/>
      <c r="AQ302" s="165"/>
      <c r="AR302" s="165"/>
      <c r="AS302" s="165"/>
      <c r="AT302" s="166"/>
      <c r="AU302" s="166"/>
      <c r="AV302" s="166"/>
      <c r="AW302" s="104"/>
      <c r="AX302" s="104"/>
      <c r="AY302" s="104"/>
      <c r="AZ302" s="105"/>
      <c r="BA302" s="105"/>
      <c r="BB302" s="105"/>
      <c r="BC302" s="105"/>
      <c r="BD302" s="172"/>
      <c r="BE302" s="172"/>
      <c r="BF302" s="108"/>
      <c r="BG302" s="108"/>
      <c r="BH302" s="108"/>
      <c r="BI302" s="110"/>
      <c r="BJ302" s="110"/>
      <c r="BK302" s="110"/>
      <c r="BL302" s="175"/>
      <c r="BM302" s="175"/>
      <c r="BN302" s="175"/>
      <c r="BO302" s="52"/>
      <c r="BP302" s="52"/>
      <c r="BQ302" s="52"/>
      <c r="BR302" s="54"/>
      <c r="BS302" s="54"/>
      <c r="BT302" s="54"/>
      <c r="BU302" s="55"/>
      <c r="BV302" s="55"/>
      <c r="BW302" s="55"/>
      <c r="BX302" s="55"/>
      <c r="BY302" s="55"/>
      <c r="BZ302" s="55"/>
      <c r="CA302" s="124"/>
      <c r="CB302" s="124"/>
      <c r="CC302" s="124"/>
      <c r="CD302" s="178"/>
      <c r="CE302" s="178"/>
      <c r="CF302" s="178"/>
      <c r="CG302" s="57">
        <v>1</v>
      </c>
      <c r="CH302" s="57"/>
      <c r="CI302" s="57">
        <v>331</v>
      </c>
      <c r="CJ302" s="58">
        <v>1</v>
      </c>
      <c r="CK302" s="58">
        <v>500</v>
      </c>
      <c r="CL302" s="58">
        <v>169</v>
      </c>
      <c r="CM302" s="60">
        <v>1</v>
      </c>
      <c r="CN302" s="60"/>
      <c r="CO302" s="60"/>
      <c r="CP302" s="150">
        <v>1</v>
      </c>
      <c r="CQ302" s="150"/>
      <c r="CR302" s="150"/>
      <c r="CS302" s="62">
        <v>1</v>
      </c>
      <c r="CT302" s="62"/>
      <c r="CU302" s="62"/>
      <c r="CV302" s="95">
        <v>1</v>
      </c>
      <c r="CW302" s="95"/>
      <c r="CX302" s="95"/>
      <c r="CY302" s="95"/>
      <c r="CZ302" s="95"/>
      <c r="DA302" s="95"/>
      <c r="DB302" s="95"/>
      <c r="DC302" s="95"/>
      <c r="DD302" s="95"/>
      <c r="DE302" s="42"/>
      <c r="DF302" s="42"/>
      <c r="DG302" s="42"/>
      <c r="DH302" s="42"/>
      <c r="DI302" s="42"/>
      <c r="DJ302" s="42"/>
      <c r="DK302" s="42"/>
      <c r="DL302" s="42"/>
      <c r="DM302" s="42"/>
    </row>
    <row r="303" spans="1:117" s="22" customFormat="1" ht="15.75">
      <c r="A303" s="94" t="s">
        <v>70</v>
      </c>
      <c r="B303" s="26"/>
      <c r="C303" s="26"/>
      <c r="D303" s="26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26">
        <f t="shared" ref="AB303:BG303" si="94">SUBTOTAL(9,AB276:AB301)</f>
        <v>225</v>
      </c>
      <c r="AC303" s="26">
        <f t="shared" si="94"/>
        <v>63347</v>
      </c>
      <c r="AD303" s="26">
        <f t="shared" si="94"/>
        <v>79209</v>
      </c>
      <c r="AE303" s="26">
        <f t="shared" si="94"/>
        <v>225</v>
      </c>
      <c r="AF303" s="26">
        <f t="shared" si="94"/>
        <v>86728</v>
      </c>
      <c r="AG303" s="26">
        <f t="shared" si="94"/>
        <v>74062</v>
      </c>
      <c r="AH303" s="26">
        <f t="shared" si="94"/>
        <v>225</v>
      </c>
      <c r="AI303" s="26">
        <f t="shared" si="94"/>
        <v>74067</v>
      </c>
      <c r="AJ303" s="26">
        <f t="shared" si="94"/>
        <v>74330</v>
      </c>
      <c r="AK303" s="26">
        <f t="shared" si="94"/>
        <v>226</v>
      </c>
      <c r="AL303" s="26">
        <f t="shared" si="94"/>
        <v>67920</v>
      </c>
      <c r="AM303" s="26">
        <f t="shared" si="94"/>
        <v>70046</v>
      </c>
      <c r="AN303" s="26">
        <f t="shared" si="94"/>
        <v>0</v>
      </c>
      <c r="AO303" s="26">
        <f t="shared" si="94"/>
        <v>0</v>
      </c>
      <c r="AP303" s="26">
        <f t="shared" si="94"/>
        <v>0</v>
      </c>
      <c r="AQ303" s="26">
        <f t="shared" si="94"/>
        <v>226</v>
      </c>
      <c r="AR303" s="26">
        <f t="shared" si="94"/>
        <v>70946</v>
      </c>
      <c r="AS303" s="26">
        <f t="shared" si="94"/>
        <v>75576</v>
      </c>
      <c r="AT303" s="26">
        <f t="shared" si="94"/>
        <v>226</v>
      </c>
      <c r="AU303" s="26">
        <f t="shared" si="94"/>
        <v>77712</v>
      </c>
      <c r="AV303" s="26">
        <f t="shared" si="94"/>
        <v>74696</v>
      </c>
      <c r="AW303" s="26">
        <f t="shared" si="94"/>
        <v>226</v>
      </c>
      <c r="AX303" s="26">
        <f t="shared" si="94"/>
        <v>61749</v>
      </c>
      <c r="AY303" s="26">
        <f t="shared" si="94"/>
        <v>74665</v>
      </c>
      <c r="AZ303" s="26">
        <f t="shared" si="94"/>
        <v>227</v>
      </c>
      <c r="BA303" s="26">
        <f t="shared" si="94"/>
        <v>87147</v>
      </c>
      <c r="BB303" s="26">
        <f t="shared" si="94"/>
        <v>74532</v>
      </c>
      <c r="BC303" s="26">
        <f t="shared" si="94"/>
        <v>227</v>
      </c>
      <c r="BD303" s="26">
        <f t="shared" si="94"/>
        <v>76088</v>
      </c>
      <c r="BE303" s="26">
        <f t="shared" si="94"/>
        <v>74004</v>
      </c>
      <c r="BF303" s="26">
        <f t="shared" si="94"/>
        <v>227</v>
      </c>
      <c r="BG303" s="26">
        <f t="shared" si="94"/>
        <v>77086</v>
      </c>
      <c r="BH303" s="26">
        <f t="shared" ref="BH303:CC303" si="95">SUBTOTAL(9,BH276:BH301)</f>
        <v>71995</v>
      </c>
      <c r="BI303" s="26">
        <f t="shared" si="95"/>
        <v>0</v>
      </c>
      <c r="BJ303" s="26">
        <f t="shared" si="95"/>
        <v>0</v>
      </c>
      <c r="BK303" s="26">
        <f t="shared" si="95"/>
        <v>0</v>
      </c>
      <c r="BL303" s="26">
        <f t="shared" si="95"/>
        <v>227</v>
      </c>
      <c r="BM303" s="26">
        <f t="shared" si="95"/>
        <v>60344</v>
      </c>
      <c r="BN303" s="26">
        <f t="shared" si="95"/>
        <v>76337</v>
      </c>
      <c r="BO303" s="26">
        <f t="shared" si="95"/>
        <v>227</v>
      </c>
      <c r="BP303" s="26">
        <f t="shared" si="95"/>
        <v>75403</v>
      </c>
      <c r="BQ303" s="26">
        <f t="shared" si="95"/>
        <v>73485</v>
      </c>
      <c r="BR303" s="26">
        <f t="shared" si="95"/>
        <v>227</v>
      </c>
      <c r="BS303" s="26">
        <f t="shared" si="95"/>
        <v>80351</v>
      </c>
      <c r="BT303" s="26">
        <f t="shared" si="95"/>
        <v>74329</v>
      </c>
      <c r="BU303" s="26">
        <f t="shared" si="95"/>
        <v>227</v>
      </c>
      <c r="BV303" s="26">
        <f t="shared" si="95"/>
        <v>69990</v>
      </c>
      <c r="BW303" s="26">
        <f t="shared" si="95"/>
        <v>72303</v>
      </c>
      <c r="BX303" s="26">
        <f t="shared" si="95"/>
        <v>227</v>
      </c>
      <c r="BY303" s="26">
        <f t="shared" si="95"/>
        <v>75025</v>
      </c>
      <c r="BZ303" s="26">
        <f>SUBTOTAL(9,BZ276:BZ301)</f>
        <v>74138</v>
      </c>
      <c r="CA303" s="26">
        <f t="shared" si="95"/>
        <v>227</v>
      </c>
      <c r="CB303" s="26">
        <f t="shared" si="95"/>
        <v>87025</v>
      </c>
      <c r="CC303" s="26">
        <f t="shared" si="95"/>
        <v>70018</v>
      </c>
      <c r="CD303" s="26">
        <f t="shared" ref="CD303:DM303" si="96">SUBTOTAL(9,CD276:CD302)</f>
        <v>0</v>
      </c>
      <c r="CE303" s="26">
        <f t="shared" si="96"/>
        <v>0</v>
      </c>
      <c r="CF303" s="26">
        <f t="shared" si="96"/>
        <v>0</v>
      </c>
      <c r="CG303" s="26">
        <f t="shared" si="96"/>
        <v>227</v>
      </c>
      <c r="CH303" s="26">
        <f t="shared" si="96"/>
        <v>57775</v>
      </c>
      <c r="CI303" s="26">
        <f t="shared" si="96"/>
        <v>75672</v>
      </c>
      <c r="CJ303" s="26">
        <f>SUBTOTAL(9,CJ276:CJ302)</f>
        <v>227</v>
      </c>
      <c r="CK303" s="26">
        <f t="shared" si="96"/>
        <v>67357</v>
      </c>
      <c r="CL303" s="26">
        <f t="shared" si="96"/>
        <v>74129</v>
      </c>
      <c r="CM303" s="26">
        <f t="shared" si="96"/>
        <v>229</v>
      </c>
      <c r="CN303" s="26">
        <f t="shared" si="96"/>
        <v>77383</v>
      </c>
      <c r="CO303" s="26">
        <f t="shared" si="96"/>
        <v>72870</v>
      </c>
      <c r="CP303" s="26">
        <f t="shared" si="96"/>
        <v>229</v>
      </c>
      <c r="CQ303" s="26">
        <f t="shared" si="96"/>
        <v>76079</v>
      </c>
      <c r="CR303" s="26">
        <f t="shared" si="96"/>
        <v>73988</v>
      </c>
      <c r="CS303" s="26">
        <f t="shared" si="96"/>
        <v>229</v>
      </c>
      <c r="CT303" s="26">
        <f t="shared" si="96"/>
        <v>74245</v>
      </c>
      <c r="CU303" s="26">
        <f t="shared" si="96"/>
        <v>74177</v>
      </c>
      <c r="CV303" s="26">
        <f t="shared" si="96"/>
        <v>229</v>
      </c>
      <c r="CW303" s="26">
        <f t="shared" si="96"/>
        <v>37795</v>
      </c>
      <c r="CX303" s="26">
        <f t="shared" si="96"/>
        <v>40073</v>
      </c>
      <c r="CY303" s="26">
        <f t="shared" si="96"/>
        <v>0</v>
      </c>
      <c r="CZ303" s="26">
        <f t="shared" si="96"/>
        <v>0</v>
      </c>
      <c r="DA303" s="26">
        <f t="shared" si="96"/>
        <v>0</v>
      </c>
      <c r="DB303" s="26">
        <f t="shared" si="96"/>
        <v>0</v>
      </c>
      <c r="DC303" s="26">
        <f t="shared" si="96"/>
        <v>0</v>
      </c>
      <c r="DD303" s="26">
        <f t="shared" si="96"/>
        <v>0</v>
      </c>
      <c r="DE303" s="26">
        <f t="shared" si="96"/>
        <v>0</v>
      </c>
      <c r="DF303" s="26">
        <f t="shared" si="96"/>
        <v>0</v>
      </c>
      <c r="DG303" s="26">
        <f t="shared" si="96"/>
        <v>0</v>
      </c>
      <c r="DH303" s="26">
        <f t="shared" si="96"/>
        <v>0</v>
      </c>
      <c r="DI303" s="26">
        <f t="shared" si="96"/>
        <v>0</v>
      </c>
      <c r="DJ303" s="26">
        <f t="shared" si="96"/>
        <v>0</v>
      </c>
      <c r="DK303" s="26">
        <f t="shared" si="96"/>
        <v>0</v>
      </c>
      <c r="DL303" s="26">
        <f t="shared" si="96"/>
        <v>0</v>
      </c>
      <c r="DM303" s="26">
        <f t="shared" si="96"/>
        <v>0</v>
      </c>
    </row>
  </sheetData>
  <autoFilter ref="A3:DM272" xr:uid="{00000000-0009-0000-0000-000007000000}"/>
  <pageMargins left="0.7" right="0.7" top="0.75" bottom="0.75" header="0.3" footer="0.3"/>
  <pageSetup paperSize="9" scale="4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D631"/>
  <sheetViews>
    <sheetView zoomScale="90" zoomScaleNormal="90" workbookViewId="0">
      <pane xSplit="3" ySplit="3" topLeftCell="D532" activePane="bottomRight" state="frozen"/>
      <selection activeCell="DD282" sqref="DD282"/>
      <selection pane="topRight" activeCell="DD282" sqref="DD282"/>
      <selection pane="bottomLeft" activeCell="DD282" sqref="DD282"/>
      <selection pane="bottomRight" activeCell="J563" sqref="J563"/>
    </sheetView>
  </sheetViews>
  <sheetFormatPr defaultRowHeight="15"/>
  <cols>
    <col min="1" max="1" width="11.7109375" style="15" customWidth="1"/>
    <col min="2" max="2" width="18.5703125" style="1" customWidth="1"/>
    <col min="3" max="3" width="45.28515625" style="79" customWidth="1"/>
    <col min="4" max="4" width="20.42578125" style="1" customWidth="1"/>
    <col min="5" max="5" width="13.28515625" style="1" customWidth="1"/>
    <col min="6" max="6" width="8.28515625" style="1" customWidth="1"/>
    <col min="7" max="7" width="14.85546875" style="1" customWidth="1"/>
    <col min="8" max="8" width="14.5703125" style="1" customWidth="1"/>
    <col min="9" max="9" width="11.140625" style="1" customWidth="1"/>
    <col min="10" max="11" width="14" style="1" customWidth="1"/>
    <col min="12" max="12" width="9" style="1" customWidth="1"/>
    <col min="13" max="13" width="12.140625" style="1" customWidth="1"/>
    <col min="14" max="14" width="9" style="1" customWidth="1"/>
    <col min="15" max="15" width="15.140625" style="13" customWidth="1"/>
    <col min="16" max="16" width="15.42578125" style="13" customWidth="1"/>
    <col min="17" max="17" width="9.85546875" style="1" customWidth="1"/>
    <col min="18" max="18" width="12.85546875" style="13" customWidth="1"/>
    <col min="19" max="19" width="13.7109375" style="13" customWidth="1"/>
    <col min="20" max="20" width="14.7109375" style="13" customWidth="1"/>
    <col min="21" max="21" width="10.5703125" style="13" customWidth="1"/>
    <col min="22" max="22" width="16" style="13" customWidth="1"/>
    <col min="23" max="23" width="19" style="1" customWidth="1"/>
    <col min="24" max="24" width="9.140625" style="1" customWidth="1"/>
    <col min="25" max="25" width="14.7109375" style="1" customWidth="1"/>
    <col min="26" max="26" width="10.7109375" style="1" customWidth="1"/>
    <col min="27" max="27" width="16.140625" style="1" customWidth="1"/>
    <col min="28" max="30" width="9.140625" style="1"/>
    <col min="31" max="31" width="10.7109375" style="1" bestFit="1" customWidth="1"/>
    <col min="32" max="16384" width="9.140625" style="1"/>
  </cols>
  <sheetData>
    <row r="2" spans="1:25" ht="31.5" customHeight="1">
      <c r="A2" s="468" t="s">
        <v>38</v>
      </c>
      <c r="B2" s="465" t="s">
        <v>43</v>
      </c>
      <c r="C2" s="469" t="s">
        <v>62</v>
      </c>
      <c r="D2" s="465" t="s">
        <v>36</v>
      </c>
      <c r="E2" s="465" t="s">
        <v>39</v>
      </c>
      <c r="F2" s="469" t="s">
        <v>90</v>
      </c>
      <c r="G2" s="459" t="s">
        <v>49</v>
      </c>
      <c r="H2" s="459" t="s">
        <v>50</v>
      </c>
      <c r="I2" s="459" t="s">
        <v>51</v>
      </c>
      <c r="J2" s="459" t="s">
        <v>52</v>
      </c>
      <c r="K2" s="459" t="s">
        <v>81</v>
      </c>
      <c r="L2" s="459" t="s">
        <v>82</v>
      </c>
      <c r="M2" s="459" t="s">
        <v>83</v>
      </c>
      <c r="N2" s="459" t="s">
        <v>84</v>
      </c>
      <c r="O2" s="466" t="s">
        <v>86</v>
      </c>
      <c r="P2" s="466" t="s">
        <v>87</v>
      </c>
      <c r="Q2" s="465" t="s">
        <v>41</v>
      </c>
      <c r="R2" s="467" t="s">
        <v>46</v>
      </c>
      <c r="S2" s="467"/>
      <c r="T2" s="456" t="s">
        <v>76</v>
      </c>
      <c r="U2" s="456" t="s">
        <v>77</v>
      </c>
      <c r="V2" s="456" t="s">
        <v>78</v>
      </c>
      <c r="W2" s="469" t="s">
        <v>23</v>
      </c>
    </row>
    <row r="3" spans="1:25" ht="21" customHeight="1" thickBot="1">
      <c r="A3" s="468"/>
      <c r="B3" s="465"/>
      <c r="C3" s="461"/>
      <c r="D3" s="465"/>
      <c r="E3" s="465"/>
      <c r="F3" s="470"/>
      <c r="G3" s="461"/>
      <c r="H3" s="461"/>
      <c r="I3" s="460"/>
      <c r="J3" s="461"/>
      <c r="K3" s="460"/>
      <c r="L3" s="460"/>
      <c r="M3" s="460"/>
      <c r="N3" s="460"/>
      <c r="O3" s="467"/>
      <c r="P3" s="467"/>
      <c r="Q3" s="465"/>
      <c r="R3" s="17" t="s">
        <v>26</v>
      </c>
      <c r="S3" s="17" t="s">
        <v>27</v>
      </c>
      <c r="T3" s="458"/>
      <c r="U3" s="457"/>
      <c r="V3" s="458"/>
      <c r="W3" s="488"/>
    </row>
    <row r="4" spans="1:25" ht="15" customHeight="1">
      <c r="A4" s="426">
        <v>46113</v>
      </c>
      <c r="B4" s="429" t="s">
        <v>44</v>
      </c>
      <c r="C4" s="432" t="s">
        <v>240</v>
      </c>
      <c r="D4" s="19" t="s">
        <v>37</v>
      </c>
      <c r="E4" s="19" t="s">
        <v>25</v>
      </c>
      <c r="F4" s="39" t="s">
        <v>40</v>
      </c>
      <c r="G4" s="41"/>
      <c r="H4" s="32">
        <v>5760</v>
      </c>
      <c r="I4" s="32"/>
      <c r="J4" s="474">
        <v>21.3</v>
      </c>
      <c r="K4" s="20">
        <v>48000</v>
      </c>
      <c r="L4" s="20">
        <v>6</v>
      </c>
      <c r="M4" s="20">
        <v>208000</v>
      </c>
      <c r="N4" s="84">
        <v>26</v>
      </c>
      <c r="O4" s="32">
        <f>Apr!AC276</f>
        <v>26552</v>
      </c>
      <c r="P4" s="32">
        <f>Apr!AD276</f>
        <v>37518</v>
      </c>
      <c r="Q4" s="32">
        <f>Apr!AB276</f>
        <v>94</v>
      </c>
      <c r="R4" s="435">
        <f>Apr!AC303</f>
        <v>63347</v>
      </c>
      <c r="S4" s="435">
        <f>Apr!AD303</f>
        <v>79209</v>
      </c>
      <c r="T4" s="20">
        <v>43176</v>
      </c>
      <c r="U4" s="20"/>
      <c r="V4" s="20">
        <f>O4-T4-U4+35887</f>
        <v>19263</v>
      </c>
      <c r="W4" s="77"/>
      <c r="X4" s="36"/>
    </row>
    <row r="5" spans="1:25" ht="15" customHeight="1">
      <c r="A5" s="427"/>
      <c r="B5" s="431"/>
      <c r="C5" s="434"/>
      <c r="D5" s="113" t="s">
        <v>128</v>
      </c>
      <c r="E5" s="113" t="s">
        <v>24</v>
      </c>
      <c r="F5" s="114" t="s">
        <v>40</v>
      </c>
      <c r="G5" s="170">
        <v>4357.24</v>
      </c>
      <c r="H5" s="135"/>
      <c r="I5" s="125"/>
      <c r="J5" s="475"/>
      <c r="K5" s="18">
        <v>32000</v>
      </c>
      <c r="L5" s="127">
        <v>4</v>
      </c>
      <c r="M5" s="216">
        <v>191400</v>
      </c>
      <c r="N5" s="238">
        <v>24</v>
      </c>
      <c r="O5" s="126">
        <f>Apr!AC277</f>
        <v>16840</v>
      </c>
      <c r="P5" s="125">
        <f>Apr!AD277</f>
        <v>22004</v>
      </c>
      <c r="Q5" s="125">
        <f>Apr!AB277</f>
        <v>56</v>
      </c>
      <c r="R5" s="436"/>
      <c r="S5" s="436"/>
      <c r="T5" s="127">
        <v>22432</v>
      </c>
      <c r="U5" s="127">
        <v>50</v>
      </c>
      <c r="V5" s="127">
        <f>O5-T5-U5+23667</f>
        <v>18025</v>
      </c>
      <c r="W5" s="46"/>
      <c r="X5" s="67"/>
    </row>
    <row r="6" spans="1:25" ht="15" customHeight="1">
      <c r="A6" s="427"/>
      <c r="B6" s="442" t="s">
        <v>45</v>
      </c>
      <c r="C6" s="448" t="s">
        <v>59</v>
      </c>
      <c r="D6" s="118" t="s">
        <v>75</v>
      </c>
      <c r="E6" s="131" t="s">
        <v>25</v>
      </c>
      <c r="F6" s="131" t="s">
        <v>57</v>
      </c>
      <c r="G6" s="87"/>
      <c r="H6" s="136"/>
      <c r="I6" s="126"/>
      <c r="J6" s="475"/>
      <c r="K6" s="127"/>
      <c r="L6" s="18"/>
      <c r="M6" s="18">
        <v>10000</v>
      </c>
      <c r="N6" s="80">
        <v>2</v>
      </c>
      <c r="O6" s="126">
        <f>Apr!AC282</f>
        <v>1613</v>
      </c>
      <c r="P6" s="126">
        <f>Apr!AD282</f>
        <v>4020</v>
      </c>
      <c r="Q6" s="2">
        <f>Apr!AB282</f>
        <v>15</v>
      </c>
      <c r="R6" s="436"/>
      <c r="S6" s="436"/>
      <c r="T6" s="18"/>
      <c r="U6" s="18"/>
      <c r="V6" s="127">
        <f>O6-T6-U6+106534</f>
        <v>108147</v>
      </c>
      <c r="W6" s="46"/>
      <c r="Y6" s="13"/>
    </row>
    <row r="7" spans="1:25">
      <c r="A7" s="427"/>
      <c r="B7" s="439"/>
      <c r="C7" s="440"/>
      <c r="D7" s="118" t="s">
        <v>72</v>
      </c>
      <c r="E7" s="424" t="s">
        <v>24</v>
      </c>
      <c r="F7" s="131" t="s">
        <v>57</v>
      </c>
      <c r="G7" s="224"/>
      <c r="H7" s="136"/>
      <c r="I7" s="126"/>
      <c r="J7" s="475"/>
      <c r="K7" s="127">
        <v>5000</v>
      </c>
      <c r="L7" s="18">
        <v>1</v>
      </c>
      <c r="M7" s="18">
        <v>70000</v>
      </c>
      <c r="N7" s="80">
        <v>14</v>
      </c>
      <c r="O7" s="126">
        <f>Apr!AC284</f>
        <v>8544</v>
      </c>
      <c r="P7" s="126">
        <f>Apr!AD284</f>
        <v>6727</v>
      </c>
      <c r="Q7" s="126">
        <f>Apr!AB284</f>
        <v>26</v>
      </c>
      <c r="R7" s="436"/>
      <c r="S7" s="436"/>
      <c r="T7" s="18">
        <v>5965</v>
      </c>
      <c r="U7" s="18">
        <v>6</v>
      </c>
      <c r="V7" s="127">
        <f>O7-T7-U7+2227</f>
        <v>4800</v>
      </c>
      <c r="W7" s="46"/>
      <c r="Y7" s="13"/>
    </row>
    <row r="8" spans="1:25">
      <c r="A8" s="427"/>
      <c r="B8" s="439"/>
      <c r="C8" s="440"/>
      <c r="D8" s="115" t="s">
        <v>73</v>
      </c>
      <c r="E8" s="425"/>
      <c r="F8" s="131"/>
      <c r="G8" s="224"/>
      <c r="H8" s="152">
        <v>1980</v>
      </c>
      <c r="I8" s="126"/>
      <c r="J8" s="475"/>
      <c r="K8" s="127"/>
      <c r="L8" s="18"/>
      <c r="M8" s="18"/>
      <c r="N8" s="80"/>
      <c r="O8" s="126"/>
      <c r="P8" s="126"/>
      <c r="Q8" s="126"/>
      <c r="R8" s="436"/>
      <c r="S8" s="436"/>
      <c r="T8" s="18"/>
      <c r="U8" s="18"/>
      <c r="V8" s="127"/>
      <c r="W8" s="46"/>
      <c r="Y8" s="13"/>
    </row>
    <row r="9" spans="1:25" ht="14.25" customHeight="1">
      <c r="A9" s="427"/>
      <c r="B9" s="439"/>
      <c r="C9" s="440"/>
      <c r="D9" s="115" t="s">
        <v>79</v>
      </c>
      <c r="E9" s="118" t="s">
        <v>65</v>
      </c>
      <c r="F9" s="131" t="s">
        <v>57</v>
      </c>
      <c r="G9" s="224"/>
      <c r="H9" s="37"/>
      <c r="I9" s="126"/>
      <c r="J9" s="475"/>
      <c r="K9" s="18"/>
      <c r="L9" s="18"/>
      <c r="M9" s="18"/>
      <c r="N9" s="80"/>
      <c r="O9" s="126"/>
      <c r="P9" s="126">
        <f>Apr!AD285</f>
        <v>185</v>
      </c>
      <c r="Q9" s="126">
        <f>Apr!AB285</f>
        <v>1</v>
      </c>
      <c r="R9" s="436"/>
      <c r="S9" s="436"/>
      <c r="T9" s="18"/>
      <c r="U9" s="18"/>
      <c r="V9" s="127"/>
      <c r="W9" s="45"/>
      <c r="X9" s="36"/>
    </row>
    <row r="10" spans="1:25" ht="14.25" customHeight="1">
      <c r="A10" s="427"/>
      <c r="B10" s="137" t="s">
        <v>53</v>
      </c>
      <c r="C10" s="157" t="s">
        <v>60</v>
      </c>
      <c r="D10" s="43" t="s">
        <v>130</v>
      </c>
      <c r="E10" s="115" t="s">
        <v>66</v>
      </c>
      <c r="F10" s="118" t="s">
        <v>54</v>
      </c>
      <c r="G10" s="224"/>
      <c r="H10" s="37"/>
      <c r="I10" s="126"/>
      <c r="J10" s="475"/>
      <c r="K10" s="18">
        <v>12000</v>
      </c>
      <c r="L10" s="18">
        <v>2</v>
      </c>
      <c r="M10" s="18">
        <v>54000</v>
      </c>
      <c r="N10" s="80">
        <v>9</v>
      </c>
      <c r="O10" s="126">
        <f>Apr!AC279</f>
        <v>9427</v>
      </c>
      <c r="P10" s="126">
        <f>Apr!AD279</f>
        <v>8670</v>
      </c>
      <c r="Q10" s="126">
        <f>Apr!AB279</f>
        <v>24</v>
      </c>
      <c r="R10" s="436"/>
      <c r="S10" s="436"/>
      <c r="T10" s="18">
        <v>14048</v>
      </c>
      <c r="U10" s="18"/>
      <c r="V10" s="127">
        <f>O10-T10-U10+7001</f>
        <v>2380</v>
      </c>
      <c r="W10" s="45"/>
      <c r="X10" s="67"/>
    </row>
    <row r="11" spans="1:25" ht="15.75" customHeight="1">
      <c r="A11" s="427"/>
      <c r="B11" s="122" t="s">
        <v>55</v>
      </c>
      <c r="C11" s="180" t="s">
        <v>133</v>
      </c>
      <c r="D11" s="48" t="s">
        <v>56</v>
      </c>
      <c r="E11" s="424" t="s">
        <v>25</v>
      </c>
      <c r="F11" s="118" t="s">
        <v>67</v>
      </c>
      <c r="G11" s="226"/>
      <c r="H11" s="126"/>
      <c r="I11" s="126"/>
      <c r="J11" s="475"/>
      <c r="K11" s="18"/>
      <c r="L11" s="18"/>
      <c r="M11" s="18">
        <v>2800</v>
      </c>
      <c r="N11" s="18">
        <v>1</v>
      </c>
      <c r="O11" s="126"/>
      <c r="P11" s="126"/>
      <c r="Q11" s="126"/>
      <c r="R11" s="436"/>
      <c r="S11" s="436"/>
      <c r="T11" s="18"/>
      <c r="U11" s="18"/>
      <c r="V11" s="127">
        <f>O11-T11-U11+500</f>
        <v>500</v>
      </c>
      <c r="W11" s="45"/>
      <c r="X11" s="67"/>
    </row>
    <row r="12" spans="1:25" ht="15" customHeight="1">
      <c r="A12" s="427"/>
      <c r="B12" s="122" t="s">
        <v>122</v>
      </c>
      <c r="C12" s="180" t="s">
        <v>123</v>
      </c>
      <c r="D12" s="48" t="s">
        <v>56</v>
      </c>
      <c r="E12" s="441"/>
      <c r="F12" s="155" t="s">
        <v>64</v>
      </c>
      <c r="G12" s="119"/>
      <c r="H12" s="126"/>
      <c r="I12" s="126"/>
      <c r="J12" s="475"/>
      <c r="K12" s="18"/>
      <c r="L12" s="18"/>
      <c r="M12" s="18">
        <v>6400</v>
      </c>
      <c r="N12" s="18">
        <v>2</v>
      </c>
      <c r="O12" s="126"/>
      <c r="P12" s="126"/>
      <c r="Q12" s="126">
        <f>Apr!AB287</f>
        <v>1</v>
      </c>
      <c r="R12" s="436"/>
      <c r="S12" s="436"/>
      <c r="T12" s="18"/>
      <c r="U12" s="18"/>
      <c r="V12" s="127">
        <f>O12-T12-U12+31304</f>
        <v>31304</v>
      </c>
      <c r="W12" s="45"/>
      <c r="X12" s="67"/>
    </row>
    <row r="13" spans="1:25" ht="14.25" customHeight="1">
      <c r="A13" s="427"/>
      <c r="B13" s="137" t="s">
        <v>58</v>
      </c>
      <c r="C13" s="157" t="s">
        <v>243</v>
      </c>
      <c r="D13" s="48" t="s">
        <v>56</v>
      </c>
      <c r="E13" s="441"/>
      <c r="F13" s="118" t="s">
        <v>64</v>
      </c>
      <c r="G13" s="225"/>
      <c r="H13" s="126"/>
      <c r="I13" s="126"/>
      <c r="J13" s="475"/>
      <c r="K13" s="18"/>
      <c r="L13" s="18"/>
      <c r="M13" s="18"/>
      <c r="N13" s="80"/>
      <c r="O13" s="126"/>
      <c r="P13" s="126"/>
      <c r="Q13" s="126">
        <f>Apr!AB288</f>
        <v>1</v>
      </c>
      <c r="R13" s="436"/>
      <c r="S13" s="436"/>
      <c r="T13" s="18"/>
      <c r="U13" s="18"/>
      <c r="V13" s="127">
        <f>O13-T13-U13+8562</f>
        <v>8562</v>
      </c>
      <c r="W13" s="45"/>
      <c r="X13" s="67"/>
    </row>
    <row r="14" spans="1:25" ht="14.25" customHeight="1">
      <c r="A14" s="427"/>
      <c r="B14" s="122" t="s">
        <v>61</v>
      </c>
      <c r="C14" s="180" t="s">
        <v>137</v>
      </c>
      <c r="D14" s="48" t="s">
        <v>56</v>
      </c>
      <c r="E14" s="441"/>
      <c r="F14" s="118" t="s">
        <v>67</v>
      </c>
      <c r="G14" s="225"/>
      <c r="H14" s="126"/>
      <c r="I14" s="126"/>
      <c r="J14" s="475"/>
      <c r="K14" s="18"/>
      <c r="L14" s="18"/>
      <c r="M14" s="18"/>
      <c r="N14" s="80"/>
      <c r="O14" s="126"/>
      <c r="P14" s="126"/>
      <c r="Q14" s="126">
        <f>Apr!AB289</f>
        <v>1</v>
      </c>
      <c r="R14" s="436"/>
      <c r="S14" s="436"/>
      <c r="T14" s="18"/>
      <c r="U14" s="18"/>
      <c r="V14" s="127">
        <f>O14-T14-U14+5844</f>
        <v>5844</v>
      </c>
      <c r="W14" s="45"/>
      <c r="X14" s="67"/>
    </row>
    <row r="15" spans="1:25" ht="14.25" customHeight="1">
      <c r="A15" s="427"/>
      <c r="B15" s="122" t="s">
        <v>125</v>
      </c>
      <c r="C15" s="180" t="s">
        <v>88</v>
      </c>
      <c r="D15" s="48" t="s">
        <v>124</v>
      </c>
      <c r="E15" s="441"/>
      <c r="F15" s="118" t="s">
        <v>64</v>
      </c>
      <c r="G15" s="225"/>
      <c r="H15" s="126"/>
      <c r="I15" s="126"/>
      <c r="J15" s="475"/>
      <c r="K15" s="18"/>
      <c r="L15" s="18"/>
      <c r="M15" s="18">
        <v>51200</v>
      </c>
      <c r="N15" s="80">
        <v>7</v>
      </c>
      <c r="O15" s="126"/>
      <c r="P15" s="126"/>
      <c r="Q15" s="126"/>
      <c r="R15" s="436"/>
      <c r="S15" s="436"/>
      <c r="T15" s="18"/>
      <c r="U15" s="18"/>
      <c r="V15" s="127">
        <f>O15-T15-U15+23615</f>
        <v>23615</v>
      </c>
      <c r="W15" s="45"/>
      <c r="X15" s="67"/>
    </row>
    <row r="16" spans="1:25" ht="14.25" customHeight="1">
      <c r="A16" s="427"/>
      <c r="B16" s="137" t="s">
        <v>47</v>
      </c>
      <c r="C16" s="157" t="s">
        <v>100</v>
      </c>
      <c r="D16" s="48" t="s">
        <v>99</v>
      </c>
      <c r="E16" s="441"/>
      <c r="F16" s="118" t="s">
        <v>71</v>
      </c>
      <c r="G16" s="225"/>
      <c r="H16" s="126"/>
      <c r="I16" s="126"/>
      <c r="J16" s="475"/>
      <c r="K16" s="18"/>
      <c r="L16" s="18"/>
      <c r="M16" s="18">
        <v>18000</v>
      </c>
      <c r="N16" s="80">
        <v>3</v>
      </c>
      <c r="O16" s="126"/>
      <c r="P16" s="126"/>
      <c r="Q16" s="126"/>
      <c r="R16" s="436"/>
      <c r="S16" s="436"/>
      <c r="T16" s="18"/>
      <c r="U16" s="18"/>
      <c r="V16" s="127">
        <f>O16-T16-U16+63278</f>
        <v>63278</v>
      </c>
      <c r="W16" s="45"/>
      <c r="X16" s="67"/>
    </row>
    <row r="17" spans="1:25" ht="15" customHeight="1">
      <c r="A17" s="427"/>
      <c r="B17" s="122" t="s">
        <v>196</v>
      </c>
      <c r="C17" s="180" t="s">
        <v>63</v>
      </c>
      <c r="D17" s="48" t="s">
        <v>135</v>
      </c>
      <c r="E17" s="441"/>
      <c r="F17" s="118" t="s">
        <v>64</v>
      </c>
      <c r="G17" s="226"/>
      <c r="H17" s="126"/>
      <c r="I17" s="126"/>
      <c r="J17" s="475"/>
      <c r="K17" s="18"/>
      <c r="L17" s="18"/>
      <c r="M17" s="18">
        <v>33200</v>
      </c>
      <c r="N17" s="18">
        <v>4</v>
      </c>
      <c r="O17" s="126"/>
      <c r="P17" s="126"/>
      <c r="Q17" s="126"/>
      <c r="R17" s="436"/>
      <c r="S17" s="436"/>
      <c r="T17" s="18"/>
      <c r="U17" s="18"/>
      <c r="V17" s="127">
        <f>O17-T17-U17+15106</f>
        <v>15106</v>
      </c>
      <c r="W17" s="45"/>
      <c r="X17" s="67"/>
    </row>
    <row r="18" spans="1:25" ht="15" customHeight="1">
      <c r="A18" s="427"/>
      <c r="B18" s="122" t="s">
        <v>253</v>
      </c>
      <c r="C18" s="180" t="s">
        <v>252</v>
      </c>
      <c r="D18" s="48" t="s">
        <v>246</v>
      </c>
      <c r="E18" s="441"/>
      <c r="F18" s="118" t="s">
        <v>247</v>
      </c>
      <c r="G18" s="226"/>
      <c r="H18" s="126"/>
      <c r="I18" s="126"/>
      <c r="J18" s="475"/>
      <c r="K18" s="18"/>
      <c r="L18" s="18"/>
      <c r="M18" s="18"/>
      <c r="N18" s="18"/>
      <c r="O18" s="126"/>
      <c r="P18" s="126"/>
      <c r="Q18" s="126">
        <f>Apr!AB291</f>
        <v>1</v>
      </c>
      <c r="R18" s="436"/>
      <c r="S18" s="436"/>
      <c r="T18" s="18"/>
      <c r="U18" s="18"/>
      <c r="V18" s="127">
        <f>O18-T18-U18+503</f>
        <v>503</v>
      </c>
      <c r="W18" s="45"/>
      <c r="X18" s="67"/>
    </row>
    <row r="19" spans="1:25" ht="15" customHeight="1">
      <c r="A19" s="427"/>
      <c r="B19" s="122" t="s">
        <v>131</v>
      </c>
      <c r="C19" s="180" t="s">
        <v>194</v>
      </c>
      <c r="D19" s="48" t="s">
        <v>132</v>
      </c>
      <c r="E19" s="441"/>
      <c r="F19" s="118" t="s">
        <v>64</v>
      </c>
      <c r="G19" s="119"/>
      <c r="H19" s="126"/>
      <c r="I19" s="126"/>
      <c r="J19" s="475"/>
      <c r="K19" s="18"/>
      <c r="L19" s="18"/>
      <c r="M19" s="18"/>
      <c r="N19" s="18"/>
      <c r="O19" s="126"/>
      <c r="P19" s="126"/>
      <c r="Q19" s="126"/>
      <c r="R19" s="436"/>
      <c r="S19" s="436"/>
      <c r="T19" s="18"/>
      <c r="U19" s="18"/>
      <c r="V19" s="18"/>
      <c r="W19" s="45"/>
      <c r="X19" s="67"/>
    </row>
    <row r="20" spans="1:25" ht="15" customHeight="1">
      <c r="A20" s="427"/>
      <c r="B20" s="122" t="s">
        <v>101</v>
      </c>
      <c r="C20" s="180" t="s">
        <v>193</v>
      </c>
      <c r="D20" s="48" t="s">
        <v>102</v>
      </c>
      <c r="E20" s="441"/>
      <c r="F20" s="118" t="s">
        <v>64</v>
      </c>
      <c r="G20" s="119"/>
      <c r="H20" s="126"/>
      <c r="I20" s="126"/>
      <c r="J20" s="475"/>
      <c r="K20" s="18"/>
      <c r="L20" s="18"/>
      <c r="M20" s="18"/>
      <c r="N20" s="18"/>
      <c r="O20" s="126"/>
      <c r="P20" s="126"/>
      <c r="Q20" s="126">
        <f>Apr!AB297</f>
        <v>1</v>
      </c>
      <c r="R20" s="436"/>
      <c r="S20" s="436"/>
      <c r="T20" s="18"/>
      <c r="U20" s="18"/>
      <c r="V20" s="18"/>
      <c r="W20" s="45"/>
      <c r="X20" s="67"/>
    </row>
    <row r="21" spans="1:25" ht="15" customHeight="1">
      <c r="A21" s="427"/>
      <c r="B21" s="122" t="s">
        <v>103</v>
      </c>
      <c r="C21" s="157" t="s">
        <v>197</v>
      </c>
      <c r="D21" s="48" t="s">
        <v>104</v>
      </c>
      <c r="E21" s="441"/>
      <c r="F21" s="118" t="s">
        <v>105</v>
      </c>
      <c r="G21" s="119"/>
      <c r="H21" s="126"/>
      <c r="I21" s="126"/>
      <c r="J21" s="475"/>
      <c r="K21" s="18"/>
      <c r="L21" s="18"/>
      <c r="M21" s="18"/>
      <c r="N21" s="18"/>
      <c r="O21" s="126"/>
      <c r="P21" s="126"/>
      <c r="Q21" s="126">
        <f>Apr!AB298</f>
        <v>1</v>
      </c>
      <c r="R21" s="436"/>
      <c r="S21" s="436"/>
      <c r="T21" s="18"/>
      <c r="U21" s="18"/>
      <c r="V21" s="18"/>
      <c r="W21" s="45"/>
      <c r="X21" s="67"/>
    </row>
    <row r="22" spans="1:25" ht="15" customHeight="1">
      <c r="A22" s="427"/>
      <c r="B22" s="137" t="s">
        <v>112</v>
      </c>
      <c r="C22" s="157" t="s">
        <v>197</v>
      </c>
      <c r="D22" s="48" t="s">
        <v>104</v>
      </c>
      <c r="E22" s="441"/>
      <c r="F22" s="118" t="s">
        <v>113</v>
      </c>
      <c r="G22" s="119"/>
      <c r="H22" s="126"/>
      <c r="I22" s="126"/>
      <c r="J22" s="475"/>
      <c r="K22" s="18"/>
      <c r="L22" s="18"/>
      <c r="M22" s="18"/>
      <c r="N22" s="18"/>
      <c r="O22" s="126"/>
      <c r="P22" s="126"/>
      <c r="Q22" s="126">
        <f>Apr!AB301</f>
        <v>1</v>
      </c>
      <c r="R22" s="436"/>
      <c r="S22" s="436"/>
      <c r="T22" s="18"/>
      <c r="U22" s="18"/>
      <c r="V22" s="18"/>
      <c r="W22" s="45"/>
      <c r="X22" s="67"/>
    </row>
    <row r="23" spans="1:25" ht="15" customHeight="1">
      <c r="A23" s="427"/>
      <c r="B23" s="137" t="s">
        <v>106</v>
      </c>
      <c r="C23" s="157" t="s">
        <v>141</v>
      </c>
      <c r="D23" s="48" t="s">
        <v>68</v>
      </c>
      <c r="E23" s="441"/>
      <c r="F23" s="118" t="s">
        <v>67</v>
      </c>
      <c r="G23" s="119"/>
      <c r="H23" s="126"/>
      <c r="I23" s="126"/>
      <c r="J23" s="475"/>
      <c r="K23" s="18"/>
      <c r="L23" s="18"/>
      <c r="M23" s="18"/>
      <c r="N23" s="18"/>
      <c r="O23" s="126">
        <f>Apr!AC299</f>
        <v>371</v>
      </c>
      <c r="P23" s="126">
        <f>Apr!AD299</f>
        <v>85</v>
      </c>
      <c r="Q23" s="126">
        <f>Apr!AB299</f>
        <v>1</v>
      </c>
      <c r="R23" s="436"/>
      <c r="S23" s="436"/>
      <c r="T23" s="18">
        <v>371</v>
      </c>
      <c r="U23" s="18"/>
      <c r="V23" s="18"/>
      <c r="W23" s="45"/>
      <c r="X23" s="67"/>
    </row>
    <row r="24" spans="1:25" ht="15" customHeight="1" thickBot="1">
      <c r="A24" s="428"/>
      <c r="B24" s="44" t="s">
        <v>107</v>
      </c>
      <c r="C24" s="181" t="s">
        <v>195</v>
      </c>
      <c r="D24" s="61" t="s">
        <v>108</v>
      </c>
      <c r="E24" s="447"/>
      <c r="F24" s="133" t="s">
        <v>48</v>
      </c>
      <c r="G24" s="132"/>
      <c r="H24" s="109"/>
      <c r="I24" s="134"/>
      <c r="J24" s="476"/>
      <c r="K24" s="130"/>
      <c r="L24" s="130"/>
      <c r="M24" s="130"/>
      <c r="N24" s="130"/>
      <c r="O24" s="134"/>
      <c r="P24" s="134"/>
      <c r="Q24" s="134">
        <f>Apr!AB300</f>
        <v>1</v>
      </c>
      <c r="R24" s="437"/>
      <c r="S24" s="437"/>
      <c r="T24" s="130"/>
      <c r="U24" s="130"/>
      <c r="V24" s="128"/>
      <c r="W24" s="85"/>
      <c r="X24" s="67"/>
    </row>
    <row r="25" spans="1:25" ht="15" customHeight="1">
      <c r="A25" s="426">
        <v>46114</v>
      </c>
      <c r="B25" s="429" t="s">
        <v>44</v>
      </c>
      <c r="C25" s="432" t="s">
        <v>240</v>
      </c>
      <c r="D25" s="19" t="s">
        <v>37</v>
      </c>
      <c r="E25" s="19" t="s">
        <v>25</v>
      </c>
      <c r="F25" s="39" t="s">
        <v>40</v>
      </c>
      <c r="G25" s="41"/>
      <c r="H25" s="32"/>
      <c r="I25" s="32"/>
      <c r="J25" s="32"/>
      <c r="K25" s="20"/>
      <c r="L25" s="20"/>
      <c r="M25" s="20">
        <v>208000</v>
      </c>
      <c r="N25" s="84">
        <v>26</v>
      </c>
      <c r="O25" s="32">
        <f>Apr!AF276</f>
        <v>35057</v>
      </c>
      <c r="P25" s="32">
        <f>Apr!AG276</f>
        <v>35451</v>
      </c>
      <c r="Q25" s="32">
        <f>Apr!AE276</f>
        <v>94</v>
      </c>
      <c r="R25" s="435">
        <f>Apr!AF303</f>
        <v>86728</v>
      </c>
      <c r="S25" s="435">
        <f>Apr!AG303</f>
        <v>74062</v>
      </c>
      <c r="T25" s="20">
        <v>34567</v>
      </c>
      <c r="U25" s="20">
        <v>152</v>
      </c>
      <c r="V25" s="20">
        <f>O25-T25-U25+V4</f>
        <v>19601</v>
      </c>
      <c r="W25" s="77"/>
      <c r="X25" s="36"/>
    </row>
    <row r="26" spans="1:25" ht="15" customHeight="1">
      <c r="A26" s="427"/>
      <c r="B26" s="431"/>
      <c r="C26" s="434"/>
      <c r="D26" s="113" t="s">
        <v>128</v>
      </c>
      <c r="E26" s="113" t="s">
        <v>24</v>
      </c>
      <c r="F26" s="114" t="s">
        <v>40</v>
      </c>
      <c r="G26" s="170"/>
      <c r="H26" s="158">
        <v>2685</v>
      </c>
      <c r="I26" s="125"/>
      <c r="J26" s="125"/>
      <c r="K26" s="18">
        <v>16000</v>
      </c>
      <c r="L26" s="127">
        <v>2</v>
      </c>
      <c r="M26" s="216">
        <v>175400</v>
      </c>
      <c r="N26" s="238">
        <v>22</v>
      </c>
      <c r="O26" s="126">
        <f>Apr!AF277</f>
        <v>39160</v>
      </c>
      <c r="P26" s="125">
        <f>Apr!AG277</f>
        <v>20358</v>
      </c>
      <c r="Q26" s="125">
        <f>Apr!AE277</f>
        <v>56</v>
      </c>
      <c r="R26" s="436"/>
      <c r="S26" s="436"/>
      <c r="T26" s="127">
        <v>19922</v>
      </c>
      <c r="U26" s="127">
        <v>3</v>
      </c>
      <c r="V26" s="127">
        <f>O26-T26-U26+V5</f>
        <v>37260</v>
      </c>
      <c r="W26" s="46"/>
      <c r="X26" s="67"/>
    </row>
    <row r="27" spans="1:25" ht="15" customHeight="1">
      <c r="A27" s="427"/>
      <c r="B27" s="442" t="s">
        <v>45</v>
      </c>
      <c r="C27" s="448" t="s">
        <v>59</v>
      </c>
      <c r="D27" s="118" t="s">
        <v>75</v>
      </c>
      <c r="E27" s="438" t="s">
        <v>25</v>
      </c>
      <c r="F27" s="131" t="s">
        <v>57</v>
      </c>
      <c r="G27" s="87"/>
      <c r="H27" s="136"/>
      <c r="I27" s="126"/>
      <c r="J27" s="2"/>
      <c r="K27" s="127"/>
      <c r="L27" s="18"/>
      <c r="M27" s="18">
        <v>10000</v>
      </c>
      <c r="N27" s="80">
        <v>2</v>
      </c>
      <c r="O27" s="126">
        <f>Apr!AF282</f>
        <v>2200</v>
      </c>
      <c r="P27" s="126">
        <f>Apr!AG282</f>
        <v>3787</v>
      </c>
      <c r="Q27" s="2">
        <f>Apr!AE282</f>
        <v>15</v>
      </c>
      <c r="R27" s="436"/>
      <c r="S27" s="436"/>
      <c r="T27" s="18">
        <v>31779</v>
      </c>
      <c r="U27" s="18"/>
      <c r="V27" s="127">
        <f>O27-T27-U27+V6</f>
        <v>78568</v>
      </c>
      <c r="W27" s="46"/>
      <c r="Y27" s="13"/>
    </row>
    <row r="28" spans="1:25">
      <c r="A28" s="427"/>
      <c r="B28" s="439"/>
      <c r="C28" s="440"/>
      <c r="D28" s="118" t="s">
        <v>94</v>
      </c>
      <c r="E28" s="431"/>
      <c r="F28" s="131"/>
      <c r="G28" s="136"/>
      <c r="H28" s="136"/>
      <c r="I28" s="126"/>
      <c r="J28" s="126"/>
      <c r="K28" s="127"/>
      <c r="L28" s="18"/>
      <c r="M28" s="18"/>
      <c r="N28" s="80"/>
      <c r="O28" s="126"/>
      <c r="P28" s="126"/>
      <c r="Q28" s="2"/>
      <c r="R28" s="436"/>
      <c r="S28" s="436"/>
      <c r="T28" s="18"/>
      <c r="U28" s="18"/>
      <c r="V28" s="127"/>
      <c r="W28" s="46"/>
      <c r="Y28" s="13"/>
    </row>
    <row r="29" spans="1:25">
      <c r="A29" s="427"/>
      <c r="B29" s="439"/>
      <c r="C29" s="440"/>
      <c r="D29" s="118" t="s">
        <v>72</v>
      </c>
      <c r="E29" s="155" t="s">
        <v>24</v>
      </c>
      <c r="F29" s="131" t="s">
        <v>57</v>
      </c>
      <c r="G29" s="224"/>
      <c r="H29" s="136"/>
      <c r="I29" s="126"/>
      <c r="J29" s="126"/>
      <c r="K29" s="127">
        <v>5000</v>
      </c>
      <c r="L29" s="18">
        <v>1</v>
      </c>
      <c r="M29" s="18">
        <v>65000</v>
      </c>
      <c r="N29" s="80">
        <v>13</v>
      </c>
      <c r="O29" s="126">
        <f>Apr!AF284</f>
        <v>7351</v>
      </c>
      <c r="P29" s="126">
        <f>Apr!AG284</f>
        <v>6284</v>
      </c>
      <c r="Q29" s="126">
        <f>Apr!AE284</f>
        <v>26</v>
      </c>
      <c r="R29" s="436"/>
      <c r="S29" s="436"/>
      <c r="T29" s="18">
        <v>5244</v>
      </c>
      <c r="U29" s="18"/>
      <c r="V29" s="127">
        <f>O29-T29-U29+V7</f>
        <v>6907</v>
      </c>
      <c r="W29" s="46"/>
      <c r="Y29" s="13"/>
    </row>
    <row r="30" spans="1:25" ht="14.25" customHeight="1">
      <c r="A30" s="427"/>
      <c r="B30" s="439"/>
      <c r="C30" s="440"/>
      <c r="D30" s="115" t="s">
        <v>79</v>
      </c>
      <c r="E30" s="118" t="s">
        <v>65</v>
      </c>
      <c r="F30" s="131" t="s">
        <v>57</v>
      </c>
      <c r="G30" s="224"/>
      <c r="H30" s="37"/>
      <c r="I30" s="126"/>
      <c r="J30" s="126"/>
      <c r="K30" s="18"/>
      <c r="L30" s="18"/>
      <c r="M30" s="18"/>
      <c r="N30" s="80"/>
      <c r="O30" s="126"/>
      <c r="P30" s="126"/>
      <c r="Q30" s="126">
        <f>Apr!AE285</f>
        <v>1</v>
      </c>
      <c r="R30" s="436"/>
      <c r="S30" s="436"/>
      <c r="T30" s="18"/>
      <c r="U30" s="18"/>
      <c r="V30" s="127"/>
      <c r="W30" s="45"/>
      <c r="X30" s="36"/>
    </row>
    <row r="31" spans="1:25" ht="14.25" customHeight="1">
      <c r="A31" s="427"/>
      <c r="B31" s="442" t="s">
        <v>53</v>
      </c>
      <c r="C31" s="444" t="s">
        <v>60</v>
      </c>
      <c r="D31" s="43" t="s">
        <v>130</v>
      </c>
      <c r="E31" s="115" t="s">
        <v>66</v>
      </c>
      <c r="F31" s="118" t="s">
        <v>54</v>
      </c>
      <c r="G31" s="229">
        <v>2558.94</v>
      </c>
      <c r="H31" s="37"/>
      <c r="I31" s="126"/>
      <c r="J31" s="126"/>
      <c r="K31" s="18">
        <v>6000</v>
      </c>
      <c r="L31" s="18">
        <v>1</v>
      </c>
      <c r="M31" s="18">
        <v>84000</v>
      </c>
      <c r="N31" s="80">
        <v>14</v>
      </c>
      <c r="O31" s="126">
        <f>Apr!AF279</f>
        <v>2960</v>
      </c>
      <c r="P31" s="126">
        <f>Apr!AG279</f>
        <v>8182</v>
      </c>
      <c r="Q31" s="126">
        <f>Apr!AE279</f>
        <v>24</v>
      </c>
      <c r="R31" s="436"/>
      <c r="S31" s="436"/>
      <c r="T31" s="18"/>
      <c r="U31" s="18"/>
      <c r="V31" s="127">
        <f>O31-T31-U31+V10</f>
        <v>5340</v>
      </c>
      <c r="W31" s="45"/>
      <c r="X31" s="67"/>
    </row>
    <row r="32" spans="1:25" ht="14.25" customHeight="1">
      <c r="A32" s="427"/>
      <c r="B32" s="443"/>
      <c r="C32" s="446"/>
      <c r="D32" s="43" t="s">
        <v>199</v>
      </c>
      <c r="E32" s="114" t="s">
        <v>25</v>
      </c>
      <c r="F32" s="118"/>
      <c r="G32" s="224"/>
      <c r="H32" s="135"/>
      <c r="I32" s="158"/>
      <c r="J32" s="158"/>
      <c r="K32" s="128"/>
      <c r="L32" s="128"/>
      <c r="M32" s="128"/>
      <c r="N32" s="164"/>
      <c r="O32" s="158"/>
      <c r="P32" s="158"/>
      <c r="Q32" s="158"/>
      <c r="R32" s="436"/>
      <c r="S32" s="436"/>
      <c r="T32" s="18"/>
      <c r="U32" s="18"/>
      <c r="V32" s="127"/>
      <c r="W32" s="45"/>
      <c r="X32" s="67"/>
    </row>
    <row r="33" spans="1:25" ht="15.75" customHeight="1">
      <c r="A33" s="427"/>
      <c r="B33" s="122" t="s">
        <v>55</v>
      </c>
      <c r="C33" s="180" t="s">
        <v>133</v>
      </c>
      <c r="D33" s="48" t="s">
        <v>56</v>
      </c>
      <c r="E33" s="424" t="s">
        <v>25</v>
      </c>
      <c r="F33" s="118" t="s">
        <v>67</v>
      </c>
      <c r="G33" s="226"/>
      <c r="H33" s="126"/>
      <c r="I33" s="126"/>
      <c r="J33" s="2"/>
      <c r="K33" s="18"/>
      <c r="L33" s="18"/>
      <c r="M33" s="18">
        <v>2800</v>
      </c>
      <c r="N33" s="18">
        <v>1</v>
      </c>
      <c r="O33" s="126"/>
      <c r="P33" s="126"/>
      <c r="Q33" s="126"/>
      <c r="R33" s="436"/>
      <c r="S33" s="436"/>
      <c r="T33" s="18"/>
      <c r="U33" s="18"/>
      <c r="V33" s="127">
        <f t="shared" ref="V33:V40" si="0">O33-T33-U33+V11</f>
        <v>500</v>
      </c>
      <c r="W33" s="45"/>
      <c r="X33" s="67"/>
    </row>
    <row r="34" spans="1:25" ht="15" customHeight="1">
      <c r="A34" s="427"/>
      <c r="B34" s="122" t="s">
        <v>122</v>
      </c>
      <c r="C34" s="180" t="s">
        <v>123</v>
      </c>
      <c r="D34" s="48" t="s">
        <v>56</v>
      </c>
      <c r="E34" s="441"/>
      <c r="F34" s="155" t="s">
        <v>64</v>
      </c>
      <c r="G34" s="119"/>
      <c r="H34" s="126"/>
      <c r="I34" s="126"/>
      <c r="J34" s="2"/>
      <c r="K34" s="18"/>
      <c r="L34" s="18"/>
      <c r="M34" s="18">
        <v>6400</v>
      </c>
      <c r="N34" s="18">
        <v>2</v>
      </c>
      <c r="O34" s="126"/>
      <c r="P34" s="126"/>
      <c r="Q34" s="126">
        <f>Apr!AE287</f>
        <v>1</v>
      </c>
      <c r="R34" s="436"/>
      <c r="S34" s="436"/>
      <c r="T34" s="18"/>
      <c r="U34" s="18"/>
      <c r="V34" s="127">
        <f t="shared" si="0"/>
        <v>31304</v>
      </c>
      <c r="W34" s="45"/>
      <c r="X34" s="67"/>
    </row>
    <row r="35" spans="1:25" ht="14.25" customHeight="1">
      <c r="A35" s="427"/>
      <c r="B35" s="137" t="s">
        <v>58</v>
      </c>
      <c r="C35" s="157" t="s">
        <v>243</v>
      </c>
      <c r="D35" s="48" t="s">
        <v>56</v>
      </c>
      <c r="E35" s="441"/>
      <c r="F35" s="118" t="s">
        <v>64</v>
      </c>
      <c r="G35" s="225"/>
      <c r="H35" s="126"/>
      <c r="I35" s="126"/>
      <c r="J35" s="126"/>
      <c r="K35" s="18"/>
      <c r="L35" s="18"/>
      <c r="M35" s="18"/>
      <c r="N35" s="80"/>
      <c r="O35" s="126"/>
      <c r="P35" s="126"/>
      <c r="Q35" s="126">
        <f>Apr!AE288</f>
        <v>1</v>
      </c>
      <c r="R35" s="436"/>
      <c r="S35" s="436"/>
      <c r="T35" s="18"/>
      <c r="U35" s="18"/>
      <c r="V35" s="127">
        <f t="shared" si="0"/>
        <v>8562</v>
      </c>
      <c r="W35" s="45"/>
      <c r="X35" s="67"/>
    </row>
    <row r="36" spans="1:25" ht="14.25" customHeight="1">
      <c r="A36" s="427"/>
      <c r="B36" s="122" t="s">
        <v>61</v>
      </c>
      <c r="C36" s="180" t="s">
        <v>137</v>
      </c>
      <c r="D36" s="48" t="s">
        <v>56</v>
      </c>
      <c r="E36" s="441"/>
      <c r="F36" s="118" t="s">
        <v>67</v>
      </c>
      <c r="G36" s="225"/>
      <c r="H36" s="126"/>
      <c r="I36" s="126"/>
      <c r="J36" s="126"/>
      <c r="K36" s="18"/>
      <c r="L36" s="18"/>
      <c r="M36" s="18"/>
      <c r="N36" s="80"/>
      <c r="O36" s="126"/>
      <c r="P36" s="126"/>
      <c r="Q36" s="126">
        <f>Apr!AE289</f>
        <v>1</v>
      </c>
      <c r="R36" s="436"/>
      <c r="S36" s="436"/>
      <c r="T36" s="18"/>
      <c r="U36" s="18"/>
      <c r="V36" s="127">
        <f t="shared" si="0"/>
        <v>5844</v>
      </c>
      <c r="W36" s="45"/>
      <c r="X36" s="67"/>
    </row>
    <row r="37" spans="1:25" ht="14.25" customHeight="1">
      <c r="A37" s="427"/>
      <c r="B37" s="122" t="s">
        <v>125</v>
      </c>
      <c r="C37" s="180" t="s">
        <v>88</v>
      </c>
      <c r="D37" s="48" t="s">
        <v>124</v>
      </c>
      <c r="E37" s="441"/>
      <c r="F37" s="118" t="s">
        <v>64</v>
      </c>
      <c r="G37" s="225"/>
      <c r="H37" s="126"/>
      <c r="I37" s="126"/>
      <c r="J37" s="126"/>
      <c r="K37" s="18"/>
      <c r="L37" s="18"/>
      <c r="M37" s="18">
        <v>51200</v>
      </c>
      <c r="N37" s="80">
        <v>7</v>
      </c>
      <c r="O37" s="126"/>
      <c r="P37" s="126"/>
      <c r="Q37" s="126"/>
      <c r="R37" s="436"/>
      <c r="S37" s="436"/>
      <c r="T37" s="18"/>
      <c r="U37" s="18"/>
      <c r="V37" s="127">
        <f t="shared" si="0"/>
        <v>23615</v>
      </c>
      <c r="W37" s="45"/>
      <c r="X37" s="67"/>
    </row>
    <row r="38" spans="1:25" ht="14.25" customHeight="1">
      <c r="A38" s="427"/>
      <c r="B38" s="137" t="s">
        <v>47</v>
      </c>
      <c r="C38" s="157" t="s">
        <v>100</v>
      </c>
      <c r="D38" s="48" t="s">
        <v>99</v>
      </c>
      <c r="E38" s="441"/>
      <c r="F38" s="118" t="s">
        <v>71</v>
      </c>
      <c r="G38" s="225"/>
      <c r="H38" s="126"/>
      <c r="I38" s="126"/>
      <c r="J38" s="126"/>
      <c r="K38" s="18"/>
      <c r="L38" s="18"/>
      <c r="M38" s="18">
        <v>18000</v>
      </c>
      <c r="N38" s="80">
        <v>3</v>
      </c>
      <c r="O38" s="126"/>
      <c r="P38" s="126"/>
      <c r="Q38" s="126"/>
      <c r="R38" s="436"/>
      <c r="S38" s="436"/>
      <c r="T38" s="18"/>
      <c r="U38" s="18"/>
      <c r="V38" s="127">
        <f t="shared" si="0"/>
        <v>63278</v>
      </c>
      <c r="W38" s="45"/>
      <c r="X38" s="67"/>
    </row>
    <row r="39" spans="1:25" ht="15" customHeight="1">
      <c r="A39" s="427"/>
      <c r="B39" s="122" t="s">
        <v>196</v>
      </c>
      <c r="C39" s="180" t="s">
        <v>63</v>
      </c>
      <c r="D39" s="48" t="s">
        <v>135</v>
      </c>
      <c r="E39" s="441"/>
      <c r="F39" s="118" t="s">
        <v>64</v>
      </c>
      <c r="G39" s="226"/>
      <c r="H39" s="126"/>
      <c r="I39" s="126"/>
      <c r="J39" s="2"/>
      <c r="K39" s="18"/>
      <c r="L39" s="18"/>
      <c r="M39" s="18">
        <v>33200</v>
      </c>
      <c r="N39" s="18">
        <v>4</v>
      </c>
      <c r="O39" s="126"/>
      <c r="P39" s="126"/>
      <c r="Q39" s="126"/>
      <c r="R39" s="436"/>
      <c r="S39" s="436"/>
      <c r="T39" s="18"/>
      <c r="U39" s="18"/>
      <c r="V39" s="127">
        <f t="shared" si="0"/>
        <v>15106</v>
      </c>
      <c r="W39" s="45"/>
      <c r="X39" s="67"/>
    </row>
    <row r="40" spans="1:25" ht="15" customHeight="1">
      <c r="A40" s="427"/>
      <c r="B40" s="122" t="s">
        <v>253</v>
      </c>
      <c r="C40" s="180" t="s">
        <v>252</v>
      </c>
      <c r="D40" s="48" t="s">
        <v>246</v>
      </c>
      <c r="E40" s="441"/>
      <c r="F40" s="118" t="s">
        <v>247</v>
      </c>
      <c r="G40" s="226"/>
      <c r="H40" s="126"/>
      <c r="I40" s="126"/>
      <c r="J40" s="2"/>
      <c r="K40" s="18"/>
      <c r="L40" s="18"/>
      <c r="M40" s="18"/>
      <c r="N40" s="18"/>
      <c r="O40" s="126"/>
      <c r="P40" s="126"/>
      <c r="Q40" s="126">
        <f>Apr!AE291</f>
        <v>1</v>
      </c>
      <c r="R40" s="436"/>
      <c r="S40" s="436"/>
      <c r="T40" s="18"/>
      <c r="U40" s="18"/>
      <c r="V40" s="127">
        <f t="shared" si="0"/>
        <v>503</v>
      </c>
      <c r="W40" s="45"/>
      <c r="X40" s="67"/>
    </row>
    <row r="41" spans="1:25" ht="15" customHeight="1">
      <c r="A41" s="427"/>
      <c r="B41" s="122" t="s">
        <v>101</v>
      </c>
      <c r="C41" s="180" t="s">
        <v>193</v>
      </c>
      <c r="D41" s="48" t="s">
        <v>102</v>
      </c>
      <c r="E41" s="441"/>
      <c r="F41" s="118" t="s">
        <v>64</v>
      </c>
      <c r="G41" s="119"/>
      <c r="H41" s="126"/>
      <c r="I41" s="126"/>
      <c r="J41" s="2"/>
      <c r="K41" s="18"/>
      <c r="L41" s="18"/>
      <c r="M41" s="18"/>
      <c r="N41" s="18"/>
      <c r="O41" s="126"/>
      <c r="P41" s="126"/>
      <c r="Q41" s="126">
        <f>Apr!AE297</f>
        <v>1</v>
      </c>
      <c r="R41" s="436"/>
      <c r="S41" s="436"/>
      <c r="T41" s="18"/>
      <c r="U41" s="18"/>
      <c r="V41" s="18"/>
      <c r="W41" s="45"/>
      <c r="X41" s="67"/>
    </row>
    <row r="42" spans="1:25" ht="15" customHeight="1">
      <c r="A42" s="427"/>
      <c r="B42" s="122" t="s">
        <v>103</v>
      </c>
      <c r="C42" s="157" t="s">
        <v>197</v>
      </c>
      <c r="D42" s="48" t="s">
        <v>104</v>
      </c>
      <c r="E42" s="441"/>
      <c r="F42" s="118" t="s">
        <v>105</v>
      </c>
      <c r="G42" s="119"/>
      <c r="H42" s="126"/>
      <c r="I42" s="126"/>
      <c r="J42" s="2"/>
      <c r="K42" s="18"/>
      <c r="L42" s="18"/>
      <c r="M42" s="18"/>
      <c r="N42" s="18"/>
      <c r="O42" s="126"/>
      <c r="P42" s="126"/>
      <c r="Q42" s="126">
        <f>Apr!AE298</f>
        <v>1</v>
      </c>
      <c r="R42" s="436"/>
      <c r="S42" s="436"/>
      <c r="T42" s="18"/>
      <c r="U42" s="18"/>
      <c r="V42" s="18"/>
      <c r="W42" s="45"/>
      <c r="X42" s="67"/>
    </row>
    <row r="43" spans="1:25" ht="15" customHeight="1">
      <c r="A43" s="427"/>
      <c r="B43" s="137" t="s">
        <v>112</v>
      </c>
      <c r="C43" s="157" t="s">
        <v>197</v>
      </c>
      <c r="D43" s="48" t="s">
        <v>104</v>
      </c>
      <c r="E43" s="441"/>
      <c r="F43" s="118" t="s">
        <v>113</v>
      </c>
      <c r="G43" s="119"/>
      <c r="H43" s="126"/>
      <c r="I43" s="126"/>
      <c r="J43" s="2"/>
      <c r="K43" s="18"/>
      <c r="L43" s="18"/>
      <c r="M43" s="18"/>
      <c r="N43" s="18"/>
      <c r="O43" s="126"/>
      <c r="P43" s="126"/>
      <c r="Q43" s="126">
        <f>Apr!AE301</f>
        <v>1</v>
      </c>
      <c r="R43" s="436"/>
      <c r="S43" s="436"/>
      <c r="T43" s="18"/>
      <c r="U43" s="18"/>
      <c r="V43" s="18"/>
      <c r="W43" s="45"/>
      <c r="X43" s="67"/>
    </row>
    <row r="44" spans="1:25" ht="15" customHeight="1">
      <c r="A44" s="427"/>
      <c r="B44" s="137" t="s">
        <v>106</v>
      </c>
      <c r="C44" s="157" t="s">
        <v>141</v>
      </c>
      <c r="D44" s="48" t="s">
        <v>68</v>
      </c>
      <c r="E44" s="441"/>
      <c r="F44" s="118" t="s">
        <v>67</v>
      </c>
      <c r="G44" s="119"/>
      <c r="H44" s="126"/>
      <c r="I44" s="126"/>
      <c r="J44" s="2"/>
      <c r="K44" s="18"/>
      <c r="L44" s="18"/>
      <c r="M44" s="18"/>
      <c r="N44" s="18"/>
      <c r="O44" s="126"/>
      <c r="P44" s="126"/>
      <c r="Q44" s="126">
        <f>Apr!AE299</f>
        <v>1</v>
      </c>
      <c r="R44" s="436"/>
      <c r="S44" s="436"/>
      <c r="T44" s="18"/>
      <c r="U44" s="18"/>
      <c r="V44" s="18"/>
      <c r="W44" s="45"/>
      <c r="X44" s="67"/>
    </row>
    <row r="45" spans="1:25" ht="15" customHeight="1" thickBot="1">
      <c r="A45" s="428"/>
      <c r="B45" s="44" t="s">
        <v>107</v>
      </c>
      <c r="C45" s="181" t="s">
        <v>195</v>
      </c>
      <c r="D45" s="61" t="s">
        <v>108</v>
      </c>
      <c r="E45" s="447"/>
      <c r="F45" s="133" t="s">
        <v>48</v>
      </c>
      <c r="G45" s="132"/>
      <c r="H45" s="109"/>
      <c r="I45" s="134"/>
      <c r="J45" s="129"/>
      <c r="K45" s="130"/>
      <c r="L45" s="130"/>
      <c r="M45" s="130"/>
      <c r="N45" s="130"/>
      <c r="O45" s="134"/>
      <c r="P45" s="134"/>
      <c r="Q45" s="134">
        <f>Apr!AE300</f>
        <v>1</v>
      </c>
      <c r="R45" s="437"/>
      <c r="S45" s="437"/>
      <c r="T45" s="130"/>
      <c r="U45" s="130"/>
      <c r="V45" s="128"/>
      <c r="W45" s="85"/>
      <c r="X45" s="67"/>
    </row>
    <row r="46" spans="1:25" ht="15" customHeight="1">
      <c r="A46" s="426">
        <v>46115</v>
      </c>
      <c r="B46" s="429" t="s">
        <v>44</v>
      </c>
      <c r="C46" s="432" t="s">
        <v>240</v>
      </c>
      <c r="D46" s="19" t="s">
        <v>37</v>
      </c>
      <c r="E46" s="19" t="s">
        <v>25</v>
      </c>
      <c r="F46" s="39" t="s">
        <v>40</v>
      </c>
      <c r="G46" s="41">
        <v>7147.53</v>
      </c>
      <c r="H46" s="32">
        <v>3456</v>
      </c>
      <c r="I46" s="462">
        <v>660</v>
      </c>
      <c r="J46" s="32"/>
      <c r="K46" s="20">
        <v>8000</v>
      </c>
      <c r="L46" s="20">
        <v>1</v>
      </c>
      <c r="M46" s="20">
        <v>304000</v>
      </c>
      <c r="N46" s="84">
        <v>38</v>
      </c>
      <c r="O46" s="32">
        <f>Apr!AI276</f>
        <v>35557</v>
      </c>
      <c r="P46" s="32">
        <f>Apr!AJ276</f>
        <v>35688</v>
      </c>
      <c r="Q46" s="32">
        <f>Apr!AH276</f>
        <v>94</v>
      </c>
      <c r="R46" s="435">
        <f>Apr!AI303</f>
        <v>74067</v>
      </c>
      <c r="S46" s="435">
        <f>Apr!AJ303</f>
        <v>74330</v>
      </c>
      <c r="T46" s="20">
        <v>26295</v>
      </c>
      <c r="U46" s="20"/>
      <c r="V46" s="20">
        <f>O46-T46-U46+V25</f>
        <v>28863</v>
      </c>
      <c r="W46" s="77"/>
      <c r="X46" s="36"/>
    </row>
    <row r="47" spans="1:25" ht="15" customHeight="1">
      <c r="A47" s="427"/>
      <c r="B47" s="431"/>
      <c r="C47" s="434"/>
      <c r="D47" s="113" t="s">
        <v>128</v>
      </c>
      <c r="E47" s="113" t="s">
        <v>24</v>
      </c>
      <c r="F47" s="114" t="s">
        <v>40</v>
      </c>
      <c r="G47" s="170"/>
      <c r="H47" s="135"/>
      <c r="I47" s="463"/>
      <c r="J47" s="125"/>
      <c r="K47" s="18">
        <v>24000</v>
      </c>
      <c r="L47" s="127">
        <v>3</v>
      </c>
      <c r="M47" s="216">
        <v>151400</v>
      </c>
      <c r="N47" s="238">
        <v>19</v>
      </c>
      <c r="O47" s="126">
        <f>Apr!AI277</f>
        <v>15288</v>
      </c>
      <c r="P47" s="125">
        <f>Apr!AJ277</f>
        <v>20385</v>
      </c>
      <c r="Q47" s="125">
        <f>Apr!AH277</f>
        <v>56</v>
      </c>
      <c r="R47" s="436"/>
      <c r="S47" s="436"/>
      <c r="T47" s="127">
        <v>24998</v>
      </c>
      <c r="U47" s="127">
        <v>28</v>
      </c>
      <c r="V47" s="127">
        <f>O47-T47-U47+V26</f>
        <v>27522</v>
      </c>
      <c r="W47" s="46"/>
      <c r="X47" s="67"/>
    </row>
    <row r="48" spans="1:25" ht="15" customHeight="1">
      <c r="A48" s="427"/>
      <c r="B48" s="442" t="s">
        <v>45</v>
      </c>
      <c r="C48" s="448" t="s">
        <v>59</v>
      </c>
      <c r="D48" s="118" t="s">
        <v>75</v>
      </c>
      <c r="E48" s="438" t="s">
        <v>25</v>
      </c>
      <c r="F48" s="131" t="s">
        <v>57</v>
      </c>
      <c r="G48" s="87"/>
      <c r="H48" s="136"/>
      <c r="I48" s="463"/>
      <c r="J48" s="2"/>
      <c r="K48" s="127"/>
      <c r="L48" s="18"/>
      <c r="M48" s="18">
        <v>10000</v>
      </c>
      <c r="N48" s="80">
        <v>2</v>
      </c>
      <c r="O48" s="126">
        <f>Apr!AI282</f>
        <v>5093</v>
      </c>
      <c r="P48" s="126">
        <f>Apr!AJ282</f>
        <v>3814</v>
      </c>
      <c r="Q48" s="2">
        <f>Apr!AH282</f>
        <v>15</v>
      </c>
      <c r="R48" s="436"/>
      <c r="S48" s="436"/>
      <c r="T48" s="18">
        <v>12222</v>
      </c>
      <c r="U48" s="18"/>
      <c r="V48" s="127">
        <f>O48-T48-U48+V27</f>
        <v>71439</v>
      </c>
      <c r="W48" s="46"/>
      <c r="Y48" s="13"/>
    </row>
    <row r="49" spans="1:25">
      <c r="A49" s="427"/>
      <c r="B49" s="439"/>
      <c r="C49" s="440"/>
      <c r="D49" s="118" t="s">
        <v>94</v>
      </c>
      <c r="E49" s="431"/>
      <c r="F49" s="131"/>
      <c r="G49" s="136"/>
      <c r="H49" s="152">
        <v>1620</v>
      </c>
      <c r="I49" s="463"/>
      <c r="J49" s="126"/>
      <c r="K49" s="127"/>
      <c r="L49" s="18"/>
      <c r="M49" s="18"/>
      <c r="N49" s="80"/>
      <c r="O49" s="126"/>
      <c r="P49" s="126"/>
      <c r="Q49" s="2"/>
      <c r="R49" s="436"/>
      <c r="S49" s="436"/>
      <c r="T49" s="18"/>
      <c r="U49" s="18"/>
      <c r="V49" s="127"/>
      <c r="W49" s="46"/>
      <c r="Y49" s="13"/>
    </row>
    <row r="50" spans="1:25">
      <c r="A50" s="427"/>
      <c r="B50" s="439"/>
      <c r="C50" s="440"/>
      <c r="D50" s="118" t="s">
        <v>72</v>
      </c>
      <c r="E50" s="155" t="s">
        <v>24</v>
      </c>
      <c r="F50" s="131" t="s">
        <v>57</v>
      </c>
      <c r="G50" s="224"/>
      <c r="H50" s="136"/>
      <c r="I50" s="463"/>
      <c r="J50" s="126"/>
      <c r="K50" s="127"/>
      <c r="L50" s="18"/>
      <c r="M50" s="18">
        <v>65000</v>
      </c>
      <c r="N50" s="80">
        <v>13</v>
      </c>
      <c r="O50" s="126">
        <f>Apr!AI284</f>
        <v>6525</v>
      </c>
      <c r="P50" s="126">
        <f>Apr!AJ284</f>
        <v>6370</v>
      </c>
      <c r="Q50" s="126">
        <f>Apr!AH284</f>
        <v>26</v>
      </c>
      <c r="R50" s="436"/>
      <c r="S50" s="436"/>
      <c r="T50" s="18">
        <v>6467</v>
      </c>
      <c r="U50" s="18">
        <v>34</v>
      </c>
      <c r="V50" s="127">
        <f>O50-T50-U50+V29</f>
        <v>6931</v>
      </c>
      <c r="W50" s="46"/>
      <c r="Y50" s="13"/>
    </row>
    <row r="51" spans="1:25">
      <c r="A51" s="427"/>
      <c r="B51" s="439"/>
      <c r="C51" s="440"/>
      <c r="D51" s="115" t="s">
        <v>73</v>
      </c>
      <c r="E51" s="155"/>
      <c r="F51" s="131"/>
      <c r="G51" s="224"/>
      <c r="H51" s="152">
        <v>1980</v>
      </c>
      <c r="I51" s="463"/>
      <c r="J51" s="126"/>
      <c r="K51" s="127"/>
      <c r="L51" s="18"/>
      <c r="M51" s="18"/>
      <c r="N51" s="80"/>
      <c r="O51" s="126"/>
      <c r="P51" s="126"/>
      <c r="Q51" s="126"/>
      <c r="R51" s="436"/>
      <c r="S51" s="436"/>
      <c r="T51" s="18"/>
      <c r="U51" s="18"/>
      <c r="V51" s="127"/>
      <c r="W51" s="46"/>
      <c r="Y51" s="13"/>
    </row>
    <row r="52" spans="1:25" ht="14.25" customHeight="1">
      <c r="A52" s="427"/>
      <c r="B52" s="439"/>
      <c r="C52" s="440"/>
      <c r="D52" s="115" t="s">
        <v>79</v>
      </c>
      <c r="E52" s="118" t="s">
        <v>65</v>
      </c>
      <c r="F52" s="131" t="s">
        <v>57</v>
      </c>
      <c r="G52" s="224"/>
      <c r="H52" s="37"/>
      <c r="I52" s="463"/>
      <c r="J52" s="126"/>
      <c r="K52" s="18"/>
      <c r="L52" s="18"/>
      <c r="M52" s="18"/>
      <c r="N52" s="80"/>
      <c r="O52" s="126"/>
      <c r="P52" s="126"/>
      <c r="Q52" s="126">
        <f>Apr!AH285</f>
        <v>1</v>
      </c>
      <c r="R52" s="436"/>
      <c r="S52" s="436"/>
      <c r="T52" s="18"/>
      <c r="U52" s="18"/>
      <c r="V52" s="127"/>
      <c r="W52" s="45"/>
      <c r="X52" s="36"/>
    </row>
    <row r="53" spans="1:25" ht="14.25" customHeight="1">
      <c r="A53" s="427"/>
      <c r="B53" s="442" t="s">
        <v>53</v>
      </c>
      <c r="C53" s="444" t="s">
        <v>60</v>
      </c>
      <c r="D53" s="43" t="s">
        <v>130</v>
      </c>
      <c r="E53" s="115" t="s">
        <v>66</v>
      </c>
      <c r="F53" s="118" t="s">
        <v>54</v>
      </c>
      <c r="G53" s="229">
        <v>852.98</v>
      </c>
      <c r="H53" s="37"/>
      <c r="I53" s="463"/>
      <c r="J53" s="126"/>
      <c r="K53" s="18">
        <v>6000</v>
      </c>
      <c r="L53" s="18">
        <v>1</v>
      </c>
      <c r="M53" s="18">
        <v>90000</v>
      </c>
      <c r="N53" s="80">
        <v>15</v>
      </c>
      <c r="O53" s="126">
        <f>Apr!AI279</f>
        <v>11604</v>
      </c>
      <c r="P53" s="126">
        <f>Apr!AJ279</f>
        <v>8073</v>
      </c>
      <c r="Q53" s="126">
        <f>Apr!AH279</f>
        <v>24</v>
      </c>
      <c r="R53" s="436"/>
      <c r="S53" s="436"/>
      <c r="T53" s="18">
        <v>7092</v>
      </c>
      <c r="U53" s="18"/>
      <c r="V53" s="127">
        <f>O53-T53-U53+V31</f>
        <v>9852</v>
      </c>
      <c r="W53" s="45"/>
      <c r="X53" s="67"/>
    </row>
    <row r="54" spans="1:25" ht="14.25" customHeight="1">
      <c r="A54" s="427"/>
      <c r="B54" s="439"/>
      <c r="C54" s="445"/>
      <c r="D54" s="43" t="s">
        <v>199</v>
      </c>
      <c r="E54" s="118" t="s">
        <v>25</v>
      </c>
      <c r="F54" s="118"/>
      <c r="G54" s="225"/>
      <c r="H54" s="37">
        <v>2233.8000000000002</v>
      </c>
      <c r="I54" s="463"/>
      <c r="J54" s="126"/>
      <c r="K54" s="18"/>
      <c r="L54" s="18"/>
      <c r="M54" s="18"/>
      <c r="N54" s="80"/>
      <c r="O54" s="126"/>
      <c r="P54" s="126"/>
      <c r="Q54" s="126"/>
      <c r="R54" s="436"/>
      <c r="S54" s="436"/>
      <c r="T54" s="18"/>
      <c r="U54" s="18"/>
      <c r="V54" s="127"/>
      <c r="W54" s="45"/>
      <c r="X54" s="67"/>
    </row>
    <row r="55" spans="1:25" ht="14.25" customHeight="1">
      <c r="A55" s="427"/>
      <c r="B55" s="443"/>
      <c r="C55" s="446"/>
      <c r="D55" s="43" t="s">
        <v>96</v>
      </c>
      <c r="E55" s="114" t="s">
        <v>65</v>
      </c>
      <c r="F55" s="118"/>
      <c r="G55" s="235"/>
      <c r="H55" s="158">
        <v>612</v>
      </c>
      <c r="I55" s="463"/>
      <c r="J55" s="158"/>
      <c r="K55" s="128"/>
      <c r="L55" s="128"/>
      <c r="M55" s="128"/>
      <c r="N55" s="164"/>
      <c r="O55" s="158"/>
      <c r="P55" s="158"/>
      <c r="Q55" s="158"/>
      <c r="R55" s="436"/>
      <c r="S55" s="436"/>
      <c r="T55" s="18"/>
      <c r="U55" s="18"/>
      <c r="V55" s="127"/>
      <c r="W55" s="45"/>
      <c r="X55" s="67"/>
    </row>
    <row r="56" spans="1:25" ht="15.75" customHeight="1">
      <c r="A56" s="427"/>
      <c r="B56" s="122" t="s">
        <v>55</v>
      </c>
      <c r="C56" s="180" t="s">
        <v>133</v>
      </c>
      <c r="D56" s="48" t="s">
        <v>56</v>
      </c>
      <c r="E56" s="424" t="s">
        <v>25</v>
      </c>
      <c r="F56" s="118" t="s">
        <v>67</v>
      </c>
      <c r="G56" s="226"/>
      <c r="H56" s="126"/>
      <c r="I56" s="463"/>
      <c r="J56" s="2"/>
      <c r="K56" s="18"/>
      <c r="L56" s="18"/>
      <c r="M56" s="18">
        <v>2800</v>
      </c>
      <c r="N56" s="18">
        <v>1</v>
      </c>
      <c r="O56" s="126"/>
      <c r="P56" s="126"/>
      <c r="Q56" s="126"/>
      <c r="R56" s="436"/>
      <c r="S56" s="436"/>
      <c r="T56" s="18"/>
      <c r="U56" s="18"/>
      <c r="V56" s="127">
        <f t="shared" ref="V56:V63" si="1">O56-T56-U56+V33</f>
        <v>500</v>
      </c>
      <c r="W56" s="45"/>
      <c r="X56" s="67"/>
    </row>
    <row r="57" spans="1:25" ht="15" customHeight="1">
      <c r="A57" s="427"/>
      <c r="B57" s="122" t="s">
        <v>122</v>
      </c>
      <c r="C57" s="180" t="s">
        <v>123</v>
      </c>
      <c r="D57" s="48" t="s">
        <v>56</v>
      </c>
      <c r="E57" s="441"/>
      <c r="F57" s="155" t="s">
        <v>64</v>
      </c>
      <c r="G57" s="119"/>
      <c r="H57" s="126"/>
      <c r="I57" s="463"/>
      <c r="J57" s="2"/>
      <c r="K57" s="18"/>
      <c r="L57" s="18"/>
      <c r="M57" s="18">
        <v>6400</v>
      </c>
      <c r="N57" s="18">
        <v>2</v>
      </c>
      <c r="O57" s="126"/>
      <c r="P57" s="126"/>
      <c r="Q57" s="126">
        <f>Apr!AH287</f>
        <v>1</v>
      </c>
      <c r="R57" s="436"/>
      <c r="S57" s="436"/>
      <c r="T57" s="18"/>
      <c r="U57" s="18"/>
      <c r="V57" s="127">
        <f t="shared" si="1"/>
        <v>31304</v>
      </c>
      <c r="W57" s="45"/>
      <c r="X57" s="67"/>
    </row>
    <row r="58" spans="1:25" ht="14.25" customHeight="1">
      <c r="A58" s="427"/>
      <c r="B58" s="137" t="s">
        <v>58</v>
      </c>
      <c r="C58" s="157" t="s">
        <v>243</v>
      </c>
      <c r="D58" s="48" t="s">
        <v>56</v>
      </c>
      <c r="E58" s="441"/>
      <c r="F58" s="118" t="s">
        <v>64</v>
      </c>
      <c r="G58" s="225"/>
      <c r="H58" s="126"/>
      <c r="I58" s="463"/>
      <c r="J58" s="126"/>
      <c r="K58" s="18"/>
      <c r="L58" s="18"/>
      <c r="M58" s="18"/>
      <c r="N58" s="80"/>
      <c r="O58" s="126"/>
      <c r="P58" s="126"/>
      <c r="Q58" s="126">
        <f>Apr!AH288</f>
        <v>1</v>
      </c>
      <c r="R58" s="436"/>
      <c r="S58" s="436"/>
      <c r="T58" s="18"/>
      <c r="U58" s="18"/>
      <c r="V58" s="127">
        <f t="shared" si="1"/>
        <v>8562</v>
      </c>
      <c r="W58" s="45"/>
      <c r="X58" s="67"/>
    </row>
    <row r="59" spans="1:25" ht="14.25" customHeight="1">
      <c r="A59" s="427"/>
      <c r="B59" s="122" t="s">
        <v>61</v>
      </c>
      <c r="C59" s="180" t="s">
        <v>137</v>
      </c>
      <c r="D59" s="48" t="s">
        <v>56</v>
      </c>
      <c r="E59" s="441"/>
      <c r="F59" s="118" t="s">
        <v>67</v>
      </c>
      <c r="G59" s="225"/>
      <c r="H59" s="126"/>
      <c r="I59" s="463"/>
      <c r="J59" s="126"/>
      <c r="K59" s="18"/>
      <c r="L59" s="18"/>
      <c r="M59" s="18"/>
      <c r="N59" s="80"/>
      <c r="O59" s="126"/>
      <c r="P59" s="126"/>
      <c r="Q59" s="126">
        <f>Apr!AH289</f>
        <v>1</v>
      </c>
      <c r="R59" s="436"/>
      <c r="S59" s="436"/>
      <c r="T59" s="18"/>
      <c r="U59" s="18"/>
      <c r="V59" s="127">
        <f t="shared" si="1"/>
        <v>5844</v>
      </c>
      <c r="W59" s="45"/>
      <c r="X59" s="67"/>
    </row>
    <row r="60" spans="1:25" ht="14.25" customHeight="1">
      <c r="A60" s="427"/>
      <c r="B60" s="122" t="s">
        <v>125</v>
      </c>
      <c r="C60" s="180" t="s">
        <v>88</v>
      </c>
      <c r="D60" s="48" t="s">
        <v>124</v>
      </c>
      <c r="E60" s="441"/>
      <c r="F60" s="118" t="s">
        <v>64</v>
      </c>
      <c r="G60" s="225"/>
      <c r="H60" s="126"/>
      <c r="I60" s="463"/>
      <c r="J60" s="126"/>
      <c r="K60" s="18"/>
      <c r="L60" s="18"/>
      <c r="M60" s="18">
        <v>51200</v>
      </c>
      <c r="N60" s="80">
        <v>7</v>
      </c>
      <c r="O60" s="126"/>
      <c r="P60" s="126"/>
      <c r="Q60" s="126"/>
      <c r="R60" s="436"/>
      <c r="S60" s="436"/>
      <c r="T60" s="18"/>
      <c r="U60" s="18"/>
      <c r="V60" s="127">
        <f t="shared" si="1"/>
        <v>23615</v>
      </c>
      <c r="W60" s="45"/>
      <c r="X60" s="67"/>
    </row>
    <row r="61" spans="1:25" ht="14.25" customHeight="1">
      <c r="A61" s="427"/>
      <c r="B61" s="137" t="s">
        <v>47</v>
      </c>
      <c r="C61" s="157" t="s">
        <v>100</v>
      </c>
      <c r="D61" s="48" t="s">
        <v>99</v>
      </c>
      <c r="E61" s="441"/>
      <c r="F61" s="118" t="s">
        <v>71</v>
      </c>
      <c r="G61" s="225"/>
      <c r="H61" s="126"/>
      <c r="I61" s="463"/>
      <c r="J61" s="126"/>
      <c r="K61" s="18"/>
      <c r="L61" s="18"/>
      <c r="M61" s="18">
        <v>18000</v>
      </c>
      <c r="N61" s="80">
        <v>3</v>
      </c>
      <c r="O61" s="126"/>
      <c r="P61" s="126"/>
      <c r="Q61" s="126"/>
      <c r="R61" s="436"/>
      <c r="S61" s="436"/>
      <c r="T61" s="18"/>
      <c r="U61" s="18"/>
      <c r="V61" s="127">
        <f t="shared" si="1"/>
        <v>63278</v>
      </c>
      <c r="W61" s="45"/>
      <c r="X61" s="67"/>
    </row>
    <row r="62" spans="1:25" ht="15" customHeight="1">
      <c r="A62" s="427"/>
      <c r="B62" s="122" t="s">
        <v>196</v>
      </c>
      <c r="C62" s="180" t="s">
        <v>63</v>
      </c>
      <c r="D62" s="48" t="s">
        <v>135</v>
      </c>
      <c r="E62" s="441"/>
      <c r="F62" s="118" t="s">
        <v>64</v>
      </c>
      <c r="G62" s="226"/>
      <c r="H62" s="126"/>
      <c r="I62" s="463"/>
      <c r="J62" s="2"/>
      <c r="K62" s="18"/>
      <c r="L62" s="18"/>
      <c r="M62" s="18">
        <v>33200</v>
      </c>
      <c r="N62" s="18">
        <v>4</v>
      </c>
      <c r="O62" s="126"/>
      <c r="P62" s="126"/>
      <c r="Q62" s="126"/>
      <c r="R62" s="436"/>
      <c r="S62" s="436"/>
      <c r="T62" s="18"/>
      <c r="U62" s="18"/>
      <c r="V62" s="127">
        <f t="shared" si="1"/>
        <v>15106</v>
      </c>
      <c r="W62" s="45"/>
      <c r="X62" s="67"/>
    </row>
    <row r="63" spans="1:25" ht="15" customHeight="1">
      <c r="A63" s="427"/>
      <c r="B63" s="122" t="s">
        <v>253</v>
      </c>
      <c r="C63" s="180" t="s">
        <v>252</v>
      </c>
      <c r="D63" s="48" t="s">
        <v>246</v>
      </c>
      <c r="E63" s="441"/>
      <c r="F63" s="118" t="s">
        <v>247</v>
      </c>
      <c r="G63" s="226"/>
      <c r="H63" s="126"/>
      <c r="I63" s="463"/>
      <c r="J63" s="2"/>
      <c r="K63" s="18"/>
      <c r="L63" s="18"/>
      <c r="M63" s="18"/>
      <c r="N63" s="18"/>
      <c r="O63" s="126"/>
      <c r="P63" s="126"/>
      <c r="Q63" s="126">
        <f>Apr!AH291</f>
        <v>1</v>
      </c>
      <c r="R63" s="436"/>
      <c r="S63" s="436"/>
      <c r="T63" s="18"/>
      <c r="U63" s="18"/>
      <c r="V63" s="127">
        <f t="shared" si="1"/>
        <v>503</v>
      </c>
      <c r="W63" s="45"/>
      <c r="X63" s="67"/>
    </row>
    <row r="64" spans="1:25" ht="15" customHeight="1">
      <c r="A64" s="427"/>
      <c r="B64" s="442" t="s">
        <v>289</v>
      </c>
      <c r="C64" s="444" t="s">
        <v>290</v>
      </c>
      <c r="D64" s="48" t="s">
        <v>291</v>
      </c>
      <c r="E64" s="441"/>
      <c r="F64" s="118" t="s">
        <v>292</v>
      </c>
      <c r="G64" s="226">
        <v>146.5</v>
      </c>
      <c r="H64" s="126"/>
      <c r="I64" s="463"/>
      <c r="J64" s="2"/>
      <c r="K64" s="18"/>
      <c r="L64" s="18"/>
      <c r="M64" s="18"/>
      <c r="N64" s="18"/>
      <c r="O64" s="126"/>
      <c r="P64" s="126"/>
      <c r="Q64" s="126"/>
      <c r="R64" s="436"/>
      <c r="S64" s="436"/>
      <c r="T64" s="18"/>
      <c r="U64" s="18"/>
      <c r="V64" s="127"/>
      <c r="W64" s="45"/>
      <c r="X64" s="67"/>
    </row>
    <row r="65" spans="1:25" ht="15" customHeight="1">
      <c r="A65" s="427"/>
      <c r="B65" s="443"/>
      <c r="C65" s="446"/>
      <c r="D65" s="48" t="s">
        <v>85</v>
      </c>
      <c r="E65" s="441"/>
      <c r="F65" s="118"/>
      <c r="G65" s="226"/>
      <c r="H65" s="126">
        <v>90</v>
      </c>
      <c r="I65" s="463"/>
      <c r="J65" s="2"/>
      <c r="K65" s="18"/>
      <c r="L65" s="18"/>
      <c r="M65" s="18"/>
      <c r="N65" s="18"/>
      <c r="O65" s="126"/>
      <c r="P65" s="126"/>
      <c r="Q65" s="126"/>
      <c r="R65" s="436"/>
      <c r="S65" s="436"/>
      <c r="T65" s="18"/>
      <c r="U65" s="18"/>
      <c r="V65" s="127"/>
      <c r="W65" s="45"/>
      <c r="X65" s="67"/>
    </row>
    <row r="66" spans="1:25" ht="15" customHeight="1">
      <c r="A66" s="427"/>
      <c r="B66" s="122" t="s">
        <v>101</v>
      </c>
      <c r="C66" s="180" t="s">
        <v>193</v>
      </c>
      <c r="D66" s="48" t="s">
        <v>102</v>
      </c>
      <c r="E66" s="441"/>
      <c r="F66" s="118" t="s">
        <v>64</v>
      </c>
      <c r="G66" s="119"/>
      <c r="H66" s="126"/>
      <c r="I66" s="463"/>
      <c r="J66" s="2"/>
      <c r="K66" s="18"/>
      <c r="L66" s="18"/>
      <c r="M66" s="18"/>
      <c r="N66" s="18"/>
      <c r="O66" s="126"/>
      <c r="P66" s="126"/>
      <c r="Q66" s="126">
        <f>Apr!AH297</f>
        <v>1</v>
      </c>
      <c r="R66" s="436"/>
      <c r="S66" s="436"/>
      <c r="T66" s="18"/>
      <c r="U66" s="18"/>
      <c r="V66" s="18"/>
      <c r="W66" s="45"/>
      <c r="X66" s="67"/>
    </row>
    <row r="67" spans="1:25" ht="15" customHeight="1">
      <c r="A67" s="427"/>
      <c r="B67" s="122" t="s">
        <v>103</v>
      </c>
      <c r="C67" s="157" t="s">
        <v>197</v>
      </c>
      <c r="D67" s="48" t="s">
        <v>104</v>
      </c>
      <c r="E67" s="441"/>
      <c r="F67" s="118" t="s">
        <v>105</v>
      </c>
      <c r="G67" s="119"/>
      <c r="H67" s="126"/>
      <c r="I67" s="463"/>
      <c r="J67" s="2"/>
      <c r="K67" s="18"/>
      <c r="L67" s="18"/>
      <c r="M67" s="18"/>
      <c r="N67" s="18"/>
      <c r="O67" s="126"/>
      <c r="P67" s="126"/>
      <c r="Q67" s="126">
        <f>Apr!AH298</f>
        <v>1</v>
      </c>
      <c r="R67" s="436"/>
      <c r="S67" s="436"/>
      <c r="T67" s="18"/>
      <c r="U67" s="18"/>
      <c r="V67" s="18"/>
      <c r="W67" s="45"/>
      <c r="X67" s="67"/>
    </row>
    <row r="68" spans="1:25" ht="15" customHeight="1">
      <c r="A68" s="427"/>
      <c r="B68" s="137" t="s">
        <v>112</v>
      </c>
      <c r="C68" s="157" t="s">
        <v>197</v>
      </c>
      <c r="D68" s="48" t="s">
        <v>104</v>
      </c>
      <c r="E68" s="441"/>
      <c r="F68" s="118" t="s">
        <v>113</v>
      </c>
      <c r="G68" s="119"/>
      <c r="H68" s="126"/>
      <c r="I68" s="463"/>
      <c r="J68" s="2"/>
      <c r="K68" s="18"/>
      <c r="L68" s="18"/>
      <c r="M68" s="18"/>
      <c r="N68" s="18"/>
      <c r="O68" s="126"/>
      <c r="P68" s="126"/>
      <c r="Q68" s="126">
        <f>Apr!AH301</f>
        <v>1</v>
      </c>
      <c r="R68" s="436"/>
      <c r="S68" s="436"/>
      <c r="T68" s="18"/>
      <c r="U68" s="18"/>
      <c r="V68" s="18"/>
      <c r="W68" s="45"/>
      <c r="X68" s="67"/>
    </row>
    <row r="69" spans="1:25" ht="15" customHeight="1">
      <c r="A69" s="427"/>
      <c r="B69" s="137" t="s">
        <v>106</v>
      </c>
      <c r="C69" s="157" t="s">
        <v>141</v>
      </c>
      <c r="D69" s="48" t="s">
        <v>68</v>
      </c>
      <c r="E69" s="441"/>
      <c r="F69" s="118" t="s">
        <v>67</v>
      </c>
      <c r="G69" s="119"/>
      <c r="H69" s="126"/>
      <c r="I69" s="463"/>
      <c r="J69" s="2"/>
      <c r="K69" s="18"/>
      <c r="L69" s="18"/>
      <c r="M69" s="18"/>
      <c r="N69" s="18"/>
      <c r="O69" s="126"/>
      <c r="P69" s="126"/>
      <c r="Q69" s="126">
        <f>Apr!AH299</f>
        <v>1</v>
      </c>
      <c r="R69" s="436"/>
      <c r="S69" s="436"/>
      <c r="T69" s="18"/>
      <c r="U69" s="18"/>
      <c r="V69" s="18"/>
      <c r="W69" s="45"/>
      <c r="X69" s="67"/>
    </row>
    <row r="70" spans="1:25" ht="15" customHeight="1" thickBot="1">
      <c r="A70" s="428"/>
      <c r="B70" s="44" t="s">
        <v>107</v>
      </c>
      <c r="C70" s="181" t="s">
        <v>195</v>
      </c>
      <c r="D70" s="61" t="s">
        <v>108</v>
      </c>
      <c r="E70" s="447"/>
      <c r="F70" s="133" t="s">
        <v>48</v>
      </c>
      <c r="G70" s="132"/>
      <c r="H70" s="109"/>
      <c r="I70" s="464"/>
      <c r="J70" s="129"/>
      <c r="K70" s="130"/>
      <c r="L70" s="130"/>
      <c r="M70" s="130"/>
      <c r="N70" s="130"/>
      <c r="O70" s="134"/>
      <c r="P70" s="134"/>
      <c r="Q70" s="134">
        <f>Apr!AH300</f>
        <v>1</v>
      </c>
      <c r="R70" s="437"/>
      <c r="S70" s="437"/>
      <c r="T70" s="130"/>
      <c r="U70" s="130"/>
      <c r="V70" s="128"/>
      <c r="W70" s="85"/>
      <c r="X70" s="67"/>
    </row>
    <row r="71" spans="1:25" ht="15" customHeight="1">
      <c r="A71" s="426">
        <v>46116</v>
      </c>
      <c r="B71" s="429" t="s">
        <v>44</v>
      </c>
      <c r="C71" s="432" t="s">
        <v>240</v>
      </c>
      <c r="D71" s="19" t="s">
        <v>37</v>
      </c>
      <c r="E71" s="19" t="s">
        <v>25</v>
      </c>
      <c r="F71" s="39" t="s">
        <v>40</v>
      </c>
      <c r="G71" s="41"/>
      <c r="H71" s="32"/>
      <c r="I71" s="32"/>
      <c r="J71" s="32"/>
      <c r="K71" s="20">
        <v>56000</v>
      </c>
      <c r="L71" s="20">
        <v>7</v>
      </c>
      <c r="M71" s="20">
        <v>248000</v>
      </c>
      <c r="N71" s="84">
        <v>31</v>
      </c>
      <c r="O71" s="32">
        <f>Apr!AL276</f>
        <v>39786</v>
      </c>
      <c r="P71" s="32">
        <f>Apr!AM276</f>
        <v>33278</v>
      </c>
      <c r="Q71" s="32">
        <f>Apr!AK276</f>
        <v>94</v>
      </c>
      <c r="R71" s="435">
        <f>Apr!AL303</f>
        <v>67920</v>
      </c>
      <c r="S71" s="435">
        <f>Apr!AM303</f>
        <v>70046</v>
      </c>
      <c r="T71" s="20"/>
      <c r="U71" s="20"/>
      <c r="V71" s="20">
        <f>O71-T71-U71+V46</f>
        <v>68649</v>
      </c>
      <c r="W71" s="77"/>
      <c r="X71" s="36"/>
    </row>
    <row r="72" spans="1:25" ht="15" customHeight="1">
      <c r="A72" s="427"/>
      <c r="B72" s="431"/>
      <c r="C72" s="434"/>
      <c r="D72" s="113" t="s">
        <v>128</v>
      </c>
      <c r="E72" s="113" t="s">
        <v>24</v>
      </c>
      <c r="F72" s="114" t="s">
        <v>40</v>
      </c>
      <c r="G72" s="170"/>
      <c r="H72" s="135"/>
      <c r="I72" s="125"/>
      <c r="J72" s="125"/>
      <c r="K72" s="18">
        <v>56000</v>
      </c>
      <c r="L72" s="127">
        <v>7</v>
      </c>
      <c r="M72" s="216">
        <v>95400</v>
      </c>
      <c r="N72" s="238">
        <v>12</v>
      </c>
      <c r="O72" s="126">
        <f>Apr!AL277</f>
        <v>7404</v>
      </c>
      <c r="P72" s="125">
        <f>Apr!AM277</f>
        <v>19780</v>
      </c>
      <c r="Q72" s="125">
        <f>Apr!AK277</f>
        <v>56</v>
      </c>
      <c r="R72" s="436"/>
      <c r="S72" s="436"/>
      <c r="T72" s="127"/>
      <c r="U72" s="127"/>
      <c r="V72" s="127">
        <f>O72-T72-U72+V47</f>
        <v>34926</v>
      </c>
      <c r="W72" s="46"/>
      <c r="X72" s="67"/>
    </row>
    <row r="73" spans="1:25" ht="15" customHeight="1">
      <c r="A73" s="427"/>
      <c r="B73" s="442" t="s">
        <v>45</v>
      </c>
      <c r="C73" s="448" t="s">
        <v>59</v>
      </c>
      <c r="D73" s="118" t="s">
        <v>75</v>
      </c>
      <c r="E73" s="131" t="s">
        <v>25</v>
      </c>
      <c r="F73" s="131" t="s">
        <v>57</v>
      </c>
      <c r="G73" s="87"/>
      <c r="H73" s="136"/>
      <c r="I73" s="126"/>
      <c r="J73" s="2"/>
      <c r="K73" s="127"/>
      <c r="L73" s="18"/>
      <c r="M73" s="18">
        <v>10000</v>
      </c>
      <c r="N73" s="80">
        <v>2</v>
      </c>
      <c r="O73" s="126">
        <f>Apr!AL282</f>
        <v>5500</v>
      </c>
      <c r="P73" s="126">
        <f>Apr!AM282</f>
        <v>3563</v>
      </c>
      <c r="Q73" s="2">
        <f>Apr!AK282</f>
        <v>15</v>
      </c>
      <c r="R73" s="436"/>
      <c r="S73" s="436"/>
      <c r="T73" s="18"/>
      <c r="U73" s="18"/>
      <c r="V73" s="127">
        <f>O73-T73-U73+V48</f>
        <v>76939</v>
      </c>
      <c r="W73" s="46"/>
      <c r="Y73" s="13"/>
    </row>
    <row r="74" spans="1:25">
      <c r="A74" s="427"/>
      <c r="B74" s="439"/>
      <c r="C74" s="440"/>
      <c r="D74" s="118" t="s">
        <v>72</v>
      </c>
      <c r="E74" s="155" t="s">
        <v>24</v>
      </c>
      <c r="F74" s="131" t="s">
        <v>57</v>
      </c>
      <c r="G74" s="224"/>
      <c r="H74" s="136"/>
      <c r="I74" s="126"/>
      <c r="J74" s="126"/>
      <c r="K74" s="127"/>
      <c r="L74" s="18"/>
      <c r="M74" s="18">
        <v>65000</v>
      </c>
      <c r="N74" s="80">
        <v>13</v>
      </c>
      <c r="O74" s="126">
        <f>Apr!AL284</f>
        <v>4205</v>
      </c>
      <c r="P74" s="126">
        <f>Apr!AM284</f>
        <v>5967</v>
      </c>
      <c r="Q74" s="126">
        <f>Apr!AK284</f>
        <v>26</v>
      </c>
      <c r="R74" s="436"/>
      <c r="S74" s="436"/>
      <c r="T74" s="18"/>
      <c r="U74" s="18"/>
      <c r="V74" s="127">
        <f>O74-T74-U74+V50</f>
        <v>11136</v>
      </c>
      <c r="W74" s="46"/>
      <c r="Y74" s="13"/>
    </row>
    <row r="75" spans="1:25" ht="14.25" customHeight="1">
      <c r="A75" s="427"/>
      <c r="B75" s="439"/>
      <c r="C75" s="440"/>
      <c r="D75" s="115" t="s">
        <v>79</v>
      </c>
      <c r="E75" s="118" t="s">
        <v>65</v>
      </c>
      <c r="F75" s="131" t="s">
        <v>57</v>
      </c>
      <c r="G75" s="224"/>
      <c r="H75" s="37"/>
      <c r="I75" s="126"/>
      <c r="J75" s="126"/>
      <c r="K75" s="18"/>
      <c r="L75" s="18"/>
      <c r="M75" s="18"/>
      <c r="N75" s="80"/>
      <c r="O75" s="126"/>
      <c r="P75" s="126"/>
      <c r="Q75" s="126">
        <f>Apr!AK285</f>
        <v>1</v>
      </c>
      <c r="R75" s="436"/>
      <c r="S75" s="436"/>
      <c r="T75" s="18"/>
      <c r="U75" s="18"/>
      <c r="V75" s="127"/>
      <c r="W75" s="45"/>
      <c r="X75" s="36"/>
    </row>
    <row r="76" spans="1:25" ht="14.25" customHeight="1">
      <c r="A76" s="427"/>
      <c r="B76" s="137" t="s">
        <v>53</v>
      </c>
      <c r="C76" s="157" t="s">
        <v>60</v>
      </c>
      <c r="D76" s="43" t="s">
        <v>130</v>
      </c>
      <c r="E76" s="115" t="s">
        <v>66</v>
      </c>
      <c r="F76" s="118" t="s">
        <v>54</v>
      </c>
      <c r="G76" s="224"/>
      <c r="H76" s="37"/>
      <c r="I76" s="126"/>
      <c r="J76" s="126"/>
      <c r="K76" s="18">
        <v>12000</v>
      </c>
      <c r="L76" s="18">
        <v>2</v>
      </c>
      <c r="M76" s="18">
        <v>78000</v>
      </c>
      <c r="N76" s="80">
        <v>13</v>
      </c>
      <c r="O76" s="126">
        <f>Apr!AL279</f>
        <v>11025</v>
      </c>
      <c r="P76" s="126">
        <f>Apr!AM279</f>
        <v>7321</v>
      </c>
      <c r="Q76" s="126">
        <f>Apr!AK279</f>
        <v>24</v>
      </c>
      <c r="R76" s="436"/>
      <c r="S76" s="436"/>
      <c r="T76" s="18"/>
      <c r="U76" s="18"/>
      <c r="V76" s="127">
        <f>O76-T76-U76+V53</f>
        <v>20877</v>
      </c>
      <c r="W76" s="45"/>
      <c r="X76" s="67"/>
    </row>
    <row r="77" spans="1:25" ht="15.75" customHeight="1">
      <c r="A77" s="427"/>
      <c r="B77" s="122" t="s">
        <v>55</v>
      </c>
      <c r="C77" s="180" t="s">
        <v>133</v>
      </c>
      <c r="D77" s="48" t="s">
        <v>56</v>
      </c>
      <c r="E77" s="424" t="s">
        <v>25</v>
      </c>
      <c r="F77" s="118" t="s">
        <v>67</v>
      </c>
      <c r="G77" s="226"/>
      <c r="H77" s="126"/>
      <c r="I77" s="126"/>
      <c r="J77" s="2"/>
      <c r="K77" s="18"/>
      <c r="L77" s="18"/>
      <c r="M77" s="18">
        <v>2800</v>
      </c>
      <c r="N77" s="18">
        <v>1</v>
      </c>
      <c r="O77" s="126"/>
      <c r="P77" s="126"/>
      <c r="Q77" s="126"/>
      <c r="R77" s="436"/>
      <c r="S77" s="436"/>
      <c r="T77" s="18"/>
      <c r="U77" s="18"/>
      <c r="V77" s="127">
        <f t="shared" ref="V77:V83" si="2">O77-T77-U77+V56</f>
        <v>500</v>
      </c>
      <c r="W77" s="45"/>
      <c r="X77" s="67"/>
    </row>
    <row r="78" spans="1:25" ht="15" customHeight="1">
      <c r="A78" s="427"/>
      <c r="B78" s="122" t="s">
        <v>122</v>
      </c>
      <c r="C78" s="180" t="s">
        <v>123</v>
      </c>
      <c r="D78" s="48" t="s">
        <v>56</v>
      </c>
      <c r="E78" s="441"/>
      <c r="F78" s="155" t="s">
        <v>64</v>
      </c>
      <c r="G78" s="119"/>
      <c r="H78" s="126"/>
      <c r="I78" s="126"/>
      <c r="J78" s="2"/>
      <c r="K78" s="18"/>
      <c r="L78" s="18"/>
      <c r="M78" s="18">
        <v>6400</v>
      </c>
      <c r="N78" s="18">
        <v>2</v>
      </c>
      <c r="O78" s="126"/>
      <c r="P78" s="126"/>
      <c r="Q78" s="126">
        <f>Apr!AK287</f>
        <v>1</v>
      </c>
      <c r="R78" s="436"/>
      <c r="S78" s="436"/>
      <c r="T78" s="18"/>
      <c r="U78" s="18"/>
      <c r="V78" s="127">
        <f t="shared" si="2"/>
        <v>31304</v>
      </c>
      <c r="W78" s="45"/>
      <c r="X78" s="67"/>
    </row>
    <row r="79" spans="1:25" ht="14.25" customHeight="1">
      <c r="A79" s="427"/>
      <c r="B79" s="137" t="s">
        <v>58</v>
      </c>
      <c r="C79" s="157" t="s">
        <v>243</v>
      </c>
      <c r="D79" s="48" t="s">
        <v>56</v>
      </c>
      <c r="E79" s="441"/>
      <c r="F79" s="118" t="s">
        <v>64</v>
      </c>
      <c r="G79" s="225"/>
      <c r="H79" s="126"/>
      <c r="I79" s="126"/>
      <c r="J79" s="126"/>
      <c r="K79" s="18"/>
      <c r="L79" s="18"/>
      <c r="M79" s="18"/>
      <c r="N79" s="80"/>
      <c r="O79" s="126"/>
      <c r="P79" s="126"/>
      <c r="Q79" s="126">
        <f>Apr!AK288</f>
        <v>1</v>
      </c>
      <c r="R79" s="436"/>
      <c r="S79" s="436"/>
      <c r="T79" s="18"/>
      <c r="U79" s="18"/>
      <c r="V79" s="127">
        <f t="shared" si="2"/>
        <v>8562</v>
      </c>
      <c r="W79" s="45"/>
      <c r="X79" s="67"/>
    </row>
    <row r="80" spans="1:25" ht="14.25" customHeight="1">
      <c r="A80" s="427"/>
      <c r="B80" s="122" t="s">
        <v>61</v>
      </c>
      <c r="C80" s="180" t="s">
        <v>137</v>
      </c>
      <c r="D80" s="48" t="s">
        <v>56</v>
      </c>
      <c r="E80" s="441"/>
      <c r="F80" s="118" t="s">
        <v>67</v>
      </c>
      <c r="G80" s="225"/>
      <c r="H80" s="126"/>
      <c r="I80" s="126"/>
      <c r="J80" s="126"/>
      <c r="K80" s="18"/>
      <c r="L80" s="18"/>
      <c r="M80" s="18"/>
      <c r="N80" s="80"/>
      <c r="O80" s="126"/>
      <c r="P80" s="126"/>
      <c r="Q80" s="126">
        <f>Apr!AK289</f>
        <v>1</v>
      </c>
      <c r="R80" s="436"/>
      <c r="S80" s="436"/>
      <c r="T80" s="18"/>
      <c r="U80" s="18"/>
      <c r="V80" s="127">
        <f t="shared" si="2"/>
        <v>5844</v>
      </c>
      <c r="W80" s="45"/>
      <c r="X80" s="67"/>
    </row>
    <row r="81" spans="1:25" ht="14.25" customHeight="1">
      <c r="A81" s="427"/>
      <c r="B81" s="122" t="s">
        <v>125</v>
      </c>
      <c r="C81" s="180" t="s">
        <v>88</v>
      </c>
      <c r="D81" s="48" t="s">
        <v>124</v>
      </c>
      <c r="E81" s="441"/>
      <c r="F81" s="118" t="s">
        <v>64</v>
      </c>
      <c r="G81" s="225"/>
      <c r="H81" s="126"/>
      <c r="I81" s="126"/>
      <c r="J81" s="126"/>
      <c r="K81" s="18"/>
      <c r="L81" s="18"/>
      <c r="M81" s="18">
        <v>51200</v>
      </c>
      <c r="N81" s="80">
        <v>7</v>
      </c>
      <c r="O81" s="126"/>
      <c r="P81" s="126"/>
      <c r="Q81" s="126"/>
      <c r="R81" s="436"/>
      <c r="S81" s="436"/>
      <c r="T81" s="18"/>
      <c r="U81" s="18"/>
      <c r="V81" s="127">
        <f t="shared" si="2"/>
        <v>23615</v>
      </c>
      <c r="W81" s="45"/>
      <c r="X81" s="67"/>
    </row>
    <row r="82" spans="1:25" ht="14.25" customHeight="1">
      <c r="A82" s="427"/>
      <c r="B82" s="137" t="s">
        <v>47</v>
      </c>
      <c r="C82" s="157" t="s">
        <v>100</v>
      </c>
      <c r="D82" s="48" t="s">
        <v>99</v>
      </c>
      <c r="E82" s="441"/>
      <c r="F82" s="118" t="s">
        <v>71</v>
      </c>
      <c r="G82" s="225"/>
      <c r="H82" s="126"/>
      <c r="I82" s="126"/>
      <c r="J82" s="126"/>
      <c r="K82" s="18"/>
      <c r="L82" s="18"/>
      <c r="M82" s="18">
        <v>18000</v>
      </c>
      <c r="N82" s="80">
        <v>3</v>
      </c>
      <c r="O82" s="126"/>
      <c r="P82" s="126"/>
      <c r="Q82" s="126"/>
      <c r="R82" s="436"/>
      <c r="S82" s="436"/>
      <c r="T82" s="18"/>
      <c r="U82" s="18"/>
      <c r="V82" s="127">
        <f t="shared" si="2"/>
        <v>63278</v>
      </c>
      <c r="W82" s="45"/>
      <c r="X82" s="67"/>
    </row>
    <row r="83" spans="1:25" ht="15" customHeight="1">
      <c r="A83" s="427"/>
      <c r="B83" s="122" t="s">
        <v>196</v>
      </c>
      <c r="C83" s="180" t="s">
        <v>63</v>
      </c>
      <c r="D83" s="48" t="s">
        <v>135</v>
      </c>
      <c r="E83" s="441"/>
      <c r="F83" s="118" t="s">
        <v>64</v>
      </c>
      <c r="G83" s="226"/>
      <c r="H83" s="126"/>
      <c r="I83" s="126"/>
      <c r="J83" s="2"/>
      <c r="K83" s="18"/>
      <c r="L83" s="18"/>
      <c r="M83" s="18">
        <v>33200</v>
      </c>
      <c r="N83" s="18">
        <v>4</v>
      </c>
      <c r="O83" s="126"/>
      <c r="P83" s="126"/>
      <c r="Q83" s="126"/>
      <c r="R83" s="436"/>
      <c r="S83" s="436"/>
      <c r="T83" s="18"/>
      <c r="U83" s="18"/>
      <c r="V83" s="127">
        <f t="shared" si="2"/>
        <v>15106</v>
      </c>
      <c r="W83" s="45"/>
      <c r="X83" s="67"/>
    </row>
    <row r="84" spans="1:25" ht="15" customHeight="1">
      <c r="A84" s="427"/>
      <c r="B84" s="122" t="s">
        <v>289</v>
      </c>
      <c r="C84" s="180" t="s">
        <v>290</v>
      </c>
      <c r="D84" s="48" t="s">
        <v>291</v>
      </c>
      <c r="E84" s="441"/>
      <c r="F84" s="118" t="s">
        <v>292</v>
      </c>
      <c r="G84" s="226"/>
      <c r="H84" s="126"/>
      <c r="I84" s="126"/>
      <c r="J84" s="2"/>
      <c r="K84" s="18">
        <v>2000</v>
      </c>
      <c r="L84" s="18">
        <v>1</v>
      </c>
      <c r="M84" s="18"/>
      <c r="N84" s="18"/>
      <c r="O84" s="126"/>
      <c r="P84" s="126">
        <f>Apr!AM292</f>
        <v>137</v>
      </c>
      <c r="Q84" s="126">
        <f>Apr!AK292</f>
        <v>1</v>
      </c>
      <c r="R84" s="436"/>
      <c r="S84" s="436"/>
      <c r="T84" s="18"/>
      <c r="U84" s="18"/>
      <c r="V84" s="127"/>
      <c r="W84" s="45"/>
      <c r="X84" s="67"/>
    </row>
    <row r="85" spans="1:25" ht="15" customHeight="1">
      <c r="A85" s="427"/>
      <c r="B85" s="122" t="s">
        <v>253</v>
      </c>
      <c r="C85" s="180" t="s">
        <v>252</v>
      </c>
      <c r="D85" s="48" t="s">
        <v>246</v>
      </c>
      <c r="E85" s="441"/>
      <c r="F85" s="118" t="s">
        <v>247</v>
      </c>
      <c r="G85" s="226"/>
      <c r="H85" s="126"/>
      <c r="I85" s="126"/>
      <c r="J85" s="2"/>
      <c r="K85" s="18"/>
      <c r="L85" s="18"/>
      <c r="M85" s="18"/>
      <c r="N85" s="18"/>
      <c r="O85" s="126"/>
      <c r="P85" s="126"/>
      <c r="Q85" s="126">
        <f>Apr!AK291</f>
        <v>1</v>
      </c>
      <c r="R85" s="436"/>
      <c r="S85" s="436"/>
      <c r="T85" s="18"/>
      <c r="U85" s="18"/>
      <c r="V85" s="127">
        <f>O85-T85-U85+V63</f>
        <v>503</v>
      </c>
      <c r="W85" s="45"/>
      <c r="X85" s="67"/>
    </row>
    <row r="86" spans="1:25" ht="15" customHeight="1">
      <c r="A86" s="427"/>
      <c r="B86" s="122" t="s">
        <v>101</v>
      </c>
      <c r="C86" s="180" t="s">
        <v>193</v>
      </c>
      <c r="D86" s="48" t="s">
        <v>102</v>
      </c>
      <c r="E86" s="441"/>
      <c r="F86" s="118" t="s">
        <v>64</v>
      </c>
      <c r="G86" s="119"/>
      <c r="H86" s="126"/>
      <c r="I86" s="126"/>
      <c r="J86" s="2"/>
      <c r="K86" s="18"/>
      <c r="L86" s="18"/>
      <c r="M86" s="18"/>
      <c r="N86" s="18"/>
      <c r="O86" s="126"/>
      <c r="P86" s="126"/>
      <c r="Q86" s="126">
        <f>Apr!AK297</f>
        <v>1</v>
      </c>
      <c r="R86" s="436"/>
      <c r="S86" s="436"/>
      <c r="T86" s="18"/>
      <c r="U86" s="18"/>
      <c r="V86" s="18"/>
      <c r="W86" s="45"/>
      <c r="X86" s="67"/>
    </row>
    <row r="87" spans="1:25" ht="15" customHeight="1">
      <c r="A87" s="427"/>
      <c r="B87" s="122" t="s">
        <v>103</v>
      </c>
      <c r="C87" s="157" t="s">
        <v>197</v>
      </c>
      <c r="D87" s="48" t="s">
        <v>104</v>
      </c>
      <c r="E87" s="441"/>
      <c r="F87" s="118" t="s">
        <v>105</v>
      </c>
      <c r="G87" s="119"/>
      <c r="H87" s="126"/>
      <c r="I87" s="126"/>
      <c r="J87" s="2"/>
      <c r="K87" s="18"/>
      <c r="L87" s="18"/>
      <c r="M87" s="18"/>
      <c r="N87" s="18"/>
      <c r="O87" s="126"/>
      <c r="P87" s="126"/>
      <c r="Q87" s="126">
        <f>Apr!AK298</f>
        <v>1</v>
      </c>
      <c r="R87" s="436"/>
      <c r="S87" s="436"/>
      <c r="T87" s="18"/>
      <c r="U87" s="18"/>
      <c r="V87" s="18"/>
      <c r="W87" s="45"/>
      <c r="X87" s="67"/>
    </row>
    <row r="88" spans="1:25" ht="15" customHeight="1">
      <c r="A88" s="427"/>
      <c r="B88" s="137" t="s">
        <v>112</v>
      </c>
      <c r="C88" s="157" t="s">
        <v>197</v>
      </c>
      <c r="D88" s="48" t="s">
        <v>104</v>
      </c>
      <c r="E88" s="441"/>
      <c r="F88" s="118" t="s">
        <v>113</v>
      </c>
      <c r="G88" s="119"/>
      <c r="H88" s="126"/>
      <c r="I88" s="126"/>
      <c r="J88" s="2"/>
      <c r="K88" s="18"/>
      <c r="L88" s="18"/>
      <c r="M88" s="18"/>
      <c r="N88" s="18"/>
      <c r="O88" s="126"/>
      <c r="P88" s="126"/>
      <c r="Q88" s="126">
        <f>Apr!AK301</f>
        <v>1</v>
      </c>
      <c r="R88" s="436"/>
      <c r="S88" s="436"/>
      <c r="T88" s="18"/>
      <c r="U88" s="18"/>
      <c r="V88" s="18"/>
      <c r="W88" s="45"/>
      <c r="X88" s="67"/>
    </row>
    <row r="89" spans="1:25" ht="15" customHeight="1">
      <c r="A89" s="427"/>
      <c r="B89" s="137" t="s">
        <v>106</v>
      </c>
      <c r="C89" s="157" t="s">
        <v>141</v>
      </c>
      <c r="D89" s="48" t="s">
        <v>68</v>
      </c>
      <c r="E89" s="441"/>
      <c r="F89" s="118" t="s">
        <v>67</v>
      </c>
      <c r="G89" s="119"/>
      <c r="H89" s="126"/>
      <c r="I89" s="126"/>
      <c r="J89" s="2"/>
      <c r="K89" s="18"/>
      <c r="L89" s="18"/>
      <c r="M89" s="18"/>
      <c r="N89" s="18"/>
      <c r="O89" s="126"/>
      <c r="P89" s="126"/>
      <c r="Q89" s="126">
        <f>Apr!AK299</f>
        <v>1</v>
      </c>
      <c r="R89" s="436"/>
      <c r="S89" s="436"/>
      <c r="T89" s="18"/>
      <c r="U89" s="18"/>
      <c r="V89" s="18"/>
      <c r="W89" s="45"/>
      <c r="X89" s="67"/>
    </row>
    <row r="90" spans="1:25" ht="15" customHeight="1" thickBot="1">
      <c r="A90" s="428"/>
      <c r="B90" s="44" t="s">
        <v>107</v>
      </c>
      <c r="C90" s="181" t="s">
        <v>195</v>
      </c>
      <c r="D90" s="61" t="s">
        <v>108</v>
      </c>
      <c r="E90" s="447"/>
      <c r="F90" s="133" t="s">
        <v>48</v>
      </c>
      <c r="G90" s="132"/>
      <c r="H90" s="109"/>
      <c r="I90" s="134"/>
      <c r="J90" s="129"/>
      <c r="K90" s="130"/>
      <c r="L90" s="130"/>
      <c r="M90" s="130"/>
      <c r="N90" s="130"/>
      <c r="O90" s="134"/>
      <c r="P90" s="134"/>
      <c r="Q90" s="134">
        <f>Apr!AK300</f>
        <v>1</v>
      </c>
      <c r="R90" s="437"/>
      <c r="S90" s="437"/>
      <c r="T90" s="130"/>
      <c r="U90" s="130"/>
      <c r="V90" s="128"/>
      <c r="W90" s="85"/>
      <c r="X90" s="67"/>
    </row>
    <row r="91" spans="1:25" ht="15" customHeight="1">
      <c r="A91" s="426">
        <v>46118</v>
      </c>
      <c r="B91" s="429" t="s">
        <v>44</v>
      </c>
      <c r="C91" s="432" t="s">
        <v>240</v>
      </c>
      <c r="D91" s="19" t="s">
        <v>37</v>
      </c>
      <c r="E91" s="19" t="s">
        <v>25</v>
      </c>
      <c r="F91" s="39" t="s">
        <v>40</v>
      </c>
      <c r="G91" s="168">
        <v>5498.1</v>
      </c>
      <c r="H91" s="32">
        <v>5744</v>
      </c>
      <c r="I91" s="32"/>
      <c r="J91" s="32"/>
      <c r="K91" s="20">
        <v>32000</v>
      </c>
      <c r="L91" s="20">
        <v>4</v>
      </c>
      <c r="M91" s="20">
        <v>296000</v>
      </c>
      <c r="N91" s="84">
        <v>37</v>
      </c>
      <c r="O91" s="32">
        <f>Apr!AR276</f>
        <v>34922</v>
      </c>
      <c r="P91" s="32">
        <f>Apr!AS276</f>
        <v>35799</v>
      </c>
      <c r="Q91" s="32">
        <f>Apr!AQ276</f>
        <v>94</v>
      </c>
      <c r="R91" s="435">
        <f>Apr!AR303</f>
        <v>70946</v>
      </c>
      <c r="S91" s="435">
        <f>Apr!AS303</f>
        <v>75576</v>
      </c>
      <c r="T91" s="20">
        <v>41093</v>
      </c>
      <c r="U91" s="20"/>
      <c r="V91" s="20">
        <f>O91-T91-U91+V71</f>
        <v>62478</v>
      </c>
      <c r="W91" s="77"/>
      <c r="X91" s="36"/>
    </row>
    <row r="92" spans="1:25" ht="15" customHeight="1">
      <c r="A92" s="427"/>
      <c r="B92" s="431"/>
      <c r="C92" s="434"/>
      <c r="D92" s="113" t="s">
        <v>128</v>
      </c>
      <c r="E92" s="113" t="s">
        <v>24</v>
      </c>
      <c r="F92" s="114" t="s">
        <v>40</v>
      </c>
      <c r="G92" s="170">
        <v>1649.43</v>
      </c>
      <c r="H92" s="135">
        <v>3037.5</v>
      </c>
      <c r="I92" s="125"/>
      <c r="J92" s="125"/>
      <c r="K92" s="18"/>
      <c r="L92" s="127"/>
      <c r="M92" s="216">
        <v>119400</v>
      </c>
      <c r="N92" s="238">
        <v>15</v>
      </c>
      <c r="O92" s="126">
        <f>Apr!AR277</f>
        <v>19595</v>
      </c>
      <c r="P92" s="125">
        <f>Apr!AS277</f>
        <v>21470</v>
      </c>
      <c r="Q92" s="125">
        <f>Apr!AQ277</f>
        <v>56</v>
      </c>
      <c r="R92" s="436"/>
      <c r="S92" s="436"/>
      <c r="T92" s="127">
        <v>15021</v>
      </c>
      <c r="U92" s="127">
        <v>5</v>
      </c>
      <c r="V92" s="127">
        <f>O92-T92-U92+V72</f>
        <v>39495</v>
      </c>
      <c r="W92" s="46"/>
      <c r="X92" s="67"/>
    </row>
    <row r="93" spans="1:25" ht="15" customHeight="1">
      <c r="A93" s="427"/>
      <c r="B93" s="442" t="s">
        <v>45</v>
      </c>
      <c r="C93" s="448" t="s">
        <v>59</v>
      </c>
      <c r="D93" s="118" t="s">
        <v>75</v>
      </c>
      <c r="E93" s="131" t="s">
        <v>25</v>
      </c>
      <c r="F93" s="131" t="s">
        <v>57</v>
      </c>
      <c r="G93" s="87"/>
      <c r="H93" s="136"/>
      <c r="I93" s="126"/>
      <c r="J93" s="2"/>
      <c r="K93" s="127"/>
      <c r="L93" s="18"/>
      <c r="M93" s="18">
        <v>10000</v>
      </c>
      <c r="N93" s="80">
        <v>2</v>
      </c>
      <c r="O93" s="126">
        <f>Apr!AR282</f>
        <v>2700</v>
      </c>
      <c r="P93" s="126">
        <f>Apr!AS282</f>
        <v>3813</v>
      </c>
      <c r="Q93" s="2">
        <f>Apr!AQ282</f>
        <v>15</v>
      </c>
      <c r="R93" s="436"/>
      <c r="S93" s="436"/>
      <c r="T93" s="18"/>
      <c r="U93" s="18"/>
      <c r="V93" s="127">
        <f>O93-T93-U93+V73</f>
        <v>79639</v>
      </c>
      <c r="W93" s="46"/>
      <c r="Y93" s="13"/>
    </row>
    <row r="94" spans="1:25">
      <c r="A94" s="427"/>
      <c r="B94" s="439"/>
      <c r="C94" s="440"/>
      <c r="D94" s="118" t="s">
        <v>72</v>
      </c>
      <c r="E94" s="155" t="s">
        <v>24</v>
      </c>
      <c r="F94" s="131" t="s">
        <v>57</v>
      </c>
      <c r="G94" s="224"/>
      <c r="H94" s="136"/>
      <c r="I94" s="126"/>
      <c r="J94" s="126"/>
      <c r="K94" s="127"/>
      <c r="L94" s="18"/>
      <c r="M94" s="18">
        <v>65000</v>
      </c>
      <c r="N94" s="80">
        <v>13</v>
      </c>
      <c r="O94" s="126">
        <f>Apr!AR284</f>
        <v>8000</v>
      </c>
      <c r="P94" s="126">
        <f>Apr!AS284</f>
        <v>6393</v>
      </c>
      <c r="Q94" s="126">
        <f>Apr!AQ284</f>
        <v>26</v>
      </c>
      <c r="R94" s="436"/>
      <c r="S94" s="436"/>
      <c r="T94" s="18">
        <v>6600</v>
      </c>
      <c r="U94" s="18"/>
      <c r="V94" s="127">
        <f>O94-T94-U94+V74</f>
        <v>12536</v>
      </c>
      <c r="W94" s="46"/>
      <c r="Y94" s="13"/>
    </row>
    <row r="95" spans="1:25" ht="14.25" customHeight="1">
      <c r="A95" s="427"/>
      <c r="B95" s="439"/>
      <c r="C95" s="440"/>
      <c r="D95" s="115" t="s">
        <v>79</v>
      </c>
      <c r="E95" s="118" t="s">
        <v>65</v>
      </c>
      <c r="F95" s="131" t="s">
        <v>57</v>
      </c>
      <c r="G95" s="224"/>
      <c r="H95" s="37"/>
      <c r="I95" s="126"/>
      <c r="J95" s="126"/>
      <c r="K95" s="18"/>
      <c r="L95" s="18"/>
      <c r="M95" s="18"/>
      <c r="N95" s="80"/>
      <c r="O95" s="126"/>
      <c r="P95" s="126"/>
      <c r="Q95" s="126">
        <f>Apr!AQ285</f>
        <v>1</v>
      </c>
      <c r="R95" s="436"/>
      <c r="S95" s="436"/>
      <c r="T95" s="18"/>
      <c r="U95" s="18"/>
      <c r="V95" s="127"/>
      <c r="W95" s="45"/>
      <c r="X95" s="36"/>
    </row>
    <row r="96" spans="1:25" ht="14.25" customHeight="1">
      <c r="A96" s="427"/>
      <c r="B96" s="137" t="s">
        <v>53</v>
      </c>
      <c r="C96" s="157" t="s">
        <v>60</v>
      </c>
      <c r="D96" s="43" t="s">
        <v>130</v>
      </c>
      <c r="E96" s="115" t="s">
        <v>66</v>
      </c>
      <c r="F96" s="118" t="s">
        <v>54</v>
      </c>
      <c r="G96" s="224"/>
      <c r="H96" s="37"/>
      <c r="I96" s="126"/>
      <c r="J96" s="126"/>
      <c r="K96" s="18">
        <v>18000</v>
      </c>
      <c r="L96" s="18">
        <v>3</v>
      </c>
      <c r="M96" s="18">
        <v>60000</v>
      </c>
      <c r="N96" s="80">
        <v>10</v>
      </c>
      <c r="O96" s="126">
        <f>Apr!AR279</f>
        <v>5729</v>
      </c>
      <c r="P96" s="126">
        <f>Apr!AS279</f>
        <v>7820</v>
      </c>
      <c r="Q96" s="126">
        <f>Apr!AQ279</f>
        <v>24</v>
      </c>
      <c r="R96" s="436"/>
      <c r="S96" s="436"/>
      <c r="T96" s="18">
        <v>20897</v>
      </c>
      <c r="U96" s="18"/>
      <c r="V96" s="127">
        <f t="shared" ref="V96:V103" si="3">O96-T96-U96+V76</f>
        <v>5709</v>
      </c>
      <c r="W96" s="45"/>
      <c r="X96" s="67"/>
    </row>
    <row r="97" spans="1:24" ht="15.75" customHeight="1">
      <c r="A97" s="427"/>
      <c r="B97" s="122" t="s">
        <v>55</v>
      </c>
      <c r="C97" s="180" t="s">
        <v>133</v>
      </c>
      <c r="D97" s="48" t="s">
        <v>56</v>
      </c>
      <c r="E97" s="424" t="s">
        <v>25</v>
      </c>
      <c r="F97" s="118" t="s">
        <v>67</v>
      </c>
      <c r="G97" s="226"/>
      <c r="H97" s="126"/>
      <c r="I97" s="126"/>
      <c r="J97" s="2"/>
      <c r="K97" s="18"/>
      <c r="L97" s="18"/>
      <c r="M97" s="18">
        <v>2800</v>
      </c>
      <c r="N97" s="18">
        <v>1</v>
      </c>
      <c r="O97" s="126"/>
      <c r="P97" s="126"/>
      <c r="Q97" s="126"/>
      <c r="R97" s="436"/>
      <c r="S97" s="436"/>
      <c r="T97" s="18"/>
      <c r="U97" s="18"/>
      <c r="V97" s="127">
        <f t="shared" si="3"/>
        <v>500</v>
      </c>
      <c r="W97" s="45"/>
      <c r="X97" s="67"/>
    </row>
    <row r="98" spans="1:24" ht="15" customHeight="1">
      <c r="A98" s="427"/>
      <c r="B98" s="122" t="s">
        <v>122</v>
      </c>
      <c r="C98" s="180" t="s">
        <v>123</v>
      </c>
      <c r="D98" s="48" t="s">
        <v>56</v>
      </c>
      <c r="E98" s="441"/>
      <c r="F98" s="155" t="s">
        <v>64</v>
      </c>
      <c r="G98" s="119"/>
      <c r="H98" s="126"/>
      <c r="I98" s="126"/>
      <c r="J98" s="2"/>
      <c r="K98" s="18"/>
      <c r="L98" s="18"/>
      <c r="M98" s="18">
        <v>6400</v>
      </c>
      <c r="N98" s="18">
        <v>2</v>
      </c>
      <c r="O98" s="126"/>
      <c r="P98" s="126"/>
      <c r="Q98" s="126">
        <f>Apr!AQ287</f>
        <v>1</v>
      </c>
      <c r="R98" s="436"/>
      <c r="S98" s="436"/>
      <c r="T98" s="18"/>
      <c r="U98" s="18"/>
      <c r="V98" s="127">
        <f t="shared" si="3"/>
        <v>31304</v>
      </c>
      <c r="W98" s="45"/>
      <c r="X98" s="67"/>
    </row>
    <row r="99" spans="1:24" ht="14.25" customHeight="1">
      <c r="A99" s="427"/>
      <c r="B99" s="137" t="s">
        <v>58</v>
      </c>
      <c r="C99" s="157" t="s">
        <v>243</v>
      </c>
      <c r="D99" s="48" t="s">
        <v>56</v>
      </c>
      <c r="E99" s="441"/>
      <c r="F99" s="118" t="s">
        <v>64</v>
      </c>
      <c r="G99" s="225"/>
      <c r="H99" s="126"/>
      <c r="I99" s="126"/>
      <c r="J99" s="126"/>
      <c r="K99" s="18"/>
      <c r="L99" s="18"/>
      <c r="M99" s="18"/>
      <c r="N99" s="80"/>
      <c r="O99" s="126"/>
      <c r="P99" s="126"/>
      <c r="Q99" s="126">
        <f>Apr!AQ288</f>
        <v>1</v>
      </c>
      <c r="R99" s="436"/>
      <c r="S99" s="436"/>
      <c r="T99" s="18"/>
      <c r="U99" s="18"/>
      <c r="V99" s="127">
        <f t="shared" si="3"/>
        <v>8562</v>
      </c>
      <c r="W99" s="45"/>
      <c r="X99" s="67"/>
    </row>
    <row r="100" spans="1:24" ht="14.25" customHeight="1">
      <c r="A100" s="427"/>
      <c r="B100" s="122" t="s">
        <v>61</v>
      </c>
      <c r="C100" s="180" t="s">
        <v>137</v>
      </c>
      <c r="D100" s="48" t="s">
        <v>56</v>
      </c>
      <c r="E100" s="441"/>
      <c r="F100" s="118" t="s">
        <v>67</v>
      </c>
      <c r="G100" s="225"/>
      <c r="H100" s="126"/>
      <c r="I100" s="126"/>
      <c r="J100" s="126"/>
      <c r="K100" s="18"/>
      <c r="L100" s="18"/>
      <c r="M100" s="18"/>
      <c r="N100" s="80"/>
      <c r="O100" s="126"/>
      <c r="P100" s="126"/>
      <c r="Q100" s="126">
        <f>Apr!AQ289</f>
        <v>1</v>
      </c>
      <c r="R100" s="436"/>
      <c r="S100" s="436"/>
      <c r="T100" s="18"/>
      <c r="U100" s="18"/>
      <c r="V100" s="127">
        <f t="shared" si="3"/>
        <v>5844</v>
      </c>
      <c r="W100" s="45"/>
      <c r="X100" s="67"/>
    </row>
    <row r="101" spans="1:24" ht="14.25" customHeight="1">
      <c r="A101" s="427"/>
      <c r="B101" s="122" t="s">
        <v>125</v>
      </c>
      <c r="C101" s="180" t="s">
        <v>88</v>
      </c>
      <c r="D101" s="48" t="s">
        <v>124</v>
      </c>
      <c r="E101" s="441"/>
      <c r="F101" s="118" t="s">
        <v>64</v>
      </c>
      <c r="G101" s="225"/>
      <c r="H101" s="126"/>
      <c r="I101" s="126"/>
      <c r="J101" s="126"/>
      <c r="K101" s="18"/>
      <c r="L101" s="18"/>
      <c r="M101" s="18">
        <v>51200</v>
      </c>
      <c r="N101" s="80">
        <v>7</v>
      </c>
      <c r="O101" s="126"/>
      <c r="P101" s="126"/>
      <c r="Q101" s="126"/>
      <c r="R101" s="436"/>
      <c r="S101" s="436"/>
      <c r="T101" s="18"/>
      <c r="U101" s="18"/>
      <c r="V101" s="127">
        <f t="shared" si="3"/>
        <v>23615</v>
      </c>
      <c r="W101" s="45"/>
      <c r="X101" s="67"/>
    </row>
    <row r="102" spans="1:24" ht="14.25" customHeight="1">
      <c r="A102" s="427"/>
      <c r="B102" s="137" t="s">
        <v>47</v>
      </c>
      <c r="C102" s="157" t="s">
        <v>100</v>
      </c>
      <c r="D102" s="48" t="s">
        <v>99</v>
      </c>
      <c r="E102" s="441"/>
      <c r="F102" s="118" t="s">
        <v>71</v>
      </c>
      <c r="G102" s="225"/>
      <c r="H102" s="126"/>
      <c r="I102" s="126"/>
      <c r="J102" s="126"/>
      <c r="K102" s="18"/>
      <c r="L102" s="18"/>
      <c r="M102" s="18">
        <v>18000</v>
      </c>
      <c r="N102" s="80">
        <v>3</v>
      </c>
      <c r="O102" s="126"/>
      <c r="P102" s="126"/>
      <c r="Q102" s="126"/>
      <c r="R102" s="436"/>
      <c r="S102" s="436"/>
      <c r="T102" s="18"/>
      <c r="U102" s="18"/>
      <c r="V102" s="127">
        <f t="shared" si="3"/>
        <v>63278</v>
      </c>
      <c r="W102" s="45"/>
      <c r="X102" s="67"/>
    </row>
    <row r="103" spans="1:24" ht="15" customHeight="1">
      <c r="A103" s="427"/>
      <c r="B103" s="122" t="s">
        <v>196</v>
      </c>
      <c r="C103" s="180" t="s">
        <v>63</v>
      </c>
      <c r="D103" s="48" t="s">
        <v>135</v>
      </c>
      <c r="E103" s="441"/>
      <c r="F103" s="118" t="s">
        <v>64</v>
      </c>
      <c r="G103" s="226"/>
      <c r="H103" s="126"/>
      <c r="I103" s="126"/>
      <c r="J103" s="2"/>
      <c r="K103" s="18"/>
      <c r="L103" s="18"/>
      <c r="M103" s="18">
        <v>33200</v>
      </c>
      <c r="N103" s="18">
        <v>4</v>
      </c>
      <c r="O103" s="126"/>
      <c r="P103" s="126"/>
      <c r="Q103" s="126"/>
      <c r="R103" s="436"/>
      <c r="S103" s="436"/>
      <c r="T103" s="18"/>
      <c r="U103" s="18"/>
      <c r="V103" s="127">
        <f t="shared" si="3"/>
        <v>15106</v>
      </c>
      <c r="W103" s="45"/>
      <c r="X103" s="67"/>
    </row>
    <row r="104" spans="1:24" ht="15" customHeight="1">
      <c r="A104" s="427"/>
      <c r="B104" s="122" t="s">
        <v>253</v>
      </c>
      <c r="C104" s="180" t="s">
        <v>252</v>
      </c>
      <c r="D104" s="48" t="s">
        <v>246</v>
      </c>
      <c r="E104" s="441"/>
      <c r="F104" s="118" t="s">
        <v>247</v>
      </c>
      <c r="G104" s="226"/>
      <c r="H104" s="126"/>
      <c r="I104" s="126"/>
      <c r="J104" s="2"/>
      <c r="K104" s="18"/>
      <c r="L104" s="18"/>
      <c r="M104" s="18"/>
      <c r="N104" s="18"/>
      <c r="O104" s="126"/>
      <c r="P104" s="126"/>
      <c r="Q104" s="126">
        <f>Apr!AQ291</f>
        <v>1</v>
      </c>
      <c r="R104" s="436"/>
      <c r="S104" s="436"/>
      <c r="T104" s="18"/>
      <c r="U104" s="18"/>
      <c r="V104" s="127">
        <f>O104-T104-U104+V85</f>
        <v>503</v>
      </c>
      <c r="W104" s="45"/>
      <c r="X104" s="67"/>
    </row>
    <row r="105" spans="1:24" ht="15" customHeight="1">
      <c r="A105" s="427"/>
      <c r="B105" s="122" t="s">
        <v>289</v>
      </c>
      <c r="C105" s="180" t="s">
        <v>290</v>
      </c>
      <c r="D105" s="48" t="s">
        <v>291</v>
      </c>
      <c r="E105" s="441"/>
      <c r="F105" s="118" t="s">
        <v>292</v>
      </c>
      <c r="G105" s="226"/>
      <c r="H105" s="126"/>
      <c r="I105" s="126"/>
      <c r="J105" s="2"/>
      <c r="K105" s="18"/>
      <c r="L105" s="18"/>
      <c r="M105" s="18"/>
      <c r="N105" s="18"/>
      <c r="O105" s="126"/>
      <c r="P105" s="126">
        <f>Apr!AS292</f>
        <v>281</v>
      </c>
      <c r="Q105" s="126">
        <f>Apr!AQ292</f>
        <v>1</v>
      </c>
      <c r="R105" s="436"/>
      <c r="S105" s="436"/>
      <c r="T105" s="18"/>
      <c r="U105" s="18"/>
      <c r="V105" s="127"/>
      <c r="W105" s="45"/>
      <c r="X105" s="67"/>
    </row>
    <row r="106" spans="1:24" ht="15" customHeight="1">
      <c r="A106" s="427"/>
      <c r="B106" s="122" t="s">
        <v>101</v>
      </c>
      <c r="C106" s="180" t="s">
        <v>193</v>
      </c>
      <c r="D106" s="48" t="s">
        <v>102</v>
      </c>
      <c r="E106" s="441"/>
      <c r="F106" s="118" t="s">
        <v>64</v>
      </c>
      <c r="G106" s="119"/>
      <c r="H106" s="126"/>
      <c r="I106" s="126"/>
      <c r="J106" s="2"/>
      <c r="K106" s="18"/>
      <c r="L106" s="18"/>
      <c r="M106" s="18"/>
      <c r="N106" s="18"/>
      <c r="O106" s="126"/>
      <c r="P106" s="126"/>
      <c r="Q106" s="126">
        <f>Apr!AQ297</f>
        <v>1</v>
      </c>
      <c r="R106" s="436"/>
      <c r="S106" s="436"/>
      <c r="T106" s="18"/>
      <c r="U106" s="18"/>
      <c r="V106" s="18"/>
      <c r="W106" s="45"/>
      <c r="X106" s="67"/>
    </row>
    <row r="107" spans="1:24" ht="15" customHeight="1">
      <c r="A107" s="427"/>
      <c r="B107" s="122" t="s">
        <v>103</v>
      </c>
      <c r="C107" s="157" t="s">
        <v>197</v>
      </c>
      <c r="D107" s="48" t="s">
        <v>104</v>
      </c>
      <c r="E107" s="441"/>
      <c r="F107" s="118" t="s">
        <v>105</v>
      </c>
      <c r="G107" s="119"/>
      <c r="H107" s="126"/>
      <c r="I107" s="126"/>
      <c r="J107" s="2"/>
      <c r="K107" s="18"/>
      <c r="L107" s="18"/>
      <c r="M107" s="18"/>
      <c r="N107" s="18"/>
      <c r="O107" s="126"/>
      <c r="P107" s="126"/>
      <c r="Q107" s="126">
        <f>Apr!AQ298</f>
        <v>1</v>
      </c>
      <c r="R107" s="436"/>
      <c r="S107" s="436"/>
      <c r="T107" s="18"/>
      <c r="U107" s="18"/>
      <c r="V107" s="18"/>
      <c r="W107" s="45"/>
      <c r="X107" s="67"/>
    </row>
    <row r="108" spans="1:24" ht="15" customHeight="1">
      <c r="A108" s="427"/>
      <c r="B108" s="137" t="s">
        <v>112</v>
      </c>
      <c r="C108" s="157" t="s">
        <v>197</v>
      </c>
      <c r="D108" s="48" t="s">
        <v>104</v>
      </c>
      <c r="E108" s="441"/>
      <c r="F108" s="118" t="s">
        <v>113</v>
      </c>
      <c r="G108" s="119"/>
      <c r="H108" s="126"/>
      <c r="I108" s="126"/>
      <c r="J108" s="2"/>
      <c r="K108" s="18"/>
      <c r="L108" s="18"/>
      <c r="M108" s="18"/>
      <c r="N108" s="18"/>
      <c r="O108" s="126"/>
      <c r="P108" s="126"/>
      <c r="Q108" s="126">
        <f>Apr!AQ301</f>
        <v>1</v>
      </c>
      <c r="R108" s="436"/>
      <c r="S108" s="436"/>
      <c r="T108" s="18"/>
      <c r="U108" s="18"/>
      <c r="V108" s="18"/>
      <c r="W108" s="45"/>
      <c r="X108" s="67"/>
    </row>
    <row r="109" spans="1:24" ht="15" customHeight="1">
      <c r="A109" s="427"/>
      <c r="B109" s="137" t="s">
        <v>106</v>
      </c>
      <c r="C109" s="157" t="s">
        <v>141</v>
      </c>
      <c r="D109" s="48" t="s">
        <v>68</v>
      </c>
      <c r="E109" s="441"/>
      <c r="F109" s="118" t="s">
        <v>67</v>
      </c>
      <c r="G109" s="119"/>
      <c r="H109" s="126"/>
      <c r="I109" s="126"/>
      <c r="J109" s="2"/>
      <c r="K109" s="18"/>
      <c r="L109" s="18"/>
      <c r="M109" s="18"/>
      <c r="N109" s="18"/>
      <c r="O109" s="126"/>
      <c r="P109" s="126"/>
      <c r="Q109" s="126">
        <f>Apr!AQ299</f>
        <v>1</v>
      </c>
      <c r="R109" s="436"/>
      <c r="S109" s="436"/>
      <c r="T109" s="18"/>
      <c r="U109" s="18"/>
      <c r="V109" s="18"/>
      <c r="W109" s="45"/>
      <c r="X109" s="67"/>
    </row>
    <row r="110" spans="1:24" ht="15" customHeight="1" thickBot="1">
      <c r="A110" s="428"/>
      <c r="B110" s="44" t="s">
        <v>107</v>
      </c>
      <c r="C110" s="181" t="s">
        <v>195</v>
      </c>
      <c r="D110" s="61" t="s">
        <v>108</v>
      </c>
      <c r="E110" s="447"/>
      <c r="F110" s="133" t="s">
        <v>48</v>
      </c>
      <c r="G110" s="132"/>
      <c r="H110" s="109"/>
      <c r="I110" s="134"/>
      <c r="J110" s="129"/>
      <c r="K110" s="130"/>
      <c r="L110" s="130"/>
      <c r="M110" s="130"/>
      <c r="N110" s="130"/>
      <c r="O110" s="134"/>
      <c r="P110" s="134"/>
      <c r="Q110" s="134">
        <f>Apr!AQ300</f>
        <v>1</v>
      </c>
      <c r="R110" s="437"/>
      <c r="S110" s="437"/>
      <c r="T110" s="130"/>
      <c r="U110" s="130"/>
      <c r="V110" s="128"/>
      <c r="W110" s="85"/>
      <c r="X110" s="67"/>
    </row>
    <row r="111" spans="1:24" ht="15" customHeight="1">
      <c r="A111" s="426">
        <v>46119</v>
      </c>
      <c r="B111" s="429" t="s">
        <v>44</v>
      </c>
      <c r="C111" s="432" t="s">
        <v>240</v>
      </c>
      <c r="D111" s="19" t="s">
        <v>37</v>
      </c>
      <c r="E111" s="19" t="s">
        <v>25</v>
      </c>
      <c r="F111" s="39" t="s">
        <v>40</v>
      </c>
      <c r="G111" s="41"/>
      <c r="H111" s="32"/>
      <c r="I111" s="32"/>
      <c r="J111" s="32"/>
      <c r="K111" s="20">
        <v>40000</v>
      </c>
      <c r="L111" s="20">
        <v>5</v>
      </c>
      <c r="M111" s="20">
        <v>256000</v>
      </c>
      <c r="N111" s="84">
        <v>32</v>
      </c>
      <c r="O111" s="32">
        <f>Apr!AU276</f>
        <v>33603</v>
      </c>
      <c r="P111" s="32">
        <f>Apr!AV276</f>
        <v>35566</v>
      </c>
      <c r="Q111" s="32">
        <f>Apr!AT276</f>
        <v>94</v>
      </c>
      <c r="R111" s="435">
        <f>Apr!AU303</f>
        <v>77712</v>
      </c>
      <c r="S111" s="435">
        <f>Apr!AV303</f>
        <v>74696</v>
      </c>
      <c r="T111" s="20">
        <v>45119</v>
      </c>
      <c r="U111" s="20">
        <v>3</v>
      </c>
      <c r="V111" s="20">
        <f>O111-T111-U111+V91</f>
        <v>50959</v>
      </c>
      <c r="W111" s="77"/>
      <c r="X111" s="36"/>
    </row>
    <row r="112" spans="1:24" ht="15" customHeight="1">
      <c r="A112" s="427"/>
      <c r="B112" s="431"/>
      <c r="C112" s="434"/>
      <c r="D112" s="113" t="s">
        <v>128</v>
      </c>
      <c r="E112" s="113" t="s">
        <v>24</v>
      </c>
      <c r="F112" s="114" t="s">
        <v>40</v>
      </c>
      <c r="G112" s="135">
        <v>5498.1</v>
      </c>
      <c r="H112" s="135"/>
      <c r="I112" s="125"/>
      <c r="J112" s="125"/>
      <c r="K112" s="18">
        <v>8000</v>
      </c>
      <c r="L112" s="127">
        <v>1</v>
      </c>
      <c r="M112" s="216">
        <v>191400</v>
      </c>
      <c r="N112" s="238">
        <v>24</v>
      </c>
      <c r="O112" s="126">
        <f>Apr!AU277</f>
        <v>34808</v>
      </c>
      <c r="P112" s="125">
        <f>Apr!AV277</f>
        <v>21070</v>
      </c>
      <c r="Q112" s="125">
        <f>Apr!AT277</f>
        <v>56</v>
      </c>
      <c r="R112" s="436"/>
      <c r="S112" s="436"/>
      <c r="T112" s="127">
        <v>26201</v>
      </c>
      <c r="U112" s="127"/>
      <c r="V112" s="127">
        <f>O112-T112-U112+V92</f>
        <v>48102</v>
      </c>
      <c r="W112" s="46"/>
      <c r="X112" s="67"/>
    </row>
    <row r="113" spans="1:25" ht="15" customHeight="1">
      <c r="A113" s="427"/>
      <c r="B113" s="442" t="s">
        <v>45</v>
      </c>
      <c r="C113" s="448" t="s">
        <v>59</v>
      </c>
      <c r="D113" s="118" t="s">
        <v>75</v>
      </c>
      <c r="E113" s="438" t="s">
        <v>25</v>
      </c>
      <c r="F113" s="131" t="s">
        <v>57</v>
      </c>
      <c r="G113" s="87"/>
      <c r="H113" s="136"/>
      <c r="I113" s="126"/>
      <c r="J113" s="2"/>
      <c r="K113" s="127"/>
      <c r="L113" s="18"/>
      <c r="M113" s="18">
        <v>10000</v>
      </c>
      <c r="N113" s="80">
        <v>2</v>
      </c>
      <c r="O113" s="126">
        <f>Apr!AU282</f>
        <v>2170</v>
      </c>
      <c r="P113" s="126">
        <f>Apr!AV282</f>
        <v>3750</v>
      </c>
      <c r="Q113" s="2">
        <f>Apr!AT282</f>
        <v>15</v>
      </c>
      <c r="R113" s="436"/>
      <c r="S113" s="436"/>
      <c r="T113" s="18">
        <v>6193</v>
      </c>
      <c r="U113" s="18"/>
      <c r="V113" s="127">
        <f>O113-T113-U113+V93</f>
        <v>75616</v>
      </c>
      <c r="W113" s="46"/>
      <c r="Y113" s="13"/>
    </row>
    <row r="114" spans="1:25">
      <c r="A114" s="427"/>
      <c r="B114" s="439"/>
      <c r="C114" s="440"/>
      <c r="D114" s="118" t="s">
        <v>94</v>
      </c>
      <c r="E114" s="431"/>
      <c r="F114" s="131"/>
      <c r="G114" s="152"/>
      <c r="H114" s="152">
        <v>1782</v>
      </c>
      <c r="I114" s="126"/>
      <c r="J114" s="126"/>
      <c r="K114" s="127"/>
      <c r="L114" s="18"/>
      <c r="M114" s="18"/>
      <c r="N114" s="80"/>
      <c r="O114" s="126"/>
      <c r="P114" s="126"/>
      <c r="Q114" s="2"/>
      <c r="R114" s="436"/>
      <c r="S114" s="436"/>
      <c r="T114" s="18"/>
      <c r="U114" s="18"/>
      <c r="V114" s="127"/>
      <c r="W114" s="46"/>
      <c r="Y114" s="13"/>
    </row>
    <row r="115" spans="1:25">
      <c r="A115" s="427"/>
      <c r="B115" s="439"/>
      <c r="C115" s="440"/>
      <c r="D115" s="118" t="s">
        <v>72</v>
      </c>
      <c r="E115" s="424" t="s">
        <v>24</v>
      </c>
      <c r="F115" s="131" t="s">
        <v>57</v>
      </c>
      <c r="G115" s="224"/>
      <c r="H115" s="152"/>
      <c r="I115" s="126"/>
      <c r="J115" s="126"/>
      <c r="K115" s="127"/>
      <c r="L115" s="18"/>
      <c r="M115" s="18">
        <v>65000</v>
      </c>
      <c r="N115" s="80">
        <v>13</v>
      </c>
      <c r="O115" s="126">
        <f>Apr!AU284</f>
        <v>4231</v>
      </c>
      <c r="P115" s="126">
        <f>Apr!AV284</f>
        <v>6075</v>
      </c>
      <c r="Q115" s="126">
        <f>Apr!AT284</f>
        <v>26</v>
      </c>
      <c r="R115" s="436"/>
      <c r="S115" s="436"/>
      <c r="T115" s="18">
        <v>13597</v>
      </c>
      <c r="U115" s="18">
        <v>20</v>
      </c>
      <c r="V115" s="127">
        <f>O115-T115-U115+V94</f>
        <v>3150</v>
      </c>
      <c r="W115" s="46"/>
      <c r="Y115" s="13"/>
    </row>
    <row r="116" spans="1:25">
      <c r="A116" s="427"/>
      <c r="B116" s="439"/>
      <c r="C116" s="440"/>
      <c r="D116" s="115" t="s">
        <v>73</v>
      </c>
      <c r="E116" s="425"/>
      <c r="F116" s="131"/>
      <c r="G116" s="267"/>
      <c r="H116" s="152">
        <v>1782</v>
      </c>
      <c r="I116" s="126"/>
      <c r="J116" s="126"/>
      <c r="K116" s="127"/>
      <c r="L116" s="18"/>
      <c r="M116" s="18"/>
      <c r="N116" s="80"/>
      <c r="O116" s="126"/>
      <c r="P116" s="126"/>
      <c r="Q116" s="126"/>
      <c r="R116" s="436"/>
      <c r="S116" s="436"/>
      <c r="T116" s="18"/>
      <c r="U116" s="18"/>
      <c r="V116" s="127"/>
      <c r="W116" s="46"/>
      <c r="Y116" s="13"/>
    </row>
    <row r="117" spans="1:25" ht="14.25" customHeight="1">
      <c r="A117" s="427"/>
      <c r="B117" s="439"/>
      <c r="C117" s="440"/>
      <c r="D117" s="115" t="s">
        <v>79</v>
      </c>
      <c r="E117" s="118" t="s">
        <v>65</v>
      </c>
      <c r="F117" s="131" t="s">
        <v>57</v>
      </c>
      <c r="G117" s="224"/>
      <c r="H117" s="126"/>
      <c r="I117" s="126"/>
      <c r="J117" s="126"/>
      <c r="K117" s="18"/>
      <c r="L117" s="18"/>
      <c r="M117" s="18"/>
      <c r="N117" s="80"/>
      <c r="O117" s="126"/>
      <c r="P117" s="126"/>
      <c r="Q117" s="126">
        <f>Apr!AT285</f>
        <v>1</v>
      </c>
      <c r="R117" s="436"/>
      <c r="S117" s="436"/>
      <c r="T117" s="18"/>
      <c r="U117" s="18"/>
      <c r="V117" s="127"/>
      <c r="W117" s="45"/>
      <c r="X117" s="36"/>
    </row>
    <row r="118" spans="1:25" ht="14.25" customHeight="1">
      <c r="A118" s="427"/>
      <c r="B118" s="137" t="s">
        <v>53</v>
      </c>
      <c r="C118" s="157" t="s">
        <v>60</v>
      </c>
      <c r="D118" s="43" t="s">
        <v>130</v>
      </c>
      <c r="E118" s="115" t="s">
        <v>66</v>
      </c>
      <c r="F118" s="118" t="s">
        <v>54</v>
      </c>
      <c r="G118" s="229">
        <v>2558.94</v>
      </c>
      <c r="H118" s="37"/>
      <c r="I118" s="126"/>
      <c r="J118" s="126"/>
      <c r="K118" s="18">
        <v>18000</v>
      </c>
      <c r="L118" s="18">
        <v>3</v>
      </c>
      <c r="M118" s="18">
        <v>78000</v>
      </c>
      <c r="N118" s="80">
        <v>13</v>
      </c>
      <c r="O118" s="126">
        <f>Apr!AU279</f>
        <v>2400</v>
      </c>
      <c r="P118" s="126">
        <f>Apr!AV279</f>
        <v>8153</v>
      </c>
      <c r="Q118" s="126">
        <f>Apr!AT279</f>
        <v>24</v>
      </c>
      <c r="R118" s="436"/>
      <c r="S118" s="436"/>
      <c r="T118" s="18">
        <v>5729</v>
      </c>
      <c r="U118" s="18"/>
      <c r="V118" s="127">
        <f t="shared" ref="V118:V126" si="4">O118-T118-U118+V96</f>
        <v>2380</v>
      </c>
      <c r="W118" s="45"/>
      <c r="X118" s="67"/>
    </row>
    <row r="119" spans="1:25" ht="15.75" customHeight="1">
      <c r="A119" s="427"/>
      <c r="B119" s="122" t="s">
        <v>55</v>
      </c>
      <c r="C119" s="180" t="s">
        <v>133</v>
      </c>
      <c r="D119" s="48" t="s">
        <v>56</v>
      </c>
      <c r="E119" s="424" t="s">
        <v>25</v>
      </c>
      <c r="F119" s="118" t="s">
        <v>67</v>
      </c>
      <c r="G119" s="226"/>
      <c r="H119" s="126"/>
      <c r="I119" s="126"/>
      <c r="J119" s="2"/>
      <c r="K119" s="18"/>
      <c r="L119" s="18"/>
      <c r="M119" s="18">
        <v>2800</v>
      </c>
      <c r="N119" s="18">
        <v>1</v>
      </c>
      <c r="O119" s="126"/>
      <c r="P119" s="126"/>
      <c r="Q119" s="126"/>
      <c r="R119" s="436"/>
      <c r="S119" s="436"/>
      <c r="T119" s="18"/>
      <c r="U119" s="18"/>
      <c r="V119" s="127">
        <f t="shared" si="4"/>
        <v>500</v>
      </c>
      <c r="W119" s="45"/>
      <c r="X119" s="67"/>
    </row>
    <row r="120" spans="1:25" ht="15" customHeight="1">
      <c r="A120" s="427"/>
      <c r="B120" s="122" t="s">
        <v>122</v>
      </c>
      <c r="C120" s="180" t="s">
        <v>123</v>
      </c>
      <c r="D120" s="48" t="s">
        <v>56</v>
      </c>
      <c r="E120" s="441"/>
      <c r="F120" s="155" t="s">
        <v>64</v>
      </c>
      <c r="G120" s="119"/>
      <c r="H120" s="126"/>
      <c r="I120" s="126"/>
      <c r="J120" s="2"/>
      <c r="K120" s="18"/>
      <c r="L120" s="18"/>
      <c r="M120" s="18">
        <v>6400</v>
      </c>
      <c r="N120" s="18">
        <v>2</v>
      </c>
      <c r="O120" s="126"/>
      <c r="P120" s="126"/>
      <c r="Q120" s="126">
        <f>Apr!AT287</f>
        <v>1</v>
      </c>
      <c r="R120" s="436"/>
      <c r="S120" s="436"/>
      <c r="T120" s="18"/>
      <c r="U120" s="18"/>
      <c r="V120" s="127">
        <f t="shared" si="4"/>
        <v>31304</v>
      </c>
      <c r="W120" s="45"/>
      <c r="X120" s="67"/>
    </row>
    <row r="121" spans="1:25" ht="14.25" customHeight="1">
      <c r="A121" s="427"/>
      <c r="B121" s="137" t="s">
        <v>58</v>
      </c>
      <c r="C121" s="157" t="s">
        <v>243</v>
      </c>
      <c r="D121" s="48" t="s">
        <v>56</v>
      </c>
      <c r="E121" s="441"/>
      <c r="F121" s="118" t="s">
        <v>64</v>
      </c>
      <c r="G121" s="225"/>
      <c r="H121" s="126"/>
      <c r="I121" s="126"/>
      <c r="J121" s="126"/>
      <c r="K121" s="18"/>
      <c r="L121" s="18"/>
      <c r="M121" s="18"/>
      <c r="N121" s="80"/>
      <c r="O121" s="126"/>
      <c r="P121" s="126"/>
      <c r="Q121" s="126">
        <f>Apr!AT288</f>
        <v>1</v>
      </c>
      <c r="R121" s="436"/>
      <c r="S121" s="436"/>
      <c r="T121" s="18"/>
      <c r="U121" s="18"/>
      <c r="V121" s="127">
        <f t="shared" si="4"/>
        <v>8562</v>
      </c>
      <c r="W121" s="45"/>
      <c r="X121" s="67"/>
    </row>
    <row r="122" spans="1:25" ht="14.25" customHeight="1">
      <c r="A122" s="427"/>
      <c r="B122" s="122" t="s">
        <v>61</v>
      </c>
      <c r="C122" s="180" t="s">
        <v>137</v>
      </c>
      <c r="D122" s="48" t="s">
        <v>56</v>
      </c>
      <c r="E122" s="441"/>
      <c r="F122" s="118" t="s">
        <v>67</v>
      </c>
      <c r="G122" s="225"/>
      <c r="H122" s="126"/>
      <c r="I122" s="126"/>
      <c r="J122" s="126"/>
      <c r="K122" s="18"/>
      <c r="L122" s="18"/>
      <c r="M122" s="18"/>
      <c r="N122" s="80"/>
      <c r="O122" s="126"/>
      <c r="P122" s="126"/>
      <c r="Q122" s="126">
        <f>Apr!AT289</f>
        <v>1</v>
      </c>
      <c r="R122" s="436"/>
      <c r="S122" s="436"/>
      <c r="T122" s="18"/>
      <c r="U122" s="18"/>
      <c r="V122" s="127">
        <f t="shared" si="4"/>
        <v>5844</v>
      </c>
      <c r="W122" s="45"/>
      <c r="X122" s="67"/>
    </row>
    <row r="123" spans="1:25" ht="14.25" customHeight="1">
      <c r="A123" s="427"/>
      <c r="B123" s="122" t="s">
        <v>125</v>
      </c>
      <c r="C123" s="180" t="s">
        <v>88</v>
      </c>
      <c r="D123" s="48" t="s">
        <v>124</v>
      </c>
      <c r="E123" s="441"/>
      <c r="F123" s="118" t="s">
        <v>64</v>
      </c>
      <c r="G123" s="225"/>
      <c r="H123" s="126"/>
      <c r="I123" s="126"/>
      <c r="J123" s="126"/>
      <c r="K123" s="18"/>
      <c r="L123" s="18"/>
      <c r="M123" s="18">
        <v>51200</v>
      </c>
      <c r="N123" s="80">
        <v>7</v>
      </c>
      <c r="O123" s="126"/>
      <c r="P123" s="126"/>
      <c r="Q123" s="126"/>
      <c r="R123" s="436"/>
      <c r="S123" s="436"/>
      <c r="T123" s="18"/>
      <c r="U123" s="18"/>
      <c r="V123" s="127">
        <f t="shared" si="4"/>
        <v>23615</v>
      </c>
      <c r="W123" s="45"/>
      <c r="X123" s="67"/>
    </row>
    <row r="124" spans="1:25" ht="14.25" customHeight="1">
      <c r="A124" s="427"/>
      <c r="B124" s="137" t="s">
        <v>47</v>
      </c>
      <c r="C124" s="157" t="s">
        <v>100</v>
      </c>
      <c r="D124" s="48" t="s">
        <v>99</v>
      </c>
      <c r="E124" s="441"/>
      <c r="F124" s="118" t="s">
        <v>71</v>
      </c>
      <c r="G124" s="225"/>
      <c r="H124" s="126"/>
      <c r="I124" s="126"/>
      <c r="J124" s="126"/>
      <c r="K124" s="18"/>
      <c r="L124" s="18"/>
      <c r="M124" s="18">
        <v>18000</v>
      </c>
      <c r="N124" s="80">
        <v>3</v>
      </c>
      <c r="O124" s="126"/>
      <c r="P124" s="126"/>
      <c r="Q124" s="126"/>
      <c r="R124" s="436"/>
      <c r="S124" s="436"/>
      <c r="T124" s="18"/>
      <c r="U124" s="18"/>
      <c r="V124" s="127">
        <f t="shared" si="4"/>
        <v>63278</v>
      </c>
      <c r="W124" s="45"/>
      <c r="X124" s="67"/>
    </row>
    <row r="125" spans="1:25" ht="15" customHeight="1">
      <c r="A125" s="427"/>
      <c r="B125" s="122" t="s">
        <v>196</v>
      </c>
      <c r="C125" s="180" t="s">
        <v>63</v>
      </c>
      <c r="D125" s="48" t="s">
        <v>135</v>
      </c>
      <c r="E125" s="441"/>
      <c r="F125" s="118" t="s">
        <v>64</v>
      </c>
      <c r="G125" s="226"/>
      <c r="H125" s="126"/>
      <c r="I125" s="126"/>
      <c r="J125" s="2"/>
      <c r="K125" s="18"/>
      <c r="L125" s="18"/>
      <c r="M125" s="18">
        <v>33200</v>
      </c>
      <c r="N125" s="18">
        <v>4</v>
      </c>
      <c r="O125" s="126"/>
      <c r="P125" s="126"/>
      <c r="Q125" s="126"/>
      <c r="R125" s="436"/>
      <c r="S125" s="436"/>
      <c r="T125" s="18"/>
      <c r="U125" s="18"/>
      <c r="V125" s="127">
        <f t="shared" si="4"/>
        <v>15106</v>
      </c>
      <c r="W125" s="45"/>
      <c r="X125" s="67"/>
    </row>
    <row r="126" spans="1:25" ht="15" customHeight="1">
      <c r="A126" s="427"/>
      <c r="B126" s="122" t="s">
        <v>253</v>
      </c>
      <c r="C126" s="180" t="s">
        <v>252</v>
      </c>
      <c r="D126" s="48" t="s">
        <v>246</v>
      </c>
      <c r="E126" s="441"/>
      <c r="F126" s="118" t="s">
        <v>247</v>
      </c>
      <c r="G126" s="226"/>
      <c r="H126" s="126"/>
      <c r="I126" s="126"/>
      <c r="J126" s="2"/>
      <c r="K126" s="18"/>
      <c r="L126" s="18"/>
      <c r="M126" s="18"/>
      <c r="N126" s="18"/>
      <c r="O126" s="126"/>
      <c r="P126" s="126"/>
      <c r="Q126" s="126">
        <f>Apr!AT291</f>
        <v>1</v>
      </c>
      <c r="R126" s="436"/>
      <c r="S126" s="436"/>
      <c r="T126" s="18"/>
      <c r="U126" s="18"/>
      <c r="V126" s="127">
        <f t="shared" si="4"/>
        <v>503</v>
      </c>
      <c r="W126" s="45"/>
      <c r="X126" s="67"/>
    </row>
    <row r="127" spans="1:25" ht="15" customHeight="1">
      <c r="A127" s="427"/>
      <c r="B127" s="122" t="s">
        <v>289</v>
      </c>
      <c r="C127" s="180" t="s">
        <v>290</v>
      </c>
      <c r="D127" s="48" t="s">
        <v>291</v>
      </c>
      <c r="E127" s="441"/>
      <c r="F127" s="118" t="s">
        <v>292</v>
      </c>
      <c r="G127" s="226"/>
      <c r="H127" s="126"/>
      <c r="I127" s="126"/>
      <c r="J127" s="2"/>
      <c r="K127" s="18"/>
      <c r="L127" s="18"/>
      <c r="M127" s="18"/>
      <c r="N127" s="18"/>
      <c r="O127" s="126">
        <f>Apr!AU292</f>
        <v>500</v>
      </c>
      <c r="P127" s="126">
        <f>Apr!AV292</f>
        <v>82</v>
      </c>
      <c r="Q127" s="126">
        <f>Apr!AT292</f>
        <v>1</v>
      </c>
      <c r="R127" s="436"/>
      <c r="S127" s="436"/>
      <c r="T127" s="18"/>
      <c r="U127" s="18"/>
      <c r="V127" s="127">
        <f>O127-T127-U127+V105</f>
        <v>500</v>
      </c>
      <c r="W127" s="45"/>
      <c r="X127" s="67"/>
    </row>
    <row r="128" spans="1:25" ht="15" customHeight="1">
      <c r="A128" s="427"/>
      <c r="B128" s="122" t="s">
        <v>101</v>
      </c>
      <c r="C128" s="180" t="s">
        <v>193</v>
      </c>
      <c r="D128" s="48" t="s">
        <v>102</v>
      </c>
      <c r="E128" s="441"/>
      <c r="F128" s="118" t="s">
        <v>64</v>
      </c>
      <c r="G128" s="119"/>
      <c r="H128" s="126"/>
      <c r="I128" s="126"/>
      <c r="J128" s="2"/>
      <c r="K128" s="18"/>
      <c r="L128" s="18"/>
      <c r="M128" s="18"/>
      <c r="N128" s="18"/>
      <c r="O128" s="126"/>
      <c r="P128" s="126"/>
      <c r="Q128" s="126">
        <f>Apr!AT297</f>
        <v>1</v>
      </c>
      <c r="R128" s="436"/>
      <c r="S128" s="436"/>
      <c r="T128" s="18"/>
      <c r="U128" s="18"/>
      <c r="V128" s="18"/>
      <c r="W128" s="45"/>
      <c r="X128" s="67"/>
    </row>
    <row r="129" spans="1:25" ht="15" customHeight="1">
      <c r="A129" s="427"/>
      <c r="B129" s="122" t="s">
        <v>103</v>
      </c>
      <c r="C129" s="157" t="s">
        <v>197</v>
      </c>
      <c r="D129" s="48" t="s">
        <v>104</v>
      </c>
      <c r="E129" s="441"/>
      <c r="F129" s="118" t="s">
        <v>105</v>
      </c>
      <c r="G129" s="119"/>
      <c r="H129" s="126"/>
      <c r="I129" s="126"/>
      <c r="J129" s="2"/>
      <c r="K129" s="18"/>
      <c r="L129" s="18"/>
      <c r="M129" s="18"/>
      <c r="N129" s="18"/>
      <c r="O129" s="126"/>
      <c r="P129" s="126"/>
      <c r="Q129" s="126">
        <f>Apr!AT298</f>
        <v>1</v>
      </c>
      <c r="R129" s="436"/>
      <c r="S129" s="436"/>
      <c r="T129" s="18"/>
      <c r="U129" s="18"/>
      <c r="V129" s="18"/>
      <c r="W129" s="45"/>
      <c r="X129" s="67"/>
    </row>
    <row r="130" spans="1:25" ht="15" customHeight="1">
      <c r="A130" s="427"/>
      <c r="B130" s="137" t="s">
        <v>112</v>
      </c>
      <c r="C130" s="157" t="s">
        <v>197</v>
      </c>
      <c r="D130" s="48" t="s">
        <v>104</v>
      </c>
      <c r="E130" s="441"/>
      <c r="F130" s="118" t="s">
        <v>113</v>
      </c>
      <c r="G130" s="119"/>
      <c r="H130" s="126"/>
      <c r="I130" s="126"/>
      <c r="J130" s="2"/>
      <c r="K130" s="18"/>
      <c r="L130" s="18"/>
      <c r="M130" s="18"/>
      <c r="N130" s="18"/>
      <c r="O130" s="126"/>
      <c r="P130" s="126"/>
      <c r="Q130" s="126">
        <f>Apr!AT301</f>
        <v>1</v>
      </c>
      <c r="R130" s="436"/>
      <c r="S130" s="436"/>
      <c r="T130" s="18"/>
      <c r="U130" s="18"/>
      <c r="V130" s="18"/>
      <c r="W130" s="45"/>
      <c r="X130" s="67"/>
    </row>
    <row r="131" spans="1:25" ht="15" customHeight="1">
      <c r="A131" s="427"/>
      <c r="B131" s="137" t="s">
        <v>106</v>
      </c>
      <c r="C131" s="157" t="s">
        <v>141</v>
      </c>
      <c r="D131" s="48" t="s">
        <v>68</v>
      </c>
      <c r="E131" s="441"/>
      <c r="F131" s="118" t="s">
        <v>67</v>
      </c>
      <c r="G131" s="119"/>
      <c r="H131" s="126"/>
      <c r="I131" s="126"/>
      <c r="J131" s="2"/>
      <c r="K131" s="18"/>
      <c r="L131" s="18"/>
      <c r="M131" s="18"/>
      <c r="N131" s="18"/>
      <c r="O131" s="126"/>
      <c r="P131" s="126"/>
      <c r="Q131" s="126">
        <f>Apr!AT299</f>
        <v>1</v>
      </c>
      <c r="R131" s="436"/>
      <c r="S131" s="436"/>
      <c r="T131" s="18"/>
      <c r="U131" s="18"/>
      <c r="V131" s="18"/>
      <c r="W131" s="45"/>
      <c r="X131" s="67"/>
    </row>
    <row r="132" spans="1:25" ht="15" customHeight="1" thickBot="1">
      <c r="A132" s="428"/>
      <c r="B132" s="44" t="s">
        <v>107</v>
      </c>
      <c r="C132" s="181" t="s">
        <v>195</v>
      </c>
      <c r="D132" s="61" t="s">
        <v>108</v>
      </c>
      <c r="E132" s="447"/>
      <c r="F132" s="133" t="s">
        <v>48</v>
      </c>
      <c r="G132" s="132"/>
      <c r="H132" s="109"/>
      <c r="I132" s="134"/>
      <c r="J132" s="129"/>
      <c r="K132" s="130"/>
      <c r="L132" s="130"/>
      <c r="M132" s="130"/>
      <c r="N132" s="130"/>
      <c r="O132" s="134"/>
      <c r="P132" s="134"/>
      <c r="Q132" s="134">
        <f>Apr!AT300</f>
        <v>1</v>
      </c>
      <c r="R132" s="437"/>
      <c r="S132" s="437"/>
      <c r="T132" s="130"/>
      <c r="U132" s="130"/>
      <c r="V132" s="128"/>
      <c r="W132" s="85"/>
      <c r="X132" s="67"/>
    </row>
    <row r="133" spans="1:25" ht="15" customHeight="1">
      <c r="A133" s="426">
        <v>46120</v>
      </c>
      <c r="B133" s="429" t="s">
        <v>44</v>
      </c>
      <c r="C133" s="432" t="s">
        <v>240</v>
      </c>
      <c r="D133" s="19" t="s">
        <v>37</v>
      </c>
      <c r="E133" s="19" t="s">
        <v>25</v>
      </c>
      <c r="F133" s="39" t="s">
        <v>40</v>
      </c>
      <c r="G133" s="41"/>
      <c r="H133" s="32">
        <v>5760</v>
      </c>
      <c r="I133" s="32"/>
      <c r="J133" s="32"/>
      <c r="K133" s="20">
        <v>8000</v>
      </c>
      <c r="L133" s="20">
        <v>1</v>
      </c>
      <c r="M133" s="20">
        <v>248000</v>
      </c>
      <c r="N133" s="84">
        <v>31</v>
      </c>
      <c r="O133" s="32">
        <f>Apr!AX276</f>
        <v>29275</v>
      </c>
      <c r="P133" s="32">
        <f>Apr!AY276</f>
        <v>35800</v>
      </c>
      <c r="Q133" s="32">
        <f>Apr!AW276</f>
        <v>94</v>
      </c>
      <c r="R133" s="435">
        <f>Apr!AX303</f>
        <v>61749</v>
      </c>
      <c r="S133" s="435">
        <f>Apr!AY303</f>
        <v>74665</v>
      </c>
      <c r="T133" s="20">
        <v>45418</v>
      </c>
      <c r="U133" s="20">
        <v>33</v>
      </c>
      <c r="V133" s="20">
        <f>O133-T133-U133+V111</f>
        <v>34783</v>
      </c>
      <c r="W133" s="77"/>
      <c r="X133" s="36"/>
    </row>
    <row r="134" spans="1:25" ht="15" customHeight="1">
      <c r="A134" s="427"/>
      <c r="B134" s="431"/>
      <c r="C134" s="434"/>
      <c r="D134" s="113" t="s">
        <v>128</v>
      </c>
      <c r="E134" s="113" t="s">
        <v>24</v>
      </c>
      <c r="F134" s="114" t="s">
        <v>40</v>
      </c>
      <c r="G134" s="170">
        <v>4907.05</v>
      </c>
      <c r="H134" s="135">
        <v>3037.5</v>
      </c>
      <c r="I134" s="125"/>
      <c r="J134" s="125"/>
      <c r="K134" s="18">
        <v>16000</v>
      </c>
      <c r="L134" s="127">
        <v>2</v>
      </c>
      <c r="M134" s="216">
        <v>246800</v>
      </c>
      <c r="N134" s="238">
        <v>31</v>
      </c>
      <c r="O134" s="126">
        <f>Apr!AX277</f>
        <v>12640</v>
      </c>
      <c r="P134" s="125">
        <f>Apr!AY277</f>
        <v>21329</v>
      </c>
      <c r="Q134" s="125">
        <f>Apr!AW277</f>
        <v>56</v>
      </c>
      <c r="R134" s="436"/>
      <c r="S134" s="436"/>
      <c r="T134" s="127">
        <v>34629</v>
      </c>
      <c r="U134" s="127"/>
      <c r="V134" s="127">
        <f>O134-T134-U134+V112</f>
        <v>26113</v>
      </c>
      <c r="W134" s="46"/>
      <c r="X134" s="67"/>
    </row>
    <row r="135" spans="1:25" ht="15" customHeight="1">
      <c r="A135" s="427"/>
      <c r="B135" s="442" t="s">
        <v>45</v>
      </c>
      <c r="C135" s="448" t="s">
        <v>59</v>
      </c>
      <c r="D135" s="118" t="s">
        <v>75</v>
      </c>
      <c r="E135" s="438" t="s">
        <v>25</v>
      </c>
      <c r="F135" s="131" t="s">
        <v>57</v>
      </c>
      <c r="G135" s="87"/>
      <c r="H135" s="136"/>
      <c r="I135" s="126"/>
      <c r="J135" s="2"/>
      <c r="K135" s="127"/>
      <c r="L135" s="18"/>
      <c r="M135" s="18">
        <v>10000</v>
      </c>
      <c r="N135" s="80">
        <v>2</v>
      </c>
      <c r="O135" s="126">
        <f>Apr!AX282</f>
        <v>3184</v>
      </c>
      <c r="P135" s="126">
        <f>Apr!AY282</f>
        <v>3751</v>
      </c>
      <c r="Q135" s="2">
        <f>Apr!AW282</f>
        <v>15</v>
      </c>
      <c r="R135" s="436"/>
      <c r="S135" s="436"/>
      <c r="T135" s="18">
        <v>6029</v>
      </c>
      <c r="U135" s="18"/>
      <c r="V135" s="127">
        <f>O135-T135-U135+V113</f>
        <v>72771</v>
      </c>
      <c r="W135" s="46"/>
      <c r="Y135" s="13"/>
    </row>
    <row r="136" spans="1:25" ht="15" customHeight="1">
      <c r="A136" s="427"/>
      <c r="B136" s="439"/>
      <c r="C136" s="440"/>
      <c r="D136" s="118" t="s">
        <v>291</v>
      </c>
      <c r="E136" s="430"/>
      <c r="F136" s="131" t="s">
        <v>57</v>
      </c>
      <c r="G136" s="136">
        <v>3804.8</v>
      </c>
      <c r="H136" s="136"/>
      <c r="I136" s="126"/>
      <c r="J136" s="2"/>
      <c r="K136" s="127"/>
      <c r="L136" s="18"/>
      <c r="M136" s="18">
        <v>49000</v>
      </c>
      <c r="N136" s="80">
        <v>10</v>
      </c>
      <c r="O136" s="126"/>
      <c r="P136" s="126"/>
      <c r="Q136" s="2"/>
      <c r="R136" s="436"/>
      <c r="S136" s="436"/>
      <c r="T136" s="18"/>
      <c r="U136" s="18"/>
      <c r="V136" s="127"/>
      <c r="W136" s="46"/>
      <c r="Y136" s="13"/>
    </row>
    <row r="137" spans="1:25">
      <c r="A137" s="427"/>
      <c r="B137" s="439"/>
      <c r="C137" s="440"/>
      <c r="D137" s="118" t="s">
        <v>94</v>
      </c>
      <c r="E137" s="431"/>
      <c r="F137" s="131"/>
      <c r="G137" s="136"/>
      <c r="H137" s="136"/>
      <c r="I137" s="126"/>
      <c r="J137" s="126"/>
      <c r="K137" s="127"/>
      <c r="L137" s="18"/>
      <c r="M137" s="18"/>
      <c r="N137" s="80"/>
      <c r="O137" s="126"/>
      <c r="P137" s="126"/>
      <c r="Q137" s="2"/>
      <c r="R137" s="436"/>
      <c r="S137" s="436"/>
      <c r="T137" s="18"/>
      <c r="U137" s="18"/>
      <c r="V137" s="127"/>
      <c r="W137" s="46"/>
      <c r="Y137" s="13"/>
    </row>
    <row r="138" spans="1:25">
      <c r="A138" s="427"/>
      <c r="B138" s="439"/>
      <c r="C138" s="440"/>
      <c r="D138" s="118" t="s">
        <v>72</v>
      </c>
      <c r="E138" s="155" t="s">
        <v>24</v>
      </c>
      <c r="F138" s="131" t="s">
        <v>57</v>
      </c>
      <c r="G138" s="224"/>
      <c r="H138" s="136"/>
      <c r="I138" s="126"/>
      <c r="J138" s="126"/>
      <c r="K138" s="127"/>
      <c r="L138" s="18"/>
      <c r="M138" s="18">
        <v>65000</v>
      </c>
      <c r="N138" s="80">
        <v>13</v>
      </c>
      <c r="O138" s="126">
        <f>Apr!AX284</f>
        <v>4939</v>
      </c>
      <c r="P138" s="126">
        <f>Apr!AY284</f>
        <v>5931</v>
      </c>
      <c r="Q138" s="126">
        <f>Apr!AW284</f>
        <v>26</v>
      </c>
      <c r="R138" s="436"/>
      <c r="S138" s="436"/>
      <c r="T138" s="18">
        <v>5573</v>
      </c>
      <c r="U138" s="18"/>
      <c r="V138" s="127">
        <f>O138-T138-U138+V115</f>
        <v>2516</v>
      </c>
      <c r="W138" s="46"/>
      <c r="Y138" s="13"/>
    </row>
    <row r="139" spans="1:25" ht="14.25" customHeight="1">
      <c r="A139" s="427"/>
      <c r="B139" s="439"/>
      <c r="C139" s="440"/>
      <c r="D139" s="115" t="s">
        <v>79</v>
      </c>
      <c r="E139" s="118" t="s">
        <v>65</v>
      </c>
      <c r="F139" s="131" t="s">
        <v>57</v>
      </c>
      <c r="G139" s="224"/>
      <c r="H139" s="37"/>
      <c r="I139" s="126"/>
      <c r="J139" s="126"/>
      <c r="K139" s="18"/>
      <c r="L139" s="18"/>
      <c r="M139" s="18"/>
      <c r="N139" s="80"/>
      <c r="O139" s="126"/>
      <c r="P139" s="126"/>
      <c r="Q139" s="126">
        <f>Apr!AW285</f>
        <v>1</v>
      </c>
      <c r="R139" s="436"/>
      <c r="S139" s="436"/>
      <c r="T139" s="18"/>
      <c r="U139" s="18"/>
      <c r="V139" s="127"/>
      <c r="W139" s="45"/>
      <c r="X139" s="36"/>
    </row>
    <row r="140" spans="1:25" ht="14.25" customHeight="1">
      <c r="A140" s="427"/>
      <c r="B140" s="442" t="s">
        <v>53</v>
      </c>
      <c r="C140" s="444" t="s">
        <v>60</v>
      </c>
      <c r="D140" s="43" t="s">
        <v>130</v>
      </c>
      <c r="E140" s="115" t="s">
        <v>66</v>
      </c>
      <c r="F140" s="118" t="s">
        <v>54</v>
      </c>
      <c r="G140" s="224"/>
      <c r="H140" s="37"/>
      <c r="I140" s="126"/>
      <c r="J140" s="126"/>
      <c r="K140" s="18">
        <v>6000</v>
      </c>
      <c r="L140" s="18">
        <v>1</v>
      </c>
      <c r="M140" s="18">
        <v>72000</v>
      </c>
      <c r="N140" s="80">
        <v>12</v>
      </c>
      <c r="O140" s="126">
        <f>Apr!AX279</f>
        <v>11711</v>
      </c>
      <c r="P140" s="126">
        <f>Apr!AY279</f>
        <v>7854</v>
      </c>
      <c r="Q140" s="126">
        <f>Apr!AW279</f>
        <v>24</v>
      </c>
      <c r="R140" s="436"/>
      <c r="S140" s="436"/>
      <c r="T140" s="18"/>
      <c r="U140" s="18"/>
      <c r="V140" s="127">
        <f>O140-T140-U140+V118</f>
        <v>14091</v>
      </c>
      <c r="W140" s="45"/>
      <c r="X140" s="67"/>
    </row>
    <row r="141" spans="1:25" ht="14.25" customHeight="1">
      <c r="A141" s="427"/>
      <c r="B141" s="443"/>
      <c r="C141" s="446"/>
      <c r="D141" s="43" t="s">
        <v>199</v>
      </c>
      <c r="E141" s="114" t="s">
        <v>25</v>
      </c>
      <c r="F141" s="118"/>
      <c r="G141" s="224"/>
      <c r="H141" s="135"/>
      <c r="I141" s="158"/>
      <c r="J141" s="158"/>
      <c r="K141" s="128"/>
      <c r="L141" s="128"/>
      <c r="M141" s="128"/>
      <c r="N141" s="164"/>
      <c r="O141" s="158"/>
      <c r="P141" s="158"/>
      <c r="Q141" s="158"/>
      <c r="R141" s="436"/>
      <c r="S141" s="436"/>
      <c r="T141" s="18"/>
      <c r="U141" s="18"/>
      <c r="V141" s="127"/>
      <c r="W141" s="45"/>
      <c r="X141" s="67"/>
    </row>
    <row r="142" spans="1:25" ht="15.75" customHeight="1">
      <c r="A142" s="427"/>
      <c r="B142" s="122" t="s">
        <v>55</v>
      </c>
      <c r="C142" s="180" t="s">
        <v>133</v>
      </c>
      <c r="D142" s="48" t="s">
        <v>56</v>
      </c>
      <c r="E142" s="424" t="s">
        <v>25</v>
      </c>
      <c r="F142" s="118" t="s">
        <v>67</v>
      </c>
      <c r="G142" s="226"/>
      <c r="H142" s="126"/>
      <c r="I142" s="126"/>
      <c r="J142" s="2"/>
      <c r="K142" s="18"/>
      <c r="L142" s="18"/>
      <c r="M142" s="18">
        <v>2800</v>
      </c>
      <c r="N142" s="18">
        <v>1</v>
      </c>
      <c r="O142" s="126"/>
      <c r="P142" s="126"/>
      <c r="Q142" s="126"/>
      <c r="R142" s="436"/>
      <c r="S142" s="436"/>
      <c r="T142" s="18"/>
      <c r="U142" s="18"/>
      <c r="V142" s="127">
        <f t="shared" ref="V142:V149" si="5">O142-T142-U142+V119</f>
        <v>500</v>
      </c>
      <c r="W142" s="45"/>
      <c r="X142" s="67"/>
    </row>
    <row r="143" spans="1:25" ht="15" customHeight="1">
      <c r="A143" s="427"/>
      <c r="B143" s="122" t="s">
        <v>122</v>
      </c>
      <c r="C143" s="180" t="s">
        <v>123</v>
      </c>
      <c r="D143" s="48" t="s">
        <v>56</v>
      </c>
      <c r="E143" s="441"/>
      <c r="F143" s="155" t="s">
        <v>64</v>
      </c>
      <c r="G143" s="119"/>
      <c r="H143" s="126"/>
      <c r="I143" s="126"/>
      <c r="J143" s="2"/>
      <c r="K143" s="18"/>
      <c r="L143" s="18"/>
      <c r="M143" s="18">
        <v>6400</v>
      </c>
      <c r="N143" s="18">
        <v>2</v>
      </c>
      <c r="O143" s="126"/>
      <c r="P143" s="126"/>
      <c r="Q143" s="126">
        <f>Apr!AW287</f>
        <v>1</v>
      </c>
      <c r="R143" s="436"/>
      <c r="S143" s="436"/>
      <c r="T143" s="18"/>
      <c r="U143" s="18"/>
      <c r="V143" s="127">
        <f t="shared" si="5"/>
        <v>31304</v>
      </c>
      <c r="W143" s="45"/>
      <c r="X143" s="67"/>
    </row>
    <row r="144" spans="1:25" ht="14.25" customHeight="1">
      <c r="A144" s="427"/>
      <c r="B144" s="137" t="s">
        <v>58</v>
      </c>
      <c r="C144" s="157" t="s">
        <v>243</v>
      </c>
      <c r="D144" s="48" t="s">
        <v>56</v>
      </c>
      <c r="E144" s="441"/>
      <c r="F144" s="118" t="s">
        <v>64</v>
      </c>
      <c r="G144" s="225"/>
      <c r="H144" s="126"/>
      <c r="I144" s="126"/>
      <c r="J144" s="126"/>
      <c r="K144" s="18"/>
      <c r="L144" s="18"/>
      <c r="M144" s="18"/>
      <c r="N144" s="80"/>
      <c r="O144" s="126"/>
      <c r="P144" s="126"/>
      <c r="Q144" s="126">
        <f>Apr!AW288</f>
        <v>1</v>
      </c>
      <c r="R144" s="436"/>
      <c r="S144" s="436"/>
      <c r="T144" s="18"/>
      <c r="U144" s="18"/>
      <c r="V144" s="127">
        <f t="shared" si="5"/>
        <v>8562</v>
      </c>
      <c r="W144" s="45"/>
      <c r="X144" s="67"/>
    </row>
    <row r="145" spans="1:25" ht="14.25" customHeight="1">
      <c r="A145" s="427"/>
      <c r="B145" s="122" t="s">
        <v>61</v>
      </c>
      <c r="C145" s="180" t="s">
        <v>137</v>
      </c>
      <c r="D145" s="48" t="s">
        <v>56</v>
      </c>
      <c r="E145" s="441"/>
      <c r="F145" s="118" t="s">
        <v>67</v>
      </c>
      <c r="G145" s="225"/>
      <c r="H145" s="126"/>
      <c r="I145" s="126"/>
      <c r="J145" s="126"/>
      <c r="K145" s="18"/>
      <c r="L145" s="18"/>
      <c r="M145" s="18"/>
      <c r="N145" s="80"/>
      <c r="O145" s="126"/>
      <c r="P145" s="126"/>
      <c r="Q145" s="126">
        <f>Apr!AW289</f>
        <v>1</v>
      </c>
      <c r="R145" s="436"/>
      <c r="S145" s="436"/>
      <c r="T145" s="18"/>
      <c r="U145" s="18"/>
      <c r="V145" s="127">
        <f t="shared" si="5"/>
        <v>5844</v>
      </c>
      <c r="W145" s="45"/>
      <c r="X145" s="67"/>
    </row>
    <row r="146" spans="1:25" ht="14.25" customHeight="1">
      <c r="A146" s="427"/>
      <c r="B146" s="122" t="s">
        <v>125</v>
      </c>
      <c r="C146" s="180" t="s">
        <v>88</v>
      </c>
      <c r="D146" s="48" t="s">
        <v>124</v>
      </c>
      <c r="E146" s="441"/>
      <c r="F146" s="118" t="s">
        <v>64</v>
      </c>
      <c r="G146" s="225"/>
      <c r="H146" s="126"/>
      <c r="I146" s="126"/>
      <c r="J146" s="126"/>
      <c r="K146" s="18"/>
      <c r="L146" s="18"/>
      <c r="M146" s="18">
        <v>51200</v>
      </c>
      <c r="N146" s="80">
        <v>7</v>
      </c>
      <c r="O146" s="126"/>
      <c r="P146" s="126"/>
      <c r="Q146" s="126"/>
      <c r="R146" s="436"/>
      <c r="S146" s="436"/>
      <c r="T146" s="18"/>
      <c r="U146" s="18"/>
      <c r="V146" s="127">
        <f t="shared" si="5"/>
        <v>23615</v>
      </c>
      <c r="W146" s="45"/>
      <c r="X146" s="67"/>
    </row>
    <row r="147" spans="1:25" ht="14.25" customHeight="1">
      <c r="A147" s="427"/>
      <c r="B147" s="137" t="s">
        <v>47</v>
      </c>
      <c r="C147" s="157" t="s">
        <v>100</v>
      </c>
      <c r="D147" s="48" t="s">
        <v>99</v>
      </c>
      <c r="E147" s="441"/>
      <c r="F147" s="118" t="s">
        <v>71</v>
      </c>
      <c r="G147" s="225"/>
      <c r="H147" s="126"/>
      <c r="I147" s="126"/>
      <c r="J147" s="126"/>
      <c r="K147" s="18"/>
      <c r="L147" s="18"/>
      <c r="M147" s="18">
        <v>18000</v>
      </c>
      <c r="N147" s="80">
        <v>3</v>
      </c>
      <c r="O147" s="126"/>
      <c r="P147" s="126"/>
      <c r="Q147" s="126"/>
      <c r="R147" s="436"/>
      <c r="S147" s="436"/>
      <c r="T147" s="18"/>
      <c r="U147" s="18"/>
      <c r="V147" s="127">
        <f t="shared" si="5"/>
        <v>63278</v>
      </c>
      <c r="W147" s="45"/>
      <c r="X147" s="67"/>
    </row>
    <row r="148" spans="1:25" ht="15" customHeight="1">
      <c r="A148" s="427"/>
      <c r="B148" s="122" t="s">
        <v>196</v>
      </c>
      <c r="C148" s="180" t="s">
        <v>63</v>
      </c>
      <c r="D148" s="48" t="s">
        <v>135</v>
      </c>
      <c r="E148" s="441"/>
      <c r="F148" s="118" t="s">
        <v>64</v>
      </c>
      <c r="G148" s="226"/>
      <c r="H148" s="126"/>
      <c r="I148" s="126"/>
      <c r="J148" s="2"/>
      <c r="K148" s="18"/>
      <c r="L148" s="18"/>
      <c r="M148" s="18">
        <v>33200</v>
      </c>
      <c r="N148" s="18">
        <v>4</v>
      </c>
      <c r="O148" s="126"/>
      <c r="P148" s="126"/>
      <c r="Q148" s="126"/>
      <c r="R148" s="436"/>
      <c r="S148" s="436"/>
      <c r="T148" s="18"/>
      <c r="U148" s="18"/>
      <c r="V148" s="127">
        <f t="shared" si="5"/>
        <v>15106</v>
      </c>
      <c r="W148" s="45"/>
      <c r="X148" s="67"/>
    </row>
    <row r="149" spans="1:25" ht="15" customHeight="1">
      <c r="A149" s="427"/>
      <c r="B149" s="122" t="s">
        <v>253</v>
      </c>
      <c r="C149" s="180" t="s">
        <v>252</v>
      </c>
      <c r="D149" s="48" t="s">
        <v>246</v>
      </c>
      <c r="E149" s="441"/>
      <c r="F149" s="118" t="s">
        <v>247</v>
      </c>
      <c r="G149" s="226"/>
      <c r="H149" s="126"/>
      <c r="I149" s="126"/>
      <c r="J149" s="2"/>
      <c r="K149" s="18"/>
      <c r="L149" s="18"/>
      <c r="M149" s="18"/>
      <c r="N149" s="18"/>
      <c r="O149" s="126"/>
      <c r="P149" s="126"/>
      <c r="Q149" s="126">
        <f>Apr!AW291</f>
        <v>1</v>
      </c>
      <c r="R149" s="436"/>
      <c r="S149" s="436"/>
      <c r="T149" s="18"/>
      <c r="U149" s="18"/>
      <c r="V149" s="127">
        <f t="shared" si="5"/>
        <v>503</v>
      </c>
      <c r="W149" s="45"/>
      <c r="X149" s="67"/>
    </row>
    <row r="150" spans="1:25" ht="15" customHeight="1">
      <c r="A150" s="427"/>
      <c r="B150" s="122" t="s">
        <v>289</v>
      </c>
      <c r="C150" s="180" t="s">
        <v>290</v>
      </c>
      <c r="D150" s="48" t="s">
        <v>291</v>
      </c>
      <c r="E150" s="441"/>
      <c r="F150" s="118" t="s">
        <v>292</v>
      </c>
      <c r="G150" s="119"/>
      <c r="H150" s="126"/>
      <c r="I150" s="126"/>
      <c r="J150" s="2"/>
      <c r="K150" s="18"/>
      <c r="L150" s="18"/>
      <c r="M150" s="18"/>
      <c r="N150" s="18"/>
      <c r="O150" s="126"/>
      <c r="P150" s="126"/>
      <c r="Q150" s="126">
        <f>Apr!AW292</f>
        <v>1</v>
      </c>
      <c r="R150" s="436"/>
      <c r="S150" s="436"/>
      <c r="T150" s="18">
        <v>500</v>
      </c>
      <c r="U150" s="18"/>
      <c r="V150" s="18">
        <f>O150-T150-U150+V127</f>
        <v>0</v>
      </c>
      <c r="W150" s="45"/>
      <c r="X150" s="67"/>
    </row>
    <row r="151" spans="1:25" ht="15" customHeight="1">
      <c r="A151" s="427"/>
      <c r="B151" s="122" t="s">
        <v>101</v>
      </c>
      <c r="C151" s="180" t="s">
        <v>193</v>
      </c>
      <c r="D151" s="48" t="s">
        <v>102</v>
      </c>
      <c r="E151" s="441"/>
      <c r="F151" s="118" t="s">
        <v>64</v>
      </c>
      <c r="G151" s="119"/>
      <c r="H151" s="126"/>
      <c r="I151" s="126"/>
      <c r="J151" s="2"/>
      <c r="K151" s="18"/>
      <c r="L151" s="18"/>
      <c r="M151" s="18"/>
      <c r="N151" s="18"/>
      <c r="O151" s="126"/>
      <c r="P151" s="126"/>
      <c r="Q151" s="126">
        <f>Apr!AW297</f>
        <v>1</v>
      </c>
      <c r="R151" s="436"/>
      <c r="S151" s="436"/>
      <c r="T151" s="18"/>
      <c r="U151" s="18"/>
      <c r="V151" s="18"/>
      <c r="W151" s="45"/>
      <c r="X151" s="67"/>
    </row>
    <row r="152" spans="1:25" ht="15" customHeight="1">
      <c r="A152" s="427"/>
      <c r="B152" s="122" t="s">
        <v>103</v>
      </c>
      <c r="C152" s="157" t="s">
        <v>197</v>
      </c>
      <c r="D152" s="48" t="s">
        <v>104</v>
      </c>
      <c r="E152" s="441"/>
      <c r="F152" s="118" t="s">
        <v>105</v>
      </c>
      <c r="G152" s="119"/>
      <c r="H152" s="126"/>
      <c r="I152" s="126"/>
      <c r="J152" s="2"/>
      <c r="K152" s="18"/>
      <c r="L152" s="18"/>
      <c r="M152" s="18"/>
      <c r="N152" s="18"/>
      <c r="O152" s="126"/>
      <c r="P152" s="126"/>
      <c r="Q152" s="126">
        <f>Apr!AW298</f>
        <v>1</v>
      </c>
      <c r="R152" s="436"/>
      <c r="S152" s="436"/>
      <c r="T152" s="18"/>
      <c r="U152" s="18"/>
      <c r="V152" s="18"/>
      <c r="W152" s="45"/>
      <c r="X152" s="67"/>
    </row>
    <row r="153" spans="1:25" ht="15" customHeight="1">
      <c r="A153" s="427"/>
      <c r="B153" s="137" t="s">
        <v>112</v>
      </c>
      <c r="C153" s="157" t="s">
        <v>197</v>
      </c>
      <c r="D153" s="48" t="s">
        <v>104</v>
      </c>
      <c r="E153" s="441"/>
      <c r="F153" s="118" t="s">
        <v>113</v>
      </c>
      <c r="G153" s="119"/>
      <c r="H153" s="126"/>
      <c r="I153" s="126"/>
      <c r="J153" s="2"/>
      <c r="K153" s="18"/>
      <c r="L153" s="18"/>
      <c r="M153" s="18"/>
      <c r="N153" s="18"/>
      <c r="O153" s="126"/>
      <c r="P153" s="126"/>
      <c r="Q153" s="126">
        <f>Apr!AW301</f>
        <v>1</v>
      </c>
      <c r="R153" s="436"/>
      <c r="S153" s="436"/>
      <c r="T153" s="18"/>
      <c r="U153" s="18"/>
      <c r="V153" s="18"/>
      <c r="W153" s="45"/>
      <c r="X153" s="67"/>
    </row>
    <row r="154" spans="1:25" ht="15" customHeight="1">
      <c r="A154" s="427"/>
      <c r="B154" s="137" t="s">
        <v>106</v>
      </c>
      <c r="C154" s="157" t="s">
        <v>141</v>
      </c>
      <c r="D154" s="48" t="s">
        <v>68</v>
      </c>
      <c r="E154" s="441"/>
      <c r="F154" s="118" t="s">
        <v>67</v>
      </c>
      <c r="G154" s="119"/>
      <c r="H154" s="126"/>
      <c r="I154" s="126"/>
      <c r="J154" s="2"/>
      <c r="K154" s="18"/>
      <c r="L154" s="18"/>
      <c r="M154" s="18"/>
      <c r="N154" s="18"/>
      <c r="O154" s="126"/>
      <c r="P154" s="126"/>
      <c r="Q154" s="126">
        <f>Apr!AW299</f>
        <v>1</v>
      </c>
      <c r="R154" s="436"/>
      <c r="S154" s="436"/>
      <c r="T154" s="18"/>
      <c r="U154" s="18"/>
      <c r="V154" s="18"/>
      <c r="W154" s="45"/>
      <c r="X154" s="67"/>
    </row>
    <row r="155" spans="1:25" ht="15" customHeight="1" thickBot="1">
      <c r="A155" s="428"/>
      <c r="B155" s="44" t="s">
        <v>107</v>
      </c>
      <c r="C155" s="181" t="s">
        <v>195</v>
      </c>
      <c r="D155" s="61" t="s">
        <v>108</v>
      </c>
      <c r="E155" s="447"/>
      <c r="F155" s="133" t="s">
        <v>48</v>
      </c>
      <c r="G155" s="132"/>
      <c r="H155" s="109"/>
      <c r="I155" s="134"/>
      <c r="J155" s="129"/>
      <c r="K155" s="130"/>
      <c r="L155" s="130"/>
      <c r="M155" s="130"/>
      <c r="N155" s="130"/>
      <c r="O155" s="134"/>
      <c r="P155" s="134"/>
      <c r="Q155" s="134">
        <f>Apr!AW300</f>
        <v>1</v>
      </c>
      <c r="R155" s="437"/>
      <c r="S155" s="437"/>
      <c r="T155" s="130"/>
      <c r="U155" s="130"/>
      <c r="V155" s="128"/>
      <c r="W155" s="85"/>
      <c r="X155" s="67"/>
    </row>
    <row r="156" spans="1:25" ht="15" customHeight="1">
      <c r="A156" s="426">
        <v>46121</v>
      </c>
      <c r="B156" s="429" t="s">
        <v>44</v>
      </c>
      <c r="C156" s="432" t="s">
        <v>240</v>
      </c>
      <c r="D156" s="19" t="s">
        <v>37</v>
      </c>
      <c r="E156" s="19" t="s">
        <v>25</v>
      </c>
      <c r="F156" s="39" t="s">
        <v>40</v>
      </c>
      <c r="G156" s="41"/>
      <c r="H156" s="32"/>
      <c r="I156" s="32"/>
      <c r="J156" s="32"/>
      <c r="K156" s="20">
        <v>16000</v>
      </c>
      <c r="L156" s="20">
        <v>2</v>
      </c>
      <c r="M156" s="20">
        <v>232000</v>
      </c>
      <c r="N156" s="84">
        <v>29</v>
      </c>
      <c r="O156" s="32">
        <f>Apr!BA276</f>
        <v>42824</v>
      </c>
      <c r="P156" s="32">
        <f>Apr!BB276</f>
        <v>36016</v>
      </c>
      <c r="Q156" s="32">
        <f>Apr!AZ276</f>
        <v>94</v>
      </c>
      <c r="R156" s="435">
        <f>Apr!BA303</f>
        <v>87147</v>
      </c>
      <c r="S156" s="435">
        <f>Apr!BB303</f>
        <v>74532</v>
      </c>
      <c r="T156" s="20">
        <v>25704</v>
      </c>
      <c r="U156" s="20">
        <v>9</v>
      </c>
      <c r="V156" s="20">
        <f>O156-T156-U156+V133</f>
        <v>51894</v>
      </c>
      <c r="W156" s="77"/>
      <c r="X156" s="36"/>
    </row>
    <row r="157" spans="1:25" ht="15" customHeight="1">
      <c r="A157" s="427"/>
      <c r="B157" s="431"/>
      <c r="C157" s="434"/>
      <c r="D157" s="113" t="s">
        <v>128</v>
      </c>
      <c r="E157" s="113" t="s">
        <v>24</v>
      </c>
      <c r="F157" s="114" t="s">
        <v>40</v>
      </c>
      <c r="G157" s="170"/>
      <c r="H157" s="135"/>
      <c r="I157" s="125"/>
      <c r="J157" s="125"/>
      <c r="K157" s="18">
        <v>16000</v>
      </c>
      <c r="L157" s="127">
        <v>2</v>
      </c>
      <c r="M157" s="216">
        <v>230800</v>
      </c>
      <c r="N157" s="238">
        <v>29</v>
      </c>
      <c r="O157" s="126">
        <f>Apr!BA277</f>
        <v>20273</v>
      </c>
      <c r="P157" s="125">
        <f>Apr!BB277</f>
        <v>20556</v>
      </c>
      <c r="Q157" s="125">
        <f>Apr!AZ277</f>
        <v>56</v>
      </c>
      <c r="R157" s="436"/>
      <c r="S157" s="436"/>
      <c r="T157" s="127">
        <v>26627</v>
      </c>
      <c r="U157" s="127">
        <v>3</v>
      </c>
      <c r="V157" s="127">
        <f>O157-T157-U157+V134</f>
        <v>19756</v>
      </c>
      <c r="W157" s="46"/>
      <c r="X157" s="67"/>
    </row>
    <row r="158" spans="1:25" ht="15" customHeight="1">
      <c r="A158" s="427"/>
      <c r="B158" s="442" t="s">
        <v>45</v>
      </c>
      <c r="C158" s="471" t="s">
        <v>59</v>
      </c>
      <c r="D158" s="118" t="s">
        <v>75</v>
      </c>
      <c r="E158" s="438" t="s">
        <v>25</v>
      </c>
      <c r="F158" s="131" t="s">
        <v>57</v>
      </c>
      <c r="G158" s="87"/>
      <c r="H158" s="136"/>
      <c r="I158" s="126"/>
      <c r="J158" s="2"/>
      <c r="K158" s="127"/>
      <c r="L158" s="18"/>
      <c r="M158" s="18">
        <v>10000</v>
      </c>
      <c r="N158" s="80">
        <v>2</v>
      </c>
      <c r="O158" s="126">
        <f>Apr!BA282</f>
        <v>6600</v>
      </c>
      <c r="P158" s="126">
        <f>Apr!BB282</f>
        <v>3717</v>
      </c>
      <c r="Q158" s="2">
        <f>Apr!AZ282</f>
        <v>15</v>
      </c>
      <c r="R158" s="436"/>
      <c r="S158" s="436"/>
      <c r="T158" s="18"/>
      <c r="U158" s="18"/>
      <c r="V158" s="127">
        <f>O158-T158-U158+V135</f>
        <v>79371</v>
      </c>
      <c r="W158" s="46"/>
      <c r="Y158" s="13"/>
    </row>
    <row r="159" spans="1:25" ht="15" customHeight="1">
      <c r="A159" s="427"/>
      <c r="B159" s="439"/>
      <c r="C159" s="471"/>
      <c r="D159" s="118" t="s">
        <v>291</v>
      </c>
      <c r="E159" s="431"/>
      <c r="F159" s="131" t="s">
        <v>57</v>
      </c>
      <c r="G159" s="87"/>
      <c r="H159" s="136"/>
      <c r="I159" s="126"/>
      <c r="J159" s="2"/>
      <c r="K159" s="127"/>
      <c r="L159" s="18"/>
      <c r="M159" s="18">
        <v>49000</v>
      </c>
      <c r="N159" s="80">
        <v>10</v>
      </c>
      <c r="O159" s="126"/>
      <c r="P159" s="126"/>
      <c r="Q159" s="2"/>
      <c r="R159" s="436"/>
      <c r="S159" s="436"/>
      <c r="T159" s="18"/>
      <c r="U159" s="18"/>
      <c r="V159" s="127"/>
      <c r="W159" s="46"/>
      <c r="Y159" s="13"/>
    </row>
    <row r="160" spans="1:25">
      <c r="A160" s="427"/>
      <c r="B160" s="439"/>
      <c r="C160" s="471"/>
      <c r="D160" s="118" t="s">
        <v>72</v>
      </c>
      <c r="E160" s="155" t="s">
        <v>24</v>
      </c>
      <c r="F160" s="131" t="s">
        <v>57</v>
      </c>
      <c r="G160" s="224"/>
      <c r="H160" s="136"/>
      <c r="I160" s="126"/>
      <c r="J160" s="126"/>
      <c r="K160" s="127">
        <v>20000</v>
      </c>
      <c r="L160" s="18">
        <v>4</v>
      </c>
      <c r="M160" s="18">
        <v>45000</v>
      </c>
      <c r="N160" s="80">
        <v>9</v>
      </c>
      <c r="O160" s="126">
        <f>Apr!BA284</f>
        <v>9060</v>
      </c>
      <c r="P160" s="126">
        <f>Apr!BB284</f>
        <v>5861</v>
      </c>
      <c r="Q160" s="126">
        <f>Apr!AZ284</f>
        <v>26</v>
      </c>
      <c r="R160" s="436"/>
      <c r="S160" s="436"/>
      <c r="T160" s="18">
        <v>5211</v>
      </c>
      <c r="U160" s="18">
        <v>23</v>
      </c>
      <c r="V160" s="127">
        <f>O160-T160-U160+V138</f>
        <v>6342</v>
      </c>
      <c r="W160" s="46"/>
      <c r="Y160" s="13"/>
    </row>
    <row r="161" spans="1:24" ht="14.25" customHeight="1">
      <c r="A161" s="427"/>
      <c r="B161" s="439"/>
      <c r="C161" s="471"/>
      <c r="D161" s="115" t="s">
        <v>79</v>
      </c>
      <c r="E161" s="118" t="s">
        <v>65</v>
      </c>
      <c r="F161" s="131" t="s">
        <v>57</v>
      </c>
      <c r="G161" s="224"/>
      <c r="H161" s="37"/>
      <c r="I161" s="126"/>
      <c r="J161" s="126"/>
      <c r="K161" s="18"/>
      <c r="L161" s="18"/>
      <c r="M161" s="18"/>
      <c r="N161" s="80"/>
      <c r="O161" s="126"/>
      <c r="P161" s="126"/>
      <c r="Q161" s="126">
        <f>Apr!AZ285</f>
        <v>1</v>
      </c>
      <c r="R161" s="436"/>
      <c r="S161" s="436"/>
      <c r="T161" s="18"/>
      <c r="U161" s="18"/>
      <c r="V161" s="127"/>
      <c r="W161" s="45"/>
      <c r="X161" s="36"/>
    </row>
    <row r="162" spans="1:24" ht="14.25" customHeight="1">
      <c r="A162" s="427"/>
      <c r="B162" s="443"/>
      <c r="C162" s="271" t="s">
        <v>300</v>
      </c>
      <c r="D162" s="115" t="s">
        <v>296</v>
      </c>
      <c r="E162" s="115" t="s">
        <v>25</v>
      </c>
      <c r="F162" s="131" t="s">
        <v>298</v>
      </c>
      <c r="G162" s="229">
        <v>130.41999999999999</v>
      </c>
      <c r="H162" s="37"/>
      <c r="I162" s="126"/>
      <c r="J162" s="126"/>
      <c r="K162" s="18">
        <v>2000</v>
      </c>
      <c r="L162" s="18">
        <v>1</v>
      </c>
      <c r="M162" s="18"/>
      <c r="N162" s="80"/>
      <c r="O162" s="126"/>
      <c r="P162" s="126">
        <f>Apr!BB286</f>
        <v>178</v>
      </c>
      <c r="Q162" s="126">
        <f>Apr!AZ286</f>
        <v>1</v>
      </c>
      <c r="R162" s="436"/>
      <c r="S162" s="436"/>
      <c r="T162" s="18"/>
      <c r="U162" s="18"/>
      <c r="V162" s="127"/>
      <c r="W162" s="45"/>
      <c r="X162" s="67"/>
    </row>
    <row r="163" spans="1:24" ht="14.25" customHeight="1">
      <c r="A163" s="427"/>
      <c r="B163" s="442" t="s">
        <v>53</v>
      </c>
      <c r="C163" s="444" t="s">
        <v>60</v>
      </c>
      <c r="D163" s="43" t="s">
        <v>130</v>
      </c>
      <c r="E163" s="115" t="s">
        <v>66</v>
      </c>
      <c r="F163" s="118" t="s">
        <v>54</v>
      </c>
      <c r="G163" s="229">
        <v>2558.94</v>
      </c>
      <c r="H163" s="37"/>
      <c r="I163" s="126"/>
      <c r="J163" s="126"/>
      <c r="K163" s="18">
        <v>12000</v>
      </c>
      <c r="L163" s="18">
        <v>2</v>
      </c>
      <c r="M163" s="18">
        <v>96000</v>
      </c>
      <c r="N163" s="80">
        <v>16</v>
      </c>
      <c r="O163" s="126">
        <f>Apr!BA279</f>
        <v>8390</v>
      </c>
      <c r="P163" s="126">
        <f>Apr!BB279</f>
        <v>8204</v>
      </c>
      <c r="Q163" s="126">
        <f>Apr!AZ279</f>
        <v>24</v>
      </c>
      <c r="R163" s="436"/>
      <c r="S163" s="436"/>
      <c r="T163" s="18">
        <v>14111</v>
      </c>
      <c r="U163" s="18"/>
      <c r="V163" s="127">
        <f>O163-T163-U163+V140</f>
        <v>8370</v>
      </c>
      <c r="W163" s="45"/>
      <c r="X163" s="67"/>
    </row>
    <row r="164" spans="1:24" ht="14.25" customHeight="1">
      <c r="A164" s="427"/>
      <c r="B164" s="443"/>
      <c r="C164" s="446"/>
      <c r="D164" s="43" t="s">
        <v>199</v>
      </c>
      <c r="E164" s="114" t="s">
        <v>25</v>
      </c>
      <c r="F164" s="118"/>
      <c r="G164" s="224"/>
      <c r="H164" s="135">
        <v>2189.6</v>
      </c>
      <c r="I164" s="158"/>
      <c r="J164" s="158"/>
      <c r="K164" s="128"/>
      <c r="L164" s="128"/>
      <c r="M164" s="128"/>
      <c r="N164" s="164"/>
      <c r="O164" s="158"/>
      <c r="P164" s="158"/>
      <c r="Q164" s="158"/>
      <c r="R164" s="436"/>
      <c r="S164" s="436"/>
      <c r="T164" s="18"/>
      <c r="U164" s="18"/>
      <c r="V164" s="127"/>
      <c r="W164" s="45"/>
      <c r="X164" s="67"/>
    </row>
    <row r="165" spans="1:24" ht="15.75" customHeight="1">
      <c r="A165" s="427"/>
      <c r="B165" s="122" t="s">
        <v>55</v>
      </c>
      <c r="C165" s="180" t="s">
        <v>133</v>
      </c>
      <c r="D165" s="48" t="s">
        <v>56</v>
      </c>
      <c r="E165" s="424" t="s">
        <v>25</v>
      </c>
      <c r="F165" s="118" t="s">
        <v>67</v>
      </c>
      <c r="G165" s="226"/>
      <c r="H165" s="126"/>
      <c r="I165" s="126"/>
      <c r="J165" s="2"/>
      <c r="K165" s="18"/>
      <c r="L165" s="18"/>
      <c r="M165" s="18">
        <v>2800</v>
      </c>
      <c r="N165" s="18">
        <v>1</v>
      </c>
      <c r="O165" s="126"/>
      <c r="P165" s="126"/>
      <c r="Q165" s="126"/>
      <c r="R165" s="436"/>
      <c r="S165" s="436"/>
      <c r="T165" s="18"/>
      <c r="U165" s="18"/>
      <c r="V165" s="127">
        <f t="shared" ref="V165:V172" si="6">O165-T165-U165+V142</f>
        <v>500</v>
      </c>
      <c r="W165" s="45"/>
      <c r="X165" s="67"/>
    </row>
    <row r="166" spans="1:24" ht="15" customHeight="1">
      <c r="A166" s="427"/>
      <c r="B166" s="122" t="s">
        <v>122</v>
      </c>
      <c r="C166" s="180" t="s">
        <v>123</v>
      </c>
      <c r="D166" s="48" t="s">
        <v>56</v>
      </c>
      <c r="E166" s="441"/>
      <c r="F166" s="155" t="s">
        <v>64</v>
      </c>
      <c r="G166" s="119"/>
      <c r="H166" s="126"/>
      <c r="I166" s="126"/>
      <c r="J166" s="2"/>
      <c r="K166" s="18"/>
      <c r="L166" s="18"/>
      <c r="M166" s="18">
        <v>6400</v>
      </c>
      <c r="N166" s="18">
        <v>2</v>
      </c>
      <c r="O166" s="126"/>
      <c r="P166" s="126"/>
      <c r="Q166" s="126">
        <f>Apr!AZ287</f>
        <v>1</v>
      </c>
      <c r="R166" s="436"/>
      <c r="S166" s="436"/>
      <c r="T166" s="18"/>
      <c r="U166" s="18"/>
      <c r="V166" s="127">
        <f t="shared" si="6"/>
        <v>31304</v>
      </c>
      <c r="W166" s="45"/>
      <c r="X166" s="67"/>
    </row>
    <row r="167" spans="1:24" ht="14.25" customHeight="1">
      <c r="A167" s="427"/>
      <c r="B167" s="137" t="s">
        <v>58</v>
      </c>
      <c r="C167" s="157" t="s">
        <v>243</v>
      </c>
      <c r="D167" s="48" t="s">
        <v>56</v>
      </c>
      <c r="E167" s="441"/>
      <c r="F167" s="118" t="s">
        <v>64</v>
      </c>
      <c r="G167" s="225"/>
      <c r="H167" s="126"/>
      <c r="I167" s="126"/>
      <c r="J167" s="126"/>
      <c r="K167" s="18"/>
      <c r="L167" s="18"/>
      <c r="M167" s="18"/>
      <c r="N167" s="80"/>
      <c r="O167" s="126"/>
      <c r="P167" s="126"/>
      <c r="Q167" s="126">
        <f>Apr!AZ288</f>
        <v>1</v>
      </c>
      <c r="R167" s="436"/>
      <c r="S167" s="436"/>
      <c r="T167" s="18"/>
      <c r="U167" s="18"/>
      <c r="V167" s="127">
        <f t="shared" si="6"/>
        <v>8562</v>
      </c>
      <c r="W167" s="45"/>
      <c r="X167" s="67"/>
    </row>
    <row r="168" spans="1:24" ht="14.25" customHeight="1">
      <c r="A168" s="427"/>
      <c r="B168" s="122" t="s">
        <v>61</v>
      </c>
      <c r="C168" s="180" t="s">
        <v>137</v>
      </c>
      <c r="D168" s="48" t="s">
        <v>56</v>
      </c>
      <c r="E168" s="441"/>
      <c r="F168" s="118" t="s">
        <v>67</v>
      </c>
      <c r="G168" s="225"/>
      <c r="H168" s="126"/>
      <c r="I168" s="126"/>
      <c r="J168" s="126"/>
      <c r="K168" s="18"/>
      <c r="L168" s="18"/>
      <c r="M168" s="18"/>
      <c r="N168" s="80"/>
      <c r="O168" s="126"/>
      <c r="P168" s="126"/>
      <c r="Q168" s="126">
        <f>Apr!AZ289</f>
        <v>1</v>
      </c>
      <c r="R168" s="436"/>
      <c r="S168" s="436"/>
      <c r="T168" s="18"/>
      <c r="U168" s="18"/>
      <c r="V168" s="127">
        <f t="shared" si="6"/>
        <v>5844</v>
      </c>
      <c r="W168" s="45"/>
      <c r="X168" s="67"/>
    </row>
    <row r="169" spans="1:24" ht="14.25" customHeight="1">
      <c r="A169" s="427"/>
      <c r="B169" s="122" t="s">
        <v>125</v>
      </c>
      <c r="C169" s="180" t="s">
        <v>88</v>
      </c>
      <c r="D169" s="48" t="s">
        <v>124</v>
      </c>
      <c r="E169" s="441"/>
      <c r="F169" s="118" t="s">
        <v>64</v>
      </c>
      <c r="G169" s="225"/>
      <c r="H169" s="126"/>
      <c r="I169" s="126"/>
      <c r="J169" s="126"/>
      <c r="K169" s="18"/>
      <c r="L169" s="18"/>
      <c r="M169" s="18">
        <v>51200</v>
      </c>
      <c r="N169" s="80">
        <v>7</v>
      </c>
      <c r="O169" s="126"/>
      <c r="P169" s="126"/>
      <c r="Q169" s="126"/>
      <c r="R169" s="436"/>
      <c r="S169" s="436"/>
      <c r="T169" s="18"/>
      <c r="U169" s="18"/>
      <c r="V169" s="127">
        <f t="shared" si="6"/>
        <v>23615</v>
      </c>
      <c r="W169" s="45"/>
      <c r="X169" s="67"/>
    </row>
    <row r="170" spans="1:24" ht="14.25" customHeight="1">
      <c r="A170" s="427"/>
      <c r="B170" s="137" t="s">
        <v>47</v>
      </c>
      <c r="C170" s="157" t="s">
        <v>100</v>
      </c>
      <c r="D170" s="48" t="s">
        <v>99</v>
      </c>
      <c r="E170" s="441"/>
      <c r="F170" s="118" t="s">
        <v>71</v>
      </c>
      <c r="G170" s="225"/>
      <c r="H170" s="126"/>
      <c r="I170" s="126"/>
      <c r="J170" s="126"/>
      <c r="K170" s="18"/>
      <c r="L170" s="18"/>
      <c r="M170" s="18">
        <v>18000</v>
      </c>
      <c r="N170" s="80">
        <v>3</v>
      </c>
      <c r="O170" s="126"/>
      <c r="P170" s="126"/>
      <c r="Q170" s="126"/>
      <c r="R170" s="436"/>
      <c r="S170" s="436"/>
      <c r="T170" s="18">
        <v>25402</v>
      </c>
      <c r="U170" s="18">
        <v>25</v>
      </c>
      <c r="V170" s="127">
        <f t="shared" si="6"/>
        <v>37851</v>
      </c>
      <c r="W170" s="45"/>
      <c r="X170" s="67"/>
    </row>
    <row r="171" spans="1:24" ht="15" customHeight="1">
      <c r="A171" s="427"/>
      <c r="B171" s="122" t="s">
        <v>196</v>
      </c>
      <c r="C171" s="180" t="s">
        <v>63</v>
      </c>
      <c r="D171" s="48" t="s">
        <v>135</v>
      </c>
      <c r="E171" s="441"/>
      <c r="F171" s="118" t="s">
        <v>64</v>
      </c>
      <c r="G171" s="226"/>
      <c r="H171" s="126"/>
      <c r="I171" s="126"/>
      <c r="J171" s="2"/>
      <c r="K171" s="18"/>
      <c r="L171" s="18"/>
      <c r="M171" s="18">
        <v>33200</v>
      </c>
      <c r="N171" s="18">
        <v>4</v>
      </c>
      <c r="O171" s="126"/>
      <c r="P171" s="126"/>
      <c r="Q171" s="126"/>
      <c r="R171" s="436"/>
      <c r="S171" s="436"/>
      <c r="T171" s="18"/>
      <c r="U171" s="18"/>
      <c r="V171" s="127">
        <f t="shared" si="6"/>
        <v>15106</v>
      </c>
      <c r="W171" s="45"/>
      <c r="X171" s="67"/>
    </row>
    <row r="172" spans="1:24" ht="15" customHeight="1">
      <c r="A172" s="427"/>
      <c r="B172" s="122" t="s">
        <v>253</v>
      </c>
      <c r="C172" s="180" t="s">
        <v>252</v>
      </c>
      <c r="D172" s="48" t="s">
        <v>246</v>
      </c>
      <c r="E172" s="441"/>
      <c r="F172" s="118" t="s">
        <v>247</v>
      </c>
      <c r="G172" s="226"/>
      <c r="H172" s="126"/>
      <c r="I172" s="126"/>
      <c r="J172" s="2"/>
      <c r="K172" s="18"/>
      <c r="L172" s="18"/>
      <c r="M172" s="18"/>
      <c r="N172" s="18"/>
      <c r="O172" s="126"/>
      <c r="P172" s="126"/>
      <c r="Q172" s="126">
        <f>Apr!AZ291</f>
        <v>1</v>
      </c>
      <c r="R172" s="436"/>
      <c r="S172" s="436"/>
      <c r="T172" s="18"/>
      <c r="U172" s="18"/>
      <c r="V172" s="127">
        <f t="shared" si="6"/>
        <v>503</v>
      </c>
      <c r="W172" s="45"/>
      <c r="X172" s="67"/>
    </row>
    <row r="173" spans="1:24" ht="15" customHeight="1">
      <c r="A173" s="427"/>
      <c r="B173" s="122" t="s">
        <v>289</v>
      </c>
      <c r="C173" s="180" t="s">
        <v>290</v>
      </c>
      <c r="D173" s="48" t="s">
        <v>291</v>
      </c>
      <c r="E173" s="441"/>
      <c r="F173" s="118" t="s">
        <v>292</v>
      </c>
      <c r="G173" s="119"/>
      <c r="H173" s="126"/>
      <c r="I173" s="126"/>
      <c r="J173" s="2"/>
      <c r="K173" s="18"/>
      <c r="L173" s="18"/>
      <c r="M173" s="18"/>
      <c r="N173" s="18"/>
      <c r="O173" s="126"/>
      <c r="P173" s="126"/>
      <c r="Q173" s="126">
        <f>Apr!AZ292</f>
        <v>1</v>
      </c>
      <c r="R173" s="436"/>
      <c r="S173" s="436"/>
      <c r="T173" s="18"/>
      <c r="U173" s="18"/>
      <c r="V173" s="18"/>
      <c r="W173" s="45"/>
      <c r="X173" s="67"/>
    </row>
    <row r="174" spans="1:24" ht="15" customHeight="1">
      <c r="A174" s="427"/>
      <c r="B174" s="122" t="s">
        <v>101</v>
      </c>
      <c r="C174" s="180" t="s">
        <v>193</v>
      </c>
      <c r="D174" s="48" t="s">
        <v>102</v>
      </c>
      <c r="E174" s="441"/>
      <c r="F174" s="118" t="s">
        <v>64</v>
      </c>
      <c r="G174" s="119"/>
      <c r="H174" s="126"/>
      <c r="I174" s="126"/>
      <c r="J174" s="2"/>
      <c r="K174" s="18"/>
      <c r="L174" s="18"/>
      <c r="M174" s="18"/>
      <c r="N174" s="18"/>
      <c r="O174" s="126"/>
      <c r="P174" s="126"/>
      <c r="Q174" s="126">
        <f>Apr!AZ297</f>
        <v>1</v>
      </c>
      <c r="R174" s="436"/>
      <c r="S174" s="436"/>
      <c r="T174" s="18"/>
      <c r="U174" s="18"/>
      <c r="V174" s="18"/>
      <c r="W174" s="45"/>
      <c r="X174" s="67"/>
    </row>
    <row r="175" spans="1:24" ht="15" customHeight="1">
      <c r="A175" s="427"/>
      <c r="B175" s="122" t="s">
        <v>103</v>
      </c>
      <c r="C175" s="157" t="s">
        <v>197</v>
      </c>
      <c r="D175" s="48" t="s">
        <v>104</v>
      </c>
      <c r="E175" s="441"/>
      <c r="F175" s="118" t="s">
        <v>105</v>
      </c>
      <c r="G175" s="119"/>
      <c r="H175" s="126"/>
      <c r="I175" s="126"/>
      <c r="J175" s="2"/>
      <c r="K175" s="18"/>
      <c r="L175" s="18"/>
      <c r="M175" s="18"/>
      <c r="N175" s="18"/>
      <c r="O175" s="126"/>
      <c r="P175" s="126"/>
      <c r="Q175" s="126">
        <f>Apr!AZ298</f>
        <v>1</v>
      </c>
      <c r="R175" s="436"/>
      <c r="S175" s="436"/>
      <c r="T175" s="18"/>
      <c r="U175" s="18"/>
      <c r="V175" s="18"/>
      <c r="W175" s="45"/>
      <c r="X175" s="67"/>
    </row>
    <row r="176" spans="1:24" ht="15" customHeight="1">
      <c r="A176" s="427"/>
      <c r="B176" s="137" t="s">
        <v>112</v>
      </c>
      <c r="C176" s="157" t="s">
        <v>197</v>
      </c>
      <c r="D176" s="48" t="s">
        <v>104</v>
      </c>
      <c r="E176" s="441"/>
      <c r="F176" s="118" t="s">
        <v>113</v>
      </c>
      <c r="G176" s="119"/>
      <c r="H176" s="126"/>
      <c r="I176" s="126"/>
      <c r="J176" s="2"/>
      <c r="K176" s="18"/>
      <c r="L176" s="18"/>
      <c r="M176" s="18"/>
      <c r="N176" s="18"/>
      <c r="O176" s="126"/>
      <c r="P176" s="126"/>
      <c r="Q176" s="126">
        <f>Apr!AZ301</f>
        <v>1</v>
      </c>
      <c r="R176" s="436"/>
      <c r="S176" s="436"/>
      <c r="T176" s="18"/>
      <c r="U176" s="18"/>
      <c r="V176" s="18"/>
      <c r="W176" s="45"/>
      <c r="X176" s="67"/>
    </row>
    <row r="177" spans="1:25" ht="15" customHeight="1">
      <c r="A177" s="427"/>
      <c r="B177" s="137" t="s">
        <v>106</v>
      </c>
      <c r="C177" s="157" t="s">
        <v>141</v>
      </c>
      <c r="D177" s="48" t="s">
        <v>68</v>
      </c>
      <c r="E177" s="441"/>
      <c r="F177" s="118" t="s">
        <v>67</v>
      </c>
      <c r="G177" s="119"/>
      <c r="H177" s="126"/>
      <c r="I177" s="126"/>
      <c r="J177" s="2"/>
      <c r="K177" s="18"/>
      <c r="L177" s="18"/>
      <c r="M177" s="18"/>
      <c r="N177" s="18"/>
      <c r="O177" s="126"/>
      <c r="P177" s="126"/>
      <c r="Q177" s="126">
        <f>Apr!AZ299</f>
        <v>1</v>
      </c>
      <c r="R177" s="436"/>
      <c r="S177" s="436"/>
      <c r="T177" s="18"/>
      <c r="U177" s="18"/>
      <c r="V177" s="18"/>
      <c r="W177" s="45"/>
      <c r="X177" s="67"/>
    </row>
    <row r="178" spans="1:25" ht="15" customHeight="1" thickBot="1">
      <c r="A178" s="428"/>
      <c r="B178" s="44" t="s">
        <v>107</v>
      </c>
      <c r="C178" s="181" t="s">
        <v>195</v>
      </c>
      <c r="D178" s="61" t="s">
        <v>108</v>
      </c>
      <c r="E178" s="447"/>
      <c r="F178" s="133" t="s">
        <v>48</v>
      </c>
      <c r="G178" s="132"/>
      <c r="H178" s="109"/>
      <c r="I178" s="134"/>
      <c r="J178" s="129"/>
      <c r="K178" s="130"/>
      <c r="L178" s="130"/>
      <c r="M178" s="130"/>
      <c r="N178" s="130"/>
      <c r="O178" s="134"/>
      <c r="P178" s="134"/>
      <c r="Q178" s="134">
        <f>Apr!AZ300</f>
        <v>1</v>
      </c>
      <c r="R178" s="437"/>
      <c r="S178" s="437"/>
      <c r="T178" s="130"/>
      <c r="U178" s="130"/>
      <c r="V178" s="128"/>
      <c r="W178" s="85"/>
      <c r="X178" s="67"/>
    </row>
    <row r="179" spans="1:25" ht="15" customHeight="1">
      <c r="A179" s="426">
        <v>46122</v>
      </c>
      <c r="B179" s="429" t="s">
        <v>44</v>
      </c>
      <c r="C179" s="432" t="s">
        <v>240</v>
      </c>
      <c r="D179" s="19" t="s">
        <v>37</v>
      </c>
      <c r="E179" s="19" t="s">
        <v>25</v>
      </c>
      <c r="F179" s="39" t="s">
        <v>40</v>
      </c>
      <c r="G179" s="41">
        <v>8247.15</v>
      </c>
      <c r="H179" s="32">
        <v>3448</v>
      </c>
      <c r="I179" s="32"/>
      <c r="J179" s="32"/>
      <c r="K179" s="20">
        <v>8000</v>
      </c>
      <c r="L179" s="20">
        <v>1</v>
      </c>
      <c r="M179" s="20">
        <v>344000</v>
      </c>
      <c r="N179" s="84">
        <v>43</v>
      </c>
      <c r="O179" s="32">
        <f>Apr!BD276</f>
        <v>37026</v>
      </c>
      <c r="P179" s="32">
        <f>Apr!BE276</f>
        <v>35176</v>
      </c>
      <c r="Q179" s="32">
        <f>Apr!BC276</f>
        <v>94</v>
      </c>
      <c r="R179" s="435">
        <f>Apr!BD303</f>
        <v>76088</v>
      </c>
      <c r="S179" s="435">
        <f>Apr!BE303</f>
        <v>74004</v>
      </c>
      <c r="T179" s="20">
        <v>50452</v>
      </c>
      <c r="U179" s="20"/>
      <c r="V179" s="20">
        <f>O179-T179-U179+V156</f>
        <v>38468</v>
      </c>
      <c r="W179" s="77"/>
      <c r="X179" s="36"/>
    </row>
    <row r="180" spans="1:25" ht="15" customHeight="1">
      <c r="A180" s="427"/>
      <c r="B180" s="431"/>
      <c r="C180" s="434"/>
      <c r="D180" s="113" t="s">
        <v>128</v>
      </c>
      <c r="E180" s="113" t="s">
        <v>24</v>
      </c>
      <c r="F180" s="114" t="s">
        <v>40</v>
      </c>
      <c r="G180" s="170"/>
      <c r="H180" s="135">
        <v>3037.5</v>
      </c>
      <c r="I180" s="125"/>
      <c r="J180" s="125"/>
      <c r="K180" s="18">
        <v>31700</v>
      </c>
      <c r="L180" s="127">
        <v>4</v>
      </c>
      <c r="M180" s="216">
        <v>199100</v>
      </c>
      <c r="N180" s="238">
        <v>25</v>
      </c>
      <c r="O180" s="126">
        <f>Apr!BD277</f>
        <v>21999</v>
      </c>
      <c r="P180" s="125">
        <f>Apr!BE277</f>
        <v>21122</v>
      </c>
      <c r="Q180" s="125">
        <f>Apr!BC277</f>
        <v>56</v>
      </c>
      <c r="R180" s="436"/>
      <c r="S180" s="436"/>
      <c r="T180" s="127">
        <v>17788</v>
      </c>
      <c r="U180" s="127">
        <v>6</v>
      </c>
      <c r="V180" s="127">
        <f>O180-T180-U180+V157</f>
        <v>23961</v>
      </c>
      <c r="W180" s="46"/>
      <c r="X180" s="67"/>
    </row>
    <row r="181" spans="1:25" ht="15" customHeight="1">
      <c r="A181" s="427"/>
      <c r="B181" s="442" t="s">
        <v>45</v>
      </c>
      <c r="C181" s="471" t="s">
        <v>59</v>
      </c>
      <c r="D181" s="118" t="s">
        <v>75</v>
      </c>
      <c r="E181" s="438" t="s">
        <v>25</v>
      </c>
      <c r="F181" s="131" t="s">
        <v>57</v>
      </c>
      <c r="G181" s="87"/>
      <c r="H181" s="136"/>
      <c r="I181" s="126"/>
      <c r="J181" s="2"/>
      <c r="K181" s="127"/>
      <c r="L181" s="18"/>
      <c r="M181" s="18">
        <v>10000</v>
      </c>
      <c r="N181" s="80">
        <v>2</v>
      </c>
      <c r="O181" s="126">
        <f>Apr!BD282</f>
        <v>3492</v>
      </c>
      <c r="P181" s="126">
        <f>Apr!BE282</f>
        <v>3588</v>
      </c>
      <c r="Q181" s="2">
        <f>Apr!BC282</f>
        <v>15</v>
      </c>
      <c r="R181" s="436"/>
      <c r="S181" s="436"/>
      <c r="T181" s="18"/>
      <c r="U181" s="18"/>
      <c r="V181" s="127">
        <f>O181-T181-U181+V158</f>
        <v>82863</v>
      </c>
      <c r="W181" s="46"/>
      <c r="Y181" s="13"/>
    </row>
    <row r="182" spans="1:25" ht="15" customHeight="1">
      <c r="A182" s="427"/>
      <c r="B182" s="439"/>
      <c r="C182" s="471"/>
      <c r="D182" s="118" t="s">
        <v>291</v>
      </c>
      <c r="E182" s="430"/>
      <c r="F182" s="131" t="s">
        <v>57</v>
      </c>
      <c r="G182" s="87"/>
      <c r="H182" s="136"/>
      <c r="I182" s="126"/>
      <c r="J182" s="2"/>
      <c r="K182" s="127"/>
      <c r="L182" s="18"/>
      <c r="M182" s="18">
        <v>49000</v>
      </c>
      <c r="N182" s="80">
        <v>10</v>
      </c>
      <c r="O182" s="126"/>
      <c r="P182" s="126"/>
      <c r="Q182" s="2"/>
      <c r="R182" s="436"/>
      <c r="S182" s="436"/>
      <c r="T182" s="18"/>
      <c r="U182" s="18"/>
      <c r="V182" s="127"/>
      <c r="W182" s="46"/>
      <c r="Y182" s="13"/>
    </row>
    <row r="183" spans="1:25">
      <c r="A183" s="427"/>
      <c r="B183" s="439"/>
      <c r="C183" s="471"/>
      <c r="D183" s="118" t="s">
        <v>72</v>
      </c>
      <c r="E183" s="424" t="s">
        <v>24</v>
      </c>
      <c r="F183" s="131" t="s">
        <v>57</v>
      </c>
      <c r="G183" s="224"/>
      <c r="H183" s="136"/>
      <c r="I183" s="126"/>
      <c r="J183" s="126"/>
      <c r="K183" s="127">
        <v>10000</v>
      </c>
      <c r="L183" s="18">
        <v>2</v>
      </c>
      <c r="M183" s="18">
        <v>35000</v>
      </c>
      <c r="N183" s="80">
        <v>7</v>
      </c>
      <c r="O183" s="126">
        <f>Apr!BD284</f>
        <v>6856</v>
      </c>
      <c r="P183" s="126">
        <f>Apr!BE284</f>
        <v>5833</v>
      </c>
      <c r="Q183" s="126">
        <f>Apr!BC284</f>
        <v>26</v>
      </c>
      <c r="R183" s="436"/>
      <c r="S183" s="436"/>
      <c r="T183" s="18">
        <v>6900</v>
      </c>
      <c r="U183" s="18"/>
      <c r="V183" s="127">
        <f>O183-T183-U183+V160</f>
        <v>6298</v>
      </c>
      <c r="W183" s="46"/>
      <c r="Y183" s="13"/>
    </row>
    <row r="184" spans="1:25">
      <c r="A184" s="427"/>
      <c r="B184" s="439"/>
      <c r="C184" s="471"/>
      <c r="D184" s="115" t="s">
        <v>73</v>
      </c>
      <c r="E184" s="425"/>
      <c r="F184" s="131"/>
      <c r="G184" s="224"/>
      <c r="H184" s="152">
        <v>1980</v>
      </c>
      <c r="I184" s="126"/>
      <c r="J184" s="126"/>
      <c r="K184" s="127"/>
      <c r="L184" s="18"/>
      <c r="M184" s="18"/>
      <c r="N184" s="80"/>
      <c r="O184" s="126"/>
      <c r="P184" s="126"/>
      <c r="Q184" s="126"/>
      <c r="R184" s="436"/>
      <c r="S184" s="436"/>
      <c r="T184" s="18"/>
      <c r="U184" s="18"/>
      <c r="V184" s="127"/>
      <c r="W184" s="46"/>
      <c r="Y184" s="13"/>
    </row>
    <row r="185" spans="1:25" ht="14.25" customHeight="1">
      <c r="A185" s="427"/>
      <c r="B185" s="439"/>
      <c r="C185" s="471"/>
      <c r="D185" s="115" t="s">
        <v>79</v>
      </c>
      <c r="E185" s="118" t="s">
        <v>65</v>
      </c>
      <c r="F185" s="131" t="s">
        <v>57</v>
      </c>
      <c r="G185" s="224"/>
      <c r="H185" s="37"/>
      <c r="I185" s="126"/>
      <c r="J185" s="126"/>
      <c r="K185" s="18"/>
      <c r="L185" s="18"/>
      <c r="M185" s="18"/>
      <c r="N185" s="80"/>
      <c r="O185" s="126"/>
      <c r="P185" s="126"/>
      <c r="Q185" s="126">
        <f>Apr!BC285</f>
        <v>1</v>
      </c>
      <c r="R185" s="436"/>
      <c r="S185" s="436"/>
      <c r="T185" s="18"/>
      <c r="U185" s="18"/>
      <c r="V185" s="127"/>
      <c r="W185" s="45"/>
      <c r="X185" s="36"/>
    </row>
    <row r="186" spans="1:25" ht="14.25" customHeight="1">
      <c r="A186" s="427"/>
      <c r="B186" s="443"/>
      <c r="C186" s="271" t="s">
        <v>299</v>
      </c>
      <c r="D186" s="115" t="s">
        <v>296</v>
      </c>
      <c r="E186" s="115" t="s">
        <v>25</v>
      </c>
      <c r="F186" s="131" t="s">
        <v>298</v>
      </c>
      <c r="G186" s="224"/>
      <c r="H186" s="37"/>
      <c r="I186" s="126"/>
      <c r="J186" s="126"/>
      <c r="K186" s="18"/>
      <c r="L186" s="18"/>
      <c r="M186" s="18"/>
      <c r="N186" s="80"/>
      <c r="O186" s="126"/>
      <c r="P186" s="126">
        <f>Apr!BE286</f>
        <v>243</v>
      </c>
      <c r="Q186" s="126">
        <f>Apr!BC286</f>
        <v>1</v>
      </c>
      <c r="R186" s="436"/>
      <c r="S186" s="436"/>
      <c r="T186" s="18"/>
      <c r="U186" s="18"/>
      <c r="V186" s="127"/>
      <c r="W186" s="45"/>
      <c r="X186" s="67"/>
    </row>
    <row r="187" spans="1:25" ht="14.25" customHeight="1">
      <c r="A187" s="427"/>
      <c r="B187" s="137" t="s">
        <v>53</v>
      </c>
      <c r="C187" s="157" t="s">
        <v>60</v>
      </c>
      <c r="D187" s="43" t="s">
        <v>130</v>
      </c>
      <c r="E187" s="115" t="s">
        <v>66</v>
      </c>
      <c r="F187" s="118" t="s">
        <v>54</v>
      </c>
      <c r="G187" s="224"/>
      <c r="H187" s="37"/>
      <c r="I187" s="126"/>
      <c r="J187" s="126"/>
      <c r="K187" s="18"/>
      <c r="L187" s="18"/>
      <c r="M187" s="18">
        <v>96000</v>
      </c>
      <c r="N187" s="80">
        <v>16</v>
      </c>
      <c r="O187" s="126">
        <f>Apr!BD279</f>
        <v>6715</v>
      </c>
      <c r="P187" s="126">
        <f>Apr!BE279</f>
        <v>8042</v>
      </c>
      <c r="Q187" s="126">
        <f>Apr!BC279</f>
        <v>24</v>
      </c>
      <c r="R187" s="436"/>
      <c r="S187" s="436"/>
      <c r="T187" s="18">
        <v>7190</v>
      </c>
      <c r="U187" s="18"/>
      <c r="V187" s="127">
        <f>O187-T187-U187+V163</f>
        <v>7895</v>
      </c>
      <c r="W187" s="45"/>
      <c r="X187" s="67"/>
    </row>
    <row r="188" spans="1:25" ht="15.75" customHeight="1">
      <c r="A188" s="427"/>
      <c r="B188" s="122" t="s">
        <v>55</v>
      </c>
      <c r="C188" s="180" t="s">
        <v>133</v>
      </c>
      <c r="D188" s="48" t="s">
        <v>56</v>
      </c>
      <c r="E188" s="424" t="s">
        <v>25</v>
      </c>
      <c r="F188" s="118" t="s">
        <v>67</v>
      </c>
      <c r="G188" s="226"/>
      <c r="H188" s="126"/>
      <c r="I188" s="126"/>
      <c r="J188" s="2"/>
      <c r="K188" s="18"/>
      <c r="L188" s="18"/>
      <c r="M188" s="18">
        <v>2800</v>
      </c>
      <c r="N188" s="18">
        <v>1</v>
      </c>
      <c r="O188" s="126"/>
      <c r="P188" s="126"/>
      <c r="Q188" s="126"/>
      <c r="R188" s="436"/>
      <c r="S188" s="436"/>
      <c r="T188" s="18"/>
      <c r="U188" s="18"/>
      <c r="V188" s="127">
        <f t="shared" ref="V188:V195" si="7">O188-T188-U188+V165</f>
        <v>500</v>
      </c>
      <c r="W188" s="45"/>
      <c r="X188" s="67"/>
    </row>
    <row r="189" spans="1:25" ht="15" customHeight="1">
      <c r="A189" s="427"/>
      <c r="B189" s="122" t="s">
        <v>122</v>
      </c>
      <c r="C189" s="180" t="s">
        <v>123</v>
      </c>
      <c r="D189" s="48" t="s">
        <v>56</v>
      </c>
      <c r="E189" s="441"/>
      <c r="F189" s="155" t="s">
        <v>64</v>
      </c>
      <c r="G189" s="119"/>
      <c r="H189" s="126"/>
      <c r="I189" s="126"/>
      <c r="J189" s="2"/>
      <c r="K189" s="18"/>
      <c r="L189" s="18"/>
      <c r="M189" s="18">
        <v>6400</v>
      </c>
      <c r="N189" s="18">
        <v>2</v>
      </c>
      <c r="O189" s="126"/>
      <c r="P189" s="126"/>
      <c r="Q189" s="126">
        <f>Apr!BC287</f>
        <v>1</v>
      </c>
      <c r="R189" s="436"/>
      <c r="S189" s="436"/>
      <c r="T189" s="18"/>
      <c r="U189" s="18"/>
      <c r="V189" s="127">
        <f t="shared" si="7"/>
        <v>31304</v>
      </c>
      <c r="W189" s="45"/>
      <c r="X189" s="67"/>
    </row>
    <row r="190" spans="1:25" ht="14.25" customHeight="1">
      <c r="A190" s="427"/>
      <c r="B190" s="137" t="s">
        <v>58</v>
      </c>
      <c r="C190" s="157" t="s">
        <v>243</v>
      </c>
      <c r="D190" s="48" t="s">
        <v>56</v>
      </c>
      <c r="E190" s="441"/>
      <c r="F190" s="118" t="s">
        <v>64</v>
      </c>
      <c r="G190" s="225"/>
      <c r="H190" s="126"/>
      <c r="I190" s="126"/>
      <c r="J190" s="126"/>
      <c r="K190" s="18"/>
      <c r="L190" s="18"/>
      <c r="M190" s="18"/>
      <c r="N190" s="80"/>
      <c r="O190" s="126"/>
      <c r="P190" s="126"/>
      <c r="Q190" s="126">
        <f>Apr!BC288</f>
        <v>1</v>
      </c>
      <c r="R190" s="436"/>
      <c r="S190" s="436"/>
      <c r="T190" s="18"/>
      <c r="U190" s="18"/>
      <c r="V190" s="127">
        <f t="shared" si="7"/>
        <v>8562</v>
      </c>
      <c r="W190" s="45"/>
      <c r="X190" s="67"/>
    </row>
    <row r="191" spans="1:25" ht="14.25" customHeight="1">
      <c r="A191" s="427"/>
      <c r="B191" s="122" t="s">
        <v>61</v>
      </c>
      <c r="C191" s="180" t="s">
        <v>137</v>
      </c>
      <c r="D191" s="48" t="s">
        <v>56</v>
      </c>
      <c r="E191" s="441"/>
      <c r="F191" s="118" t="s">
        <v>67</v>
      </c>
      <c r="G191" s="225"/>
      <c r="H191" s="126"/>
      <c r="I191" s="126"/>
      <c r="J191" s="126"/>
      <c r="K191" s="18"/>
      <c r="L191" s="18"/>
      <c r="M191" s="18"/>
      <c r="N191" s="80"/>
      <c r="O191" s="126"/>
      <c r="P191" s="126"/>
      <c r="Q191" s="126">
        <f>Apr!BC289</f>
        <v>1</v>
      </c>
      <c r="R191" s="436"/>
      <c r="S191" s="436"/>
      <c r="T191" s="18"/>
      <c r="U191" s="18"/>
      <c r="V191" s="127">
        <f t="shared" si="7"/>
        <v>5844</v>
      </c>
      <c r="W191" s="45"/>
      <c r="X191" s="67"/>
    </row>
    <row r="192" spans="1:25" ht="14.25" customHeight="1">
      <c r="A192" s="427"/>
      <c r="B192" s="122" t="s">
        <v>125</v>
      </c>
      <c r="C192" s="180" t="s">
        <v>88</v>
      </c>
      <c r="D192" s="48" t="s">
        <v>124</v>
      </c>
      <c r="E192" s="441"/>
      <c r="F192" s="118" t="s">
        <v>64</v>
      </c>
      <c r="G192" s="225"/>
      <c r="H192" s="126"/>
      <c r="I192" s="126"/>
      <c r="J192" s="126"/>
      <c r="K192" s="18"/>
      <c r="L192" s="18"/>
      <c r="M192" s="18">
        <v>51200</v>
      </c>
      <c r="N192" s="80">
        <v>7</v>
      </c>
      <c r="O192" s="126"/>
      <c r="P192" s="126"/>
      <c r="Q192" s="126"/>
      <c r="R192" s="436"/>
      <c r="S192" s="436"/>
      <c r="T192" s="18"/>
      <c r="U192" s="18"/>
      <c r="V192" s="127">
        <f t="shared" si="7"/>
        <v>23615</v>
      </c>
      <c r="W192" s="45"/>
      <c r="X192" s="67"/>
    </row>
    <row r="193" spans="1:25" ht="14.25" customHeight="1">
      <c r="A193" s="427"/>
      <c r="B193" s="137" t="s">
        <v>47</v>
      </c>
      <c r="C193" s="157" t="s">
        <v>100</v>
      </c>
      <c r="D193" s="48" t="s">
        <v>99</v>
      </c>
      <c r="E193" s="441"/>
      <c r="F193" s="118" t="s">
        <v>71</v>
      </c>
      <c r="G193" s="225"/>
      <c r="H193" s="126"/>
      <c r="I193" s="126"/>
      <c r="J193" s="126"/>
      <c r="K193" s="18"/>
      <c r="L193" s="18"/>
      <c r="M193" s="18">
        <v>18000</v>
      </c>
      <c r="N193" s="80">
        <v>3</v>
      </c>
      <c r="O193" s="126"/>
      <c r="P193" s="126"/>
      <c r="Q193" s="126"/>
      <c r="R193" s="436"/>
      <c r="S193" s="436"/>
      <c r="T193" s="18"/>
      <c r="U193" s="18"/>
      <c r="V193" s="127">
        <f t="shared" si="7"/>
        <v>37851</v>
      </c>
      <c r="W193" s="45"/>
      <c r="X193" s="67"/>
    </row>
    <row r="194" spans="1:25" ht="15" customHeight="1">
      <c r="A194" s="427"/>
      <c r="B194" s="122" t="s">
        <v>196</v>
      </c>
      <c r="C194" s="180" t="s">
        <v>63</v>
      </c>
      <c r="D194" s="48" t="s">
        <v>135</v>
      </c>
      <c r="E194" s="441"/>
      <c r="F194" s="118" t="s">
        <v>64</v>
      </c>
      <c r="G194" s="226"/>
      <c r="H194" s="126"/>
      <c r="I194" s="126"/>
      <c r="J194" s="2"/>
      <c r="K194" s="18"/>
      <c r="L194" s="18"/>
      <c r="M194" s="18">
        <v>33200</v>
      </c>
      <c r="N194" s="18">
        <v>4</v>
      </c>
      <c r="O194" s="126"/>
      <c r="P194" s="126"/>
      <c r="Q194" s="126"/>
      <c r="R194" s="436"/>
      <c r="S194" s="436"/>
      <c r="T194" s="18"/>
      <c r="U194" s="18"/>
      <c r="V194" s="127">
        <f t="shared" si="7"/>
        <v>15106</v>
      </c>
      <c r="W194" s="45"/>
      <c r="X194" s="67"/>
    </row>
    <row r="195" spans="1:25" ht="15" customHeight="1">
      <c r="A195" s="427"/>
      <c r="B195" s="122" t="s">
        <v>253</v>
      </c>
      <c r="C195" s="180" t="s">
        <v>252</v>
      </c>
      <c r="D195" s="48" t="s">
        <v>246</v>
      </c>
      <c r="E195" s="441"/>
      <c r="F195" s="118" t="s">
        <v>247</v>
      </c>
      <c r="G195" s="226"/>
      <c r="H195" s="126"/>
      <c r="I195" s="126"/>
      <c r="J195" s="2"/>
      <c r="K195" s="18"/>
      <c r="L195" s="18"/>
      <c r="M195" s="18"/>
      <c r="N195" s="18"/>
      <c r="O195" s="126"/>
      <c r="P195" s="126"/>
      <c r="Q195" s="126">
        <f>Apr!BC291</f>
        <v>1</v>
      </c>
      <c r="R195" s="436"/>
      <c r="S195" s="436"/>
      <c r="T195" s="18"/>
      <c r="U195" s="18"/>
      <c r="V195" s="127">
        <f t="shared" si="7"/>
        <v>503</v>
      </c>
      <c r="W195" s="45"/>
      <c r="X195" s="67"/>
    </row>
    <row r="196" spans="1:25" ht="15" customHeight="1">
      <c r="A196" s="427"/>
      <c r="B196" s="122" t="s">
        <v>289</v>
      </c>
      <c r="C196" s="180" t="s">
        <v>290</v>
      </c>
      <c r="D196" s="48" t="s">
        <v>291</v>
      </c>
      <c r="E196" s="441"/>
      <c r="F196" s="118" t="s">
        <v>292</v>
      </c>
      <c r="G196" s="119"/>
      <c r="H196" s="126"/>
      <c r="I196" s="126"/>
      <c r="J196" s="2"/>
      <c r="K196" s="18"/>
      <c r="L196" s="18"/>
      <c r="M196" s="18"/>
      <c r="N196" s="18"/>
      <c r="O196" s="126"/>
      <c r="P196" s="126"/>
      <c r="Q196" s="126">
        <f>Apr!BC292</f>
        <v>1</v>
      </c>
      <c r="R196" s="436"/>
      <c r="S196" s="436"/>
      <c r="T196" s="18"/>
      <c r="U196" s="18"/>
      <c r="V196" s="18"/>
      <c r="W196" s="45"/>
      <c r="X196" s="67"/>
    </row>
    <row r="197" spans="1:25" ht="15" customHeight="1">
      <c r="A197" s="427"/>
      <c r="B197" s="122" t="s">
        <v>101</v>
      </c>
      <c r="C197" s="180" t="s">
        <v>193</v>
      </c>
      <c r="D197" s="48" t="s">
        <v>102</v>
      </c>
      <c r="E197" s="441"/>
      <c r="F197" s="118" t="s">
        <v>64</v>
      </c>
      <c r="G197" s="119"/>
      <c r="H197" s="126"/>
      <c r="I197" s="126"/>
      <c r="J197" s="2"/>
      <c r="K197" s="18"/>
      <c r="L197" s="18"/>
      <c r="M197" s="18"/>
      <c r="N197" s="18"/>
      <c r="O197" s="126"/>
      <c r="P197" s="126"/>
      <c r="Q197" s="126">
        <f>Apr!BC297</f>
        <v>1</v>
      </c>
      <c r="R197" s="436"/>
      <c r="S197" s="436"/>
      <c r="T197" s="18"/>
      <c r="U197" s="18"/>
      <c r="V197" s="18"/>
      <c r="W197" s="45"/>
      <c r="X197" s="67"/>
    </row>
    <row r="198" spans="1:25" ht="15" customHeight="1">
      <c r="A198" s="427"/>
      <c r="B198" s="122" t="s">
        <v>103</v>
      </c>
      <c r="C198" s="157" t="s">
        <v>197</v>
      </c>
      <c r="D198" s="48" t="s">
        <v>104</v>
      </c>
      <c r="E198" s="441"/>
      <c r="F198" s="118" t="s">
        <v>105</v>
      </c>
      <c r="G198" s="119"/>
      <c r="H198" s="126"/>
      <c r="I198" s="126"/>
      <c r="J198" s="2"/>
      <c r="K198" s="18"/>
      <c r="L198" s="18"/>
      <c r="M198" s="18"/>
      <c r="N198" s="18"/>
      <c r="O198" s="126"/>
      <c r="P198" s="126"/>
      <c r="Q198" s="126">
        <f>Apr!BC298</f>
        <v>1</v>
      </c>
      <c r="R198" s="436"/>
      <c r="S198" s="436"/>
      <c r="T198" s="18"/>
      <c r="U198" s="18"/>
      <c r="V198" s="18"/>
      <c r="W198" s="45"/>
      <c r="X198" s="67"/>
    </row>
    <row r="199" spans="1:25" ht="15" customHeight="1">
      <c r="A199" s="427"/>
      <c r="B199" s="137" t="s">
        <v>112</v>
      </c>
      <c r="C199" s="157" t="s">
        <v>197</v>
      </c>
      <c r="D199" s="48" t="s">
        <v>104</v>
      </c>
      <c r="E199" s="441"/>
      <c r="F199" s="118" t="s">
        <v>113</v>
      </c>
      <c r="G199" s="119"/>
      <c r="H199" s="126"/>
      <c r="I199" s="126"/>
      <c r="J199" s="2"/>
      <c r="K199" s="18"/>
      <c r="L199" s="18"/>
      <c r="M199" s="18"/>
      <c r="N199" s="18"/>
      <c r="O199" s="126"/>
      <c r="P199" s="126"/>
      <c r="Q199" s="126">
        <f>Apr!BC301</f>
        <v>1</v>
      </c>
      <c r="R199" s="436"/>
      <c r="S199" s="436"/>
      <c r="T199" s="18"/>
      <c r="U199" s="18"/>
      <c r="V199" s="18"/>
      <c r="W199" s="45"/>
      <c r="X199" s="67"/>
    </row>
    <row r="200" spans="1:25" ht="15" customHeight="1">
      <c r="A200" s="427"/>
      <c r="B200" s="137" t="s">
        <v>106</v>
      </c>
      <c r="C200" s="157" t="s">
        <v>141</v>
      </c>
      <c r="D200" s="48" t="s">
        <v>68</v>
      </c>
      <c r="E200" s="441"/>
      <c r="F200" s="118" t="s">
        <v>67</v>
      </c>
      <c r="G200" s="119"/>
      <c r="H200" s="126"/>
      <c r="I200" s="126"/>
      <c r="J200" s="2"/>
      <c r="K200" s="18"/>
      <c r="L200" s="18"/>
      <c r="M200" s="18"/>
      <c r="N200" s="18"/>
      <c r="O200" s="126"/>
      <c r="P200" s="126"/>
      <c r="Q200" s="126">
        <f>Apr!BC299</f>
        <v>1</v>
      </c>
      <c r="R200" s="436"/>
      <c r="S200" s="436"/>
      <c r="T200" s="18"/>
      <c r="U200" s="18"/>
      <c r="V200" s="18"/>
      <c r="W200" s="45"/>
      <c r="X200" s="67"/>
    </row>
    <row r="201" spans="1:25" ht="15" customHeight="1" thickBot="1">
      <c r="A201" s="428"/>
      <c r="B201" s="44" t="s">
        <v>107</v>
      </c>
      <c r="C201" s="181" t="s">
        <v>195</v>
      </c>
      <c r="D201" s="61" t="s">
        <v>108</v>
      </c>
      <c r="E201" s="447"/>
      <c r="F201" s="133" t="s">
        <v>48</v>
      </c>
      <c r="G201" s="132"/>
      <c r="H201" s="109"/>
      <c r="I201" s="134"/>
      <c r="J201" s="129"/>
      <c r="K201" s="130"/>
      <c r="L201" s="130"/>
      <c r="M201" s="130"/>
      <c r="N201" s="130"/>
      <c r="O201" s="134"/>
      <c r="P201" s="134"/>
      <c r="Q201" s="134">
        <f>Apr!BC300</f>
        <v>1</v>
      </c>
      <c r="R201" s="437"/>
      <c r="S201" s="437"/>
      <c r="T201" s="130"/>
      <c r="U201" s="130"/>
      <c r="V201" s="128"/>
      <c r="W201" s="85"/>
      <c r="X201" s="67"/>
    </row>
    <row r="202" spans="1:25" ht="15" customHeight="1">
      <c r="A202" s="426">
        <v>46123</v>
      </c>
      <c r="B202" s="429" t="s">
        <v>44</v>
      </c>
      <c r="C202" s="432" t="s">
        <v>240</v>
      </c>
      <c r="D202" s="19" t="s">
        <v>37</v>
      </c>
      <c r="E202" s="19" t="s">
        <v>25</v>
      </c>
      <c r="F202" s="39" t="s">
        <v>40</v>
      </c>
      <c r="G202" s="41"/>
      <c r="H202" s="32">
        <v>5760</v>
      </c>
      <c r="I202" s="32"/>
      <c r="J202" s="32"/>
      <c r="K202" s="20">
        <v>16000</v>
      </c>
      <c r="L202" s="20">
        <v>2</v>
      </c>
      <c r="M202" s="20">
        <v>328000</v>
      </c>
      <c r="N202" s="84">
        <v>41</v>
      </c>
      <c r="O202" s="32">
        <f>Apr!BG276</f>
        <v>37136</v>
      </c>
      <c r="P202" s="32">
        <f>Apr!BH276</f>
        <v>34054</v>
      </c>
      <c r="Q202" s="32">
        <f>Apr!BF276</f>
        <v>93</v>
      </c>
      <c r="R202" s="435">
        <f>Apr!BG303</f>
        <v>77086</v>
      </c>
      <c r="S202" s="435">
        <f>Apr!BH303</f>
        <v>71995</v>
      </c>
      <c r="T202" s="20"/>
      <c r="U202" s="20"/>
      <c r="V202" s="20">
        <f>O202-T202-U202+V179</f>
        <v>75604</v>
      </c>
      <c r="W202" s="77"/>
      <c r="X202" s="36"/>
    </row>
    <row r="203" spans="1:25" ht="15" customHeight="1">
      <c r="A203" s="427"/>
      <c r="B203" s="431"/>
      <c r="C203" s="434"/>
      <c r="D203" s="113" t="s">
        <v>128</v>
      </c>
      <c r="E203" s="113" t="s">
        <v>24</v>
      </c>
      <c r="F203" s="114" t="s">
        <v>40</v>
      </c>
      <c r="G203" s="170"/>
      <c r="H203" s="135"/>
      <c r="I203" s="125"/>
      <c r="J203" s="125"/>
      <c r="K203" s="18">
        <v>16000</v>
      </c>
      <c r="L203" s="127">
        <v>2</v>
      </c>
      <c r="M203" s="216">
        <v>183100</v>
      </c>
      <c r="N203" s="238">
        <v>23</v>
      </c>
      <c r="O203" s="126">
        <f>Apr!BG277</f>
        <v>28848</v>
      </c>
      <c r="P203" s="125">
        <f>Apr!BH277</f>
        <v>20455</v>
      </c>
      <c r="Q203" s="125">
        <f>Apr!BF277</f>
        <v>56</v>
      </c>
      <c r="R203" s="436"/>
      <c r="S203" s="436"/>
      <c r="T203" s="127"/>
      <c r="U203" s="127"/>
      <c r="V203" s="127">
        <f>O203-T203-U203+V180</f>
        <v>52809</v>
      </c>
      <c r="W203" s="46"/>
      <c r="X203" s="67"/>
    </row>
    <row r="204" spans="1:25" ht="15" customHeight="1">
      <c r="A204" s="427"/>
      <c r="B204" s="442" t="s">
        <v>45</v>
      </c>
      <c r="C204" s="471" t="s">
        <v>59</v>
      </c>
      <c r="D204" s="118" t="s">
        <v>75</v>
      </c>
      <c r="E204" s="438" t="s">
        <v>25</v>
      </c>
      <c r="F204" s="131" t="s">
        <v>57</v>
      </c>
      <c r="G204" s="87"/>
      <c r="H204" s="136"/>
      <c r="I204" s="126"/>
      <c r="J204" s="2"/>
      <c r="K204" s="127"/>
      <c r="L204" s="18"/>
      <c r="M204" s="18">
        <v>10000</v>
      </c>
      <c r="N204" s="80">
        <v>2</v>
      </c>
      <c r="O204" s="126">
        <f>Apr!BG282</f>
        <v>1315</v>
      </c>
      <c r="P204" s="126">
        <f>Apr!BH282</f>
        <v>3094</v>
      </c>
      <c r="Q204" s="2">
        <f>Apr!BF282</f>
        <v>13</v>
      </c>
      <c r="R204" s="436"/>
      <c r="S204" s="436"/>
      <c r="T204" s="18"/>
      <c r="U204" s="18"/>
      <c r="V204" s="127">
        <f>O204-T204-U204+V181</f>
        <v>84178</v>
      </c>
      <c r="W204" s="46"/>
      <c r="Y204" s="13"/>
    </row>
    <row r="205" spans="1:25" ht="15" customHeight="1">
      <c r="A205" s="427"/>
      <c r="B205" s="439"/>
      <c r="C205" s="471"/>
      <c r="D205" s="118" t="s">
        <v>291</v>
      </c>
      <c r="E205" s="430"/>
      <c r="F205" s="131" t="s">
        <v>57</v>
      </c>
      <c r="G205" s="87"/>
      <c r="H205" s="136"/>
      <c r="I205" s="126"/>
      <c r="J205" s="2"/>
      <c r="K205" s="127">
        <v>9800</v>
      </c>
      <c r="L205" s="18">
        <v>2</v>
      </c>
      <c r="M205" s="18">
        <v>39200</v>
      </c>
      <c r="N205" s="80">
        <v>8</v>
      </c>
      <c r="O205" s="126"/>
      <c r="P205" s="126">
        <f>Apr!BH283</f>
        <v>371</v>
      </c>
      <c r="Q205" s="2">
        <f>Apr!BF283</f>
        <v>2</v>
      </c>
      <c r="R205" s="436"/>
      <c r="S205" s="436"/>
      <c r="T205" s="18"/>
      <c r="U205" s="18"/>
      <c r="V205" s="127">
        <f>O205-T205-U205+V182</f>
        <v>0</v>
      </c>
      <c r="W205" s="46"/>
      <c r="Y205" s="13"/>
    </row>
    <row r="206" spans="1:25">
      <c r="A206" s="427"/>
      <c r="B206" s="439"/>
      <c r="C206" s="471"/>
      <c r="D206" s="118" t="s">
        <v>72</v>
      </c>
      <c r="E206" s="155" t="s">
        <v>24</v>
      </c>
      <c r="F206" s="131" t="s">
        <v>57</v>
      </c>
      <c r="G206" s="267">
        <v>1553</v>
      </c>
      <c r="H206" s="136"/>
      <c r="I206" s="126"/>
      <c r="J206" s="126"/>
      <c r="K206" s="127">
        <v>5000</v>
      </c>
      <c r="L206" s="18">
        <v>1</v>
      </c>
      <c r="M206" s="18">
        <v>50000</v>
      </c>
      <c r="N206" s="80">
        <v>10</v>
      </c>
      <c r="O206" s="126">
        <f>Apr!BG284</f>
        <v>3297</v>
      </c>
      <c r="P206" s="126">
        <f>Apr!BH284</f>
        <v>5705</v>
      </c>
      <c r="Q206" s="126">
        <f>Apr!BF284</f>
        <v>26</v>
      </c>
      <c r="R206" s="436"/>
      <c r="S206" s="436"/>
      <c r="T206" s="18"/>
      <c r="U206" s="18"/>
      <c r="V206" s="127">
        <f>O206-T206-U206+V183</f>
        <v>9595</v>
      </c>
      <c r="W206" s="46"/>
      <c r="Y206" s="13"/>
    </row>
    <row r="207" spans="1:25" ht="14.25" customHeight="1">
      <c r="A207" s="427"/>
      <c r="B207" s="439"/>
      <c r="C207" s="471"/>
      <c r="D207" s="115" t="s">
        <v>79</v>
      </c>
      <c r="E207" s="118" t="s">
        <v>65</v>
      </c>
      <c r="F207" s="131" t="s">
        <v>57</v>
      </c>
      <c r="G207" s="224"/>
      <c r="H207" s="37"/>
      <c r="I207" s="126"/>
      <c r="J207" s="126"/>
      <c r="K207" s="18"/>
      <c r="L207" s="18"/>
      <c r="M207" s="18"/>
      <c r="N207" s="80"/>
      <c r="O207" s="126"/>
      <c r="P207" s="126"/>
      <c r="Q207" s="126">
        <f>Apr!BF285</f>
        <v>1</v>
      </c>
      <c r="R207" s="436"/>
      <c r="S207" s="436"/>
      <c r="T207" s="18"/>
      <c r="U207" s="18"/>
      <c r="V207" s="127"/>
      <c r="W207" s="45"/>
      <c r="X207" s="36"/>
    </row>
    <row r="208" spans="1:25" ht="14.25" customHeight="1">
      <c r="A208" s="427"/>
      <c r="B208" s="443"/>
      <c r="C208" s="271" t="s">
        <v>299</v>
      </c>
      <c r="D208" s="115" t="s">
        <v>296</v>
      </c>
      <c r="E208" s="115" t="s">
        <v>25</v>
      </c>
      <c r="F208" s="131" t="s">
        <v>298</v>
      </c>
      <c r="G208" s="224"/>
      <c r="H208" s="37"/>
      <c r="I208" s="126"/>
      <c r="J208" s="126"/>
      <c r="K208" s="18"/>
      <c r="L208" s="18"/>
      <c r="M208" s="18"/>
      <c r="N208" s="80"/>
      <c r="O208" s="126">
        <f>Apr!BG286</f>
        <v>500</v>
      </c>
      <c r="P208" s="126">
        <f>Apr!BH286</f>
        <v>79</v>
      </c>
      <c r="Q208" s="126">
        <f>Apr!BF286</f>
        <v>1</v>
      </c>
      <c r="R208" s="436"/>
      <c r="S208" s="436"/>
      <c r="T208" s="18"/>
      <c r="U208" s="18"/>
      <c r="V208" s="127">
        <f>O208-T208-U208+V186</f>
        <v>500</v>
      </c>
      <c r="W208" s="45"/>
      <c r="X208" s="67"/>
    </row>
    <row r="209" spans="1:24" ht="14.25" customHeight="1">
      <c r="A209" s="427"/>
      <c r="B209" s="137" t="s">
        <v>53</v>
      </c>
      <c r="C209" s="157" t="s">
        <v>60</v>
      </c>
      <c r="D209" s="43" t="s">
        <v>130</v>
      </c>
      <c r="E209" s="115" t="s">
        <v>66</v>
      </c>
      <c r="F209" s="118" t="s">
        <v>54</v>
      </c>
      <c r="G209" s="224"/>
      <c r="H209" s="37"/>
      <c r="I209" s="126"/>
      <c r="J209" s="126"/>
      <c r="K209" s="18">
        <v>6000</v>
      </c>
      <c r="L209" s="18">
        <v>1</v>
      </c>
      <c r="M209" s="18">
        <v>90000</v>
      </c>
      <c r="N209" s="80">
        <v>15</v>
      </c>
      <c r="O209" s="126">
        <f>Apr!BG279</f>
        <v>5990</v>
      </c>
      <c r="P209" s="126">
        <f>Apr!BH279</f>
        <v>7971</v>
      </c>
      <c r="Q209" s="126">
        <f>Apr!BF279</f>
        <v>24</v>
      </c>
      <c r="R209" s="436"/>
      <c r="S209" s="436"/>
      <c r="T209" s="18"/>
      <c r="U209" s="18"/>
      <c r="V209" s="127">
        <f t="shared" ref="V209:V217" si="8">O209-T209-U209+V187</f>
        <v>13885</v>
      </c>
      <c r="W209" s="45"/>
      <c r="X209" s="67"/>
    </row>
    <row r="210" spans="1:24" ht="15.75" customHeight="1">
      <c r="A210" s="427"/>
      <c r="B210" s="122" t="s">
        <v>55</v>
      </c>
      <c r="C210" s="180" t="s">
        <v>133</v>
      </c>
      <c r="D210" s="48" t="s">
        <v>56</v>
      </c>
      <c r="E210" s="424" t="s">
        <v>25</v>
      </c>
      <c r="F210" s="118" t="s">
        <v>67</v>
      </c>
      <c r="G210" s="226"/>
      <c r="H210" s="126"/>
      <c r="I210" s="126"/>
      <c r="J210" s="2"/>
      <c r="K210" s="18"/>
      <c r="L210" s="18"/>
      <c r="M210" s="18">
        <v>2800</v>
      </c>
      <c r="N210" s="18">
        <v>1</v>
      </c>
      <c r="O210" s="126"/>
      <c r="P210" s="126"/>
      <c r="Q210" s="126"/>
      <c r="R210" s="436"/>
      <c r="S210" s="436"/>
      <c r="T210" s="18"/>
      <c r="U210" s="18"/>
      <c r="V210" s="127">
        <f t="shared" si="8"/>
        <v>500</v>
      </c>
      <c r="W210" s="45"/>
      <c r="X210" s="67"/>
    </row>
    <row r="211" spans="1:24" ht="15" customHeight="1">
      <c r="A211" s="427"/>
      <c r="B211" s="122" t="s">
        <v>122</v>
      </c>
      <c r="C211" s="180" t="s">
        <v>123</v>
      </c>
      <c r="D211" s="48" t="s">
        <v>56</v>
      </c>
      <c r="E211" s="441"/>
      <c r="F211" s="155" t="s">
        <v>64</v>
      </c>
      <c r="G211" s="119"/>
      <c r="H211" s="126"/>
      <c r="I211" s="126"/>
      <c r="J211" s="2"/>
      <c r="K211" s="18"/>
      <c r="L211" s="18"/>
      <c r="M211" s="18">
        <v>6400</v>
      </c>
      <c r="N211" s="18">
        <v>2</v>
      </c>
      <c r="O211" s="126"/>
      <c r="P211" s="126"/>
      <c r="Q211" s="126">
        <f>Apr!BF287</f>
        <v>1</v>
      </c>
      <c r="R211" s="436"/>
      <c r="S211" s="436"/>
      <c r="T211" s="18"/>
      <c r="U211" s="18"/>
      <c r="V211" s="127">
        <f t="shared" si="8"/>
        <v>31304</v>
      </c>
      <c r="W211" s="45"/>
      <c r="X211" s="67"/>
    </row>
    <row r="212" spans="1:24" ht="14.25" customHeight="1">
      <c r="A212" s="427"/>
      <c r="B212" s="137" t="s">
        <v>58</v>
      </c>
      <c r="C212" s="157" t="s">
        <v>243</v>
      </c>
      <c r="D212" s="48" t="s">
        <v>56</v>
      </c>
      <c r="E212" s="441"/>
      <c r="F212" s="118" t="s">
        <v>64</v>
      </c>
      <c r="G212" s="225"/>
      <c r="H212" s="126"/>
      <c r="I212" s="126"/>
      <c r="J212" s="126"/>
      <c r="K212" s="18"/>
      <c r="L212" s="18"/>
      <c r="M212" s="18"/>
      <c r="N212" s="80"/>
      <c r="O212" s="126"/>
      <c r="P212" s="126"/>
      <c r="Q212" s="126">
        <f>Apr!BF288</f>
        <v>1</v>
      </c>
      <c r="R212" s="436"/>
      <c r="S212" s="436"/>
      <c r="T212" s="18"/>
      <c r="U212" s="18"/>
      <c r="V212" s="127">
        <f t="shared" si="8"/>
        <v>8562</v>
      </c>
      <c r="W212" s="45"/>
      <c r="X212" s="67"/>
    </row>
    <row r="213" spans="1:24" ht="14.25" customHeight="1">
      <c r="A213" s="427"/>
      <c r="B213" s="122" t="s">
        <v>61</v>
      </c>
      <c r="C213" s="180" t="s">
        <v>137</v>
      </c>
      <c r="D213" s="48" t="s">
        <v>56</v>
      </c>
      <c r="E213" s="441"/>
      <c r="F213" s="118" t="s">
        <v>67</v>
      </c>
      <c r="G213" s="225"/>
      <c r="H213" s="126"/>
      <c r="I213" s="126"/>
      <c r="J213" s="126"/>
      <c r="K213" s="18"/>
      <c r="L213" s="18"/>
      <c r="M213" s="18"/>
      <c r="N213" s="80"/>
      <c r="O213" s="126"/>
      <c r="P213" s="126"/>
      <c r="Q213" s="126">
        <f>Apr!BF289</f>
        <v>1</v>
      </c>
      <c r="R213" s="436"/>
      <c r="S213" s="436"/>
      <c r="T213" s="18"/>
      <c r="U213" s="18"/>
      <c r="V213" s="127">
        <f t="shared" si="8"/>
        <v>5844</v>
      </c>
      <c r="W213" s="45"/>
      <c r="X213" s="67"/>
    </row>
    <row r="214" spans="1:24" ht="14.25" customHeight="1">
      <c r="A214" s="427"/>
      <c r="B214" s="122" t="s">
        <v>125</v>
      </c>
      <c r="C214" s="180" t="s">
        <v>88</v>
      </c>
      <c r="D214" s="48" t="s">
        <v>124</v>
      </c>
      <c r="E214" s="441"/>
      <c r="F214" s="118" t="s">
        <v>64</v>
      </c>
      <c r="G214" s="225"/>
      <c r="H214" s="126"/>
      <c r="I214" s="126"/>
      <c r="J214" s="126"/>
      <c r="K214" s="18"/>
      <c r="L214" s="18"/>
      <c r="M214" s="18">
        <v>51200</v>
      </c>
      <c r="N214" s="80">
        <v>7</v>
      </c>
      <c r="O214" s="126"/>
      <c r="P214" s="126"/>
      <c r="Q214" s="126"/>
      <c r="R214" s="436"/>
      <c r="S214" s="436"/>
      <c r="T214" s="18"/>
      <c r="U214" s="18"/>
      <c r="V214" s="127">
        <f t="shared" si="8"/>
        <v>23615</v>
      </c>
      <c r="W214" s="45"/>
      <c r="X214" s="67"/>
    </row>
    <row r="215" spans="1:24" ht="14.25" customHeight="1">
      <c r="A215" s="427"/>
      <c r="B215" s="137" t="s">
        <v>47</v>
      </c>
      <c r="C215" s="157" t="s">
        <v>100</v>
      </c>
      <c r="D215" s="48" t="s">
        <v>99</v>
      </c>
      <c r="E215" s="441"/>
      <c r="F215" s="118" t="s">
        <v>71</v>
      </c>
      <c r="G215" s="225"/>
      <c r="H215" s="126"/>
      <c r="I215" s="126"/>
      <c r="J215" s="126"/>
      <c r="K215" s="18"/>
      <c r="L215" s="18"/>
      <c r="M215" s="18">
        <v>18000</v>
      </c>
      <c r="N215" s="80">
        <v>3</v>
      </c>
      <c r="O215" s="126"/>
      <c r="P215" s="126"/>
      <c r="Q215" s="126"/>
      <c r="R215" s="436"/>
      <c r="S215" s="436"/>
      <c r="T215" s="18"/>
      <c r="U215" s="18"/>
      <c r="V215" s="127">
        <f t="shared" si="8"/>
        <v>37851</v>
      </c>
      <c r="W215" s="45"/>
      <c r="X215" s="67"/>
    </row>
    <row r="216" spans="1:24" ht="15" customHeight="1">
      <c r="A216" s="427"/>
      <c r="B216" s="122" t="s">
        <v>196</v>
      </c>
      <c r="C216" s="180" t="s">
        <v>63</v>
      </c>
      <c r="D216" s="48" t="s">
        <v>135</v>
      </c>
      <c r="E216" s="441"/>
      <c r="F216" s="118" t="s">
        <v>64</v>
      </c>
      <c r="G216" s="226"/>
      <c r="H216" s="126"/>
      <c r="I216" s="126"/>
      <c r="J216" s="2"/>
      <c r="K216" s="18"/>
      <c r="L216" s="18"/>
      <c r="M216" s="18">
        <v>33200</v>
      </c>
      <c r="N216" s="18">
        <v>4</v>
      </c>
      <c r="O216" s="126"/>
      <c r="P216" s="126"/>
      <c r="Q216" s="126"/>
      <c r="R216" s="436"/>
      <c r="S216" s="436"/>
      <c r="T216" s="18"/>
      <c r="U216" s="18"/>
      <c r="V216" s="127">
        <f t="shared" si="8"/>
        <v>15106</v>
      </c>
      <c r="W216" s="45"/>
      <c r="X216" s="67"/>
    </row>
    <row r="217" spans="1:24" ht="15" customHeight="1">
      <c r="A217" s="427"/>
      <c r="B217" s="122" t="s">
        <v>253</v>
      </c>
      <c r="C217" s="180" t="s">
        <v>252</v>
      </c>
      <c r="D217" s="48" t="s">
        <v>246</v>
      </c>
      <c r="E217" s="441"/>
      <c r="F217" s="118" t="s">
        <v>247</v>
      </c>
      <c r="G217" s="226"/>
      <c r="H217" s="126"/>
      <c r="I217" s="126"/>
      <c r="J217" s="2"/>
      <c r="K217" s="18"/>
      <c r="L217" s="18"/>
      <c r="M217" s="18"/>
      <c r="N217" s="18"/>
      <c r="O217" s="126"/>
      <c r="P217" s="126"/>
      <c r="Q217" s="126">
        <f>Apr!BF291</f>
        <v>1</v>
      </c>
      <c r="R217" s="436"/>
      <c r="S217" s="436"/>
      <c r="T217" s="18"/>
      <c r="U217" s="18"/>
      <c r="V217" s="127">
        <f t="shared" si="8"/>
        <v>503</v>
      </c>
      <c r="W217" s="45"/>
      <c r="X217" s="67"/>
    </row>
    <row r="218" spans="1:24" ht="15" customHeight="1">
      <c r="A218" s="427"/>
      <c r="B218" s="122" t="s">
        <v>289</v>
      </c>
      <c r="C218" s="180" t="s">
        <v>290</v>
      </c>
      <c r="D218" s="48" t="s">
        <v>291</v>
      </c>
      <c r="E218" s="441"/>
      <c r="F218" s="118" t="s">
        <v>292</v>
      </c>
      <c r="G218" s="119"/>
      <c r="H218" s="126"/>
      <c r="I218" s="126"/>
      <c r="J218" s="2"/>
      <c r="K218" s="18"/>
      <c r="L218" s="18"/>
      <c r="M218" s="18"/>
      <c r="N218" s="18"/>
      <c r="O218" s="126"/>
      <c r="P218" s="126"/>
      <c r="Q218" s="126">
        <f>Apr!BF291</f>
        <v>1</v>
      </c>
      <c r="R218" s="436"/>
      <c r="S218" s="436"/>
      <c r="T218" s="18"/>
      <c r="U218" s="18"/>
      <c r="V218" s="18"/>
      <c r="W218" s="45"/>
      <c r="X218" s="67"/>
    </row>
    <row r="219" spans="1:24" ht="15" customHeight="1">
      <c r="A219" s="427"/>
      <c r="B219" s="122" t="s">
        <v>131</v>
      </c>
      <c r="C219" s="180" t="s">
        <v>194</v>
      </c>
      <c r="D219" s="48" t="s">
        <v>132</v>
      </c>
      <c r="E219" s="441"/>
      <c r="F219" s="118" t="s">
        <v>64</v>
      </c>
      <c r="G219" s="119"/>
      <c r="H219" s="126"/>
      <c r="I219" s="126"/>
      <c r="J219" s="2"/>
      <c r="K219" s="18"/>
      <c r="L219" s="18"/>
      <c r="M219" s="18"/>
      <c r="N219" s="18"/>
      <c r="O219" s="126"/>
      <c r="P219" s="126">
        <f>Apr!BH296</f>
        <v>266</v>
      </c>
      <c r="Q219" s="126">
        <f>Apr!BF296</f>
        <v>1</v>
      </c>
      <c r="R219" s="436"/>
      <c r="S219" s="436"/>
      <c r="T219" s="18"/>
      <c r="U219" s="18"/>
      <c r="V219" s="18"/>
      <c r="W219" s="45"/>
      <c r="X219" s="67"/>
    </row>
    <row r="220" spans="1:24" ht="15" customHeight="1">
      <c r="A220" s="427"/>
      <c r="B220" s="122" t="s">
        <v>101</v>
      </c>
      <c r="C220" s="180" t="s">
        <v>193</v>
      </c>
      <c r="D220" s="48" t="s">
        <v>102</v>
      </c>
      <c r="E220" s="441"/>
      <c r="F220" s="118" t="s">
        <v>64</v>
      </c>
      <c r="G220" s="119"/>
      <c r="H220" s="126"/>
      <c r="I220" s="126"/>
      <c r="J220" s="2"/>
      <c r="K220" s="18"/>
      <c r="L220" s="18"/>
      <c r="M220" s="18"/>
      <c r="N220" s="18"/>
      <c r="O220" s="126"/>
      <c r="P220" s="126"/>
      <c r="Q220" s="126">
        <f>Apr!BF297</f>
        <v>1</v>
      </c>
      <c r="R220" s="436"/>
      <c r="S220" s="436"/>
      <c r="T220" s="18"/>
      <c r="U220" s="18"/>
      <c r="V220" s="18"/>
      <c r="W220" s="45"/>
      <c r="X220" s="67"/>
    </row>
    <row r="221" spans="1:24" ht="15" customHeight="1">
      <c r="A221" s="427"/>
      <c r="B221" s="122" t="s">
        <v>103</v>
      </c>
      <c r="C221" s="157" t="s">
        <v>197</v>
      </c>
      <c r="D221" s="48" t="s">
        <v>104</v>
      </c>
      <c r="E221" s="441"/>
      <c r="F221" s="118" t="s">
        <v>105</v>
      </c>
      <c r="G221" s="119"/>
      <c r="H221" s="126"/>
      <c r="I221" s="126"/>
      <c r="J221" s="2"/>
      <c r="K221" s="18"/>
      <c r="L221" s="18"/>
      <c r="M221" s="18"/>
      <c r="N221" s="18"/>
      <c r="O221" s="126"/>
      <c r="P221" s="126"/>
      <c r="Q221" s="126">
        <f>Apr!BF298</f>
        <v>1</v>
      </c>
      <c r="R221" s="436"/>
      <c r="S221" s="436"/>
      <c r="T221" s="18"/>
      <c r="U221" s="18"/>
      <c r="V221" s="18"/>
      <c r="W221" s="45"/>
      <c r="X221" s="67"/>
    </row>
    <row r="222" spans="1:24" ht="15" customHeight="1">
      <c r="A222" s="427"/>
      <c r="B222" s="137" t="s">
        <v>112</v>
      </c>
      <c r="C222" s="157" t="s">
        <v>197</v>
      </c>
      <c r="D222" s="48" t="s">
        <v>104</v>
      </c>
      <c r="E222" s="441"/>
      <c r="F222" s="118" t="s">
        <v>113</v>
      </c>
      <c r="G222" s="119"/>
      <c r="H222" s="126"/>
      <c r="I222" s="126"/>
      <c r="J222" s="2"/>
      <c r="K222" s="18"/>
      <c r="L222" s="18"/>
      <c r="M222" s="18"/>
      <c r="N222" s="18"/>
      <c r="O222" s="126"/>
      <c r="P222" s="126"/>
      <c r="Q222" s="126">
        <f>Apr!BF301</f>
        <v>1</v>
      </c>
      <c r="R222" s="436"/>
      <c r="S222" s="436"/>
      <c r="T222" s="18"/>
      <c r="U222" s="18"/>
      <c r="V222" s="18"/>
      <c r="W222" s="45"/>
      <c r="X222" s="67"/>
    </row>
    <row r="223" spans="1:24" ht="15" customHeight="1">
      <c r="A223" s="427"/>
      <c r="B223" s="137" t="s">
        <v>106</v>
      </c>
      <c r="C223" s="157" t="s">
        <v>141</v>
      </c>
      <c r="D223" s="48" t="s">
        <v>68</v>
      </c>
      <c r="E223" s="441"/>
      <c r="F223" s="118" t="s">
        <v>67</v>
      </c>
      <c r="G223" s="119"/>
      <c r="H223" s="126"/>
      <c r="I223" s="126"/>
      <c r="J223" s="2"/>
      <c r="K223" s="18"/>
      <c r="L223" s="18"/>
      <c r="M223" s="18"/>
      <c r="N223" s="18"/>
      <c r="O223" s="126"/>
      <c r="P223" s="126"/>
      <c r="Q223" s="126">
        <f>Apr!BF299</f>
        <v>1</v>
      </c>
      <c r="R223" s="436"/>
      <c r="S223" s="436"/>
      <c r="T223" s="18"/>
      <c r="U223" s="18"/>
      <c r="V223" s="18"/>
      <c r="W223" s="45"/>
      <c r="X223" s="67"/>
    </row>
    <row r="224" spans="1:24" ht="15" customHeight="1" thickBot="1">
      <c r="A224" s="428"/>
      <c r="B224" s="44" t="s">
        <v>107</v>
      </c>
      <c r="C224" s="181" t="s">
        <v>195</v>
      </c>
      <c r="D224" s="61" t="s">
        <v>108</v>
      </c>
      <c r="E224" s="447"/>
      <c r="F224" s="133" t="s">
        <v>48</v>
      </c>
      <c r="G224" s="132"/>
      <c r="H224" s="109"/>
      <c r="I224" s="134"/>
      <c r="J224" s="129"/>
      <c r="K224" s="130"/>
      <c r="L224" s="130"/>
      <c r="M224" s="130"/>
      <c r="N224" s="130"/>
      <c r="O224" s="134"/>
      <c r="P224" s="134"/>
      <c r="Q224" s="134">
        <f>Apr!BF300</f>
        <v>1</v>
      </c>
      <c r="R224" s="437"/>
      <c r="S224" s="437"/>
      <c r="T224" s="130"/>
      <c r="U224" s="130"/>
      <c r="V224" s="128"/>
      <c r="W224" s="85"/>
      <c r="X224" s="67"/>
    </row>
    <row r="225" spans="1:25" ht="15" customHeight="1">
      <c r="A225" s="426">
        <v>46125</v>
      </c>
      <c r="B225" s="429" t="s">
        <v>44</v>
      </c>
      <c r="C225" s="432" t="s">
        <v>240</v>
      </c>
      <c r="D225" s="19" t="s">
        <v>37</v>
      </c>
      <c r="E225" s="19" t="s">
        <v>25</v>
      </c>
      <c r="F225" s="39" t="s">
        <v>40</v>
      </c>
      <c r="G225" s="41"/>
      <c r="H225" s="32"/>
      <c r="I225" s="32"/>
      <c r="J225" s="32"/>
      <c r="K225" s="20">
        <v>32000</v>
      </c>
      <c r="L225" s="20">
        <v>4</v>
      </c>
      <c r="M225" s="20">
        <v>296000</v>
      </c>
      <c r="N225" s="84">
        <v>37</v>
      </c>
      <c r="O225" s="32">
        <f>Apr!BM276</f>
        <v>25340</v>
      </c>
      <c r="P225" s="32">
        <f>Apr!BN276</f>
        <v>35952</v>
      </c>
      <c r="Q225" s="32">
        <f>Apr!BL276</f>
        <v>93</v>
      </c>
      <c r="R225" s="435">
        <f>Apr!BM303</f>
        <v>60344</v>
      </c>
      <c r="S225" s="435">
        <f>Apr!BN303</f>
        <v>76337</v>
      </c>
      <c r="T225" s="20">
        <v>31678</v>
      </c>
      <c r="U225" s="20">
        <v>21</v>
      </c>
      <c r="V225" s="20">
        <f>O225-T225-U225+V202</f>
        <v>69245</v>
      </c>
      <c r="W225" s="77"/>
      <c r="X225" s="36"/>
    </row>
    <row r="226" spans="1:25" ht="15" customHeight="1">
      <c r="A226" s="427"/>
      <c r="B226" s="431"/>
      <c r="C226" s="434"/>
      <c r="D226" s="113" t="s">
        <v>128</v>
      </c>
      <c r="E226" s="113" t="s">
        <v>24</v>
      </c>
      <c r="F226" s="114" t="s">
        <v>40</v>
      </c>
      <c r="G226" s="170"/>
      <c r="H226" s="135">
        <v>3037.5</v>
      </c>
      <c r="I226" s="125"/>
      <c r="J226" s="125"/>
      <c r="K226" s="18">
        <v>32000</v>
      </c>
      <c r="L226" s="127">
        <v>4</v>
      </c>
      <c r="M226" s="216">
        <v>151100</v>
      </c>
      <c r="N226" s="238">
        <v>19</v>
      </c>
      <c r="O226" s="126">
        <f>Apr!BM277</f>
        <v>12003</v>
      </c>
      <c r="P226" s="125">
        <f>Apr!BN277</f>
        <v>21749</v>
      </c>
      <c r="Q226" s="125">
        <f>Apr!BL277</f>
        <v>56</v>
      </c>
      <c r="R226" s="436"/>
      <c r="S226" s="436"/>
      <c r="T226" s="127">
        <v>25354</v>
      </c>
      <c r="U226" s="127">
        <v>15</v>
      </c>
      <c r="V226" s="127">
        <f>O226-T226-U226+V203</f>
        <v>39443</v>
      </c>
      <c r="W226" s="46"/>
      <c r="X226" s="67"/>
    </row>
    <row r="227" spans="1:25" ht="15" customHeight="1">
      <c r="A227" s="427"/>
      <c r="B227" s="442" t="s">
        <v>45</v>
      </c>
      <c r="C227" s="471" t="s">
        <v>59</v>
      </c>
      <c r="D227" s="118" t="s">
        <v>75</v>
      </c>
      <c r="E227" s="438" t="s">
        <v>25</v>
      </c>
      <c r="F227" s="131" t="s">
        <v>57</v>
      </c>
      <c r="G227" s="87"/>
      <c r="H227" s="136"/>
      <c r="I227" s="126"/>
      <c r="J227" s="2"/>
      <c r="K227" s="127">
        <v>10000</v>
      </c>
      <c r="L227" s="18">
        <v>2</v>
      </c>
      <c r="M227" s="18"/>
      <c r="N227" s="80"/>
      <c r="O227" s="126">
        <f>Apr!BM282</f>
        <v>5670</v>
      </c>
      <c r="P227" s="126">
        <f>Apr!BN282</f>
        <v>3292</v>
      </c>
      <c r="Q227" s="2">
        <f>Apr!BL282</f>
        <v>13</v>
      </c>
      <c r="R227" s="436"/>
      <c r="S227" s="436"/>
      <c r="T227" s="18"/>
      <c r="U227" s="18"/>
      <c r="V227" s="127">
        <f>O227-T227-U227+V204</f>
        <v>89848</v>
      </c>
      <c r="W227" s="46"/>
      <c r="Y227" s="13"/>
    </row>
    <row r="228" spans="1:25" ht="15" customHeight="1">
      <c r="A228" s="427"/>
      <c r="B228" s="439"/>
      <c r="C228" s="471"/>
      <c r="D228" s="118" t="s">
        <v>291</v>
      </c>
      <c r="E228" s="430"/>
      <c r="F228" s="131" t="s">
        <v>57</v>
      </c>
      <c r="G228" s="87"/>
      <c r="H228" s="136"/>
      <c r="I228" s="126"/>
      <c r="J228" s="2"/>
      <c r="K228" s="127"/>
      <c r="L228" s="18"/>
      <c r="M228" s="18">
        <v>39200</v>
      </c>
      <c r="N228" s="80">
        <v>8</v>
      </c>
      <c r="O228" s="126"/>
      <c r="P228" s="126">
        <f>Apr!BN283</f>
        <v>495</v>
      </c>
      <c r="Q228" s="2">
        <f>Apr!BL283</f>
        <v>2</v>
      </c>
      <c r="R228" s="436"/>
      <c r="S228" s="436"/>
      <c r="T228" s="18"/>
      <c r="U228" s="18"/>
      <c r="V228" s="127">
        <f>O228-T228-U228+V205</f>
        <v>0</v>
      </c>
      <c r="W228" s="46"/>
      <c r="Y228" s="13"/>
    </row>
    <row r="229" spans="1:25">
      <c r="A229" s="427"/>
      <c r="B229" s="439"/>
      <c r="C229" s="471"/>
      <c r="D229" s="118" t="s">
        <v>94</v>
      </c>
      <c r="E229" s="431"/>
      <c r="F229" s="131"/>
      <c r="G229" s="136"/>
      <c r="H229" s="152">
        <v>1782</v>
      </c>
      <c r="I229" s="126"/>
      <c r="J229" s="126"/>
      <c r="K229" s="127"/>
      <c r="L229" s="18"/>
      <c r="M229" s="18"/>
      <c r="N229" s="80"/>
      <c r="O229" s="126"/>
      <c r="P229" s="126"/>
      <c r="Q229" s="2"/>
      <c r="R229" s="436"/>
      <c r="S229" s="436"/>
      <c r="T229" s="18"/>
      <c r="U229" s="18"/>
      <c r="V229" s="127"/>
      <c r="W229" s="46"/>
      <c r="Y229" s="13"/>
    </row>
    <row r="230" spans="1:25">
      <c r="A230" s="427"/>
      <c r="B230" s="439"/>
      <c r="C230" s="471"/>
      <c r="D230" s="118" t="s">
        <v>72</v>
      </c>
      <c r="E230" s="155" t="s">
        <v>24</v>
      </c>
      <c r="F230" s="131" t="s">
        <v>57</v>
      </c>
      <c r="G230" s="224"/>
      <c r="H230" s="136"/>
      <c r="I230" s="126"/>
      <c r="J230" s="126"/>
      <c r="K230" s="127">
        <v>20000</v>
      </c>
      <c r="L230" s="18">
        <v>4</v>
      </c>
      <c r="M230" s="18">
        <v>30000</v>
      </c>
      <c r="N230" s="80">
        <v>6</v>
      </c>
      <c r="O230" s="126">
        <f>Apr!BM284</f>
        <v>5331</v>
      </c>
      <c r="P230" s="126">
        <f>Apr!BN284</f>
        <v>6056</v>
      </c>
      <c r="Q230" s="126">
        <f>Apr!BL284</f>
        <v>26</v>
      </c>
      <c r="R230" s="436"/>
      <c r="S230" s="436"/>
      <c r="T230" s="18">
        <v>6214</v>
      </c>
      <c r="U230" s="18">
        <v>16</v>
      </c>
      <c r="V230" s="127">
        <f>O230-T230-U230+V206</f>
        <v>8696</v>
      </c>
      <c r="W230" s="46"/>
      <c r="Y230" s="13"/>
    </row>
    <row r="231" spans="1:25" ht="14.25" customHeight="1">
      <c r="A231" s="427"/>
      <c r="B231" s="439"/>
      <c r="C231" s="471"/>
      <c r="D231" s="115" t="s">
        <v>79</v>
      </c>
      <c r="E231" s="118" t="s">
        <v>65</v>
      </c>
      <c r="F231" s="131" t="s">
        <v>57</v>
      </c>
      <c r="G231" s="224"/>
      <c r="H231" s="37"/>
      <c r="I231" s="126"/>
      <c r="J231" s="126"/>
      <c r="K231" s="18"/>
      <c r="L231" s="18"/>
      <c r="M231" s="18"/>
      <c r="N231" s="80"/>
      <c r="O231" s="126"/>
      <c r="P231" s="126"/>
      <c r="Q231" s="126">
        <f>Apr!BL285</f>
        <v>1</v>
      </c>
      <c r="R231" s="436"/>
      <c r="S231" s="436"/>
      <c r="T231" s="18"/>
      <c r="U231" s="18"/>
      <c r="V231" s="127"/>
      <c r="W231" s="45"/>
      <c r="X231" s="36"/>
    </row>
    <row r="232" spans="1:25" ht="14.25" customHeight="1">
      <c r="A232" s="427"/>
      <c r="B232" s="443"/>
      <c r="C232" s="271" t="s">
        <v>299</v>
      </c>
      <c r="D232" s="115" t="s">
        <v>296</v>
      </c>
      <c r="E232" s="115" t="s">
        <v>25</v>
      </c>
      <c r="F232" s="131" t="s">
        <v>298</v>
      </c>
      <c r="G232" s="224"/>
      <c r="H232" s="37"/>
      <c r="I232" s="126"/>
      <c r="J232" s="126"/>
      <c r="K232" s="18"/>
      <c r="L232" s="18"/>
      <c r="M232" s="18"/>
      <c r="N232" s="80"/>
      <c r="O232" s="126"/>
      <c r="P232" s="126"/>
      <c r="Q232" s="126">
        <f>Apr!BL286</f>
        <v>1</v>
      </c>
      <c r="R232" s="436"/>
      <c r="S232" s="436"/>
      <c r="T232" s="18">
        <v>500</v>
      </c>
      <c r="U232" s="18"/>
      <c r="V232" s="127">
        <f>O232-T232-U232+V208</f>
        <v>0</v>
      </c>
      <c r="W232" s="45"/>
      <c r="X232" s="67"/>
    </row>
    <row r="233" spans="1:25" ht="14.25" customHeight="1">
      <c r="A233" s="427"/>
      <c r="B233" s="442" t="s">
        <v>53</v>
      </c>
      <c r="C233" s="444" t="s">
        <v>60</v>
      </c>
      <c r="D233" s="43" t="s">
        <v>130</v>
      </c>
      <c r="E233" s="115" t="s">
        <v>66</v>
      </c>
      <c r="F233" s="118" t="s">
        <v>54</v>
      </c>
      <c r="G233" s="224"/>
      <c r="H233" s="37"/>
      <c r="I233" s="126"/>
      <c r="J233" s="126"/>
      <c r="K233" s="18"/>
      <c r="L233" s="18"/>
      <c r="M233" s="18">
        <v>90000</v>
      </c>
      <c r="N233" s="80">
        <v>15</v>
      </c>
      <c r="O233" s="126">
        <f>Apr!BM279</f>
        <v>12000</v>
      </c>
      <c r="P233" s="126">
        <f>Apr!BN279</f>
        <v>8412</v>
      </c>
      <c r="Q233" s="126">
        <f>Apr!BL279</f>
        <v>24</v>
      </c>
      <c r="R233" s="436"/>
      <c r="S233" s="436"/>
      <c r="T233" s="18">
        <v>14269</v>
      </c>
      <c r="U233" s="18"/>
      <c r="V233" s="127">
        <f>O233-T233-U233+V209</f>
        <v>11616</v>
      </c>
      <c r="W233" s="45"/>
      <c r="X233" s="67"/>
    </row>
    <row r="234" spans="1:25" ht="14.25" customHeight="1">
      <c r="A234" s="427"/>
      <c r="B234" s="443"/>
      <c r="C234" s="446"/>
      <c r="D234" s="43" t="s">
        <v>199</v>
      </c>
      <c r="E234" s="114" t="s">
        <v>25</v>
      </c>
      <c r="F234" s="118"/>
      <c r="G234" s="224"/>
      <c r="H234" s="135"/>
      <c r="I234" s="158"/>
      <c r="J234" s="158"/>
      <c r="K234" s="128"/>
      <c r="L234" s="128"/>
      <c r="M234" s="128"/>
      <c r="N234" s="164"/>
      <c r="O234" s="158"/>
      <c r="P234" s="158"/>
      <c r="Q234" s="158"/>
      <c r="R234" s="436"/>
      <c r="S234" s="436"/>
      <c r="T234" s="18"/>
      <c r="U234" s="18"/>
      <c r="V234" s="127"/>
      <c r="W234" s="45"/>
      <c r="X234" s="67"/>
    </row>
    <row r="235" spans="1:25" ht="15.75" customHeight="1">
      <c r="A235" s="427"/>
      <c r="B235" s="122" t="s">
        <v>55</v>
      </c>
      <c r="C235" s="180" t="s">
        <v>133</v>
      </c>
      <c r="D235" s="48" t="s">
        <v>56</v>
      </c>
      <c r="E235" s="424" t="s">
        <v>25</v>
      </c>
      <c r="F235" s="118" t="s">
        <v>67</v>
      </c>
      <c r="G235" s="226"/>
      <c r="H235" s="126"/>
      <c r="I235" s="126"/>
      <c r="J235" s="2"/>
      <c r="K235" s="18"/>
      <c r="L235" s="18"/>
      <c r="M235" s="18">
        <v>2800</v>
      </c>
      <c r="N235" s="18">
        <v>1</v>
      </c>
      <c r="O235" s="126"/>
      <c r="P235" s="126"/>
      <c r="Q235" s="126"/>
      <c r="R235" s="436"/>
      <c r="S235" s="436"/>
      <c r="T235" s="18"/>
      <c r="U235" s="18"/>
      <c r="V235" s="127">
        <f t="shared" ref="V235:V242" si="9">O235-T235-U235+V210</f>
        <v>500</v>
      </c>
      <c r="W235" s="45"/>
      <c r="X235" s="67"/>
    </row>
    <row r="236" spans="1:25" ht="15" customHeight="1">
      <c r="A236" s="427"/>
      <c r="B236" s="122" t="s">
        <v>122</v>
      </c>
      <c r="C236" s="180" t="s">
        <v>123</v>
      </c>
      <c r="D236" s="48" t="s">
        <v>56</v>
      </c>
      <c r="E236" s="441"/>
      <c r="F236" s="155" t="s">
        <v>64</v>
      </c>
      <c r="G236" s="119"/>
      <c r="H236" s="126"/>
      <c r="I236" s="126"/>
      <c r="J236" s="2"/>
      <c r="K236" s="18"/>
      <c r="L236" s="18"/>
      <c r="M236" s="18">
        <v>6400</v>
      </c>
      <c r="N236" s="18">
        <v>2</v>
      </c>
      <c r="O236" s="126"/>
      <c r="P236" s="126"/>
      <c r="Q236" s="126">
        <f>Apr!BL287</f>
        <v>1</v>
      </c>
      <c r="R236" s="436"/>
      <c r="S236" s="436"/>
      <c r="T236" s="18"/>
      <c r="U236" s="18"/>
      <c r="V236" s="127">
        <f t="shared" si="9"/>
        <v>31304</v>
      </c>
      <c r="W236" s="45"/>
      <c r="X236" s="67"/>
    </row>
    <row r="237" spans="1:25" ht="14.25" customHeight="1">
      <c r="A237" s="427"/>
      <c r="B237" s="137" t="s">
        <v>58</v>
      </c>
      <c r="C237" s="157" t="s">
        <v>243</v>
      </c>
      <c r="D237" s="48" t="s">
        <v>56</v>
      </c>
      <c r="E237" s="441"/>
      <c r="F237" s="118" t="s">
        <v>64</v>
      </c>
      <c r="G237" s="225"/>
      <c r="H237" s="126"/>
      <c r="I237" s="126"/>
      <c r="J237" s="126"/>
      <c r="K237" s="18"/>
      <c r="L237" s="18"/>
      <c r="M237" s="18"/>
      <c r="N237" s="80"/>
      <c r="O237" s="126"/>
      <c r="P237" s="126"/>
      <c r="Q237" s="126">
        <f>Apr!BL288</f>
        <v>1</v>
      </c>
      <c r="R237" s="436"/>
      <c r="S237" s="436"/>
      <c r="T237" s="18"/>
      <c r="U237" s="18"/>
      <c r="V237" s="127">
        <f t="shared" si="9"/>
        <v>8562</v>
      </c>
      <c r="W237" s="45"/>
      <c r="X237" s="67"/>
    </row>
    <row r="238" spans="1:25" ht="14.25" customHeight="1">
      <c r="A238" s="427"/>
      <c r="B238" s="122" t="s">
        <v>61</v>
      </c>
      <c r="C238" s="180" t="s">
        <v>137</v>
      </c>
      <c r="D238" s="48" t="s">
        <v>56</v>
      </c>
      <c r="E238" s="441"/>
      <c r="F238" s="118" t="s">
        <v>67</v>
      </c>
      <c r="G238" s="225"/>
      <c r="H238" s="126"/>
      <c r="I238" s="126"/>
      <c r="J238" s="126"/>
      <c r="K238" s="18"/>
      <c r="L238" s="18"/>
      <c r="M238" s="18"/>
      <c r="N238" s="80"/>
      <c r="O238" s="126"/>
      <c r="P238" s="126"/>
      <c r="Q238" s="126">
        <f>Apr!BL289</f>
        <v>1</v>
      </c>
      <c r="R238" s="436"/>
      <c r="S238" s="436"/>
      <c r="T238" s="18"/>
      <c r="U238" s="18"/>
      <c r="V238" s="127">
        <f t="shared" si="9"/>
        <v>5844</v>
      </c>
      <c r="W238" s="45"/>
      <c r="X238" s="67"/>
    </row>
    <row r="239" spans="1:25" ht="14.25" customHeight="1">
      <c r="A239" s="427"/>
      <c r="B239" s="122" t="s">
        <v>125</v>
      </c>
      <c r="C239" s="180" t="s">
        <v>88</v>
      </c>
      <c r="D239" s="48" t="s">
        <v>124</v>
      </c>
      <c r="E239" s="441"/>
      <c r="F239" s="118" t="s">
        <v>64</v>
      </c>
      <c r="G239" s="225"/>
      <c r="H239" s="126"/>
      <c r="I239" s="126"/>
      <c r="J239" s="126"/>
      <c r="K239" s="18"/>
      <c r="L239" s="18"/>
      <c r="M239" s="18">
        <v>51200</v>
      </c>
      <c r="N239" s="80">
        <v>7</v>
      </c>
      <c r="O239" s="126"/>
      <c r="P239" s="126"/>
      <c r="Q239" s="126"/>
      <c r="R239" s="436"/>
      <c r="S239" s="436"/>
      <c r="T239" s="18"/>
      <c r="U239" s="18"/>
      <c r="V239" s="127">
        <f t="shared" si="9"/>
        <v>23615</v>
      </c>
      <c r="W239" s="45"/>
      <c r="X239" s="67"/>
    </row>
    <row r="240" spans="1:25" ht="14.25" customHeight="1">
      <c r="A240" s="427"/>
      <c r="B240" s="137" t="s">
        <v>47</v>
      </c>
      <c r="C240" s="157" t="s">
        <v>100</v>
      </c>
      <c r="D240" s="48" t="s">
        <v>99</v>
      </c>
      <c r="E240" s="441"/>
      <c r="F240" s="118" t="s">
        <v>71</v>
      </c>
      <c r="G240" s="225"/>
      <c r="H240" s="126"/>
      <c r="I240" s="126"/>
      <c r="J240" s="126"/>
      <c r="K240" s="18"/>
      <c r="L240" s="18"/>
      <c r="M240" s="18">
        <v>18000</v>
      </c>
      <c r="N240" s="80">
        <v>3</v>
      </c>
      <c r="O240" s="126"/>
      <c r="P240" s="126"/>
      <c r="Q240" s="126"/>
      <c r="R240" s="436"/>
      <c r="S240" s="436"/>
      <c r="T240" s="18">
        <v>5162</v>
      </c>
      <c r="U240" s="18"/>
      <c r="V240" s="127">
        <f t="shared" si="9"/>
        <v>32689</v>
      </c>
      <c r="W240" s="45"/>
      <c r="X240" s="67"/>
    </row>
    <row r="241" spans="1:25" ht="15" customHeight="1">
      <c r="A241" s="427"/>
      <c r="B241" s="122" t="s">
        <v>196</v>
      </c>
      <c r="C241" s="180" t="s">
        <v>63</v>
      </c>
      <c r="D241" s="48" t="s">
        <v>135</v>
      </c>
      <c r="E241" s="441"/>
      <c r="F241" s="118" t="s">
        <v>64</v>
      </c>
      <c r="G241" s="226"/>
      <c r="H241" s="126"/>
      <c r="I241" s="126"/>
      <c r="J241" s="2"/>
      <c r="K241" s="18"/>
      <c r="L241" s="18"/>
      <c r="M241" s="18">
        <v>33200</v>
      </c>
      <c r="N241" s="18">
        <v>4</v>
      </c>
      <c r="O241" s="126"/>
      <c r="P241" s="126"/>
      <c r="Q241" s="126"/>
      <c r="R241" s="436"/>
      <c r="S241" s="436"/>
      <c r="T241" s="18"/>
      <c r="U241" s="18"/>
      <c r="V241" s="127">
        <f t="shared" si="9"/>
        <v>15106</v>
      </c>
      <c r="W241" s="45"/>
      <c r="X241" s="67"/>
    </row>
    <row r="242" spans="1:25" ht="15" customHeight="1">
      <c r="A242" s="427"/>
      <c r="B242" s="122" t="s">
        <v>253</v>
      </c>
      <c r="C242" s="180" t="s">
        <v>252</v>
      </c>
      <c r="D242" s="48" t="s">
        <v>246</v>
      </c>
      <c r="E242" s="441"/>
      <c r="F242" s="118" t="s">
        <v>247</v>
      </c>
      <c r="G242" s="226"/>
      <c r="H242" s="126"/>
      <c r="I242" s="126"/>
      <c r="J242" s="2"/>
      <c r="K242" s="18"/>
      <c r="L242" s="18"/>
      <c r="M242" s="18"/>
      <c r="N242" s="18"/>
      <c r="O242" s="126"/>
      <c r="P242" s="126"/>
      <c r="Q242" s="126">
        <f>Apr!BL291</f>
        <v>1</v>
      </c>
      <c r="R242" s="436"/>
      <c r="S242" s="436"/>
      <c r="T242" s="18"/>
      <c r="U242" s="18"/>
      <c r="V242" s="127">
        <f t="shared" si="9"/>
        <v>503</v>
      </c>
      <c r="W242" s="45"/>
      <c r="X242" s="67"/>
    </row>
    <row r="243" spans="1:25" ht="15" customHeight="1">
      <c r="A243" s="427"/>
      <c r="B243" s="122" t="s">
        <v>289</v>
      </c>
      <c r="C243" s="180" t="s">
        <v>290</v>
      </c>
      <c r="D243" s="48" t="s">
        <v>291</v>
      </c>
      <c r="E243" s="441"/>
      <c r="F243" s="118" t="s">
        <v>292</v>
      </c>
      <c r="G243" s="119"/>
      <c r="H243" s="126"/>
      <c r="I243" s="126"/>
      <c r="J243" s="2"/>
      <c r="K243" s="18"/>
      <c r="L243" s="18"/>
      <c r="M243" s="18"/>
      <c r="N243" s="18"/>
      <c r="O243" s="126"/>
      <c r="P243" s="126"/>
      <c r="Q243" s="126">
        <f>Apr!BL292</f>
        <v>1</v>
      </c>
      <c r="R243" s="436"/>
      <c r="S243" s="436"/>
      <c r="T243" s="18"/>
      <c r="U243" s="18"/>
      <c r="V243" s="18"/>
      <c r="W243" s="45"/>
      <c r="X243" s="67"/>
    </row>
    <row r="244" spans="1:25" ht="15" customHeight="1">
      <c r="A244" s="427"/>
      <c r="B244" s="122" t="s">
        <v>131</v>
      </c>
      <c r="C244" s="180" t="s">
        <v>194</v>
      </c>
      <c r="D244" s="48" t="s">
        <v>132</v>
      </c>
      <c r="E244" s="441"/>
      <c r="F244" s="118" t="s">
        <v>64</v>
      </c>
      <c r="G244" s="119"/>
      <c r="H244" s="37">
        <v>103.4</v>
      </c>
      <c r="I244" s="126"/>
      <c r="J244" s="2"/>
      <c r="K244" s="18"/>
      <c r="L244" s="18"/>
      <c r="M244" s="18"/>
      <c r="N244" s="18"/>
      <c r="O244" s="126"/>
      <c r="P244" s="126">
        <f>Apr!BN296</f>
        <v>381</v>
      </c>
      <c r="Q244" s="126">
        <f>Apr!BL296</f>
        <v>1</v>
      </c>
      <c r="R244" s="436"/>
      <c r="S244" s="436"/>
      <c r="T244" s="18"/>
      <c r="U244" s="18"/>
      <c r="V244" s="18"/>
      <c r="W244" s="45"/>
      <c r="X244" s="67"/>
    </row>
    <row r="245" spans="1:25" ht="15" customHeight="1">
      <c r="A245" s="427"/>
      <c r="B245" s="122" t="s">
        <v>101</v>
      </c>
      <c r="C245" s="180" t="s">
        <v>193</v>
      </c>
      <c r="D245" s="48" t="s">
        <v>102</v>
      </c>
      <c r="E245" s="441"/>
      <c r="F245" s="118" t="s">
        <v>64</v>
      </c>
      <c r="G245" s="119"/>
      <c r="H245" s="126"/>
      <c r="I245" s="126"/>
      <c r="J245" s="2"/>
      <c r="K245" s="18"/>
      <c r="L245" s="18"/>
      <c r="M245" s="18"/>
      <c r="N245" s="18"/>
      <c r="O245" s="126"/>
      <c r="P245" s="126"/>
      <c r="Q245" s="126">
        <f>Apr!BL297</f>
        <v>1</v>
      </c>
      <c r="R245" s="436"/>
      <c r="S245" s="436"/>
      <c r="T245" s="18"/>
      <c r="U245" s="18"/>
      <c r="V245" s="18"/>
      <c r="W245" s="45"/>
      <c r="X245" s="67"/>
    </row>
    <row r="246" spans="1:25" ht="15" customHeight="1">
      <c r="A246" s="427"/>
      <c r="B246" s="122" t="s">
        <v>103</v>
      </c>
      <c r="C246" s="157" t="s">
        <v>197</v>
      </c>
      <c r="D246" s="48" t="s">
        <v>104</v>
      </c>
      <c r="E246" s="441"/>
      <c r="F246" s="118" t="s">
        <v>105</v>
      </c>
      <c r="G246" s="119"/>
      <c r="H246" s="126"/>
      <c r="I246" s="126"/>
      <c r="J246" s="2"/>
      <c r="K246" s="18"/>
      <c r="L246" s="18"/>
      <c r="M246" s="18"/>
      <c r="N246" s="18"/>
      <c r="O246" s="126"/>
      <c r="P246" s="126"/>
      <c r="Q246" s="126">
        <f>Apr!BL298</f>
        <v>1</v>
      </c>
      <c r="R246" s="436"/>
      <c r="S246" s="436"/>
      <c r="T246" s="18"/>
      <c r="U246" s="18"/>
      <c r="V246" s="18"/>
      <c r="W246" s="45"/>
      <c r="X246" s="67"/>
    </row>
    <row r="247" spans="1:25" ht="15" customHeight="1">
      <c r="A247" s="427"/>
      <c r="B247" s="137" t="s">
        <v>112</v>
      </c>
      <c r="C247" s="157" t="s">
        <v>197</v>
      </c>
      <c r="D247" s="48" t="s">
        <v>104</v>
      </c>
      <c r="E247" s="441"/>
      <c r="F247" s="118" t="s">
        <v>113</v>
      </c>
      <c r="G247" s="119"/>
      <c r="H247" s="126"/>
      <c r="I247" s="126"/>
      <c r="J247" s="2"/>
      <c r="K247" s="18"/>
      <c r="L247" s="18"/>
      <c r="M247" s="18"/>
      <c r="N247" s="18"/>
      <c r="O247" s="126"/>
      <c r="P247" s="126"/>
      <c r="Q247" s="126">
        <f>Apr!BL301</f>
        <v>1</v>
      </c>
      <c r="R247" s="436"/>
      <c r="S247" s="436"/>
      <c r="T247" s="18"/>
      <c r="U247" s="18"/>
      <c r="V247" s="18"/>
      <c r="W247" s="45"/>
      <c r="X247" s="67"/>
    </row>
    <row r="248" spans="1:25" ht="15" customHeight="1">
      <c r="A248" s="427"/>
      <c r="B248" s="137" t="s">
        <v>106</v>
      </c>
      <c r="C248" s="157" t="s">
        <v>141</v>
      </c>
      <c r="D248" s="48" t="s">
        <v>68</v>
      </c>
      <c r="E248" s="441"/>
      <c r="F248" s="118" t="s">
        <v>67</v>
      </c>
      <c r="G248" s="119"/>
      <c r="H248" s="126"/>
      <c r="I248" s="126"/>
      <c r="J248" s="2"/>
      <c r="K248" s="18"/>
      <c r="L248" s="18"/>
      <c r="M248" s="18"/>
      <c r="N248" s="18"/>
      <c r="O248" s="126"/>
      <c r="P248" s="126"/>
      <c r="Q248" s="126">
        <f>Apr!BL299</f>
        <v>1</v>
      </c>
      <c r="R248" s="436"/>
      <c r="S248" s="436"/>
      <c r="T248" s="18"/>
      <c r="U248" s="18"/>
      <c r="V248" s="18"/>
      <c r="W248" s="45"/>
      <c r="X248" s="67"/>
    </row>
    <row r="249" spans="1:25" ht="15" customHeight="1" thickBot="1">
      <c r="A249" s="428"/>
      <c r="B249" s="44" t="s">
        <v>107</v>
      </c>
      <c r="C249" s="181" t="s">
        <v>195</v>
      </c>
      <c r="D249" s="61" t="s">
        <v>108</v>
      </c>
      <c r="E249" s="447"/>
      <c r="F249" s="133" t="s">
        <v>48</v>
      </c>
      <c r="G249" s="132"/>
      <c r="H249" s="109"/>
      <c r="I249" s="134"/>
      <c r="J249" s="129"/>
      <c r="K249" s="130"/>
      <c r="L249" s="130"/>
      <c r="M249" s="130"/>
      <c r="N249" s="130"/>
      <c r="O249" s="134"/>
      <c r="P249" s="134"/>
      <c r="Q249" s="134">
        <f>Apr!BL300</f>
        <v>1</v>
      </c>
      <c r="R249" s="437"/>
      <c r="S249" s="437"/>
      <c r="T249" s="130"/>
      <c r="U249" s="130"/>
      <c r="V249" s="128"/>
      <c r="W249" s="85"/>
      <c r="X249" s="67"/>
    </row>
    <row r="250" spans="1:25" ht="15" customHeight="1">
      <c r="A250" s="426">
        <v>46126</v>
      </c>
      <c r="B250" s="429" t="s">
        <v>44</v>
      </c>
      <c r="C250" s="432" t="s">
        <v>240</v>
      </c>
      <c r="D250" s="19" t="s">
        <v>37</v>
      </c>
      <c r="E250" s="19" t="s">
        <v>25</v>
      </c>
      <c r="F250" s="39" t="s">
        <v>40</v>
      </c>
      <c r="G250" s="41"/>
      <c r="H250" s="32"/>
      <c r="I250" s="32"/>
      <c r="J250" s="32"/>
      <c r="K250" s="20"/>
      <c r="L250" s="20"/>
      <c r="M250" s="20">
        <v>296000</v>
      </c>
      <c r="N250" s="84">
        <v>37</v>
      </c>
      <c r="O250" s="32">
        <f>Apr!BP276</f>
        <v>40038</v>
      </c>
      <c r="P250" s="32">
        <f>Apr!BQ276</f>
        <v>34343</v>
      </c>
      <c r="Q250" s="32">
        <f>Apr!BO276</f>
        <v>92</v>
      </c>
      <c r="R250" s="435">
        <f>Apr!BP303</f>
        <v>75403</v>
      </c>
      <c r="S250" s="435">
        <f>Apr!BQ303</f>
        <v>73485</v>
      </c>
      <c r="T250" s="20">
        <v>27341</v>
      </c>
      <c r="U250" s="20"/>
      <c r="V250" s="20">
        <f>O250-T250-U250+V225</f>
        <v>81942</v>
      </c>
      <c r="W250" s="77"/>
      <c r="X250" s="36"/>
    </row>
    <row r="251" spans="1:25" ht="15" customHeight="1">
      <c r="A251" s="427"/>
      <c r="B251" s="431"/>
      <c r="C251" s="434"/>
      <c r="D251" s="113" t="s">
        <v>128</v>
      </c>
      <c r="E251" s="113" t="s">
        <v>24</v>
      </c>
      <c r="F251" s="114" t="s">
        <v>40</v>
      </c>
      <c r="G251" s="170"/>
      <c r="H251" s="135"/>
      <c r="I251" s="125"/>
      <c r="J251" s="125"/>
      <c r="K251" s="18">
        <v>16000</v>
      </c>
      <c r="L251" s="127">
        <v>2</v>
      </c>
      <c r="M251" s="216">
        <v>135100</v>
      </c>
      <c r="N251" s="238">
        <v>17</v>
      </c>
      <c r="O251" s="126">
        <f>Apr!BP277</f>
        <v>18789</v>
      </c>
      <c r="P251" s="125">
        <f>Apr!BQ277</f>
        <v>21072</v>
      </c>
      <c r="Q251" s="125">
        <f>Apr!BO277</f>
        <v>56</v>
      </c>
      <c r="R251" s="436"/>
      <c r="S251" s="436"/>
      <c r="T251" s="127">
        <v>52352</v>
      </c>
      <c r="U251" s="127">
        <v>10</v>
      </c>
      <c r="V251" s="127">
        <f>O251-T251-U251+V226</f>
        <v>5870</v>
      </c>
      <c r="W251" s="46"/>
      <c r="X251" s="67"/>
    </row>
    <row r="252" spans="1:25" ht="15" customHeight="1">
      <c r="A252" s="427"/>
      <c r="B252" s="442" t="s">
        <v>45</v>
      </c>
      <c r="C252" s="471" t="s">
        <v>59</v>
      </c>
      <c r="D252" s="118" t="s">
        <v>75</v>
      </c>
      <c r="E252" s="438" t="s">
        <v>25</v>
      </c>
      <c r="F252" s="131" t="s">
        <v>57</v>
      </c>
      <c r="G252" s="87"/>
      <c r="H252" s="136"/>
      <c r="I252" s="126"/>
      <c r="J252" s="2"/>
      <c r="K252" s="127"/>
      <c r="L252" s="18"/>
      <c r="M252" s="18"/>
      <c r="N252" s="80"/>
      <c r="O252" s="126">
        <f>Apr!BP282</f>
        <v>2513</v>
      </c>
      <c r="P252" s="126">
        <f>Apr!BQ282</f>
        <v>3190</v>
      </c>
      <c r="Q252" s="2">
        <f>Apr!BO282</f>
        <v>13</v>
      </c>
      <c r="R252" s="436"/>
      <c r="S252" s="436"/>
      <c r="T252" s="18"/>
      <c r="U252" s="18"/>
      <c r="V252" s="127">
        <f>O252-T252-U252+V227</f>
        <v>92361</v>
      </c>
      <c r="W252" s="46"/>
      <c r="Y252" s="13"/>
    </row>
    <row r="253" spans="1:25" ht="15" customHeight="1">
      <c r="A253" s="427"/>
      <c r="B253" s="439"/>
      <c r="C253" s="471"/>
      <c r="D253" s="118" t="s">
        <v>291</v>
      </c>
      <c r="E253" s="430"/>
      <c r="F253" s="131" t="s">
        <v>57</v>
      </c>
      <c r="G253" s="87"/>
      <c r="H253" s="136"/>
      <c r="I253" s="126"/>
      <c r="J253" s="2"/>
      <c r="K253" s="127"/>
      <c r="L253" s="18"/>
      <c r="M253" s="18">
        <v>39200</v>
      </c>
      <c r="N253" s="80">
        <v>8</v>
      </c>
      <c r="O253" s="126"/>
      <c r="P253" s="126">
        <f>Apr!BQ283</f>
        <v>476</v>
      </c>
      <c r="Q253" s="2">
        <f>Apr!BO283</f>
        <v>2</v>
      </c>
      <c r="R253" s="436"/>
      <c r="S253" s="436"/>
      <c r="T253" s="18"/>
      <c r="U253" s="18"/>
      <c r="V253" s="127">
        <f>O253-T253-U253+V228</f>
        <v>0</v>
      </c>
      <c r="W253" s="46"/>
      <c r="Y253" s="13"/>
    </row>
    <row r="254" spans="1:25">
      <c r="A254" s="427"/>
      <c r="B254" s="439"/>
      <c r="C254" s="471"/>
      <c r="D254" s="118" t="s">
        <v>72</v>
      </c>
      <c r="E254" s="424" t="s">
        <v>24</v>
      </c>
      <c r="F254" s="131" t="s">
        <v>57</v>
      </c>
      <c r="G254" s="224">
        <v>3882.5</v>
      </c>
      <c r="H254" s="136"/>
      <c r="I254" s="126"/>
      <c r="J254" s="126"/>
      <c r="K254" s="127"/>
      <c r="L254" s="18"/>
      <c r="M254" s="211">
        <v>80000</v>
      </c>
      <c r="N254" s="215">
        <v>16</v>
      </c>
      <c r="O254" s="126">
        <f>Apr!BP284</f>
        <v>8063</v>
      </c>
      <c r="P254" s="126">
        <f>Apr!BQ284</f>
        <v>5739</v>
      </c>
      <c r="Q254" s="126">
        <f>Apr!BO284</f>
        <v>26</v>
      </c>
      <c r="R254" s="436"/>
      <c r="S254" s="436"/>
      <c r="T254" s="18">
        <v>6937</v>
      </c>
      <c r="U254" s="18">
        <v>3</v>
      </c>
      <c r="V254" s="127">
        <f>O254-T254-U254+V230</f>
        <v>9819</v>
      </c>
      <c r="W254" s="46"/>
      <c r="Y254" s="13"/>
    </row>
    <row r="255" spans="1:25">
      <c r="A255" s="427"/>
      <c r="B255" s="439"/>
      <c r="C255" s="471"/>
      <c r="D255" s="115" t="s">
        <v>73</v>
      </c>
      <c r="E255" s="425"/>
      <c r="F255" s="131"/>
      <c r="G255" s="224"/>
      <c r="H255" s="152">
        <v>1980</v>
      </c>
      <c r="I255" s="126"/>
      <c r="J255" s="126"/>
      <c r="K255" s="127"/>
      <c r="L255" s="18"/>
      <c r="M255" s="18"/>
      <c r="N255" s="80"/>
      <c r="O255" s="126"/>
      <c r="P255" s="126"/>
      <c r="Q255" s="126"/>
      <c r="R255" s="436"/>
      <c r="S255" s="436"/>
      <c r="T255" s="18"/>
      <c r="U255" s="18"/>
      <c r="V255" s="127"/>
      <c r="W255" s="46"/>
      <c r="Y255" s="13"/>
    </row>
    <row r="256" spans="1:25" ht="14.25" customHeight="1">
      <c r="A256" s="427"/>
      <c r="B256" s="439"/>
      <c r="C256" s="471"/>
      <c r="D256" s="115" t="s">
        <v>79</v>
      </c>
      <c r="E256" s="118" t="s">
        <v>65</v>
      </c>
      <c r="F256" s="131" t="s">
        <v>57</v>
      </c>
      <c r="G256" s="224"/>
      <c r="H256" s="37"/>
      <c r="I256" s="126"/>
      <c r="J256" s="126"/>
      <c r="K256" s="18"/>
      <c r="L256" s="18"/>
      <c r="M256" s="18"/>
      <c r="N256" s="80"/>
      <c r="O256" s="126"/>
      <c r="P256" s="126"/>
      <c r="Q256" s="126">
        <f>Apr!BO285</f>
        <v>1</v>
      </c>
      <c r="R256" s="436"/>
      <c r="S256" s="436"/>
      <c r="T256" s="18"/>
      <c r="U256" s="18"/>
      <c r="V256" s="127"/>
      <c r="W256" s="45"/>
      <c r="X256" s="36"/>
    </row>
    <row r="257" spans="1:24" ht="14.25" customHeight="1">
      <c r="A257" s="427"/>
      <c r="B257" s="443"/>
      <c r="C257" s="271" t="s">
        <v>299</v>
      </c>
      <c r="D257" s="115" t="s">
        <v>296</v>
      </c>
      <c r="E257" s="115" t="s">
        <v>25</v>
      </c>
      <c r="F257" s="131" t="s">
        <v>298</v>
      </c>
      <c r="G257" s="224"/>
      <c r="H257" s="37"/>
      <c r="I257" s="126"/>
      <c r="J257" s="126"/>
      <c r="K257" s="18"/>
      <c r="L257" s="18"/>
      <c r="M257" s="18"/>
      <c r="N257" s="80"/>
      <c r="O257" s="126"/>
      <c r="P257" s="126"/>
      <c r="Q257" s="126">
        <f>Apr!BO286</f>
        <v>1</v>
      </c>
      <c r="R257" s="436"/>
      <c r="S257" s="436"/>
      <c r="T257" s="18"/>
      <c r="U257" s="18"/>
      <c r="V257" s="127">
        <f>O257-T257-U257+V232</f>
        <v>0</v>
      </c>
      <c r="W257" s="45"/>
      <c r="X257" s="67"/>
    </row>
    <row r="258" spans="1:24" ht="14.25" customHeight="1">
      <c r="A258" s="427"/>
      <c r="B258" s="442" t="s">
        <v>53</v>
      </c>
      <c r="C258" s="444" t="s">
        <v>60</v>
      </c>
      <c r="D258" s="43" t="s">
        <v>130</v>
      </c>
      <c r="E258" s="115" t="s">
        <v>66</v>
      </c>
      <c r="F258" s="118" t="s">
        <v>54</v>
      </c>
      <c r="G258" s="224"/>
      <c r="H258" s="37"/>
      <c r="I258" s="126"/>
      <c r="J258" s="126"/>
      <c r="K258" s="18"/>
      <c r="L258" s="18"/>
      <c r="M258" s="18">
        <v>90000</v>
      </c>
      <c r="N258" s="80">
        <v>15</v>
      </c>
      <c r="O258" s="126">
        <f>Apr!BP279</f>
        <v>6000</v>
      </c>
      <c r="P258" s="126">
        <f>Apr!BQ279</f>
        <v>8075</v>
      </c>
      <c r="Q258" s="126">
        <f>Apr!BO279</f>
        <v>24</v>
      </c>
      <c r="R258" s="436"/>
      <c r="S258" s="436"/>
      <c r="T258" s="18">
        <v>7200</v>
      </c>
      <c r="U258" s="18"/>
      <c r="V258" s="127">
        <f>O258-T258-U258+V233</f>
        <v>10416</v>
      </c>
      <c r="W258" s="45"/>
      <c r="X258" s="67"/>
    </row>
    <row r="259" spans="1:24" ht="14.25" customHeight="1">
      <c r="A259" s="427"/>
      <c r="B259" s="439"/>
      <c r="C259" s="445"/>
      <c r="D259" s="43" t="s">
        <v>199</v>
      </c>
      <c r="E259" s="424" t="s">
        <v>25</v>
      </c>
      <c r="F259" s="118" t="s">
        <v>54</v>
      </c>
      <c r="G259" s="229">
        <v>71.08</v>
      </c>
      <c r="H259" s="37"/>
      <c r="I259" s="126"/>
      <c r="J259" s="126"/>
      <c r="K259" s="18">
        <v>1000</v>
      </c>
      <c r="L259" s="18">
        <v>1</v>
      </c>
      <c r="M259" s="18"/>
      <c r="N259" s="80"/>
      <c r="O259" s="126"/>
      <c r="P259" s="126">
        <f>Apr!BQ281</f>
        <v>223</v>
      </c>
      <c r="Q259" s="126">
        <f>Apr!BO281</f>
        <v>1</v>
      </c>
      <c r="R259" s="436"/>
      <c r="S259" s="436"/>
      <c r="T259" s="18"/>
      <c r="U259" s="18"/>
      <c r="V259" s="127">
        <f>O259-T259-U259</f>
        <v>0</v>
      </c>
      <c r="W259" s="45"/>
      <c r="X259" s="67"/>
    </row>
    <row r="260" spans="1:24" ht="14.25" customHeight="1">
      <c r="A260" s="427"/>
      <c r="B260" s="443"/>
      <c r="C260" s="446"/>
      <c r="D260" s="43" t="s">
        <v>199</v>
      </c>
      <c r="E260" s="425"/>
      <c r="F260" s="118"/>
      <c r="G260" s="224"/>
      <c r="H260" s="135">
        <v>1703.4</v>
      </c>
      <c r="I260" s="158"/>
      <c r="J260" s="158"/>
      <c r="K260" s="128"/>
      <c r="L260" s="128"/>
      <c r="M260" s="128"/>
      <c r="N260" s="164"/>
      <c r="O260" s="158"/>
      <c r="P260" s="158"/>
      <c r="Q260" s="158"/>
      <c r="R260" s="436"/>
      <c r="S260" s="436"/>
      <c r="T260" s="18"/>
      <c r="U260" s="18"/>
      <c r="V260" s="127"/>
      <c r="W260" s="45"/>
      <c r="X260" s="67"/>
    </row>
    <row r="261" spans="1:24" ht="15.75" customHeight="1">
      <c r="A261" s="427"/>
      <c r="B261" s="122" t="s">
        <v>55</v>
      </c>
      <c r="C261" s="180" t="s">
        <v>133</v>
      </c>
      <c r="D261" s="48" t="s">
        <v>56</v>
      </c>
      <c r="E261" s="424" t="s">
        <v>25</v>
      </c>
      <c r="F261" s="118" t="s">
        <v>67</v>
      </c>
      <c r="G261" s="226"/>
      <c r="H261" s="126"/>
      <c r="I261" s="126"/>
      <c r="J261" s="2"/>
      <c r="K261" s="18"/>
      <c r="L261" s="18"/>
      <c r="M261" s="18">
        <v>2800</v>
      </c>
      <c r="N261" s="18">
        <v>1</v>
      </c>
      <c r="O261" s="126"/>
      <c r="P261" s="126"/>
      <c r="Q261" s="126"/>
      <c r="R261" s="436"/>
      <c r="S261" s="436"/>
      <c r="T261" s="18"/>
      <c r="U261" s="18"/>
      <c r="V261" s="127">
        <f t="shared" ref="V261:V268" si="10">O261-T261-U261+V235</f>
        <v>500</v>
      </c>
      <c r="W261" s="45"/>
      <c r="X261" s="67"/>
    </row>
    <row r="262" spans="1:24" ht="15" customHeight="1">
      <c r="A262" s="427"/>
      <c r="B262" s="122" t="s">
        <v>122</v>
      </c>
      <c r="C262" s="180" t="s">
        <v>123</v>
      </c>
      <c r="D262" s="48" t="s">
        <v>56</v>
      </c>
      <c r="E262" s="441"/>
      <c r="F262" s="155" t="s">
        <v>64</v>
      </c>
      <c r="G262" s="119"/>
      <c r="H262" s="126"/>
      <c r="I262" s="126"/>
      <c r="J262" s="2"/>
      <c r="K262" s="18"/>
      <c r="L262" s="18"/>
      <c r="M262" s="18">
        <v>6400</v>
      </c>
      <c r="N262" s="18">
        <v>2</v>
      </c>
      <c r="O262" s="126"/>
      <c r="P262" s="126"/>
      <c r="Q262" s="126">
        <f>Apr!BO287</f>
        <v>1</v>
      </c>
      <c r="R262" s="436"/>
      <c r="S262" s="436"/>
      <c r="T262" s="18"/>
      <c r="U262" s="18"/>
      <c r="V262" s="127">
        <f t="shared" si="10"/>
        <v>31304</v>
      </c>
      <c r="W262" s="45"/>
      <c r="X262" s="67"/>
    </row>
    <row r="263" spans="1:24" ht="14.25" customHeight="1">
      <c r="A263" s="427"/>
      <c r="B263" s="137" t="s">
        <v>58</v>
      </c>
      <c r="C263" s="157" t="s">
        <v>243</v>
      </c>
      <c r="D263" s="48" t="s">
        <v>56</v>
      </c>
      <c r="E263" s="441"/>
      <c r="F263" s="118" t="s">
        <v>64</v>
      </c>
      <c r="G263" s="225"/>
      <c r="H263" s="126"/>
      <c r="I263" s="126"/>
      <c r="J263" s="126"/>
      <c r="K263" s="18"/>
      <c r="L263" s="18"/>
      <c r="M263" s="18"/>
      <c r="N263" s="80"/>
      <c r="O263" s="126"/>
      <c r="P263" s="126"/>
      <c r="Q263" s="126">
        <f>Apr!BO288</f>
        <v>1</v>
      </c>
      <c r="R263" s="436"/>
      <c r="S263" s="436"/>
      <c r="T263" s="18"/>
      <c r="U263" s="18"/>
      <c r="V263" s="127">
        <f t="shared" si="10"/>
        <v>8562</v>
      </c>
      <c r="W263" s="45"/>
      <c r="X263" s="67"/>
    </row>
    <row r="264" spans="1:24" ht="14.25" customHeight="1">
      <c r="A264" s="427"/>
      <c r="B264" s="122" t="s">
        <v>61</v>
      </c>
      <c r="C264" s="180" t="s">
        <v>137</v>
      </c>
      <c r="D264" s="48" t="s">
        <v>56</v>
      </c>
      <c r="E264" s="441"/>
      <c r="F264" s="118" t="s">
        <v>67</v>
      </c>
      <c r="G264" s="225"/>
      <c r="H264" s="126"/>
      <c r="I264" s="126"/>
      <c r="J264" s="126"/>
      <c r="K264" s="18"/>
      <c r="L264" s="18"/>
      <c r="M264" s="18"/>
      <c r="N264" s="80"/>
      <c r="O264" s="126"/>
      <c r="P264" s="126"/>
      <c r="Q264" s="126">
        <f>Apr!BO289</f>
        <v>1</v>
      </c>
      <c r="R264" s="436"/>
      <c r="S264" s="436"/>
      <c r="T264" s="18"/>
      <c r="U264" s="18"/>
      <c r="V264" s="127">
        <f t="shared" si="10"/>
        <v>5844</v>
      </c>
      <c r="W264" s="45"/>
      <c r="X264" s="67"/>
    </row>
    <row r="265" spans="1:24" ht="14.25" customHeight="1">
      <c r="A265" s="427"/>
      <c r="B265" s="122" t="s">
        <v>125</v>
      </c>
      <c r="C265" s="180" t="s">
        <v>88</v>
      </c>
      <c r="D265" s="48" t="s">
        <v>124</v>
      </c>
      <c r="E265" s="441"/>
      <c r="F265" s="118" t="s">
        <v>64</v>
      </c>
      <c r="G265" s="225"/>
      <c r="H265" s="126"/>
      <c r="I265" s="126"/>
      <c r="J265" s="126"/>
      <c r="K265" s="18"/>
      <c r="L265" s="18"/>
      <c r="M265" s="18">
        <v>51200</v>
      </c>
      <c r="N265" s="80">
        <v>7</v>
      </c>
      <c r="O265" s="126"/>
      <c r="P265" s="126"/>
      <c r="Q265" s="126"/>
      <c r="R265" s="436"/>
      <c r="S265" s="436"/>
      <c r="T265" s="18"/>
      <c r="U265" s="18"/>
      <c r="V265" s="127">
        <f t="shared" si="10"/>
        <v>23615</v>
      </c>
      <c r="W265" s="45"/>
      <c r="X265" s="67"/>
    </row>
    <row r="266" spans="1:24" ht="14.25" customHeight="1">
      <c r="A266" s="427"/>
      <c r="B266" s="137" t="s">
        <v>47</v>
      </c>
      <c r="C266" s="157" t="s">
        <v>100</v>
      </c>
      <c r="D266" s="48" t="s">
        <v>99</v>
      </c>
      <c r="E266" s="441"/>
      <c r="F266" s="118" t="s">
        <v>71</v>
      </c>
      <c r="G266" s="225"/>
      <c r="H266" s="126"/>
      <c r="I266" s="126"/>
      <c r="J266" s="126"/>
      <c r="K266" s="18"/>
      <c r="L266" s="18"/>
      <c r="M266" s="18">
        <v>18000</v>
      </c>
      <c r="N266" s="80">
        <v>3</v>
      </c>
      <c r="O266" s="126"/>
      <c r="P266" s="126"/>
      <c r="Q266" s="126"/>
      <c r="R266" s="436"/>
      <c r="S266" s="436"/>
      <c r="T266" s="18"/>
      <c r="U266" s="18"/>
      <c r="V266" s="127">
        <f t="shared" si="10"/>
        <v>32689</v>
      </c>
      <c r="W266" s="45"/>
      <c r="X266" s="67"/>
    </row>
    <row r="267" spans="1:24" ht="15" customHeight="1">
      <c r="A267" s="427"/>
      <c r="B267" s="122" t="s">
        <v>196</v>
      </c>
      <c r="C267" s="180" t="s">
        <v>63</v>
      </c>
      <c r="D267" s="48" t="s">
        <v>135</v>
      </c>
      <c r="E267" s="441"/>
      <c r="F267" s="118" t="s">
        <v>64</v>
      </c>
      <c r="G267" s="226"/>
      <c r="H267" s="126"/>
      <c r="I267" s="126"/>
      <c r="J267" s="2"/>
      <c r="K267" s="18"/>
      <c r="L267" s="18"/>
      <c r="M267" s="18">
        <v>33200</v>
      </c>
      <c r="N267" s="18">
        <v>4</v>
      </c>
      <c r="O267" s="126"/>
      <c r="P267" s="126"/>
      <c r="Q267" s="126"/>
      <c r="R267" s="436"/>
      <c r="S267" s="436"/>
      <c r="T267" s="18"/>
      <c r="U267" s="18"/>
      <c r="V267" s="127">
        <f t="shared" si="10"/>
        <v>15106</v>
      </c>
      <c r="W267" s="45"/>
      <c r="X267" s="67"/>
    </row>
    <row r="268" spans="1:24" ht="15" customHeight="1">
      <c r="A268" s="427"/>
      <c r="B268" s="122" t="s">
        <v>253</v>
      </c>
      <c r="C268" s="180" t="s">
        <v>252</v>
      </c>
      <c r="D268" s="48" t="s">
        <v>246</v>
      </c>
      <c r="E268" s="441"/>
      <c r="F268" s="118" t="s">
        <v>247</v>
      </c>
      <c r="G268" s="226"/>
      <c r="H268" s="126"/>
      <c r="I268" s="126"/>
      <c r="J268" s="2"/>
      <c r="K268" s="18"/>
      <c r="L268" s="18"/>
      <c r="M268" s="18"/>
      <c r="N268" s="18"/>
      <c r="O268" s="126"/>
      <c r="P268" s="126"/>
      <c r="Q268" s="126">
        <f>Apr!BO291</f>
        <v>1</v>
      </c>
      <c r="R268" s="436"/>
      <c r="S268" s="436"/>
      <c r="T268" s="18"/>
      <c r="U268" s="18"/>
      <c r="V268" s="127">
        <f t="shared" si="10"/>
        <v>503</v>
      </c>
      <c r="W268" s="45"/>
      <c r="X268" s="67"/>
    </row>
    <row r="269" spans="1:24" ht="15" customHeight="1">
      <c r="A269" s="427"/>
      <c r="B269" s="122" t="s">
        <v>289</v>
      </c>
      <c r="C269" s="180" t="s">
        <v>290</v>
      </c>
      <c r="D269" s="48" t="s">
        <v>291</v>
      </c>
      <c r="E269" s="441"/>
      <c r="F269" s="118" t="s">
        <v>292</v>
      </c>
      <c r="G269" s="119"/>
      <c r="H269" s="126"/>
      <c r="I269" s="126"/>
      <c r="J269" s="2"/>
      <c r="K269" s="18"/>
      <c r="L269" s="18"/>
      <c r="M269" s="18"/>
      <c r="N269" s="18"/>
      <c r="O269" s="126"/>
      <c r="P269" s="126"/>
      <c r="Q269" s="126">
        <f>Apr!BO292</f>
        <v>1</v>
      </c>
      <c r="R269" s="436"/>
      <c r="S269" s="436"/>
      <c r="T269" s="18"/>
      <c r="U269" s="18"/>
      <c r="V269" s="18"/>
      <c r="W269" s="45"/>
      <c r="X269" s="67"/>
    </row>
    <row r="270" spans="1:24" ht="15" customHeight="1">
      <c r="A270" s="427"/>
      <c r="B270" s="122" t="s">
        <v>131</v>
      </c>
      <c r="C270" s="180" t="s">
        <v>194</v>
      </c>
      <c r="D270" s="48" t="s">
        <v>132</v>
      </c>
      <c r="E270" s="441"/>
      <c r="F270" s="118" t="s">
        <v>64</v>
      </c>
      <c r="G270" s="119"/>
      <c r="H270" s="126">
        <v>21</v>
      </c>
      <c r="I270" s="126"/>
      <c r="J270" s="2"/>
      <c r="K270" s="18"/>
      <c r="L270" s="18"/>
      <c r="M270" s="18"/>
      <c r="N270" s="18"/>
      <c r="O270" s="126"/>
      <c r="P270" s="126">
        <f>Apr!BQ296</f>
        <v>367</v>
      </c>
      <c r="Q270" s="126">
        <f>Apr!BO296</f>
        <v>1</v>
      </c>
      <c r="R270" s="436"/>
      <c r="S270" s="436"/>
      <c r="T270" s="18"/>
      <c r="U270" s="18"/>
      <c r="V270" s="18"/>
      <c r="W270" s="45"/>
      <c r="X270" s="67"/>
    </row>
    <row r="271" spans="1:24" ht="15" customHeight="1">
      <c r="A271" s="427"/>
      <c r="B271" s="122" t="s">
        <v>304</v>
      </c>
      <c r="C271" s="180" t="s">
        <v>250</v>
      </c>
      <c r="D271" s="48" t="s">
        <v>251</v>
      </c>
      <c r="E271" s="441"/>
      <c r="F271" s="118" t="s">
        <v>64</v>
      </c>
      <c r="G271" s="229">
        <v>46.87</v>
      </c>
      <c r="H271" s="126"/>
      <c r="I271" s="126"/>
      <c r="J271" s="2"/>
      <c r="K271" s="18"/>
      <c r="L271" s="18"/>
      <c r="M271" s="18">
        <v>500</v>
      </c>
      <c r="N271" s="18">
        <v>1</v>
      </c>
      <c r="O271" s="126"/>
      <c r="P271" s="126"/>
      <c r="Q271" s="126"/>
      <c r="R271" s="436"/>
      <c r="S271" s="436"/>
      <c r="T271" s="18"/>
      <c r="U271" s="18"/>
      <c r="V271" s="18"/>
      <c r="W271" s="45"/>
      <c r="X271" s="67"/>
    </row>
    <row r="272" spans="1:24" ht="15" customHeight="1">
      <c r="A272" s="427"/>
      <c r="B272" s="122" t="s">
        <v>305</v>
      </c>
      <c r="C272" s="180" t="s">
        <v>306</v>
      </c>
      <c r="D272" s="48" t="s">
        <v>251</v>
      </c>
      <c r="E272" s="441"/>
      <c r="F272" s="118" t="s">
        <v>64</v>
      </c>
      <c r="G272" s="229">
        <v>50.13</v>
      </c>
      <c r="H272" s="126"/>
      <c r="I272" s="126"/>
      <c r="J272" s="2"/>
      <c r="K272" s="18"/>
      <c r="L272" s="18"/>
      <c r="M272" s="18">
        <v>500</v>
      </c>
      <c r="N272" s="18">
        <v>1</v>
      </c>
      <c r="O272" s="126"/>
      <c r="P272" s="126"/>
      <c r="Q272" s="126"/>
      <c r="R272" s="436"/>
      <c r="S272" s="436"/>
      <c r="T272" s="18"/>
      <c r="U272" s="18"/>
      <c r="V272" s="18"/>
      <c r="W272" s="45"/>
      <c r="X272" s="67"/>
    </row>
    <row r="273" spans="1:25" ht="15" customHeight="1">
      <c r="A273" s="427"/>
      <c r="B273" s="122" t="s">
        <v>101</v>
      </c>
      <c r="C273" s="180" t="s">
        <v>193</v>
      </c>
      <c r="D273" s="48" t="s">
        <v>102</v>
      </c>
      <c r="E273" s="441"/>
      <c r="F273" s="118" t="s">
        <v>64</v>
      </c>
      <c r="G273" s="119"/>
      <c r="H273" s="126"/>
      <c r="I273" s="126"/>
      <c r="J273" s="2"/>
      <c r="K273" s="18"/>
      <c r="L273" s="18"/>
      <c r="M273" s="18"/>
      <c r="N273" s="18"/>
      <c r="O273" s="126"/>
      <c r="P273" s="126"/>
      <c r="Q273" s="126">
        <f>Apr!BO297</f>
        <v>1</v>
      </c>
      <c r="R273" s="436"/>
      <c r="S273" s="436"/>
      <c r="T273" s="18"/>
      <c r="U273" s="18"/>
      <c r="V273" s="18"/>
      <c r="W273" s="45"/>
      <c r="X273" s="67"/>
    </row>
    <row r="274" spans="1:25" ht="15" customHeight="1">
      <c r="A274" s="427"/>
      <c r="B274" s="122" t="s">
        <v>103</v>
      </c>
      <c r="C274" s="157" t="s">
        <v>197</v>
      </c>
      <c r="D274" s="48" t="s">
        <v>104</v>
      </c>
      <c r="E274" s="441"/>
      <c r="F274" s="118" t="s">
        <v>105</v>
      </c>
      <c r="G274" s="119"/>
      <c r="H274" s="126"/>
      <c r="I274" s="126"/>
      <c r="J274" s="2"/>
      <c r="K274" s="18"/>
      <c r="L274" s="18"/>
      <c r="M274" s="18"/>
      <c r="N274" s="18"/>
      <c r="O274" s="126"/>
      <c r="P274" s="126"/>
      <c r="Q274" s="126">
        <f>Apr!BO298</f>
        <v>1</v>
      </c>
      <c r="R274" s="436"/>
      <c r="S274" s="436"/>
      <c r="T274" s="18"/>
      <c r="U274" s="18"/>
      <c r="V274" s="18"/>
      <c r="W274" s="45"/>
      <c r="X274" s="67"/>
    </row>
    <row r="275" spans="1:25" ht="15" customHeight="1">
      <c r="A275" s="427"/>
      <c r="B275" s="137" t="s">
        <v>112</v>
      </c>
      <c r="C275" s="157" t="s">
        <v>197</v>
      </c>
      <c r="D275" s="48" t="s">
        <v>104</v>
      </c>
      <c r="E275" s="441"/>
      <c r="F275" s="118" t="s">
        <v>113</v>
      </c>
      <c r="G275" s="119"/>
      <c r="H275" s="126"/>
      <c r="I275" s="126"/>
      <c r="J275" s="2"/>
      <c r="K275" s="18"/>
      <c r="L275" s="18"/>
      <c r="M275" s="18"/>
      <c r="N275" s="18"/>
      <c r="O275" s="126"/>
      <c r="P275" s="126"/>
      <c r="Q275" s="126">
        <f>Apr!BO301</f>
        <v>1</v>
      </c>
      <c r="R275" s="436"/>
      <c r="S275" s="436"/>
      <c r="T275" s="18"/>
      <c r="U275" s="18"/>
      <c r="V275" s="18"/>
      <c r="W275" s="45"/>
      <c r="X275" s="67"/>
    </row>
    <row r="276" spans="1:25" ht="15" customHeight="1">
      <c r="A276" s="427"/>
      <c r="B276" s="137" t="s">
        <v>106</v>
      </c>
      <c r="C276" s="157" t="s">
        <v>141</v>
      </c>
      <c r="D276" s="48" t="s">
        <v>68</v>
      </c>
      <c r="E276" s="441"/>
      <c r="F276" s="118" t="s">
        <v>67</v>
      </c>
      <c r="G276" s="119"/>
      <c r="H276" s="126"/>
      <c r="I276" s="126"/>
      <c r="J276" s="2"/>
      <c r="K276" s="18"/>
      <c r="L276" s="18"/>
      <c r="M276" s="18"/>
      <c r="N276" s="18"/>
      <c r="O276" s="126"/>
      <c r="P276" s="126"/>
      <c r="Q276" s="126">
        <f>Apr!BO299</f>
        <v>1</v>
      </c>
      <c r="R276" s="436"/>
      <c r="S276" s="436"/>
      <c r="T276" s="18"/>
      <c r="U276" s="18"/>
      <c r="V276" s="18"/>
      <c r="W276" s="45"/>
      <c r="X276" s="67"/>
    </row>
    <row r="277" spans="1:25" ht="15" customHeight="1" thickBot="1">
      <c r="A277" s="428"/>
      <c r="B277" s="44" t="s">
        <v>107</v>
      </c>
      <c r="C277" s="181" t="s">
        <v>195</v>
      </c>
      <c r="D277" s="61" t="s">
        <v>108</v>
      </c>
      <c r="E277" s="447"/>
      <c r="F277" s="133" t="s">
        <v>48</v>
      </c>
      <c r="G277" s="132"/>
      <c r="H277" s="109"/>
      <c r="I277" s="134"/>
      <c r="J277" s="129"/>
      <c r="K277" s="130"/>
      <c r="L277" s="130"/>
      <c r="M277" s="130"/>
      <c r="N277" s="130"/>
      <c r="O277" s="134"/>
      <c r="P277" s="134"/>
      <c r="Q277" s="134">
        <f>Apr!BO300</f>
        <v>1</v>
      </c>
      <c r="R277" s="437"/>
      <c r="S277" s="437"/>
      <c r="T277" s="130"/>
      <c r="U277" s="130"/>
      <c r="V277" s="128"/>
      <c r="W277" s="85"/>
      <c r="X277" s="67"/>
    </row>
    <row r="278" spans="1:25" ht="15" customHeight="1">
      <c r="A278" s="426">
        <v>46127</v>
      </c>
      <c r="B278" s="429" t="s">
        <v>44</v>
      </c>
      <c r="C278" s="432" t="s">
        <v>240</v>
      </c>
      <c r="D278" s="19" t="s">
        <v>37</v>
      </c>
      <c r="E278" s="19" t="s">
        <v>25</v>
      </c>
      <c r="F278" s="39" t="s">
        <v>40</v>
      </c>
      <c r="G278" s="41"/>
      <c r="H278" s="32"/>
      <c r="I278" s="32"/>
      <c r="J278" s="32"/>
      <c r="K278" s="20"/>
      <c r="L278" s="20"/>
      <c r="M278" s="20">
        <v>296000</v>
      </c>
      <c r="N278" s="84">
        <v>37</v>
      </c>
      <c r="O278" s="32">
        <f>Apr!BS276</f>
        <v>32608</v>
      </c>
      <c r="P278" s="32">
        <f>Apr!BT276</f>
        <v>32995</v>
      </c>
      <c r="Q278" s="32">
        <f>Apr!BR276</f>
        <v>87</v>
      </c>
      <c r="R278" s="435">
        <f>Apr!BS303</f>
        <v>80351</v>
      </c>
      <c r="S278" s="435">
        <f>Apr!BT303</f>
        <v>74329</v>
      </c>
      <c r="T278" s="20">
        <v>22657</v>
      </c>
      <c r="U278" s="20">
        <v>6</v>
      </c>
      <c r="V278" s="20">
        <f>O278-T278-U278+V250</f>
        <v>91887</v>
      </c>
      <c r="W278" s="77"/>
      <c r="X278" s="36"/>
    </row>
    <row r="279" spans="1:25" ht="15" customHeight="1">
      <c r="A279" s="427"/>
      <c r="B279" s="430"/>
      <c r="C279" s="433"/>
      <c r="D279" s="113" t="s">
        <v>128</v>
      </c>
      <c r="E279" s="438" t="s">
        <v>24</v>
      </c>
      <c r="F279" s="118" t="s">
        <v>40</v>
      </c>
      <c r="G279" s="38"/>
      <c r="H279" s="37">
        <v>3037.5</v>
      </c>
      <c r="I279" s="126"/>
      <c r="J279" s="125"/>
      <c r="K279" s="127">
        <v>39400</v>
      </c>
      <c r="L279" s="127">
        <v>5</v>
      </c>
      <c r="M279" s="127">
        <v>95700</v>
      </c>
      <c r="N279" s="81">
        <v>12</v>
      </c>
      <c r="O279" s="125">
        <f>Apr!BS277</f>
        <v>23896</v>
      </c>
      <c r="P279" s="125">
        <f>Apr!BT277</f>
        <v>22781</v>
      </c>
      <c r="Q279" s="125">
        <f>Apr!BR277</f>
        <v>60</v>
      </c>
      <c r="R279" s="436"/>
      <c r="S279" s="436"/>
      <c r="T279" s="127">
        <v>15744</v>
      </c>
      <c r="U279" s="127">
        <v>5</v>
      </c>
      <c r="V279" s="127">
        <f>O279-T279-U279+V251</f>
        <v>14017</v>
      </c>
      <c r="W279" s="46"/>
      <c r="X279" s="67"/>
    </row>
    <row r="280" spans="1:25" ht="15" customHeight="1">
      <c r="A280" s="427"/>
      <c r="B280" s="431"/>
      <c r="C280" s="434"/>
      <c r="D280" s="113" t="s">
        <v>307</v>
      </c>
      <c r="E280" s="431"/>
      <c r="F280" s="114" t="s">
        <v>40</v>
      </c>
      <c r="G280" s="170">
        <v>2199.2399999999998</v>
      </c>
      <c r="H280" s="135"/>
      <c r="I280" s="125"/>
      <c r="J280" s="125"/>
      <c r="K280" s="18"/>
      <c r="L280" s="127"/>
      <c r="M280" s="216">
        <v>32000</v>
      </c>
      <c r="N280" s="238">
        <v>4</v>
      </c>
      <c r="O280" s="126"/>
      <c r="P280" s="125"/>
      <c r="Q280" s="125"/>
      <c r="R280" s="436"/>
      <c r="S280" s="436"/>
      <c r="T280" s="127"/>
      <c r="U280" s="127"/>
      <c r="V280" s="127">
        <f>O280-T280-U280</f>
        <v>0</v>
      </c>
      <c r="W280" s="46"/>
      <c r="X280" s="67"/>
    </row>
    <row r="281" spans="1:25" ht="15" customHeight="1">
      <c r="A281" s="427"/>
      <c r="B281" s="442" t="s">
        <v>45</v>
      </c>
      <c r="C281" s="471" t="s">
        <v>59</v>
      </c>
      <c r="D281" s="118" t="s">
        <v>75</v>
      </c>
      <c r="E281" s="438" t="s">
        <v>25</v>
      </c>
      <c r="F281" s="131" t="s">
        <v>57</v>
      </c>
      <c r="G281" s="87"/>
      <c r="H281" s="136"/>
      <c r="I281" s="126"/>
      <c r="J281" s="2"/>
      <c r="K281" s="127"/>
      <c r="L281" s="18"/>
      <c r="M281" s="18"/>
      <c r="N281" s="80"/>
      <c r="O281" s="126">
        <f>Apr!BS282</f>
        <v>5258</v>
      </c>
      <c r="P281" s="126">
        <f>Apr!BT282</f>
        <v>2808</v>
      </c>
      <c r="Q281" s="2">
        <f>Apr!BR282</f>
        <v>11</v>
      </c>
      <c r="R281" s="436"/>
      <c r="S281" s="436"/>
      <c r="T281" s="18">
        <v>6552</v>
      </c>
      <c r="U281" s="18"/>
      <c r="V281" s="127">
        <f>O281-T281-U281+V252</f>
        <v>91067</v>
      </c>
      <c r="W281" s="46"/>
      <c r="Y281" s="13"/>
    </row>
    <row r="282" spans="1:25" ht="15" customHeight="1">
      <c r="A282" s="427"/>
      <c r="B282" s="439"/>
      <c r="C282" s="471"/>
      <c r="D282" s="118" t="s">
        <v>291</v>
      </c>
      <c r="E282" s="430"/>
      <c r="F282" s="131" t="s">
        <v>57</v>
      </c>
      <c r="G282" s="87"/>
      <c r="H282" s="136"/>
      <c r="I282" s="126"/>
      <c r="J282" s="2"/>
      <c r="K282" s="127">
        <v>9800</v>
      </c>
      <c r="L282" s="18">
        <v>2</v>
      </c>
      <c r="M282" s="18">
        <v>29400</v>
      </c>
      <c r="N282" s="80">
        <v>6</v>
      </c>
      <c r="O282" s="126">
        <f>Apr!BS283</f>
        <v>876</v>
      </c>
      <c r="P282" s="126">
        <f>Apr!BT283</f>
        <v>882</v>
      </c>
      <c r="Q282" s="2">
        <f>Apr!BR283</f>
        <v>4</v>
      </c>
      <c r="R282" s="436"/>
      <c r="S282" s="436"/>
      <c r="T282" s="18"/>
      <c r="U282" s="18"/>
      <c r="V282" s="127">
        <f>O282-T282-U282+V253</f>
        <v>876</v>
      </c>
      <c r="W282" s="46"/>
      <c r="Y282" s="13"/>
    </row>
    <row r="283" spans="1:25">
      <c r="A283" s="427"/>
      <c r="B283" s="439"/>
      <c r="C283" s="471"/>
      <c r="D283" s="118" t="s">
        <v>72</v>
      </c>
      <c r="E283" s="155" t="s">
        <v>24</v>
      </c>
      <c r="F283" s="131" t="s">
        <v>57</v>
      </c>
      <c r="G283" s="224"/>
      <c r="H283" s="136"/>
      <c r="I283" s="126"/>
      <c r="J283" s="126"/>
      <c r="K283" s="127">
        <v>20000</v>
      </c>
      <c r="L283" s="18">
        <v>4</v>
      </c>
      <c r="M283" s="18">
        <v>60000</v>
      </c>
      <c r="N283" s="80">
        <v>12</v>
      </c>
      <c r="O283" s="126">
        <f>Apr!BS284</f>
        <v>8260</v>
      </c>
      <c r="P283" s="126">
        <f>Apr!BT284</f>
        <v>5786</v>
      </c>
      <c r="Q283" s="126">
        <f>Apr!BR284</f>
        <v>26</v>
      </c>
      <c r="R283" s="436"/>
      <c r="S283" s="436"/>
      <c r="T283" s="18">
        <v>11702</v>
      </c>
      <c r="U283" s="18"/>
      <c r="V283" s="127">
        <f>O283-T283-U283+V254</f>
        <v>6377</v>
      </c>
      <c r="W283" s="46"/>
      <c r="Y283" s="13"/>
    </row>
    <row r="284" spans="1:25" ht="14.25" customHeight="1">
      <c r="A284" s="427"/>
      <c r="B284" s="439"/>
      <c r="C284" s="471"/>
      <c r="D284" s="115" t="s">
        <v>79</v>
      </c>
      <c r="E284" s="118" t="s">
        <v>65</v>
      </c>
      <c r="F284" s="131" t="s">
        <v>57</v>
      </c>
      <c r="G284" s="224"/>
      <c r="H284" s="37"/>
      <c r="I284" s="126"/>
      <c r="J284" s="126"/>
      <c r="K284" s="18"/>
      <c r="L284" s="18"/>
      <c r="M284" s="18"/>
      <c r="N284" s="80"/>
      <c r="O284" s="126"/>
      <c r="P284" s="126"/>
      <c r="Q284" s="126">
        <f>Apr!BR285</f>
        <v>1</v>
      </c>
      <c r="R284" s="436"/>
      <c r="S284" s="436"/>
      <c r="T284" s="18"/>
      <c r="U284" s="18"/>
      <c r="V284" s="127"/>
      <c r="W284" s="45"/>
      <c r="X284" s="36"/>
    </row>
    <row r="285" spans="1:25" ht="14.25" customHeight="1">
      <c r="A285" s="427"/>
      <c r="B285" s="443"/>
      <c r="C285" s="271" t="s">
        <v>299</v>
      </c>
      <c r="D285" s="115" t="s">
        <v>296</v>
      </c>
      <c r="E285" s="115" t="s">
        <v>25</v>
      </c>
      <c r="F285" s="131" t="s">
        <v>298</v>
      </c>
      <c r="G285" s="224"/>
      <c r="H285" s="37"/>
      <c r="I285" s="126"/>
      <c r="J285" s="126"/>
      <c r="K285" s="18"/>
      <c r="L285" s="18"/>
      <c r="M285" s="18"/>
      <c r="N285" s="80"/>
      <c r="O285" s="126"/>
      <c r="P285" s="126"/>
      <c r="Q285" s="126">
        <f>Apr!BR286</f>
        <v>1</v>
      </c>
      <c r="R285" s="436"/>
      <c r="S285" s="436"/>
      <c r="T285" s="18"/>
      <c r="U285" s="18"/>
      <c r="V285" s="127">
        <f>O285-T285-U285+V257</f>
        <v>0</v>
      </c>
      <c r="W285" s="45"/>
      <c r="X285" s="67"/>
    </row>
    <row r="286" spans="1:25" ht="14.25" customHeight="1">
      <c r="A286" s="427"/>
      <c r="B286" s="442" t="s">
        <v>53</v>
      </c>
      <c r="C286" s="444" t="s">
        <v>60</v>
      </c>
      <c r="D286" s="43" t="s">
        <v>130</v>
      </c>
      <c r="E286" s="115" t="s">
        <v>66</v>
      </c>
      <c r="F286" s="118" t="s">
        <v>54</v>
      </c>
      <c r="G286" s="224"/>
      <c r="H286" s="37"/>
      <c r="I286" s="126"/>
      <c r="J286" s="126"/>
      <c r="K286" s="18"/>
      <c r="L286" s="18"/>
      <c r="M286" s="18">
        <v>90000</v>
      </c>
      <c r="N286" s="80">
        <v>15</v>
      </c>
      <c r="O286" s="126">
        <f>Apr!BS279</f>
        <v>7746</v>
      </c>
      <c r="P286" s="126">
        <f>Apr!BT279</f>
        <v>8066</v>
      </c>
      <c r="Q286" s="126">
        <f>Apr!BR279</f>
        <v>24</v>
      </c>
      <c r="R286" s="436"/>
      <c r="S286" s="436"/>
      <c r="T286" s="18">
        <v>13196</v>
      </c>
      <c r="U286" s="18"/>
      <c r="V286" s="127">
        <f>O286-T286-U286+V258</f>
        <v>4966</v>
      </c>
      <c r="W286" s="45"/>
      <c r="X286" s="67"/>
    </row>
    <row r="287" spans="1:25" ht="14.25" customHeight="1">
      <c r="A287" s="427"/>
      <c r="B287" s="439"/>
      <c r="C287" s="445"/>
      <c r="D287" s="43" t="s">
        <v>199</v>
      </c>
      <c r="E287" s="118" t="s">
        <v>25</v>
      </c>
      <c r="F287" s="118" t="s">
        <v>54</v>
      </c>
      <c r="G287" s="225"/>
      <c r="H287" s="37"/>
      <c r="I287" s="126"/>
      <c r="J287" s="126"/>
      <c r="K287" s="18"/>
      <c r="L287" s="18"/>
      <c r="M287" s="18"/>
      <c r="N287" s="80"/>
      <c r="O287" s="126">
        <f>Apr!BS281</f>
        <v>500</v>
      </c>
      <c r="P287" s="126">
        <f>Apr!BT281</f>
        <v>345</v>
      </c>
      <c r="Q287" s="126">
        <f>Apr!BR281</f>
        <v>1</v>
      </c>
      <c r="R287" s="436"/>
      <c r="S287" s="436"/>
      <c r="T287" s="18"/>
      <c r="U287" s="18"/>
      <c r="V287" s="127">
        <f>O287-T287-U287+V259</f>
        <v>500</v>
      </c>
      <c r="W287" s="45"/>
      <c r="X287" s="67"/>
    </row>
    <row r="288" spans="1:25" ht="14.25" customHeight="1">
      <c r="A288" s="427"/>
      <c r="B288" s="443"/>
      <c r="C288" s="446"/>
      <c r="D288" s="43" t="s">
        <v>96</v>
      </c>
      <c r="E288" s="114" t="s">
        <v>65</v>
      </c>
      <c r="F288" s="118"/>
      <c r="G288" s="235"/>
      <c r="H288" s="158">
        <v>612</v>
      </c>
      <c r="I288" s="158"/>
      <c r="J288" s="158"/>
      <c r="K288" s="128"/>
      <c r="L288" s="128"/>
      <c r="M288" s="128"/>
      <c r="N288" s="164"/>
      <c r="O288" s="158"/>
      <c r="P288" s="158"/>
      <c r="Q288" s="158"/>
      <c r="R288" s="436"/>
      <c r="S288" s="436"/>
      <c r="T288" s="18"/>
      <c r="U288" s="18"/>
      <c r="V288" s="127"/>
      <c r="W288" s="45"/>
      <c r="X288" s="67"/>
    </row>
    <row r="289" spans="1:24" ht="15.75" customHeight="1">
      <c r="A289" s="427"/>
      <c r="B289" s="122" t="s">
        <v>55</v>
      </c>
      <c r="C289" s="180" t="s">
        <v>133</v>
      </c>
      <c r="D289" s="48" t="s">
        <v>56</v>
      </c>
      <c r="E289" s="424" t="s">
        <v>25</v>
      </c>
      <c r="F289" s="118" t="s">
        <v>67</v>
      </c>
      <c r="G289" s="226"/>
      <c r="H289" s="126"/>
      <c r="I289" s="126"/>
      <c r="J289" s="2"/>
      <c r="K289" s="18"/>
      <c r="L289" s="18"/>
      <c r="M289" s="18">
        <v>2800</v>
      </c>
      <c r="N289" s="18">
        <v>1</v>
      </c>
      <c r="O289" s="126"/>
      <c r="P289" s="126"/>
      <c r="Q289" s="126"/>
      <c r="R289" s="436"/>
      <c r="S289" s="436"/>
      <c r="T289" s="18"/>
      <c r="U289" s="18"/>
      <c r="V289" s="127">
        <f t="shared" ref="V289:V296" si="11">O289-T289-U289+V261</f>
        <v>500</v>
      </c>
      <c r="W289" s="45"/>
      <c r="X289" s="67"/>
    </row>
    <row r="290" spans="1:24" ht="15" customHeight="1">
      <c r="A290" s="427"/>
      <c r="B290" s="122" t="s">
        <v>122</v>
      </c>
      <c r="C290" s="180" t="s">
        <v>123</v>
      </c>
      <c r="D290" s="48" t="s">
        <v>56</v>
      </c>
      <c r="E290" s="441"/>
      <c r="F290" s="155" t="s">
        <v>64</v>
      </c>
      <c r="G290" s="119"/>
      <c r="H290" s="126"/>
      <c r="I290" s="126"/>
      <c r="J290" s="2"/>
      <c r="K290" s="18"/>
      <c r="L290" s="18"/>
      <c r="M290" s="18">
        <v>6400</v>
      </c>
      <c r="N290" s="18">
        <v>2</v>
      </c>
      <c r="O290" s="126"/>
      <c r="P290" s="126"/>
      <c r="Q290" s="126">
        <f>Apr!BR287</f>
        <v>1</v>
      </c>
      <c r="R290" s="436"/>
      <c r="S290" s="436"/>
      <c r="T290" s="18"/>
      <c r="U290" s="18"/>
      <c r="V290" s="127">
        <f t="shared" si="11"/>
        <v>31304</v>
      </c>
      <c r="W290" s="45"/>
      <c r="X290" s="67"/>
    </row>
    <row r="291" spans="1:24" ht="14.25" customHeight="1">
      <c r="A291" s="427"/>
      <c r="B291" s="137" t="s">
        <v>58</v>
      </c>
      <c r="C291" s="157" t="s">
        <v>243</v>
      </c>
      <c r="D291" s="48" t="s">
        <v>56</v>
      </c>
      <c r="E291" s="441"/>
      <c r="F291" s="118" t="s">
        <v>64</v>
      </c>
      <c r="G291" s="225"/>
      <c r="H291" s="126"/>
      <c r="I291" s="126"/>
      <c r="J291" s="126"/>
      <c r="K291" s="18"/>
      <c r="L291" s="18"/>
      <c r="M291" s="18"/>
      <c r="N291" s="80"/>
      <c r="O291" s="126"/>
      <c r="P291" s="126"/>
      <c r="Q291" s="126">
        <f>Apr!BR288</f>
        <v>1</v>
      </c>
      <c r="R291" s="436"/>
      <c r="S291" s="436"/>
      <c r="T291" s="18"/>
      <c r="U291" s="18"/>
      <c r="V291" s="127">
        <f t="shared" si="11"/>
        <v>8562</v>
      </c>
      <c r="W291" s="45"/>
      <c r="X291" s="67"/>
    </row>
    <row r="292" spans="1:24" ht="14.25" customHeight="1">
      <c r="A292" s="427"/>
      <c r="B292" s="122" t="s">
        <v>61</v>
      </c>
      <c r="C292" s="180" t="s">
        <v>137</v>
      </c>
      <c r="D292" s="48" t="s">
        <v>56</v>
      </c>
      <c r="E292" s="441"/>
      <c r="F292" s="118" t="s">
        <v>67</v>
      </c>
      <c r="G292" s="225"/>
      <c r="H292" s="126"/>
      <c r="I292" s="126"/>
      <c r="J292" s="126"/>
      <c r="K292" s="18"/>
      <c r="L292" s="18"/>
      <c r="M292" s="18"/>
      <c r="N292" s="80"/>
      <c r="O292" s="126"/>
      <c r="P292" s="126"/>
      <c r="Q292" s="126">
        <f>Apr!BR289</f>
        <v>1</v>
      </c>
      <c r="R292" s="436"/>
      <c r="S292" s="436"/>
      <c r="T292" s="18"/>
      <c r="U292" s="18"/>
      <c r="V292" s="127">
        <f t="shared" si="11"/>
        <v>5844</v>
      </c>
      <c r="W292" s="45"/>
      <c r="X292" s="67"/>
    </row>
    <row r="293" spans="1:24" ht="14.25" customHeight="1">
      <c r="A293" s="427"/>
      <c r="B293" s="122" t="s">
        <v>125</v>
      </c>
      <c r="C293" s="180" t="s">
        <v>88</v>
      </c>
      <c r="D293" s="48" t="s">
        <v>124</v>
      </c>
      <c r="E293" s="441"/>
      <c r="F293" s="118" t="s">
        <v>64</v>
      </c>
      <c r="G293" s="225"/>
      <c r="H293" s="126"/>
      <c r="I293" s="126"/>
      <c r="J293" s="126"/>
      <c r="K293" s="18"/>
      <c r="L293" s="18"/>
      <c r="M293" s="18">
        <v>51200</v>
      </c>
      <c r="N293" s="80">
        <v>7</v>
      </c>
      <c r="O293" s="126"/>
      <c r="P293" s="126"/>
      <c r="Q293" s="126"/>
      <c r="R293" s="436"/>
      <c r="S293" s="436"/>
      <c r="T293" s="18"/>
      <c r="U293" s="18"/>
      <c r="V293" s="127">
        <f t="shared" si="11"/>
        <v>23615</v>
      </c>
      <c r="W293" s="45"/>
      <c r="X293" s="67"/>
    </row>
    <row r="294" spans="1:24" ht="14.25" customHeight="1">
      <c r="A294" s="427"/>
      <c r="B294" s="137" t="s">
        <v>47</v>
      </c>
      <c r="C294" s="157" t="s">
        <v>100</v>
      </c>
      <c r="D294" s="48" t="s">
        <v>99</v>
      </c>
      <c r="E294" s="441"/>
      <c r="F294" s="118" t="s">
        <v>71</v>
      </c>
      <c r="G294" s="225"/>
      <c r="H294" s="126"/>
      <c r="I294" s="126"/>
      <c r="J294" s="126"/>
      <c r="K294" s="18"/>
      <c r="L294" s="18"/>
      <c r="M294" s="18">
        <v>18000</v>
      </c>
      <c r="N294" s="80">
        <v>3</v>
      </c>
      <c r="O294" s="126"/>
      <c r="P294" s="126"/>
      <c r="Q294" s="126"/>
      <c r="R294" s="436"/>
      <c r="S294" s="436"/>
      <c r="T294" s="18"/>
      <c r="U294" s="18"/>
      <c r="V294" s="127">
        <f t="shared" si="11"/>
        <v>32689</v>
      </c>
      <c r="W294" s="45"/>
      <c r="X294" s="67"/>
    </row>
    <row r="295" spans="1:24" ht="15" customHeight="1">
      <c r="A295" s="427"/>
      <c r="B295" s="122" t="s">
        <v>196</v>
      </c>
      <c r="C295" s="180" t="s">
        <v>63</v>
      </c>
      <c r="D295" s="48" t="s">
        <v>135</v>
      </c>
      <c r="E295" s="441"/>
      <c r="F295" s="118" t="s">
        <v>64</v>
      </c>
      <c r="G295" s="226"/>
      <c r="H295" s="126"/>
      <c r="I295" s="126"/>
      <c r="J295" s="2"/>
      <c r="K295" s="18"/>
      <c r="L295" s="18"/>
      <c r="M295" s="18">
        <v>33200</v>
      </c>
      <c r="N295" s="18">
        <v>4</v>
      </c>
      <c r="O295" s="126"/>
      <c r="P295" s="126"/>
      <c r="Q295" s="126"/>
      <c r="R295" s="436"/>
      <c r="S295" s="436"/>
      <c r="T295" s="18"/>
      <c r="U295" s="18"/>
      <c r="V295" s="127">
        <f t="shared" si="11"/>
        <v>15106</v>
      </c>
      <c r="W295" s="45"/>
      <c r="X295" s="67"/>
    </row>
    <row r="296" spans="1:24" ht="15" customHeight="1">
      <c r="A296" s="427"/>
      <c r="B296" s="122" t="s">
        <v>253</v>
      </c>
      <c r="C296" s="180" t="s">
        <v>252</v>
      </c>
      <c r="D296" s="48" t="s">
        <v>246</v>
      </c>
      <c r="E296" s="441"/>
      <c r="F296" s="118" t="s">
        <v>247</v>
      </c>
      <c r="G296" s="226"/>
      <c r="H296" s="126"/>
      <c r="I296" s="126"/>
      <c r="J296" s="2"/>
      <c r="K296" s="18"/>
      <c r="L296" s="18"/>
      <c r="M296" s="18"/>
      <c r="N296" s="18"/>
      <c r="O296" s="126"/>
      <c r="P296" s="126"/>
      <c r="Q296" s="126">
        <f>Apr!BR291</f>
        <v>1</v>
      </c>
      <c r="R296" s="436"/>
      <c r="S296" s="436"/>
      <c r="T296" s="18"/>
      <c r="U296" s="18"/>
      <c r="V296" s="127">
        <f t="shared" si="11"/>
        <v>503</v>
      </c>
      <c r="W296" s="45"/>
      <c r="X296" s="67"/>
    </row>
    <row r="297" spans="1:24" ht="15" customHeight="1">
      <c r="A297" s="427"/>
      <c r="B297" s="122" t="s">
        <v>289</v>
      </c>
      <c r="C297" s="180" t="s">
        <v>290</v>
      </c>
      <c r="D297" s="48" t="s">
        <v>291</v>
      </c>
      <c r="E297" s="441"/>
      <c r="F297" s="118" t="s">
        <v>292</v>
      </c>
      <c r="G297" s="119"/>
      <c r="H297" s="126"/>
      <c r="I297" s="126"/>
      <c r="J297" s="2"/>
      <c r="K297" s="18"/>
      <c r="L297" s="18"/>
      <c r="M297" s="18"/>
      <c r="N297" s="18"/>
      <c r="O297" s="126"/>
      <c r="P297" s="126"/>
      <c r="Q297" s="126">
        <f>Apr!BR292</f>
        <v>1</v>
      </c>
      <c r="R297" s="436"/>
      <c r="S297" s="436"/>
      <c r="T297" s="18"/>
      <c r="U297" s="18"/>
      <c r="V297" s="18"/>
      <c r="W297" s="45"/>
      <c r="X297" s="67"/>
    </row>
    <row r="298" spans="1:24" ht="15" customHeight="1">
      <c r="A298" s="427"/>
      <c r="B298" s="122" t="s">
        <v>131</v>
      </c>
      <c r="C298" s="180" t="s">
        <v>194</v>
      </c>
      <c r="D298" s="48" t="s">
        <v>132</v>
      </c>
      <c r="E298" s="441"/>
      <c r="F298" s="118" t="s">
        <v>64</v>
      </c>
      <c r="G298" s="119"/>
      <c r="H298" s="126"/>
      <c r="I298" s="126"/>
      <c r="J298" s="2"/>
      <c r="K298" s="18"/>
      <c r="L298" s="18"/>
      <c r="M298" s="18"/>
      <c r="N298" s="18"/>
      <c r="O298" s="126">
        <f>Apr!BS296</f>
        <v>1035</v>
      </c>
      <c r="P298" s="126">
        <f>Apr!BT296</f>
        <v>21</v>
      </c>
      <c r="Q298" s="126"/>
      <c r="R298" s="436"/>
      <c r="S298" s="436"/>
      <c r="T298" s="18"/>
      <c r="U298" s="18"/>
      <c r="V298" s="18">
        <f>O298-T298-U298+V270</f>
        <v>1035</v>
      </c>
      <c r="W298" s="45"/>
      <c r="X298" s="67"/>
    </row>
    <row r="299" spans="1:24" ht="15" customHeight="1">
      <c r="A299" s="427"/>
      <c r="B299" s="442" t="s">
        <v>304</v>
      </c>
      <c r="C299" s="444" t="s">
        <v>250</v>
      </c>
      <c r="D299" s="48" t="s">
        <v>251</v>
      </c>
      <c r="E299" s="441"/>
      <c r="F299" s="118" t="s">
        <v>64</v>
      </c>
      <c r="G299" s="119"/>
      <c r="H299" s="126"/>
      <c r="I299" s="126"/>
      <c r="J299" s="2"/>
      <c r="K299" s="18">
        <v>500</v>
      </c>
      <c r="L299" s="18">
        <v>1</v>
      </c>
      <c r="M299" s="18"/>
      <c r="N299" s="18"/>
      <c r="O299" s="126">
        <f>Apr!BS294</f>
        <v>172</v>
      </c>
      <c r="P299" s="126">
        <f>Apr!BT294</f>
        <v>309</v>
      </c>
      <c r="Q299" s="126">
        <f>Apr!BR294</f>
        <v>1</v>
      </c>
      <c r="R299" s="436"/>
      <c r="S299" s="436"/>
      <c r="T299" s="18"/>
      <c r="U299" s="18"/>
      <c r="V299" s="18">
        <f>O299-T299-U299+V271</f>
        <v>172</v>
      </c>
      <c r="W299" s="45"/>
      <c r="X299" s="67"/>
    </row>
    <row r="300" spans="1:24" ht="15" customHeight="1">
      <c r="A300" s="427"/>
      <c r="B300" s="443"/>
      <c r="C300" s="446"/>
      <c r="D300" s="48" t="s">
        <v>248</v>
      </c>
      <c r="E300" s="441"/>
      <c r="F300" s="118"/>
      <c r="G300" s="119"/>
      <c r="H300" s="126">
        <f>36+48</f>
        <v>84</v>
      </c>
      <c r="I300" s="126"/>
      <c r="J300" s="2"/>
      <c r="K300" s="18"/>
      <c r="L300" s="18"/>
      <c r="M300" s="18"/>
      <c r="N300" s="18"/>
      <c r="O300" s="126"/>
      <c r="P300" s="126"/>
      <c r="Q300" s="126"/>
      <c r="R300" s="436"/>
      <c r="S300" s="436"/>
      <c r="T300" s="18"/>
      <c r="U300" s="18"/>
      <c r="V300" s="18"/>
      <c r="W300" s="45"/>
      <c r="X300" s="67"/>
    </row>
    <row r="301" spans="1:24" ht="15" customHeight="1">
      <c r="A301" s="427"/>
      <c r="B301" s="122" t="s">
        <v>305</v>
      </c>
      <c r="C301" s="180" t="s">
        <v>306</v>
      </c>
      <c r="D301" s="48" t="s">
        <v>251</v>
      </c>
      <c r="E301" s="441"/>
      <c r="F301" s="118" t="s">
        <v>64</v>
      </c>
      <c r="G301" s="119"/>
      <c r="H301" s="126"/>
      <c r="I301" s="126"/>
      <c r="J301" s="2"/>
      <c r="K301" s="18">
        <v>500</v>
      </c>
      <c r="L301" s="18">
        <v>1</v>
      </c>
      <c r="M301" s="18"/>
      <c r="N301" s="18"/>
      <c r="O301" s="126"/>
      <c r="P301" s="126">
        <f>Apr!BT293</f>
        <v>336</v>
      </c>
      <c r="Q301" s="126">
        <f>Apr!BR293</f>
        <v>1</v>
      </c>
      <c r="R301" s="436"/>
      <c r="S301" s="436"/>
      <c r="T301" s="18"/>
      <c r="U301" s="18"/>
      <c r="V301" s="18"/>
      <c r="W301" s="45"/>
      <c r="X301" s="67"/>
    </row>
    <row r="302" spans="1:24" ht="15" customHeight="1">
      <c r="A302" s="427"/>
      <c r="B302" s="122" t="s">
        <v>315</v>
      </c>
      <c r="C302" s="180" t="s">
        <v>252</v>
      </c>
      <c r="D302" s="48" t="s">
        <v>246</v>
      </c>
      <c r="E302" s="441"/>
      <c r="F302" s="118" t="s">
        <v>64</v>
      </c>
      <c r="G302" s="170">
        <v>49.49</v>
      </c>
      <c r="H302" s="126"/>
      <c r="I302" s="126"/>
      <c r="J302" s="2"/>
      <c r="K302" s="18"/>
      <c r="L302" s="18"/>
      <c r="M302" s="18"/>
      <c r="N302" s="18"/>
      <c r="O302" s="126"/>
      <c r="P302" s="126"/>
      <c r="Q302" s="126"/>
      <c r="R302" s="436"/>
      <c r="S302" s="436"/>
      <c r="T302" s="18"/>
      <c r="U302" s="18"/>
      <c r="V302" s="18"/>
      <c r="W302" s="45"/>
      <c r="X302" s="67"/>
    </row>
    <row r="303" spans="1:24" ht="15" customHeight="1">
      <c r="A303" s="427"/>
      <c r="B303" s="122" t="s">
        <v>101</v>
      </c>
      <c r="C303" s="180" t="s">
        <v>193</v>
      </c>
      <c r="D303" s="48" t="s">
        <v>102</v>
      </c>
      <c r="E303" s="441"/>
      <c r="F303" s="118" t="s">
        <v>64</v>
      </c>
      <c r="G303" s="119"/>
      <c r="H303" s="126"/>
      <c r="I303" s="126"/>
      <c r="J303" s="2"/>
      <c r="K303" s="18"/>
      <c r="L303" s="18"/>
      <c r="M303" s="18"/>
      <c r="N303" s="18"/>
      <c r="O303" s="126"/>
      <c r="P303" s="126"/>
      <c r="Q303" s="126">
        <f>Apr!BR297</f>
        <v>1</v>
      </c>
      <c r="R303" s="436"/>
      <c r="S303" s="436"/>
      <c r="T303" s="18"/>
      <c r="U303" s="18"/>
      <c r="V303" s="18"/>
      <c r="W303" s="45"/>
      <c r="X303" s="67"/>
    </row>
    <row r="304" spans="1:24" ht="15" customHeight="1">
      <c r="A304" s="427"/>
      <c r="B304" s="122" t="s">
        <v>103</v>
      </c>
      <c r="C304" s="157" t="s">
        <v>197</v>
      </c>
      <c r="D304" s="48" t="s">
        <v>104</v>
      </c>
      <c r="E304" s="441"/>
      <c r="F304" s="118" t="s">
        <v>105</v>
      </c>
      <c r="G304" s="119"/>
      <c r="H304" s="126"/>
      <c r="I304" s="126"/>
      <c r="J304" s="2"/>
      <c r="K304" s="18"/>
      <c r="L304" s="18"/>
      <c r="M304" s="18"/>
      <c r="N304" s="18"/>
      <c r="O304" s="126"/>
      <c r="P304" s="126"/>
      <c r="Q304" s="126">
        <f>Apr!BR298</f>
        <v>1</v>
      </c>
      <c r="R304" s="436"/>
      <c r="S304" s="436"/>
      <c r="T304" s="18"/>
      <c r="U304" s="18"/>
      <c r="V304" s="18"/>
      <c r="W304" s="45"/>
      <c r="X304" s="67"/>
    </row>
    <row r="305" spans="1:25" ht="15" customHeight="1">
      <c r="A305" s="427"/>
      <c r="B305" s="137" t="s">
        <v>112</v>
      </c>
      <c r="C305" s="157" t="s">
        <v>197</v>
      </c>
      <c r="D305" s="48" t="s">
        <v>104</v>
      </c>
      <c r="E305" s="441"/>
      <c r="F305" s="118" t="s">
        <v>113</v>
      </c>
      <c r="G305" s="119"/>
      <c r="H305" s="126"/>
      <c r="I305" s="126"/>
      <c r="J305" s="2"/>
      <c r="K305" s="18"/>
      <c r="L305" s="18"/>
      <c r="M305" s="18"/>
      <c r="N305" s="18"/>
      <c r="O305" s="126"/>
      <c r="P305" s="126"/>
      <c r="Q305" s="126">
        <f>Apr!BR301</f>
        <v>1</v>
      </c>
      <c r="R305" s="436"/>
      <c r="S305" s="436"/>
      <c r="T305" s="18"/>
      <c r="U305" s="18"/>
      <c r="V305" s="18"/>
      <c r="W305" s="45"/>
      <c r="X305" s="67"/>
    </row>
    <row r="306" spans="1:25" ht="15" customHeight="1">
      <c r="A306" s="427"/>
      <c r="B306" s="137" t="s">
        <v>106</v>
      </c>
      <c r="C306" s="157" t="s">
        <v>141</v>
      </c>
      <c r="D306" s="48" t="s">
        <v>68</v>
      </c>
      <c r="E306" s="441"/>
      <c r="F306" s="118" t="s">
        <v>67</v>
      </c>
      <c r="G306" s="119"/>
      <c r="H306" s="126"/>
      <c r="I306" s="126"/>
      <c r="J306" s="2"/>
      <c r="K306" s="18"/>
      <c r="L306" s="18"/>
      <c r="M306" s="18"/>
      <c r="N306" s="18"/>
      <c r="O306" s="126"/>
      <c r="P306" s="126"/>
      <c r="Q306" s="126">
        <f>Apr!BR299</f>
        <v>1</v>
      </c>
      <c r="R306" s="436"/>
      <c r="S306" s="436"/>
      <c r="T306" s="18"/>
      <c r="U306" s="18"/>
      <c r="V306" s="18"/>
      <c r="W306" s="45"/>
      <c r="X306" s="67"/>
    </row>
    <row r="307" spans="1:25" ht="15" customHeight="1" thickBot="1">
      <c r="A307" s="428"/>
      <c r="B307" s="44" t="s">
        <v>107</v>
      </c>
      <c r="C307" s="181" t="s">
        <v>195</v>
      </c>
      <c r="D307" s="61" t="s">
        <v>108</v>
      </c>
      <c r="E307" s="447"/>
      <c r="F307" s="133" t="s">
        <v>48</v>
      </c>
      <c r="G307" s="132"/>
      <c r="H307" s="109"/>
      <c r="I307" s="134"/>
      <c r="J307" s="129"/>
      <c r="K307" s="130"/>
      <c r="L307" s="130"/>
      <c r="M307" s="130"/>
      <c r="N307" s="130"/>
      <c r="O307" s="134"/>
      <c r="P307" s="134"/>
      <c r="Q307" s="134">
        <f>Apr!BR300</f>
        <v>1</v>
      </c>
      <c r="R307" s="437"/>
      <c r="S307" s="437"/>
      <c r="T307" s="130"/>
      <c r="U307" s="130"/>
      <c r="V307" s="128"/>
      <c r="W307" s="85"/>
      <c r="X307" s="67"/>
    </row>
    <row r="308" spans="1:25" ht="15" customHeight="1">
      <c r="A308" s="426">
        <v>46128</v>
      </c>
      <c r="B308" s="429" t="s">
        <v>44</v>
      </c>
      <c r="C308" s="432" t="s">
        <v>240</v>
      </c>
      <c r="D308" s="19" t="s">
        <v>37</v>
      </c>
      <c r="E308" s="19" t="s">
        <v>25</v>
      </c>
      <c r="F308" s="39" t="s">
        <v>40</v>
      </c>
      <c r="G308" s="41"/>
      <c r="H308" s="32">
        <v>5760</v>
      </c>
      <c r="I308" s="32"/>
      <c r="J308" s="474">
        <v>22.7</v>
      </c>
      <c r="K308" s="20"/>
      <c r="L308" s="20"/>
      <c r="M308" s="20">
        <v>296000</v>
      </c>
      <c r="N308" s="84">
        <v>37</v>
      </c>
      <c r="O308" s="32">
        <f>Apr!BV276</f>
        <v>37962</v>
      </c>
      <c r="P308" s="32">
        <f>Apr!BW276</f>
        <v>28420</v>
      </c>
      <c r="Q308" s="32">
        <f>Apr!BU276</f>
        <v>77</v>
      </c>
      <c r="R308" s="435">
        <f>Apr!BV303</f>
        <v>69990</v>
      </c>
      <c r="S308" s="435">
        <f>Apr!BW303</f>
        <v>72303</v>
      </c>
      <c r="T308" s="20">
        <v>31224</v>
      </c>
      <c r="U308" s="20">
        <v>9</v>
      </c>
      <c r="V308" s="20">
        <f t="shared" ref="V308:V313" si="12">O308-T308-U308+V278</f>
        <v>98616</v>
      </c>
      <c r="W308" s="77"/>
      <c r="X308" s="36"/>
    </row>
    <row r="309" spans="1:25" ht="15" customHeight="1">
      <c r="A309" s="427"/>
      <c r="B309" s="430"/>
      <c r="C309" s="433"/>
      <c r="D309" s="113" t="s">
        <v>128</v>
      </c>
      <c r="E309" s="438" t="s">
        <v>24</v>
      </c>
      <c r="F309" s="118" t="s">
        <v>40</v>
      </c>
      <c r="G309" s="38"/>
      <c r="H309" s="37"/>
      <c r="I309" s="125"/>
      <c r="J309" s="475"/>
      <c r="K309" s="18">
        <v>79700</v>
      </c>
      <c r="L309" s="127">
        <v>10</v>
      </c>
      <c r="M309" s="216">
        <v>16000</v>
      </c>
      <c r="N309" s="238">
        <v>2</v>
      </c>
      <c r="O309" s="126">
        <f>Apr!BV277</f>
        <v>19252</v>
      </c>
      <c r="P309" s="125">
        <f>Apr!BW277</f>
        <v>25563</v>
      </c>
      <c r="Q309" s="125">
        <f>Apr!BU277</f>
        <v>69</v>
      </c>
      <c r="R309" s="436"/>
      <c r="S309" s="436"/>
      <c r="T309" s="127">
        <v>27439</v>
      </c>
      <c r="U309" s="127">
        <v>33</v>
      </c>
      <c r="V309" s="127">
        <f t="shared" si="12"/>
        <v>5797</v>
      </c>
      <c r="W309" s="46"/>
      <c r="X309" s="67"/>
    </row>
    <row r="310" spans="1:25" ht="15" customHeight="1">
      <c r="A310" s="427"/>
      <c r="B310" s="431"/>
      <c r="C310" s="434"/>
      <c r="D310" s="113" t="s">
        <v>307</v>
      </c>
      <c r="E310" s="431"/>
      <c r="F310" s="118" t="s">
        <v>40</v>
      </c>
      <c r="G310" s="170">
        <v>4398.4799999999996</v>
      </c>
      <c r="H310" s="135"/>
      <c r="I310" s="125"/>
      <c r="J310" s="475"/>
      <c r="K310" s="127">
        <v>16000</v>
      </c>
      <c r="L310" s="127">
        <v>2</v>
      </c>
      <c r="M310" s="216">
        <v>80000</v>
      </c>
      <c r="N310" s="238">
        <v>10</v>
      </c>
      <c r="O310" s="126"/>
      <c r="P310" s="125">
        <f>Apr!BW278</f>
        <v>507</v>
      </c>
      <c r="Q310" s="125">
        <f>Apr!BU278</f>
        <v>2</v>
      </c>
      <c r="R310" s="436"/>
      <c r="S310" s="436"/>
      <c r="T310" s="127"/>
      <c r="U310" s="127"/>
      <c r="V310" s="127">
        <f t="shared" si="12"/>
        <v>0</v>
      </c>
      <c r="W310" s="46"/>
      <c r="X310" s="67"/>
    </row>
    <row r="311" spans="1:25" ht="15" customHeight="1">
      <c r="A311" s="427"/>
      <c r="B311" s="442" t="s">
        <v>45</v>
      </c>
      <c r="C311" s="471" t="s">
        <v>59</v>
      </c>
      <c r="D311" s="118" t="s">
        <v>75</v>
      </c>
      <c r="E311" s="438" t="s">
        <v>25</v>
      </c>
      <c r="F311" s="131" t="s">
        <v>57</v>
      </c>
      <c r="G311" s="87"/>
      <c r="H311" s="136"/>
      <c r="I311" s="126"/>
      <c r="J311" s="475"/>
      <c r="K311" s="127"/>
      <c r="L311" s="18"/>
      <c r="M311" s="18"/>
      <c r="N311" s="80"/>
      <c r="O311" s="126">
        <f>Apr!BV282</f>
        <v>1621</v>
      </c>
      <c r="P311" s="126">
        <f>Apr!BW282</f>
        <v>2318</v>
      </c>
      <c r="Q311" s="2">
        <f>Apr!BU282</f>
        <v>10</v>
      </c>
      <c r="R311" s="436"/>
      <c r="S311" s="436"/>
      <c r="T311" s="18">
        <v>6663</v>
      </c>
      <c r="U311" s="18"/>
      <c r="V311" s="127">
        <f t="shared" si="12"/>
        <v>86025</v>
      </c>
      <c r="W311" s="46"/>
      <c r="Y311" s="13"/>
    </row>
    <row r="312" spans="1:25" ht="15" customHeight="1">
      <c r="A312" s="427"/>
      <c r="B312" s="439"/>
      <c r="C312" s="471"/>
      <c r="D312" s="118" t="s">
        <v>291</v>
      </c>
      <c r="E312" s="430"/>
      <c r="F312" s="131" t="s">
        <v>57</v>
      </c>
      <c r="G312" s="87"/>
      <c r="H312" s="136"/>
      <c r="I312" s="126"/>
      <c r="J312" s="475"/>
      <c r="K312" s="127">
        <v>4900</v>
      </c>
      <c r="L312" s="18">
        <v>1</v>
      </c>
      <c r="M312" s="18">
        <v>24500</v>
      </c>
      <c r="N312" s="80">
        <v>5</v>
      </c>
      <c r="O312" s="126">
        <f>Apr!BV283</f>
        <v>1100</v>
      </c>
      <c r="P312" s="126">
        <f>Apr!BW283</f>
        <v>1166</v>
      </c>
      <c r="Q312" s="2">
        <f>Apr!BU283</f>
        <v>5</v>
      </c>
      <c r="R312" s="436"/>
      <c r="S312" s="436"/>
      <c r="T312" s="18"/>
      <c r="U312" s="18"/>
      <c r="V312" s="127">
        <f t="shared" si="12"/>
        <v>1976</v>
      </c>
      <c r="W312" s="46"/>
      <c r="Y312" s="13"/>
    </row>
    <row r="313" spans="1:25">
      <c r="A313" s="427"/>
      <c r="B313" s="439"/>
      <c r="C313" s="471"/>
      <c r="D313" s="118" t="s">
        <v>72</v>
      </c>
      <c r="E313" s="155" t="s">
        <v>24</v>
      </c>
      <c r="F313" s="131" t="s">
        <v>57</v>
      </c>
      <c r="G313" s="224"/>
      <c r="H313" s="136"/>
      <c r="I313" s="126"/>
      <c r="J313" s="475"/>
      <c r="K313" s="127">
        <v>15000</v>
      </c>
      <c r="L313" s="18">
        <v>3</v>
      </c>
      <c r="M313" s="18">
        <v>45000</v>
      </c>
      <c r="N313" s="80">
        <v>9</v>
      </c>
      <c r="O313" s="126">
        <f>Apr!BV284</f>
        <v>2336</v>
      </c>
      <c r="P313" s="126">
        <f>Apr!BW284</f>
        <v>5949</v>
      </c>
      <c r="Q313" s="126">
        <f>Apr!BU284</f>
        <v>26</v>
      </c>
      <c r="R313" s="436"/>
      <c r="S313" s="436"/>
      <c r="T313" s="18">
        <v>5726</v>
      </c>
      <c r="U313" s="18"/>
      <c r="V313" s="127">
        <f t="shared" si="12"/>
        <v>2987</v>
      </c>
      <c r="W313" s="46"/>
      <c r="Y313" s="13"/>
    </row>
    <row r="314" spans="1:25" ht="14.25" customHeight="1">
      <c r="A314" s="427"/>
      <c r="B314" s="439"/>
      <c r="C314" s="471"/>
      <c r="D314" s="115" t="s">
        <v>79</v>
      </c>
      <c r="E314" s="118" t="s">
        <v>65</v>
      </c>
      <c r="F314" s="131" t="s">
        <v>57</v>
      </c>
      <c r="G314" s="224"/>
      <c r="H314" s="37"/>
      <c r="I314" s="126"/>
      <c r="J314" s="475"/>
      <c r="K314" s="18"/>
      <c r="L314" s="18"/>
      <c r="M314" s="18"/>
      <c r="N314" s="80"/>
      <c r="O314" s="126"/>
      <c r="P314" s="126"/>
      <c r="Q314" s="126">
        <f>Apr!BU285</f>
        <v>1</v>
      </c>
      <c r="R314" s="436"/>
      <c r="S314" s="436"/>
      <c r="T314" s="18"/>
      <c r="U314" s="18"/>
      <c r="V314" s="127"/>
      <c r="W314" s="45"/>
      <c r="X314" s="36"/>
    </row>
    <row r="315" spans="1:25" ht="14.25" customHeight="1">
      <c r="A315" s="427"/>
      <c r="B315" s="443"/>
      <c r="C315" s="271" t="s">
        <v>299</v>
      </c>
      <c r="D315" s="115" t="s">
        <v>296</v>
      </c>
      <c r="E315" s="115" t="s">
        <v>25</v>
      </c>
      <c r="F315" s="131" t="s">
        <v>298</v>
      </c>
      <c r="G315" s="224"/>
      <c r="H315" s="37"/>
      <c r="I315" s="126"/>
      <c r="J315" s="475"/>
      <c r="K315" s="18"/>
      <c r="L315" s="18"/>
      <c r="M315" s="18"/>
      <c r="N315" s="80"/>
      <c r="O315" s="126"/>
      <c r="P315" s="126"/>
      <c r="Q315" s="126">
        <f>Apr!BU286</f>
        <v>1</v>
      </c>
      <c r="R315" s="436"/>
      <c r="S315" s="436"/>
      <c r="T315" s="18"/>
      <c r="U315" s="18"/>
      <c r="V315" s="127">
        <f>O315-T315-U315+V285</f>
        <v>0</v>
      </c>
      <c r="W315" s="45"/>
      <c r="X315" s="67"/>
    </row>
    <row r="316" spans="1:25" ht="14.25" customHeight="1">
      <c r="A316" s="427"/>
      <c r="B316" s="442" t="s">
        <v>53</v>
      </c>
      <c r="C316" s="444" t="s">
        <v>60</v>
      </c>
      <c r="D316" s="43" t="s">
        <v>130</v>
      </c>
      <c r="E316" s="115" t="s">
        <v>66</v>
      </c>
      <c r="F316" s="118" t="s">
        <v>54</v>
      </c>
      <c r="G316" s="224"/>
      <c r="H316" s="37"/>
      <c r="I316" s="126"/>
      <c r="J316" s="475"/>
      <c r="K316" s="18">
        <v>6000</v>
      </c>
      <c r="L316" s="18">
        <v>1</v>
      </c>
      <c r="M316" s="18">
        <v>84000</v>
      </c>
      <c r="N316" s="80">
        <v>14</v>
      </c>
      <c r="O316" s="126">
        <f>Apr!BV279</f>
        <v>7081</v>
      </c>
      <c r="P316" s="126">
        <f>Apr!BW279</f>
        <v>8097</v>
      </c>
      <c r="Q316" s="126">
        <f>Apr!BU279</f>
        <v>24</v>
      </c>
      <c r="R316" s="436"/>
      <c r="S316" s="436"/>
      <c r="T316" s="18">
        <v>5411</v>
      </c>
      <c r="U316" s="18"/>
      <c r="V316" s="127">
        <f>O316-T316-U316+V286</f>
        <v>6636</v>
      </c>
      <c r="W316" s="45"/>
      <c r="X316" s="67"/>
    </row>
    <row r="317" spans="1:25" ht="14.25" customHeight="1">
      <c r="A317" s="427"/>
      <c r="B317" s="443"/>
      <c r="C317" s="446"/>
      <c r="D317" s="43" t="s">
        <v>199</v>
      </c>
      <c r="E317" s="114" t="s">
        <v>25</v>
      </c>
      <c r="F317" s="118" t="s">
        <v>54</v>
      </c>
      <c r="G317" s="224"/>
      <c r="H317" s="135"/>
      <c r="I317" s="158"/>
      <c r="J317" s="475"/>
      <c r="K317" s="128"/>
      <c r="L317" s="128"/>
      <c r="M317" s="128"/>
      <c r="N317" s="164"/>
      <c r="O317" s="158"/>
      <c r="P317" s="158"/>
      <c r="Q317" s="158">
        <f>Apr!BU281</f>
        <v>1</v>
      </c>
      <c r="R317" s="436"/>
      <c r="S317" s="436"/>
      <c r="T317" s="18"/>
      <c r="U317" s="18"/>
      <c r="V317" s="127">
        <f>O317-T317-U317+V287</f>
        <v>500</v>
      </c>
      <c r="W317" s="45"/>
      <c r="X317" s="67"/>
    </row>
    <row r="318" spans="1:25" ht="15.75" customHeight="1">
      <c r="A318" s="427"/>
      <c r="B318" s="122" t="s">
        <v>55</v>
      </c>
      <c r="C318" s="180" t="s">
        <v>133</v>
      </c>
      <c r="D318" s="48" t="s">
        <v>56</v>
      </c>
      <c r="E318" s="424" t="s">
        <v>25</v>
      </c>
      <c r="F318" s="118" t="s">
        <v>67</v>
      </c>
      <c r="G318" s="226"/>
      <c r="H318" s="126"/>
      <c r="I318" s="126"/>
      <c r="J318" s="475"/>
      <c r="K318" s="18"/>
      <c r="L318" s="18"/>
      <c r="M318" s="18">
        <v>2800</v>
      </c>
      <c r="N318" s="18">
        <v>1</v>
      </c>
      <c r="O318" s="126"/>
      <c r="P318" s="126"/>
      <c r="Q318" s="126"/>
      <c r="R318" s="436"/>
      <c r="S318" s="436"/>
      <c r="T318" s="18"/>
      <c r="U318" s="18"/>
      <c r="V318" s="127">
        <f t="shared" ref="V318:V325" si="13">O318-T318-U318+V289</f>
        <v>500</v>
      </c>
      <c r="W318" s="45"/>
      <c r="X318" s="67"/>
    </row>
    <row r="319" spans="1:25" ht="15" customHeight="1">
      <c r="A319" s="427"/>
      <c r="B319" s="122" t="s">
        <v>122</v>
      </c>
      <c r="C319" s="180" t="s">
        <v>123</v>
      </c>
      <c r="D319" s="48" t="s">
        <v>56</v>
      </c>
      <c r="E319" s="441"/>
      <c r="F319" s="155" t="s">
        <v>64</v>
      </c>
      <c r="G319" s="119"/>
      <c r="H319" s="126"/>
      <c r="I319" s="126"/>
      <c r="J319" s="475"/>
      <c r="K319" s="18"/>
      <c r="L319" s="18"/>
      <c r="M319" s="18">
        <v>6400</v>
      </c>
      <c r="N319" s="18">
        <v>2</v>
      </c>
      <c r="O319" s="126"/>
      <c r="P319" s="126"/>
      <c r="Q319" s="126">
        <f>Apr!BU287</f>
        <v>1</v>
      </c>
      <c r="R319" s="436"/>
      <c r="S319" s="436"/>
      <c r="T319" s="18"/>
      <c r="U319" s="18"/>
      <c r="V319" s="127">
        <f t="shared" si="13"/>
        <v>31304</v>
      </c>
      <c r="W319" s="45"/>
      <c r="X319" s="67"/>
    </row>
    <row r="320" spans="1:25" ht="14.25" customHeight="1">
      <c r="A320" s="427"/>
      <c r="B320" s="137" t="s">
        <v>58</v>
      </c>
      <c r="C320" s="157" t="s">
        <v>243</v>
      </c>
      <c r="D320" s="48" t="s">
        <v>56</v>
      </c>
      <c r="E320" s="441"/>
      <c r="F320" s="118" t="s">
        <v>64</v>
      </c>
      <c r="G320" s="225"/>
      <c r="H320" s="126"/>
      <c r="I320" s="126"/>
      <c r="J320" s="475"/>
      <c r="K320" s="18"/>
      <c r="L320" s="18"/>
      <c r="M320" s="18"/>
      <c r="N320" s="80"/>
      <c r="O320" s="126"/>
      <c r="P320" s="126"/>
      <c r="Q320" s="126">
        <f>Apr!BU288</f>
        <v>1</v>
      </c>
      <c r="R320" s="436"/>
      <c r="S320" s="436"/>
      <c r="T320" s="18"/>
      <c r="U320" s="18"/>
      <c r="V320" s="127">
        <f t="shared" si="13"/>
        <v>8562</v>
      </c>
      <c r="W320" s="45"/>
      <c r="X320" s="67"/>
    </row>
    <row r="321" spans="1:24" ht="14.25" customHeight="1">
      <c r="A321" s="427"/>
      <c r="B321" s="122" t="s">
        <v>61</v>
      </c>
      <c r="C321" s="180" t="s">
        <v>137</v>
      </c>
      <c r="D321" s="48" t="s">
        <v>56</v>
      </c>
      <c r="E321" s="441"/>
      <c r="F321" s="118" t="s">
        <v>67</v>
      </c>
      <c r="G321" s="225"/>
      <c r="H321" s="126"/>
      <c r="I321" s="126"/>
      <c r="J321" s="475"/>
      <c r="K321" s="18"/>
      <c r="L321" s="18"/>
      <c r="M321" s="18"/>
      <c r="N321" s="80"/>
      <c r="O321" s="126"/>
      <c r="P321" s="126"/>
      <c r="Q321" s="126">
        <f>Apr!BU289</f>
        <v>1</v>
      </c>
      <c r="R321" s="436"/>
      <c r="S321" s="436"/>
      <c r="T321" s="18"/>
      <c r="U321" s="18"/>
      <c r="V321" s="127">
        <f t="shared" si="13"/>
        <v>5844</v>
      </c>
      <c r="W321" s="45"/>
      <c r="X321" s="67"/>
    </row>
    <row r="322" spans="1:24" ht="14.25" customHeight="1">
      <c r="A322" s="427"/>
      <c r="B322" s="122" t="s">
        <v>125</v>
      </c>
      <c r="C322" s="180" t="s">
        <v>88</v>
      </c>
      <c r="D322" s="48" t="s">
        <v>124</v>
      </c>
      <c r="E322" s="441"/>
      <c r="F322" s="118" t="s">
        <v>64</v>
      </c>
      <c r="G322" s="225"/>
      <c r="H322" s="126"/>
      <c r="I322" s="126"/>
      <c r="J322" s="475"/>
      <c r="K322" s="18"/>
      <c r="L322" s="18"/>
      <c r="M322" s="18">
        <v>51200</v>
      </c>
      <c r="N322" s="80">
        <v>7</v>
      </c>
      <c r="O322" s="126"/>
      <c r="P322" s="126"/>
      <c r="Q322" s="126"/>
      <c r="R322" s="436"/>
      <c r="S322" s="436"/>
      <c r="T322" s="18"/>
      <c r="U322" s="18"/>
      <c r="V322" s="127">
        <f t="shared" si="13"/>
        <v>23615</v>
      </c>
      <c r="W322" s="45"/>
      <c r="X322" s="67"/>
    </row>
    <row r="323" spans="1:24" ht="14.25" customHeight="1">
      <c r="A323" s="427"/>
      <c r="B323" s="137" t="s">
        <v>47</v>
      </c>
      <c r="C323" s="157" t="s">
        <v>100</v>
      </c>
      <c r="D323" s="48" t="s">
        <v>99</v>
      </c>
      <c r="E323" s="441"/>
      <c r="F323" s="118" t="s">
        <v>71</v>
      </c>
      <c r="G323" s="225"/>
      <c r="H323" s="126"/>
      <c r="I323" s="126"/>
      <c r="J323" s="475"/>
      <c r="K323" s="18"/>
      <c r="L323" s="18"/>
      <c r="M323" s="18">
        <v>18000</v>
      </c>
      <c r="N323" s="80">
        <v>3</v>
      </c>
      <c r="O323" s="126"/>
      <c r="P323" s="126"/>
      <c r="Q323" s="126"/>
      <c r="R323" s="436"/>
      <c r="S323" s="436"/>
      <c r="T323" s="18"/>
      <c r="U323" s="18"/>
      <c r="V323" s="127">
        <f t="shared" si="13"/>
        <v>32689</v>
      </c>
      <c r="W323" s="45"/>
      <c r="X323" s="67"/>
    </row>
    <row r="324" spans="1:24" ht="15" customHeight="1">
      <c r="A324" s="427"/>
      <c r="B324" s="122" t="s">
        <v>196</v>
      </c>
      <c r="C324" s="180" t="s">
        <v>63</v>
      </c>
      <c r="D324" s="48" t="s">
        <v>135</v>
      </c>
      <c r="E324" s="441"/>
      <c r="F324" s="118" t="s">
        <v>64</v>
      </c>
      <c r="G324" s="226"/>
      <c r="H324" s="126"/>
      <c r="I324" s="126"/>
      <c r="J324" s="475"/>
      <c r="K324" s="18"/>
      <c r="L324" s="18"/>
      <c r="M324" s="18">
        <v>33200</v>
      </c>
      <c r="N324" s="18">
        <v>4</v>
      </c>
      <c r="O324" s="126"/>
      <c r="P324" s="126"/>
      <c r="Q324" s="126"/>
      <c r="R324" s="436"/>
      <c r="S324" s="436"/>
      <c r="T324" s="18"/>
      <c r="U324" s="18"/>
      <c r="V324" s="127">
        <f t="shared" si="13"/>
        <v>15106</v>
      </c>
      <c r="W324" s="45"/>
      <c r="X324" s="67"/>
    </row>
    <row r="325" spans="1:24" ht="15" customHeight="1">
      <c r="A325" s="427"/>
      <c r="B325" s="122" t="s">
        <v>253</v>
      </c>
      <c r="C325" s="180" t="s">
        <v>252</v>
      </c>
      <c r="D325" s="48" t="s">
        <v>246</v>
      </c>
      <c r="E325" s="441"/>
      <c r="F325" s="118" t="s">
        <v>247</v>
      </c>
      <c r="G325" s="226"/>
      <c r="H325" s="126"/>
      <c r="I325" s="126"/>
      <c r="J325" s="475"/>
      <c r="K325" s="18"/>
      <c r="L325" s="18"/>
      <c r="M325" s="18"/>
      <c r="N325" s="18"/>
      <c r="O325" s="126"/>
      <c r="P325" s="126"/>
      <c r="Q325" s="126">
        <f>Apr!BU291</f>
        <v>1</v>
      </c>
      <c r="R325" s="436"/>
      <c r="S325" s="436"/>
      <c r="T325" s="18">
        <v>503</v>
      </c>
      <c r="U325" s="18"/>
      <c r="V325" s="127">
        <f t="shared" si="13"/>
        <v>0</v>
      </c>
      <c r="W325" s="45"/>
      <c r="X325" s="67"/>
    </row>
    <row r="326" spans="1:24" ht="15" customHeight="1">
      <c r="A326" s="427"/>
      <c r="B326" s="122" t="s">
        <v>289</v>
      </c>
      <c r="C326" s="180" t="s">
        <v>290</v>
      </c>
      <c r="D326" s="48" t="s">
        <v>291</v>
      </c>
      <c r="E326" s="441"/>
      <c r="F326" s="118" t="s">
        <v>292</v>
      </c>
      <c r="G326" s="119"/>
      <c r="H326" s="126"/>
      <c r="I326" s="126"/>
      <c r="J326" s="475"/>
      <c r="K326" s="18"/>
      <c r="L326" s="18"/>
      <c r="M326" s="18"/>
      <c r="N326" s="18"/>
      <c r="O326" s="126"/>
      <c r="P326" s="126"/>
      <c r="Q326" s="126">
        <f>Apr!BU292</f>
        <v>1</v>
      </c>
      <c r="R326" s="436"/>
      <c r="S326" s="436"/>
      <c r="T326" s="18"/>
      <c r="U326" s="18"/>
      <c r="V326" s="18"/>
      <c r="W326" s="45"/>
      <c r="X326" s="67"/>
    </row>
    <row r="327" spans="1:24" ht="15" customHeight="1">
      <c r="A327" s="427"/>
      <c r="B327" s="122" t="s">
        <v>131</v>
      </c>
      <c r="C327" s="180" t="s">
        <v>194</v>
      </c>
      <c r="D327" s="48" t="s">
        <v>132</v>
      </c>
      <c r="E327" s="441"/>
      <c r="F327" s="118" t="s">
        <v>64</v>
      </c>
      <c r="G327" s="119"/>
      <c r="H327" s="126"/>
      <c r="I327" s="126"/>
      <c r="J327" s="475"/>
      <c r="K327" s="18"/>
      <c r="L327" s="18"/>
      <c r="M327" s="18"/>
      <c r="N327" s="18"/>
      <c r="O327" s="126"/>
      <c r="P327" s="126"/>
      <c r="Q327" s="126"/>
      <c r="R327" s="436"/>
      <c r="S327" s="436"/>
      <c r="T327" s="18"/>
      <c r="U327" s="18"/>
      <c r="V327" s="18">
        <f>O327-T327-U327+V298</f>
        <v>1035</v>
      </c>
      <c r="W327" s="45"/>
      <c r="X327" s="67"/>
    </row>
    <row r="328" spans="1:24" ht="15" customHeight="1">
      <c r="A328" s="427"/>
      <c r="B328" s="122" t="s">
        <v>304</v>
      </c>
      <c r="C328" s="180" t="s">
        <v>250</v>
      </c>
      <c r="D328" s="48" t="s">
        <v>251</v>
      </c>
      <c r="E328" s="441"/>
      <c r="F328" s="118" t="s">
        <v>64</v>
      </c>
      <c r="G328" s="119"/>
      <c r="H328" s="126"/>
      <c r="I328" s="126"/>
      <c r="J328" s="475"/>
      <c r="K328" s="18"/>
      <c r="L328" s="18"/>
      <c r="M328" s="18"/>
      <c r="N328" s="18"/>
      <c r="O328" s="126">
        <f>Apr!BV294</f>
        <v>210</v>
      </c>
      <c r="P328" s="126">
        <f>Apr!BW294</f>
        <v>73</v>
      </c>
      <c r="Q328" s="126"/>
      <c r="R328" s="436"/>
      <c r="S328" s="436"/>
      <c r="T328" s="18"/>
      <c r="U328" s="18"/>
      <c r="V328" s="18">
        <f>O328-T328-U328+V299</f>
        <v>382</v>
      </c>
      <c r="W328" s="45"/>
      <c r="X328" s="67"/>
    </row>
    <row r="329" spans="1:24" ht="15" customHeight="1">
      <c r="A329" s="427"/>
      <c r="B329" s="122" t="s">
        <v>305</v>
      </c>
      <c r="C329" s="180" t="s">
        <v>306</v>
      </c>
      <c r="D329" s="48" t="s">
        <v>251</v>
      </c>
      <c r="E329" s="441"/>
      <c r="F329" s="118" t="s">
        <v>64</v>
      </c>
      <c r="G329" s="119"/>
      <c r="H329" s="126"/>
      <c r="I329" s="126"/>
      <c r="J329" s="475"/>
      <c r="K329" s="18"/>
      <c r="L329" s="18"/>
      <c r="M329" s="18"/>
      <c r="N329" s="18"/>
      <c r="O329" s="126">
        <f>Apr!BV293</f>
        <v>428</v>
      </c>
      <c r="P329" s="126">
        <f>Apr!BW293</f>
        <v>92</v>
      </c>
      <c r="Q329" s="126"/>
      <c r="R329" s="436"/>
      <c r="S329" s="436"/>
      <c r="T329" s="18"/>
      <c r="U329" s="18"/>
      <c r="V329" s="18">
        <f>O329-T329-U329+V301</f>
        <v>428</v>
      </c>
      <c r="W329" s="45"/>
      <c r="X329" s="67"/>
    </row>
    <row r="330" spans="1:24" s="4" customFormat="1" ht="15" customHeight="1">
      <c r="A330" s="427"/>
      <c r="B330" s="122" t="s">
        <v>315</v>
      </c>
      <c r="C330" s="180" t="s">
        <v>252</v>
      </c>
      <c r="D330" s="48" t="s">
        <v>246</v>
      </c>
      <c r="E330" s="441"/>
      <c r="F330" s="48" t="s">
        <v>64</v>
      </c>
      <c r="G330" s="122"/>
      <c r="H330" s="34"/>
      <c r="I330" s="34"/>
      <c r="J330" s="475"/>
      <c r="K330" s="211">
        <v>1000</v>
      </c>
      <c r="L330" s="211">
        <v>1</v>
      </c>
      <c r="M330" s="211"/>
      <c r="N330" s="211"/>
      <c r="O330" s="34"/>
      <c r="P330" s="34">
        <f>Apr!BW295</f>
        <v>118</v>
      </c>
      <c r="Q330" s="34">
        <f>Apr!BU295</f>
        <v>1</v>
      </c>
      <c r="R330" s="436"/>
      <c r="S330" s="436"/>
      <c r="T330" s="211"/>
      <c r="U330" s="211"/>
      <c r="V330" s="211"/>
      <c r="W330" s="260"/>
      <c r="X330" s="67"/>
    </row>
    <row r="331" spans="1:24" ht="15" customHeight="1">
      <c r="A331" s="427"/>
      <c r="B331" s="122" t="s">
        <v>101</v>
      </c>
      <c r="C331" s="180" t="s">
        <v>193</v>
      </c>
      <c r="D331" s="48" t="s">
        <v>102</v>
      </c>
      <c r="E331" s="441"/>
      <c r="F331" s="118" t="s">
        <v>64</v>
      </c>
      <c r="G331" s="119"/>
      <c r="H331" s="126"/>
      <c r="I331" s="126"/>
      <c r="J331" s="475"/>
      <c r="K331" s="18"/>
      <c r="L331" s="18"/>
      <c r="M331" s="18"/>
      <c r="N331" s="18"/>
      <c r="O331" s="126"/>
      <c r="P331" s="126"/>
      <c r="Q331" s="126">
        <f>Apr!BU297</f>
        <v>1</v>
      </c>
      <c r="R331" s="436"/>
      <c r="S331" s="436"/>
      <c r="T331" s="18"/>
      <c r="U331" s="18"/>
      <c r="V331" s="18"/>
      <c r="W331" s="45"/>
      <c r="X331" s="67"/>
    </row>
    <row r="332" spans="1:24" ht="15" customHeight="1">
      <c r="A332" s="427"/>
      <c r="B332" s="122" t="s">
        <v>103</v>
      </c>
      <c r="C332" s="157" t="s">
        <v>197</v>
      </c>
      <c r="D332" s="48" t="s">
        <v>104</v>
      </c>
      <c r="E332" s="441"/>
      <c r="F332" s="118" t="s">
        <v>105</v>
      </c>
      <c r="G332" s="119"/>
      <c r="H332" s="126"/>
      <c r="I332" s="126"/>
      <c r="J332" s="475"/>
      <c r="K332" s="18"/>
      <c r="L332" s="18"/>
      <c r="M332" s="18"/>
      <c r="N332" s="18"/>
      <c r="O332" s="126"/>
      <c r="P332" s="126"/>
      <c r="Q332" s="126">
        <f>Apr!BU298</f>
        <v>1</v>
      </c>
      <c r="R332" s="436"/>
      <c r="S332" s="436"/>
      <c r="T332" s="18"/>
      <c r="U332" s="18"/>
      <c r="V332" s="18"/>
      <c r="W332" s="45"/>
      <c r="X332" s="67"/>
    </row>
    <row r="333" spans="1:24" ht="15" customHeight="1">
      <c r="A333" s="427"/>
      <c r="B333" s="137" t="s">
        <v>112</v>
      </c>
      <c r="C333" s="157" t="s">
        <v>197</v>
      </c>
      <c r="D333" s="48" t="s">
        <v>104</v>
      </c>
      <c r="E333" s="441"/>
      <c r="F333" s="118" t="s">
        <v>113</v>
      </c>
      <c r="G333" s="119"/>
      <c r="H333" s="126"/>
      <c r="I333" s="126"/>
      <c r="J333" s="475"/>
      <c r="K333" s="18"/>
      <c r="L333" s="18"/>
      <c r="M333" s="18"/>
      <c r="N333" s="18"/>
      <c r="O333" s="126"/>
      <c r="P333" s="126"/>
      <c r="Q333" s="126">
        <f>Apr!BU301</f>
        <v>1</v>
      </c>
      <c r="R333" s="436"/>
      <c r="S333" s="436"/>
      <c r="T333" s="18"/>
      <c r="U333" s="18"/>
      <c r="V333" s="18"/>
      <c r="W333" s="45"/>
      <c r="X333" s="67"/>
    </row>
    <row r="334" spans="1:24" ht="15" customHeight="1">
      <c r="A334" s="427"/>
      <c r="B334" s="137" t="s">
        <v>106</v>
      </c>
      <c r="C334" s="157" t="s">
        <v>141</v>
      </c>
      <c r="D334" s="48" t="s">
        <v>68</v>
      </c>
      <c r="E334" s="441"/>
      <c r="F334" s="118" t="s">
        <v>67</v>
      </c>
      <c r="G334" s="119"/>
      <c r="H334" s="126"/>
      <c r="I334" s="126"/>
      <c r="J334" s="475"/>
      <c r="K334" s="18"/>
      <c r="L334" s="18"/>
      <c r="M334" s="18"/>
      <c r="N334" s="18"/>
      <c r="O334" s="126"/>
      <c r="P334" s="126"/>
      <c r="Q334" s="126">
        <f>Apr!BU299</f>
        <v>1</v>
      </c>
      <c r="R334" s="436"/>
      <c r="S334" s="436"/>
      <c r="T334" s="18"/>
      <c r="U334" s="18"/>
      <c r="V334" s="18"/>
      <c r="W334" s="45"/>
      <c r="X334" s="67"/>
    </row>
    <row r="335" spans="1:24" ht="15" customHeight="1" thickBot="1">
      <c r="A335" s="428"/>
      <c r="B335" s="44" t="s">
        <v>107</v>
      </c>
      <c r="C335" s="181" t="s">
        <v>195</v>
      </c>
      <c r="D335" s="61" t="s">
        <v>108</v>
      </c>
      <c r="E335" s="447"/>
      <c r="F335" s="133" t="s">
        <v>48</v>
      </c>
      <c r="G335" s="132"/>
      <c r="H335" s="109"/>
      <c r="I335" s="134"/>
      <c r="J335" s="476"/>
      <c r="K335" s="130"/>
      <c r="L335" s="130"/>
      <c r="M335" s="130"/>
      <c r="N335" s="130"/>
      <c r="O335" s="134"/>
      <c r="P335" s="134"/>
      <c r="Q335" s="134">
        <f>Apr!BU300</f>
        <v>1</v>
      </c>
      <c r="R335" s="437"/>
      <c r="S335" s="437"/>
      <c r="T335" s="130"/>
      <c r="U335" s="130"/>
      <c r="V335" s="128"/>
      <c r="W335" s="85"/>
      <c r="X335" s="67"/>
    </row>
    <row r="336" spans="1:24" ht="15" customHeight="1">
      <c r="A336" s="426">
        <v>46129</v>
      </c>
      <c r="B336" s="429" t="s">
        <v>44</v>
      </c>
      <c r="C336" s="432" t="s">
        <v>240</v>
      </c>
      <c r="D336" s="19" t="s">
        <v>37</v>
      </c>
      <c r="E336" s="19" t="s">
        <v>25</v>
      </c>
      <c r="F336" s="39" t="s">
        <v>40</v>
      </c>
      <c r="G336" s="41"/>
      <c r="H336" s="32"/>
      <c r="I336" s="32"/>
      <c r="J336" s="32"/>
      <c r="K336" s="20">
        <v>64000</v>
      </c>
      <c r="L336" s="20">
        <v>8</v>
      </c>
      <c r="M336" s="20">
        <v>232000</v>
      </c>
      <c r="N336" s="84">
        <v>29</v>
      </c>
      <c r="O336" s="32">
        <f>Apr!BY276</f>
        <v>31095</v>
      </c>
      <c r="P336" s="32">
        <f>Apr!BZ276</f>
        <v>28083</v>
      </c>
      <c r="Q336" s="32">
        <f>Apr!BX276</f>
        <v>73</v>
      </c>
      <c r="R336" s="435">
        <f>Apr!BY303</f>
        <v>75025</v>
      </c>
      <c r="S336" s="435">
        <f>Apr!BZ303</f>
        <v>74138</v>
      </c>
      <c r="T336" s="20">
        <v>25549</v>
      </c>
      <c r="U336" s="20"/>
      <c r="V336" s="20">
        <f>O336-T336-U336+V308</f>
        <v>104162</v>
      </c>
      <c r="W336" s="77"/>
      <c r="X336" s="36"/>
    </row>
    <row r="337" spans="1:25" ht="15" customHeight="1">
      <c r="A337" s="427"/>
      <c r="B337" s="430"/>
      <c r="C337" s="433"/>
      <c r="D337" s="113" t="s">
        <v>128</v>
      </c>
      <c r="E337" s="438" t="s">
        <v>24</v>
      </c>
      <c r="F337" s="118" t="s">
        <v>40</v>
      </c>
      <c r="G337" s="38"/>
      <c r="H337" s="37">
        <v>3037.5</v>
      </c>
      <c r="I337" s="125"/>
      <c r="J337" s="125"/>
      <c r="K337" s="18">
        <v>16000</v>
      </c>
      <c r="L337" s="127">
        <v>2</v>
      </c>
      <c r="M337" s="216"/>
      <c r="N337" s="238"/>
      <c r="O337" s="126">
        <f>Apr!BY277</f>
        <v>26474</v>
      </c>
      <c r="P337" s="125">
        <f>Apr!BZ277</f>
        <v>24902</v>
      </c>
      <c r="Q337" s="125">
        <f>Apr!BX277</f>
        <v>65</v>
      </c>
      <c r="R337" s="436"/>
      <c r="S337" s="436"/>
      <c r="T337" s="127">
        <v>25682</v>
      </c>
      <c r="U337" s="127"/>
      <c r="V337" s="127">
        <f>O337-T337-U337+V309</f>
        <v>6589</v>
      </c>
      <c r="W337" s="46"/>
      <c r="X337" s="67"/>
    </row>
    <row r="338" spans="1:25" ht="15" customHeight="1">
      <c r="A338" s="427"/>
      <c r="B338" s="431"/>
      <c r="C338" s="434"/>
      <c r="D338" s="113" t="s">
        <v>307</v>
      </c>
      <c r="E338" s="431"/>
      <c r="F338" s="118" t="s">
        <v>40</v>
      </c>
      <c r="G338" s="170">
        <v>6556.48</v>
      </c>
      <c r="H338" s="135"/>
      <c r="I338" s="125"/>
      <c r="J338" s="125"/>
      <c r="K338" s="127">
        <v>63700</v>
      </c>
      <c r="L338" s="127">
        <v>8</v>
      </c>
      <c r="M338" s="216">
        <v>111700</v>
      </c>
      <c r="N338" s="238">
        <v>14</v>
      </c>
      <c r="O338" s="126">
        <f>Apr!BY278</f>
        <v>196</v>
      </c>
      <c r="P338" s="125">
        <f>Apr!BZ278</f>
        <v>3312</v>
      </c>
      <c r="Q338" s="125">
        <f>Apr!BX278</f>
        <v>10</v>
      </c>
      <c r="R338" s="436"/>
      <c r="S338" s="436"/>
      <c r="T338" s="127"/>
      <c r="U338" s="127"/>
      <c r="V338" s="127">
        <f>O338-T338-U338+V310</f>
        <v>196</v>
      </c>
      <c r="W338" s="46"/>
      <c r="X338" s="67"/>
    </row>
    <row r="339" spans="1:25" ht="15" customHeight="1">
      <c r="A339" s="427"/>
      <c r="B339" s="442" t="s">
        <v>45</v>
      </c>
      <c r="C339" s="471" t="s">
        <v>59</v>
      </c>
      <c r="D339" s="118" t="s">
        <v>75</v>
      </c>
      <c r="E339" s="438" t="s">
        <v>25</v>
      </c>
      <c r="F339" s="131" t="s">
        <v>57</v>
      </c>
      <c r="G339" s="87"/>
      <c r="H339" s="136"/>
      <c r="I339" s="126"/>
      <c r="J339" s="2"/>
      <c r="K339" s="127"/>
      <c r="L339" s="18"/>
      <c r="M339" s="18"/>
      <c r="N339" s="80"/>
      <c r="O339" s="126">
        <f>Apr!BY282</f>
        <v>3402</v>
      </c>
      <c r="P339" s="126">
        <f>Apr!BZ282</f>
        <v>1345</v>
      </c>
      <c r="Q339" s="2">
        <f>Apr!BX282</f>
        <v>7</v>
      </c>
      <c r="R339" s="436"/>
      <c r="S339" s="436"/>
      <c r="T339" s="18">
        <v>6529</v>
      </c>
      <c r="U339" s="18">
        <v>6</v>
      </c>
      <c r="V339" s="127">
        <f>O339-T339-U339+V311</f>
        <v>82892</v>
      </c>
      <c r="W339" s="46"/>
      <c r="Y339" s="13"/>
    </row>
    <row r="340" spans="1:25" ht="15" customHeight="1">
      <c r="A340" s="427"/>
      <c r="B340" s="439"/>
      <c r="C340" s="471"/>
      <c r="D340" s="118" t="s">
        <v>291</v>
      </c>
      <c r="E340" s="430"/>
      <c r="F340" s="131" t="s">
        <v>57</v>
      </c>
      <c r="G340" s="87"/>
      <c r="H340" s="136"/>
      <c r="I340" s="126"/>
      <c r="J340" s="2"/>
      <c r="K340" s="127">
        <v>14700</v>
      </c>
      <c r="L340" s="18">
        <v>3</v>
      </c>
      <c r="M340" s="18">
        <v>9800</v>
      </c>
      <c r="N340" s="80">
        <v>2</v>
      </c>
      <c r="O340" s="126"/>
      <c r="P340" s="126">
        <f>Apr!BZ283</f>
        <v>1976</v>
      </c>
      <c r="Q340" s="2">
        <f>Apr!BX283</f>
        <v>8</v>
      </c>
      <c r="R340" s="436"/>
      <c r="S340" s="436"/>
      <c r="T340" s="18"/>
      <c r="U340" s="18"/>
      <c r="V340" s="127">
        <f>O340-T340-U340+V312</f>
        <v>1976</v>
      </c>
      <c r="W340" s="46"/>
      <c r="Y340" s="13"/>
    </row>
    <row r="341" spans="1:25" ht="15" customHeight="1">
      <c r="A341" s="427"/>
      <c r="B341" s="439"/>
      <c r="C341" s="471"/>
      <c r="D341" s="118" t="s">
        <v>94</v>
      </c>
      <c r="E341" s="431"/>
      <c r="F341" s="131"/>
      <c r="G341" s="87"/>
      <c r="H341" s="152">
        <v>1620</v>
      </c>
      <c r="I341" s="126"/>
      <c r="J341" s="2"/>
      <c r="K341" s="127"/>
      <c r="L341" s="18"/>
      <c r="M341" s="18"/>
      <c r="N341" s="80"/>
      <c r="O341" s="126"/>
      <c r="P341" s="126"/>
      <c r="Q341" s="2"/>
      <c r="R341" s="436"/>
      <c r="S341" s="436"/>
      <c r="T341" s="18"/>
      <c r="U341" s="18"/>
      <c r="V341" s="127"/>
      <c r="W341" s="46"/>
      <c r="Y341" s="13"/>
    </row>
    <row r="342" spans="1:25">
      <c r="A342" s="427"/>
      <c r="B342" s="439"/>
      <c r="C342" s="471"/>
      <c r="D342" s="118" t="s">
        <v>72</v>
      </c>
      <c r="E342" s="424" t="s">
        <v>24</v>
      </c>
      <c r="F342" s="131" t="s">
        <v>57</v>
      </c>
      <c r="G342" s="224"/>
      <c r="H342" s="152"/>
      <c r="I342" s="126"/>
      <c r="J342" s="126"/>
      <c r="K342" s="127"/>
      <c r="L342" s="18"/>
      <c r="M342" s="18">
        <v>45000</v>
      </c>
      <c r="N342" s="80">
        <v>9</v>
      </c>
      <c r="O342" s="126">
        <f>Apr!BY284</f>
        <v>2095</v>
      </c>
      <c r="P342" s="126">
        <f>Apr!BZ284</f>
        <v>6058</v>
      </c>
      <c r="Q342" s="126">
        <f>Apr!BX284</f>
        <v>26</v>
      </c>
      <c r="R342" s="436"/>
      <c r="S342" s="436"/>
      <c r="T342" s="18"/>
      <c r="U342" s="18"/>
      <c r="V342" s="127">
        <f>O342-T342-U342+V313</f>
        <v>5082</v>
      </c>
      <c r="W342" s="46"/>
      <c r="Y342" s="13"/>
    </row>
    <row r="343" spans="1:25">
      <c r="A343" s="427"/>
      <c r="B343" s="439"/>
      <c r="C343" s="471"/>
      <c r="D343" s="115" t="s">
        <v>73</v>
      </c>
      <c r="E343" s="425"/>
      <c r="F343" s="131"/>
      <c r="G343" s="224"/>
      <c r="H343" s="152">
        <v>1980</v>
      </c>
      <c r="I343" s="126"/>
      <c r="J343" s="126"/>
      <c r="K343" s="127"/>
      <c r="L343" s="18"/>
      <c r="M343" s="18"/>
      <c r="N343" s="80"/>
      <c r="O343" s="126"/>
      <c r="P343" s="126"/>
      <c r="Q343" s="126"/>
      <c r="R343" s="436"/>
      <c r="S343" s="436"/>
      <c r="T343" s="18"/>
      <c r="U343" s="18"/>
      <c r="V343" s="127"/>
      <c r="W343" s="46"/>
      <c r="Y343" s="13"/>
    </row>
    <row r="344" spans="1:25" ht="14.25" customHeight="1">
      <c r="A344" s="427"/>
      <c r="B344" s="439"/>
      <c r="C344" s="471"/>
      <c r="D344" s="115" t="s">
        <v>79</v>
      </c>
      <c r="E344" s="118" t="s">
        <v>65</v>
      </c>
      <c r="F344" s="131" t="s">
        <v>57</v>
      </c>
      <c r="G344" s="224"/>
      <c r="H344" s="37"/>
      <c r="I344" s="126"/>
      <c r="J344" s="126"/>
      <c r="K344" s="18"/>
      <c r="L344" s="18"/>
      <c r="M344" s="18"/>
      <c r="N344" s="80"/>
      <c r="O344" s="126"/>
      <c r="P344" s="126"/>
      <c r="Q344" s="126">
        <f>Apr!BX285</f>
        <v>1</v>
      </c>
      <c r="R344" s="436"/>
      <c r="S344" s="436"/>
      <c r="T344" s="18"/>
      <c r="U344" s="18"/>
      <c r="V344" s="127"/>
      <c r="W344" s="45"/>
      <c r="X344" s="36"/>
    </row>
    <row r="345" spans="1:25" ht="14.25" customHeight="1">
      <c r="A345" s="427"/>
      <c r="B345" s="443"/>
      <c r="C345" s="271" t="s">
        <v>299</v>
      </c>
      <c r="D345" s="115" t="s">
        <v>296</v>
      </c>
      <c r="E345" s="115" t="s">
        <v>25</v>
      </c>
      <c r="F345" s="131" t="s">
        <v>298</v>
      </c>
      <c r="G345" s="224"/>
      <c r="H345" s="37"/>
      <c r="I345" s="126"/>
      <c r="J345" s="126"/>
      <c r="K345" s="18"/>
      <c r="L345" s="18"/>
      <c r="M345" s="18"/>
      <c r="N345" s="80"/>
      <c r="O345" s="126"/>
      <c r="P345" s="126"/>
      <c r="Q345" s="126">
        <f>Apr!BX286</f>
        <v>1</v>
      </c>
      <c r="R345" s="436"/>
      <c r="S345" s="436"/>
      <c r="T345" s="18"/>
      <c r="U345" s="18"/>
      <c r="V345" s="127">
        <f t="shared" ref="V345:V355" si="14">O345-T345-U345+V315</f>
        <v>0</v>
      </c>
      <c r="W345" s="45"/>
      <c r="X345" s="67"/>
    </row>
    <row r="346" spans="1:25" ht="14.25" customHeight="1">
      <c r="A346" s="427"/>
      <c r="B346" s="442" t="s">
        <v>53</v>
      </c>
      <c r="C346" s="444" t="s">
        <v>60</v>
      </c>
      <c r="D346" s="43" t="s">
        <v>130</v>
      </c>
      <c r="E346" s="115" t="s">
        <v>66</v>
      </c>
      <c r="F346" s="118" t="s">
        <v>54</v>
      </c>
      <c r="G346" s="224"/>
      <c r="H346" s="37"/>
      <c r="I346" s="126"/>
      <c r="J346" s="126"/>
      <c r="K346" s="18">
        <v>12000</v>
      </c>
      <c r="L346" s="18">
        <v>2</v>
      </c>
      <c r="M346" s="18">
        <v>72000</v>
      </c>
      <c r="N346" s="80">
        <v>12</v>
      </c>
      <c r="O346" s="126">
        <f>Apr!BY279</f>
        <v>11763</v>
      </c>
      <c r="P346" s="126">
        <f>Apr!BZ279</f>
        <v>7932</v>
      </c>
      <c r="Q346" s="126">
        <f>Apr!BX279</f>
        <v>24</v>
      </c>
      <c r="R346" s="436"/>
      <c r="S346" s="436"/>
      <c r="T346" s="18">
        <v>7042</v>
      </c>
      <c r="U346" s="18"/>
      <c r="V346" s="127">
        <f t="shared" si="14"/>
        <v>11357</v>
      </c>
      <c r="W346" s="45"/>
      <c r="X346" s="67"/>
    </row>
    <row r="347" spans="1:25" ht="14.25" customHeight="1">
      <c r="A347" s="427"/>
      <c r="B347" s="443"/>
      <c r="C347" s="446"/>
      <c r="D347" s="43" t="s">
        <v>199</v>
      </c>
      <c r="E347" s="114" t="s">
        <v>25</v>
      </c>
      <c r="F347" s="118" t="s">
        <v>54</v>
      </c>
      <c r="G347" s="224"/>
      <c r="H347" s="135"/>
      <c r="I347" s="158"/>
      <c r="J347" s="158"/>
      <c r="K347" s="128"/>
      <c r="L347" s="128"/>
      <c r="M347" s="128"/>
      <c r="N347" s="164"/>
      <c r="O347" s="158"/>
      <c r="P347" s="158"/>
      <c r="Q347" s="158">
        <f>Apr!BX281</f>
        <v>1</v>
      </c>
      <c r="R347" s="436"/>
      <c r="S347" s="436"/>
      <c r="T347" s="18">
        <v>500</v>
      </c>
      <c r="U347" s="18"/>
      <c r="V347" s="127">
        <f t="shared" si="14"/>
        <v>0</v>
      </c>
      <c r="W347" s="45"/>
      <c r="X347" s="67"/>
    </row>
    <row r="348" spans="1:25" ht="15.75" customHeight="1">
      <c r="A348" s="427"/>
      <c r="B348" s="122" t="s">
        <v>55</v>
      </c>
      <c r="C348" s="180" t="s">
        <v>133</v>
      </c>
      <c r="D348" s="48" t="s">
        <v>56</v>
      </c>
      <c r="E348" s="424" t="s">
        <v>25</v>
      </c>
      <c r="F348" s="118" t="s">
        <v>67</v>
      </c>
      <c r="G348" s="226"/>
      <c r="H348" s="126"/>
      <c r="I348" s="126"/>
      <c r="J348" s="2"/>
      <c r="K348" s="18"/>
      <c r="L348" s="18"/>
      <c r="M348" s="18">
        <v>2800</v>
      </c>
      <c r="N348" s="18">
        <v>1</v>
      </c>
      <c r="O348" s="126"/>
      <c r="P348" s="126"/>
      <c r="Q348" s="126"/>
      <c r="R348" s="436"/>
      <c r="S348" s="436"/>
      <c r="T348" s="18"/>
      <c r="U348" s="18"/>
      <c r="V348" s="127">
        <f t="shared" si="14"/>
        <v>500</v>
      </c>
      <c r="W348" s="45"/>
      <c r="X348" s="67"/>
    </row>
    <row r="349" spans="1:25" ht="15" customHeight="1">
      <c r="A349" s="427"/>
      <c r="B349" s="122" t="s">
        <v>122</v>
      </c>
      <c r="C349" s="180" t="s">
        <v>123</v>
      </c>
      <c r="D349" s="48" t="s">
        <v>56</v>
      </c>
      <c r="E349" s="441"/>
      <c r="F349" s="155" t="s">
        <v>64</v>
      </c>
      <c r="G349" s="119"/>
      <c r="H349" s="126"/>
      <c r="I349" s="126"/>
      <c r="J349" s="2"/>
      <c r="K349" s="18"/>
      <c r="L349" s="18"/>
      <c r="M349" s="18">
        <v>6400</v>
      </c>
      <c r="N349" s="18">
        <v>2</v>
      </c>
      <c r="O349" s="126"/>
      <c r="P349" s="126"/>
      <c r="Q349" s="126">
        <f>Apr!BX287</f>
        <v>1</v>
      </c>
      <c r="R349" s="436"/>
      <c r="S349" s="436"/>
      <c r="T349" s="18"/>
      <c r="U349" s="18"/>
      <c r="V349" s="127">
        <f t="shared" si="14"/>
        <v>31304</v>
      </c>
      <c r="W349" s="45"/>
      <c r="X349" s="67"/>
    </row>
    <row r="350" spans="1:25" ht="14.25" customHeight="1">
      <c r="A350" s="427"/>
      <c r="B350" s="137" t="s">
        <v>58</v>
      </c>
      <c r="C350" s="157" t="s">
        <v>243</v>
      </c>
      <c r="D350" s="48" t="s">
        <v>56</v>
      </c>
      <c r="E350" s="441"/>
      <c r="F350" s="118" t="s">
        <v>64</v>
      </c>
      <c r="G350" s="225"/>
      <c r="H350" s="126"/>
      <c r="I350" s="126"/>
      <c r="J350" s="126"/>
      <c r="K350" s="18"/>
      <c r="L350" s="18"/>
      <c r="M350" s="18"/>
      <c r="N350" s="80"/>
      <c r="O350" s="126"/>
      <c r="P350" s="126"/>
      <c r="Q350" s="126">
        <f>Apr!BX288</f>
        <v>1</v>
      </c>
      <c r="R350" s="436"/>
      <c r="S350" s="436"/>
      <c r="T350" s="18"/>
      <c r="U350" s="18"/>
      <c r="V350" s="127">
        <f t="shared" si="14"/>
        <v>8562</v>
      </c>
      <c r="W350" s="45"/>
      <c r="X350" s="67"/>
    </row>
    <row r="351" spans="1:25" ht="14.25" customHeight="1">
      <c r="A351" s="427"/>
      <c r="B351" s="122" t="s">
        <v>61</v>
      </c>
      <c r="C351" s="180" t="s">
        <v>137</v>
      </c>
      <c r="D351" s="48" t="s">
        <v>56</v>
      </c>
      <c r="E351" s="441"/>
      <c r="F351" s="118" t="s">
        <v>67</v>
      </c>
      <c r="G351" s="225"/>
      <c r="H351" s="126"/>
      <c r="I351" s="126"/>
      <c r="J351" s="126"/>
      <c r="K351" s="18"/>
      <c r="L351" s="18"/>
      <c r="M351" s="18"/>
      <c r="N351" s="80"/>
      <c r="O351" s="126"/>
      <c r="P351" s="126"/>
      <c r="Q351" s="126">
        <f>Apr!BX289</f>
        <v>1</v>
      </c>
      <c r="R351" s="436"/>
      <c r="S351" s="436"/>
      <c r="T351" s="18"/>
      <c r="U351" s="18"/>
      <c r="V351" s="127">
        <f t="shared" si="14"/>
        <v>5844</v>
      </c>
      <c r="W351" s="45"/>
      <c r="X351" s="67"/>
    </row>
    <row r="352" spans="1:25" ht="14.25" customHeight="1">
      <c r="A352" s="427"/>
      <c r="B352" s="122" t="s">
        <v>125</v>
      </c>
      <c r="C352" s="180" t="s">
        <v>88</v>
      </c>
      <c r="D352" s="48" t="s">
        <v>124</v>
      </c>
      <c r="E352" s="441"/>
      <c r="F352" s="118" t="s">
        <v>64</v>
      </c>
      <c r="G352" s="225"/>
      <c r="H352" s="126"/>
      <c r="I352" s="126"/>
      <c r="J352" s="126"/>
      <c r="K352" s="18"/>
      <c r="L352" s="18"/>
      <c r="M352" s="18">
        <v>51200</v>
      </c>
      <c r="N352" s="80">
        <v>7</v>
      </c>
      <c r="O352" s="126"/>
      <c r="P352" s="126"/>
      <c r="Q352" s="126"/>
      <c r="R352" s="436"/>
      <c r="S352" s="436"/>
      <c r="T352" s="18"/>
      <c r="U352" s="18"/>
      <c r="V352" s="127">
        <f t="shared" si="14"/>
        <v>23615</v>
      </c>
      <c r="W352" s="45"/>
      <c r="X352" s="67"/>
    </row>
    <row r="353" spans="1:24" ht="14.25" customHeight="1">
      <c r="A353" s="427"/>
      <c r="B353" s="137" t="s">
        <v>47</v>
      </c>
      <c r="C353" s="157" t="s">
        <v>100</v>
      </c>
      <c r="D353" s="48" t="s">
        <v>99</v>
      </c>
      <c r="E353" s="441"/>
      <c r="F353" s="118" t="s">
        <v>71</v>
      </c>
      <c r="G353" s="225"/>
      <c r="H353" s="126"/>
      <c r="I353" s="126"/>
      <c r="J353" s="126"/>
      <c r="K353" s="18"/>
      <c r="L353" s="18"/>
      <c r="M353" s="18">
        <v>18000</v>
      </c>
      <c r="N353" s="80">
        <v>3</v>
      </c>
      <c r="O353" s="126"/>
      <c r="P353" s="126"/>
      <c r="Q353" s="126"/>
      <c r="R353" s="436"/>
      <c r="S353" s="436"/>
      <c r="T353" s="18"/>
      <c r="U353" s="18"/>
      <c r="V353" s="127">
        <f t="shared" si="14"/>
        <v>32689</v>
      </c>
      <c r="W353" s="45"/>
      <c r="X353" s="67"/>
    </row>
    <row r="354" spans="1:24" ht="15" customHeight="1">
      <c r="A354" s="427"/>
      <c r="B354" s="122" t="s">
        <v>196</v>
      </c>
      <c r="C354" s="180" t="s">
        <v>63</v>
      </c>
      <c r="D354" s="48" t="s">
        <v>135</v>
      </c>
      <c r="E354" s="441"/>
      <c r="F354" s="118" t="s">
        <v>64</v>
      </c>
      <c r="G354" s="226"/>
      <c r="H354" s="126"/>
      <c r="I354" s="126"/>
      <c r="J354" s="2"/>
      <c r="K354" s="18"/>
      <c r="L354" s="18"/>
      <c r="M354" s="18">
        <v>33200</v>
      </c>
      <c r="N354" s="18">
        <v>4</v>
      </c>
      <c r="O354" s="126"/>
      <c r="P354" s="126"/>
      <c r="Q354" s="126"/>
      <c r="R354" s="436"/>
      <c r="S354" s="436"/>
      <c r="T354" s="18"/>
      <c r="U354" s="18"/>
      <c r="V354" s="127">
        <f t="shared" si="14"/>
        <v>15106</v>
      </c>
      <c r="W354" s="45"/>
      <c r="X354" s="67"/>
    </row>
    <row r="355" spans="1:24" ht="15" customHeight="1">
      <c r="A355" s="427"/>
      <c r="B355" s="122" t="s">
        <v>253</v>
      </c>
      <c r="C355" s="180" t="s">
        <v>252</v>
      </c>
      <c r="D355" s="48" t="s">
        <v>246</v>
      </c>
      <c r="E355" s="441"/>
      <c r="F355" s="118" t="s">
        <v>247</v>
      </c>
      <c r="G355" s="226"/>
      <c r="H355" s="126"/>
      <c r="I355" s="126"/>
      <c r="J355" s="2"/>
      <c r="K355" s="18"/>
      <c r="L355" s="18"/>
      <c r="M355" s="18"/>
      <c r="N355" s="18"/>
      <c r="O355" s="126"/>
      <c r="P355" s="126"/>
      <c r="Q355" s="126">
        <f>Apr!BX291</f>
        <v>1</v>
      </c>
      <c r="R355" s="436"/>
      <c r="S355" s="436"/>
      <c r="T355" s="18"/>
      <c r="U355" s="18"/>
      <c r="V355" s="127">
        <f t="shared" si="14"/>
        <v>0</v>
      </c>
      <c r="W355" s="45"/>
      <c r="X355" s="67"/>
    </row>
    <row r="356" spans="1:24" ht="15" customHeight="1">
      <c r="A356" s="427"/>
      <c r="B356" s="122" t="s">
        <v>289</v>
      </c>
      <c r="C356" s="180" t="s">
        <v>290</v>
      </c>
      <c r="D356" s="48" t="s">
        <v>291</v>
      </c>
      <c r="E356" s="441"/>
      <c r="F356" s="118" t="s">
        <v>292</v>
      </c>
      <c r="G356" s="119"/>
      <c r="H356" s="126"/>
      <c r="I356" s="126"/>
      <c r="J356" s="2"/>
      <c r="K356" s="18"/>
      <c r="L356" s="18"/>
      <c r="M356" s="18"/>
      <c r="N356" s="18"/>
      <c r="O356" s="126"/>
      <c r="P356" s="126"/>
      <c r="Q356" s="126">
        <f>Apr!BX292</f>
        <v>1</v>
      </c>
      <c r="R356" s="436"/>
      <c r="S356" s="436"/>
      <c r="T356" s="18"/>
      <c r="U356" s="18"/>
      <c r="V356" s="18"/>
      <c r="W356" s="45"/>
      <c r="X356" s="67"/>
    </row>
    <row r="357" spans="1:24" ht="15" customHeight="1">
      <c r="A357" s="427"/>
      <c r="B357" s="122" t="s">
        <v>131</v>
      </c>
      <c r="C357" s="180" t="s">
        <v>194</v>
      </c>
      <c r="D357" s="48" t="s">
        <v>132</v>
      </c>
      <c r="E357" s="441"/>
      <c r="F357" s="118" t="s">
        <v>64</v>
      </c>
      <c r="G357" s="119"/>
      <c r="H357" s="126"/>
      <c r="I357" s="126"/>
      <c r="J357" s="2"/>
      <c r="K357" s="18"/>
      <c r="L357" s="18"/>
      <c r="M357" s="18"/>
      <c r="N357" s="18"/>
      <c r="O357" s="126"/>
      <c r="P357" s="126"/>
      <c r="Q357" s="126"/>
      <c r="R357" s="436"/>
      <c r="S357" s="436"/>
      <c r="T357" s="18"/>
      <c r="U357" s="18"/>
      <c r="V357" s="18">
        <f>O357-T357-U357+V327</f>
        <v>1035</v>
      </c>
      <c r="W357" s="45"/>
      <c r="X357" s="67"/>
    </row>
    <row r="358" spans="1:24" ht="15" customHeight="1">
      <c r="A358" s="427"/>
      <c r="B358" s="122" t="s">
        <v>304</v>
      </c>
      <c r="C358" s="180" t="s">
        <v>250</v>
      </c>
      <c r="D358" s="48" t="s">
        <v>251</v>
      </c>
      <c r="E358" s="441"/>
      <c r="F358" s="118" t="s">
        <v>64</v>
      </c>
      <c r="G358" s="119"/>
      <c r="H358" s="126"/>
      <c r="I358" s="126"/>
      <c r="J358" s="2"/>
      <c r="K358" s="18"/>
      <c r="L358" s="18"/>
      <c r="M358" s="18"/>
      <c r="N358" s="18"/>
      <c r="O358" s="126"/>
      <c r="P358" s="126"/>
      <c r="Q358" s="126"/>
      <c r="R358" s="436"/>
      <c r="S358" s="436"/>
      <c r="T358" s="18">
        <v>379</v>
      </c>
      <c r="U358" s="18">
        <v>3</v>
      </c>
      <c r="V358" s="18">
        <f>O358-T358-U358+V328</f>
        <v>0</v>
      </c>
      <c r="W358" s="45"/>
      <c r="X358" s="67"/>
    </row>
    <row r="359" spans="1:24" ht="15" customHeight="1">
      <c r="A359" s="427"/>
      <c r="B359" s="122" t="s">
        <v>305</v>
      </c>
      <c r="C359" s="180" t="s">
        <v>306</v>
      </c>
      <c r="D359" s="48" t="s">
        <v>251</v>
      </c>
      <c r="E359" s="441"/>
      <c r="F359" s="118" t="s">
        <v>64</v>
      </c>
      <c r="G359" s="119"/>
      <c r="H359" s="126"/>
      <c r="I359" s="126"/>
      <c r="J359" s="2"/>
      <c r="K359" s="18"/>
      <c r="L359" s="18"/>
      <c r="M359" s="18"/>
      <c r="N359" s="18"/>
      <c r="O359" s="126"/>
      <c r="P359" s="126"/>
      <c r="Q359" s="126"/>
      <c r="R359" s="436"/>
      <c r="S359" s="436"/>
      <c r="T359" s="18">
        <v>428</v>
      </c>
      <c r="U359" s="18"/>
      <c r="V359" s="18">
        <f>O359-T359-U359+V329</f>
        <v>0</v>
      </c>
      <c r="W359" s="45"/>
      <c r="X359" s="67"/>
    </row>
    <row r="360" spans="1:24" ht="15" customHeight="1">
      <c r="A360" s="427"/>
      <c r="B360" s="122" t="s">
        <v>315</v>
      </c>
      <c r="C360" s="180" t="s">
        <v>252</v>
      </c>
      <c r="D360" s="48" t="s">
        <v>246</v>
      </c>
      <c r="E360" s="441"/>
      <c r="F360" s="118" t="s">
        <v>64</v>
      </c>
      <c r="G360" s="119"/>
      <c r="H360" s="126"/>
      <c r="I360" s="126"/>
      <c r="J360" s="2"/>
      <c r="K360" s="18"/>
      <c r="L360" s="18"/>
      <c r="M360" s="18"/>
      <c r="N360" s="18"/>
      <c r="O360" s="126"/>
      <c r="P360" s="34">
        <f>Apr!BZ295</f>
        <v>268</v>
      </c>
      <c r="Q360" s="126">
        <f>Apr!BX295</f>
        <v>1</v>
      </c>
      <c r="R360" s="436"/>
      <c r="S360" s="436"/>
      <c r="T360" s="18"/>
      <c r="U360" s="18"/>
      <c r="V360" s="18"/>
      <c r="W360" s="45"/>
      <c r="X360" s="67"/>
    </row>
    <row r="361" spans="1:24" ht="15" customHeight="1">
      <c r="A361" s="427"/>
      <c r="B361" s="122" t="s">
        <v>101</v>
      </c>
      <c r="C361" s="180" t="s">
        <v>193</v>
      </c>
      <c r="D361" s="48" t="s">
        <v>102</v>
      </c>
      <c r="E361" s="441"/>
      <c r="F361" s="118" t="s">
        <v>64</v>
      </c>
      <c r="G361" s="119"/>
      <c r="H361" s="126"/>
      <c r="I361" s="126"/>
      <c r="J361" s="2"/>
      <c r="K361" s="18"/>
      <c r="L361" s="18"/>
      <c r="M361" s="18"/>
      <c r="N361" s="18"/>
      <c r="O361" s="126"/>
      <c r="P361" s="34"/>
      <c r="Q361" s="126">
        <f>Apr!BX297</f>
        <v>1</v>
      </c>
      <c r="R361" s="436"/>
      <c r="S361" s="436"/>
      <c r="T361" s="18"/>
      <c r="U361" s="18"/>
      <c r="V361" s="18"/>
      <c r="W361" s="45"/>
      <c r="X361" s="67"/>
    </row>
    <row r="362" spans="1:24" ht="15" customHeight="1">
      <c r="A362" s="427"/>
      <c r="B362" s="122" t="s">
        <v>103</v>
      </c>
      <c r="C362" s="157" t="s">
        <v>197</v>
      </c>
      <c r="D362" s="48" t="s">
        <v>104</v>
      </c>
      <c r="E362" s="441"/>
      <c r="F362" s="118" t="s">
        <v>105</v>
      </c>
      <c r="G362" s="119"/>
      <c r="H362" s="126"/>
      <c r="I362" s="126"/>
      <c r="J362" s="2"/>
      <c r="K362" s="18"/>
      <c r="L362" s="18"/>
      <c r="M362" s="18"/>
      <c r="N362" s="18"/>
      <c r="O362" s="126"/>
      <c r="P362" s="34"/>
      <c r="Q362" s="126">
        <f>Apr!BX298</f>
        <v>1</v>
      </c>
      <c r="R362" s="436"/>
      <c r="S362" s="436"/>
      <c r="T362" s="18"/>
      <c r="U362" s="18"/>
      <c r="V362" s="18"/>
      <c r="W362" s="45"/>
      <c r="X362" s="67"/>
    </row>
    <row r="363" spans="1:24" ht="15" customHeight="1">
      <c r="A363" s="427"/>
      <c r="B363" s="137" t="s">
        <v>112</v>
      </c>
      <c r="C363" s="157" t="s">
        <v>197</v>
      </c>
      <c r="D363" s="48" t="s">
        <v>104</v>
      </c>
      <c r="E363" s="441"/>
      <c r="F363" s="118" t="s">
        <v>113</v>
      </c>
      <c r="G363" s="119"/>
      <c r="H363" s="126"/>
      <c r="I363" s="126"/>
      <c r="J363" s="2"/>
      <c r="K363" s="18"/>
      <c r="L363" s="18"/>
      <c r="M363" s="18"/>
      <c r="N363" s="18"/>
      <c r="O363" s="126"/>
      <c r="P363" s="34"/>
      <c r="Q363" s="126">
        <f>Apr!BX301</f>
        <v>1</v>
      </c>
      <c r="R363" s="436"/>
      <c r="S363" s="436"/>
      <c r="T363" s="18"/>
      <c r="U363" s="18"/>
      <c r="V363" s="18"/>
      <c r="W363" s="45"/>
      <c r="X363" s="67"/>
    </row>
    <row r="364" spans="1:24" ht="15" customHeight="1">
      <c r="A364" s="427"/>
      <c r="B364" s="137" t="s">
        <v>106</v>
      </c>
      <c r="C364" s="157" t="s">
        <v>141</v>
      </c>
      <c r="D364" s="48" t="s">
        <v>68</v>
      </c>
      <c r="E364" s="441"/>
      <c r="F364" s="118" t="s">
        <v>67</v>
      </c>
      <c r="G364" s="119"/>
      <c r="H364" s="126"/>
      <c r="I364" s="126"/>
      <c r="J364" s="2"/>
      <c r="K364" s="18"/>
      <c r="L364" s="18"/>
      <c r="M364" s="18"/>
      <c r="N364" s="18"/>
      <c r="O364" s="126"/>
      <c r="P364" s="34"/>
      <c r="Q364" s="126">
        <f>Apr!BX299</f>
        <v>1</v>
      </c>
      <c r="R364" s="436"/>
      <c r="S364" s="436"/>
      <c r="T364" s="18"/>
      <c r="U364" s="18"/>
      <c r="V364" s="18"/>
      <c r="W364" s="45"/>
      <c r="X364" s="67"/>
    </row>
    <row r="365" spans="1:24" ht="15" customHeight="1" thickBot="1">
      <c r="A365" s="428"/>
      <c r="B365" s="44" t="s">
        <v>107</v>
      </c>
      <c r="C365" s="181" t="s">
        <v>195</v>
      </c>
      <c r="D365" s="61" t="s">
        <v>108</v>
      </c>
      <c r="E365" s="447"/>
      <c r="F365" s="133" t="s">
        <v>48</v>
      </c>
      <c r="G365" s="132"/>
      <c r="H365" s="109"/>
      <c r="I365" s="134"/>
      <c r="J365" s="129"/>
      <c r="K365" s="130"/>
      <c r="L365" s="130"/>
      <c r="M365" s="130"/>
      <c r="N365" s="130"/>
      <c r="O365" s="134"/>
      <c r="P365" s="276">
        <f>Apr!BZ300</f>
        <v>262</v>
      </c>
      <c r="Q365" s="134">
        <f>Apr!BX300</f>
        <v>1</v>
      </c>
      <c r="R365" s="437"/>
      <c r="S365" s="437"/>
      <c r="T365" s="130"/>
      <c r="U365" s="130"/>
      <c r="V365" s="128"/>
      <c r="W365" s="85"/>
      <c r="X365" s="67"/>
    </row>
    <row r="366" spans="1:24" ht="15" customHeight="1">
      <c r="A366" s="426">
        <v>46130</v>
      </c>
      <c r="B366" s="429" t="s">
        <v>44</v>
      </c>
      <c r="C366" s="432" t="s">
        <v>240</v>
      </c>
      <c r="D366" s="19" t="s">
        <v>37</v>
      </c>
      <c r="E366" s="19" t="s">
        <v>25</v>
      </c>
      <c r="F366" s="39" t="s">
        <v>40</v>
      </c>
      <c r="G366" s="41"/>
      <c r="H366" s="32"/>
      <c r="I366" s="32"/>
      <c r="J366" s="32"/>
      <c r="K366" s="20"/>
      <c r="L366" s="20"/>
      <c r="M366" s="20">
        <v>232000</v>
      </c>
      <c r="N366" s="84">
        <v>29</v>
      </c>
      <c r="O366" s="32">
        <f>Apr!CB276</f>
        <v>45039</v>
      </c>
      <c r="P366" s="32">
        <f>Apr!CC276</f>
        <v>24475</v>
      </c>
      <c r="Q366" s="32">
        <f>Apr!CA276</f>
        <v>70</v>
      </c>
      <c r="R366" s="435">
        <f>Apr!CB303</f>
        <v>87025</v>
      </c>
      <c r="S366" s="435">
        <f>Apr!CC303</f>
        <v>70018</v>
      </c>
      <c r="T366" s="20">
        <v>28185</v>
      </c>
      <c r="U366" s="20">
        <v>6</v>
      </c>
      <c r="V366" s="20">
        <f>O366-T366-U366+V336</f>
        <v>121010</v>
      </c>
      <c r="W366" s="77"/>
      <c r="X366" s="36"/>
    </row>
    <row r="367" spans="1:24" ht="15" customHeight="1">
      <c r="A367" s="427"/>
      <c r="B367" s="430"/>
      <c r="C367" s="433"/>
      <c r="D367" s="113" t="s">
        <v>128</v>
      </c>
      <c r="E367" s="438" t="s">
        <v>24</v>
      </c>
      <c r="F367" s="118" t="s">
        <v>40</v>
      </c>
      <c r="G367" s="38"/>
      <c r="H367" s="37"/>
      <c r="I367" s="125"/>
      <c r="J367" s="125"/>
      <c r="K367" s="18"/>
      <c r="L367" s="127"/>
      <c r="M367" s="216"/>
      <c r="N367" s="238"/>
      <c r="O367" s="126">
        <f>Apr!CB277</f>
        <v>22263</v>
      </c>
      <c r="P367" s="125">
        <f>Apr!CC277</f>
        <v>22531</v>
      </c>
      <c r="Q367" s="125">
        <f>Apr!CA277</f>
        <v>62</v>
      </c>
      <c r="R367" s="436"/>
      <c r="S367" s="436"/>
      <c r="T367" s="127">
        <v>8419</v>
      </c>
      <c r="U367" s="127"/>
      <c r="V367" s="127">
        <f>O367-T367-U367+V337</f>
        <v>20433</v>
      </c>
      <c r="W367" s="46"/>
      <c r="X367" s="67"/>
    </row>
    <row r="368" spans="1:24" ht="15" customHeight="1">
      <c r="A368" s="427"/>
      <c r="B368" s="431"/>
      <c r="C368" s="434"/>
      <c r="D368" s="113" t="s">
        <v>307</v>
      </c>
      <c r="E368" s="431"/>
      <c r="F368" s="118" t="s">
        <v>40</v>
      </c>
      <c r="G368" s="170">
        <v>7147.53</v>
      </c>
      <c r="H368" s="158">
        <v>3383</v>
      </c>
      <c r="I368" s="125"/>
      <c r="J368" s="125"/>
      <c r="K368" s="127">
        <v>63700</v>
      </c>
      <c r="L368" s="127">
        <v>8</v>
      </c>
      <c r="M368" s="216">
        <v>152000</v>
      </c>
      <c r="N368" s="238">
        <v>19</v>
      </c>
      <c r="O368" s="126">
        <f>Apr!CB278</f>
        <v>332</v>
      </c>
      <c r="P368" s="125">
        <f>Apr!CC278</f>
        <v>6210</v>
      </c>
      <c r="Q368" s="125">
        <f>Apr!CA278</f>
        <v>18</v>
      </c>
      <c r="R368" s="436"/>
      <c r="S368" s="436"/>
      <c r="T368" s="127"/>
      <c r="U368" s="127"/>
      <c r="V368" s="127">
        <f>O368-T368-U368+V338</f>
        <v>528</v>
      </c>
      <c r="W368" s="46"/>
      <c r="X368" s="67"/>
    </row>
    <row r="369" spans="1:25" ht="15" customHeight="1">
      <c r="A369" s="427"/>
      <c r="B369" s="442" t="s">
        <v>45</v>
      </c>
      <c r="C369" s="471" t="s">
        <v>59</v>
      </c>
      <c r="D369" s="118" t="s">
        <v>75</v>
      </c>
      <c r="E369" s="438" t="s">
        <v>25</v>
      </c>
      <c r="F369" s="131" t="s">
        <v>57</v>
      </c>
      <c r="G369" s="87"/>
      <c r="H369" s="136"/>
      <c r="I369" s="126"/>
      <c r="J369" s="2"/>
      <c r="K369" s="127"/>
      <c r="L369" s="18"/>
      <c r="M369" s="18"/>
      <c r="N369" s="80"/>
      <c r="O369" s="126">
        <f>Apr!CB282</f>
        <v>3022</v>
      </c>
      <c r="P369" s="126">
        <f>Apr!CC282</f>
        <v>969</v>
      </c>
      <c r="Q369" s="2">
        <f>Apr!CA282</f>
        <v>4</v>
      </c>
      <c r="R369" s="436"/>
      <c r="S369" s="436"/>
      <c r="T369" s="18">
        <v>6466</v>
      </c>
      <c r="U369" s="18"/>
      <c r="V369" s="127">
        <f>O369-T369-U369+V339</f>
        <v>79448</v>
      </c>
      <c r="W369" s="46"/>
      <c r="Y369" s="13"/>
    </row>
    <row r="370" spans="1:25" ht="15" customHeight="1">
      <c r="A370" s="427"/>
      <c r="B370" s="439"/>
      <c r="C370" s="471"/>
      <c r="D370" s="118" t="s">
        <v>291</v>
      </c>
      <c r="E370" s="430"/>
      <c r="F370" s="131" t="s">
        <v>57</v>
      </c>
      <c r="G370" s="87">
        <v>3043.84</v>
      </c>
      <c r="H370" s="136"/>
      <c r="I370" s="126"/>
      <c r="J370" s="2"/>
      <c r="K370" s="216">
        <v>14700</v>
      </c>
      <c r="L370" s="211">
        <v>3</v>
      </c>
      <c r="M370" s="211">
        <v>34300</v>
      </c>
      <c r="N370" s="215">
        <v>7</v>
      </c>
      <c r="O370" s="126">
        <f>Apr!CB283</f>
        <v>470</v>
      </c>
      <c r="P370" s="126">
        <f>Apr!CC283</f>
        <v>2481</v>
      </c>
      <c r="Q370" s="2">
        <f>Apr!CA283</f>
        <v>11</v>
      </c>
      <c r="R370" s="436"/>
      <c r="S370" s="436"/>
      <c r="T370" s="18"/>
      <c r="U370" s="18"/>
      <c r="V370" s="127">
        <f>O370-T370-U370+V340</f>
        <v>2446</v>
      </c>
      <c r="W370" s="46"/>
      <c r="Y370" s="13"/>
    </row>
    <row r="371" spans="1:25">
      <c r="A371" s="427"/>
      <c r="B371" s="439"/>
      <c r="C371" s="471"/>
      <c r="D371" s="118" t="s">
        <v>72</v>
      </c>
      <c r="E371" s="155" t="s">
        <v>24</v>
      </c>
      <c r="F371" s="131" t="s">
        <v>57</v>
      </c>
      <c r="G371" s="224"/>
      <c r="H371" s="136"/>
      <c r="I371" s="126"/>
      <c r="J371" s="126"/>
      <c r="K371" s="127"/>
      <c r="L371" s="18"/>
      <c r="M371" s="18">
        <v>45000</v>
      </c>
      <c r="N371" s="80">
        <v>9</v>
      </c>
      <c r="O371" s="126">
        <f>Apr!CB284</f>
        <v>6512</v>
      </c>
      <c r="P371" s="126">
        <f>Apr!CC284</f>
        <v>5851</v>
      </c>
      <c r="Q371" s="126">
        <f>Apr!CA284</f>
        <v>26</v>
      </c>
      <c r="R371" s="436"/>
      <c r="S371" s="436"/>
      <c r="T371" s="18">
        <v>5006</v>
      </c>
      <c r="U371" s="18">
        <v>7</v>
      </c>
      <c r="V371" s="127">
        <f>O371-T371-U371+V342</f>
        <v>6581</v>
      </c>
      <c r="W371" s="46"/>
      <c r="Y371" s="13"/>
    </row>
    <row r="372" spans="1:25" ht="14.25" customHeight="1">
      <c r="A372" s="427"/>
      <c r="B372" s="439"/>
      <c r="C372" s="471"/>
      <c r="D372" s="115" t="s">
        <v>79</v>
      </c>
      <c r="E372" s="118" t="s">
        <v>65</v>
      </c>
      <c r="F372" s="131" t="s">
        <v>57</v>
      </c>
      <c r="G372" s="224"/>
      <c r="H372" s="37"/>
      <c r="I372" s="126"/>
      <c r="J372" s="126"/>
      <c r="K372" s="18"/>
      <c r="L372" s="18"/>
      <c r="M372" s="18"/>
      <c r="N372" s="80"/>
      <c r="O372" s="126"/>
      <c r="P372" s="126"/>
      <c r="Q372" s="126">
        <f>Apr!CA285</f>
        <v>1</v>
      </c>
      <c r="R372" s="436"/>
      <c r="S372" s="436"/>
      <c r="T372" s="18"/>
      <c r="U372" s="18"/>
      <c r="V372" s="127"/>
      <c r="W372" s="45"/>
      <c r="X372" s="36"/>
    </row>
    <row r="373" spans="1:25" ht="14.25" customHeight="1">
      <c r="A373" s="427"/>
      <c r="B373" s="443"/>
      <c r="C373" s="271" t="s">
        <v>299</v>
      </c>
      <c r="D373" s="115" t="s">
        <v>296</v>
      </c>
      <c r="E373" s="115" t="s">
        <v>25</v>
      </c>
      <c r="F373" s="131" t="s">
        <v>298</v>
      </c>
      <c r="G373" s="224"/>
      <c r="H373" s="37"/>
      <c r="I373" s="126"/>
      <c r="J373" s="126"/>
      <c r="K373" s="18"/>
      <c r="L373" s="18"/>
      <c r="M373" s="18"/>
      <c r="N373" s="80"/>
      <c r="O373" s="126"/>
      <c r="P373" s="126"/>
      <c r="Q373" s="126">
        <f>Apr!CA286</f>
        <v>1</v>
      </c>
      <c r="R373" s="436"/>
      <c r="S373" s="436"/>
      <c r="T373" s="18"/>
      <c r="U373" s="18"/>
      <c r="V373" s="127">
        <f>O373-T373-U373+V345</f>
        <v>0</v>
      </c>
      <c r="W373" s="45"/>
      <c r="X373" s="67"/>
    </row>
    <row r="374" spans="1:25" ht="14.25" customHeight="1">
      <c r="A374" s="427"/>
      <c r="B374" s="442" t="s">
        <v>53</v>
      </c>
      <c r="C374" s="444" t="s">
        <v>60</v>
      </c>
      <c r="D374" s="43" t="s">
        <v>130</v>
      </c>
      <c r="E374" s="115" t="s">
        <v>66</v>
      </c>
      <c r="F374" s="118" t="s">
        <v>54</v>
      </c>
      <c r="G374" s="224"/>
      <c r="H374" s="37"/>
      <c r="I374" s="126"/>
      <c r="J374" s="126"/>
      <c r="K374" s="18"/>
      <c r="L374" s="18"/>
      <c r="M374" s="18">
        <v>72000</v>
      </c>
      <c r="N374" s="80">
        <v>12</v>
      </c>
      <c r="O374" s="126">
        <f>Apr!CB279</f>
        <v>8887</v>
      </c>
      <c r="P374" s="126">
        <f>Apr!CC279</f>
        <v>7149</v>
      </c>
      <c r="Q374" s="126">
        <f>Apr!CA279</f>
        <v>22</v>
      </c>
      <c r="R374" s="436"/>
      <c r="S374" s="436"/>
      <c r="T374" s="18">
        <v>6755</v>
      </c>
      <c r="U374" s="18"/>
      <c r="V374" s="127">
        <f>O374-T374-U374+V346</f>
        <v>13489</v>
      </c>
      <c r="W374" s="45"/>
      <c r="X374" s="67"/>
    </row>
    <row r="375" spans="1:25" ht="14.25" customHeight="1">
      <c r="A375" s="427"/>
      <c r="B375" s="439"/>
      <c r="C375" s="445"/>
      <c r="D375" s="43" t="s">
        <v>199</v>
      </c>
      <c r="E375" s="424" t="s">
        <v>25</v>
      </c>
      <c r="F375" s="118" t="s">
        <v>54</v>
      </c>
      <c r="G375" s="224"/>
      <c r="H375" s="37"/>
      <c r="I375" s="126"/>
      <c r="J375" s="126"/>
      <c r="K375" s="18"/>
      <c r="L375" s="18"/>
      <c r="M375" s="18"/>
      <c r="N375" s="80"/>
      <c r="O375" s="126"/>
      <c r="P375" s="126"/>
      <c r="Q375" s="126">
        <f>Apr!CA281</f>
        <v>1</v>
      </c>
      <c r="R375" s="436"/>
      <c r="S375" s="436"/>
      <c r="T375" s="18"/>
      <c r="U375" s="18"/>
      <c r="V375" s="127">
        <f>O375-T375-U375+V347</f>
        <v>0</v>
      </c>
      <c r="W375" s="45"/>
      <c r="X375" s="67"/>
    </row>
    <row r="376" spans="1:25" ht="14.25" customHeight="1">
      <c r="A376" s="427"/>
      <c r="B376" s="443"/>
      <c r="C376" s="446"/>
      <c r="D376" s="43" t="s">
        <v>199</v>
      </c>
      <c r="E376" s="425"/>
      <c r="F376" s="118"/>
      <c r="G376" s="224"/>
      <c r="H376" s="135">
        <v>1577.6</v>
      </c>
      <c r="I376" s="158"/>
      <c r="J376" s="158"/>
      <c r="K376" s="128"/>
      <c r="L376" s="128"/>
      <c r="M376" s="128"/>
      <c r="N376" s="164"/>
      <c r="O376" s="158"/>
      <c r="P376" s="158"/>
      <c r="Q376" s="158"/>
      <c r="R376" s="436"/>
      <c r="S376" s="436"/>
      <c r="T376" s="18"/>
      <c r="U376" s="18"/>
      <c r="V376" s="127"/>
      <c r="W376" s="45"/>
      <c r="X376" s="67"/>
    </row>
    <row r="377" spans="1:25" ht="15.75" customHeight="1">
      <c r="A377" s="427"/>
      <c r="B377" s="122" t="s">
        <v>55</v>
      </c>
      <c r="C377" s="180" t="s">
        <v>133</v>
      </c>
      <c r="D377" s="48" t="s">
        <v>56</v>
      </c>
      <c r="E377" s="424" t="s">
        <v>25</v>
      </c>
      <c r="F377" s="118" t="s">
        <v>67</v>
      </c>
      <c r="G377" s="226"/>
      <c r="H377" s="126"/>
      <c r="I377" s="126"/>
      <c r="J377" s="2"/>
      <c r="K377" s="18"/>
      <c r="L377" s="18"/>
      <c r="M377" s="18">
        <v>2800</v>
      </c>
      <c r="N377" s="18">
        <v>1</v>
      </c>
      <c r="O377" s="126"/>
      <c r="P377" s="126"/>
      <c r="Q377" s="126"/>
      <c r="R377" s="436"/>
      <c r="S377" s="436"/>
      <c r="T377" s="18"/>
      <c r="U377" s="18"/>
      <c r="V377" s="127">
        <f t="shared" ref="V377:V384" si="15">O377-T377-U377+V348</f>
        <v>500</v>
      </c>
      <c r="W377" s="45"/>
      <c r="X377" s="67"/>
    </row>
    <row r="378" spans="1:25" ht="15" customHeight="1">
      <c r="A378" s="427"/>
      <c r="B378" s="122" t="s">
        <v>122</v>
      </c>
      <c r="C378" s="180" t="s">
        <v>123</v>
      </c>
      <c r="D378" s="48" t="s">
        <v>56</v>
      </c>
      <c r="E378" s="441"/>
      <c r="F378" s="155" t="s">
        <v>64</v>
      </c>
      <c r="G378" s="119"/>
      <c r="H378" s="126"/>
      <c r="I378" s="126"/>
      <c r="J378" s="2"/>
      <c r="K378" s="18"/>
      <c r="L378" s="18"/>
      <c r="M378" s="18">
        <v>6400</v>
      </c>
      <c r="N378" s="18">
        <v>2</v>
      </c>
      <c r="O378" s="126"/>
      <c r="P378" s="126"/>
      <c r="Q378" s="126">
        <f>Apr!CA287</f>
        <v>1</v>
      </c>
      <c r="R378" s="436"/>
      <c r="S378" s="436"/>
      <c r="T378" s="18"/>
      <c r="U378" s="18"/>
      <c r="V378" s="127">
        <f t="shared" si="15"/>
        <v>31304</v>
      </c>
      <c r="W378" s="45"/>
      <c r="X378" s="67"/>
    </row>
    <row r="379" spans="1:25" ht="14.25" customHeight="1">
      <c r="A379" s="427"/>
      <c r="B379" s="137" t="s">
        <v>58</v>
      </c>
      <c r="C379" s="157" t="s">
        <v>243</v>
      </c>
      <c r="D379" s="48" t="s">
        <v>56</v>
      </c>
      <c r="E379" s="441"/>
      <c r="F379" s="118" t="s">
        <v>64</v>
      </c>
      <c r="G379" s="225"/>
      <c r="H379" s="126"/>
      <c r="I379" s="126"/>
      <c r="J379" s="126"/>
      <c r="K379" s="18"/>
      <c r="L379" s="18"/>
      <c r="M379" s="18"/>
      <c r="N379" s="80"/>
      <c r="O379" s="126"/>
      <c r="P379" s="126"/>
      <c r="Q379" s="126">
        <f>Apr!CA288</f>
        <v>1</v>
      </c>
      <c r="R379" s="436"/>
      <c r="S379" s="436"/>
      <c r="T379" s="18"/>
      <c r="U379" s="18"/>
      <c r="V379" s="127">
        <f t="shared" si="15"/>
        <v>8562</v>
      </c>
      <c r="W379" s="45"/>
      <c r="X379" s="67"/>
    </row>
    <row r="380" spans="1:25" ht="14.25" customHeight="1">
      <c r="A380" s="427"/>
      <c r="B380" s="122" t="s">
        <v>61</v>
      </c>
      <c r="C380" s="180" t="s">
        <v>137</v>
      </c>
      <c r="D380" s="48" t="s">
        <v>56</v>
      </c>
      <c r="E380" s="441"/>
      <c r="F380" s="118" t="s">
        <v>67</v>
      </c>
      <c r="G380" s="225"/>
      <c r="H380" s="126"/>
      <c r="I380" s="126"/>
      <c r="J380" s="126"/>
      <c r="K380" s="18"/>
      <c r="L380" s="18"/>
      <c r="M380" s="18"/>
      <c r="N380" s="80"/>
      <c r="O380" s="126"/>
      <c r="P380" s="126"/>
      <c r="Q380" s="126">
        <f>Apr!CA289</f>
        <v>1</v>
      </c>
      <c r="R380" s="436"/>
      <c r="S380" s="436"/>
      <c r="T380" s="18"/>
      <c r="U380" s="18"/>
      <c r="V380" s="127">
        <f t="shared" si="15"/>
        <v>5844</v>
      </c>
      <c r="W380" s="45"/>
      <c r="X380" s="67"/>
    </row>
    <row r="381" spans="1:25" ht="14.25" customHeight="1">
      <c r="A381" s="427"/>
      <c r="B381" s="122" t="s">
        <v>125</v>
      </c>
      <c r="C381" s="180" t="s">
        <v>88</v>
      </c>
      <c r="D381" s="48" t="s">
        <v>124</v>
      </c>
      <c r="E381" s="441"/>
      <c r="F381" s="118" t="s">
        <v>64</v>
      </c>
      <c r="G381" s="225"/>
      <c r="H381" s="126"/>
      <c r="I381" s="126"/>
      <c r="J381" s="126"/>
      <c r="K381" s="18"/>
      <c r="L381" s="18"/>
      <c r="M381" s="18">
        <v>51200</v>
      </c>
      <c r="N381" s="80">
        <v>7</v>
      </c>
      <c r="O381" s="126"/>
      <c r="P381" s="126"/>
      <c r="Q381" s="126"/>
      <c r="R381" s="436"/>
      <c r="S381" s="436"/>
      <c r="T381" s="18"/>
      <c r="U381" s="18"/>
      <c r="V381" s="127">
        <f t="shared" si="15"/>
        <v>23615</v>
      </c>
      <c r="W381" s="45"/>
      <c r="X381" s="67"/>
    </row>
    <row r="382" spans="1:25" ht="14.25" customHeight="1">
      <c r="A382" s="427"/>
      <c r="B382" s="137" t="s">
        <v>47</v>
      </c>
      <c r="C382" s="157" t="s">
        <v>100</v>
      </c>
      <c r="D382" s="48" t="s">
        <v>99</v>
      </c>
      <c r="E382" s="441"/>
      <c r="F382" s="118" t="s">
        <v>71</v>
      </c>
      <c r="G382" s="225"/>
      <c r="H382" s="126"/>
      <c r="I382" s="126"/>
      <c r="J382" s="126"/>
      <c r="K382" s="18"/>
      <c r="L382" s="18"/>
      <c r="M382" s="18">
        <v>18000</v>
      </c>
      <c r="N382" s="80">
        <v>3</v>
      </c>
      <c r="O382" s="126"/>
      <c r="P382" s="126"/>
      <c r="Q382" s="126"/>
      <c r="R382" s="436"/>
      <c r="S382" s="436"/>
      <c r="T382" s="18"/>
      <c r="U382" s="18"/>
      <c r="V382" s="127">
        <f t="shared" si="15"/>
        <v>32689</v>
      </c>
      <c r="W382" s="45"/>
      <c r="X382" s="67"/>
    </row>
    <row r="383" spans="1:25" ht="15" customHeight="1">
      <c r="A383" s="427"/>
      <c r="B383" s="122" t="s">
        <v>196</v>
      </c>
      <c r="C383" s="180" t="s">
        <v>63</v>
      </c>
      <c r="D383" s="48" t="s">
        <v>135</v>
      </c>
      <c r="E383" s="441"/>
      <c r="F383" s="118" t="s">
        <v>64</v>
      </c>
      <c r="G383" s="226"/>
      <c r="H383" s="126"/>
      <c r="I383" s="126"/>
      <c r="J383" s="2"/>
      <c r="K383" s="18"/>
      <c r="L383" s="18"/>
      <c r="M383" s="18">
        <v>33200</v>
      </c>
      <c r="N383" s="18">
        <v>4</v>
      </c>
      <c r="O383" s="126"/>
      <c r="P383" s="126"/>
      <c r="Q383" s="126"/>
      <c r="R383" s="436"/>
      <c r="S383" s="436"/>
      <c r="T383" s="18"/>
      <c r="U383" s="18"/>
      <c r="V383" s="127">
        <f t="shared" si="15"/>
        <v>15106</v>
      </c>
      <c r="W383" s="45"/>
      <c r="X383" s="67"/>
    </row>
    <row r="384" spans="1:25" ht="15" customHeight="1">
      <c r="A384" s="427"/>
      <c r="B384" s="122" t="s">
        <v>253</v>
      </c>
      <c r="C384" s="180" t="s">
        <v>252</v>
      </c>
      <c r="D384" s="48" t="s">
        <v>246</v>
      </c>
      <c r="E384" s="441"/>
      <c r="F384" s="118" t="s">
        <v>247</v>
      </c>
      <c r="G384" s="226"/>
      <c r="H384" s="126"/>
      <c r="I384" s="126"/>
      <c r="J384" s="2"/>
      <c r="K384" s="18"/>
      <c r="L384" s="18"/>
      <c r="M384" s="18"/>
      <c r="N384" s="18"/>
      <c r="O384" s="126"/>
      <c r="P384" s="126"/>
      <c r="Q384" s="126">
        <f>Apr!CA291</f>
        <v>1</v>
      </c>
      <c r="R384" s="436"/>
      <c r="S384" s="436"/>
      <c r="T384" s="18"/>
      <c r="U384" s="18"/>
      <c r="V384" s="127">
        <f t="shared" si="15"/>
        <v>0</v>
      </c>
      <c r="W384" s="45"/>
      <c r="X384" s="67"/>
    </row>
    <row r="385" spans="1:25" ht="15" customHeight="1">
      <c r="A385" s="427"/>
      <c r="B385" s="122" t="s">
        <v>289</v>
      </c>
      <c r="C385" s="180" t="s">
        <v>290</v>
      </c>
      <c r="D385" s="48" t="s">
        <v>291</v>
      </c>
      <c r="E385" s="441"/>
      <c r="F385" s="118" t="s">
        <v>292</v>
      </c>
      <c r="G385" s="119"/>
      <c r="H385" s="126"/>
      <c r="I385" s="126"/>
      <c r="J385" s="2"/>
      <c r="K385" s="18"/>
      <c r="L385" s="18"/>
      <c r="M385" s="18"/>
      <c r="N385" s="18"/>
      <c r="O385" s="126"/>
      <c r="P385" s="126"/>
      <c r="Q385" s="126">
        <f>Apr!CA292</f>
        <v>1</v>
      </c>
      <c r="R385" s="436"/>
      <c r="S385" s="436"/>
      <c r="T385" s="18"/>
      <c r="U385" s="18"/>
      <c r="V385" s="18"/>
      <c r="W385" s="45"/>
      <c r="X385" s="67"/>
    </row>
    <row r="386" spans="1:25" ht="15" customHeight="1">
      <c r="A386" s="427"/>
      <c r="B386" s="122" t="s">
        <v>131</v>
      </c>
      <c r="C386" s="180" t="s">
        <v>194</v>
      </c>
      <c r="D386" s="48" t="s">
        <v>132</v>
      </c>
      <c r="E386" s="441"/>
      <c r="F386" s="118" t="s">
        <v>64</v>
      </c>
      <c r="G386" s="119"/>
      <c r="H386" s="126"/>
      <c r="I386" s="126"/>
      <c r="J386" s="2"/>
      <c r="K386" s="18"/>
      <c r="L386" s="18"/>
      <c r="M386" s="18"/>
      <c r="N386" s="18"/>
      <c r="O386" s="126"/>
      <c r="P386" s="126"/>
      <c r="Q386" s="126"/>
      <c r="R386" s="436"/>
      <c r="S386" s="436"/>
      <c r="T386" s="18"/>
      <c r="U386" s="18"/>
      <c r="V386" s="18">
        <f>O386-T386-U386+V357</f>
        <v>1035</v>
      </c>
      <c r="W386" s="45"/>
      <c r="X386" s="67"/>
    </row>
    <row r="387" spans="1:25" ht="15" customHeight="1">
      <c r="A387" s="427"/>
      <c r="B387" s="122" t="s">
        <v>315</v>
      </c>
      <c r="C387" s="180" t="s">
        <v>252</v>
      </c>
      <c r="D387" s="48" t="s">
        <v>246</v>
      </c>
      <c r="E387" s="441"/>
      <c r="F387" s="118" t="s">
        <v>64</v>
      </c>
      <c r="G387" s="119"/>
      <c r="H387" s="126"/>
      <c r="I387" s="126"/>
      <c r="J387" s="2"/>
      <c r="K387" s="18"/>
      <c r="L387" s="18"/>
      <c r="M387" s="18"/>
      <c r="N387" s="18"/>
      <c r="O387" s="126">
        <f>Apr!CB295</f>
        <v>500</v>
      </c>
      <c r="P387" s="126">
        <f>Apr!CC295</f>
        <v>114</v>
      </c>
      <c r="Q387" s="126">
        <f>Apr!CA295</f>
        <v>1</v>
      </c>
      <c r="R387" s="436"/>
      <c r="S387" s="436"/>
      <c r="T387" s="18"/>
      <c r="U387" s="18"/>
      <c r="V387" s="18">
        <f>O387-T387-U387+V360</f>
        <v>500</v>
      </c>
      <c r="W387" s="45"/>
      <c r="X387" s="67"/>
    </row>
    <row r="388" spans="1:25" ht="15" customHeight="1">
      <c r="A388" s="427"/>
      <c r="B388" s="122" t="s">
        <v>101</v>
      </c>
      <c r="C388" s="180" t="s">
        <v>193</v>
      </c>
      <c r="D388" s="48" t="s">
        <v>102</v>
      </c>
      <c r="E388" s="441"/>
      <c r="F388" s="118" t="s">
        <v>64</v>
      </c>
      <c r="G388" s="119"/>
      <c r="H388" s="126"/>
      <c r="I388" s="126"/>
      <c r="J388" s="2"/>
      <c r="K388" s="18"/>
      <c r="L388" s="18"/>
      <c r="M388" s="18"/>
      <c r="N388" s="18"/>
      <c r="O388" s="126"/>
      <c r="P388" s="126"/>
      <c r="Q388" s="126">
        <f>Apr!CA297</f>
        <v>1</v>
      </c>
      <c r="R388" s="436"/>
      <c r="S388" s="436"/>
      <c r="T388" s="18"/>
      <c r="U388" s="18"/>
      <c r="V388" s="18"/>
      <c r="W388" s="45"/>
      <c r="X388" s="67"/>
    </row>
    <row r="389" spans="1:25" ht="15" customHeight="1">
      <c r="A389" s="427"/>
      <c r="B389" s="122" t="s">
        <v>103</v>
      </c>
      <c r="C389" s="157" t="s">
        <v>197</v>
      </c>
      <c r="D389" s="48" t="s">
        <v>104</v>
      </c>
      <c r="E389" s="441"/>
      <c r="F389" s="118" t="s">
        <v>105</v>
      </c>
      <c r="G389" s="119"/>
      <c r="H389" s="126"/>
      <c r="I389" s="126"/>
      <c r="J389" s="2"/>
      <c r="K389" s="18"/>
      <c r="L389" s="18"/>
      <c r="M389" s="18"/>
      <c r="N389" s="18"/>
      <c r="O389" s="126"/>
      <c r="P389" s="126"/>
      <c r="Q389" s="126">
        <f>Apr!CA298</f>
        <v>1</v>
      </c>
      <c r="R389" s="436"/>
      <c r="S389" s="436"/>
      <c r="T389" s="18"/>
      <c r="U389" s="18"/>
      <c r="V389" s="18"/>
      <c r="W389" s="45"/>
      <c r="X389" s="67"/>
    </row>
    <row r="390" spans="1:25" ht="15" customHeight="1">
      <c r="A390" s="427"/>
      <c r="B390" s="137" t="s">
        <v>112</v>
      </c>
      <c r="C390" s="157" t="s">
        <v>197</v>
      </c>
      <c r="D390" s="48" t="s">
        <v>104</v>
      </c>
      <c r="E390" s="441"/>
      <c r="F390" s="118" t="s">
        <v>113</v>
      </c>
      <c r="G390" s="119"/>
      <c r="H390" s="126"/>
      <c r="I390" s="126"/>
      <c r="J390" s="2"/>
      <c r="K390" s="18"/>
      <c r="L390" s="18"/>
      <c r="M390" s="18"/>
      <c r="N390" s="18"/>
      <c r="O390" s="126"/>
      <c r="P390" s="126"/>
      <c r="Q390" s="126">
        <f>Apr!CA301</f>
        <v>1</v>
      </c>
      <c r="R390" s="436"/>
      <c r="S390" s="436"/>
      <c r="T390" s="18"/>
      <c r="U390" s="18"/>
      <c r="V390" s="18"/>
      <c r="W390" s="45"/>
      <c r="X390" s="67"/>
    </row>
    <row r="391" spans="1:25" ht="15" customHeight="1">
      <c r="A391" s="427"/>
      <c r="B391" s="137" t="s">
        <v>106</v>
      </c>
      <c r="C391" s="157" t="s">
        <v>141</v>
      </c>
      <c r="D391" s="48" t="s">
        <v>68</v>
      </c>
      <c r="E391" s="441"/>
      <c r="F391" s="118" t="s">
        <v>67</v>
      </c>
      <c r="G391" s="119"/>
      <c r="H391" s="126"/>
      <c r="I391" s="126"/>
      <c r="J391" s="2"/>
      <c r="K391" s="18"/>
      <c r="L391" s="18"/>
      <c r="M391" s="18"/>
      <c r="N391" s="18"/>
      <c r="O391" s="126"/>
      <c r="P391" s="126"/>
      <c r="Q391" s="126">
        <f>Apr!CA299</f>
        <v>1</v>
      </c>
      <c r="R391" s="436"/>
      <c r="S391" s="436"/>
      <c r="T391" s="18"/>
      <c r="U391" s="18"/>
      <c r="V391" s="18"/>
      <c r="W391" s="45"/>
      <c r="X391" s="67"/>
    </row>
    <row r="392" spans="1:25" ht="15" customHeight="1" thickBot="1">
      <c r="A392" s="428"/>
      <c r="B392" s="44" t="s">
        <v>107</v>
      </c>
      <c r="C392" s="181" t="s">
        <v>195</v>
      </c>
      <c r="D392" s="61" t="s">
        <v>108</v>
      </c>
      <c r="E392" s="447"/>
      <c r="F392" s="133" t="s">
        <v>48</v>
      </c>
      <c r="G392" s="132"/>
      <c r="H392" s="109"/>
      <c r="I392" s="134"/>
      <c r="J392" s="129"/>
      <c r="K392" s="130"/>
      <c r="L392" s="130"/>
      <c r="M392" s="130"/>
      <c r="N392" s="130"/>
      <c r="O392" s="134"/>
      <c r="P392" s="134">
        <f>Apr!CC300</f>
        <v>238</v>
      </c>
      <c r="Q392" s="134">
        <f>Apr!CA300</f>
        <v>1</v>
      </c>
      <c r="R392" s="437"/>
      <c r="S392" s="437"/>
      <c r="T392" s="130"/>
      <c r="U392" s="130"/>
      <c r="V392" s="128">
        <f t="shared" ref="V392:V398" si="16">O392-T392-U392+V365</f>
        <v>0</v>
      </c>
      <c r="W392" s="85"/>
      <c r="X392" s="67"/>
    </row>
    <row r="393" spans="1:25" ht="15" customHeight="1">
      <c r="A393" s="426">
        <v>46132</v>
      </c>
      <c r="B393" s="429" t="s">
        <v>44</v>
      </c>
      <c r="C393" s="432" t="s">
        <v>240</v>
      </c>
      <c r="D393" s="19" t="s">
        <v>37</v>
      </c>
      <c r="E393" s="19" t="s">
        <v>25</v>
      </c>
      <c r="F393" s="39" t="s">
        <v>40</v>
      </c>
      <c r="G393" s="41"/>
      <c r="H393" s="32">
        <v>5760</v>
      </c>
      <c r="I393" s="32"/>
      <c r="J393" s="32"/>
      <c r="K393" s="20">
        <v>8000</v>
      </c>
      <c r="L393" s="20">
        <v>1</v>
      </c>
      <c r="M393" s="20">
        <v>224000</v>
      </c>
      <c r="N393" s="84">
        <v>28</v>
      </c>
      <c r="O393" s="32">
        <f>Apr!CH276</f>
        <v>13269</v>
      </c>
      <c r="P393" s="32">
        <f>Apr!CI276</f>
        <v>22341</v>
      </c>
      <c r="Q393" s="32">
        <f>Apr!CG276</f>
        <v>57</v>
      </c>
      <c r="R393" s="435">
        <f>Apr!CH303</f>
        <v>57775</v>
      </c>
      <c r="S393" s="435">
        <f>Apr!CI303</f>
        <v>75672</v>
      </c>
      <c r="T393" s="20"/>
      <c r="U393" s="20"/>
      <c r="V393" s="20">
        <f t="shared" si="16"/>
        <v>134279</v>
      </c>
      <c r="W393" s="77"/>
      <c r="X393" s="36"/>
    </row>
    <row r="394" spans="1:25" ht="15" customHeight="1">
      <c r="A394" s="427"/>
      <c r="B394" s="430"/>
      <c r="C394" s="433"/>
      <c r="D394" s="113" t="s">
        <v>128</v>
      </c>
      <c r="E394" s="438" t="s">
        <v>24</v>
      </c>
      <c r="F394" s="118" t="s">
        <v>40</v>
      </c>
      <c r="G394" s="38"/>
      <c r="H394" s="37"/>
      <c r="I394" s="125"/>
      <c r="J394" s="125"/>
      <c r="K394" s="18"/>
      <c r="L394" s="127"/>
      <c r="M394" s="216"/>
      <c r="N394" s="238"/>
      <c r="O394" s="126">
        <f>Apr!CH277</f>
        <v>24854</v>
      </c>
      <c r="P394" s="125">
        <f>Apr!CI277</f>
        <v>23922</v>
      </c>
      <c r="Q394" s="125">
        <f>Apr!CG277</f>
        <v>61</v>
      </c>
      <c r="R394" s="436"/>
      <c r="S394" s="436"/>
      <c r="T394" s="127">
        <v>26363</v>
      </c>
      <c r="U394" s="127">
        <v>9</v>
      </c>
      <c r="V394" s="127">
        <f t="shared" si="16"/>
        <v>18915</v>
      </c>
      <c r="W394" s="46"/>
      <c r="X394" s="67"/>
    </row>
    <row r="395" spans="1:25" ht="15" customHeight="1">
      <c r="A395" s="427"/>
      <c r="B395" s="431"/>
      <c r="C395" s="434"/>
      <c r="D395" s="113" t="s">
        <v>307</v>
      </c>
      <c r="E395" s="431"/>
      <c r="F395" s="118" t="s">
        <v>40</v>
      </c>
      <c r="G395" s="170">
        <v>3807.43</v>
      </c>
      <c r="H395" s="135"/>
      <c r="I395" s="125"/>
      <c r="J395" s="125"/>
      <c r="K395" s="127">
        <v>72000</v>
      </c>
      <c r="L395" s="127">
        <v>9</v>
      </c>
      <c r="M395" s="216">
        <v>135400</v>
      </c>
      <c r="N395" s="238">
        <v>17</v>
      </c>
      <c r="O395" s="126">
        <f>Apr!CH278</f>
        <v>1067</v>
      </c>
      <c r="P395" s="125">
        <f>Apr!CI278</f>
        <v>10174</v>
      </c>
      <c r="Q395" s="125">
        <f>Apr!CG278</f>
        <v>27</v>
      </c>
      <c r="R395" s="436"/>
      <c r="S395" s="436"/>
      <c r="T395" s="127"/>
      <c r="U395" s="127"/>
      <c r="V395" s="127">
        <f t="shared" si="16"/>
        <v>1595</v>
      </c>
      <c r="W395" s="46"/>
      <c r="X395" s="67"/>
    </row>
    <row r="396" spans="1:25" ht="15" customHeight="1">
      <c r="A396" s="427"/>
      <c r="B396" s="442" t="s">
        <v>45</v>
      </c>
      <c r="C396" s="471" t="s">
        <v>59</v>
      </c>
      <c r="D396" s="118" t="s">
        <v>75</v>
      </c>
      <c r="E396" s="438" t="s">
        <v>25</v>
      </c>
      <c r="F396" s="131" t="s">
        <v>57</v>
      </c>
      <c r="G396" s="87"/>
      <c r="H396" s="136"/>
      <c r="I396" s="126"/>
      <c r="J396" s="2"/>
      <c r="K396" s="127"/>
      <c r="L396" s="18"/>
      <c r="M396" s="18"/>
      <c r="N396" s="80"/>
      <c r="O396" s="126"/>
      <c r="P396" s="126">
        <f>Apr!CI282</f>
        <v>1050</v>
      </c>
      <c r="Q396" s="2">
        <f>Apr!CG282</f>
        <v>4</v>
      </c>
      <c r="R396" s="436"/>
      <c r="S396" s="436"/>
      <c r="T396" s="18">
        <v>6018</v>
      </c>
      <c r="U396" s="18"/>
      <c r="V396" s="127">
        <f t="shared" si="16"/>
        <v>73430</v>
      </c>
      <c r="W396" s="46"/>
      <c r="Y396" s="13"/>
    </row>
    <row r="397" spans="1:25" ht="15" customHeight="1">
      <c r="A397" s="427"/>
      <c r="B397" s="439"/>
      <c r="C397" s="471"/>
      <c r="D397" s="118" t="s">
        <v>291</v>
      </c>
      <c r="E397" s="430"/>
      <c r="F397" s="131" t="s">
        <v>57</v>
      </c>
      <c r="G397" s="87"/>
      <c r="H397" s="136"/>
      <c r="I397" s="126"/>
      <c r="J397" s="2"/>
      <c r="K397" s="127"/>
      <c r="L397" s="18"/>
      <c r="M397" s="18">
        <v>34300</v>
      </c>
      <c r="N397" s="80">
        <v>7</v>
      </c>
      <c r="O397" s="126">
        <f>Apr!CH283</f>
        <v>2909</v>
      </c>
      <c r="P397" s="126">
        <f>Apr!CI283</f>
        <v>2761</v>
      </c>
      <c r="Q397" s="2">
        <f>Apr!CG283</f>
        <v>11</v>
      </c>
      <c r="R397" s="436"/>
      <c r="S397" s="436"/>
      <c r="T397" s="18"/>
      <c r="U397" s="18"/>
      <c r="V397" s="127">
        <f t="shared" si="16"/>
        <v>5355</v>
      </c>
      <c r="W397" s="46"/>
      <c r="Y397" s="13"/>
    </row>
    <row r="398" spans="1:25">
      <c r="A398" s="427"/>
      <c r="B398" s="439"/>
      <c r="C398" s="471"/>
      <c r="D398" s="118" t="s">
        <v>72</v>
      </c>
      <c r="E398" s="155" t="s">
        <v>24</v>
      </c>
      <c r="F398" s="131" t="s">
        <v>57</v>
      </c>
      <c r="G398" s="224"/>
      <c r="H398" s="136"/>
      <c r="I398" s="126"/>
      <c r="J398" s="126"/>
      <c r="K398" s="127"/>
      <c r="L398" s="18"/>
      <c r="M398" s="18">
        <v>45000</v>
      </c>
      <c r="N398" s="80">
        <v>9</v>
      </c>
      <c r="O398" s="126">
        <f>Apr!CH284</f>
        <v>10084</v>
      </c>
      <c r="P398" s="126">
        <f>Apr!CI284</f>
        <v>6220</v>
      </c>
      <c r="Q398" s="126">
        <f>Apr!CG284</f>
        <v>26</v>
      </c>
      <c r="R398" s="436"/>
      <c r="S398" s="436"/>
      <c r="T398" s="18">
        <v>6537</v>
      </c>
      <c r="U398" s="18">
        <v>2</v>
      </c>
      <c r="V398" s="127">
        <f t="shared" si="16"/>
        <v>10126</v>
      </c>
      <c r="W398" s="46"/>
      <c r="Y398" s="13"/>
    </row>
    <row r="399" spans="1:25" ht="14.25" customHeight="1">
      <c r="A399" s="427"/>
      <c r="B399" s="439"/>
      <c r="C399" s="471"/>
      <c r="D399" s="115" t="s">
        <v>79</v>
      </c>
      <c r="E399" s="118" t="s">
        <v>65</v>
      </c>
      <c r="F399" s="131" t="s">
        <v>57</v>
      </c>
      <c r="G399" s="224"/>
      <c r="H399" s="37"/>
      <c r="I399" s="126"/>
      <c r="J399" s="126"/>
      <c r="K399" s="18"/>
      <c r="L399" s="18"/>
      <c r="M399" s="18"/>
      <c r="N399" s="80"/>
      <c r="O399" s="126"/>
      <c r="P399" s="126"/>
      <c r="Q399" s="126">
        <f>Apr!CG285</f>
        <v>1</v>
      </c>
      <c r="R399" s="436"/>
      <c r="S399" s="436"/>
      <c r="T399" s="18"/>
      <c r="U399" s="18"/>
      <c r="V399" s="127"/>
      <c r="W399" s="45"/>
      <c r="X399" s="36"/>
    </row>
    <row r="400" spans="1:25" ht="14.25" customHeight="1">
      <c r="A400" s="427"/>
      <c r="B400" s="443"/>
      <c r="C400" s="271" t="s">
        <v>299</v>
      </c>
      <c r="D400" s="115" t="s">
        <v>296</v>
      </c>
      <c r="E400" s="115" t="s">
        <v>25</v>
      </c>
      <c r="F400" s="131" t="s">
        <v>298</v>
      </c>
      <c r="G400" s="224"/>
      <c r="H400" s="37"/>
      <c r="I400" s="126"/>
      <c r="J400" s="126"/>
      <c r="K400" s="18"/>
      <c r="L400" s="18"/>
      <c r="M400" s="18"/>
      <c r="N400" s="80"/>
      <c r="O400" s="126"/>
      <c r="P400" s="126"/>
      <c r="Q400" s="126">
        <f>Apr!CG286</f>
        <v>1</v>
      </c>
      <c r="R400" s="436"/>
      <c r="S400" s="436"/>
      <c r="T400" s="18"/>
      <c r="U400" s="18"/>
      <c r="V400" s="127"/>
      <c r="W400" s="45"/>
      <c r="X400" s="67"/>
    </row>
    <row r="401" spans="1:24" ht="14.25" customHeight="1">
      <c r="A401" s="427"/>
      <c r="B401" s="442" t="s">
        <v>53</v>
      </c>
      <c r="C401" s="444" t="s">
        <v>60</v>
      </c>
      <c r="D401" s="43" t="s">
        <v>130</v>
      </c>
      <c r="E401" s="115" t="s">
        <v>66</v>
      </c>
      <c r="F401" s="118" t="s">
        <v>54</v>
      </c>
      <c r="G401" s="224"/>
      <c r="H401" s="37"/>
      <c r="I401" s="126"/>
      <c r="J401" s="126"/>
      <c r="K401" s="18">
        <v>12000</v>
      </c>
      <c r="L401" s="18">
        <v>2</v>
      </c>
      <c r="M401" s="18">
        <v>60000</v>
      </c>
      <c r="N401" s="80">
        <v>10</v>
      </c>
      <c r="O401" s="126">
        <f>Apr!CH279</f>
        <v>5592</v>
      </c>
      <c r="P401" s="126">
        <f>Apr!CI279</f>
        <v>7497</v>
      </c>
      <c r="Q401" s="126">
        <f>Apr!CG279</f>
        <v>22</v>
      </c>
      <c r="R401" s="436"/>
      <c r="S401" s="436"/>
      <c r="T401" s="18">
        <v>12669</v>
      </c>
      <c r="U401" s="18"/>
      <c r="V401" s="127">
        <f>O401-T401-U401+V374</f>
        <v>6412</v>
      </c>
      <c r="W401" s="45"/>
      <c r="X401" s="67"/>
    </row>
    <row r="402" spans="1:24" ht="14.25" customHeight="1">
      <c r="A402" s="427"/>
      <c r="B402" s="443"/>
      <c r="C402" s="446"/>
      <c r="D402" s="43" t="s">
        <v>199</v>
      </c>
      <c r="E402" s="114" t="s">
        <v>25</v>
      </c>
      <c r="F402" s="118" t="s">
        <v>54</v>
      </c>
      <c r="G402" s="224"/>
      <c r="H402" s="135"/>
      <c r="I402" s="158"/>
      <c r="J402" s="158"/>
      <c r="K402" s="128"/>
      <c r="L402" s="128"/>
      <c r="M402" s="128"/>
      <c r="N402" s="164"/>
      <c r="O402" s="158"/>
      <c r="P402" s="158"/>
      <c r="Q402" s="158">
        <f>Apr!CG281</f>
        <v>1</v>
      </c>
      <c r="R402" s="436"/>
      <c r="S402" s="436"/>
      <c r="T402" s="18"/>
      <c r="U402" s="18"/>
      <c r="V402" s="127"/>
      <c r="W402" s="45"/>
      <c r="X402" s="67"/>
    </row>
    <row r="403" spans="1:24" ht="15.75" customHeight="1">
      <c r="A403" s="427"/>
      <c r="B403" s="122" t="s">
        <v>55</v>
      </c>
      <c r="C403" s="180" t="s">
        <v>133</v>
      </c>
      <c r="D403" s="48" t="s">
        <v>56</v>
      </c>
      <c r="E403" s="424" t="s">
        <v>25</v>
      </c>
      <c r="F403" s="118" t="s">
        <v>67</v>
      </c>
      <c r="G403" s="226"/>
      <c r="H403" s="126"/>
      <c r="I403" s="126"/>
      <c r="J403" s="2"/>
      <c r="K403" s="18"/>
      <c r="L403" s="18"/>
      <c r="M403" s="18">
        <v>2800</v>
      </c>
      <c r="N403" s="18">
        <v>1</v>
      </c>
      <c r="O403" s="126"/>
      <c r="P403" s="126"/>
      <c r="Q403" s="126"/>
      <c r="R403" s="436"/>
      <c r="S403" s="436"/>
      <c r="T403" s="18"/>
      <c r="U403" s="18"/>
      <c r="V403" s="127">
        <f>O403-T403-U403+V377</f>
        <v>500</v>
      </c>
      <c r="W403" s="45"/>
      <c r="X403" s="67"/>
    </row>
    <row r="404" spans="1:24" ht="15.75" customHeight="1">
      <c r="A404" s="427"/>
      <c r="B404" s="122" t="s">
        <v>55</v>
      </c>
      <c r="C404" s="180" t="s">
        <v>316</v>
      </c>
      <c r="D404" s="48" t="s">
        <v>317</v>
      </c>
      <c r="E404" s="441"/>
      <c r="F404" s="155" t="s">
        <v>67</v>
      </c>
      <c r="G404" s="226">
        <v>123.8</v>
      </c>
      <c r="H404" s="126"/>
      <c r="I404" s="126"/>
      <c r="J404" s="2"/>
      <c r="K404" s="18">
        <v>1000</v>
      </c>
      <c r="L404" s="18">
        <v>1</v>
      </c>
      <c r="M404" s="18"/>
      <c r="N404" s="18"/>
      <c r="O404" s="126"/>
      <c r="P404" s="126">
        <f>Apr!CI302</f>
        <v>331</v>
      </c>
      <c r="Q404" s="126">
        <f>Apr!CG302</f>
        <v>1</v>
      </c>
      <c r="R404" s="436"/>
      <c r="S404" s="436"/>
      <c r="T404" s="18"/>
      <c r="U404" s="18"/>
      <c r="V404" s="127"/>
      <c r="W404" s="45"/>
      <c r="X404" s="67"/>
    </row>
    <row r="405" spans="1:24" ht="15" customHeight="1">
      <c r="A405" s="427"/>
      <c r="B405" s="122" t="s">
        <v>122</v>
      </c>
      <c r="C405" s="180" t="s">
        <v>123</v>
      </c>
      <c r="D405" s="48" t="s">
        <v>56</v>
      </c>
      <c r="E405" s="441"/>
      <c r="F405" s="155" t="s">
        <v>64</v>
      </c>
      <c r="G405" s="119"/>
      <c r="H405" s="126"/>
      <c r="I405" s="126"/>
      <c r="J405" s="2"/>
      <c r="K405" s="18"/>
      <c r="L405" s="18"/>
      <c r="M405" s="18">
        <v>6400</v>
      </c>
      <c r="N405" s="18">
        <v>2</v>
      </c>
      <c r="O405" s="126"/>
      <c r="P405" s="126"/>
      <c r="Q405" s="126">
        <f>Apr!CG287</f>
        <v>1</v>
      </c>
      <c r="R405" s="436"/>
      <c r="S405" s="436"/>
      <c r="T405" s="18"/>
      <c r="U405" s="18"/>
      <c r="V405" s="127">
        <f t="shared" ref="V405:V410" si="17">O405-T405-U405+V378</f>
        <v>31304</v>
      </c>
      <c r="W405" s="45"/>
      <c r="X405" s="67"/>
    </row>
    <row r="406" spans="1:24" ht="14.25" customHeight="1">
      <c r="A406" s="427"/>
      <c r="B406" s="137" t="s">
        <v>58</v>
      </c>
      <c r="C406" s="157" t="s">
        <v>243</v>
      </c>
      <c r="D406" s="48" t="s">
        <v>56</v>
      </c>
      <c r="E406" s="441"/>
      <c r="F406" s="118" t="s">
        <v>64</v>
      </c>
      <c r="G406" s="225"/>
      <c r="H406" s="126"/>
      <c r="I406" s="126"/>
      <c r="J406" s="126"/>
      <c r="K406" s="18"/>
      <c r="L406" s="18"/>
      <c r="M406" s="18"/>
      <c r="N406" s="80"/>
      <c r="O406" s="126"/>
      <c r="P406" s="126"/>
      <c r="Q406" s="126">
        <f>Apr!CG288</f>
        <v>1</v>
      </c>
      <c r="R406" s="436"/>
      <c r="S406" s="436"/>
      <c r="T406" s="18"/>
      <c r="U406" s="18"/>
      <c r="V406" s="127">
        <f t="shared" si="17"/>
        <v>8562</v>
      </c>
      <c r="W406" s="45"/>
      <c r="X406" s="67"/>
    </row>
    <row r="407" spans="1:24" ht="14.25" customHeight="1">
      <c r="A407" s="427"/>
      <c r="B407" s="122" t="s">
        <v>61</v>
      </c>
      <c r="C407" s="180" t="s">
        <v>137</v>
      </c>
      <c r="D407" s="48" t="s">
        <v>56</v>
      </c>
      <c r="E407" s="441"/>
      <c r="F407" s="118" t="s">
        <v>67</v>
      </c>
      <c r="G407" s="225"/>
      <c r="H407" s="126"/>
      <c r="I407" s="126"/>
      <c r="J407" s="126"/>
      <c r="K407" s="18"/>
      <c r="L407" s="18"/>
      <c r="M407" s="18"/>
      <c r="N407" s="80"/>
      <c r="O407" s="126"/>
      <c r="P407" s="126"/>
      <c r="Q407" s="126">
        <f>Apr!CG289</f>
        <v>1</v>
      </c>
      <c r="R407" s="436"/>
      <c r="S407" s="436"/>
      <c r="T407" s="18"/>
      <c r="U407" s="18"/>
      <c r="V407" s="127">
        <f t="shared" si="17"/>
        <v>5844</v>
      </c>
      <c r="W407" s="45"/>
      <c r="X407" s="67"/>
    </row>
    <row r="408" spans="1:24" ht="14.25" customHeight="1">
      <c r="A408" s="427"/>
      <c r="B408" s="122" t="s">
        <v>125</v>
      </c>
      <c r="C408" s="180" t="s">
        <v>88</v>
      </c>
      <c r="D408" s="48" t="s">
        <v>124</v>
      </c>
      <c r="E408" s="441"/>
      <c r="F408" s="118" t="s">
        <v>64</v>
      </c>
      <c r="G408" s="225"/>
      <c r="H408" s="126"/>
      <c r="I408" s="126"/>
      <c r="J408" s="126"/>
      <c r="K408" s="18"/>
      <c r="L408" s="18"/>
      <c r="M408" s="18">
        <v>51200</v>
      </c>
      <c r="N408" s="80">
        <v>7</v>
      </c>
      <c r="O408" s="126"/>
      <c r="P408" s="126"/>
      <c r="Q408" s="126"/>
      <c r="R408" s="436"/>
      <c r="S408" s="436"/>
      <c r="T408" s="18"/>
      <c r="U408" s="18"/>
      <c r="V408" s="127">
        <f t="shared" si="17"/>
        <v>23615</v>
      </c>
      <c r="W408" s="45"/>
      <c r="X408" s="67"/>
    </row>
    <row r="409" spans="1:24" ht="14.25" customHeight="1">
      <c r="A409" s="427"/>
      <c r="B409" s="137" t="s">
        <v>47</v>
      </c>
      <c r="C409" s="157" t="s">
        <v>100</v>
      </c>
      <c r="D409" s="48" t="s">
        <v>99</v>
      </c>
      <c r="E409" s="441"/>
      <c r="F409" s="118" t="s">
        <v>71</v>
      </c>
      <c r="G409" s="225"/>
      <c r="H409" s="126"/>
      <c r="I409" s="126"/>
      <c r="J409" s="126"/>
      <c r="K409" s="18">
        <v>6000</v>
      </c>
      <c r="L409" s="18">
        <v>1</v>
      </c>
      <c r="M409" s="18">
        <v>12000</v>
      </c>
      <c r="N409" s="80">
        <v>2</v>
      </c>
      <c r="O409" s="126"/>
      <c r="P409" s="126">
        <f>Apr!CI290</f>
        <v>1221</v>
      </c>
      <c r="Q409" s="126">
        <f>Apr!CG290</f>
        <v>5</v>
      </c>
      <c r="R409" s="436"/>
      <c r="S409" s="436"/>
      <c r="T409" s="18"/>
      <c r="U409" s="18"/>
      <c r="V409" s="127">
        <f t="shared" si="17"/>
        <v>32689</v>
      </c>
      <c r="W409" s="45"/>
      <c r="X409" s="67"/>
    </row>
    <row r="410" spans="1:24" ht="15" customHeight="1">
      <c r="A410" s="427"/>
      <c r="B410" s="122" t="s">
        <v>196</v>
      </c>
      <c r="C410" s="180" t="s">
        <v>63</v>
      </c>
      <c r="D410" s="48" t="s">
        <v>135</v>
      </c>
      <c r="E410" s="441"/>
      <c r="F410" s="118" t="s">
        <v>64</v>
      </c>
      <c r="G410" s="226"/>
      <c r="H410" s="126"/>
      <c r="I410" s="126"/>
      <c r="J410" s="2"/>
      <c r="K410" s="18"/>
      <c r="L410" s="18"/>
      <c r="M410" s="18">
        <v>33200</v>
      </c>
      <c r="N410" s="18">
        <v>4</v>
      </c>
      <c r="O410" s="126"/>
      <c r="P410" s="126"/>
      <c r="Q410" s="126"/>
      <c r="R410" s="436"/>
      <c r="S410" s="436"/>
      <c r="T410" s="18"/>
      <c r="U410" s="18"/>
      <c r="V410" s="127">
        <f t="shared" si="17"/>
        <v>15106</v>
      </c>
      <c r="W410" s="45"/>
      <c r="X410" s="67"/>
    </row>
    <row r="411" spans="1:24" ht="15" customHeight="1">
      <c r="A411" s="427"/>
      <c r="B411" s="122" t="s">
        <v>253</v>
      </c>
      <c r="C411" s="180" t="s">
        <v>252</v>
      </c>
      <c r="D411" s="48" t="s">
        <v>246</v>
      </c>
      <c r="E411" s="441"/>
      <c r="F411" s="118" t="s">
        <v>247</v>
      </c>
      <c r="G411" s="226"/>
      <c r="H411" s="126"/>
      <c r="I411" s="126"/>
      <c r="J411" s="2"/>
      <c r="K411" s="18"/>
      <c r="L411" s="18"/>
      <c r="M411" s="18"/>
      <c r="N411" s="18"/>
      <c r="O411" s="126"/>
      <c r="P411" s="126"/>
      <c r="Q411" s="126">
        <f>Apr!CG291</f>
        <v>1</v>
      </c>
      <c r="R411" s="436"/>
      <c r="S411" s="436"/>
      <c r="T411" s="18"/>
      <c r="U411" s="18"/>
      <c r="V411" s="127"/>
      <c r="W411" s="45"/>
      <c r="X411" s="67"/>
    </row>
    <row r="412" spans="1:24" ht="15" customHeight="1">
      <c r="A412" s="427"/>
      <c r="B412" s="122" t="s">
        <v>289</v>
      </c>
      <c r="C412" s="180" t="s">
        <v>290</v>
      </c>
      <c r="D412" s="48" t="s">
        <v>291</v>
      </c>
      <c r="E412" s="441"/>
      <c r="F412" s="118" t="s">
        <v>292</v>
      </c>
      <c r="G412" s="119"/>
      <c r="H412" s="126"/>
      <c r="I412" s="126"/>
      <c r="J412" s="2"/>
      <c r="K412" s="18"/>
      <c r="L412" s="18"/>
      <c r="M412" s="18"/>
      <c r="N412" s="18"/>
      <c r="O412" s="126"/>
      <c r="P412" s="126"/>
      <c r="Q412" s="126">
        <f>Apr!CG292</f>
        <v>1</v>
      </c>
      <c r="R412" s="436"/>
      <c r="S412" s="436"/>
      <c r="T412" s="18"/>
      <c r="U412" s="18"/>
      <c r="V412" s="18"/>
      <c r="W412" s="45"/>
      <c r="X412" s="67"/>
    </row>
    <row r="413" spans="1:24" ht="15" customHeight="1">
      <c r="A413" s="427"/>
      <c r="B413" s="122" t="s">
        <v>131</v>
      </c>
      <c r="C413" s="180" t="s">
        <v>194</v>
      </c>
      <c r="D413" s="48" t="s">
        <v>132</v>
      </c>
      <c r="E413" s="441"/>
      <c r="F413" s="118" t="s">
        <v>64</v>
      </c>
      <c r="G413" s="119"/>
      <c r="H413" s="126"/>
      <c r="I413" s="126"/>
      <c r="J413" s="2"/>
      <c r="K413" s="18"/>
      <c r="L413" s="18"/>
      <c r="M413" s="18"/>
      <c r="N413" s="18"/>
      <c r="O413" s="126"/>
      <c r="P413" s="126"/>
      <c r="Q413" s="126"/>
      <c r="R413" s="436"/>
      <c r="S413" s="436"/>
      <c r="T413" s="18"/>
      <c r="U413" s="18"/>
      <c r="V413" s="18">
        <f>O413-T413-U413+V386</f>
        <v>1035</v>
      </c>
      <c r="W413" s="45"/>
      <c r="X413" s="67"/>
    </row>
    <row r="414" spans="1:24" ht="15" customHeight="1">
      <c r="A414" s="427"/>
      <c r="B414" s="122" t="s">
        <v>315</v>
      </c>
      <c r="C414" s="180" t="s">
        <v>252</v>
      </c>
      <c r="D414" s="48" t="s">
        <v>246</v>
      </c>
      <c r="E414" s="441"/>
      <c r="F414" s="118" t="s">
        <v>64</v>
      </c>
      <c r="G414" s="119"/>
      <c r="H414" s="126"/>
      <c r="I414" s="126"/>
      <c r="J414" s="2"/>
      <c r="K414" s="18"/>
      <c r="L414" s="18"/>
      <c r="M414" s="18"/>
      <c r="N414" s="18"/>
      <c r="O414" s="126"/>
      <c r="P414" s="126">
        <f>Apr!CI295</f>
        <v>155</v>
      </c>
      <c r="Q414" s="126">
        <f>Apr!CG295</f>
        <v>1</v>
      </c>
      <c r="R414" s="436"/>
      <c r="S414" s="436"/>
      <c r="T414" s="18">
        <v>500</v>
      </c>
      <c r="U414" s="18"/>
      <c r="V414" s="18">
        <f>O414-T414-U414+V387</f>
        <v>0</v>
      </c>
      <c r="W414" s="45"/>
      <c r="X414" s="67"/>
    </row>
    <row r="415" spans="1:24" ht="15" customHeight="1">
      <c r="A415" s="427"/>
      <c r="B415" s="122" t="s">
        <v>101</v>
      </c>
      <c r="C415" s="180" t="s">
        <v>193</v>
      </c>
      <c r="D415" s="48" t="s">
        <v>102</v>
      </c>
      <c r="E415" s="441"/>
      <c r="F415" s="118" t="s">
        <v>64</v>
      </c>
      <c r="G415" s="119"/>
      <c r="H415" s="126"/>
      <c r="I415" s="126"/>
      <c r="J415" s="2"/>
      <c r="K415" s="18"/>
      <c r="L415" s="18"/>
      <c r="M415" s="18"/>
      <c r="N415" s="18"/>
      <c r="O415" s="126"/>
      <c r="P415" s="126"/>
      <c r="Q415" s="126">
        <f>Apr!CG297</f>
        <v>1</v>
      </c>
      <c r="R415" s="436"/>
      <c r="S415" s="436"/>
      <c r="T415" s="18"/>
      <c r="U415" s="18"/>
      <c r="V415" s="18"/>
      <c r="W415" s="45"/>
      <c r="X415" s="67"/>
    </row>
    <row r="416" spans="1:24" ht="15" customHeight="1">
      <c r="A416" s="427"/>
      <c r="B416" s="122" t="s">
        <v>103</v>
      </c>
      <c r="C416" s="157" t="s">
        <v>197</v>
      </c>
      <c r="D416" s="48" t="s">
        <v>104</v>
      </c>
      <c r="E416" s="441"/>
      <c r="F416" s="118" t="s">
        <v>105</v>
      </c>
      <c r="G416" s="119"/>
      <c r="H416" s="126"/>
      <c r="I416" s="126"/>
      <c r="J416" s="2"/>
      <c r="K416" s="18"/>
      <c r="L416" s="18"/>
      <c r="M416" s="18"/>
      <c r="N416" s="18"/>
      <c r="O416" s="126"/>
      <c r="P416" s="126"/>
      <c r="Q416" s="126">
        <f>Apr!CG298</f>
        <v>1</v>
      </c>
      <c r="R416" s="436"/>
      <c r="S416" s="436"/>
      <c r="T416" s="18"/>
      <c r="U416" s="18"/>
      <c r="V416" s="18"/>
      <c r="W416" s="45"/>
      <c r="X416" s="67"/>
    </row>
    <row r="417" spans="1:25" ht="15" customHeight="1">
      <c r="A417" s="427"/>
      <c r="B417" s="137" t="s">
        <v>112</v>
      </c>
      <c r="C417" s="157" t="s">
        <v>197</v>
      </c>
      <c r="D417" s="48" t="s">
        <v>104</v>
      </c>
      <c r="E417" s="441"/>
      <c r="F417" s="118" t="s">
        <v>113</v>
      </c>
      <c r="G417" s="119"/>
      <c r="H417" s="126"/>
      <c r="I417" s="126"/>
      <c r="J417" s="2"/>
      <c r="K417" s="18"/>
      <c r="L417" s="18"/>
      <c r="M417" s="18"/>
      <c r="N417" s="18"/>
      <c r="O417" s="126"/>
      <c r="P417" s="126"/>
      <c r="Q417" s="126">
        <f>Apr!CG301</f>
        <v>1</v>
      </c>
      <c r="R417" s="436"/>
      <c r="S417" s="436"/>
      <c r="T417" s="18"/>
      <c r="U417" s="18"/>
      <c r="V417" s="18"/>
      <c r="W417" s="45"/>
      <c r="X417" s="67"/>
    </row>
    <row r="418" spans="1:25" ht="15" customHeight="1">
      <c r="A418" s="427"/>
      <c r="B418" s="137" t="s">
        <v>106</v>
      </c>
      <c r="C418" s="157" t="s">
        <v>141</v>
      </c>
      <c r="D418" s="48" t="s">
        <v>68</v>
      </c>
      <c r="E418" s="441"/>
      <c r="F418" s="118" t="s">
        <v>67</v>
      </c>
      <c r="G418" s="119"/>
      <c r="H418" s="126"/>
      <c r="I418" s="126"/>
      <c r="J418" s="2"/>
      <c r="K418" s="18"/>
      <c r="L418" s="18"/>
      <c r="M418" s="18"/>
      <c r="N418" s="18"/>
      <c r="O418" s="126"/>
      <c r="P418" s="126"/>
      <c r="Q418" s="126"/>
      <c r="R418" s="436"/>
      <c r="S418" s="436"/>
      <c r="T418" s="18"/>
      <c r="U418" s="18"/>
      <c r="V418" s="18"/>
      <c r="W418" s="45"/>
      <c r="X418" s="67"/>
    </row>
    <row r="419" spans="1:25" ht="15" customHeight="1" thickBot="1">
      <c r="A419" s="428"/>
      <c r="B419" s="44" t="s">
        <v>107</v>
      </c>
      <c r="C419" s="181" t="s">
        <v>195</v>
      </c>
      <c r="D419" s="61" t="s">
        <v>108</v>
      </c>
      <c r="E419" s="447"/>
      <c r="F419" s="133" t="s">
        <v>48</v>
      </c>
      <c r="G419" s="132"/>
      <c r="H419" s="109"/>
      <c r="I419" s="134"/>
      <c r="J419" s="129"/>
      <c r="K419" s="130"/>
      <c r="L419" s="130"/>
      <c r="M419" s="130"/>
      <c r="N419" s="130"/>
      <c r="O419" s="134"/>
      <c r="P419" s="134"/>
      <c r="Q419" s="134">
        <f>Apr!CG300</f>
        <v>1</v>
      </c>
      <c r="R419" s="437"/>
      <c r="S419" s="437"/>
      <c r="T419" s="130"/>
      <c r="U419" s="130"/>
      <c r="V419" s="128"/>
      <c r="W419" s="85"/>
      <c r="X419" s="67"/>
    </row>
    <row r="420" spans="1:25" ht="15" customHeight="1">
      <c r="A420" s="426">
        <v>46133</v>
      </c>
      <c r="B420" s="429" t="s">
        <v>44</v>
      </c>
      <c r="C420" s="432" t="s">
        <v>240</v>
      </c>
      <c r="D420" s="19" t="s">
        <v>37</v>
      </c>
      <c r="E420" s="19" t="s">
        <v>25</v>
      </c>
      <c r="F420" s="39" t="s">
        <v>40</v>
      </c>
      <c r="G420" s="41"/>
      <c r="H420" s="32"/>
      <c r="I420" s="32"/>
      <c r="J420" s="32"/>
      <c r="K420" s="20"/>
      <c r="L420" s="20"/>
      <c r="M420" s="20">
        <v>224000</v>
      </c>
      <c r="N420" s="84">
        <v>28</v>
      </c>
      <c r="O420" s="32">
        <f>Apr!CK276</f>
        <v>15146</v>
      </c>
      <c r="P420" s="32">
        <f>Apr!CL276</f>
        <v>21100</v>
      </c>
      <c r="Q420" s="32">
        <f>Apr!CJ276</f>
        <v>55</v>
      </c>
      <c r="R420" s="435">
        <f>Apr!CK303</f>
        <v>67357</v>
      </c>
      <c r="S420" s="435">
        <f>Apr!CL303</f>
        <v>74129</v>
      </c>
      <c r="T420" s="20"/>
      <c r="U420" s="20"/>
      <c r="V420" s="20">
        <f t="shared" ref="V420:V425" si="18">O420-T420-U420+V393</f>
        <v>149425</v>
      </c>
      <c r="W420" s="77"/>
      <c r="X420" s="36"/>
    </row>
    <row r="421" spans="1:25" ht="15" customHeight="1">
      <c r="A421" s="427"/>
      <c r="B421" s="430"/>
      <c r="C421" s="433"/>
      <c r="D421" s="113" t="s">
        <v>128</v>
      </c>
      <c r="E421" s="438" t="s">
        <v>24</v>
      </c>
      <c r="F421" s="118" t="s">
        <v>40</v>
      </c>
      <c r="G421" s="38"/>
      <c r="H421" s="37"/>
      <c r="I421" s="125"/>
      <c r="J421" s="125"/>
      <c r="K421" s="18"/>
      <c r="L421" s="127"/>
      <c r="M421" s="216"/>
      <c r="N421" s="238"/>
      <c r="O421" s="126">
        <f>Apr!CK277</f>
        <v>31847</v>
      </c>
      <c r="P421" s="125">
        <f>Apr!CL277</f>
        <v>22899</v>
      </c>
      <c r="Q421" s="125">
        <f>Apr!CJ277</f>
        <v>60</v>
      </c>
      <c r="R421" s="436"/>
      <c r="S421" s="436"/>
      <c r="T421" s="127">
        <v>26531</v>
      </c>
      <c r="U421" s="127">
        <v>8</v>
      </c>
      <c r="V421" s="127">
        <f t="shared" si="18"/>
        <v>24223</v>
      </c>
      <c r="W421" s="46"/>
      <c r="X421" s="67"/>
    </row>
    <row r="422" spans="1:25" ht="15" customHeight="1">
      <c r="A422" s="427"/>
      <c r="B422" s="431"/>
      <c r="C422" s="434"/>
      <c r="D422" s="113" t="s">
        <v>307</v>
      </c>
      <c r="E422" s="431"/>
      <c r="F422" s="118" t="s">
        <v>40</v>
      </c>
      <c r="G422" s="170"/>
      <c r="H422" s="135">
        <v>3292.5</v>
      </c>
      <c r="I422" s="125"/>
      <c r="J422" s="125"/>
      <c r="K422" s="127">
        <v>8000</v>
      </c>
      <c r="L422" s="127">
        <v>1</v>
      </c>
      <c r="M422" s="216">
        <v>127400</v>
      </c>
      <c r="N422" s="238">
        <v>16</v>
      </c>
      <c r="O422" s="126">
        <f>Apr!CK278</f>
        <v>5078</v>
      </c>
      <c r="P422" s="125">
        <f>Apr!CL278</f>
        <v>10846</v>
      </c>
      <c r="Q422" s="125">
        <f>Apr!CJ278</f>
        <v>28</v>
      </c>
      <c r="R422" s="436"/>
      <c r="S422" s="436"/>
      <c r="T422" s="127"/>
      <c r="U422" s="127"/>
      <c r="V422" s="127">
        <f t="shared" si="18"/>
        <v>6673</v>
      </c>
      <c r="W422" s="46"/>
      <c r="X422" s="67"/>
    </row>
    <row r="423" spans="1:25" ht="15" customHeight="1">
      <c r="A423" s="427"/>
      <c r="B423" s="442" t="s">
        <v>45</v>
      </c>
      <c r="C423" s="471" t="s">
        <v>59</v>
      </c>
      <c r="D423" s="118" t="s">
        <v>75</v>
      </c>
      <c r="E423" s="438" t="s">
        <v>25</v>
      </c>
      <c r="F423" s="131" t="s">
        <v>57</v>
      </c>
      <c r="G423" s="87"/>
      <c r="H423" s="136"/>
      <c r="I423" s="126"/>
      <c r="J423" s="2"/>
      <c r="K423" s="127"/>
      <c r="L423" s="18"/>
      <c r="M423" s="18"/>
      <c r="N423" s="80"/>
      <c r="O423" s="126">
        <f>Apr!CK282</f>
        <v>1052</v>
      </c>
      <c r="P423" s="126">
        <f>Apr!CL282</f>
        <v>817</v>
      </c>
      <c r="Q423" s="2">
        <f>Apr!CJ282</f>
        <v>3</v>
      </c>
      <c r="R423" s="436"/>
      <c r="S423" s="436"/>
      <c r="T423" s="18">
        <v>12183</v>
      </c>
      <c r="U423" s="18"/>
      <c r="V423" s="127">
        <f t="shared" si="18"/>
        <v>62299</v>
      </c>
      <c r="W423" s="46"/>
      <c r="Y423" s="13"/>
    </row>
    <row r="424" spans="1:25" ht="15" customHeight="1">
      <c r="A424" s="427"/>
      <c r="B424" s="439"/>
      <c r="C424" s="471"/>
      <c r="D424" s="118" t="s">
        <v>291</v>
      </c>
      <c r="E424" s="430"/>
      <c r="F424" s="131" t="s">
        <v>57</v>
      </c>
      <c r="G424" s="87"/>
      <c r="H424" s="136"/>
      <c r="I424" s="126"/>
      <c r="J424" s="2"/>
      <c r="K424" s="127">
        <v>4900</v>
      </c>
      <c r="L424" s="18">
        <v>1</v>
      </c>
      <c r="M424" s="18">
        <v>29400</v>
      </c>
      <c r="N424" s="80">
        <v>6</v>
      </c>
      <c r="O424" s="126">
        <f>Apr!CK283</f>
        <v>2178</v>
      </c>
      <c r="P424" s="126">
        <f>Apr!CL283</f>
        <v>2900</v>
      </c>
      <c r="Q424" s="2">
        <f>Apr!CJ283</f>
        <v>12</v>
      </c>
      <c r="R424" s="436"/>
      <c r="S424" s="436"/>
      <c r="T424" s="18"/>
      <c r="U424" s="18"/>
      <c r="V424" s="127">
        <f t="shared" si="18"/>
        <v>7533</v>
      </c>
      <c r="W424" s="46"/>
      <c r="Y424" s="13"/>
    </row>
    <row r="425" spans="1:25">
      <c r="A425" s="427"/>
      <c r="B425" s="439"/>
      <c r="C425" s="471"/>
      <c r="D425" s="118" t="s">
        <v>72</v>
      </c>
      <c r="E425" s="424" t="s">
        <v>24</v>
      </c>
      <c r="F425" s="131" t="s">
        <v>57</v>
      </c>
      <c r="G425" s="224">
        <v>2329.5</v>
      </c>
      <c r="H425" s="136"/>
      <c r="I425" s="126"/>
      <c r="J425" s="126"/>
      <c r="K425" s="127"/>
      <c r="L425" s="18"/>
      <c r="M425" s="18">
        <v>75000</v>
      </c>
      <c r="N425" s="80">
        <v>15</v>
      </c>
      <c r="O425" s="126">
        <f>Apr!CK284</f>
        <v>3300</v>
      </c>
      <c r="P425" s="126">
        <f>Apr!CL284</f>
        <v>6096</v>
      </c>
      <c r="Q425" s="126">
        <f>Apr!CJ284</f>
        <v>26</v>
      </c>
      <c r="R425" s="436"/>
      <c r="S425" s="436"/>
      <c r="T425" s="18">
        <v>6666</v>
      </c>
      <c r="U425" s="18"/>
      <c r="V425" s="127">
        <f t="shared" si="18"/>
        <v>6760</v>
      </c>
      <c r="W425" s="46"/>
      <c r="Y425" s="13"/>
    </row>
    <row r="426" spans="1:25">
      <c r="A426" s="427"/>
      <c r="B426" s="439"/>
      <c r="C426" s="471"/>
      <c r="D426" s="115" t="s">
        <v>73</v>
      </c>
      <c r="E426" s="425"/>
      <c r="F426" s="131"/>
      <c r="G426" s="224"/>
      <c r="H426" s="152">
        <f>1320+660</f>
        <v>1980</v>
      </c>
      <c r="I426" s="126"/>
      <c r="J426" s="126"/>
      <c r="K426" s="127"/>
      <c r="L426" s="18"/>
      <c r="M426" s="18"/>
      <c r="N426" s="80"/>
      <c r="O426" s="126"/>
      <c r="P426" s="126"/>
      <c r="Q426" s="126"/>
      <c r="R426" s="436"/>
      <c r="S426" s="436"/>
      <c r="T426" s="18"/>
      <c r="U426" s="18"/>
      <c r="V426" s="127"/>
      <c r="W426" s="46"/>
      <c r="Y426" s="13"/>
    </row>
    <row r="427" spans="1:25" ht="14.25" customHeight="1">
      <c r="A427" s="427"/>
      <c r="B427" s="439"/>
      <c r="C427" s="471"/>
      <c r="D427" s="115" t="s">
        <v>79</v>
      </c>
      <c r="E427" s="118" t="s">
        <v>65</v>
      </c>
      <c r="F427" s="131" t="s">
        <v>57</v>
      </c>
      <c r="G427" s="224"/>
      <c r="H427" s="37"/>
      <c r="I427" s="126"/>
      <c r="J427" s="126"/>
      <c r="K427" s="18"/>
      <c r="L427" s="18"/>
      <c r="M427" s="18"/>
      <c r="N427" s="80"/>
      <c r="O427" s="126"/>
      <c r="P427" s="126"/>
      <c r="Q427" s="126">
        <f>Apr!CJ285</f>
        <v>1</v>
      </c>
      <c r="R427" s="436"/>
      <c r="S427" s="436"/>
      <c r="T427" s="18"/>
      <c r="U427" s="18"/>
      <c r="V427" s="127"/>
      <c r="W427" s="45"/>
      <c r="X427" s="36"/>
    </row>
    <row r="428" spans="1:25" ht="14.25" customHeight="1">
      <c r="A428" s="427"/>
      <c r="B428" s="443"/>
      <c r="C428" s="271" t="s">
        <v>299</v>
      </c>
      <c r="D428" s="115" t="s">
        <v>296</v>
      </c>
      <c r="E428" s="115" t="s">
        <v>25</v>
      </c>
      <c r="F428" s="131" t="s">
        <v>298</v>
      </c>
      <c r="G428" s="224"/>
      <c r="H428" s="37"/>
      <c r="I428" s="126"/>
      <c r="J428" s="126"/>
      <c r="K428" s="18"/>
      <c r="L428" s="18"/>
      <c r="M428" s="18"/>
      <c r="N428" s="80"/>
      <c r="O428" s="126"/>
      <c r="P428" s="126"/>
      <c r="Q428" s="126">
        <f>Apr!CJ286</f>
        <v>1</v>
      </c>
      <c r="R428" s="436"/>
      <c r="S428" s="436"/>
      <c r="T428" s="18"/>
      <c r="U428" s="18"/>
      <c r="V428" s="127"/>
      <c r="W428" s="45"/>
      <c r="X428" s="67"/>
    </row>
    <row r="429" spans="1:25" ht="14.25" customHeight="1">
      <c r="A429" s="427"/>
      <c r="B429" s="442" t="s">
        <v>53</v>
      </c>
      <c r="C429" s="444" t="s">
        <v>60</v>
      </c>
      <c r="D429" s="43" t="s">
        <v>130</v>
      </c>
      <c r="E429" s="424" t="s">
        <v>66</v>
      </c>
      <c r="F429" s="118" t="s">
        <v>54</v>
      </c>
      <c r="G429" s="224"/>
      <c r="H429" s="37"/>
      <c r="I429" s="126"/>
      <c r="J429" s="126"/>
      <c r="K429" s="18">
        <v>6000</v>
      </c>
      <c r="L429" s="18">
        <v>1</v>
      </c>
      <c r="M429" s="18">
        <v>54000</v>
      </c>
      <c r="N429" s="80">
        <v>9</v>
      </c>
      <c r="O429" s="126">
        <f>Apr!CK279</f>
        <v>8064</v>
      </c>
      <c r="P429" s="126">
        <f>Apr!CL279</f>
        <v>6888</v>
      </c>
      <c r="Q429" s="126">
        <f>Apr!CJ279</f>
        <v>22</v>
      </c>
      <c r="R429" s="436"/>
      <c r="S429" s="436"/>
      <c r="T429" s="18">
        <v>6605</v>
      </c>
      <c r="U429" s="18"/>
      <c r="V429" s="127">
        <f>O429-T429-U429+V401</f>
        <v>7871</v>
      </c>
      <c r="W429" s="45"/>
      <c r="X429" s="67"/>
    </row>
    <row r="430" spans="1:25" ht="14.25" customHeight="1">
      <c r="A430" s="427"/>
      <c r="B430" s="439"/>
      <c r="C430" s="445"/>
      <c r="D430" s="43" t="s">
        <v>320</v>
      </c>
      <c r="E430" s="425"/>
      <c r="F430" s="118" t="s">
        <v>54</v>
      </c>
      <c r="G430" s="229">
        <v>5117.88</v>
      </c>
      <c r="H430" s="37"/>
      <c r="I430" s="126"/>
      <c r="J430" s="126"/>
      <c r="K430" s="18"/>
      <c r="L430" s="18"/>
      <c r="M430" s="18">
        <v>72000</v>
      </c>
      <c r="N430" s="80">
        <v>12</v>
      </c>
      <c r="O430" s="126"/>
      <c r="P430" s="126"/>
      <c r="Q430" s="126"/>
      <c r="R430" s="436"/>
      <c r="S430" s="436"/>
      <c r="T430" s="18"/>
      <c r="U430" s="18"/>
      <c r="V430" s="127"/>
      <c r="W430" s="45"/>
      <c r="X430" s="67"/>
    </row>
    <row r="431" spans="1:25" ht="14.25" customHeight="1">
      <c r="A431" s="427"/>
      <c r="B431" s="443"/>
      <c r="C431" s="446"/>
      <c r="D431" s="43" t="s">
        <v>199</v>
      </c>
      <c r="E431" s="114" t="s">
        <v>25</v>
      </c>
      <c r="F431" s="118" t="s">
        <v>54</v>
      </c>
      <c r="G431" s="224"/>
      <c r="H431" s="135"/>
      <c r="I431" s="158"/>
      <c r="J431" s="158"/>
      <c r="K431" s="128"/>
      <c r="L431" s="128"/>
      <c r="M431" s="128"/>
      <c r="N431" s="164"/>
      <c r="O431" s="158"/>
      <c r="P431" s="158"/>
      <c r="Q431" s="158">
        <f>Apr!CJ281</f>
        <v>1</v>
      </c>
      <c r="R431" s="436"/>
      <c r="S431" s="436"/>
      <c r="T431" s="18"/>
      <c r="U431" s="18"/>
      <c r="V431" s="127"/>
      <c r="W431" s="45"/>
      <c r="X431" s="67"/>
    </row>
    <row r="432" spans="1:25" ht="15.75" customHeight="1">
      <c r="A432" s="427"/>
      <c r="B432" s="122" t="s">
        <v>55</v>
      </c>
      <c r="C432" s="180" t="s">
        <v>133</v>
      </c>
      <c r="D432" s="48" t="s">
        <v>56</v>
      </c>
      <c r="E432" s="424" t="s">
        <v>25</v>
      </c>
      <c r="F432" s="118" t="s">
        <v>67</v>
      </c>
      <c r="G432" s="226"/>
      <c r="H432" s="126"/>
      <c r="I432" s="126"/>
      <c r="J432" s="2"/>
      <c r="K432" s="18"/>
      <c r="L432" s="18"/>
      <c r="M432" s="18">
        <v>2800</v>
      </c>
      <c r="N432" s="18">
        <v>1</v>
      </c>
      <c r="O432" s="126"/>
      <c r="P432" s="126"/>
      <c r="Q432" s="126"/>
      <c r="R432" s="436"/>
      <c r="S432" s="436"/>
      <c r="T432" s="18"/>
      <c r="U432" s="18"/>
      <c r="V432" s="127">
        <f t="shared" ref="V432:V439" si="19">O432-T432-U432+V403</f>
        <v>500</v>
      </c>
      <c r="W432" s="45"/>
      <c r="X432" s="67"/>
    </row>
    <row r="433" spans="1:24" ht="15.75" customHeight="1">
      <c r="A433" s="427"/>
      <c r="B433" s="122" t="s">
        <v>55</v>
      </c>
      <c r="C433" s="180" t="s">
        <v>316</v>
      </c>
      <c r="D433" s="48" t="s">
        <v>317</v>
      </c>
      <c r="E433" s="441"/>
      <c r="F433" s="155" t="s">
        <v>67</v>
      </c>
      <c r="G433" s="226"/>
      <c r="H433" s="126"/>
      <c r="I433" s="126"/>
      <c r="J433" s="2"/>
      <c r="K433" s="18"/>
      <c r="L433" s="18"/>
      <c r="M433" s="18"/>
      <c r="N433" s="18"/>
      <c r="O433" s="126">
        <f>Apr!CK302</f>
        <v>500</v>
      </c>
      <c r="P433" s="126">
        <f>Apr!CL302</f>
        <v>169</v>
      </c>
      <c r="Q433" s="126">
        <f>Apr!CJ302</f>
        <v>1</v>
      </c>
      <c r="R433" s="436"/>
      <c r="S433" s="436"/>
      <c r="T433" s="18"/>
      <c r="U433" s="18"/>
      <c r="V433" s="127">
        <f t="shared" si="19"/>
        <v>500</v>
      </c>
      <c r="W433" s="45"/>
      <c r="X433" s="67"/>
    </row>
    <row r="434" spans="1:24" ht="15" customHeight="1">
      <c r="A434" s="427"/>
      <c r="B434" s="122" t="s">
        <v>122</v>
      </c>
      <c r="C434" s="180" t="s">
        <v>123</v>
      </c>
      <c r="D434" s="48" t="s">
        <v>56</v>
      </c>
      <c r="E434" s="441"/>
      <c r="F434" s="155" t="s">
        <v>64</v>
      </c>
      <c r="G434" s="119"/>
      <c r="H434" s="126"/>
      <c r="I434" s="126"/>
      <c r="J434" s="2"/>
      <c r="K434" s="18"/>
      <c r="L434" s="18"/>
      <c r="M434" s="18">
        <v>6400</v>
      </c>
      <c r="N434" s="18">
        <v>2</v>
      </c>
      <c r="O434" s="126"/>
      <c r="P434" s="126"/>
      <c r="Q434" s="126">
        <f>Apr!CJ287</f>
        <v>1</v>
      </c>
      <c r="R434" s="436"/>
      <c r="S434" s="436"/>
      <c r="T434" s="18"/>
      <c r="U434" s="18"/>
      <c r="V434" s="127">
        <f t="shared" si="19"/>
        <v>31304</v>
      </c>
      <c r="W434" s="45"/>
      <c r="X434" s="67"/>
    </row>
    <row r="435" spans="1:24" ht="14.25" customHeight="1">
      <c r="A435" s="427"/>
      <c r="B435" s="137" t="s">
        <v>58</v>
      </c>
      <c r="C435" s="157" t="s">
        <v>243</v>
      </c>
      <c r="D435" s="48" t="s">
        <v>56</v>
      </c>
      <c r="E435" s="441"/>
      <c r="F435" s="118" t="s">
        <v>64</v>
      </c>
      <c r="G435" s="225"/>
      <c r="H435" s="126"/>
      <c r="I435" s="126"/>
      <c r="J435" s="126"/>
      <c r="K435" s="18"/>
      <c r="L435" s="18"/>
      <c r="M435" s="18"/>
      <c r="N435" s="80"/>
      <c r="O435" s="126"/>
      <c r="P435" s="126"/>
      <c r="Q435" s="126">
        <f>Apr!CJ288</f>
        <v>1</v>
      </c>
      <c r="R435" s="436"/>
      <c r="S435" s="436"/>
      <c r="T435" s="18"/>
      <c r="U435" s="18"/>
      <c r="V435" s="127">
        <f t="shared" si="19"/>
        <v>8562</v>
      </c>
      <c r="W435" s="45"/>
      <c r="X435" s="67"/>
    </row>
    <row r="436" spans="1:24" ht="14.25" customHeight="1">
      <c r="A436" s="427"/>
      <c r="B436" s="122" t="s">
        <v>61</v>
      </c>
      <c r="C436" s="180" t="s">
        <v>137</v>
      </c>
      <c r="D436" s="48" t="s">
        <v>56</v>
      </c>
      <c r="E436" s="441"/>
      <c r="F436" s="118" t="s">
        <v>67</v>
      </c>
      <c r="G436" s="225"/>
      <c r="H436" s="126"/>
      <c r="I436" s="126"/>
      <c r="J436" s="126"/>
      <c r="K436" s="18"/>
      <c r="L436" s="18"/>
      <c r="M436" s="18"/>
      <c r="N436" s="80"/>
      <c r="O436" s="126"/>
      <c r="P436" s="126"/>
      <c r="Q436" s="126">
        <f>Apr!CJ289</f>
        <v>1</v>
      </c>
      <c r="R436" s="436"/>
      <c r="S436" s="436"/>
      <c r="T436" s="18"/>
      <c r="U436" s="18"/>
      <c r="V436" s="127">
        <f t="shared" si="19"/>
        <v>5844</v>
      </c>
      <c r="W436" s="45"/>
      <c r="X436" s="67"/>
    </row>
    <row r="437" spans="1:24" ht="14.25" customHeight="1">
      <c r="A437" s="427"/>
      <c r="B437" s="122" t="s">
        <v>125</v>
      </c>
      <c r="C437" s="180" t="s">
        <v>88</v>
      </c>
      <c r="D437" s="48" t="s">
        <v>124</v>
      </c>
      <c r="E437" s="441"/>
      <c r="F437" s="118" t="s">
        <v>64</v>
      </c>
      <c r="G437" s="225"/>
      <c r="H437" s="126"/>
      <c r="I437" s="126"/>
      <c r="J437" s="126"/>
      <c r="K437" s="18"/>
      <c r="L437" s="18"/>
      <c r="M437" s="18">
        <v>51200</v>
      </c>
      <c r="N437" s="80">
        <v>7</v>
      </c>
      <c r="O437" s="126"/>
      <c r="P437" s="126"/>
      <c r="Q437" s="126"/>
      <c r="R437" s="436"/>
      <c r="S437" s="436"/>
      <c r="T437" s="18"/>
      <c r="U437" s="18"/>
      <c r="V437" s="127">
        <f t="shared" si="19"/>
        <v>23615</v>
      </c>
      <c r="W437" s="45"/>
      <c r="X437" s="67"/>
    </row>
    <row r="438" spans="1:24" ht="14.25" customHeight="1">
      <c r="A438" s="427"/>
      <c r="B438" s="137" t="s">
        <v>47</v>
      </c>
      <c r="C438" s="157" t="s">
        <v>100</v>
      </c>
      <c r="D438" s="48" t="s">
        <v>99</v>
      </c>
      <c r="E438" s="441"/>
      <c r="F438" s="118" t="s">
        <v>71</v>
      </c>
      <c r="G438" s="279">
        <v>1247.1600000000001</v>
      </c>
      <c r="H438" s="126"/>
      <c r="I438" s="126"/>
      <c r="J438" s="126"/>
      <c r="K438" s="18">
        <v>12000</v>
      </c>
      <c r="L438" s="18">
        <v>2</v>
      </c>
      <c r="M438" s="18">
        <v>22800</v>
      </c>
      <c r="N438" s="80">
        <v>4</v>
      </c>
      <c r="O438" s="126"/>
      <c r="P438" s="126">
        <f>Apr!CL290</f>
        <v>1890</v>
      </c>
      <c r="Q438" s="126">
        <f>Apr!CJ290</f>
        <v>7</v>
      </c>
      <c r="R438" s="436"/>
      <c r="S438" s="436"/>
      <c r="T438" s="18">
        <v>8717</v>
      </c>
      <c r="U438" s="18">
        <v>26</v>
      </c>
      <c r="V438" s="127">
        <f t="shared" si="19"/>
        <v>23946</v>
      </c>
      <c r="W438" s="45"/>
      <c r="X438" s="67"/>
    </row>
    <row r="439" spans="1:24" ht="15" customHeight="1">
      <c r="A439" s="427"/>
      <c r="B439" s="122" t="s">
        <v>196</v>
      </c>
      <c r="C439" s="180" t="s">
        <v>63</v>
      </c>
      <c r="D439" s="48" t="s">
        <v>135</v>
      </c>
      <c r="E439" s="441"/>
      <c r="F439" s="118" t="s">
        <v>64</v>
      </c>
      <c r="G439" s="226"/>
      <c r="H439" s="126"/>
      <c r="I439" s="126"/>
      <c r="J439" s="2"/>
      <c r="K439" s="18"/>
      <c r="L439" s="18"/>
      <c r="M439" s="18">
        <v>33200</v>
      </c>
      <c r="N439" s="18">
        <v>4</v>
      </c>
      <c r="O439" s="126"/>
      <c r="P439" s="126"/>
      <c r="Q439" s="126"/>
      <c r="R439" s="436"/>
      <c r="S439" s="436"/>
      <c r="T439" s="18"/>
      <c r="U439" s="18"/>
      <c r="V439" s="127">
        <f t="shared" si="19"/>
        <v>15106</v>
      </c>
      <c r="W439" s="45"/>
      <c r="X439" s="67"/>
    </row>
    <row r="440" spans="1:24" ht="15" customHeight="1">
      <c r="A440" s="427"/>
      <c r="B440" s="122" t="s">
        <v>253</v>
      </c>
      <c r="C440" s="180" t="s">
        <v>252</v>
      </c>
      <c r="D440" s="48" t="s">
        <v>246</v>
      </c>
      <c r="E440" s="441"/>
      <c r="F440" s="118" t="s">
        <v>247</v>
      </c>
      <c r="G440" s="279">
        <v>2087.12</v>
      </c>
      <c r="H440" s="126"/>
      <c r="I440" s="126"/>
      <c r="J440" s="2"/>
      <c r="K440" s="18"/>
      <c r="L440" s="18"/>
      <c r="M440" s="18">
        <v>31000</v>
      </c>
      <c r="N440" s="18">
        <v>4</v>
      </c>
      <c r="O440" s="126">
        <f>Apr!CK291</f>
        <v>35</v>
      </c>
      <c r="P440" s="126"/>
      <c r="Q440" s="126">
        <f>Apr!CJ291</f>
        <v>1</v>
      </c>
      <c r="R440" s="436"/>
      <c r="S440" s="436"/>
      <c r="T440" s="18"/>
      <c r="U440" s="18"/>
      <c r="V440" s="127"/>
      <c r="W440" s="45"/>
      <c r="X440" s="67"/>
    </row>
    <row r="441" spans="1:24" ht="15" customHeight="1">
      <c r="A441" s="427"/>
      <c r="B441" s="442" t="s">
        <v>289</v>
      </c>
      <c r="C441" s="444" t="s">
        <v>290</v>
      </c>
      <c r="D441" s="48" t="s">
        <v>291</v>
      </c>
      <c r="E441" s="441"/>
      <c r="F441" s="118" t="s">
        <v>292</v>
      </c>
      <c r="G441" s="119"/>
      <c r="H441" s="126"/>
      <c r="I441" s="126"/>
      <c r="J441" s="2"/>
      <c r="K441" s="18"/>
      <c r="L441" s="18"/>
      <c r="M441" s="18"/>
      <c r="N441" s="18"/>
      <c r="O441" s="126"/>
      <c r="P441" s="126">
        <f>Apr!CL292</f>
        <v>280</v>
      </c>
      <c r="Q441" s="126">
        <f>Apr!CJ292</f>
        <v>1</v>
      </c>
      <c r="R441" s="436"/>
      <c r="S441" s="436"/>
      <c r="T441" s="18"/>
      <c r="U441" s="18"/>
      <c r="V441" s="18"/>
      <c r="W441" s="45"/>
      <c r="X441" s="67"/>
    </row>
    <row r="442" spans="1:24" ht="15" customHeight="1">
      <c r="A442" s="427"/>
      <c r="B442" s="443"/>
      <c r="C442" s="446"/>
      <c r="D442" s="48" t="s">
        <v>329</v>
      </c>
      <c r="E442" s="441"/>
      <c r="F442" s="118"/>
      <c r="G442" s="119"/>
      <c r="H442" s="37">
        <v>61.2</v>
      </c>
      <c r="I442" s="126"/>
      <c r="J442" s="2"/>
      <c r="K442" s="18"/>
      <c r="L442" s="18"/>
      <c r="M442" s="18"/>
      <c r="N442" s="18"/>
      <c r="O442" s="126"/>
      <c r="P442" s="126"/>
      <c r="Q442" s="126"/>
      <c r="R442" s="436"/>
      <c r="S442" s="436"/>
      <c r="T442" s="18"/>
      <c r="U442" s="18"/>
      <c r="V442" s="18"/>
      <c r="W442" s="45"/>
      <c r="X442" s="67"/>
    </row>
    <row r="443" spans="1:24" ht="15" customHeight="1">
      <c r="A443" s="427"/>
      <c r="B443" s="122" t="s">
        <v>131</v>
      </c>
      <c r="C443" s="180" t="s">
        <v>194</v>
      </c>
      <c r="D443" s="48" t="s">
        <v>132</v>
      </c>
      <c r="E443" s="441"/>
      <c r="F443" s="118" t="s">
        <v>64</v>
      </c>
      <c r="G443" s="119"/>
      <c r="H443" s="126"/>
      <c r="I443" s="126"/>
      <c r="J443" s="2"/>
      <c r="K443" s="18"/>
      <c r="L443" s="18"/>
      <c r="M443" s="18"/>
      <c r="N443" s="18"/>
      <c r="O443" s="126"/>
      <c r="P443" s="126"/>
      <c r="Q443" s="126"/>
      <c r="R443" s="436"/>
      <c r="S443" s="436"/>
      <c r="T443" s="18"/>
      <c r="U443" s="18"/>
      <c r="V443" s="18">
        <f>O443-T443-U443+V413</f>
        <v>1035</v>
      </c>
      <c r="W443" s="45"/>
      <c r="X443" s="67"/>
    </row>
    <row r="444" spans="1:24" ht="15" customHeight="1">
      <c r="A444" s="427"/>
      <c r="B444" s="122" t="s">
        <v>315</v>
      </c>
      <c r="C444" s="180" t="s">
        <v>252</v>
      </c>
      <c r="D444" s="48" t="s">
        <v>246</v>
      </c>
      <c r="E444" s="441"/>
      <c r="F444" s="118" t="s">
        <v>64</v>
      </c>
      <c r="G444" s="119"/>
      <c r="H444" s="126"/>
      <c r="I444" s="126"/>
      <c r="J444" s="2"/>
      <c r="K444" s="18"/>
      <c r="L444" s="18"/>
      <c r="M444" s="18"/>
      <c r="N444" s="18"/>
      <c r="O444" s="126">
        <f>Apr!CK295</f>
        <v>157</v>
      </c>
      <c r="P444" s="126">
        <f>Apr!CL295</f>
        <v>244</v>
      </c>
      <c r="Q444" s="126">
        <f>Apr!CJ295</f>
        <v>1</v>
      </c>
      <c r="R444" s="436"/>
      <c r="S444" s="436"/>
      <c r="T444" s="18"/>
      <c r="U444" s="18"/>
      <c r="V444" s="18">
        <f>O444-T444-U444+V414</f>
        <v>157</v>
      </c>
      <c r="W444" s="45"/>
      <c r="X444" s="67"/>
    </row>
    <row r="445" spans="1:24" ht="15" customHeight="1">
      <c r="A445" s="427"/>
      <c r="B445" s="122" t="s">
        <v>101</v>
      </c>
      <c r="C445" s="180" t="s">
        <v>193</v>
      </c>
      <c r="D445" s="48" t="s">
        <v>102</v>
      </c>
      <c r="E445" s="441"/>
      <c r="F445" s="118" t="s">
        <v>64</v>
      </c>
      <c r="G445" s="119"/>
      <c r="H445" s="126">
        <v>85</v>
      </c>
      <c r="I445" s="126"/>
      <c r="J445" s="2"/>
      <c r="K445" s="18"/>
      <c r="L445" s="18"/>
      <c r="M445" s="18"/>
      <c r="N445" s="18"/>
      <c r="O445" s="126"/>
      <c r="P445" s="126"/>
      <c r="Q445" s="126">
        <f>Apr!CJ297</f>
        <v>1</v>
      </c>
      <c r="R445" s="436"/>
      <c r="S445" s="436"/>
      <c r="T445" s="18"/>
      <c r="U445" s="18"/>
      <c r="V445" s="18"/>
      <c r="W445" s="45"/>
      <c r="X445" s="67"/>
    </row>
    <row r="446" spans="1:24" ht="15" customHeight="1">
      <c r="A446" s="427"/>
      <c r="B446" s="122" t="s">
        <v>103</v>
      </c>
      <c r="C446" s="157" t="s">
        <v>197</v>
      </c>
      <c r="D446" s="48" t="s">
        <v>104</v>
      </c>
      <c r="E446" s="441"/>
      <c r="F446" s="118" t="s">
        <v>105</v>
      </c>
      <c r="G446" s="119"/>
      <c r="H446" s="126"/>
      <c r="I446" s="126"/>
      <c r="J446" s="2"/>
      <c r="K446" s="18"/>
      <c r="L446" s="18"/>
      <c r="M446" s="18"/>
      <c r="N446" s="18"/>
      <c r="O446" s="126"/>
      <c r="P446" s="126"/>
      <c r="Q446" s="126">
        <f>Apr!CJ298</f>
        <v>1</v>
      </c>
      <c r="R446" s="436"/>
      <c r="S446" s="436"/>
      <c r="T446" s="18"/>
      <c r="U446" s="18"/>
      <c r="V446" s="18"/>
      <c r="W446" s="45"/>
      <c r="X446" s="67"/>
    </row>
    <row r="447" spans="1:24" ht="15" customHeight="1">
      <c r="A447" s="427"/>
      <c r="B447" s="137" t="s">
        <v>112</v>
      </c>
      <c r="C447" s="157" t="s">
        <v>197</v>
      </c>
      <c r="D447" s="48" t="s">
        <v>104</v>
      </c>
      <c r="E447" s="441"/>
      <c r="F447" s="118" t="s">
        <v>113</v>
      </c>
      <c r="G447" s="119"/>
      <c r="H447" s="126"/>
      <c r="I447" s="126"/>
      <c r="J447" s="2"/>
      <c r="K447" s="18"/>
      <c r="L447" s="18"/>
      <c r="M447" s="18"/>
      <c r="N447" s="18"/>
      <c r="O447" s="126"/>
      <c r="P447" s="126"/>
      <c r="Q447" s="126">
        <f>Apr!CJ301</f>
        <v>1</v>
      </c>
      <c r="R447" s="436"/>
      <c r="S447" s="436"/>
      <c r="T447" s="18"/>
      <c r="U447" s="18"/>
      <c r="V447" s="18"/>
      <c r="W447" s="45"/>
      <c r="X447" s="67"/>
    </row>
    <row r="448" spans="1:24" ht="15" customHeight="1">
      <c r="A448" s="427"/>
      <c r="B448" s="137" t="s">
        <v>106</v>
      </c>
      <c r="C448" s="157" t="s">
        <v>141</v>
      </c>
      <c r="D448" s="48" t="s">
        <v>68</v>
      </c>
      <c r="E448" s="441"/>
      <c r="F448" s="118" t="s">
        <v>67</v>
      </c>
      <c r="G448" s="119"/>
      <c r="H448" s="126"/>
      <c r="I448" s="126"/>
      <c r="J448" s="2"/>
      <c r="K448" s="18"/>
      <c r="L448" s="18"/>
      <c r="M448" s="18"/>
      <c r="N448" s="18"/>
      <c r="O448" s="126"/>
      <c r="P448" s="126"/>
      <c r="Q448" s="126"/>
      <c r="R448" s="436"/>
      <c r="S448" s="436"/>
      <c r="T448" s="18"/>
      <c r="U448" s="18"/>
      <c r="V448" s="18"/>
      <c r="W448" s="45"/>
      <c r="X448" s="67"/>
    </row>
    <row r="449" spans="1:25" ht="15" customHeight="1" thickBot="1">
      <c r="A449" s="428"/>
      <c r="B449" s="44" t="s">
        <v>107</v>
      </c>
      <c r="C449" s="181" t="s">
        <v>195</v>
      </c>
      <c r="D449" s="61" t="s">
        <v>108</v>
      </c>
      <c r="E449" s="447"/>
      <c r="F449" s="133" t="s">
        <v>48</v>
      </c>
      <c r="G449" s="132"/>
      <c r="H449" s="109"/>
      <c r="I449" s="134"/>
      <c r="J449" s="129"/>
      <c r="K449" s="130"/>
      <c r="L449" s="130"/>
      <c r="M449" s="130"/>
      <c r="N449" s="130"/>
      <c r="O449" s="134"/>
      <c r="P449" s="134"/>
      <c r="Q449" s="134">
        <f>Apr!CJ300</f>
        <v>1</v>
      </c>
      <c r="R449" s="437"/>
      <c r="S449" s="437"/>
      <c r="T449" s="130"/>
      <c r="U449" s="130"/>
      <c r="V449" s="128"/>
      <c r="W449" s="85"/>
      <c r="X449" s="67"/>
    </row>
    <row r="450" spans="1:25" ht="15" customHeight="1">
      <c r="A450" s="426">
        <v>46134</v>
      </c>
      <c r="B450" s="429" t="s">
        <v>44</v>
      </c>
      <c r="C450" s="432" t="s">
        <v>240</v>
      </c>
      <c r="D450" s="19" t="s">
        <v>37</v>
      </c>
      <c r="E450" s="19" t="s">
        <v>25</v>
      </c>
      <c r="F450" s="39" t="s">
        <v>40</v>
      </c>
      <c r="G450" s="41"/>
      <c r="H450" s="32"/>
      <c r="I450" s="32"/>
      <c r="J450" s="32"/>
      <c r="K450" s="20">
        <v>24000</v>
      </c>
      <c r="L450" s="20">
        <v>3</v>
      </c>
      <c r="M450" s="20">
        <v>200000</v>
      </c>
      <c r="N450" s="84">
        <v>25</v>
      </c>
      <c r="O450" s="32">
        <f>Apr!CN276</f>
        <v>30347</v>
      </c>
      <c r="P450" s="32">
        <f>Apr!CO276</f>
        <v>20730</v>
      </c>
      <c r="Q450" s="32">
        <f>Apr!CM276</f>
        <v>56</v>
      </c>
      <c r="R450" s="435">
        <f>Apr!CN303</f>
        <v>77383</v>
      </c>
      <c r="S450" s="435">
        <f>Apr!CO303</f>
        <v>72870</v>
      </c>
      <c r="T450" s="20"/>
      <c r="U450" s="20"/>
      <c r="V450" s="20">
        <f>O450-T450-U450+V420</f>
        <v>179772</v>
      </c>
      <c r="W450" s="77"/>
      <c r="X450" s="36"/>
    </row>
    <row r="451" spans="1:25" ht="15" customHeight="1">
      <c r="A451" s="427"/>
      <c r="B451" s="430"/>
      <c r="C451" s="433"/>
      <c r="D451" s="113" t="s">
        <v>128</v>
      </c>
      <c r="E451" s="438" t="s">
        <v>24</v>
      </c>
      <c r="F451" s="118" t="s">
        <v>40</v>
      </c>
      <c r="G451" s="38"/>
      <c r="H451" s="37"/>
      <c r="I451" s="125"/>
      <c r="J451" s="125"/>
      <c r="K451" s="18"/>
      <c r="L451" s="127"/>
      <c r="M451" s="216"/>
      <c r="N451" s="238"/>
      <c r="O451" s="126">
        <f>Apr!CN277</f>
        <v>19650</v>
      </c>
      <c r="P451" s="125">
        <f>Apr!CO277</f>
        <v>20293</v>
      </c>
      <c r="Q451" s="125">
        <f>Apr!CM277</f>
        <v>53</v>
      </c>
      <c r="R451" s="436"/>
      <c r="S451" s="436"/>
      <c r="T451" s="127">
        <v>17541</v>
      </c>
      <c r="U451" s="127">
        <v>6</v>
      </c>
      <c r="V451" s="127">
        <f>O451-T451-U451+V421</f>
        <v>26326</v>
      </c>
      <c r="W451" s="46"/>
      <c r="X451" s="67"/>
    </row>
    <row r="452" spans="1:25" ht="15" customHeight="1">
      <c r="A452" s="427"/>
      <c r="B452" s="431"/>
      <c r="C452" s="434"/>
      <c r="D452" s="113" t="s">
        <v>307</v>
      </c>
      <c r="E452" s="431"/>
      <c r="F452" s="118" t="s">
        <v>40</v>
      </c>
      <c r="G452" s="170"/>
      <c r="H452" s="158">
        <v>3645</v>
      </c>
      <c r="I452" s="125"/>
      <c r="J452" s="125"/>
      <c r="K452" s="127">
        <v>55400</v>
      </c>
      <c r="L452" s="127">
        <v>7</v>
      </c>
      <c r="M452" s="216">
        <v>72000</v>
      </c>
      <c r="N452" s="238">
        <v>9</v>
      </c>
      <c r="O452" s="126">
        <f>Apr!CN278</f>
        <v>9466</v>
      </c>
      <c r="P452" s="125">
        <f>Apr!CO278</f>
        <v>12830</v>
      </c>
      <c r="Q452" s="125">
        <f>Apr!CM278</f>
        <v>35</v>
      </c>
      <c r="R452" s="436"/>
      <c r="S452" s="436"/>
      <c r="T452" s="127">
        <v>9262</v>
      </c>
      <c r="U452" s="127">
        <v>112</v>
      </c>
      <c r="V452" s="127">
        <f>O452-T452-U452+V422</f>
        <v>6765</v>
      </c>
      <c r="W452" s="46"/>
      <c r="X452" s="67"/>
    </row>
    <row r="453" spans="1:25" ht="15" customHeight="1">
      <c r="A453" s="427"/>
      <c r="B453" s="442" t="s">
        <v>45</v>
      </c>
      <c r="C453" s="471" t="s">
        <v>59</v>
      </c>
      <c r="D453" s="118" t="s">
        <v>75</v>
      </c>
      <c r="E453" s="438" t="s">
        <v>25</v>
      </c>
      <c r="F453" s="131" t="s">
        <v>57</v>
      </c>
      <c r="G453" s="87"/>
      <c r="H453" s="136"/>
      <c r="I453" s="126"/>
      <c r="J453" s="2"/>
      <c r="K453" s="127"/>
      <c r="L453" s="18"/>
      <c r="M453" s="18"/>
      <c r="N453" s="80"/>
      <c r="O453" s="126">
        <f>Apr!CN282</f>
        <v>1100</v>
      </c>
      <c r="P453" s="126">
        <f>Apr!CO282</f>
        <v>494</v>
      </c>
      <c r="Q453" s="2">
        <f>Apr!CM282</f>
        <v>2</v>
      </c>
      <c r="R453" s="436"/>
      <c r="S453" s="436"/>
      <c r="T453" s="18">
        <v>5912</v>
      </c>
      <c r="U453" s="18"/>
      <c r="V453" s="127">
        <f>O453-T453-U453+V423</f>
        <v>57487</v>
      </c>
      <c r="W453" s="46"/>
      <c r="Y453" s="13"/>
    </row>
    <row r="454" spans="1:25" ht="15" customHeight="1">
      <c r="A454" s="427"/>
      <c r="B454" s="439"/>
      <c r="C454" s="471"/>
      <c r="D454" s="118" t="s">
        <v>291</v>
      </c>
      <c r="E454" s="430"/>
      <c r="F454" s="131" t="s">
        <v>57</v>
      </c>
      <c r="G454" s="87"/>
      <c r="H454" s="136"/>
      <c r="I454" s="126"/>
      <c r="J454" s="2"/>
      <c r="K454" s="127">
        <v>4900</v>
      </c>
      <c r="L454" s="18">
        <v>1</v>
      </c>
      <c r="M454" s="18">
        <v>24500</v>
      </c>
      <c r="N454" s="80">
        <v>5</v>
      </c>
      <c r="O454" s="126">
        <f>Apr!CN283</f>
        <v>2300</v>
      </c>
      <c r="P454" s="126">
        <f>Apr!CO283</f>
        <v>3180</v>
      </c>
      <c r="Q454" s="2">
        <f>Apr!CM283</f>
        <v>13</v>
      </c>
      <c r="R454" s="436"/>
      <c r="S454" s="436"/>
      <c r="T454" s="18"/>
      <c r="U454" s="18"/>
      <c r="V454" s="127">
        <f>O454-T454-U454+V424</f>
        <v>9833</v>
      </c>
      <c r="W454" s="46"/>
      <c r="Y454" s="13"/>
    </row>
    <row r="455" spans="1:25" ht="15" customHeight="1">
      <c r="A455" s="427"/>
      <c r="B455" s="439"/>
      <c r="C455" s="471"/>
      <c r="D455" s="118" t="s">
        <v>94</v>
      </c>
      <c r="E455" s="431"/>
      <c r="F455" s="131"/>
      <c r="G455" s="87"/>
      <c r="H455" s="152">
        <v>1782</v>
      </c>
      <c r="I455" s="126"/>
      <c r="J455" s="2"/>
      <c r="K455" s="127"/>
      <c r="L455" s="18"/>
      <c r="M455" s="18"/>
      <c r="N455" s="80"/>
      <c r="O455" s="126"/>
      <c r="P455" s="126"/>
      <c r="Q455" s="2"/>
      <c r="R455" s="436"/>
      <c r="S455" s="436"/>
      <c r="T455" s="18"/>
      <c r="U455" s="18"/>
      <c r="V455" s="127"/>
      <c r="W455" s="46"/>
      <c r="Y455" s="13"/>
    </row>
    <row r="456" spans="1:25">
      <c r="A456" s="427"/>
      <c r="B456" s="439"/>
      <c r="C456" s="471"/>
      <c r="D456" s="118" t="s">
        <v>72</v>
      </c>
      <c r="E456" s="155" t="s">
        <v>24</v>
      </c>
      <c r="F456" s="131" t="s">
        <v>57</v>
      </c>
      <c r="G456" s="224"/>
      <c r="H456" s="136"/>
      <c r="I456" s="126"/>
      <c r="J456" s="126"/>
      <c r="K456" s="127">
        <v>15000</v>
      </c>
      <c r="L456" s="18">
        <v>3</v>
      </c>
      <c r="M456" s="18">
        <v>60000</v>
      </c>
      <c r="N456" s="80">
        <v>12</v>
      </c>
      <c r="O456" s="126">
        <f>Apr!CN284</f>
        <v>9288</v>
      </c>
      <c r="P456" s="126">
        <f>Apr!CO284</f>
        <v>5776</v>
      </c>
      <c r="Q456" s="126">
        <f>Apr!CM284</f>
        <v>26</v>
      </c>
      <c r="R456" s="436"/>
      <c r="S456" s="436"/>
      <c r="T456" s="18">
        <v>10168</v>
      </c>
      <c r="U456" s="18"/>
      <c r="V456" s="127">
        <f>O456-T456-U456+V425</f>
        <v>5880</v>
      </c>
      <c r="W456" s="46"/>
      <c r="Y456" s="13"/>
    </row>
    <row r="457" spans="1:25" ht="14.25" customHeight="1">
      <c r="A457" s="427"/>
      <c r="B457" s="439"/>
      <c r="C457" s="471"/>
      <c r="D457" s="115" t="s">
        <v>79</v>
      </c>
      <c r="E457" s="118" t="s">
        <v>65</v>
      </c>
      <c r="F457" s="131" t="s">
        <v>57</v>
      </c>
      <c r="G457" s="224"/>
      <c r="H457" s="37"/>
      <c r="I457" s="126"/>
      <c r="J457" s="126"/>
      <c r="K457" s="18"/>
      <c r="L457" s="18"/>
      <c r="M457" s="18"/>
      <c r="N457" s="80"/>
      <c r="O457" s="126"/>
      <c r="P457" s="126"/>
      <c r="Q457" s="126">
        <f>Apr!CM285</f>
        <v>1</v>
      </c>
      <c r="R457" s="436"/>
      <c r="S457" s="436"/>
      <c r="T457" s="18"/>
      <c r="U457" s="18"/>
      <c r="V457" s="127"/>
      <c r="W457" s="45"/>
      <c r="X457" s="36"/>
    </row>
    <row r="458" spans="1:25" ht="14.25" customHeight="1">
      <c r="A458" s="427"/>
      <c r="B458" s="443"/>
      <c r="C458" s="271" t="s">
        <v>299</v>
      </c>
      <c r="D458" s="115" t="s">
        <v>296</v>
      </c>
      <c r="E458" s="115" t="s">
        <v>25</v>
      </c>
      <c r="F458" s="131" t="s">
        <v>298</v>
      </c>
      <c r="G458" s="224"/>
      <c r="H458" s="37"/>
      <c r="I458" s="126"/>
      <c r="J458" s="126"/>
      <c r="K458" s="18"/>
      <c r="L458" s="18"/>
      <c r="M458" s="18"/>
      <c r="N458" s="80"/>
      <c r="O458" s="126"/>
      <c r="P458" s="126"/>
      <c r="Q458" s="126">
        <f>Apr!CM286</f>
        <v>1</v>
      </c>
      <c r="R458" s="436"/>
      <c r="S458" s="436"/>
      <c r="T458" s="18"/>
      <c r="U458" s="18"/>
      <c r="V458" s="127"/>
      <c r="W458" s="45"/>
      <c r="X458" s="67"/>
    </row>
    <row r="459" spans="1:25" ht="14.25" customHeight="1">
      <c r="A459" s="427"/>
      <c r="B459" s="442" t="s">
        <v>53</v>
      </c>
      <c r="C459" s="444" t="s">
        <v>60</v>
      </c>
      <c r="D459" s="43" t="s">
        <v>130</v>
      </c>
      <c r="E459" s="424" t="s">
        <v>66</v>
      </c>
      <c r="F459" s="118" t="s">
        <v>54</v>
      </c>
      <c r="G459" s="224"/>
      <c r="H459" s="37"/>
      <c r="I459" s="126"/>
      <c r="J459" s="126"/>
      <c r="K459" s="18">
        <v>12000</v>
      </c>
      <c r="L459" s="18">
        <v>2</v>
      </c>
      <c r="M459" s="18">
        <v>42000</v>
      </c>
      <c r="N459" s="80">
        <v>7</v>
      </c>
      <c r="O459" s="126">
        <f>Apr!CN279</f>
        <v>4449</v>
      </c>
      <c r="P459" s="126">
        <f>Apr!CO279</f>
        <v>7190</v>
      </c>
      <c r="Q459" s="126">
        <f>Apr!CM279</f>
        <v>22</v>
      </c>
      <c r="R459" s="436"/>
      <c r="S459" s="436"/>
      <c r="T459" s="18">
        <v>5851</v>
      </c>
      <c r="U459" s="18"/>
      <c r="V459" s="127">
        <f>O459-T459-U459+V429</f>
        <v>6469</v>
      </c>
      <c r="W459" s="45"/>
      <c r="X459" s="67"/>
    </row>
    <row r="460" spans="1:25" ht="14.25" customHeight="1">
      <c r="A460" s="427"/>
      <c r="B460" s="439"/>
      <c r="C460" s="445"/>
      <c r="D460" s="43" t="s">
        <v>320</v>
      </c>
      <c r="E460" s="425"/>
      <c r="F460" s="118" t="s">
        <v>54</v>
      </c>
      <c r="G460" s="224"/>
      <c r="H460" s="37"/>
      <c r="I460" s="126"/>
      <c r="J460" s="126"/>
      <c r="K460" s="18"/>
      <c r="L460" s="18"/>
      <c r="M460" s="18">
        <v>72000</v>
      </c>
      <c r="N460" s="80">
        <v>12</v>
      </c>
      <c r="O460" s="126"/>
      <c r="P460" s="126"/>
      <c r="Q460" s="126"/>
      <c r="R460" s="436"/>
      <c r="S460" s="436"/>
      <c r="T460" s="18"/>
      <c r="U460" s="18"/>
      <c r="V460" s="127"/>
      <c r="W460" s="45"/>
      <c r="X460" s="67"/>
    </row>
    <row r="461" spans="1:25" ht="14.25" customHeight="1">
      <c r="A461" s="427"/>
      <c r="B461" s="443"/>
      <c r="C461" s="446"/>
      <c r="D461" s="43" t="s">
        <v>199</v>
      </c>
      <c r="E461" s="114" t="s">
        <v>25</v>
      </c>
      <c r="F461" s="118" t="s">
        <v>54</v>
      </c>
      <c r="G461" s="224"/>
      <c r="H461" s="135"/>
      <c r="I461" s="158"/>
      <c r="J461" s="158"/>
      <c r="K461" s="128"/>
      <c r="L461" s="128"/>
      <c r="M461" s="128"/>
      <c r="N461" s="164"/>
      <c r="O461" s="158"/>
      <c r="P461" s="158"/>
      <c r="Q461" s="158">
        <f>Apr!CM281</f>
        <v>1</v>
      </c>
      <c r="R461" s="436"/>
      <c r="S461" s="436"/>
      <c r="T461" s="18"/>
      <c r="U461" s="18"/>
      <c r="V461" s="127"/>
      <c r="W461" s="45"/>
      <c r="X461" s="67"/>
    </row>
    <row r="462" spans="1:25" ht="15.75" customHeight="1">
      <c r="A462" s="427"/>
      <c r="B462" s="122" t="s">
        <v>55</v>
      </c>
      <c r="C462" s="180" t="s">
        <v>133</v>
      </c>
      <c r="D462" s="48" t="s">
        <v>56</v>
      </c>
      <c r="E462" s="424" t="s">
        <v>25</v>
      </c>
      <c r="F462" s="118" t="s">
        <v>67</v>
      </c>
      <c r="G462" s="226"/>
      <c r="H462" s="126"/>
      <c r="I462" s="126"/>
      <c r="J462" s="2"/>
      <c r="K462" s="18"/>
      <c r="L462" s="18"/>
      <c r="M462" s="18">
        <v>2800</v>
      </c>
      <c r="N462" s="18">
        <v>1</v>
      </c>
      <c r="O462" s="126"/>
      <c r="P462" s="126"/>
      <c r="Q462" s="126"/>
      <c r="R462" s="436"/>
      <c r="S462" s="436"/>
      <c r="T462" s="18"/>
      <c r="U462" s="18"/>
      <c r="V462" s="127">
        <f t="shared" ref="V462:V468" si="20">O462-T462-U462+V432</f>
        <v>500</v>
      </c>
      <c r="W462" s="45"/>
      <c r="X462" s="67"/>
    </row>
    <row r="463" spans="1:25" ht="15.75" customHeight="1">
      <c r="A463" s="427"/>
      <c r="B463" s="122" t="s">
        <v>55</v>
      </c>
      <c r="C463" s="180" t="s">
        <v>316</v>
      </c>
      <c r="D463" s="48" t="s">
        <v>317</v>
      </c>
      <c r="E463" s="441"/>
      <c r="F463" s="155" t="s">
        <v>67</v>
      </c>
      <c r="G463" s="226"/>
      <c r="H463" s="126"/>
      <c r="I463" s="126"/>
      <c r="J463" s="2"/>
      <c r="K463" s="18"/>
      <c r="L463" s="18"/>
      <c r="M463" s="18"/>
      <c r="N463" s="18"/>
      <c r="O463" s="126"/>
      <c r="P463" s="126"/>
      <c r="Q463" s="126">
        <f>Apr!CM302</f>
        <v>1</v>
      </c>
      <c r="R463" s="436"/>
      <c r="S463" s="436"/>
      <c r="T463" s="18">
        <v>500</v>
      </c>
      <c r="U463" s="18"/>
      <c r="V463" s="127">
        <f t="shared" si="20"/>
        <v>0</v>
      </c>
      <c r="W463" s="45"/>
      <c r="X463" s="67"/>
    </row>
    <row r="464" spans="1:25" ht="15" customHeight="1">
      <c r="A464" s="427"/>
      <c r="B464" s="122" t="s">
        <v>122</v>
      </c>
      <c r="C464" s="180" t="s">
        <v>123</v>
      </c>
      <c r="D464" s="48" t="s">
        <v>56</v>
      </c>
      <c r="E464" s="441"/>
      <c r="F464" s="155" t="s">
        <v>64</v>
      </c>
      <c r="G464" s="119"/>
      <c r="H464" s="126"/>
      <c r="I464" s="126"/>
      <c r="J464" s="2"/>
      <c r="K464" s="18"/>
      <c r="L464" s="18"/>
      <c r="M464" s="18">
        <v>6400</v>
      </c>
      <c r="N464" s="18">
        <v>2</v>
      </c>
      <c r="O464" s="126"/>
      <c r="P464" s="126"/>
      <c r="Q464" s="126">
        <f>Apr!CM287</f>
        <v>1</v>
      </c>
      <c r="R464" s="436"/>
      <c r="S464" s="436"/>
      <c r="T464" s="18"/>
      <c r="U464" s="18"/>
      <c r="V464" s="127">
        <f t="shared" si="20"/>
        <v>31304</v>
      </c>
      <c r="W464" s="45"/>
      <c r="X464" s="67"/>
    </row>
    <row r="465" spans="1:24" ht="14.25" customHeight="1">
      <c r="A465" s="427"/>
      <c r="B465" s="137" t="s">
        <v>58</v>
      </c>
      <c r="C465" s="157" t="s">
        <v>243</v>
      </c>
      <c r="D465" s="48" t="s">
        <v>56</v>
      </c>
      <c r="E465" s="441"/>
      <c r="F465" s="118" t="s">
        <v>64</v>
      </c>
      <c r="G465" s="225"/>
      <c r="H465" s="126"/>
      <c r="I465" s="126"/>
      <c r="J465" s="126"/>
      <c r="K465" s="18"/>
      <c r="L465" s="18"/>
      <c r="M465" s="18"/>
      <c r="N465" s="80"/>
      <c r="O465" s="126"/>
      <c r="P465" s="126"/>
      <c r="Q465" s="126">
        <f>Apr!CM288</f>
        <v>1</v>
      </c>
      <c r="R465" s="436"/>
      <c r="S465" s="436"/>
      <c r="T465" s="18"/>
      <c r="U465" s="18"/>
      <c r="V465" s="127">
        <f t="shared" si="20"/>
        <v>8562</v>
      </c>
      <c r="W465" s="45"/>
      <c r="X465" s="67"/>
    </row>
    <row r="466" spans="1:24" ht="14.25" customHeight="1">
      <c r="A466" s="427"/>
      <c r="B466" s="122" t="s">
        <v>61</v>
      </c>
      <c r="C466" s="180" t="s">
        <v>137</v>
      </c>
      <c r="D466" s="48" t="s">
        <v>56</v>
      </c>
      <c r="E466" s="441"/>
      <c r="F466" s="118" t="s">
        <v>67</v>
      </c>
      <c r="G466" s="225"/>
      <c r="H466" s="126"/>
      <c r="I466" s="126"/>
      <c r="J466" s="126"/>
      <c r="K466" s="18"/>
      <c r="L466" s="18"/>
      <c r="M466" s="18"/>
      <c r="N466" s="80"/>
      <c r="O466" s="126"/>
      <c r="P466" s="126"/>
      <c r="Q466" s="126">
        <f>Apr!CM289</f>
        <v>1</v>
      </c>
      <c r="R466" s="436"/>
      <c r="S466" s="436"/>
      <c r="T466" s="18"/>
      <c r="U466" s="18"/>
      <c r="V466" s="127">
        <f t="shared" si="20"/>
        <v>5844</v>
      </c>
      <c r="W466" s="45"/>
      <c r="X466" s="67"/>
    </row>
    <row r="467" spans="1:24" ht="14.25" customHeight="1">
      <c r="A467" s="427"/>
      <c r="B467" s="122" t="s">
        <v>125</v>
      </c>
      <c r="C467" s="180" t="s">
        <v>88</v>
      </c>
      <c r="D467" s="48" t="s">
        <v>124</v>
      </c>
      <c r="E467" s="441"/>
      <c r="F467" s="118" t="s">
        <v>64</v>
      </c>
      <c r="G467" s="225"/>
      <c r="H467" s="126"/>
      <c r="I467" s="126"/>
      <c r="J467" s="126"/>
      <c r="K467" s="18"/>
      <c r="L467" s="18"/>
      <c r="M467" s="18">
        <v>51200</v>
      </c>
      <c r="N467" s="80">
        <v>7</v>
      </c>
      <c r="O467" s="126"/>
      <c r="P467" s="126"/>
      <c r="Q467" s="126"/>
      <c r="R467" s="436"/>
      <c r="S467" s="436"/>
      <c r="T467" s="18"/>
      <c r="U467" s="18"/>
      <c r="V467" s="127">
        <f t="shared" si="20"/>
        <v>23615</v>
      </c>
      <c r="W467" s="45"/>
      <c r="X467" s="67"/>
    </row>
    <row r="468" spans="1:24" ht="14.25" customHeight="1">
      <c r="A468" s="427"/>
      <c r="B468" s="442" t="s">
        <v>47</v>
      </c>
      <c r="C468" s="444" t="s">
        <v>100</v>
      </c>
      <c r="D468" s="48" t="s">
        <v>99</v>
      </c>
      <c r="E468" s="441"/>
      <c r="F468" s="118" t="s">
        <v>71</v>
      </c>
      <c r="G468" s="225"/>
      <c r="H468" s="126"/>
      <c r="I468" s="126"/>
      <c r="J468" s="126"/>
      <c r="K468" s="18"/>
      <c r="L468" s="18"/>
      <c r="M468" s="18">
        <v>22800</v>
      </c>
      <c r="N468" s="80">
        <v>4</v>
      </c>
      <c r="O468" s="126"/>
      <c r="P468" s="126">
        <f>Apr!CO290</f>
        <v>1915</v>
      </c>
      <c r="Q468" s="126">
        <f>Apr!CM290</f>
        <v>7</v>
      </c>
      <c r="R468" s="436"/>
      <c r="S468" s="436"/>
      <c r="T468" s="18">
        <v>8201</v>
      </c>
      <c r="U468" s="18">
        <v>8</v>
      </c>
      <c r="V468" s="127">
        <f t="shared" si="20"/>
        <v>15737</v>
      </c>
      <c r="W468" s="45"/>
      <c r="X468" s="67"/>
    </row>
    <row r="469" spans="1:24" ht="14.25" customHeight="1">
      <c r="A469" s="427"/>
      <c r="B469" s="443"/>
      <c r="C469" s="446"/>
      <c r="D469" s="48" t="s">
        <v>121</v>
      </c>
      <c r="E469" s="441"/>
      <c r="F469" s="118"/>
      <c r="G469" s="225"/>
      <c r="H469" s="126">
        <v>612</v>
      </c>
      <c r="I469" s="126"/>
      <c r="J469" s="126"/>
      <c r="K469" s="18"/>
      <c r="L469" s="18"/>
      <c r="M469" s="18"/>
      <c r="N469" s="80"/>
      <c r="O469" s="126"/>
      <c r="P469" s="126"/>
      <c r="Q469" s="126"/>
      <c r="R469" s="436"/>
      <c r="S469" s="436"/>
      <c r="T469" s="18"/>
      <c r="U469" s="18"/>
      <c r="V469" s="127"/>
      <c r="W469" s="45"/>
      <c r="X469" s="67"/>
    </row>
    <row r="470" spans="1:24" ht="15" customHeight="1">
      <c r="A470" s="427"/>
      <c r="B470" s="122" t="s">
        <v>196</v>
      </c>
      <c r="C470" s="180" t="s">
        <v>63</v>
      </c>
      <c r="D470" s="48" t="s">
        <v>135</v>
      </c>
      <c r="E470" s="441"/>
      <c r="F470" s="118" t="s">
        <v>64</v>
      </c>
      <c r="G470" s="226"/>
      <c r="H470" s="126"/>
      <c r="I470" s="126"/>
      <c r="J470" s="2"/>
      <c r="K470" s="18"/>
      <c r="L470" s="18"/>
      <c r="M470" s="18">
        <v>33200</v>
      </c>
      <c r="N470" s="18">
        <v>4</v>
      </c>
      <c r="O470" s="126"/>
      <c r="P470" s="126"/>
      <c r="Q470" s="126"/>
      <c r="R470" s="436"/>
      <c r="S470" s="436"/>
      <c r="T470" s="18"/>
      <c r="U470" s="18"/>
      <c r="V470" s="127">
        <f>O470-T470-U470+V439</f>
        <v>15106</v>
      </c>
      <c r="W470" s="45"/>
      <c r="X470" s="67"/>
    </row>
    <row r="471" spans="1:24" ht="15" customHeight="1">
      <c r="A471" s="427"/>
      <c r="B471" s="122" t="s">
        <v>253</v>
      </c>
      <c r="C471" s="180" t="s">
        <v>252</v>
      </c>
      <c r="D471" s="48" t="s">
        <v>246</v>
      </c>
      <c r="E471" s="441"/>
      <c r="F471" s="118" t="s">
        <v>247</v>
      </c>
      <c r="G471" s="226"/>
      <c r="H471" s="38">
        <v>227.15</v>
      </c>
      <c r="I471" s="126"/>
      <c r="J471" s="2"/>
      <c r="K471" s="18">
        <v>15500</v>
      </c>
      <c r="L471" s="18">
        <v>2</v>
      </c>
      <c r="M471" s="18">
        <v>15500</v>
      </c>
      <c r="N471" s="18">
        <v>2</v>
      </c>
      <c r="O471" s="126"/>
      <c r="P471" s="126">
        <f>Apr!CO291</f>
        <v>199</v>
      </c>
      <c r="Q471" s="126">
        <f>Apr!CM291</f>
        <v>3</v>
      </c>
      <c r="R471" s="436"/>
      <c r="S471" s="436"/>
      <c r="T471" s="18"/>
      <c r="U471" s="18"/>
      <c r="V471" s="127"/>
      <c r="W471" s="45"/>
      <c r="X471" s="67"/>
    </row>
    <row r="472" spans="1:24" ht="15" customHeight="1">
      <c r="A472" s="427"/>
      <c r="B472" s="122" t="s">
        <v>289</v>
      </c>
      <c r="C472" s="180" t="s">
        <v>290</v>
      </c>
      <c r="D472" s="48" t="s">
        <v>291</v>
      </c>
      <c r="E472" s="441"/>
      <c r="F472" s="118" t="s">
        <v>292</v>
      </c>
      <c r="G472" s="119"/>
      <c r="H472" s="126"/>
      <c r="I472" s="126"/>
      <c r="J472" s="2"/>
      <c r="K472" s="18"/>
      <c r="L472" s="18"/>
      <c r="M472" s="18"/>
      <c r="N472" s="18"/>
      <c r="O472" s="126">
        <f>Apr!CN292</f>
        <v>500</v>
      </c>
      <c r="P472" s="126">
        <f>Apr!CO292</f>
        <v>222</v>
      </c>
      <c r="Q472" s="126">
        <f>Apr!CM292</f>
        <v>1</v>
      </c>
      <c r="R472" s="436"/>
      <c r="S472" s="436"/>
      <c r="T472" s="18"/>
      <c r="U472" s="18"/>
      <c r="V472" s="18"/>
      <c r="W472" s="45"/>
      <c r="X472" s="67"/>
    </row>
    <row r="473" spans="1:24" ht="15" customHeight="1">
      <c r="A473" s="427"/>
      <c r="B473" s="122" t="s">
        <v>131</v>
      </c>
      <c r="C473" s="180" t="s">
        <v>194</v>
      </c>
      <c r="D473" s="48" t="s">
        <v>132</v>
      </c>
      <c r="E473" s="441"/>
      <c r="F473" s="118" t="s">
        <v>64</v>
      </c>
      <c r="G473" s="119"/>
      <c r="H473" s="126"/>
      <c r="I473" s="126"/>
      <c r="J473" s="2"/>
      <c r="K473" s="18"/>
      <c r="L473" s="18"/>
      <c r="M473" s="18"/>
      <c r="N473" s="18"/>
      <c r="O473" s="126"/>
      <c r="P473" s="126"/>
      <c r="Q473" s="126"/>
      <c r="R473" s="436"/>
      <c r="S473" s="436"/>
      <c r="T473" s="18">
        <v>1006</v>
      </c>
      <c r="U473" s="18">
        <v>29</v>
      </c>
      <c r="V473" s="18">
        <f>O473-T473-U473+V443</f>
        <v>0</v>
      </c>
      <c r="W473" s="45"/>
      <c r="X473" s="67"/>
    </row>
    <row r="474" spans="1:24" ht="15" customHeight="1">
      <c r="A474" s="427"/>
      <c r="B474" s="122" t="s">
        <v>315</v>
      </c>
      <c r="C474" s="180" t="s">
        <v>252</v>
      </c>
      <c r="D474" s="48" t="s">
        <v>246</v>
      </c>
      <c r="E474" s="441"/>
      <c r="F474" s="118" t="s">
        <v>64</v>
      </c>
      <c r="G474" s="119"/>
      <c r="H474" s="126"/>
      <c r="I474" s="126"/>
      <c r="J474" s="2"/>
      <c r="K474" s="18"/>
      <c r="L474" s="18"/>
      <c r="M474" s="18"/>
      <c r="N474" s="18"/>
      <c r="O474" s="126">
        <f>Apr!CN295</f>
        <v>283</v>
      </c>
      <c r="P474" s="126">
        <f>Apr!CO295</f>
        <v>41</v>
      </c>
      <c r="Q474" s="126"/>
      <c r="R474" s="436"/>
      <c r="S474" s="436"/>
      <c r="T474" s="18"/>
      <c r="U474" s="18"/>
      <c r="V474" s="18">
        <f>O474-T474-U474+V444</f>
        <v>440</v>
      </c>
      <c r="W474" s="45"/>
      <c r="X474" s="67"/>
    </row>
    <row r="475" spans="1:24" ht="15" customHeight="1">
      <c r="A475" s="427"/>
      <c r="B475" s="122" t="s">
        <v>101</v>
      </c>
      <c r="C475" s="180" t="s">
        <v>193</v>
      </c>
      <c r="D475" s="48" t="s">
        <v>102</v>
      </c>
      <c r="E475" s="441"/>
      <c r="F475" s="118" t="s">
        <v>64</v>
      </c>
      <c r="G475" s="119"/>
      <c r="H475" s="126"/>
      <c r="I475" s="126"/>
      <c r="J475" s="2"/>
      <c r="K475" s="18"/>
      <c r="L475" s="18"/>
      <c r="M475" s="18"/>
      <c r="N475" s="18"/>
      <c r="O475" s="126"/>
      <c r="P475" s="126"/>
      <c r="Q475" s="126">
        <f>Apr!CM297</f>
        <v>1</v>
      </c>
      <c r="R475" s="436"/>
      <c r="S475" s="436"/>
      <c r="T475" s="18"/>
      <c r="U475" s="18"/>
      <c r="V475" s="18"/>
      <c r="W475" s="45"/>
      <c r="X475" s="67"/>
    </row>
    <row r="476" spans="1:24" ht="15" customHeight="1">
      <c r="A476" s="427"/>
      <c r="B476" s="122" t="s">
        <v>103</v>
      </c>
      <c r="C476" s="157" t="s">
        <v>197</v>
      </c>
      <c r="D476" s="48" t="s">
        <v>104</v>
      </c>
      <c r="E476" s="441"/>
      <c r="F476" s="118" t="s">
        <v>105</v>
      </c>
      <c r="G476" s="119"/>
      <c r="H476" s="126"/>
      <c r="I476" s="126"/>
      <c r="J476" s="2"/>
      <c r="K476" s="18"/>
      <c r="L476" s="18"/>
      <c r="M476" s="18"/>
      <c r="N476" s="18"/>
      <c r="O476" s="126"/>
      <c r="P476" s="126"/>
      <c r="Q476" s="126">
        <f>Apr!CM298</f>
        <v>1</v>
      </c>
      <c r="R476" s="436"/>
      <c r="S476" s="436"/>
      <c r="T476" s="18"/>
      <c r="U476" s="18"/>
      <c r="V476" s="18"/>
      <c r="W476" s="45"/>
      <c r="X476" s="67"/>
    </row>
    <row r="477" spans="1:24" ht="15" customHeight="1">
      <c r="A477" s="427"/>
      <c r="B477" s="137" t="s">
        <v>112</v>
      </c>
      <c r="C477" s="157" t="s">
        <v>197</v>
      </c>
      <c r="D477" s="48" t="s">
        <v>104</v>
      </c>
      <c r="E477" s="441"/>
      <c r="F477" s="118" t="s">
        <v>113</v>
      </c>
      <c r="G477" s="119"/>
      <c r="H477" s="126"/>
      <c r="I477" s="126"/>
      <c r="J477" s="2"/>
      <c r="K477" s="18"/>
      <c r="L477" s="18"/>
      <c r="M477" s="18"/>
      <c r="N477" s="18"/>
      <c r="O477" s="126"/>
      <c r="P477" s="126"/>
      <c r="Q477" s="126">
        <f>Apr!CM301</f>
        <v>1</v>
      </c>
      <c r="R477" s="436"/>
      <c r="S477" s="436"/>
      <c r="T477" s="18"/>
      <c r="U477" s="18"/>
      <c r="V477" s="18"/>
      <c r="W477" s="45"/>
      <c r="X477" s="67"/>
    </row>
    <row r="478" spans="1:24" ht="15" customHeight="1">
      <c r="A478" s="427"/>
      <c r="B478" s="137" t="s">
        <v>106</v>
      </c>
      <c r="C478" s="157" t="s">
        <v>141</v>
      </c>
      <c r="D478" s="48" t="s">
        <v>68</v>
      </c>
      <c r="E478" s="441"/>
      <c r="F478" s="118" t="s">
        <v>67</v>
      </c>
      <c r="G478" s="119"/>
      <c r="H478" s="126"/>
      <c r="I478" s="126"/>
      <c r="J478" s="2"/>
      <c r="K478" s="18"/>
      <c r="L478" s="18"/>
      <c r="M478" s="18"/>
      <c r="N478" s="18"/>
      <c r="O478" s="126"/>
      <c r="P478" s="126"/>
      <c r="Q478" s="126"/>
      <c r="R478" s="436"/>
      <c r="S478" s="436"/>
      <c r="T478" s="18"/>
      <c r="U478" s="18"/>
      <c r="V478" s="18"/>
      <c r="W478" s="45"/>
      <c r="X478" s="67"/>
    </row>
    <row r="479" spans="1:24" ht="15" customHeight="1" thickBot="1">
      <c r="A479" s="428"/>
      <c r="B479" s="44" t="s">
        <v>107</v>
      </c>
      <c r="C479" s="181" t="s">
        <v>195</v>
      </c>
      <c r="D479" s="61" t="s">
        <v>108</v>
      </c>
      <c r="E479" s="447"/>
      <c r="F479" s="133" t="s">
        <v>48</v>
      </c>
      <c r="G479" s="132"/>
      <c r="H479" s="109"/>
      <c r="I479" s="134"/>
      <c r="J479" s="129"/>
      <c r="K479" s="130"/>
      <c r="L479" s="130"/>
      <c r="M479" s="130"/>
      <c r="N479" s="130"/>
      <c r="O479" s="134"/>
      <c r="P479" s="134"/>
      <c r="Q479" s="134">
        <f>Apr!CM300</f>
        <v>1</v>
      </c>
      <c r="R479" s="437"/>
      <c r="S479" s="437"/>
      <c r="T479" s="130"/>
      <c r="U479" s="130"/>
      <c r="V479" s="128"/>
      <c r="W479" s="85"/>
      <c r="X479" s="67"/>
    </row>
    <row r="480" spans="1:24" ht="15" customHeight="1">
      <c r="A480" s="426">
        <v>46135</v>
      </c>
      <c r="B480" s="429" t="s">
        <v>44</v>
      </c>
      <c r="C480" s="432" t="s">
        <v>240</v>
      </c>
      <c r="D480" s="19" t="s">
        <v>37</v>
      </c>
      <c r="E480" s="19" t="s">
        <v>25</v>
      </c>
      <c r="F480" s="39" t="s">
        <v>40</v>
      </c>
      <c r="G480" s="41"/>
      <c r="H480" s="32"/>
      <c r="I480" s="32"/>
      <c r="J480" s="32"/>
      <c r="K480" s="20"/>
      <c r="L480" s="20"/>
      <c r="M480" s="20">
        <v>200000</v>
      </c>
      <c r="N480" s="84">
        <v>25</v>
      </c>
      <c r="O480" s="32">
        <f>Apr!CQ276</f>
        <v>22569</v>
      </c>
      <c r="P480" s="32">
        <f>Apr!CR276</f>
        <v>19160</v>
      </c>
      <c r="Q480" s="32">
        <f>Apr!CP276</f>
        <v>53</v>
      </c>
      <c r="R480" s="435">
        <f>Apr!CQ303</f>
        <v>76079</v>
      </c>
      <c r="S480" s="435">
        <f>Apr!CR303</f>
        <v>73988</v>
      </c>
      <c r="T480" s="20">
        <v>18454</v>
      </c>
      <c r="U480" s="20">
        <v>3</v>
      </c>
      <c r="V480" s="20">
        <f>O480-T480-U480+V450</f>
        <v>183884</v>
      </c>
      <c r="W480" s="77"/>
      <c r="X480" s="36"/>
    </row>
    <row r="481" spans="1:25" ht="15" customHeight="1">
      <c r="A481" s="427"/>
      <c r="B481" s="430"/>
      <c r="C481" s="433"/>
      <c r="D481" s="113" t="s">
        <v>128</v>
      </c>
      <c r="E481" s="438" t="s">
        <v>24</v>
      </c>
      <c r="F481" s="118" t="s">
        <v>40</v>
      </c>
      <c r="G481" s="38"/>
      <c r="H481" s="37"/>
      <c r="I481" s="125"/>
      <c r="J481" s="125"/>
      <c r="K481" s="18"/>
      <c r="L481" s="127"/>
      <c r="M481" s="216"/>
      <c r="N481" s="238"/>
      <c r="O481" s="126">
        <f>Apr!CQ277</f>
        <v>22147</v>
      </c>
      <c r="P481" s="125">
        <f>Apr!CR277</f>
        <v>19642</v>
      </c>
      <c r="Q481" s="125">
        <f>Apr!CP277</f>
        <v>51</v>
      </c>
      <c r="R481" s="436"/>
      <c r="S481" s="436"/>
      <c r="T481" s="127">
        <v>35303</v>
      </c>
      <c r="U481" s="127">
        <v>17</v>
      </c>
      <c r="V481" s="127">
        <f>O481-T481-U481+V451</f>
        <v>13153</v>
      </c>
      <c r="W481" s="46"/>
      <c r="X481" s="67"/>
    </row>
    <row r="482" spans="1:25" ht="15" customHeight="1">
      <c r="A482" s="427"/>
      <c r="B482" s="431"/>
      <c r="C482" s="434"/>
      <c r="D482" s="113" t="s">
        <v>307</v>
      </c>
      <c r="E482" s="431"/>
      <c r="F482" s="118" t="s">
        <v>40</v>
      </c>
      <c r="G482" s="170"/>
      <c r="H482" s="135"/>
      <c r="I482" s="125"/>
      <c r="J482" s="125"/>
      <c r="K482" s="127">
        <v>40000</v>
      </c>
      <c r="L482" s="127">
        <v>5</v>
      </c>
      <c r="M482" s="216">
        <v>32000</v>
      </c>
      <c r="N482" s="238">
        <v>4</v>
      </c>
      <c r="O482" s="126">
        <f>Apr!CQ278</f>
        <v>15399</v>
      </c>
      <c r="P482" s="125">
        <f>Apr!CR278</f>
        <v>15231</v>
      </c>
      <c r="Q482" s="125">
        <f>Apr!CP278</f>
        <v>40</v>
      </c>
      <c r="R482" s="436"/>
      <c r="S482" s="436"/>
      <c r="T482" s="127">
        <v>9333</v>
      </c>
      <c r="U482" s="127">
        <v>27</v>
      </c>
      <c r="V482" s="127">
        <f>O482-T482-U482+V452</f>
        <v>12804</v>
      </c>
      <c r="W482" s="46"/>
      <c r="X482" s="67"/>
    </row>
    <row r="483" spans="1:25" ht="15" customHeight="1">
      <c r="A483" s="427"/>
      <c r="B483" s="442" t="s">
        <v>45</v>
      </c>
      <c r="C483" s="471" t="s">
        <v>59</v>
      </c>
      <c r="D483" s="118" t="s">
        <v>75</v>
      </c>
      <c r="E483" s="438" t="s">
        <v>25</v>
      </c>
      <c r="F483" s="131" t="s">
        <v>57</v>
      </c>
      <c r="G483" s="87"/>
      <c r="H483" s="136"/>
      <c r="I483" s="126"/>
      <c r="J483" s="2"/>
      <c r="K483" s="127"/>
      <c r="L483" s="18"/>
      <c r="M483" s="18"/>
      <c r="N483" s="80"/>
      <c r="O483" s="126">
        <f>Apr!CQ282</f>
        <v>1100</v>
      </c>
      <c r="P483" s="126">
        <f>Apr!CR282</f>
        <v>502</v>
      </c>
      <c r="Q483" s="2">
        <f>Apr!CP282</f>
        <v>2</v>
      </c>
      <c r="R483" s="436"/>
      <c r="S483" s="436"/>
      <c r="T483" s="18"/>
      <c r="U483" s="18"/>
      <c r="V483" s="127">
        <f>O483-T483-U483+V453</f>
        <v>58587</v>
      </c>
      <c r="W483" s="46"/>
      <c r="Y483" s="13"/>
    </row>
    <row r="484" spans="1:25" ht="15" customHeight="1">
      <c r="A484" s="427"/>
      <c r="B484" s="439"/>
      <c r="C484" s="471"/>
      <c r="D484" s="118" t="s">
        <v>291</v>
      </c>
      <c r="E484" s="430"/>
      <c r="F484" s="131" t="s">
        <v>57</v>
      </c>
      <c r="G484" s="87"/>
      <c r="H484" s="136"/>
      <c r="I484" s="126"/>
      <c r="J484" s="2"/>
      <c r="K484" s="127">
        <v>4900</v>
      </c>
      <c r="L484" s="18">
        <v>1</v>
      </c>
      <c r="M484" s="18">
        <v>19600</v>
      </c>
      <c r="N484" s="80">
        <v>4</v>
      </c>
      <c r="O484" s="126">
        <f>Apr!CQ283</f>
        <v>2200</v>
      </c>
      <c r="P484" s="126">
        <f>Apr!CR283</f>
        <v>3480</v>
      </c>
      <c r="Q484" s="2">
        <f>Apr!CP283</f>
        <v>14</v>
      </c>
      <c r="R484" s="436"/>
      <c r="S484" s="436"/>
      <c r="T484" s="18"/>
      <c r="U484" s="18"/>
      <c r="V484" s="127">
        <f>O484-T484-U484+V454</f>
        <v>12033</v>
      </c>
      <c r="W484" s="46"/>
      <c r="Y484" s="13"/>
    </row>
    <row r="485" spans="1:25">
      <c r="A485" s="427"/>
      <c r="B485" s="439"/>
      <c r="C485" s="471"/>
      <c r="D485" s="118" t="s">
        <v>72</v>
      </c>
      <c r="E485" s="155" t="s">
        <v>24</v>
      </c>
      <c r="F485" s="131" t="s">
        <v>57</v>
      </c>
      <c r="G485" s="224"/>
      <c r="H485" s="136"/>
      <c r="I485" s="126"/>
      <c r="J485" s="126"/>
      <c r="K485" s="127">
        <v>5000</v>
      </c>
      <c r="L485" s="18">
        <v>1</v>
      </c>
      <c r="M485" s="18">
        <v>55000</v>
      </c>
      <c r="N485" s="80">
        <v>11</v>
      </c>
      <c r="O485" s="126">
        <f>Apr!CQ284</f>
        <v>3300</v>
      </c>
      <c r="P485" s="126">
        <f>Apr!CR284</f>
        <v>5680</v>
      </c>
      <c r="Q485" s="126">
        <f>Apr!CP284</f>
        <v>25</v>
      </c>
      <c r="R485" s="436"/>
      <c r="S485" s="436"/>
      <c r="T485" s="18">
        <v>5510</v>
      </c>
      <c r="U485" s="18"/>
      <c r="V485" s="127">
        <f>O485-T485-U485+V456</f>
        <v>3670</v>
      </c>
      <c r="W485" s="46"/>
      <c r="Y485" s="13"/>
    </row>
    <row r="486" spans="1:25" ht="14.25" customHeight="1">
      <c r="A486" s="427"/>
      <c r="B486" s="439"/>
      <c r="C486" s="471"/>
      <c r="D486" s="115" t="s">
        <v>79</v>
      </c>
      <c r="E486" s="118" t="s">
        <v>65</v>
      </c>
      <c r="F486" s="131" t="s">
        <v>57</v>
      </c>
      <c r="G486" s="224"/>
      <c r="H486" s="37"/>
      <c r="I486" s="126"/>
      <c r="J486" s="126"/>
      <c r="K486" s="18"/>
      <c r="L486" s="18"/>
      <c r="M486" s="18"/>
      <c r="N486" s="80"/>
      <c r="O486" s="126"/>
      <c r="P486" s="126"/>
      <c r="Q486" s="126">
        <f>Apr!CP285</f>
        <v>1</v>
      </c>
      <c r="R486" s="436"/>
      <c r="S486" s="436"/>
      <c r="T486" s="18"/>
      <c r="U486" s="18"/>
      <c r="V486" s="127"/>
      <c r="W486" s="45"/>
      <c r="X486" s="36"/>
    </row>
    <row r="487" spans="1:25" ht="14.25" customHeight="1">
      <c r="A487" s="427"/>
      <c r="B487" s="443"/>
      <c r="C487" s="271" t="s">
        <v>299</v>
      </c>
      <c r="D487" s="115" t="s">
        <v>296</v>
      </c>
      <c r="E487" s="115" t="s">
        <v>25</v>
      </c>
      <c r="F487" s="131" t="s">
        <v>298</v>
      </c>
      <c r="G487" s="224"/>
      <c r="H487" s="37"/>
      <c r="I487" s="126"/>
      <c r="J487" s="126"/>
      <c r="K487" s="18"/>
      <c r="L487" s="18"/>
      <c r="M487" s="18"/>
      <c r="N487" s="80"/>
      <c r="O487" s="126"/>
      <c r="P487" s="126"/>
      <c r="Q487" s="126">
        <f>Apr!CP286</f>
        <v>1</v>
      </c>
      <c r="R487" s="436"/>
      <c r="S487" s="436"/>
      <c r="T487" s="18"/>
      <c r="U487" s="18"/>
      <c r="V487" s="127"/>
      <c r="W487" s="45"/>
      <c r="X487" s="67"/>
    </row>
    <row r="488" spans="1:25" ht="14.25" customHeight="1">
      <c r="A488" s="427"/>
      <c r="B488" s="442" t="s">
        <v>53</v>
      </c>
      <c r="C488" s="444" t="s">
        <v>60</v>
      </c>
      <c r="D488" s="43" t="s">
        <v>130</v>
      </c>
      <c r="E488" s="424" t="s">
        <v>66</v>
      </c>
      <c r="F488" s="118" t="s">
        <v>54</v>
      </c>
      <c r="G488" s="224"/>
      <c r="H488" s="37"/>
      <c r="I488" s="126"/>
      <c r="J488" s="126"/>
      <c r="K488" s="18">
        <v>6000</v>
      </c>
      <c r="L488" s="18">
        <v>1</v>
      </c>
      <c r="M488" s="18">
        <v>36000</v>
      </c>
      <c r="N488" s="80">
        <v>6</v>
      </c>
      <c r="O488" s="126">
        <f>Apr!CQ279</f>
        <v>9364</v>
      </c>
      <c r="P488" s="126">
        <f>Apr!CR279</f>
        <v>7276</v>
      </c>
      <c r="Q488" s="126">
        <f>Apr!CP279</f>
        <v>21</v>
      </c>
      <c r="R488" s="436"/>
      <c r="S488" s="436"/>
      <c r="T488" s="18">
        <v>6853</v>
      </c>
      <c r="U488" s="18"/>
      <c r="V488" s="127">
        <f>O488-T488-U488+V459</f>
        <v>8980</v>
      </c>
      <c r="W488" s="45"/>
      <c r="X488" s="67"/>
    </row>
    <row r="489" spans="1:25" ht="14.25" customHeight="1">
      <c r="A489" s="427"/>
      <c r="B489" s="439"/>
      <c r="C489" s="445"/>
      <c r="D489" s="43" t="s">
        <v>320</v>
      </c>
      <c r="E489" s="425"/>
      <c r="F489" s="118" t="s">
        <v>54</v>
      </c>
      <c r="G489" s="224"/>
      <c r="H489" s="37"/>
      <c r="I489" s="126"/>
      <c r="J489" s="126"/>
      <c r="K489" s="18">
        <v>6000</v>
      </c>
      <c r="L489" s="18">
        <v>1</v>
      </c>
      <c r="M489" s="18">
        <v>66000</v>
      </c>
      <c r="N489" s="80">
        <v>11</v>
      </c>
      <c r="O489" s="126"/>
      <c r="P489" s="126">
        <f>Apr!CR280</f>
        <v>215</v>
      </c>
      <c r="Q489" s="126">
        <f>Apr!CP280</f>
        <v>1</v>
      </c>
      <c r="R489" s="436"/>
      <c r="S489" s="436"/>
      <c r="T489" s="18"/>
      <c r="U489" s="18"/>
      <c r="V489" s="127"/>
      <c r="W489" s="45"/>
      <c r="X489" s="67"/>
    </row>
    <row r="490" spans="1:25" ht="14.25" customHeight="1">
      <c r="A490" s="427"/>
      <c r="B490" s="443"/>
      <c r="C490" s="446"/>
      <c r="D490" s="43" t="s">
        <v>199</v>
      </c>
      <c r="E490" s="114" t="s">
        <v>25</v>
      </c>
      <c r="F490" s="118" t="s">
        <v>54</v>
      </c>
      <c r="G490" s="224"/>
      <c r="H490" s="135"/>
      <c r="I490" s="158"/>
      <c r="J490" s="158"/>
      <c r="K490" s="128"/>
      <c r="L490" s="128"/>
      <c r="M490" s="128"/>
      <c r="N490" s="164"/>
      <c r="O490" s="158"/>
      <c r="P490" s="158"/>
      <c r="Q490" s="158">
        <f>Apr!CP281</f>
        <v>1</v>
      </c>
      <c r="R490" s="436"/>
      <c r="S490" s="436"/>
      <c r="T490" s="18"/>
      <c r="U490" s="18"/>
      <c r="V490" s="127"/>
      <c r="W490" s="45"/>
      <c r="X490" s="67"/>
    </row>
    <row r="491" spans="1:25" ht="15.75" customHeight="1">
      <c r="A491" s="427"/>
      <c r="B491" s="122" t="s">
        <v>55</v>
      </c>
      <c r="C491" s="180" t="s">
        <v>133</v>
      </c>
      <c r="D491" s="48" t="s">
        <v>56</v>
      </c>
      <c r="E491" s="424" t="s">
        <v>25</v>
      </c>
      <c r="F491" s="118" t="s">
        <v>67</v>
      </c>
      <c r="G491" s="226"/>
      <c r="H491" s="126"/>
      <c r="I491" s="126"/>
      <c r="J491" s="2"/>
      <c r="K491" s="18"/>
      <c r="L491" s="18"/>
      <c r="M491" s="18">
        <v>2800</v>
      </c>
      <c r="N491" s="18">
        <v>1</v>
      </c>
      <c r="O491" s="126"/>
      <c r="P491" s="126"/>
      <c r="Q491" s="126"/>
      <c r="R491" s="436"/>
      <c r="S491" s="436"/>
      <c r="T491" s="18"/>
      <c r="U491" s="18"/>
      <c r="V491" s="127">
        <f t="shared" ref="V491:V497" si="21">O491-T491-U491+V462</f>
        <v>500</v>
      </c>
      <c r="W491" s="45"/>
      <c r="X491" s="67"/>
    </row>
    <row r="492" spans="1:25" ht="15.75" customHeight="1">
      <c r="A492" s="427"/>
      <c r="B492" s="122" t="s">
        <v>55</v>
      </c>
      <c r="C492" s="180" t="s">
        <v>316</v>
      </c>
      <c r="D492" s="48" t="s">
        <v>317</v>
      </c>
      <c r="E492" s="441"/>
      <c r="F492" s="155" t="s">
        <v>67</v>
      </c>
      <c r="G492" s="226"/>
      <c r="H492" s="126"/>
      <c r="I492" s="126"/>
      <c r="J492" s="2"/>
      <c r="K492" s="18"/>
      <c r="L492" s="18"/>
      <c r="M492" s="18"/>
      <c r="N492" s="18"/>
      <c r="O492" s="126"/>
      <c r="P492" s="126"/>
      <c r="Q492" s="126">
        <f>Apr!CP302</f>
        <v>1</v>
      </c>
      <c r="R492" s="436"/>
      <c r="S492" s="436"/>
      <c r="T492" s="18"/>
      <c r="U492" s="18"/>
      <c r="V492" s="127">
        <f t="shared" si="21"/>
        <v>0</v>
      </c>
      <c r="W492" s="45"/>
      <c r="X492" s="67"/>
    </row>
    <row r="493" spans="1:25" ht="15" customHeight="1">
      <c r="A493" s="427"/>
      <c r="B493" s="122" t="s">
        <v>122</v>
      </c>
      <c r="C493" s="180" t="s">
        <v>123</v>
      </c>
      <c r="D493" s="48" t="s">
        <v>56</v>
      </c>
      <c r="E493" s="441"/>
      <c r="F493" s="155" t="s">
        <v>64</v>
      </c>
      <c r="G493" s="119"/>
      <c r="H493" s="126"/>
      <c r="I493" s="126"/>
      <c r="J493" s="2"/>
      <c r="K493" s="18"/>
      <c r="L493" s="18"/>
      <c r="M493" s="18">
        <v>6400</v>
      </c>
      <c r="N493" s="18">
        <v>2</v>
      </c>
      <c r="O493" s="126"/>
      <c r="P493" s="126"/>
      <c r="Q493" s="126">
        <f>Apr!CP287</f>
        <v>1</v>
      </c>
      <c r="R493" s="436"/>
      <c r="S493" s="436"/>
      <c r="T493" s="18"/>
      <c r="U493" s="18"/>
      <c r="V493" s="127">
        <f t="shared" si="21"/>
        <v>31304</v>
      </c>
      <c r="W493" s="45"/>
      <c r="X493" s="67"/>
    </row>
    <row r="494" spans="1:25" ht="14.25" customHeight="1">
      <c r="A494" s="427"/>
      <c r="B494" s="137" t="s">
        <v>58</v>
      </c>
      <c r="C494" s="157" t="s">
        <v>243</v>
      </c>
      <c r="D494" s="48" t="s">
        <v>56</v>
      </c>
      <c r="E494" s="441"/>
      <c r="F494" s="118" t="s">
        <v>64</v>
      </c>
      <c r="G494" s="225"/>
      <c r="H494" s="126"/>
      <c r="I494" s="126"/>
      <c r="J494" s="126"/>
      <c r="K494" s="18"/>
      <c r="L494" s="18"/>
      <c r="M494" s="18"/>
      <c r="N494" s="80"/>
      <c r="O494" s="126"/>
      <c r="P494" s="126"/>
      <c r="Q494" s="126">
        <f>Apr!CP288</f>
        <v>1</v>
      </c>
      <c r="R494" s="436"/>
      <c r="S494" s="436"/>
      <c r="T494" s="18"/>
      <c r="U494" s="18"/>
      <c r="V494" s="127">
        <f t="shared" si="21"/>
        <v>8562</v>
      </c>
      <c r="W494" s="45"/>
      <c r="X494" s="67"/>
    </row>
    <row r="495" spans="1:25" ht="14.25" customHeight="1">
      <c r="A495" s="427"/>
      <c r="B495" s="122" t="s">
        <v>61</v>
      </c>
      <c r="C495" s="180" t="s">
        <v>137</v>
      </c>
      <c r="D495" s="48" t="s">
        <v>56</v>
      </c>
      <c r="E495" s="441"/>
      <c r="F495" s="118" t="s">
        <v>67</v>
      </c>
      <c r="G495" s="225"/>
      <c r="H495" s="126"/>
      <c r="I495" s="126"/>
      <c r="J495" s="126"/>
      <c r="K495" s="18"/>
      <c r="L495" s="18"/>
      <c r="M495" s="18"/>
      <c r="N495" s="80"/>
      <c r="O495" s="126"/>
      <c r="P495" s="126"/>
      <c r="Q495" s="126">
        <f>Apr!CP289</f>
        <v>1</v>
      </c>
      <c r="R495" s="436"/>
      <c r="S495" s="436"/>
      <c r="T495" s="18"/>
      <c r="U495" s="18"/>
      <c r="V495" s="127">
        <f t="shared" si="21"/>
        <v>5844</v>
      </c>
      <c r="W495" s="45"/>
      <c r="X495" s="67"/>
    </row>
    <row r="496" spans="1:25" ht="14.25" customHeight="1">
      <c r="A496" s="427"/>
      <c r="B496" s="122" t="s">
        <v>125</v>
      </c>
      <c r="C496" s="180" t="s">
        <v>88</v>
      </c>
      <c r="D496" s="48" t="s">
        <v>124</v>
      </c>
      <c r="E496" s="441"/>
      <c r="F496" s="118" t="s">
        <v>64</v>
      </c>
      <c r="G496" s="225"/>
      <c r="H496" s="126"/>
      <c r="I496" s="126"/>
      <c r="J496" s="126"/>
      <c r="K496" s="18"/>
      <c r="L496" s="18"/>
      <c r="M496" s="18">
        <v>51200</v>
      </c>
      <c r="N496" s="80">
        <v>7</v>
      </c>
      <c r="O496" s="126"/>
      <c r="P496" s="126"/>
      <c r="Q496" s="126"/>
      <c r="R496" s="436"/>
      <c r="S496" s="436"/>
      <c r="T496" s="18"/>
      <c r="U496" s="18"/>
      <c r="V496" s="127">
        <f t="shared" si="21"/>
        <v>23615</v>
      </c>
      <c r="W496" s="45"/>
      <c r="X496" s="67"/>
    </row>
    <row r="497" spans="1:25" ht="14.25" customHeight="1">
      <c r="A497" s="427"/>
      <c r="B497" s="137" t="s">
        <v>47</v>
      </c>
      <c r="C497" s="157" t="s">
        <v>100</v>
      </c>
      <c r="D497" s="48" t="s">
        <v>99</v>
      </c>
      <c r="E497" s="441"/>
      <c r="F497" s="118" t="s">
        <v>71</v>
      </c>
      <c r="G497" s="225"/>
      <c r="H497" s="126"/>
      <c r="I497" s="126"/>
      <c r="J497" s="126"/>
      <c r="K497" s="18"/>
      <c r="L497" s="18"/>
      <c r="M497" s="18">
        <v>22800</v>
      </c>
      <c r="N497" s="80">
        <v>4</v>
      </c>
      <c r="O497" s="126"/>
      <c r="P497" s="126">
        <f>Apr!CR290</f>
        <v>1924</v>
      </c>
      <c r="Q497" s="126">
        <f>Apr!CP290</f>
        <v>7</v>
      </c>
      <c r="R497" s="436"/>
      <c r="S497" s="436"/>
      <c r="T497" s="18"/>
      <c r="U497" s="18"/>
      <c r="V497" s="127">
        <f t="shared" si="21"/>
        <v>15737</v>
      </c>
      <c r="W497" s="45"/>
      <c r="X497" s="67"/>
    </row>
    <row r="498" spans="1:25" ht="15" customHeight="1">
      <c r="A498" s="427"/>
      <c r="B498" s="122" t="s">
        <v>196</v>
      </c>
      <c r="C498" s="180" t="s">
        <v>63</v>
      </c>
      <c r="D498" s="48" t="s">
        <v>135</v>
      </c>
      <c r="E498" s="441"/>
      <c r="F498" s="118" t="s">
        <v>64</v>
      </c>
      <c r="G498" s="226"/>
      <c r="H498" s="126"/>
      <c r="I498" s="126"/>
      <c r="J498" s="2"/>
      <c r="K498" s="18"/>
      <c r="L498" s="18"/>
      <c r="M498" s="18">
        <v>33200</v>
      </c>
      <c r="N498" s="18">
        <v>4</v>
      </c>
      <c r="O498" s="126"/>
      <c r="P498" s="126"/>
      <c r="Q498" s="126"/>
      <c r="R498" s="436"/>
      <c r="S498" s="436"/>
      <c r="T498" s="18"/>
      <c r="U498" s="18"/>
      <c r="V498" s="127">
        <f>O498-T498-U498+V470</f>
        <v>15106</v>
      </c>
      <c r="W498" s="45"/>
      <c r="X498" s="67"/>
    </row>
    <row r="499" spans="1:25" ht="15" customHeight="1">
      <c r="A499" s="427"/>
      <c r="B499" s="122" t="s">
        <v>253</v>
      </c>
      <c r="C499" s="180" t="s">
        <v>252</v>
      </c>
      <c r="D499" s="48" t="s">
        <v>246</v>
      </c>
      <c r="E499" s="441"/>
      <c r="F499" s="118" t="s">
        <v>247</v>
      </c>
      <c r="G499" s="226"/>
      <c r="H499" s="126"/>
      <c r="I499" s="126"/>
      <c r="J499" s="2"/>
      <c r="K499" s="18"/>
      <c r="L499" s="18"/>
      <c r="M499" s="18">
        <v>15500</v>
      </c>
      <c r="N499" s="18">
        <v>2</v>
      </c>
      <c r="O499" s="126"/>
      <c r="P499" s="126">
        <f>Apr!CR291</f>
        <v>583</v>
      </c>
      <c r="Q499" s="126">
        <f>Apr!CP291</f>
        <v>3</v>
      </c>
      <c r="R499" s="436"/>
      <c r="S499" s="436"/>
      <c r="T499" s="18"/>
      <c r="U499" s="18"/>
      <c r="V499" s="127">
        <f>O499-T499-U499+V471</f>
        <v>0</v>
      </c>
      <c r="W499" s="45"/>
      <c r="X499" s="67"/>
    </row>
    <row r="500" spans="1:25" ht="15" customHeight="1">
      <c r="A500" s="427"/>
      <c r="B500" s="122" t="s">
        <v>289</v>
      </c>
      <c r="C500" s="180" t="s">
        <v>290</v>
      </c>
      <c r="D500" s="48" t="s">
        <v>291</v>
      </c>
      <c r="E500" s="441"/>
      <c r="F500" s="118" t="s">
        <v>292</v>
      </c>
      <c r="G500" s="119"/>
      <c r="H500" s="126"/>
      <c r="I500" s="126"/>
      <c r="J500" s="2"/>
      <c r="K500" s="18"/>
      <c r="L500" s="18"/>
      <c r="M500" s="18"/>
      <c r="N500" s="18"/>
      <c r="O500" s="126"/>
      <c r="P500" s="126">
        <f>Apr!CR292</f>
        <v>295</v>
      </c>
      <c r="Q500" s="126">
        <f>Apr!CP292</f>
        <v>1</v>
      </c>
      <c r="R500" s="436"/>
      <c r="S500" s="436"/>
      <c r="T500" s="18"/>
      <c r="U500" s="18"/>
      <c r="V500" s="18"/>
      <c r="W500" s="45"/>
      <c r="X500" s="67"/>
    </row>
    <row r="501" spans="1:25" ht="15" customHeight="1">
      <c r="A501" s="427"/>
      <c r="B501" s="122" t="s">
        <v>315</v>
      </c>
      <c r="C501" s="180" t="s">
        <v>252</v>
      </c>
      <c r="D501" s="48" t="s">
        <v>246</v>
      </c>
      <c r="E501" s="441"/>
      <c r="F501" s="118" t="s">
        <v>64</v>
      </c>
      <c r="G501" s="119"/>
      <c r="H501" s="126"/>
      <c r="I501" s="126"/>
      <c r="J501" s="2"/>
      <c r="K501" s="18"/>
      <c r="L501" s="18"/>
      <c r="M501" s="18"/>
      <c r="N501" s="18"/>
      <c r="O501" s="126"/>
      <c r="P501" s="126"/>
      <c r="Q501" s="126"/>
      <c r="R501" s="436"/>
      <c r="S501" s="436"/>
      <c r="T501" s="18"/>
      <c r="U501" s="18"/>
      <c r="V501" s="18">
        <f>O501-T501-U501+V474</f>
        <v>440</v>
      </c>
      <c r="W501" s="45"/>
      <c r="X501" s="67"/>
    </row>
    <row r="502" spans="1:25" ht="15" customHeight="1">
      <c r="A502" s="427"/>
      <c r="B502" s="122" t="s">
        <v>101</v>
      </c>
      <c r="C502" s="180" t="s">
        <v>193</v>
      </c>
      <c r="D502" s="48" t="s">
        <v>102</v>
      </c>
      <c r="E502" s="441"/>
      <c r="F502" s="118" t="s">
        <v>64</v>
      </c>
      <c r="G502" s="119"/>
      <c r="H502" s="126"/>
      <c r="I502" s="126"/>
      <c r="J502" s="2"/>
      <c r="K502" s="18"/>
      <c r="L502" s="18"/>
      <c r="M502" s="18"/>
      <c r="N502" s="18"/>
      <c r="O502" s="126"/>
      <c r="P502" s="126"/>
      <c r="Q502" s="126">
        <f>Apr!CP297</f>
        <v>1</v>
      </c>
      <c r="R502" s="436"/>
      <c r="S502" s="436"/>
      <c r="T502" s="18"/>
      <c r="U502" s="18"/>
      <c r="V502" s="18"/>
      <c r="W502" s="45"/>
      <c r="X502" s="67"/>
    </row>
    <row r="503" spans="1:25" ht="15" customHeight="1">
      <c r="A503" s="427"/>
      <c r="B503" s="122" t="s">
        <v>103</v>
      </c>
      <c r="C503" s="157" t="s">
        <v>197</v>
      </c>
      <c r="D503" s="48" t="s">
        <v>104</v>
      </c>
      <c r="E503" s="441"/>
      <c r="F503" s="118" t="s">
        <v>105</v>
      </c>
      <c r="G503" s="119"/>
      <c r="H503" s="126"/>
      <c r="I503" s="126"/>
      <c r="J503" s="2"/>
      <c r="K503" s="18"/>
      <c r="L503" s="18"/>
      <c r="M503" s="18"/>
      <c r="N503" s="18"/>
      <c r="O503" s="126"/>
      <c r="P503" s="126"/>
      <c r="Q503" s="126">
        <f>Apr!CP298</f>
        <v>1</v>
      </c>
      <c r="R503" s="436"/>
      <c r="S503" s="436"/>
      <c r="T503" s="18"/>
      <c r="U503" s="18"/>
      <c r="V503" s="18"/>
      <c r="W503" s="45"/>
      <c r="X503" s="67"/>
    </row>
    <row r="504" spans="1:25" ht="15" customHeight="1">
      <c r="A504" s="427"/>
      <c r="B504" s="137" t="s">
        <v>112</v>
      </c>
      <c r="C504" s="157" t="s">
        <v>197</v>
      </c>
      <c r="D504" s="48" t="s">
        <v>104</v>
      </c>
      <c r="E504" s="441"/>
      <c r="F504" s="118" t="s">
        <v>113</v>
      </c>
      <c r="G504" s="119"/>
      <c r="H504" s="126"/>
      <c r="I504" s="126"/>
      <c r="J504" s="2"/>
      <c r="K504" s="18"/>
      <c r="L504" s="18"/>
      <c r="M504" s="18"/>
      <c r="N504" s="18"/>
      <c r="O504" s="126"/>
      <c r="P504" s="126"/>
      <c r="Q504" s="126">
        <f>Apr!CP301</f>
        <v>1</v>
      </c>
      <c r="R504" s="436"/>
      <c r="S504" s="436"/>
      <c r="T504" s="18"/>
      <c r="U504" s="18"/>
      <c r="V504" s="18"/>
      <c r="W504" s="45"/>
      <c r="X504" s="67"/>
    </row>
    <row r="505" spans="1:25" ht="15" customHeight="1">
      <c r="A505" s="427"/>
      <c r="B505" s="137" t="s">
        <v>106</v>
      </c>
      <c r="C505" s="157" t="s">
        <v>141</v>
      </c>
      <c r="D505" s="48" t="s">
        <v>68</v>
      </c>
      <c r="E505" s="441"/>
      <c r="F505" s="118" t="s">
        <v>67</v>
      </c>
      <c r="G505" s="119"/>
      <c r="H505" s="126"/>
      <c r="I505" s="126"/>
      <c r="J505" s="2"/>
      <c r="K505" s="18"/>
      <c r="L505" s="18"/>
      <c r="M505" s="18"/>
      <c r="N505" s="18"/>
      <c r="O505" s="126"/>
      <c r="P505" s="126"/>
      <c r="Q505" s="126"/>
      <c r="R505" s="436"/>
      <c r="S505" s="436"/>
      <c r="T505" s="18"/>
      <c r="U505" s="18"/>
      <c r="V505" s="18"/>
      <c r="W505" s="45"/>
      <c r="X505" s="67"/>
    </row>
    <row r="506" spans="1:25" ht="15" customHeight="1" thickBot="1">
      <c r="A506" s="428"/>
      <c r="B506" s="44" t="s">
        <v>107</v>
      </c>
      <c r="C506" s="181" t="s">
        <v>195</v>
      </c>
      <c r="D506" s="61" t="s">
        <v>108</v>
      </c>
      <c r="E506" s="447"/>
      <c r="F506" s="133" t="s">
        <v>48</v>
      </c>
      <c r="G506" s="132"/>
      <c r="H506" s="109"/>
      <c r="I506" s="134"/>
      <c r="J506" s="129"/>
      <c r="K506" s="130"/>
      <c r="L506" s="130"/>
      <c r="M506" s="130"/>
      <c r="N506" s="130"/>
      <c r="O506" s="134"/>
      <c r="P506" s="134"/>
      <c r="Q506" s="134">
        <f>Apr!CP300</f>
        <v>1</v>
      </c>
      <c r="R506" s="437"/>
      <c r="S506" s="437"/>
      <c r="T506" s="130"/>
      <c r="U506" s="130"/>
      <c r="V506" s="128"/>
      <c r="W506" s="85"/>
      <c r="X506" s="67"/>
    </row>
    <row r="507" spans="1:25" ht="15" customHeight="1">
      <c r="A507" s="426">
        <v>46136</v>
      </c>
      <c r="B507" s="429" t="s">
        <v>44</v>
      </c>
      <c r="C507" s="432" t="s">
        <v>240</v>
      </c>
      <c r="D507" s="19" t="s">
        <v>37</v>
      </c>
      <c r="E507" s="19" t="s">
        <v>25</v>
      </c>
      <c r="F507" s="39" t="s">
        <v>40</v>
      </c>
      <c r="G507" s="41"/>
      <c r="H507" s="32"/>
      <c r="I507" s="32"/>
      <c r="J507" s="32"/>
      <c r="K507" s="20">
        <v>8000</v>
      </c>
      <c r="L507" s="20">
        <v>1</v>
      </c>
      <c r="M507" s="20">
        <v>192000</v>
      </c>
      <c r="N507" s="84">
        <v>24</v>
      </c>
      <c r="O507" s="32">
        <f>Apr!CT276</f>
        <v>19938</v>
      </c>
      <c r="P507" s="32">
        <f>Apr!CU276</f>
        <v>18088</v>
      </c>
      <c r="Q507" s="32">
        <f>Apr!CS276</f>
        <v>50</v>
      </c>
      <c r="R507" s="435">
        <f>Apr!CT303</f>
        <v>74245</v>
      </c>
      <c r="S507" s="435">
        <f>Apr!CU303</f>
        <v>74177</v>
      </c>
      <c r="T507" s="20">
        <v>35232</v>
      </c>
      <c r="U507" s="20">
        <v>2</v>
      </c>
      <c r="V507" s="20">
        <f t="shared" ref="V507:V512" si="22">O507-T507-U507+V480</f>
        <v>168588</v>
      </c>
      <c r="W507" s="77"/>
      <c r="X507" s="36"/>
    </row>
    <row r="508" spans="1:25" ht="15" customHeight="1">
      <c r="A508" s="427"/>
      <c r="B508" s="430"/>
      <c r="C508" s="433"/>
      <c r="D508" s="113" t="s">
        <v>128</v>
      </c>
      <c r="E508" s="438" t="s">
        <v>24</v>
      </c>
      <c r="F508" s="118" t="s">
        <v>40</v>
      </c>
      <c r="G508" s="38"/>
      <c r="H508" s="37"/>
      <c r="I508" s="125"/>
      <c r="J508" s="125"/>
      <c r="K508" s="18"/>
      <c r="L508" s="127"/>
      <c r="M508" s="216"/>
      <c r="N508" s="238"/>
      <c r="O508" s="126">
        <f>Apr!CT277</f>
        <v>21380</v>
      </c>
      <c r="P508" s="125">
        <f>Apr!CU277</f>
        <v>18648</v>
      </c>
      <c r="Q508" s="125">
        <f>Apr!CS277</f>
        <v>48</v>
      </c>
      <c r="R508" s="436"/>
      <c r="S508" s="436"/>
      <c r="T508" s="127">
        <v>17462</v>
      </c>
      <c r="U508" s="127"/>
      <c r="V508" s="127">
        <f t="shared" si="22"/>
        <v>17071</v>
      </c>
      <c r="W508" s="46"/>
      <c r="X508" s="67"/>
    </row>
    <row r="509" spans="1:25" ht="15" customHeight="1">
      <c r="A509" s="427"/>
      <c r="B509" s="431"/>
      <c r="C509" s="434"/>
      <c r="D509" s="113" t="s">
        <v>307</v>
      </c>
      <c r="E509" s="431"/>
      <c r="F509" s="118" t="s">
        <v>40</v>
      </c>
      <c r="G509" s="170">
        <v>4398.4799999999996</v>
      </c>
      <c r="H509" s="135">
        <v>2976.7</v>
      </c>
      <c r="I509" s="125"/>
      <c r="J509" s="125"/>
      <c r="K509" s="127">
        <v>48000</v>
      </c>
      <c r="L509" s="127">
        <v>6</v>
      </c>
      <c r="M509" s="216">
        <v>48000</v>
      </c>
      <c r="N509" s="238">
        <v>6</v>
      </c>
      <c r="O509" s="126">
        <f>Apr!CT278</f>
        <v>13756</v>
      </c>
      <c r="P509" s="125">
        <f>Apr!CU278</f>
        <v>17565</v>
      </c>
      <c r="Q509" s="125">
        <f>Apr!CS278</f>
        <v>46</v>
      </c>
      <c r="R509" s="436"/>
      <c r="S509" s="436"/>
      <c r="T509" s="127">
        <v>17050</v>
      </c>
      <c r="U509" s="127"/>
      <c r="V509" s="127">
        <f t="shared" si="22"/>
        <v>9510</v>
      </c>
      <c r="W509" s="46"/>
      <c r="X509" s="67"/>
    </row>
    <row r="510" spans="1:25" ht="15" customHeight="1">
      <c r="A510" s="427"/>
      <c r="B510" s="442" t="s">
        <v>45</v>
      </c>
      <c r="C510" s="471" t="s">
        <v>59</v>
      </c>
      <c r="D510" s="118" t="s">
        <v>75</v>
      </c>
      <c r="E510" s="438" t="s">
        <v>25</v>
      </c>
      <c r="F510" s="131" t="s">
        <v>57</v>
      </c>
      <c r="G510" s="87"/>
      <c r="H510" s="136"/>
      <c r="I510" s="126"/>
      <c r="J510" s="2"/>
      <c r="K510" s="127"/>
      <c r="L510" s="18"/>
      <c r="M510" s="18"/>
      <c r="N510" s="80"/>
      <c r="O510" s="126"/>
      <c r="P510" s="126">
        <f>Apr!CU282</f>
        <v>463</v>
      </c>
      <c r="Q510" s="2">
        <f>Apr!CS282</f>
        <v>2</v>
      </c>
      <c r="R510" s="436"/>
      <c r="S510" s="436"/>
      <c r="T510" s="18">
        <v>6762</v>
      </c>
      <c r="U510" s="18">
        <v>6</v>
      </c>
      <c r="V510" s="127">
        <f t="shared" si="22"/>
        <v>51819</v>
      </c>
      <c r="W510" s="46"/>
      <c r="Y510" s="13"/>
    </row>
    <row r="511" spans="1:25" ht="15" customHeight="1">
      <c r="A511" s="427"/>
      <c r="B511" s="439"/>
      <c r="C511" s="471"/>
      <c r="D511" s="118" t="s">
        <v>291</v>
      </c>
      <c r="E511" s="430"/>
      <c r="F511" s="131" t="s">
        <v>57</v>
      </c>
      <c r="G511" s="87"/>
      <c r="H511" s="136"/>
      <c r="I511" s="126"/>
      <c r="J511" s="2"/>
      <c r="K511" s="127"/>
      <c r="L511" s="18"/>
      <c r="M511" s="18">
        <v>19600</v>
      </c>
      <c r="N511" s="80">
        <v>4</v>
      </c>
      <c r="O511" s="126">
        <f>Apr!CT283</f>
        <v>7978</v>
      </c>
      <c r="P511" s="126">
        <f>Apr!CU283</f>
        <v>3513</v>
      </c>
      <c r="Q511" s="2">
        <f>Apr!CS283</f>
        <v>14</v>
      </c>
      <c r="R511" s="436"/>
      <c r="S511" s="436"/>
      <c r="T511" s="18"/>
      <c r="U511" s="18"/>
      <c r="V511" s="127">
        <f t="shared" si="22"/>
        <v>20011</v>
      </c>
      <c r="W511" s="46"/>
      <c r="Y511" s="13"/>
    </row>
    <row r="512" spans="1:25">
      <c r="A512" s="427"/>
      <c r="B512" s="439"/>
      <c r="C512" s="471"/>
      <c r="D512" s="118" t="s">
        <v>72</v>
      </c>
      <c r="E512" s="155" t="s">
        <v>24</v>
      </c>
      <c r="F512" s="131" t="s">
        <v>57</v>
      </c>
      <c r="G512" s="224"/>
      <c r="H512" s="136"/>
      <c r="I512" s="126"/>
      <c r="J512" s="126"/>
      <c r="K512" s="127"/>
      <c r="L512" s="18"/>
      <c r="M512" s="18">
        <v>55000</v>
      </c>
      <c r="N512" s="80">
        <v>11</v>
      </c>
      <c r="O512" s="126">
        <f>Apr!CT284</f>
        <v>4502</v>
      </c>
      <c r="P512" s="126">
        <f>Apr!CU284</f>
        <v>5638</v>
      </c>
      <c r="Q512" s="126">
        <f>Apr!CS284</f>
        <v>25</v>
      </c>
      <c r="R512" s="436"/>
      <c r="S512" s="436"/>
      <c r="T512" s="18">
        <v>5215</v>
      </c>
      <c r="U512" s="18"/>
      <c r="V512" s="127">
        <f t="shared" si="22"/>
        <v>2957</v>
      </c>
      <c r="W512" s="46"/>
      <c r="Y512" s="13"/>
    </row>
    <row r="513" spans="1:24" ht="14.25" customHeight="1">
      <c r="A513" s="427"/>
      <c r="B513" s="439"/>
      <c r="C513" s="471"/>
      <c r="D513" s="115" t="s">
        <v>79</v>
      </c>
      <c r="E513" s="118" t="s">
        <v>65</v>
      </c>
      <c r="F513" s="131" t="s">
        <v>57</v>
      </c>
      <c r="G513" s="224"/>
      <c r="H513" s="37"/>
      <c r="I513" s="126"/>
      <c r="J513" s="126"/>
      <c r="K513" s="18"/>
      <c r="L513" s="18"/>
      <c r="M513" s="18"/>
      <c r="N513" s="80"/>
      <c r="O513" s="126"/>
      <c r="P513" s="126"/>
      <c r="Q513" s="126">
        <f>Apr!CS285</f>
        <v>1</v>
      </c>
      <c r="R513" s="436"/>
      <c r="S513" s="436"/>
      <c r="T513" s="18"/>
      <c r="U513" s="18"/>
      <c r="V513" s="127"/>
      <c r="W513" s="45"/>
      <c r="X513" s="36"/>
    </row>
    <row r="514" spans="1:24" ht="14.25" customHeight="1">
      <c r="A514" s="427"/>
      <c r="B514" s="443"/>
      <c r="C514" s="271" t="s">
        <v>299</v>
      </c>
      <c r="D514" s="115" t="s">
        <v>296</v>
      </c>
      <c r="E514" s="115" t="s">
        <v>25</v>
      </c>
      <c r="F514" s="131" t="s">
        <v>298</v>
      </c>
      <c r="G514" s="224"/>
      <c r="H514" s="37"/>
      <c r="I514" s="126"/>
      <c r="J514" s="126"/>
      <c r="K514" s="18"/>
      <c r="L514" s="18"/>
      <c r="M514" s="18"/>
      <c r="N514" s="80"/>
      <c r="O514" s="126"/>
      <c r="P514" s="126"/>
      <c r="Q514" s="126">
        <f>Apr!CS286</f>
        <v>1</v>
      </c>
      <c r="R514" s="436"/>
      <c r="S514" s="436"/>
      <c r="T514" s="18"/>
      <c r="U514" s="18"/>
      <c r="V514" s="127"/>
      <c r="W514" s="45"/>
      <c r="X514" s="67"/>
    </row>
    <row r="515" spans="1:24" ht="14.25" customHeight="1">
      <c r="A515" s="427"/>
      <c r="B515" s="442" t="s">
        <v>53</v>
      </c>
      <c r="C515" s="444" t="s">
        <v>60</v>
      </c>
      <c r="D515" s="43" t="s">
        <v>130</v>
      </c>
      <c r="E515" s="424" t="s">
        <v>66</v>
      </c>
      <c r="F515" s="118" t="s">
        <v>54</v>
      </c>
      <c r="G515" s="224"/>
      <c r="H515" s="37"/>
      <c r="I515" s="126"/>
      <c r="J515" s="126"/>
      <c r="K515" s="18"/>
      <c r="L515" s="18"/>
      <c r="M515" s="18">
        <v>36000</v>
      </c>
      <c r="N515" s="80">
        <v>6</v>
      </c>
      <c r="O515" s="126">
        <f>Apr!CT279</f>
        <v>6691</v>
      </c>
      <c r="P515" s="126">
        <f>Apr!CU279</f>
        <v>6998</v>
      </c>
      <c r="Q515" s="126">
        <f>Apr!CS279</f>
        <v>21</v>
      </c>
      <c r="R515" s="436"/>
      <c r="S515" s="436"/>
      <c r="T515" s="18">
        <v>7037</v>
      </c>
      <c r="U515" s="18"/>
      <c r="V515" s="127">
        <f>O515-T515-U515+V488</f>
        <v>8634</v>
      </c>
      <c r="W515" s="45"/>
      <c r="X515" s="67"/>
    </row>
    <row r="516" spans="1:24" ht="14.25" customHeight="1">
      <c r="A516" s="427"/>
      <c r="B516" s="439"/>
      <c r="C516" s="445"/>
      <c r="D516" s="43" t="s">
        <v>320</v>
      </c>
      <c r="E516" s="425"/>
      <c r="F516" s="118" t="s">
        <v>54</v>
      </c>
      <c r="G516" s="224"/>
      <c r="H516" s="37"/>
      <c r="I516" s="126"/>
      <c r="J516" s="126"/>
      <c r="K516" s="18"/>
      <c r="L516" s="18"/>
      <c r="M516" s="18">
        <v>66000</v>
      </c>
      <c r="N516" s="80">
        <v>11</v>
      </c>
      <c r="O516" s="126"/>
      <c r="P516" s="126">
        <f>Apr!CU280</f>
        <v>342</v>
      </c>
      <c r="Q516" s="126">
        <f>Apr!CS280</f>
        <v>1</v>
      </c>
      <c r="R516" s="436"/>
      <c r="S516" s="436"/>
      <c r="T516" s="18"/>
      <c r="U516" s="18"/>
      <c r="V516" s="127">
        <f>O516-T516-U516+V489</f>
        <v>0</v>
      </c>
      <c r="W516" s="45"/>
      <c r="X516" s="67"/>
    </row>
    <row r="517" spans="1:24" ht="14.25" customHeight="1">
      <c r="A517" s="427"/>
      <c r="B517" s="439"/>
      <c r="C517" s="445"/>
      <c r="D517" s="43" t="s">
        <v>199</v>
      </c>
      <c r="E517" s="424" t="s">
        <v>25</v>
      </c>
      <c r="F517" s="118" t="s">
        <v>54</v>
      </c>
      <c r="G517" s="224"/>
      <c r="H517" s="37"/>
      <c r="I517" s="126"/>
      <c r="J517" s="126"/>
      <c r="K517" s="18"/>
      <c r="L517" s="18"/>
      <c r="M517" s="18"/>
      <c r="N517" s="80"/>
      <c r="O517" s="126"/>
      <c r="P517" s="126"/>
      <c r="Q517" s="126">
        <f>Apr!CS281</f>
        <v>1</v>
      </c>
      <c r="R517" s="436"/>
      <c r="S517" s="436"/>
      <c r="T517" s="18"/>
      <c r="U517" s="18"/>
      <c r="V517" s="127"/>
      <c r="W517" s="45"/>
      <c r="X517" s="67"/>
    </row>
    <row r="518" spans="1:24" ht="14.25" customHeight="1">
      <c r="A518" s="427"/>
      <c r="B518" s="439"/>
      <c r="C518" s="445"/>
      <c r="D518" s="43" t="s">
        <v>199</v>
      </c>
      <c r="E518" s="425"/>
      <c r="F518" s="118"/>
      <c r="G518" s="224"/>
      <c r="H518" s="126">
        <v>1836</v>
      </c>
      <c r="I518" s="126"/>
      <c r="J518" s="126"/>
      <c r="K518" s="18"/>
      <c r="L518" s="18"/>
      <c r="M518" s="18"/>
      <c r="N518" s="80"/>
      <c r="O518" s="126"/>
      <c r="P518" s="126"/>
      <c r="Q518" s="126"/>
      <c r="R518" s="436"/>
      <c r="S518" s="436"/>
      <c r="T518" s="18"/>
      <c r="U518" s="18"/>
      <c r="V518" s="127"/>
      <c r="W518" s="45"/>
      <c r="X518" s="67"/>
    </row>
    <row r="519" spans="1:24" ht="14.25" customHeight="1">
      <c r="A519" s="427"/>
      <c r="B519" s="443"/>
      <c r="C519" s="446"/>
      <c r="D519" s="43" t="s">
        <v>324</v>
      </c>
      <c r="E519" s="114" t="s">
        <v>65</v>
      </c>
      <c r="F519" s="118"/>
      <c r="G519" s="224"/>
      <c r="H519" s="126">
        <v>612</v>
      </c>
      <c r="I519" s="126"/>
      <c r="J519" s="126"/>
      <c r="K519" s="18"/>
      <c r="L519" s="18"/>
      <c r="M519" s="18"/>
      <c r="N519" s="80"/>
      <c r="O519" s="126"/>
      <c r="P519" s="126"/>
      <c r="Q519" s="126"/>
      <c r="R519" s="436"/>
      <c r="S519" s="436"/>
      <c r="T519" s="18"/>
      <c r="U519" s="18"/>
      <c r="V519" s="127"/>
      <c r="W519" s="45"/>
      <c r="X519" s="67"/>
    </row>
    <row r="520" spans="1:24" ht="15.75" customHeight="1">
      <c r="A520" s="427"/>
      <c r="B520" s="122" t="s">
        <v>55</v>
      </c>
      <c r="C520" s="180" t="s">
        <v>133</v>
      </c>
      <c r="D520" s="48" t="s">
        <v>56</v>
      </c>
      <c r="E520" s="424" t="s">
        <v>25</v>
      </c>
      <c r="F520" s="118" t="s">
        <v>67</v>
      </c>
      <c r="G520" s="226"/>
      <c r="H520" s="126"/>
      <c r="I520" s="126"/>
      <c r="J520" s="2"/>
      <c r="K520" s="18"/>
      <c r="L520" s="18"/>
      <c r="M520" s="18">
        <v>2800</v>
      </c>
      <c r="N520" s="18">
        <v>1</v>
      </c>
      <c r="O520" s="126"/>
      <c r="P520" s="126"/>
      <c r="Q520" s="126"/>
      <c r="R520" s="436"/>
      <c r="S520" s="436"/>
      <c r="T520" s="18"/>
      <c r="U520" s="18"/>
      <c r="V520" s="127">
        <f>O520-T520-U520+V491</f>
        <v>500</v>
      </c>
      <c r="W520" s="45"/>
      <c r="X520" s="67"/>
    </row>
    <row r="521" spans="1:24" ht="15.75" customHeight="1">
      <c r="A521" s="427"/>
      <c r="B521" s="122" t="s">
        <v>55</v>
      </c>
      <c r="C521" s="180" t="s">
        <v>316</v>
      </c>
      <c r="D521" s="48" t="s">
        <v>317</v>
      </c>
      <c r="E521" s="441"/>
      <c r="F521" s="155" t="s">
        <v>67</v>
      </c>
      <c r="G521" s="226"/>
      <c r="H521" s="126"/>
      <c r="I521" s="126"/>
      <c r="J521" s="2"/>
      <c r="K521" s="18"/>
      <c r="L521" s="18"/>
      <c r="M521" s="18"/>
      <c r="N521" s="18"/>
      <c r="O521" s="126"/>
      <c r="P521" s="126"/>
      <c r="Q521" s="126">
        <f>Apr!CS302</f>
        <v>1</v>
      </c>
      <c r="R521" s="436"/>
      <c r="S521" s="436"/>
      <c r="T521" s="18"/>
      <c r="U521" s="18"/>
      <c r="V521" s="127"/>
      <c r="W521" s="45"/>
      <c r="X521" s="67"/>
    </row>
    <row r="522" spans="1:24" ht="15" customHeight="1">
      <c r="A522" s="427"/>
      <c r="B522" s="122" t="s">
        <v>122</v>
      </c>
      <c r="C522" s="180" t="s">
        <v>123</v>
      </c>
      <c r="D522" s="48" t="s">
        <v>56</v>
      </c>
      <c r="E522" s="441"/>
      <c r="F522" s="155" t="s">
        <v>64</v>
      </c>
      <c r="G522" s="119"/>
      <c r="H522" s="126"/>
      <c r="I522" s="126"/>
      <c r="J522" s="2"/>
      <c r="K522" s="18"/>
      <c r="L522" s="18"/>
      <c r="M522" s="18">
        <v>6400</v>
      </c>
      <c r="N522" s="18">
        <v>2</v>
      </c>
      <c r="O522" s="126"/>
      <c r="P522" s="126"/>
      <c r="Q522" s="126">
        <f>Apr!CS287</f>
        <v>1</v>
      </c>
      <c r="R522" s="436"/>
      <c r="S522" s="436"/>
      <c r="T522" s="18"/>
      <c r="U522" s="18"/>
      <c r="V522" s="127">
        <f t="shared" ref="V522:V527" si="23">O522-T522-U522+V493</f>
        <v>31304</v>
      </c>
      <c r="W522" s="45"/>
      <c r="X522" s="67"/>
    </row>
    <row r="523" spans="1:24" ht="14.25" customHeight="1">
      <c r="A523" s="427"/>
      <c r="B523" s="137" t="s">
        <v>58</v>
      </c>
      <c r="C523" s="157" t="s">
        <v>243</v>
      </c>
      <c r="D523" s="48" t="s">
        <v>56</v>
      </c>
      <c r="E523" s="441"/>
      <c r="F523" s="118" t="s">
        <v>64</v>
      </c>
      <c r="G523" s="225"/>
      <c r="H523" s="126"/>
      <c r="I523" s="126"/>
      <c r="J523" s="126"/>
      <c r="K523" s="18"/>
      <c r="L523" s="18"/>
      <c r="M523" s="18"/>
      <c r="N523" s="80"/>
      <c r="O523" s="126"/>
      <c r="P523" s="126"/>
      <c r="Q523" s="126">
        <f>Apr!CS288</f>
        <v>1</v>
      </c>
      <c r="R523" s="436"/>
      <c r="S523" s="436"/>
      <c r="T523" s="18"/>
      <c r="U523" s="18"/>
      <c r="V523" s="127">
        <f t="shared" si="23"/>
        <v>8562</v>
      </c>
      <c r="W523" s="45"/>
      <c r="X523" s="67"/>
    </row>
    <row r="524" spans="1:24" ht="14.25" customHeight="1">
      <c r="A524" s="427"/>
      <c r="B524" s="122" t="s">
        <v>61</v>
      </c>
      <c r="C524" s="180" t="s">
        <v>137</v>
      </c>
      <c r="D524" s="48" t="s">
        <v>56</v>
      </c>
      <c r="E524" s="441"/>
      <c r="F524" s="118" t="s">
        <v>67</v>
      </c>
      <c r="G524" s="225"/>
      <c r="H524" s="126"/>
      <c r="I524" s="126"/>
      <c r="J524" s="126"/>
      <c r="K524" s="18"/>
      <c r="L524" s="18"/>
      <c r="M524" s="18"/>
      <c r="N524" s="80"/>
      <c r="O524" s="126"/>
      <c r="P524" s="126"/>
      <c r="Q524" s="126">
        <f>Apr!CS289</f>
        <v>1</v>
      </c>
      <c r="R524" s="436"/>
      <c r="S524" s="436"/>
      <c r="T524" s="18"/>
      <c r="U524" s="18"/>
      <c r="V524" s="127">
        <f t="shared" si="23"/>
        <v>5844</v>
      </c>
      <c r="W524" s="45"/>
      <c r="X524" s="67"/>
    </row>
    <row r="525" spans="1:24" ht="14.25" customHeight="1">
      <c r="A525" s="427"/>
      <c r="B525" s="122" t="s">
        <v>125</v>
      </c>
      <c r="C525" s="180" t="s">
        <v>88</v>
      </c>
      <c r="D525" s="48" t="s">
        <v>124</v>
      </c>
      <c r="E525" s="441"/>
      <c r="F525" s="118" t="s">
        <v>64</v>
      </c>
      <c r="G525" s="225"/>
      <c r="H525" s="126"/>
      <c r="I525" s="126"/>
      <c r="J525" s="126"/>
      <c r="K525" s="18"/>
      <c r="L525" s="18"/>
      <c r="M525" s="18">
        <v>51200</v>
      </c>
      <c r="N525" s="80">
        <v>7</v>
      </c>
      <c r="O525" s="126"/>
      <c r="P525" s="126"/>
      <c r="Q525" s="126"/>
      <c r="R525" s="436"/>
      <c r="S525" s="436"/>
      <c r="T525" s="18"/>
      <c r="U525" s="18"/>
      <c r="V525" s="127">
        <f t="shared" si="23"/>
        <v>23615</v>
      </c>
      <c r="W525" s="45"/>
      <c r="X525" s="67"/>
    </row>
    <row r="526" spans="1:24" ht="14.25" customHeight="1">
      <c r="A526" s="427"/>
      <c r="B526" s="137" t="s">
        <v>47</v>
      </c>
      <c r="C526" s="157" t="s">
        <v>100</v>
      </c>
      <c r="D526" s="48" t="s">
        <v>99</v>
      </c>
      <c r="E526" s="441"/>
      <c r="F526" s="118" t="s">
        <v>71</v>
      </c>
      <c r="G526" s="225"/>
      <c r="H526" s="126"/>
      <c r="I526" s="126"/>
      <c r="J526" s="126"/>
      <c r="K526" s="18"/>
      <c r="L526" s="18"/>
      <c r="M526" s="18">
        <v>22800</v>
      </c>
      <c r="N526" s="80">
        <v>4</v>
      </c>
      <c r="O526" s="126"/>
      <c r="P526" s="126">
        <f>Apr!CU290</f>
        <v>1921</v>
      </c>
      <c r="Q526" s="126">
        <f>Apr!CS290</f>
        <v>7</v>
      </c>
      <c r="R526" s="436"/>
      <c r="S526" s="436"/>
      <c r="T526" s="18"/>
      <c r="U526" s="18"/>
      <c r="V526" s="127">
        <f t="shared" si="23"/>
        <v>15737</v>
      </c>
      <c r="W526" s="45"/>
      <c r="X526" s="67"/>
    </row>
    <row r="527" spans="1:24" ht="15" customHeight="1">
      <c r="A527" s="427"/>
      <c r="B527" s="122" t="s">
        <v>196</v>
      </c>
      <c r="C527" s="180" t="s">
        <v>63</v>
      </c>
      <c r="D527" s="48" t="s">
        <v>135</v>
      </c>
      <c r="E527" s="441"/>
      <c r="F527" s="118" t="s">
        <v>64</v>
      </c>
      <c r="G527" s="226"/>
      <c r="H527" s="126"/>
      <c r="I527" s="126"/>
      <c r="J527" s="2"/>
      <c r="K527" s="18"/>
      <c r="L527" s="18"/>
      <c r="M527" s="18">
        <v>33200</v>
      </c>
      <c r="N527" s="18">
        <v>4</v>
      </c>
      <c r="O527" s="126"/>
      <c r="P527" s="126"/>
      <c r="Q527" s="126"/>
      <c r="R527" s="436"/>
      <c r="S527" s="436"/>
      <c r="T527" s="18">
        <v>345</v>
      </c>
      <c r="U527" s="18"/>
      <c r="V527" s="127">
        <f t="shared" si="23"/>
        <v>14761</v>
      </c>
      <c r="W527" s="45"/>
      <c r="X527" s="67"/>
    </row>
    <row r="528" spans="1:24" ht="15" customHeight="1">
      <c r="A528" s="427"/>
      <c r="B528" s="122" t="s">
        <v>326</v>
      </c>
      <c r="C528" s="180" t="s">
        <v>325</v>
      </c>
      <c r="D528" s="48" t="s">
        <v>328</v>
      </c>
      <c r="E528" s="441"/>
      <c r="F528" s="118" t="s">
        <v>48</v>
      </c>
      <c r="G528" s="170">
        <v>1014.38</v>
      </c>
      <c r="H528" s="126"/>
      <c r="I528" s="126"/>
      <c r="J528" s="2"/>
      <c r="K528" s="18"/>
      <c r="L528" s="18"/>
      <c r="M528" s="18">
        <v>12000</v>
      </c>
      <c r="N528" s="18">
        <v>2</v>
      </c>
      <c r="O528" s="126"/>
      <c r="P528" s="126"/>
      <c r="Q528" s="126"/>
      <c r="R528" s="436"/>
      <c r="S528" s="436"/>
      <c r="T528" s="18"/>
      <c r="U528" s="18"/>
      <c r="V528" s="127"/>
      <c r="W528" s="45"/>
      <c r="X528" s="67"/>
    </row>
    <row r="529" spans="1:25" ht="15" customHeight="1">
      <c r="A529" s="427"/>
      <c r="B529" s="122" t="s">
        <v>253</v>
      </c>
      <c r="C529" s="180" t="s">
        <v>252</v>
      </c>
      <c r="D529" s="48" t="s">
        <v>246</v>
      </c>
      <c r="E529" s="441"/>
      <c r="F529" s="118" t="s">
        <v>247</v>
      </c>
      <c r="G529" s="226"/>
      <c r="H529" s="126">
        <v>96</v>
      </c>
      <c r="I529" s="126"/>
      <c r="J529" s="2"/>
      <c r="K529" s="18"/>
      <c r="L529" s="18"/>
      <c r="M529" s="18">
        <v>15500</v>
      </c>
      <c r="N529" s="18">
        <v>2</v>
      </c>
      <c r="O529" s="126"/>
      <c r="P529" s="126">
        <f>Apr!CU291</f>
        <v>701</v>
      </c>
      <c r="Q529" s="126">
        <f>Apr!CS291</f>
        <v>3</v>
      </c>
      <c r="R529" s="436"/>
      <c r="S529" s="436"/>
      <c r="T529" s="18"/>
      <c r="U529" s="18"/>
      <c r="V529" s="127">
        <f>O529-T529-U529+V499</f>
        <v>0</v>
      </c>
      <c r="W529" s="45"/>
      <c r="X529" s="67"/>
    </row>
    <row r="530" spans="1:25" ht="15" customHeight="1">
      <c r="A530" s="427"/>
      <c r="B530" s="442" t="s">
        <v>289</v>
      </c>
      <c r="C530" s="444" t="s">
        <v>290</v>
      </c>
      <c r="D530" s="48" t="s">
        <v>291</v>
      </c>
      <c r="E530" s="441"/>
      <c r="F530" s="118" t="s">
        <v>292</v>
      </c>
      <c r="G530" s="119"/>
      <c r="H530" s="126"/>
      <c r="I530" s="126"/>
      <c r="J530" s="2"/>
      <c r="K530" s="18"/>
      <c r="L530" s="18"/>
      <c r="M530" s="18"/>
      <c r="N530" s="18"/>
      <c r="O530" s="126"/>
      <c r="P530" s="126">
        <f>Apr!CU292</f>
        <v>300</v>
      </c>
      <c r="Q530" s="126">
        <f>Apr!CS292</f>
        <v>1</v>
      </c>
      <c r="R530" s="436"/>
      <c r="S530" s="436"/>
      <c r="T530" s="18">
        <v>500</v>
      </c>
      <c r="U530" s="18"/>
      <c r="V530" s="18"/>
      <c r="W530" s="45"/>
      <c r="X530" s="67"/>
    </row>
    <row r="531" spans="1:25" ht="15" customHeight="1">
      <c r="A531" s="427"/>
      <c r="B531" s="443"/>
      <c r="C531" s="446"/>
      <c r="D531" s="48" t="s">
        <v>329</v>
      </c>
      <c r="E531" s="441"/>
      <c r="F531" s="118"/>
      <c r="G531" s="119"/>
      <c r="H531" s="37">
        <v>61.2</v>
      </c>
      <c r="I531" s="126"/>
      <c r="J531" s="2"/>
      <c r="K531" s="18"/>
      <c r="L531" s="18"/>
      <c r="M531" s="18"/>
      <c r="N531" s="18"/>
      <c r="O531" s="126"/>
      <c r="P531" s="126"/>
      <c r="Q531" s="126"/>
      <c r="R531" s="436"/>
      <c r="S531" s="436"/>
      <c r="T531" s="18"/>
      <c r="U531" s="18"/>
      <c r="V531" s="18"/>
      <c r="W531" s="45"/>
      <c r="X531" s="67"/>
    </row>
    <row r="532" spans="1:25" ht="15" customHeight="1">
      <c r="A532" s="427"/>
      <c r="B532" s="122" t="s">
        <v>315</v>
      </c>
      <c r="C532" s="180" t="s">
        <v>252</v>
      </c>
      <c r="D532" s="48" t="s">
        <v>246</v>
      </c>
      <c r="E532" s="441"/>
      <c r="F532" s="118" t="s">
        <v>64</v>
      </c>
      <c r="G532" s="119"/>
      <c r="H532" s="126">
        <v>64</v>
      </c>
      <c r="I532" s="126"/>
      <c r="J532" s="2"/>
      <c r="K532" s="18"/>
      <c r="L532" s="18"/>
      <c r="M532" s="18"/>
      <c r="N532" s="18"/>
      <c r="O532" s="126"/>
      <c r="P532" s="126"/>
      <c r="Q532" s="126"/>
      <c r="R532" s="436"/>
      <c r="S532" s="436"/>
      <c r="T532" s="18">
        <v>283</v>
      </c>
      <c r="U532" s="18">
        <v>157</v>
      </c>
      <c r="V532" s="18">
        <f>O532-T532-U532+V501</f>
        <v>0</v>
      </c>
      <c r="W532" s="45"/>
      <c r="X532" s="67"/>
    </row>
    <row r="533" spans="1:25" ht="15" customHeight="1">
      <c r="A533" s="427"/>
      <c r="B533" s="122" t="s">
        <v>101</v>
      </c>
      <c r="C533" s="180" t="s">
        <v>327</v>
      </c>
      <c r="D533" s="48" t="s">
        <v>102</v>
      </c>
      <c r="E533" s="441"/>
      <c r="F533" s="118" t="s">
        <v>64</v>
      </c>
      <c r="G533" s="170">
        <v>1785.58</v>
      </c>
      <c r="H533" s="126"/>
      <c r="I533" s="126"/>
      <c r="J533" s="2"/>
      <c r="K533" s="18"/>
      <c r="L533" s="18"/>
      <c r="M533" s="18">
        <v>27000</v>
      </c>
      <c r="N533" s="18">
        <v>4</v>
      </c>
      <c r="O533" s="126"/>
      <c r="P533" s="126"/>
      <c r="Q533" s="126">
        <f>Apr!CS297</f>
        <v>1</v>
      </c>
      <c r="R533" s="436"/>
      <c r="S533" s="436"/>
      <c r="T533" s="18"/>
      <c r="U533" s="18"/>
      <c r="V533" s="18"/>
      <c r="W533" s="45"/>
      <c r="X533" s="67"/>
    </row>
    <row r="534" spans="1:25" ht="15" customHeight="1">
      <c r="A534" s="427"/>
      <c r="B534" s="122" t="s">
        <v>103</v>
      </c>
      <c r="C534" s="157" t="s">
        <v>197</v>
      </c>
      <c r="D534" s="48" t="s">
        <v>104</v>
      </c>
      <c r="E534" s="441"/>
      <c r="F534" s="118" t="s">
        <v>105</v>
      </c>
      <c r="G534" s="119"/>
      <c r="H534" s="126"/>
      <c r="I534" s="126"/>
      <c r="J534" s="2"/>
      <c r="K534" s="18"/>
      <c r="L534" s="18"/>
      <c r="M534" s="18"/>
      <c r="N534" s="18"/>
      <c r="O534" s="126"/>
      <c r="P534" s="126"/>
      <c r="Q534" s="126">
        <f>Apr!CS298</f>
        <v>1</v>
      </c>
      <c r="R534" s="436"/>
      <c r="S534" s="436"/>
      <c r="T534" s="18"/>
      <c r="U534" s="18"/>
      <c r="V534" s="18"/>
      <c r="W534" s="45"/>
      <c r="X534" s="67"/>
    </row>
    <row r="535" spans="1:25" ht="15" customHeight="1">
      <c r="A535" s="427"/>
      <c r="B535" s="137" t="s">
        <v>112</v>
      </c>
      <c r="C535" s="157" t="s">
        <v>197</v>
      </c>
      <c r="D535" s="48" t="s">
        <v>104</v>
      </c>
      <c r="E535" s="441"/>
      <c r="F535" s="118" t="s">
        <v>113</v>
      </c>
      <c r="G535" s="119"/>
      <c r="H535" s="126"/>
      <c r="I535" s="126"/>
      <c r="J535" s="2"/>
      <c r="K535" s="18"/>
      <c r="L535" s="18"/>
      <c r="M535" s="18"/>
      <c r="N535" s="18"/>
      <c r="O535" s="126"/>
      <c r="P535" s="126"/>
      <c r="Q535" s="126">
        <f>Apr!CS301</f>
        <v>1</v>
      </c>
      <c r="R535" s="436"/>
      <c r="S535" s="436"/>
      <c r="T535" s="18"/>
      <c r="U535" s="18"/>
      <c r="V535" s="18"/>
      <c r="W535" s="45"/>
      <c r="X535" s="67"/>
    </row>
    <row r="536" spans="1:25" ht="15" customHeight="1">
      <c r="A536" s="427"/>
      <c r="B536" s="137" t="s">
        <v>106</v>
      </c>
      <c r="C536" s="157" t="s">
        <v>141</v>
      </c>
      <c r="D536" s="48" t="s">
        <v>68</v>
      </c>
      <c r="E536" s="441"/>
      <c r="F536" s="118" t="s">
        <v>67</v>
      </c>
      <c r="G536" s="119"/>
      <c r="H536" s="126"/>
      <c r="I536" s="126"/>
      <c r="J536" s="2"/>
      <c r="K536" s="18"/>
      <c r="L536" s="18"/>
      <c r="M536" s="18"/>
      <c r="N536" s="18"/>
      <c r="O536" s="126"/>
      <c r="P536" s="126"/>
      <c r="Q536" s="126"/>
      <c r="R536" s="436"/>
      <c r="S536" s="436"/>
      <c r="T536" s="18"/>
      <c r="U536" s="18"/>
      <c r="V536" s="18"/>
      <c r="W536" s="45"/>
      <c r="X536" s="67"/>
    </row>
    <row r="537" spans="1:25" ht="15" customHeight="1" thickBot="1">
      <c r="A537" s="428"/>
      <c r="B537" s="44" t="s">
        <v>107</v>
      </c>
      <c r="C537" s="181" t="s">
        <v>195</v>
      </c>
      <c r="D537" s="61" t="s">
        <v>108</v>
      </c>
      <c r="E537" s="447"/>
      <c r="F537" s="133" t="s">
        <v>48</v>
      </c>
      <c r="G537" s="132"/>
      <c r="H537" s="291"/>
      <c r="I537" s="134"/>
      <c r="J537" s="129"/>
      <c r="K537" s="130"/>
      <c r="L537" s="130"/>
      <c r="M537" s="130"/>
      <c r="N537" s="130"/>
      <c r="O537" s="134"/>
      <c r="P537" s="134"/>
      <c r="Q537" s="134">
        <f>Apr!CS300</f>
        <v>1</v>
      </c>
      <c r="R537" s="437"/>
      <c r="S537" s="437"/>
      <c r="T537" s="130"/>
      <c r="U537" s="130"/>
      <c r="V537" s="128"/>
      <c r="W537" s="85"/>
      <c r="X537" s="67"/>
    </row>
    <row r="538" spans="1:25" ht="15" customHeight="1">
      <c r="A538" s="426">
        <v>46137</v>
      </c>
      <c r="B538" s="429" t="s">
        <v>44</v>
      </c>
      <c r="C538" s="432" t="s">
        <v>240</v>
      </c>
      <c r="D538" s="19" t="s">
        <v>37</v>
      </c>
      <c r="E538" s="19" t="s">
        <v>25</v>
      </c>
      <c r="F538" s="39" t="s">
        <v>40</v>
      </c>
      <c r="G538" s="41"/>
      <c r="H538" s="32">
        <v>1712</v>
      </c>
      <c r="I538" s="32"/>
      <c r="J538" s="32"/>
      <c r="K538" s="20">
        <v>72000</v>
      </c>
      <c r="L538" s="20">
        <v>9</v>
      </c>
      <c r="M538" s="20">
        <v>120000</v>
      </c>
      <c r="N538" s="84">
        <v>15</v>
      </c>
      <c r="O538" s="32">
        <f>Apr!CW276</f>
        <v>10214</v>
      </c>
      <c r="P538" s="32">
        <f>Apr!CX276</f>
        <v>9710</v>
      </c>
      <c r="Q538" s="32">
        <f>Apr!CV276</f>
        <v>50</v>
      </c>
      <c r="R538" s="435">
        <f>Apr!CW303</f>
        <v>37795</v>
      </c>
      <c r="S538" s="435">
        <f>Apr!CX303</f>
        <v>40073</v>
      </c>
      <c r="T538" s="20"/>
      <c r="U538" s="20"/>
      <c r="V538" s="20">
        <f t="shared" ref="V538:V543" si="24">O538-T538-U538+V507</f>
        <v>178802</v>
      </c>
      <c r="W538" s="77"/>
      <c r="X538" s="36"/>
    </row>
    <row r="539" spans="1:25" ht="15" customHeight="1">
      <c r="A539" s="427"/>
      <c r="B539" s="430"/>
      <c r="C539" s="433"/>
      <c r="D539" s="113" t="s">
        <v>128</v>
      </c>
      <c r="E539" s="438" t="s">
        <v>24</v>
      </c>
      <c r="F539" s="118" t="s">
        <v>40</v>
      </c>
      <c r="G539" s="38"/>
      <c r="H539" s="126"/>
      <c r="I539" s="125"/>
      <c r="J539" s="125"/>
      <c r="K539" s="18"/>
      <c r="L539" s="127"/>
      <c r="M539" s="216"/>
      <c r="N539" s="238"/>
      <c r="O539" s="126">
        <f>Apr!CW277</f>
        <v>13266</v>
      </c>
      <c r="P539" s="125">
        <f>Apr!CX277</f>
        <v>9562</v>
      </c>
      <c r="Q539" s="125">
        <f>Apr!CV277</f>
        <v>46</v>
      </c>
      <c r="R539" s="436"/>
      <c r="S539" s="436"/>
      <c r="T539" s="127">
        <v>18666</v>
      </c>
      <c r="U539" s="127">
        <v>7</v>
      </c>
      <c r="V539" s="127">
        <f t="shared" si="24"/>
        <v>11664</v>
      </c>
      <c r="W539" s="46"/>
      <c r="X539" s="67"/>
    </row>
    <row r="540" spans="1:25" ht="15" customHeight="1">
      <c r="A540" s="427"/>
      <c r="B540" s="431"/>
      <c r="C540" s="434"/>
      <c r="D540" s="113" t="s">
        <v>307</v>
      </c>
      <c r="E540" s="431"/>
      <c r="F540" s="118" t="s">
        <v>40</v>
      </c>
      <c r="G540" s="135">
        <v>5498.1</v>
      </c>
      <c r="H540" s="158">
        <v>2430</v>
      </c>
      <c r="I540" s="125"/>
      <c r="J540" s="125"/>
      <c r="K540" s="127">
        <v>32000</v>
      </c>
      <c r="L540" s="127">
        <v>4</v>
      </c>
      <c r="M540" s="216">
        <v>96000</v>
      </c>
      <c r="N540" s="238">
        <v>12</v>
      </c>
      <c r="O540" s="126">
        <f>Apr!CW278</f>
        <v>3399</v>
      </c>
      <c r="P540" s="125">
        <f>Apr!CX278</f>
        <v>10229</v>
      </c>
      <c r="Q540" s="125">
        <f>Apr!CV278</f>
        <v>50</v>
      </c>
      <c r="R540" s="436"/>
      <c r="S540" s="436"/>
      <c r="T540" s="127"/>
      <c r="U540" s="127"/>
      <c r="V540" s="127">
        <f t="shared" si="24"/>
        <v>12909</v>
      </c>
      <c r="W540" s="46"/>
      <c r="X540" s="67"/>
    </row>
    <row r="541" spans="1:25" ht="15" customHeight="1">
      <c r="A541" s="427"/>
      <c r="B541" s="442" t="s">
        <v>45</v>
      </c>
      <c r="C541" s="471" t="s">
        <v>59</v>
      </c>
      <c r="D541" s="118" t="s">
        <v>75</v>
      </c>
      <c r="E541" s="438" t="s">
        <v>25</v>
      </c>
      <c r="F541" s="131" t="s">
        <v>57</v>
      </c>
      <c r="G541" s="87"/>
      <c r="H541" s="152"/>
      <c r="I541" s="126"/>
      <c r="J541" s="2"/>
      <c r="K541" s="127"/>
      <c r="L541" s="18"/>
      <c r="M541" s="18"/>
      <c r="N541" s="80"/>
      <c r="O541" s="126"/>
      <c r="P541" s="126">
        <f>Apr!CX282</f>
        <v>261</v>
      </c>
      <c r="Q541" s="2">
        <f>Apr!CV282</f>
        <v>2</v>
      </c>
      <c r="R541" s="436"/>
      <c r="S541" s="436"/>
      <c r="T541" s="18">
        <v>11713</v>
      </c>
      <c r="U541" s="18"/>
      <c r="V541" s="127">
        <f t="shared" si="24"/>
        <v>40106</v>
      </c>
      <c r="W541" s="46"/>
      <c r="Y541" s="13"/>
    </row>
    <row r="542" spans="1:25" ht="15" customHeight="1">
      <c r="A542" s="427"/>
      <c r="B542" s="439"/>
      <c r="C542" s="471"/>
      <c r="D542" s="118" t="s">
        <v>291</v>
      </c>
      <c r="E542" s="430"/>
      <c r="F542" s="131" t="s">
        <v>57</v>
      </c>
      <c r="G542" s="87"/>
      <c r="H542" s="152"/>
      <c r="I542" s="126"/>
      <c r="J542" s="2"/>
      <c r="K542" s="127">
        <v>4900</v>
      </c>
      <c r="L542" s="18">
        <v>1</v>
      </c>
      <c r="M542" s="18">
        <v>14700</v>
      </c>
      <c r="N542" s="80">
        <v>3</v>
      </c>
      <c r="O542" s="126"/>
      <c r="P542" s="126">
        <f>Apr!CX283</f>
        <v>1950</v>
      </c>
      <c r="Q542" s="2">
        <f>Apr!CV283</f>
        <v>15</v>
      </c>
      <c r="R542" s="436"/>
      <c r="S542" s="436"/>
      <c r="T542" s="18"/>
      <c r="U542" s="18"/>
      <c r="V542" s="127">
        <f t="shared" si="24"/>
        <v>20011</v>
      </c>
      <c r="W542" s="46"/>
      <c r="Y542" s="13"/>
    </row>
    <row r="543" spans="1:25">
      <c r="A543" s="427"/>
      <c r="B543" s="439"/>
      <c r="C543" s="471"/>
      <c r="D543" s="118" t="s">
        <v>72</v>
      </c>
      <c r="E543" s="424" t="s">
        <v>24</v>
      </c>
      <c r="F543" s="131" t="s">
        <v>57</v>
      </c>
      <c r="G543" s="224"/>
      <c r="H543" s="152"/>
      <c r="I543" s="126"/>
      <c r="J543" s="126"/>
      <c r="K543" s="127">
        <v>5000</v>
      </c>
      <c r="L543" s="18">
        <v>1</v>
      </c>
      <c r="M543" s="18">
        <v>50000</v>
      </c>
      <c r="N543" s="80">
        <v>10</v>
      </c>
      <c r="O543" s="126">
        <f>Apr!CW284</f>
        <v>3300</v>
      </c>
      <c r="P543" s="126">
        <f>Apr!CX284</f>
        <v>2922</v>
      </c>
      <c r="Q543" s="126">
        <f>Apr!CV284</f>
        <v>24</v>
      </c>
      <c r="R543" s="436"/>
      <c r="S543" s="436"/>
      <c r="T543" s="18"/>
      <c r="U543" s="18"/>
      <c r="V543" s="127">
        <f t="shared" si="24"/>
        <v>6257</v>
      </c>
      <c r="W543" s="46"/>
      <c r="Y543" s="13"/>
    </row>
    <row r="544" spans="1:25">
      <c r="A544" s="427"/>
      <c r="B544" s="439"/>
      <c r="C544" s="471"/>
      <c r="D544" s="115" t="s">
        <v>73</v>
      </c>
      <c r="E544" s="425"/>
      <c r="F544" s="131"/>
      <c r="G544" s="224"/>
      <c r="H544" s="152">
        <v>1320</v>
      </c>
      <c r="I544" s="126"/>
      <c r="J544" s="126"/>
      <c r="K544" s="127"/>
      <c r="L544" s="18"/>
      <c r="M544" s="18"/>
      <c r="N544" s="80"/>
      <c r="O544" s="126"/>
      <c r="P544" s="126"/>
      <c r="Q544" s="126"/>
      <c r="R544" s="436"/>
      <c r="S544" s="436"/>
      <c r="T544" s="18"/>
      <c r="U544" s="18"/>
      <c r="V544" s="127"/>
      <c r="W544" s="46"/>
      <c r="Y544" s="13"/>
    </row>
    <row r="545" spans="1:24" ht="14.25" customHeight="1">
      <c r="A545" s="427"/>
      <c r="B545" s="439"/>
      <c r="C545" s="471"/>
      <c r="D545" s="115" t="s">
        <v>79</v>
      </c>
      <c r="E545" s="118" t="s">
        <v>65</v>
      </c>
      <c r="F545" s="131" t="s">
        <v>57</v>
      </c>
      <c r="G545" s="224"/>
      <c r="H545" s="126"/>
      <c r="I545" s="126"/>
      <c r="J545" s="126"/>
      <c r="K545" s="18"/>
      <c r="L545" s="18"/>
      <c r="M545" s="18"/>
      <c r="N545" s="80"/>
      <c r="O545" s="126"/>
      <c r="P545" s="126"/>
      <c r="Q545" s="126">
        <f>Apr!CV285</f>
        <v>1</v>
      </c>
      <c r="R545" s="436"/>
      <c r="S545" s="436"/>
      <c r="T545" s="18"/>
      <c r="U545" s="18"/>
      <c r="V545" s="127"/>
      <c r="W545" s="45"/>
      <c r="X545" s="36"/>
    </row>
    <row r="546" spans="1:24" ht="14.25" customHeight="1">
      <c r="A546" s="427"/>
      <c r="B546" s="443"/>
      <c r="C546" s="271" t="s">
        <v>299</v>
      </c>
      <c r="D546" s="115" t="s">
        <v>296</v>
      </c>
      <c r="E546" s="115" t="s">
        <v>25</v>
      </c>
      <c r="F546" s="131" t="s">
        <v>298</v>
      </c>
      <c r="G546" s="224"/>
      <c r="H546" s="37"/>
      <c r="I546" s="126"/>
      <c r="J546" s="126"/>
      <c r="K546" s="18"/>
      <c r="L546" s="18"/>
      <c r="M546" s="18"/>
      <c r="N546" s="80"/>
      <c r="O546" s="126"/>
      <c r="P546" s="126"/>
      <c r="Q546" s="126">
        <f>Apr!CV286</f>
        <v>1</v>
      </c>
      <c r="R546" s="436"/>
      <c r="S546" s="436"/>
      <c r="T546" s="18"/>
      <c r="U546" s="18"/>
      <c r="V546" s="127"/>
      <c r="W546" s="45"/>
      <c r="X546" s="67"/>
    </row>
    <row r="547" spans="1:24" ht="14.25" customHeight="1">
      <c r="A547" s="427"/>
      <c r="B547" s="442" t="s">
        <v>53</v>
      </c>
      <c r="C547" s="444" t="s">
        <v>60</v>
      </c>
      <c r="D547" s="43" t="s">
        <v>130</v>
      </c>
      <c r="E547" s="424" t="s">
        <v>66</v>
      </c>
      <c r="F547" s="118" t="s">
        <v>54</v>
      </c>
      <c r="G547" s="224"/>
      <c r="H547" s="37"/>
      <c r="I547" s="126"/>
      <c r="J547" s="126"/>
      <c r="K547" s="18">
        <v>6000</v>
      </c>
      <c r="L547" s="18">
        <v>1</v>
      </c>
      <c r="M547" s="18">
        <v>30000</v>
      </c>
      <c r="N547" s="80">
        <v>5</v>
      </c>
      <c r="O547" s="126">
        <f>Apr!CW279</f>
        <v>4616</v>
      </c>
      <c r="P547" s="126">
        <f>Apr!CX279</f>
        <v>3517</v>
      </c>
      <c r="Q547" s="126">
        <f>Apr!CV279</f>
        <v>19</v>
      </c>
      <c r="R547" s="436"/>
      <c r="S547" s="436"/>
      <c r="T547" s="18"/>
      <c r="U547" s="18"/>
      <c r="V547" s="127">
        <f>O547-T547-U547+V515</f>
        <v>13250</v>
      </c>
      <c r="W547" s="45"/>
      <c r="X547" s="67"/>
    </row>
    <row r="548" spans="1:24" ht="14.25" customHeight="1">
      <c r="A548" s="427"/>
      <c r="B548" s="439"/>
      <c r="C548" s="445"/>
      <c r="D548" s="43" t="s">
        <v>320</v>
      </c>
      <c r="E548" s="425"/>
      <c r="F548" s="118" t="s">
        <v>54</v>
      </c>
      <c r="G548" s="224"/>
      <c r="H548" s="37"/>
      <c r="I548" s="126"/>
      <c r="J548" s="126"/>
      <c r="K548" s="18"/>
      <c r="L548" s="18"/>
      <c r="M548" s="18">
        <v>66000</v>
      </c>
      <c r="N548" s="80">
        <v>11</v>
      </c>
      <c r="O548" s="126"/>
      <c r="P548" s="126">
        <f>Apr!CX280</f>
        <v>180</v>
      </c>
      <c r="Q548" s="126">
        <f>Apr!CV280</f>
        <v>1</v>
      </c>
      <c r="R548" s="436"/>
      <c r="S548" s="436"/>
      <c r="T548" s="18"/>
      <c r="U548" s="18"/>
      <c r="V548" s="127">
        <f>O548-T548-U548+V516</f>
        <v>0</v>
      </c>
      <c r="W548" s="45"/>
      <c r="X548" s="67"/>
    </row>
    <row r="549" spans="1:24" ht="14.25" customHeight="1">
      <c r="A549" s="427"/>
      <c r="B549" s="443"/>
      <c r="C549" s="446"/>
      <c r="D549" s="43" t="s">
        <v>199</v>
      </c>
      <c r="E549" s="114" t="s">
        <v>25</v>
      </c>
      <c r="F549" s="118" t="s">
        <v>54</v>
      </c>
      <c r="G549" s="224"/>
      <c r="H549" s="135"/>
      <c r="I549" s="158"/>
      <c r="J549" s="158"/>
      <c r="K549" s="128"/>
      <c r="L549" s="128"/>
      <c r="M549" s="128"/>
      <c r="N549" s="164"/>
      <c r="O549" s="158"/>
      <c r="P549" s="158"/>
      <c r="Q549" s="158">
        <f>Apr!CV281</f>
        <v>1</v>
      </c>
      <c r="R549" s="436"/>
      <c r="S549" s="436"/>
      <c r="T549" s="18"/>
      <c r="U549" s="18"/>
      <c r="V549" s="127"/>
      <c r="W549" s="45"/>
      <c r="X549" s="67"/>
    </row>
    <row r="550" spans="1:24" ht="15.75" customHeight="1">
      <c r="A550" s="427"/>
      <c r="B550" s="122" t="s">
        <v>55</v>
      </c>
      <c r="C550" s="180" t="s">
        <v>133</v>
      </c>
      <c r="D550" s="48" t="s">
        <v>56</v>
      </c>
      <c r="E550" s="424" t="s">
        <v>25</v>
      </c>
      <c r="F550" s="118" t="s">
        <v>67</v>
      </c>
      <c r="G550" s="226"/>
      <c r="H550" s="126"/>
      <c r="I550" s="126"/>
      <c r="J550" s="2"/>
      <c r="K550" s="18"/>
      <c r="L550" s="18"/>
      <c r="M550" s="18">
        <v>2800</v>
      </c>
      <c r="N550" s="18">
        <v>1</v>
      </c>
      <c r="O550" s="126"/>
      <c r="P550" s="126"/>
      <c r="Q550" s="126"/>
      <c r="R550" s="436"/>
      <c r="S550" s="436"/>
      <c r="T550" s="18"/>
      <c r="U550" s="18"/>
      <c r="V550" s="127">
        <f>O550-T550-U550+V520</f>
        <v>500</v>
      </c>
      <c r="W550" s="45"/>
      <c r="X550" s="67"/>
    </row>
    <row r="551" spans="1:24" ht="15.75" customHeight="1">
      <c r="A551" s="427"/>
      <c r="B551" s="122" t="s">
        <v>55</v>
      </c>
      <c r="C551" s="180" t="s">
        <v>316</v>
      </c>
      <c r="D551" s="48" t="s">
        <v>317</v>
      </c>
      <c r="E551" s="441"/>
      <c r="F551" s="155" t="s">
        <v>67</v>
      </c>
      <c r="G551" s="226"/>
      <c r="H551" s="126"/>
      <c r="I551" s="126"/>
      <c r="J551" s="2"/>
      <c r="K551" s="18"/>
      <c r="L551" s="18"/>
      <c r="M551" s="18"/>
      <c r="N551" s="18"/>
      <c r="O551" s="126"/>
      <c r="P551" s="126"/>
      <c r="Q551" s="126">
        <f>Apr!CV302</f>
        <v>1</v>
      </c>
      <c r="R551" s="436"/>
      <c r="S551" s="436"/>
      <c r="T551" s="18"/>
      <c r="U551" s="18"/>
      <c r="V551" s="127"/>
      <c r="W551" s="45"/>
      <c r="X551" s="67"/>
    </row>
    <row r="552" spans="1:24" ht="15" customHeight="1">
      <c r="A552" s="427"/>
      <c r="B552" s="122" t="s">
        <v>122</v>
      </c>
      <c r="C552" s="180" t="s">
        <v>123</v>
      </c>
      <c r="D552" s="48" t="s">
        <v>56</v>
      </c>
      <c r="E552" s="441"/>
      <c r="F552" s="155" t="s">
        <v>64</v>
      </c>
      <c r="G552" s="119"/>
      <c r="H552" s="126"/>
      <c r="I552" s="126"/>
      <c r="J552" s="2"/>
      <c r="K552" s="18"/>
      <c r="L552" s="18"/>
      <c r="M552" s="18">
        <v>6400</v>
      </c>
      <c r="N552" s="18">
        <v>2</v>
      </c>
      <c r="O552" s="126"/>
      <c r="P552" s="126"/>
      <c r="Q552" s="126">
        <f>Apr!CV287</f>
        <v>1</v>
      </c>
      <c r="R552" s="436"/>
      <c r="S552" s="436"/>
      <c r="T552" s="18"/>
      <c r="U552" s="18"/>
      <c r="V552" s="127">
        <f t="shared" ref="V552:V557" si="25">O552-T552-U552+V522</f>
        <v>31304</v>
      </c>
      <c r="W552" s="45"/>
      <c r="X552" s="67"/>
    </row>
    <row r="553" spans="1:24" ht="14.25" customHeight="1">
      <c r="A553" s="427"/>
      <c r="B553" s="137" t="s">
        <v>58</v>
      </c>
      <c r="C553" s="157" t="s">
        <v>243</v>
      </c>
      <c r="D553" s="48" t="s">
        <v>56</v>
      </c>
      <c r="E553" s="441"/>
      <c r="F553" s="118" t="s">
        <v>64</v>
      </c>
      <c r="G553" s="225"/>
      <c r="H553" s="126"/>
      <c r="I553" s="126"/>
      <c r="J553" s="126"/>
      <c r="K553" s="18"/>
      <c r="L553" s="18"/>
      <c r="M553" s="18"/>
      <c r="N553" s="80"/>
      <c r="O553" s="126"/>
      <c r="P553" s="126"/>
      <c r="Q553" s="126">
        <f>Apr!CV288</f>
        <v>1</v>
      </c>
      <c r="R553" s="436"/>
      <c r="S553" s="436"/>
      <c r="T553" s="18"/>
      <c r="U553" s="18"/>
      <c r="V553" s="127">
        <f t="shared" si="25"/>
        <v>8562</v>
      </c>
      <c r="W553" s="45"/>
      <c r="X553" s="67"/>
    </row>
    <row r="554" spans="1:24" ht="14.25" customHeight="1">
      <c r="A554" s="427"/>
      <c r="B554" s="122" t="s">
        <v>61</v>
      </c>
      <c r="C554" s="180" t="s">
        <v>137</v>
      </c>
      <c r="D554" s="48" t="s">
        <v>56</v>
      </c>
      <c r="E554" s="441"/>
      <c r="F554" s="118" t="s">
        <v>67</v>
      </c>
      <c r="G554" s="225"/>
      <c r="H554" s="126"/>
      <c r="I554" s="126"/>
      <c r="J554" s="126"/>
      <c r="K554" s="18"/>
      <c r="L554" s="18"/>
      <c r="M554" s="18"/>
      <c r="N554" s="80"/>
      <c r="O554" s="126"/>
      <c r="P554" s="126"/>
      <c r="Q554" s="126">
        <f>Apr!CV289</f>
        <v>1</v>
      </c>
      <c r="R554" s="436"/>
      <c r="S554" s="436"/>
      <c r="T554" s="18"/>
      <c r="U554" s="18"/>
      <c r="V554" s="127">
        <f t="shared" si="25"/>
        <v>5844</v>
      </c>
      <c r="W554" s="45"/>
      <c r="X554" s="67"/>
    </row>
    <row r="555" spans="1:24" ht="14.25" customHeight="1">
      <c r="A555" s="427"/>
      <c r="B555" s="122" t="s">
        <v>125</v>
      </c>
      <c r="C555" s="180" t="s">
        <v>88</v>
      </c>
      <c r="D555" s="48" t="s">
        <v>124</v>
      </c>
      <c r="E555" s="441"/>
      <c r="F555" s="118" t="s">
        <v>64</v>
      </c>
      <c r="G555" s="225"/>
      <c r="H555" s="126"/>
      <c r="I555" s="126"/>
      <c r="J555" s="126"/>
      <c r="K555" s="18"/>
      <c r="L555" s="18"/>
      <c r="M555" s="18">
        <v>51200</v>
      </c>
      <c r="N555" s="80">
        <v>7</v>
      </c>
      <c r="O555" s="126"/>
      <c r="P555" s="126"/>
      <c r="Q555" s="126"/>
      <c r="R555" s="436"/>
      <c r="S555" s="436"/>
      <c r="T555" s="18"/>
      <c r="U555" s="18"/>
      <c r="V555" s="127">
        <f t="shared" si="25"/>
        <v>23615</v>
      </c>
      <c r="W555" s="45"/>
      <c r="X555" s="67"/>
    </row>
    <row r="556" spans="1:24" ht="14.25" customHeight="1">
      <c r="A556" s="427"/>
      <c r="B556" s="137" t="s">
        <v>47</v>
      </c>
      <c r="C556" s="157" t="s">
        <v>100</v>
      </c>
      <c r="D556" s="48" t="s">
        <v>99</v>
      </c>
      <c r="E556" s="441"/>
      <c r="F556" s="118" t="s">
        <v>71</v>
      </c>
      <c r="G556" s="225"/>
      <c r="H556" s="126"/>
      <c r="I556" s="126"/>
      <c r="J556" s="126"/>
      <c r="K556" s="18"/>
      <c r="L556" s="18"/>
      <c r="M556" s="18">
        <v>22800</v>
      </c>
      <c r="N556" s="80">
        <v>4</v>
      </c>
      <c r="O556" s="126">
        <f>Apr!CW290</f>
        <v>3000</v>
      </c>
      <c r="P556" s="126">
        <f>Apr!CX290</f>
        <v>1013</v>
      </c>
      <c r="Q556" s="126">
        <f>Apr!CV290</f>
        <v>7</v>
      </c>
      <c r="R556" s="436"/>
      <c r="S556" s="436"/>
      <c r="T556" s="18">
        <v>15735</v>
      </c>
      <c r="U556" s="18">
        <v>8</v>
      </c>
      <c r="V556" s="127">
        <f t="shared" si="25"/>
        <v>2994</v>
      </c>
      <c r="W556" s="45"/>
      <c r="X556" s="67"/>
    </row>
    <row r="557" spans="1:24" ht="15" customHeight="1">
      <c r="A557" s="427"/>
      <c r="B557" s="122" t="s">
        <v>196</v>
      </c>
      <c r="C557" s="180" t="s">
        <v>63</v>
      </c>
      <c r="D557" s="48" t="s">
        <v>135</v>
      </c>
      <c r="E557" s="441"/>
      <c r="F557" s="118" t="s">
        <v>64</v>
      </c>
      <c r="G557" s="226"/>
      <c r="H557" s="126"/>
      <c r="I557" s="126"/>
      <c r="J557" s="2"/>
      <c r="K557" s="18"/>
      <c r="L557" s="18"/>
      <c r="M557" s="18">
        <v>33200</v>
      </c>
      <c r="N557" s="18">
        <v>4</v>
      </c>
      <c r="O557" s="126"/>
      <c r="P557" s="126"/>
      <c r="Q557" s="126"/>
      <c r="R557" s="436"/>
      <c r="S557" s="436"/>
      <c r="T557" s="18"/>
      <c r="U557" s="18"/>
      <c r="V557" s="127">
        <f t="shared" si="25"/>
        <v>14761</v>
      </c>
      <c r="W557" s="45"/>
      <c r="X557" s="67"/>
    </row>
    <row r="558" spans="1:24" ht="15" customHeight="1">
      <c r="A558" s="427"/>
      <c r="B558" s="122" t="s">
        <v>326</v>
      </c>
      <c r="C558" s="180" t="s">
        <v>325</v>
      </c>
      <c r="D558" s="48" t="s">
        <v>328</v>
      </c>
      <c r="E558" s="441"/>
      <c r="F558" s="118" t="s">
        <v>48</v>
      </c>
      <c r="G558" s="226"/>
      <c r="H558" s="126"/>
      <c r="I558" s="126"/>
      <c r="J558" s="2"/>
      <c r="K558" s="18"/>
      <c r="L558" s="18"/>
      <c r="M558" s="18">
        <v>12000</v>
      </c>
      <c r="N558" s="18">
        <v>2</v>
      </c>
      <c r="O558" s="126"/>
      <c r="P558" s="126"/>
      <c r="Q558" s="126"/>
      <c r="R558" s="436"/>
      <c r="S558" s="436"/>
      <c r="T558" s="18"/>
      <c r="U558" s="18"/>
      <c r="V558" s="127"/>
      <c r="W558" s="45"/>
      <c r="X558" s="67"/>
    </row>
    <row r="559" spans="1:24" ht="15" customHeight="1">
      <c r="A559" s="427"/>
      <c r="B559" s="122" t="s">
        <v>253</v>
      </c>
      <c r="C559" s="180" t="s">
        <v>252</v>
      </c>
      <c r="D559" s="48" t="s">
        <v>246</v>
      </c>
      <c r="E559" s="441"/>
      <c r="F559" s="118" t="s">
        <v>247</v>
      </c>
      <c r="G559" s="226"/>
      <c r="H559" s="126"/>
      <c r="I559" s="126"/>
      <c r="J559" s="2"/>
      <c r="K559" s="18"/>
      <c r="L559" s="18"/>
      <c r="M559" s="18">
        <v>15500</v>
      </c>
      <c r="N559" s="18">
        <v>2</v>
      </c>
      <c r="O559" s="126"/>
      <c r="P559" s="126">
        <f>Apr!CX291</f>
        <v>373</v>
      </c>
      <c r="Q559" s="126">
        <f>Apr!CV291</f>
        <v>3</v>
      </c>
      <c r="R559" s="436"/>
      <c r="S559" s="436"/>
      <c r="T559" s="18"/>
      <c r="U559" s="18"/>
      <c r="V559" s="127">
        <f>O559-T559-U559+V529</f>
        <v>0</v>
      </c>
      <c r="W559" s="45"/>
      <c r="X559" s="67"/>
    </row>
    <row r="560" spans="1:24" ht="15" customHeight="1">
      <c r="A560" s="427"/>
      <c r="B560" s="122" t="s">
        <v>289</v>
      </c>
      <c r="C560" s="180" t="s">
        <v>290</v>
      </c>
      <c r="D560" s="48" t="s">
        <v>291</v>
      </c>
      <c r="E560" s="441"/>
      <c r="F560" s="118" t="s">
        <v>292</v>
      </c>
      <c r="G560" s="119"/>
      <c r="H560" s="126"/>
      <c r="I560" s="126"/>
      <c r="J560" s="2"/>
      <c r="K560" s="18"/>
      <c r="L560" s="18"/>
      <c r="M560" s="18"/>
      <c r="N560" s="18"/>
      <c r="O560" s="126"/>
      <c r="P560" s="126">
        <f>Apr!CX292</f>
        <v>160</v>
      </c>
      <c r="Q560" s="126">
        <f>Apr!CV292</f>
        <v>1</v>
      </c>
      <c r="R560" s="436"/>
      <c r="S560" s="436"/>
      <c r="T560" s="18"/>
      <c r="U560" s="18"/>
      <c r="V560" s="18"/>
      <c r="W560" s="45"/>
      <c r="X560" s="67"/>
    </row>
    <row r="561" spans="1:24" ht="15" customHeight="1">
      <c r="A561" s="427"/>
      <c r="B561" s="122" t="s">
        <v>131</v>
      </c>
      <c r="C561" s="180" t="s">
        <v>194</v>
      </c>
      <c r="D561" s="48" t="s">
        <v>132</v>
      </c>
      <c r="E561" s="441"/>
      <c r="F561" s="118" t="s">
        <v>64</v>
      </c>
      <c r="G561" s="119"/>
      <c r="H561" s="126"/>
      <c r="I561" s="126"/>
      <c r="J561" s="2"/>
      <c r="K561" s="18"/>
      <c r="L561" s="18"/>
      <c r="M561" s="18"/>
      <c r="N561" s="18"/>
      <c r="O561" s="126"/>
      <c r="P561" s="126"/>
      <c r="Q561" s="126"/>
      <c r="R561" s="436"/>
      <c r="S561" s="436"/>
      <c r="T561" s="18"/>
      <c r="U561" s="18"/>
      <c r="V561" s="18"/>
      <c r="W561" s="45"/>
      <c r="X561" s="67"/>
    </row>
    <row r="562" spans="1:24" ht="15" customHeight="1">
      <c r="A562" s="427"/>
      <c r="B562" s="122" t="s">
        <v>101</v>
      </c>
      <c r="C562" s="180" t="s">
        <v>193</v>
      </c>
      <c r="D562" s="48" t="s">
        <v>102</v>
      </c>
      <c r="E562" s="441"/>
      <c r="F562" s="118" t="s">
        <v>64</v>
      </c>
      <c r="G562" s="119"/>
      <c r="H562" s="37">
        <v>25.5</v>
      </c>
      <c r="I562" s="126"/>
      <c r="J562" s="2"/>
      <c r="K562" s="18"/>
      <c r="L562" s="18"/>
      <c r="M562" s="18">
        <v>27000</v>
      </c>
      <c r="N562" s="18">
        <v>4</v>
      </c>
      <c r="O562" s="126"/>
      <c r="P562" s="126">
        <f>Apr!CX297</f>
        <v>196</v>
      </c>
      <c r="Q562" s="126">
        <f>Apr!CV297</f>
        <v>1</v>
      </c>
      <c r="R562" s="436"/>
      <c r="S562" s="436"/>
      <c r="T562" s="18"/>
      <c r="U562" s="18"/>
      <c r="V562" s="18"/>
      <c r="W562" s="45"/>
      <c r="X562" s="67"/>
    </row>
    <row r="563" spans="1:24" ht="15" customHeight="1">
      <c r="A563" s="427"/>
      <c r="B563" s="122" t="s">
        <v>103</v>
      </c>
      <c r="C563" s="157" t="s">
        <v>197</v>
      </c>
      <c r="D563" s="48" t="s">
        <v>104</v>
      </c>
      <c r="E563" s="441"/>
      <c r="F563" s="118" t="s">
        <v>105</v>
      </c>
      <c r="G563" s="119"/>
      <c r="H563" s="126"/>
      <c r="I563" s="126"/>
      <c r="J563" s="2"/>
      <c r="K563" s="18"/>
      <c r="L563" s="18"/>
      <c r="M563" s="18"/>
      <c r="N563" s="18"/>
      <c r="O563" s="126"/>
      <c r="P563" s="126"/>
      <c r="Q563" s="126">
        <f>Apr!CV298</f>
        <v>1</v>
      </c>
      <c r="R563" s="436"/>
      <c r="S563" s="436"/>
      <c r="T563" s="18"/>
      <c r="U563" s="18"/>
      <c r="V563" s="18"/>
      <c r="W563" s="45"/>
      <c r="X563" s="67"/>
    </row>
    <row r="564" spans="1:24" ht="15" customHeight="1">
      <c r="A564" s="427"/>
      <c r="B564" s="137" t="s">
        <v>112</v>
      </c>
      <c r="C564" s="157" t="s">
        <v>197</v>
      </c>
      <c r="D564" s="48" t="s">
        <v>104</v>
      </c>
      <c r="E564" s="441"/>
      <c r="F564" s="118" t="s">
        <v>113</v>
      </c>
      <c r="G564" s="119"/>
      <c r="H564" s="126"/>
      <c r="I564" s="126"/>
      <c r="J564" s="2"/>
      <c r="K564" s="18"/>
      <c r="L564" s="18"/>
      <c r="M564" s="18"/>
      <c r="N564" s="18"/>
      <c r="O564" s="126"/>
      <c r="P564" s="126"/>
      <c r="Q564" s="126">
        <f>Apr!CV301</f>
        <v>1</v>
      </c>
      <c r="R564" s="436"/>
      <c r="S564" s="436"/>
      <c r="T564" s="18"/>
      <c r="U564" s="18"/>
      <c r="V564" s="18"/>
      <c r="W564" s="45"/>
      <c r="X564" s="67"/>
    </row>
    <row r="565" spans="1:24" ht="15" customHeight="1">
      <c r="A565" s="427"/>
      <c r="B565" s="137" t="s">
        <v>106</v>
      </c>
      <c r="C565" s="157" t="s">
        <v>141</v>
      </c>
      <c r="D565" s="48" t="s">
        <v>68</v>
      </c>
      <c r="E565" s="441"/>
      <c r="F565" s="118" t="s">
        <v>67</v>
      </c>
      <c r="G565" s="119"/>
      <c r="H565" s="126"/>
      <c r="I565" s="126"/>
      <c r="J565" s="2"/>
      <c r="K565" s="18"/>
      <c r="L565" s="18"/>
      <c r="M565" s="18"/>
      <c r="N565" s="18"/>
      <c r="O565" s="126"/>
      <c r="P565" s="126"/>
      <c r="Q565" s="126"/>
      <c r="R565" s="436"/>
      <c r="S565" s="436"/>
      <c r="T565" s="18"/>
      <c r="U565" s="18"/>
      <c r="V565" s="18"/>
      <c r="W565" s="45"/>
      <c r="X565" s="67"/>
    </row>
    <row r="566" spans="1:24" ht="15" customHeight="1" thickBot="1">
      <c r="A566" s="428"/>
      <c r="B566" s="44" t="s">
        <v>107</v>
      </c>
      <c r="C566" s="181" t="s">
        <v>195</v>
      </c>
      <c r="D566" s="61" t="s">
        <v>108</v>
      </c>
      <c r="E566" s="447"/>
      <c r="F566" s="133" t="s">
        <v>48</v>
      </c>
      <c r="G566" s="132"/>
      <c r="H566" s="109">
        <v>94.5</v>
      </c>
      <c r="I566" s="134"/>
      <c r="J566" s="129"/>
      <c r="K566" s="130"/>
      <c r="L566" s="130"/>
      <c r="M566" s="130"/>
      <c r="N566" s="130"/>
      <c r="O566" s="134"/>
      <c r="P566" s="134"/>
      <c r="Q566" s="134">
        <f>Apr!CV300</f>
        <v>1</v>
      </c>
      <c r="R566" s="437"/>
      <c r="S566" s="437"/>
      <c r="T566" s="130"/>
      <c r="U566" s="130"/>
      <c r="V566" s="128"/>
      <c r="W566" s="85"/>
      <c r="X566" s="67"/>
    </row>
    <row r="567" spans="1:24" ht="17.25" customHeight="1">
      <c r="A567" s="450" t="s">
        <v>288</v>
      </c>
      <c r="B567" s="429" t="s">
        <v>44</v>
      </c>
      <c r="C567" s="432" t="s">
        <v>241</v>
      </c>
      <c r="D567" s="19" t="s">
        <v>37</v>
      </c>
      <c r="E567" s="19" t="s">
        <v>25</v>
      </c>
      <c r="F567" s="39" t="s">
        <v>40</v>
      </c>
      <c r="G567" s="47">
        <f>SUMIF($D$4:$D$566,"SC-1020",$G$4:$G$566)</f>
        <v>20892.78</v>
      </c>
      <c r="H567" s="183">
        <f>SUMIF($D$4:$D$566,"SC-1020",$H$4:$H$566)</f>
        <v>43160</v>
      </c>
      <c r="I567" s="481">
        <f>SUM(I4:I566)</f>
        <v>660</v>
      </c>
      <c r="J567" s="481">
        <f>SUM(J4:J566)</f>
        <v>44</v>
      </c>
      <c r="K567" s="30">
        <f>SUMIFS($K$4:$K$566,$D$4:$D$566,"SC-1020",$F$4:$F$566,"65""")</f>
        <v>440000</v>
      </c>
      <c r="L567" s="30">
        <f>SUMIFS($L$4:$L$566,$D$4:$D$566,"SC-1020",$F$4:$F$566,"65""")</f>
        <v>55</v>
      </c>
      <c r="M567" s="30">
        <f>M538</f>
        <v>120000</v>
      </c>
      <c r="N567" s="30">
        <f>N538</f>
        <v>15</v>
      </c>
      <c r="O567" s="30">
        <f>SUMIFS($O$4:$O$566,$D$4:$D$566,"SC-1020",$F$4:$F$566,"65""")</f>
        <v>675303</v>
      </c>
      <c r="P567" s="30">
        <f>SUMIFS($P$4:$P$566,$D$4:$D$566,"SC-1020",$F$4:$F$566,"65""")</f>
        <v>649743</v>
      </c>
      <c r="Q567" s="30"/>
      <c r="R567" s="453">
        <f>SUM(R4:R566)</f>
        <v>1581562</v>
      </c>
      <c r="S567" s="453">
        <f>SUM(S4:S566)</f>
        <v>1594634</v>
      </c>
      <c r="T567" s="208">
        <f>SUMIFS($T$4:$T$566,$D$4:$D$566,"SC-1020",$F$4:$F$566,"65""")</f>
        <v>532144</v>
      </c>
      <c r="U567" s="194">
        <f>SUMIFS($U$4:$U$566,$D$4:$D$566,"SC-1020",$F$4:$F$566,"65""")</f>
        <v>244</v>
      </c>
      <c r="V567" s="208">
        <f>V538</f>
        <v>178802</v>
      </c>
      <c r="W567" s="19"/>
    </row>
    <row r="568" spans="1:24" ht="17.25" customHeight="1">
      <c r="A568" s="451"/>
      <c r="B568" s="430"/>
      <c r="C568" s="433"/>
      <c r="D568" s="119" t="s">
        <v>128</v>
      </c>
      <c r="E568" s="424" t="s">
        <v>24</v>
      </c>
      <c r="F568" s="118" t="s">
        <v>40</v>
      </c>
      <c r="G568" s="47">
        <f>SUMIF($D$4:$D$566,"011-4",$G$4:$G$566)</f>
        <v>16411.82</v>
      </c>
      <c r="H568" s="183">
        <f>SUMIF($D$4:$D$566,"011-4",$H$4:$H$566)</f>
        <v>20910</v>
      </c>
      <c r="I568" s="482"/>
      <c r="J568" s="482"/>
      <c r="K568" s="12">
        <f>SUMIFS($K$4:$K$566,$D$4:$D$566,"011-4",$F$4:$F$566,"65""")</f>
        <v>398800</v>
      </c>
      <c r="L568" s="12">
        <f>SUMIFS($L$4:$L$566,$D$4:$D$566,"011-4",$F$4:$F$566,"65""")</f>
        <v>50</v>
      </c>
      <c r="M568" s="12"/>
      <c r="N568" s="12"/>
      <c r="O568" s="12">
        <f>SUMIFS($O$4:$O$566,$D$4:$D$566,"011-4",$F$4:$F$566,"65""")</f>
        <v>472676</v>
      </c>
      <c r="P568" s="12">
        <f>SUMIFS($P$4:$P$566,$D$4:$D$566,"011-4",$F$4:$F$566,"65""")</f>
        <v>462093</v>
      </c>
      <c r="Q568" s="117"/>
      <c r="R568" s="454"/>
      <c r="S568" s="454"/>
      <c r="T568" s="194">
        <f>SUMIFS($T$4:$T$566,$D$4:$D$566,"011-4",$F$4:$F$566,"65""")</f>
        <v>484474</v>
      </c>
      <c r="U568" s="194">
        <f>SUMIFS($U$4:$U$566,$D$4:$D$566,"011-4",$F$4:$F$566,"65""")</f>
        <v>205</v>
      </c>
      <c r="V568" s="194">
        <f>V539</f>
        <v>11664</v>
      </c>
      <c r="W568" s="113"/>
    </row>
    <row r="569" spans="1:24" ht="17.25" customHeight="1">
      <c r="A569" s="451"/>
      <c r="B569" s="431"/>
      <c r="C569" s="434"/>
      <c r="D569" s="119" t="s">
        <v>307</v>
      </c>
      <c r="E569" s="425"/>
      <c r="F569" s="118" t="s">
        <v>40</v>
      </c>
      <c r="G569" s="47">
        <f>SUMIF($D$4:$D$566,"011-5",$G$4:$G$566)</f>
        <v>34005.74</v>
      </c>
      <c r="H569" s="218">
        <f>SUMIF($D$4:$D$566,"011-5",$H$4:$H$566)</f>
        <v>15727.2</v>
      </c>
      <c r="I569" s="482"/>
      <c r="J569" s="482"/>
      <c r="K569" s="12">
        <f>SUMIFS($K$4:$K$566,$D$4:$D$566,"011-5",$F$4:$F$566,"65""")</f>
        <v>398800</v>
      </c>
      <c r="L569" s="12">
        <f>SUMIFS($L$4:$L$566,$D$4:$D$566,"011-5",$F$4:$F$566,"65""")</f>
        <v>50</v>
      </c>
      <c r="M569" s="12">
        <f>M540</f>
        <v>96000</v>
      </c>
      <c r="N569" s="12">
        <f>N540</f>
        <v>12</v>
      </c>
      <c r="O569" s="12">
        <f>SUMIFS($O$4:$O$566,$D$4:$D$566,"011-5",$F$4:$F$566,"65""")</f>
        <v>48693</v>
      </c>
      <c r="P569" s="12">
        <f>SUMIFS($P$4:$P$566,$D$4:$D$566,"011-5",$F$4:$F$566,"65""")</f>
        <v>86904</v>
      </c>
      <c r="Q569" s="117"/>
      <c r="R569" s="454"/>
      <c r="S569" s="454"/>
      <c r="T569" s="194">
        <f>SUMIFS($T$4:$T$566,$D$4:$D$566,"011-5",$F$4:$F$566,"65""")</f>
        <v>35645</v>
      </c>
      <c r="U569" s="194">
        <f>SUMIFS($U$4:$U$566,$D$4:$D$566,"011-5",$F$4:$F$566,"65""")</f>
        <v>139</v>
      </c>
      <c r="V569" s="194">
        <f>V540</f>
        <v>12909</v>
      </c>
      <c r="W569" s="113"/>
    </row>
    <row r="570" spans="1:24" s="4" customFormat="1" ht="17.25" customHeight="1">
      <c r="A570" s="451"/>
      <c r="B570" s="442" t="s">
        <v>45</v>
      </c>
      <c r="C570" s="471" t="s">
        <v>59</v>
      </c>
      <c r="D570" s="48" t="s">
        <v>75</v>
      </c>
      <c r="E570" s="441" t="s">
        <v>25</v>
      </c>
      <c r="F570" s="122" t="s">
        <v>57</v>
      </c>
      <c r="G570" s="183"/>
      <c r="H570" s="183"/>
      <c r="I570" s="482"/>
      <c r="J570" s="482"/>
      <c r="K570" s="183">
        <f>SUMIFS($K$4:$K$566,$D$4:$D$566,"AAZ43",$F$4:$F$566,"66.5""")</f>
        <v>10000</v>
      </c>
      <c r="L570" s="183">
        <f>SUMIFS($L$4:$L$566,$D$4:$D$566,"AAZ43",$F$4:$F$566,"66.5""")</f>
        <v>2</v>
      </c>
      <c r="M570" s="183"/>
      <c r="N570" s="183"/>
      <c r="O570" s="183">
        <f>SUMIFS($O$4:$O$566,$D$4:$D$566,"AAZ43",$F$4:$F$566,"66.5""")</f>
        <v>58605</v>
      </c>
      <c r="P570" s="183">
        <f>SUMIFS($P$4:$P$566,$D$4:$D$566,"AAZ43",$F$4:$F$566,"66.5""")</f>
        <v>54406</v>
      </c>
      <c r="Q570" s="183"/>
      <c r="R570" s="454"/>
      <c r="S570" s="454"/>
      <c r="T570" s="194">
        <f>SUMIFS($T$4:$T$566,$D$4:$D$566,"AAZ43",$F$4:$F$566,"66.5""")</f>
        <v>125021</v>
      </c>
      <c r="U570" s="194">
        <f>SUMIFS($U$4:$U$566,$D$4:$D$566,"AAZ43",$F$4:$F$566,"66.5""")</f>
        <v>12</v>
      </c>
      <c r="V570" s="183">
        <f>V541</f>
        <v>40106</v>
      </c>
      <c r="W570" s="122"/>
    </row>
    <row r="571" spans="1:24" s="4" customFormat="1" ht="17.25" customHeight="1">
      <c r="A571" s="451"/>
      <c r="B571" s="439"/>
      <c r="C571" s="471"/>
      <c r="D571" s="48" t="s">
        <v>291</v>
      </c>
      <c r="E571" s="441"/>
      <c r="F571" s="122" t="s">
        <v>57</v>
      </c>
      <c r="G571" s="196">
        <f>SUMIFS($G$4:$G$566,$D$4:$D$566,"RD242Z",$F$4:$F$566,"66.5""")</f>
        <v>6848.64</v>
      </c>
      <c r="H571" s="183"/>
      <c r="I571" s="482"/>
      <c r="J571" s="482"/>
      <c r="K571" s="183">
        <f>SUMIFS($K$4:$K$566,$D$4:$D$566,"RD242Z",$F$4:$F$566,"66.5""")</f>
        <v>73500</v>
      </c>
      <c r="L571" s="183">
        <f>SUMIFS($L$4:$L$566,$D$4:$D$566,"RD242Z",$F$4:$F$566,"66.5""")</f>
        <v>15</v>
      </c>
      <c r="M571" s="183">
        <f>M542</f>
        <v>14700</v>
      </c>
      <c r="N571" s="183">
        <f>N542</f>
        <v>3</v>
      </c>
      <c r="O571" s="183">
        <f>SUMIFS($O$4:$O$566,$D$4:$D$566,"RD242Z",$F$4:$F$566,"66.5""")</f>
        <v>20011</v>
      </c>
      <c r="P571" s="183">
        <f>SUMIFS($P$4:$P$566,$D$4:$D$566,"RD242Z",$F$4:$F$566,"66.5""")</f>
        <v>25631</v>
      </c>
      <c r="Q571" s="183"/>
      <c r="R571" s="454"/>
      <c r="S571" s="454"/>
      <c r="T571" s="194"/>
      <c r="U571" s="194"/>
      <c r="V571" s="183">
        <f>V542</f>
        <v>20011</v>
      </c>
      <c r="W571" s="122"/>
    </row>
    <row r="572" spans="1:24" ht="17.25" customHeight="1">
      <c r="A572" s="451"/>
      <c r="B572" s="439"/>
      <c r="C572" s="471"/>
      <c r="D572" s="48" t="s">
        <v>94</v>
      </c>
      <c r="E572" s="425"/>
      <c r="F572" s="119"/>
      <c r="G572" s="47"/>
      <c r="H572" s="183">
        <f>SUMIF($D$4:$D$566,"AAZ86",$H$4:$H$566)</f>
        <v>8586</v>
      </c>
      <c r="I572" s="482"/>
      <c r="J572" s="482"/>
      <c r="K572" s="12"/>
      <c r="L572" s="12"/>
      <c r="M572" s="12"/>
      <c r="N572" s="12"/>
      <c r="O572" s="12"/>
      <c r="P572" s="12"/>
      <c r="Q572" s="12"/>
      <c r="R572" s="454"/>
      <c r="S572" s="454"/>
      <c r="T572" s="117"/>
      <c r="U572" s="117"/>
      <c r="V572" s="183"/>
      <c r="W572" s="12"/>
    </row>
    <row r="573" spans="1:24" ht="17.25" customHeight="1">
      <c r="A573" s="451"/>
      <c r="B573" s="439"/>
      <c r="C573" s="471"/>
      <c r="D573" s="118" t="s">
        <v>72</v>
      </c>
      <c r="E573" s="424" t="s">
        <v>24</v>
      </c>
      <c r="F573" s="119" t="s">
        <v>57</v>
      </c>
      <c r="G573" s="12">
        <f>SUMIF($D$4:$D$566,"1800A",$G$4:$G$566)</f>
        <v>7765</v>
      </c>
      <c r="H573" s="12"/>
      <c r="I573" s="482"/>
      <c r="J573" s="482"/>
      <c r="K573" s="12">
        <f>SUMIFS($K$4:$K$566,$D$4:$D$566,"1800A",$F$4:$F$566,"66.5""")</f>
        <v>125000</v>
      </c>
      <c r="L573" s="12">
        <f>SUMIFS($L$4:$L$566,$D$4:$D$566,"1800A",$F$4:$F$566,"66.5""")</f>
        <v>25</v>
      </c>
      <c r="M573" s="12">
        <f>M543</f>
        <v>50000</v>
      </c>
      <c r="N573" s="12">
        <f>N543</f>
        <v>10</v>
      </c>
      <c r="O573" s="12">
        <f>SUMIFS($O$4:$O$566,$D$4:$D$566,"1800A",$F$4:$F$566,"66.5""")</f>
        <v>129379</v>
      </c>
      <c r="P573" s="12">
        <f>SUMIFS($P$4:$P$566,$D$4:$D$566,"1800A",$F$4:$F$566,"66.5""")</f>
        <v>128917</v>
      </c>
      <c r="Q573" s="12"/>
      <c r="R573" s="454"/>
      <c r="S573" s="454"/>
      <c r="T573" s="194">
        <f>SUMIFS($T$4:$T$566,$D$4:$D$566,"1800A",$F$4:$F$566,"66.5""")</f>
        <v>125238</v>
      </c>
      <c r="U573" s="194">
        <f>SUMIFS($U$4:$U$566,$D$4:$D$566,"1800A",$F$4:$F$566,"66.5""")</f>
        <v>111</v>
      </c>
      <c r="V573" s="183">
        <f>V543</f>
        <v>6257</v>
      </c>
      <c r="W573" s="119"/>
    </row>
    <row r="574" spans="1:24" ht="17.25" customHeight="1">
      <c r="A574" s="451"/>
      <c r="B574" s="439"/>
      <c r="C574" s="471"/>
      <c r="D574" s="115" t="s">
        <v>73</v>
      </c>
      <c r="E574" s="425"/>
      <c r="F574" s="119"/>
      <c r="G574" s="12"/>
      <c r="H574" s="183">
        <f>SUMIF($D$4:$D$566,"1801D",$H$4:$H$566)</f>
        <v>14982</v>
      </c>
      <c r="I574" s="482"/>
      <c r="J574" s="482"/>
      <c r="K574" s="12"/>
      <c r="L574" s="12"/>
      <c r="M574" s="12"/>
      <c r="N574" s="12"/>
      <c r="O574" s="12"/>
      <c r="P574" s="12"/>
      <c r="Q574" s="12"/>
      <c r="R574" s="454"/>
      <c r="S574" s="454"/>
      <c r="T574" s="194"/>
      <c r="U574" s="194"/>
      <c r="V574" s="183"/>
      <c r="W574" s="119"/>
    </row>
    <row r="575" spans="1:24" ht="17.25" customHeight="1">
      <c r="A575" s="451"/>
      <c r="B575" s="439"/>
      <c r="C575" s="471"/>
      <c r="D575" s="115" t="s">
        <v>79</v>
      </c>
      <c r="E575" s="424" t="s">
        <v>65</v>
      </c>
      <c r="F575" s="119" t="s">
        <v>57</v>
      </c>
      <c r="G575" s="47"/>
      <c r="H575" s="12"/>
      <c r="I575" s="482"/>
      <c r="J575" s="482"/>
      <c r="K575" s="12"/>
      <c r="L575" s="12"/>
      <c r="M575" s="12"/>
      <c r="N575" s="12"/>
      <c r="O575" s="12">
        <f>SUMIFS($O$4:$O$566,$D$4:$D$566,"DJ-234",$F$4:$F$566,"66.5""")</f>
        <v>0</v>
      </c>
      <c r="P575" s="12">
        <f>SUMIFS($P$4:$P$566,$D$4:$D$566,"DJ-234",$F$4:$F$566,"66.5""")</f>
        <v>185</v>
      </c>
      <c r="Q575" s="12"/>
      <c r="R575" s="454"/>
      <c r="S575" s="454"/>
      <c r="T575" s="117"/>
      <c r="U575" s="194"/>
      <c r="V575" s="183"/>
      <c r="W575" s="119"/>
    </row>
    <row r="576" spans="1:24" ht="17.25" customHeight="1">
      <c r="A576" s="451"/>
      <c r="B576" s="439"/>
      <c r="C576" s="471"/>
      <c r="D576" s="115" t="s">
        <v>80</v>
      </c>
      <c r="E576" s="441"/>
      <c r="F576" s="119"/>
      <c r="G576" s="119"/>
      <c r="H576" s="183"/>
      <c r="I576" s="482"/>
      <c r="J576" s="482"/>
      <c r="K576" s="12"/>
      <c r="L576" s="12"/>
      <c r="M576" s="12"/>
      <c r="N576" s="12"/>
      <c r="O576" s="12"/>
      <c r="P576" s="12"/>
      <c r="Q576" s="119"/>
      <c r="R576" s="454"/>
      <c r="S576" s="454"/>
      <c r="T576" s="117"/>
      <c r="U576" s="117"/>
      <c r="V576" s="183"/>
      <c r="W576" s="119"/>
    </row>
    <row r="577" spans="1:30" ht="17.25" customHeight="1">
      <c r="A577" s="451"/>
      <c r="B577" s="439"/>
      <c r="C577" s="471"/>
      <c r="D577" s="115" t="s">
        <v>42</v>
      </c>
      <c r="E577" s="424" t="s">
        <v>25</v>
      </c>
      <c r="F577" s="119"/>
      <c r="G577" s="119"/>
      <c r="H577" s="12"/>
      <c r="I577" s="482"/>
      <c r="J577" s="482"/>
      <c r="K577" s="12"/>
      <c r="L577" s="12"/>
      <c r="M577" s="12">
        <v>2743</v>
      </c>
      <c r="N577" s="12">
        <v>1</v>
      </c>
      <c r="O577" s="12"/>
      <c r="P577" s="12"/>
      <c r="Q577" s="119"/>
      <c r="R577" s="454"/>
      <c r="S577" s="454"/>
      <c r="T577" s="117"/>
      <c r="U577" s="117"/>
      <c r="V577" s="183"/>
      <c r="W577" s="119"/>
    </row>
    <row r="578" spans="1:30" ht="24.75" customHeight="1">
      <c r="A578" s="451"/>
      <c r="B578" s="443"/>
      <c r="C578" s="270" t="s">
        <v>300</v>
      </c>
      <c r="D578" s="115" t="s">
        <v>296</v>
      </c>
      <c r="E578" s="425"/>
      <c r="F578" s="119" t="s">
        <v>298</v>
      </c>
      <c r="G578" s="196">
        <f>SUMIFS($G$4:$G$566,$D$4:$D$566,"RD176Z,RD242Z",$F$4:$F$566,"55.5""")</f>
        <v>130.41999999999999</v>
      </c>
      <c r="H578" s="117"/>
      <c r="I578" s="482"/>
      <c r="J578" s="482"/>
      <c r="K578" s="183">
        <f>SUMIFS($K$4:$K$566,$D$4:$D$566,"RD176Z,RD242Z",$F$4:$F$566,"55.5""")</f>
        <v>2000</v>
      </c>
      <c r="L578" s="183">
        <f>SUMIFS($L$4:$L$566,$D$4:$D$566,"RD176Z,RD242Z",$F$4:$F$566,"55.5""")</f>
        <v>1</v>
      </c>
      <c r="M578" s="183"/>
      <c r="N578" s="183"/>
      <c r="O578" s="183">
        <f>SUMIFS($O$4:$O$566,$D$4:$D$566,"RD176Z,RD242Z",$F$4:$F$566,"55.5""")</f>
        <v>500</v>
      </c>
      <c r="P578" s="183">
        <f>SUMIFS($P$4:$P$566,$D$4:$D$566,"RD176Z,RD242Z",$F$4:$F$566,"55.5""")</f>
        <v>500</v>
      </c>
      <c r="Q578" s="119"/>
      <c r="R578" s="454"/>
      <c r="S578" s="454"/>
      <c r="T578" s="194">
        <f>SUMIFS($T$4:$T$566,$D$4:$D$566,"RD176Z,RD242Z",$F$4:$F$566,"55.5""")</f>
        <v>500</v>
      </c>
      <c r="U578" s="117"/>
      <c r="V578" s="183">
        <f>V373</f>
        <v>0</v>
      </c>
      <c r="W578" s="119"/>
    </row>
    <row r="579" spans="1:30" ht="17.25" customHeight="1">
      <c r="A579" s="451"/>
      <c r="B579" s="442" t="s">
        <v>53</v>
      </c>
      <c r="C579" s="444" t="s">
        <v>60</v>
      </c>
      <c r="D579" s="43" t="s">
        <v>130</v>
      </c>
      <c r="E579" s="448" t="s">
        <v>66</v>
      </c>
      <c r="F579" s="118" t="s">
        <v>54</v>
      </c>
      <c r="G579" s="31">
        <f>SUMIF($D$4:$D$566,"RD225Z,DR1074Z",$G$4:$G$566)</f>
        <v>8529.8000000000011</v>
      </c>
      <c r="H579" s="113"/>
      <c r="I579" s="482"/>
      <c r="J579" s="482"/>
      <c r="K579" s="12">
        <f>SUMIFS($K$4:$K$566,$D$4:$D$566,"RD225Z,DR1074Z",$F$4:$F$566,"67""")</f>
        <v>156000</v>
      </c>
      <c r="L579" s="12">
        <f>SUMIFS($L$4:$L$566,$D$4:$D$566,"RD225Z,DR1074Z",$F$4:$F$566,"67""")</f>
        <v>26</v>
      </c>
      <c r="M579" s="12">
        <f>M547</f>
        <v>30000</v>
      </c>
      <c r="N579" s="12">
        <f>N547</f>
        <v>5</v>
      </c>
      <c r="O579" s="12">
        <f>SUMIFS($O$4:$O$566,$D$4:$D$566,"RD225Z,DR1074Z",$F$4:$F$566,"67""")</f>
        <v>168204</v>
      </c>
      <c r="P579" s="12">
        <f>SUMIFS($P$4:$P$566,$D$4:$D$566,"RD225Z,DR1074Z",$F$4:$F$566,"67""")</f>
        <v>167387</v>
      </c>
      <c r="Q579" s="12"/>
      <c r="R579" s="454"/>
      <c r="S579" s="454"/>
      <c r="T579" s="117">
        <f>SUMIFS($T$4:$T$566,$D$4:$D$566,"RD225Z,DR1074Z",$F$4:$F$566,"67""")</f>
        <v>161955</v>
      </c>
      <c r="U579" s="194">
        <f>SUMIFS($U$4:$U$566,$D$4:$D$566,"RD225Z,DR1074Z",$F$4:$F$566,"67""")</f>
        <v>0</v>
      </c>
      <c r="V579" s="183">
        <f>V547</f>
        <v>13250</v>
      </c>
      <c r="W579" s="119"/>
      <c r="AD579" s="13"/>
    </row>
    <row r="580" spans="1:30" ht="17.25" customHeight="1">
      <c r="A580" s="451"/>
      <c r="B580" s="439"/>
      <c r="C580" s="445"/>
      <c r="D580" s="43" t="s">
        <v>320</v>
      </c>
      <c r="E580" s="449"/>
      <c r="F580" s="118" t="s">
        <v>54</v>
      </c>
      <c r="G580" s="47">
        <f>SUMIF($D$4:$D$566,"RD225Z,DR1177Z",$G$4:$G$566)</f>
        <v>5117.88</v>
      </c>
      <c r="H580" s="113"/>
      <c r="I580" s="482"/>
      <c r="J580" s="482"/>
      <c r="K580" s="12">
        <f>SUMIFS($K$4:$K$566,$D$4:$D$566,"RD225Z,DR1177Z",$F$4:$F$566,"67""")</f>
        <v>6000</v>
      </c>
      <c r="L580" s="12">
        <f>SUMIFS($L$4:$L$566,$D$4:$D$566,"RD225Z,DR1177Z",$F$4:$F$566,"67""")</f>
        <v>1</v>
      </c>
      <c r="M580" s="12">
        <f>M548</f>
        <v>66000</v>
      </c>
      <c r="N580" s="12">
        <f>N548</f>
        <v>11</v>
      </c>
      <c r="O580" s="12">
        <f>SUMIFS($O$4:$O$566,$D$4:$D$566,"RD225Z,DR1177Z",$F$4:$F$566,"67""")</f>
        <v>0</v>
      </c>
      <c r="P580" s="12">
        <f>SUMIFS($P$4:$P$566,$D$4:$D$566,"RD225Z,DR1177Z",$F$4:$F$566,"67""")</f>
        <v>737</v>
      </c>
      <c r="Q580" s="12"/>
      <c r="R580" s="454"/>
      <c r="S580" s="454"/>
      <c r="T580" s="117"/>
      <c r="U580" s="194"/>
      <c r="V580" s="191"/>
      <c r="W580" s="119"/>
      <c r="AD580" s="13"/>
    </row>
    <row r="581" spans="1:30" s="4" customFormat="1" ht="17.25" customHeight="1">
      <c r="A581" s="451"/>
      <c r="B581" s="439"/>
      <c r="C581" s="445"/>
      <c r="D581" s="48" t="s">
        <v>199</v>
      </c>
      <c r="E581" s="43" t="s">
        <v>25</v>
      </c>
      <c r="F581" s="48" t="s">
        <v>54</v>
      </c>
      <c r="G581" s="196">
        <f>SUMIF($D$4:$D$566,"RD225Z",$G$4:$G$566)</f>
        <v>71.08</v>
      </c>
      <c r="H581" s="268"/>
      <c r="I581" s="482"/>
      <c r="J581" s="482"/>
      <c r="K581" s="183">
        <f>SUMIFS($K$4:$K$566,$D$4:$D$566,"RD225Z",$F$4:$F$566,"67""")</f>
        <v>1000</v>
      </c>
      <c r="L581" s="183">
        <f>SUMIFS($L$4:$L$566,$D$4:$D$566,"RD225Z",$F$4:$F$566,"67""")</f>
        <v>1</v>
      </c>
      <c r="M581" s="183"/>
      <c r="N581" s="183"/>
      <c r="O581" s="183">
        <f>SUMIFS($O$4:$O$566,$D$4:$D$566,"RD225Z",$F$4:$F$566,"67""")</f>
        <v>500</v>
      </c>
      <c r="P581" s="183">
        <f>SUMIFS($P$4:$P$566,$D$4:$D$566,"RD225Z",$F$4:$F$566,"67""")</f>
        <v>568</v>
      </c>
      <c r="Q581" s="183"/>
      <c r="R581" s="454"/>
      <c r="S581" s="454"/>
      <c r="T581" s="194">
        <f>SUMIFS($T$4:$T$566,$D$4:$D$566,"RD225Z",$F$4:$F$566,"67""")</f>
        <v>500</v>
      </c>
      <c r="U581" s="194"/>
      <c r="V581" s="191"/>
      <c r="W581" s="122"/>
      <c r="AD581" s="219"/>
    </row>
    <row r="582" spans="1:30" ht="17.25" customHeight="1">
      <c r="A582" s="451"/>
      <c r="B582" s="439"/>
      <c r="C582" s="445"/>
      <c r="D582" s="48" t="s">
        <v>199</v>
      </c>
      <c r="E582" s="115" t="s">
        <v>25</v>
      </c>
      <c r="F582" s="119"/>
      <c r="G582" s="12"/>
      <c r="H582" s="218">
        <f>SUMIF($D$4:$D$566,"RD225Z",$H$4:$H$566)</f>
        <v>9540.4</v>
      </c>
      <c r="I582" s="482"/>
      <c r="J582" s="482"/>
      <c r="K582" s="12"/>
      <c r="L582" s="12"/>
      <c r="M582" s="12"/>
      <c r="N582" s="12"/>
      <c r="O582" s="12"/>
      <c r="P582" s="117"/>
      <c r="Q582" s="119"/>
      <c r="R582" s="454"/>
      <c r="S582" s="454"/>
      <c r="T582" s="117"/>
      <c r="U582" s="117"/>
      <c r="V582" s="191"/>
      <c r="W582" s="119"/>
    </row>
    <row r="583" spans="1:30" ht="17.25" customHeight="1">
      <c r="A583" s="451"/>
      <c r="B583" s="439"/>
      <c r="C583" s="445"/>
      <c r="D583" s="48" t="s">
        <v>96</v>
      </c>
      <c r="E583" s="438" t="s">
        <v>65</v>
      </c>
      <c r="F583" s="119"/>
      <c r="G583" s="47"/>
      <c r="H583" s="183">
        <f>SUMIF($D$4:$D$566,"DR1075Z",$H$4:$H$566)</f>
        <v>1224</v>
      </c>
      <c r="I583" s="482"/>
      <c r="J583" s="482"/>
      <c r="K583" s="12"/>
      <c r="L583" s="12"/>
      <c r="M583" s="12"/>
      <c r="N583" s="12"/>
      <c r="O583" s="12"/>
      <c r="P583" s="117"/>
      <c r="Q583" s="119"/>
      <c r="R583" s="454"/>
      <c r="S583" s="454"/>
      <c r="T583" s="117"/>
      <c r="U583" s="117"/>
      <c r="V583" s="191"/>
      <c r="W583" s="119"/>
    </row>
    <row r="584" spans="1:30" ht="17.25" customHeight="1">
      <c r="A584" s="451"/>
      <c r="B584" s="443"/>
      <c r="C584" s="446"/>
      <c r="D584" s="43" t="s">
        <v>324</v>
      </c>
      <c r="E584" s="431"/>
      <c r="F584" s="119"/>
      <c r="G584" s="47"/>
      <c r="H584" s="183">
        <f>SUMIF($D$4:$D$566,"DR1178Z",$H$4:$H$566)</f>
        <v>612</v>
      </c>
      <c r="I584" s="482"/>
      <c r="J584" s="482"/>
      <c r="K584" s="12"/>
      <c r="L584" s="12"/>
      <c r="M584" s="117"/>
      <c r="N584" s="117"/>
      <c r="O584" s="12"/>
      <c r="P584" s="117"/>
      <c r="Q584" s="113"/>
      <c r="R584" s="454"/>
      <c r="S584" s="454"/>
      <c r="T584" s="117"/>
      <c r="U584" s="117"/>
      <c r="V584" s="191"/>
      <c r="W584" s="119"/>
    </row>
    <row r="585" spans="1:30" ht="17.25" customHeight="1">
      <c r="A585" s="451"/>
      <c r="B585" s="442" t="s">
        <v>55</v>
      </c>
      <c r="C585" s="444" t="s">
        <v>133</v>
      </c>
      <c r="D585" s="43" t="s">
        <v>56</v>
      </c>
      <c r="E585" s="430" t="s">
        <v>25</v>
      </c>
      <c r="F585" s="48" t="s">
        <v>67</v>
      </c>
      <c r="G585" s="196"/>
      <c r="H585" s="31"/>
      <c r="I585" s="482"/>
      <c r="J585" s="482"/>
      <c r="K585" s="183"/>
      <c r="L585" s="183"/>
      <c r="M585" s="117">
        <f>M550</f>
        <v>2800</v>
      </c>
      <c r="N585" s="117">
        <f>N550</f>
        <v>1</v>
      </c>
      <c r="O585" s="183">
        <f>SUMIFS($O$4:$O$566,$D$4:$D$566,"ACZ07",$F$4:$F$566,"56""",$C$4:$C$566,"P/OX 600D*300D, 64T, 135GR/SQM, recycle 67%")</f>
        <v>0</v>
      </c>
      <c r="P585" s="183">
        <f>SUMIFS($P$4:$P$566,$D$4:$D$566,"ACZ07",$F$4:$F$566,"56""",$C$4:$C$566,"P/OX 600D*300D, 64T, 135GR/SQM, recycle 67%")</f>
        <v>0</v>
      </c>
      <c r="Q585" s="117"/>
      <c r="R585" s="454"/>
      <c r="S585" s="454"/>
      <c r="T585" s="183"/>
      <c r="U585" s="183"/>
      <c r="V585" s="183">
        <f>V550</f>
        <v>500</v>
      </c>
      <c r="W585" s="2"/>
      <c r="Y585" s="13"/>
    </row>
    <row r="586" spans="1:30" ht="17.25" customHeight="1">
      <c r="A586" s="451"/>
      <c r="B586" s="443"/>
      <c r="C586" s="446"/>
      <c r="D586" s="43" t="s">
        <v>68</v>
      </c>
      <c r="E586" s="430"/>
      <c r="F586" s="48"/>
      <c r="G586" s="47"/>
      <c r="H586" s="183"/>
      <c r="I586" s="482"/>
      <c r="J586" s="482"/>
      <c r="K586" s="12"/>
      <c r="L586" s="12"/>
      <c r="M586" s="117"/>
      <c r="N586" s="117"/>
      <c r="O586" s="12"/>
      <c r="P586" s="12"/>
      <c r="Q586" s="117"/>
      <c r="R586" s="454"/>
      <c r="S586" s="454"/>
      <c r="T586" s="117"/>
      <c r="U586" s="117"/>
      <c r="V586" s="183"/>
      <c r="W586" s="2"/>
      <c r="Y586" s="13"/>
      <c r="Z586" s="13"/>
    </row>
    <row r="587" spans="1:30" s="4" customFormat="1" ht="17.25" customHeight="1">
      <c r="A587" s="451"/>
      <c r="B587" s="122" t="s">
        <v>55</v>
      </c>
      <c r="C587" s="180" t="s">
        <v>316</v>
      </c>
      <c r="D587" s="48" t="s">
        <v>317</v>
      </c>
      <c r="E587" s="430"/>
      <c r="F587" s="48" t="s">
        <v>67</v>
      </c>
      <c r="G587" s="218">
        <f>SUMIFS($G$4:$G$566,$D$4:$D$566,"P28V855",$F$4:$F$566,"56""",$C$4:$C$566,"P/OX 600D*300D, 64T, 135GR/SQM, Virgin 100%")</f>
        <v>123.8</v>
      </c>
      <c r="H587" s="183"/>
      <c r="I587" s="482"/>
      <c r="J587" s="482"/>
      <c r="K587" s="183">
        <f>SUMIFS($K$4:$K$566,$D$4:$D$566,"P28V855",$F$4:$F$566,"56""",$C$4:$C$566,"P/OX 600D*300D, 64T, 135GR/SQM, Virgin 100%")</f>
        <v>1000</v>
      </c>
      <c r="L587" s="183">
        <f>SUMIFS($L$4:$L$566,$D$4:$D$566,"P28V855",$F$4:$F$566,"56""",$C$4:$C$566,"P/OX 600D*300D, 64T, 135GR/SQM, Virgin 100%")</f>
        <v>1</v>
      </c>
      <c r="M587" s="194"/>
      <c r="N587" s="194"/>
      <c r="O587" s="183">
        <f>SUMIFS($O$4:$O$566,$D$4:$D$566,"P28V855",$F$4:$F$566,"56""",$C$4:$C$566,"P/OX 600D*300D, 64T, 135GR/SQM, Virgin 100%")</f>
        <v>500</v>
      </c>
      <c r="P587" s="183">
        <f>SUMIFS($P$4:$P$566,$D$4:$D$566,"P28V855",$F$4:$F$566,"56""",$C$4:$C$566,"P/OX 600D*300D, 64T, 135GR/SQM, Virgin 100%")</f>
        <v>500</v>
      </c>
      <c r="Q587" s="194"/>
      <c r="R587" s="454"/>
      <c r="S587" s="454"/>
      <c r="T587" s="183">
        <f>SUMIFS($T$4:$T$566,$D$4:$D$566,"P28V855",$F$4:$F$566,"56""",$C$4:$C$566,"P/OX 600D*300D, 64T, 135GR/SQM, Virgin 100%")</f>
        <v>500</v>
      </c>
      <c r="U587" s="194"/>
      <c r="V587" s="183">
        <f>V492</f>
        <v>0</v>
      </c>
      <c r="W587" s="6"/>
      <c r="Y587" s="219"/>
      <c r="Z587" s="219"/>
    </row>
    <row r="588" spans="1:30" s="4" customFormat="1" ht="17.25" customHeight="1">
      <c r="A588" s="451"/>
      <c r="B588" s="442" t="s">
        <v>122</v>
      </c>
      <c r="C588" s="444" t="s">
        <v>123</v>
      </c>
      <c r="D588" s="48" t="s">
        <v>56</v>
      </c>
      <c r="E588" s="430"/>
      <c r="F588" s="48" t="s">
        <v>64</v>
      </c>
      <c r="G588" s="196"/>
      <c r="H588" s="183"/>
      <c r="I588" s="482"/>
      <c r="J588" s="482"/>
      <c r="K588" s="183"/>
      <c r="L588" s="183"/>
      <c r="M588" s="194">
        <f>M552</f>
        <v>6400</v>
      </c>
      <c r="N588" s="194">
        <f>N552</f>
        <v>2</v>
      </c>
      <c r="O588" s="183"/>
      <c r="P588" s="183"/>
      <c r="Q588" s="194"/>
      <c r="R588" s="454"/>
      <c r="S588" s="454"/>
      <c r="T588" s="183"/>
      <c r="U588" s="194"/>
      <c r="V588" s="183">
        <f>V552</f>
        <v>31304</v>
      </c>
      <c r="W588" s="6"/>
      <c r="Y588" s="219"/>
    </row>
    <row r="589" spans="1:30" s="4" customFormat="1" ht="17.25" customHeight="1">
      <c r="A589" s="451"/>
      <c r="B589" s="443"/>
      <c r="C589" s="446"/>
      <c r="D589" s="48" t="s">
        <v>129</v>
      </c>
      <c r="E589" s="430"/>
      <c r="F589" s="48"/>
      <c r="G589" s="218"/>
      <c r="H589" s="183"/>
      <c r="I589" s="482"/>
      <c r="J589" s="482"/>
      <c r="K589" s="194"/>
      <c r="L589" s="194"/>
      <c r="M589" s="194"/>
      <c r="N589" s="194"/>
      <c r="O589" s="183"/>
      <c r="P589" s="183"/>
      <c r="Q589" s="194"/>
      <c r="R589" s="454"/>
      <c r="S589" s="454"/>
      <c r="T589" s="194"/>
      <c r="U589" s="194"/>
      <c r="V589" s="183"/>
      <c r="W589" s="6"/>
      <c r="Y589" s="219"/>
    </row>
    <row r="590" spans="1:30" s="4" customFormat="1" ht="17.25" customHeight="1">
      <c r="A590" s="451"/>
      <c r="B590" s="442" t="s">
        <v>58</v>
      </c>
      <c r="C590" s="444" t="s">
        <v>243</v>
      </c>
      <c r="D590" s="48" t="s">
        <v>56</v>
      </c>
      <c r="E590" s="430"/>
      <c r="F590" s="59" t="s">
        <v>64</v>
      </c>
      <c r="G590" s="183"/>
      <c r="H590" s="183"/>
      <c r="I590" s="482"/>
      <c r="J590" s="482"/>
      <c r="K590" s="183"/>
      <c r="L590" s="183"/>
      <c r="M590" s="191"/>
      <c r="N590" s="183"/>
      <c r="O590" s="183"/>
      <c r="P590" s="183"/>
      <c r="Q590" s="183"/>
      <c r="R590" s="454"/>
      <c r="S590" s="454"/>
      <c r="T590" s="183"/>
      <c r="U590" s="191"/>
      <c r="V590" s="191">
        <f>V553</f>
        <v>8562</v>
      </c>
      <c r="W590" s="122"/>
    </row>
    <row r="591" spans="1:30" s="4" customFormat="1" ht="17.25" customHeight="1">
      <c r="A591" s="451"/>
      <c r="B591" s="443"/>
      <c r="C591" s="446"/>
      <c r="D591" s="48" t="s">
        <v>92</v>
      </c>
      <c r="E591" s="430"/>
      <c r="F591" s="59"/>
      <c r="G591" s="191"/>
      <c r="H591" s="196"/>
      <c r="I591" s="482"/>
      <c r="J591" s="482"/>
      <c r="K591" s="218"/>
      <c r="L591" s="218"/>
      <c r="M591" s="191"/>
      <c r="N591" s="183"/>
      <c r="O591" s="183"/>
      <c r="P591" s="183"/>
      <c r="Q591" s="183"/>
      <c r="R591" s="454"/>
      <c r="S591" s="454"/>
      <c r="T591" s="194"/>
      <c r="U591" s="191"/>
      <c r="V591" s="191"/>
      <c r="W591" s="122"/>
    </row>
    <row r="592" spans="1:30" s="4" customFormat="1" ht="17.25" customHeight="1">
      <c r="A592" s="451"/>
      <c r="B592" s="122" t="s">
        <v>61</v>
      </c>
      <c r="C592" s="180" t="s">
        <v>137</v>
      </c>
      <c r="D592" s="48" t="s">
        <v>56</v>
      </c>
      <c r="E592" s="430"/>
      <c r="F592" s="59" t="s">
        <v>67</v>
      </c>
      <c r="G592" s="183"/>
      <c r="H592" s="191"/>
      <c r="I592" s="482"/>
      <c r="J592" s="482"/>
      <c r="K592" s="183"/>
      <c r="L592" s="183"/>
      <c r="M592" s="183"/>
      <c r="N592" s="183"/>
      <c r="O592" s="183"/>
      <c r="P592" s="183"/>
      <c r="Q592" s="183"/>
      <c r="R592" s="454"/>
      <c r="S592" s="454"/>
      <c r="T592" s="183"/>
      <c r="U592" s="183"/>
      <c r="V592" s="191">
        <f>V554</f>
        <v>5844</v>
      </c>
      <c r="W592" s="122"/>
    </row>
    <row r="593" spans="1:25" s="4" customFormat="1" ht="17.25" customHeight="1">
      <c r="A593" s="451"/>
      <c r="B593" s="122" t="s">
        <v>125</v>
      </c>
      <c r="C593" s="180" t="s">
        <v>88</v>
      </c>
      <c r="D593" s="48" t="s">
        <v>124</v>
      </c>
      <c r="E593" s="430"/>
      <c r="F593" s="48" t="s">
        <v>64</v>
      </c>
      <c r="G593" s="218"/>
      <c r="H593" s="183"/>
      <c r="I593" s="482"/>
      <c r="J593" s="482"/>
      <c r="K593" s="183"/>
      <c r="L593" s="183"/>
      <c r="M593" s="194">
        <f>M555</f>
        <v>51200</v>
      </c>
      <c r="N593" s="194">
        <f>N555</f>
        <v>7</v>
      </c>
      <c r="O593" s="183"/>
      <c r="P593" s="183"/>
      <c r="Q593" s="194"/>
      <c r="R593" s="454"/>
      <c r="S593" s="454"/>
      <c r="T593" s="194"/>
      <c r="U593" s="194"/>
      <c r="V593" s="183">
        <f>V555</f>
        <v>23615</v>
      </c>
      <c r="W593" s="6"/>
      <c r="Y593" s="219"/>
    </row>
    <row r="594" spans="1:25" s="281" customFormat="1" ht="17.25" customHeight="1">
      <c r="A594" s="451"/>
      <c r="B594" s="442" t="s">
        <v>47</v>
      </c>
      <c r="C594" s="472" t="s">
        <v>100</v>
      </c>
      <c r="D594" s="89" t="s">
        <v>99</v>
      </c>
      <c r="E594" s="430"/>
      <c r="F594" s="89" t="s">
        <v>71</v>
      </c>
      <c r="G594" s="196">
        <f>SUMIFS($G$4:$G$566,$B$4:$B$566,"INNER CUSHION",$D$4:$D$566,"RD159Z")</f>
        <v>1247.1600000000001</v>
      </c>
      <c r="H594" s="221"/>
      <c r="I594" s="482"/>
      <c r="J594" s="482"/>
      <c r="K594" s="183">
        <f>SUMIFS($K$4:$K$566,$D$4:$D$566,"RD159Z",$F$4:$F$566,"60.5""")</f>
        <v>18000</v>
      </c>
      <c r="L594" s="183">
        <f>SUMIFS($L$4:$L$566,$D$4:$D$566,"RD159Z",$F$4:$F$566,"60.5""")</f>
        <v>3</v>
      </c>
      <c r="M594" s="221">
        <f>M556</f>
        <v>22800</v>
      </c>
      <c r="N594" s="221">
        <f>N556</f>
        <v>4</v>
      </c>
      <c r="O594" s="221">
        <f>SUMIFS($O$4:$O$566,$D$4:$D$566,"RD159Z",$F$4:$F$566,"60.5""")</f>
        <v>3000</v>
      </c>
      <c r="P594" s="221">
        <f>SUMIFS($P$4:$P$566,$D$4:$D$566,"RD159Z",$F$4:$F$566,"60.5""")</f>
        <v>9884</v>
      </c>
      <c r="Q594" s="221"/>
      <c r="R594" s="454"/>
      <c r="S594" s="454"/>
      <c r="T594" s="194">
        <f>SUMIFS($T$4:$T$566,$D$4:$D$566,"RD159Z",$F$4:$F$566,"60.5""")</f>
        <v>63217</v>
      </c>
      <c r="U594" s="194">
        <f>SUMIFS($U$4:$U$566,$D$4:$D$566,"RD159Z",$F$4:$F$566,"60.5""")</f>
        <v>67</v>
      </c>
      <c r="V594" s="183">
        <f>V556</f>
        <v>2994</v>
      </c>
      <c r="W594" s="122"/>
    </row>
    <row r="595" spans="1:25" s="4" customFormat="1" ht="17.25" customHeight="1">
      <c r="A595" s="451"/>
      <c r="B595" s="439"/>
      <c r="C595" s="473"/>
      <c r="D595" s="59" t="s">
        <v>121</v>
      </c>
      <c r="E595" s="430"/>
      <c r="F595" s="59"/>
      <c r="G595" s="191"/>
      <c r="H595" s="183">
        <f>SUMIF($D$4:$D$566,"RD152Z",$H$4:$H$566)</f>
        <v>612</v>
      </c>
      <c r="I595" s="482"/>
      <c r="J595" s="482"/>
      <c r="K595" s="191"/>
      <c r="L595" s="191"/>
      <c r="M595" s="191"/>
      <c r="N595" s="191"/>
      <c r="O595" s="183"/>
      <c r="P595" s="183"/>
      <c r="Q595" s="183"/>
      <c r="R595" s="454"/>
      <c r="S595" s="454"/>
      <c r="T595" s="183"/>
      <c r="U595" s="191"/>
      <c r="V595" s="191"/>
      <c r="W595" s="122"/>
    </row>
    <row r="596" spans="1:25" s="4" customFormat="1" ht="17.25" customHeight="1">
      <c r="A596" s="451"/>
      <c r="B596" s="122" t="s">
        <v>196</v>
      </c>
      <c r="C596" s="180" t="s">
        <v>63</v>
      </c>
      <c r="D596" s="48" t="s">
        <v>135</v>
      </c>
      <c r="E596" s="430"/>
      <c r="F596" s="59" t="s">
        <v>64</v>
      </c>
      <c r="G596" s="12"/>
      <c r="H596" s="183"/>
      <c r="I596" s="482"/>
      <c r="J596" s="482"/>
      <c r="K596" s="183"/>
      <c r="L596" s="183"/>
      <c r="M596" s="191">
        <f>M557</f>
        <v>33200</v>
      </c>
      <c r="N596" s="183">
        <f>N557</f>
        <v>4</v>
      </c>
      <c r="O596" s="183"/>
      <c r="P596" s="183"/>
      <c r="Q596" s="183"/>
      <c r="R596" s="454"/>
      <c r="S596" s="454"/>
      <c r="T596" s="194">
        <f>SUMIFS($T$4:$T$566,$D$4:$D$566,"XB080718",$F$4:$F$566,"60""")</f>
        <v>345</v>
      </c>
      <c r="U596" s="191"/>
      <c r="V596" s="191">
        <f>V557</f>
        <v>14761</v>
      </c>
      <c r="W596" s="122"/>
    </row>
    <row r="597" spans="1:25" s="4" customFormat="1" ht="24" customHeight="1">
      <c r="A597" s="451"/>
      <c r="B597" s="122" t="s">
        <v>326</v>
      </c>
      <c r="C597" s="180" t="s">
        <v>325</v>
      </c>
      <c r="D597" s="48" t="s">
        <v>328</v>
      </c>
      <c r="E597" s="430"/>
      <c r="F597" s="59" t="s">
        <v>48</v>
      </c>
      <c r="G597" s="47">
        <f>SUMIF($D$4:$D$566,"SC1039",$G$4:$G$566)</f>
        <v>1014.38</v>
      </c>
      <c r="H597" s="183"/>
      <c r="I597" s="482"/>
      <c r="J597" s="482"/>
      <c r="K597" s="183"/>
      <c r="L597" s="183"/>
      <c r="M597" s="191">
        <f>M558</f>
        <v>12000</v>
      </c>
      <c r="N597" s="183">
        <f>N558</f>
        <v>2</v>
      </c>
      <c r="O597" s="183"/>
      <c r="P597" s="183"/>
      <c r="Q597" s="183"/>
      <c r="R597" s="454"/>
      <c r="S597" s="454"/>
      <c r="T597" s="194"/>
      <c r="U597" s="191"/>
      <c r="V597" s="191"/>
      <c r="W597" s="122"/>
    </row>
    <row r="598" spans="1:25" s="4" customFormat="1" ht="17.25" customHeight="1">
      <c r="A598" s="451"/>
      <c r="B598" s="442" t="s">
        <v>289</v>
      </c>
      <c r="C598" s="444" t="s">
        <v>290</v>
      </c>
      <c r="D598" s="48" t="s">
        <v>291</v>
      </c>
      <c r="E598" s="430"/>
      <c r="F598" s="59" t="s">
        <v>292</v>
      </c>
      <c r="G598" s="218">
        <f>SUMIFS($G$4:$G$566,$D$4:$D$566,"RD242Z",$F$4:$F$566,"82.68""")</f>
        <v>146.5</v>
      </c>
      <c r="H598" s="218"/>
      <c r="I598" s="482"/>
      <c r="J598" s="482"/>
      <c r="K598" s="183">
        <f>SUMIFS($K$4:$K$566,$D$4:$D$566,"RD242Z",$F$4:$F$566,"82.68""")</f>
        <v>2000</v>
      </c>
      <c r="L598" s="183">
        <f>SUMIFS($L$4:$L$566,$D$4:$D$566,"RD242Z",$F$4:$F$566,"82.68""")</f>
        <v>1</v>
      </c>
      <c r="M598" s="191"/>
      <c r="N598" s="183"/>
      <c r="O598" s="183">
        <f>SUMIFS($O$4:$O$566,$D$4:$D$566,"RD242Z",$F$4:$F$566,"82.68""")</f>
        <v>1000</v>
      </c>
      <c r="P598" s="183">
        <f>SUMIFS($P$4:$P$566,$D$4:$D$566,"RD242Z",$F$4:$F$566,"82.68""")</f>
        <v>1757</v>
      </c>
      <c r="Q598" s="183"/>
      <c r="R598" s="454"/>
      <c r="S598" s="454"/>
      <c r="T598" s="194">
        <f>SUMIFS($T$4:$T$566,$D$4:$D$566,"RD242Z",$F$4:$F$566,"82.68""")</f>
        <v>1000</v>
      </c>
      <c r="U598" s="191"/>
      <c r="V598" s="191"/>
      <c r="W598" s="122"/>
    </row>
    <row r="599" spans="1:25" s="4" customFormat="1" ht="17.25" customHeight="1">
      <c r="A599" s="451"/>
      <c r="B599" s="439"/>
      <c r="C599" s="445"/>
      <c r="D599" s="48" t="s">
        <v>85</v>
      </c>
      <c r="E599" s="430"/>
      <c r="F599" s="59"/>
      <c r="G599" s="183"/>
      <c r="H599" s="183">
        <f>SUMIF($D$4:$D$566,"X040218",$H$4:$H$566)</f>
        <v>90</v>
      </c>
      <c r="I599" s="482"/>
      <c r="J599" s="482"/>
      <c r="K599" s="183"/>
      <c r="L599" s="183"/>
      <c r="M599" s="191"/>
      <c r="N599" s="183"/>
      <c r="O599" s="183"/>
      <c r="P599" s="183"/>
      <c r="Q599" s="183"/>
      <c r="R599" s="454"/>
      <c r="S599" s="454"/>
      <c r="T599" s="194"/>
      <c r="U599" s="191"/>
      <c r="V599" s="191"/>
      <c r="W599" s="122"/>
    </row>
    <row r="600" spans="1:25" s="4" customFormat="1" ht="17.25" customHeight="1">
      <c r="A600" s="451"/>
      <c r="B600" s="443"/>
      <c r="C600" s="446"/>
      <c r="D600" s="48" t="s">
        <v>329</v>
      </c>
      <c r="E600" s="430"/>
      <c r="F600" s="59"/>
      <c r="G600" s="183"/>
      <c r="H600" s="218">
        <f>SUMIF($D$4:$D$566,"RD271Z",$H$4:$H$566)</f>
        <v>122.4</v>
      </c>
      <c r="I600" s="482"/>
      <c r="J600" s="482"/>
      <c r="K600" s="183"/>
      <c r="L600" s="183"/>
      <c r="M600" s="191"/>
      <c r="N600" s="183"/>
      <c r="O600" s="183"/>
      <c r="P600" s="183"/>
      <c r="Q600" s="183"/>
      <c r="R600" s="454"/>
      <c r="S600" s="454"/>
      <c r="T600" s="194"/>
      <c r="U600" s="191"/>
      <c r="V600" s="191"/>
      <c r="W600" s="122"/>
    </row>
    <row r="601" spans="1:25" s="4" customFormat="1" ht="17.25" customHeight="1">
      <c r="A601" s="451"/>
      <c r="B601" s="122" t="s">
        <v>253</v>
      </c>
      <c r="C601" s="180" t="s">
        <v>252</v>
      </c>
      <c r="D601" s="48" t="s">
        <v>246</v>
      </c>
      <c r="E601" s="430"/>
      <c r="F601" s="59" t="s">
        <v>247</v>
      </c>
      <c r="G601" s="196">
        <f>SUMIFS($G$4:$G$566,$B$4:$B$566,"샤워 커튼",$D$4:$D$566,"SC-1012",$F$4:$F$566,"76.8""")</f>
        <v>2087.12</v>
      </c>
      <c r="H601" s="196">
        <f>SUMIFS($H$4:$H$566,$B$4:$B$566,"샤워 커튼",$D$4:$D$566,"SC-1012",$F$4:$F$566,"76.8""")</f>
        <v>323.14999999999998</v>
      </c>
      <c r="I601" s="482"/>
      <c r="J601" s="482"/>
      <c r="K601" s="183">
        <f>SUMIFS($K$4:$K$566,$D$4:$D$566,"SC-1012",$F$4:$F$566,"76.8""")</f>
        <v>15500</v>
      </c>
      <c r="L601" s="183">
        <f>SUMIFS($L$4:$L$566,$D$4:$D$566,"SC-1012",$F$4:$F$566,"76.8""")</f>
        <v>2</v>
      </c>
      <c r="M601" s="191">
        <f>M559</f>
        <v>15500</v>
      </c>
      <c r="N601" s="183">
        <f>N559</f>
        <v>2</v>
      </c>
      <c r="O601" s="183">
        <f>SUMIFS($O$4:$O$566,$D$4:$D$566,"SC-1012",$F$4:$F$566,"76.8""")</f>
        <v>35</v>
      </c>
      <c r="P601" s="183">
        <f>SUMIFS($P$4:$P$566,$D$4:$D$566,"SC-1012",$F$4:$F$566,"76.8""")</f>
        <v>1856</v>
      </c>
      <c r="Q601" s="183"/>
      <c r="R601" s="454"/>
      <c r="S601" s="454"/>
      <c r="T601" s="183">
        <f>SUMIFS($T$4:$T$566,$D$4:$D$566,"SC-1012",$F$4:$F$566,"76.8""")</f>
        <v>503</v>
      </c>
      <c r="U601" s="191"/>
      <c r="V601" s="191">
        <f>V529</f>
        <v>0</v>
      </c>
      <c r="W601" s="122"/>
    </row>
    <row r="602" spans="1:25" s="4" customFormat="1" ht="17.25" customHeight="1">
      <c r="A602" s="451"/>
      <c r="B602" s="442" t="s">
        <v>304</v>
      </c>
      <c r="C602" s="444" t="s">
        <v>250</v>
      </c>
      <c r="D602" s="48" t="s">
        <v>251</v>
      </c>
      <c r="E602" s="430"/>
      <c r="F602" s="59" t="s">
        <v>64</v>
      </c>
      <c r="G602" s="196">
        <f>SUMIFS($G$4:$G$566,$B$4:$B$566,"WMT 400 D P/OX",$D$4:$D$566,"H20126")</f>
        <v>46.87</v>
      </c>
      <c r="H602" s="218"/>
      <c r="I602" s="482"/>
      <c r="J602" s="482"/>
      <c r="K602" s="183">
        <f>SUMIFS($K$4:$K$566,$B$4:$B$566,"WMT 400 D P/OX",$D$4:$D$566,"H20126")</f>
        <v>500</v>
      </c>
      <c r="L602" s="183">
        <f>SUMIFS($L$4:$L$566,$B$4:$B$566,"WMT 400 D P/OX",$D$4:$D$566,"H20126")</f>
        <v>1</v>
      </c>
      <c r="M602" s="191"/>
      <c r="N602" s="183"/>
      <c r="O602" s="183">
        <f>SUMIFS($O$4:$O$566,$B$4:$B$566,"WMT 400 D P/OX",$D$4:$D$566,"H20126")</f>
        <v>382</v>
      </c>
      <c r="P602" s="183">
        <f>SUMIFS($P$4:$P$566,$B$4:$B$566,"WMT 400 D P/OX",$D$4:$D$566,"H20126")</f>
        <v>382</v>
      </c>
      <c r="Q602" s="183"/>
      <c r="R602" s="454"/>
      <c r="S602" s="454"/>
      <c r="T602" s="183">
        <f>SUMIFS($T$4:$T$566,$B$4:$B$566,"WMT 400 D P/OX",$D$4:$D$566,"H20126")</f>
        <v>379</v>
      </c>
      <c r="U602" s="183">
        <f>SUMIFS($U$4:$U$566,$B$4:$B$566,"WMT 400 D P/OX",$D$4:$D$566,"H20126")</f>
        <v>3</v>
      </c>
      <c r="V602" s="191"/>
      <c r="W602" s="122"/>
    </row>
    <row r="603" spans="1:25" s="4" customFormat="1" ht="17.25" customHeight="1">
      <c r="A603" s="451"/>
      <c r="B603" s="443"/>
      <c r="C603" s="446"/>
      <c r="D603" s="48" t="s">
        <v>248</v>
      </c>
      <c r="E603" s="430"/>
      <c r="F603" s="59"/>
      <c r="G603" s="196"/>
      <c r="H603" s="183">
        <f>SUMIF($D$4:$D$566,"H20123",$H$4:$H$566)</f>
        <v>84</v>
      </c>
      <c r="I603" s="482"/>
      <c r="J603" s="482"/>
      <c r="K603" s="191"/>
      <c r="L603" s="191"/>
      <c r="M603" s="191"/>
      <c r="N603" s="183"/>
      <c r="O603" s="183"/>
      <c r="P603" s="183"/>
      <c r="Q603" s="183"/>
      <c r="R603" s="454"/>
      <c r="S603" s="454"/>
      <c r="T603" s="194"/>
      <c r="U603" s="191"/>
      <c r="V603" s="191"/>
      <c r="W603" s="122"/>
    </row>
    <row r="604" spans="1:25" s="4" customFormat="1" ht="17.25" customHeight="1">
      <c r="A604" s="451"/>
      <c r="B604" s="122" t="s">
        <v>305</v>
      </c>
      <c r="C604" s="180" t="s">
        <v>306</v>
      </c>
      <c r="D604" s="48" t="s">
        <v>251</v>
      </c>
      <c r="E604" s="430"/>
      <c r="F604" s="59" t="s">
        <v>64</v>
      </c>
      <c r="G604" s="196">
        <f>SUMIFS($G$4:$G$566,$B$4:$B$566,"TGT 400 D P/OX",$D$4:$D$566,"H20126")</f>
        <v>50.13</v>
      </c>
      <c r="H604" s="183"/>
      <c r="I604" s="482"/>
      <c r="J604" s="482"/>
      <c r="K604" s="183">
        <f>SUMIFS($K$4:$K$566,$B$4:$B$566,"TGT 400 D P/OX",$D$4:$D$566,"H20126")</f>
        <v>500</v>
      </c>
      <c r="L604" s="183">
        <f>SUMIFS($L$4:$L$566,$B$4:$B$566,"TGT 400 D P/OX",$D$4:$D$566,"H20126")</f>
        <v>1</v>
      </c>
      <c r="M604" s="191"/>
      <c r="N604" s="183"/>
      <c r="O604" s="183">
        <f>SUMIFS($O$4:$O$566,$B$4:$B$566,"TGT 400 D P/OX",$D$4:$D$566,"H20126")</f>
        <v>428</v>
      </c>
      <c r="P604" s="183">
        <f>SUMIFS($P$4:$P$566,$B$4:$B$566,"TGT 400 D P/OX",$D$4:$D$566,"H20126")</f>
        <v>428</v>
      </c>
      <c r="Q604" s="183"/>
      <c r="R604" s="454"/>
      <c r="S604" s="454"/>
      <c r="T604" s="183">
        <f>SUMIFS($T$4:$T$566,$B$4:$B$566,"TGT 400 D P/OX",$D$4:$D$566,"H20126")</f>
        <v>428</v>
      </c>
      <c r="U604" s="191"/>
      <c r="V604" s="191"/>
      <c r="W604" s="122"/>
    </row>
    <row r="605" spans="1:25" s="4" customFormat="1" ht="18" customHeight="1">
      <c r="A605" s="451"/>
      <c r="B605" s="122" t="s">
        <v>315</v>
      </c>
      <c r="C605" s="180" t="s">
        <v>252</v>
      </c>
      <c r="D605" s="48" t="s">
        <v>246</v>
      </c>
      <c r="E605" s="430"/>
      <c r="F605" s="59" t="s">
        <v>64</v>
      </c>
      <c r="G605" s="196">
        <f>SUMIFS($G$4:$G$566,$B$4:$B$566,"RENSARE",$D$4:$D$566,"SC-1012",$F$4:$F$566,"60""")</f>
        <v>49.49</v>
      </c>
      <c r="H605" s="183">
        <f>SUMIFS($H$4:$H$566,$B$4:$B$566,"RENSARE",$D$4:$D$566,"SC-1012",$F$4:$F$566,"60""")</f>
        <v>64</v>
      </c>
      <c r="I605" s="482"/>
      <c r="J605" s="482"/>
      <c r="K605" s="183">
        <f>SUMIFS($K$4:$K$566,$B$4:$B$566,"RENSARE",$D$4:$D$566,"SC-1012",$F$4:$F$566,"60""")</f>
        <v>1000</v>
      </c>
      <c r="L605" s="183">
        <f>SUMIFS($L$4:$L$566,$B$4:$B$566,"RENSARE",$D$4:$D$566,"SC-1012",$F$4:$F$566,"60""")</f>
        <v>1</v>
      </c>
      <c r="M605" s="191"/>
      <c r="N605" s="183"/>
      <c r="O605" s="183">
        <f>SUMIFS($O$4:$O$566,$B$4:$B$566,"RENSARE",$D$4:$D$566,"SC-1012",$F$4:$F$566,"60""")</f>
        <v>940</v>
      </c>
      <c r="P605" s="183">
        <f>SUMIFS($P$4:$P$566,$B$4:$B$566,"RENSARE",$D$4:$D$566,"SC-1012",$F$4:$F$566,"60""")</f>
        <v>940</v>
      </c>
      <c r="Q605" s="183"/>
      <c r="R605" s="454"/>
      <c r="S605" s="454"/>
      <c r="T605" s="183">
        <f>SUMIFS($T$4:$T$566,$B$4:$B$566,"RENSARE",$D$4:$D$566,"SC-1012",$F$4:$F$566,"60""")</f>
        <v>783</v>
      </c>
      <c r="U605" s="183">
        <f>SUMIFS($U$4:$U$566,$B$4:$B$566,"RENSARE",$D$4:$D$566,"SC-1012",$F$4:$F$566,"60""")</f>
        <v>157</v>
      </c>
      <c r="V605" s="191">
        <f>V532</f>
        <v>0</v>
      </c>
      <c r="W605" s="122"/>
    </row>
    <row r="606" spans="1:25" s="4" customFormat="1" ht="17.25" customHeight="1">
      <c r="A606" s="451"/>
      <c r="B606" s="122" t="s">
        <v>101</v>
      </c>
      <c r="C606" s="180" t="s">
        <v>193</v>
      </c>
      <c r="D606" s="48" t="s">
        <v>102</v>
      </c>
      <c r="E606" s="430"/>
      <c r="F606" s="48" t="s">
        <v>64</v>
      </c>
      <c r="G606" s="196">
        <f>SUMIFS($G$4:$G$566,$D$4:$D$566,"XB061218",$F$4:$F$566,"60""")</f>
        <v>1785.58</v>
      </c>
      <c r="H606" s="218">
        <f>SUMIF($D$4:$D$566,"XB061218",$H$4:$H$566)</f>
        <v>110.5</v>
      </c>
      <c r="I606" s="482"/>
      <c r="J606" s="482"/>
      <c r="K606" s="191"/>
      <c r="L606" s="191"/>
      <c r="M606" s="183">
        <f>M562</f>
        <v>27000</v>
      </c>
      <c r="N606" s="183">
        <f>N562</f>
        <v>4</v>
      </c>
      <c r="O606" s="183">
        <f>SUMIFS($O$4:$O$566,$D$4:$D$566,"XB061218",$F$4:$F$566,"60""")</f>
        <v>0</v>
      </c>
      <c r="P606" s="183">
        <f>SUMIFS($P$4:$P$566,$D$4:$D$566,"XB061218",$F$4:$F$566,"60""")</f>
        <v>196</v>
      </c>
      <c r="Q606" s="183"/>
      <c r="R606" s="454"/>
      <c r="S606" s="454"/>
      <c r="T606" s="183"/>
      <c r="U606" s="183"/>
      <c r="V606" s="183"/>
      <c r="W606" s="122"/>
      <c r="Y606" s="219"/>
    </row>
    <row r="607" spans="1:25" ht="17.25" customHeight="1">
      <c r="A607" s="451"/>
      <c r="B607" s="122" t="s">
        <v>131</v>
      </c>
      <c r="C607" s="180" t="s">
        <v>194</v>
      </c>
      <c r="D607" s="48" t="s">
        <v>132</v>
      </c>
      <c r="E607" s="430"/>
      <c r="F607" s="59" t="s">
        <v>64</v>
      </c>
      <c r="G607" s="47"/>
      <c r="H607" s="218">
        <f>SUMIF($D$4:$D$566,"M5101413",$H$4:$H$566)</f>
        <v>124.4</v>
      </c>
      <c r="I607" s="482"/>
      <c r="J607" s="482"/>
      <c r="K607" s="12"/>
      <c r="L607" s="12"/>
      <c r="M607" s="116"/>
      <c r="N607" s="12"/>
      <c r="O607" s="183">
        <f>SUMIFS($O$4:$O$566,$D$4:$D$566,"M5101413",$F$4:$F$566,"60""")</f>
        <v>1035</v>
      </c>
      <c r="P607" s="183">
        <f>SUMIFS($P$4:$P$566,$D$4:$D$566,"M5101413",$F$4:$F$566,"60""")</f>
        <v>1035</v>
      </c>
      <c r="Q607" s="12"/>
      <c r="R607" s="454"/>
      <c r="S607" s="454"/>
      <c r="T607" s="183">
        <f>SUMIFS($T$4:$T$566,$D$4:$D$566,"M5101413",$F$4:$F$566,"60""")</f>
        <v>1006</v>
      </c>
      <c r="U607" s="183">
        <f>SUMIFS($U$4:$U$566,$D$4:$D$566,"M5101413",$F$4:$F$566,"60""")</f>
        <v>29</v>
      </c>
      <c r="V607" s="191"/>
      <c r="W607" s="119"/>
    </row>
    <row r="608" spans="1:25" ht="17.25" customHeight="1">
      <c r="A608" s="451"/>
      <c r="B608" s="122" t="s">
        <v>103</v>
      </c>
      <c r="C608" s="157" t="s">
        <v>197</v>
      </c>
      <c r="D608" s="48" t="s">
        <v>104</v>
      </c>
      <c r="E608" s="430"/>
      <c r="F608" s="59" t="s">
        <v>105</v>
      </c>
      <c r="G608" s="116"/>
      <c r="H608" s="49"/>
      <c r="I608" s="482"/>
      <c r="J608" s="482"/>
      <c r="K608" s="12"/>
      <c r="L608" s="12"/>
      <c r="M608" s="116"/>
      <c r="N608" s="116"/>
      <c r="O608" s="183"/>
      <c r="P608" s="183"/>
      <c r="Q608" s="12"/>
      <c r="R608" s="454"/>
      <c r="S608" s="454"/>
      <c r="T608" s="12"/>
      <c r="U608" s="116"/>
      <c r="V608" s="191"/>
      <c r="W608" s="119"/>
    </row>
    <row r="609" spans="1:25" ht="17.25" customHeight="1">
      <c r="A609" s="451"/>
      <c r="B609" s="137" t="s">
        <v>112</v>
      </c>
      <c r="C609" s="157" t="s">
        <v>197</v>
      </c>
      <c r="D609" s="48" t="s">
        <v>104</v>
      </c>
      <c r="E609" s="430"/>
      <c r="F609" s="59" t="s">
        <v>113</v>
      </c>
      <c r="G609" s="116"/>
      <c r="H609" s="184"/>
      <c r="I609" s="482"/>
      <c r="J609" s="482"/>
      <c r="K609" s="12"/>
      <c r="L609" s="12"/>
      <c r="M609" s="116"/>
      <c r="N609" s="116"/>
      <c r="O609" s="183"/>
      <c r="P609" s="183"/>
      <c r="Q609" s="12"/>
      <c r="R609" s="454"/>
      <c r="S609" s="454"/>
      <c r="T609" s="12"/>
      <c r="U609" s="116"/>
      <c r="V609" s="191"/>
      <c r="W609" s="131"/>
    </row>
    <row r="610" spans="1:25" s="4" customFormat="1" ht="17.25" customHeight="1">
      <c r="A610" s="451"/>
      <c r="B610" s="442" t="s">
        <v>106</v>
      </c>
      <c r="C610" s="444" t="s">
        <v>141</v>
      </c>
      <c r="D610" s="48" t="s">
        <v>68</v>
      </c>
      <c r="E610" s="430"/>
      <c r="F610" s="59" t="s">
        <v>67</v>
      </c>
      <c r="G610" s="47"/>
      <c r="H610" s="193"/>
      <c r="I610" s="482"/>
      <c r="J610" s="482"/>
      <c r="K610" s="183"/>
      <c r="L610" s="183"/>
      <c r="M610" s="191"/>
      <c r="N610" s="191"/>
      <c r="O610" s="183">
        <f>SUMIFS($O$4:$O$566,$D$4:$D$566,"1T3035ZC-35",$F$4:$F$566,"56""")</f>
        <v>371</v>
      </c>
      <c r="P610" s="183">
        <f>SUMIFS($P$4:$P$566,$D$4:$D$566,"1T3035ZC-35",$F$4:$F$566,"56""")</f>
        <v>85</v>
      </c>
      <c r="Q610" s="183"/>
      <c r="R610" s="454"/>
      <c r="S610" s="454"/>
      <c r="T610" s="183">
        <f>SUMIFS($T$4:$T$566,$D$4:$D$566,"1T3035ZC-35",$F$4:$F$566,"56""")</f>
        <v>371</v>
      </c>
      <c r="U610" s="191"/>
      <c r="V610" s="191"/>
      <c r="W610" s="137"/>
    </row>
    <row r="611" spans="1:25" ht="17.25" customHeight="1">
      <c r="A611" s="451"/>
      <c r="B611" s="443"/>
      <c r="C611" s="446"/>
      <c r="D611" s="59" t="s">
        <v>109</v>
      </c>
      <c r="E611" s="430"/>
      <c r="F611" s="59"/>
      <c r="G611" s="116"/>
      <c r="H611" s="183">
        <f>SUMIF($D$4:$D$566,"1T2587ZC-46",$H$4:$H$566)</f>
        <v>0</v>
      </c>
      <c r="I611" s="482"/>
      <c r="J611" s="482"/>
      <c r="K611" s="116"/>
      <c r="L611" s="116"/>
      <c r="M611" s="116"/>
      <c r="N611" s="116"/>
      <c r="O611" s="12"/>
      <c r="P611" s="12"/>
      <c r="Q611" s="12"/>
      <c r="R611" s="454"/>
      <c r="S611" s="454"/>
      <c r="T611" s="116"/>
      <c r="U611" s="116"/>
      <c r="V611" s="116"/>
      <c r="W611" s="131"/>
    </row>
    <row r="612" spans="1:25" ht="18" customHeight="1" thickBot="1">
      <c r="A612" s="451"/>
      <c r="B612" s="122" t="s">
        <v>107</v>
      </c>
      <c r="C612" s="180" t="s">
        <v>195</v>
      </c>
      <c r="D612" s="48" t="s">
        <v>108</v>
      </c>
      <c r="E612" s="430"/>
      <c r="F612" s="48" t="s">
        <v>48</v>
      </c>
      <c r="G612" s="12"/>
      <c r="H612" s="218">
        <f>SUMIF($D$4:$D$566,"M5102014",$H$4:$H$566)</f>
        <v>94.5</v>
      </c>
      <c r="I612" s="483"/>
      <c r="J612" s="483"/>
      <c r="K612" s="116"/>
      <c r="L612" s="116"/>
      <c r="M612" s="12"/>
      <c r="N612" s="12"/>
      <c r="O612" s="183">
        <f>SUMIFS($O$4:$O$566,$D$4:$D$566,"M5102014",$F$4:$F$566,"61""")</f>
        <v>0</v>
      </c>
      <c r="P612" s="183">
        <f>SUMIFS($P$4:$P$566,$D$4:$D$566,"M5102014",$F$4:$F$566,"61""")</f>
        <v>500</v>
      </c>
      <c r="Q612" s="117"/>
      <c r="R612" s="454"/>
      <c r="S612" s="454"/>
      <c r="T612" s="116"/>
      <c r="U612" s="12"/>
      <c r="V612" s="12"/>
      <c r="W612" s="119"/>
    </row>
    <row r="613" spans="1:25" s="247" customFormat="1" ht="17.25" customHeight="1" thickBot="1">
      <c r="A613" s="242" t="s">
        <v>5</v>
      </c>
      <c r="B613" s="243"/>
      <c r="C613" s="244"/>
      <c r="D613" s="243"/>
      <c r="E613" s="243"/>
      <c r="F613" s="243"/>
      <c r="G613" s="245">
        <f>SUM(G567:G612)</f>
        <v>106324.19000000002</v>
      </c>
      <c r="H613" s="245">
        <f>SUM(H567:H612)</f>
        <v>116366.54999999997</v>
      </c>
      <c r="I613" s="246">
        <f>SUM(I567:I612)</f>
        <v>660</v>
      </c>
      <c r="J613" s="246">
        <f t="shared" ref="J613:P613" si="26">SUM(J567:J612)</f>
        <v>44</v>
      </c>
      <c r="K613" s="246">
        <f>SUM(K567:K612)</f>
        <v>1649600</v>
      </c>
      <c r="L613" s="246">
        <f t="shared" si="26"/>
        <v>236</v>
      </c>
      <c r="M613" s="246">
        <f t="shared" si="26"/>
        <v>550343</v>
      </c>
      <c r="N613" s="246">
        <f t="shared" si="26"/>
        <v>83</v>
      </c>
      <c r="O613" s="246">
        <f>SUM(O567:O612)</f>
        <v>1581562</v>
      </c>
      <c r="P613" s="246">
        <f t="shared" si="26"/>
        <v>1594634</v>
      </c>
      <c r="Q613" s="246"/>
      <c r="R613" s="246">
        <f>SUM(R567:R612)</f>
        <v>1581562</v>
      </c>
      <c r="S613" s="246">
        <f>SUM(S567:S612)</f>
        <v>1594634</v>
      </c>
      <c r="T613" s="246">
        <f>SUM(T567:T612)</f>
        <v>1534009</v>
      </c>
      <c r="U613" s="246">
        <f>SUM(U567:U612)</f>
        <v>967</v>
      </c>
      <c r="V613" s="246">
        <f>SUM(V567:V612)</f>
        <v>370579</v>
      </c>
      <c r="W613" s="243"/>
      <c r="Y613" s="248"/>
    </row>
    <row r="614" spans="1:25">
      <c r="G614" s="103"/>
      <c r="P614" s="29"/>
      <c r="Q614" s="13"/>
    </row>
    <row r="615" spans="1:25">
      <c r="G615" s="195"/>
      <c r="K615" s="13"/>
      <c r="L615" s="13"/>
      <c r="M615" s="13"/>
      <c r="N615" s="13"/>
      <c r="Q615" s="13"/>
    </row>
    <row r="616" spans="1:25">
      <c r="G616" s="197"/>
      <c r="H616" s="103"/>
      <c r="K616" s="13"/>
      <c r="L616" s="13"/>
      <c r="M616" s="13"/>
      <c r="N616" s="13"/>
      <c r="Q616" s="13"/>
      <c r="W616" s="13"/>
    </row>
    <row r="617" spans="1:25" ht="15.75">
      <c r="B617" s="241"/>
      <c r="H617" s="103"/>
      <c r="K617" s="13"/>
      <c r="L617" s="13"/>
      <c r="M617" s="13"/>
      <c r="N617" s="13"/>
      <c r="Q617" s="13"/>
    </row>
    <row r="618" spans="1:25">
      <c r="K618" s="13"/>
      <c r="L618" s="13"/>
      <c r="M618" s="13"/>
      <c r="N618" s="13"/>
      <c r="Q618" s="13"/>
      <c r="W618" s="13"/>
    </row>
    <row r="619" spans="1:25">
      <c r="K619" s="13"/>
      <c r="L619" s="13"/>
      <c r="M619" s="13"/>
      <c r="N619" s="13"/>
      <c r="Q619" s="13"/>
    </row>
    <row r="620" spans="1:25">
      <c r="H620" s="103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</row>
    <row r="622" spans="1:25">
      <c r="X622" s="4"/>
    </row>
    <row r="627" spans="1:24" s="4" customFormat="1">
      <c r="A627" s="15"/>
      <c r="B627" s="1"/>
      <c r="C627" s="7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3"/>
      <c r="P627" s="13"/>
      <c r="Q627" s="1"/>
      <c r="R627" s="13"/>
      <c r="S627" s="13"/>
      <c r="T627" s="13"/>
      <c r="U627" s="13"/>
      <c r="V627" s="13"/>
      <c r="W627" s="1"/>
      <c r="X627" s="1"/>
    </row>
    <row r="631" spans="1:24">
      <c r="H631" s="103"/>
    </row>
  </sheetData>
  <mergeCells count="320">
    <mergeCell ref="A538:A566"/>
    <mergeCell ref="B538:B540"/>
    <mergeCell ref="C538:C540"/>
    <mergeCell ref="R538:R566"/>
    <mergeCell ref="S538:S566"/>
    <mergeCell ref="E539:E540"/>
    <mergeCell ref="B541:B546"/>
    <mergeCell ref="C541:C545"/>
    <mergeCell ref="E541:E542"/>
    <mergeCell ref="A507:A537"/>
    <mergeCell ref="B507:B509"/>
    <mergeCell ref="C507:C509"/>
    <mergeCell ref="R507:R537"/>
    <mergeCell ref="S507:S537"/>
    <mergeCell ref="E508:E509"/>
    <mergeCell ref="B510:B514"/>
    <mergeCell ref="C510:C513"/>
    <mergeCell ref="E510:E511"/>
    <mergeCell ref="E515:E516"/>
    <mergeCell ref="E520:E537"/>
    <mergeCell ref="C515:C519"/>
    <mergeCell ref="B515:B519"/>
    <mergeCell ref="E517:E518"/>
    <mergeCell ref="R450:R479"/>
    <mergeCell ref="S450:S479"/>
    <mergeCell ref="E451:E452"/>
    <mergeCell ref="B453:B458"/>
    <mergeCell ref="C453:C457"/>
    <mergeCell ref="B459:B461"/>
    <mergeCell ref="C459:C461"/>
    <mergeCell ref="E459:E460"/>
    <mergeCell ref="E462:E479"/>
    <mergeCell ref="E453:E455"/>
    <mergeCell ref="B468:B469"/>
    <mergeCell ref="C468:C469"/>
    <mergeCell ref="R420:R449"/>
    <mergeCell ref="S420:S449"/>
    <mergeCell ref="E421:E422"/>
    <mergeCell ref="B423:B428"/>
    <mergeCell ref="C423:C427"/>
    <mergeCell ref="E423:E424"/>
    <mergeCell ref="B429:B431"/>
    <mergeCell ref="C429:C431"/>
    <mergeCell ref="E429:E430"/>
    <mergeCell ref="E432:E449"/>
    <mergeCell ref="E425:E426"/>
    <mergeCell ref="A393:A419"/>
    <mergeCell ref="B393:B395"/>
    <mergeCell ref="C393:C395"/>
    <mergeCell ref="A480:A506"/>
    <mergeCell ref="B480:B482"/>
    <mergeCell ref="C480:C482"/>
    <mergeCell ref="A420:A449"/>
    <mergeCell ref="B420:B422"/>
    <mergeCell ref="C420:C422"/>
    <mergeCell ref="A450:A479"/>
    <mergeCell ref="B450:B452"/>
    <mergeCell ref="C450:C452"/>
    <mergeCell ref="C441:C442"/>
    <mergeCell ref="B441:B442"/>
    <mergeCell ref="R393:R419"/>
    <mergeCell ref="S393:S419"/>
    <mergeCell ref="E394:E395"/>
    <mergeCell ref="B396:B400"/>
    <mergeCell ref="C396:C399"/>
    <mergeCell ref="E396:E397"/>
    <mergeCell ref="B401:B402"/>
    <mergeCell ref="C401:C402"/>
    <mergeCell ref="E403:E419"/>
    <mergeCell ref="A366:A392"/>
    <mergeCell ref="B366:B368"/>
    <mergeCell ref="C366:C368"/>
    <mergeCell ref="R366:R392"/>
    <mergeCell ref="S366:S392"/>
    <mergeCell ref="E367:E368"/>
    <mergeCell ref="B369:B373"/>
    <mergeCell ref="C369:C372"/>
    <mergeCell ref="E369:E370"/>
    <mergeCell ref="E377:E392"/>
    <mergeCell ref="C374:C376"/>
    <mergeCell ref="B374:B376"/>
    <mergeCell ref="E375:E376"/>
    <mergeCell ref="A336:A365"/>
    <mergeCell ref="B336:B338"/>
    <mergeCell ref="C336:C338"/>
    <mergeCell ref="R336:R365"/>
    <mergeCell ref="S336:S365"/>
    <mergeCell ref="E337:E338"/>
    <mergeCell ref="B339:B345"/>
    <mergeCell ref="C339:C344"/>
    <mergeCell ref="B346:B347"/>
    <mergeCell ref="C346:C347"/>
    <mergeCell ref="E348:E365"/>
    <mergeCell ref="E339:E341"/>
    <mergeCell ref="E342:E343"/>
    <mergeCell ref="A308:A335"/>
    <mergeCell ref="B308:B310"/>
    <mergeCell ref="C308:C310"/>
    <mergeCell ref="R308:R335"/>
    <mergeCell ref="S308:S335"/>
    <mergeCell ref="E309:E310"/>
    <mergeCell ref="B311:B315"/>
    <mergeCell ref="C311:C314"/>
    <mergeCell ref="E311:E312"/>
    <mergeCell ref="B316:B317"/>
    <mergeCell ref="C316:C317"/>
    <mergeCell ref="E318:E335"/>
    <mergeCell ref="J308:J335"/>
    <mergeCell ref="A278:A307"/>
    <mergeCell ref="B278:B280"/>
    <mergeCell ref="C278:C280"/>
    <mergeCell ref="R278:R307"/>
    <mergeCell ref="S278:S307"/>
    <mergeCell ref="B281:B285"/>
    <mergeCell ref="C281:C284"/>
    <mergeCell ref="E281:E282"/>
    <mergeCell ref="B286:B288"/>
    <mergeCell ref="C286:C288"/>
    <mergeCell ref="E289:E307"/>
    <mergeCell ref="E279:E280"/>
    <mergeCell ref="C299:C300"/>
    <mergeCell ref="B299:B300"/>
    <mergeCell ref="A250:A277"/>
    <mergeCell ref="B250:B251"/>
    <mergeCell ref="C250:C251"/>
    <mergeCell ref="R250:R277"/>
    <mergeCell ref="S250:S277"/>
    <mergeCell ref="B252:B257"/>
    <mergeCell ref="C252:C256"/>
    <mergeCell ref="E252:E253"/>
    <mergeCell ref="E261:E277"/>
    <mergeCell ref="C258:C260"/>
    <mergeCell ref="B258:B260"/>
    <mergeCell ref="E259:E260"/>
    <mergeCell ref="E254:E255"/>
    <mergeCell ref="A225:A249"/>
    <mergeCell ref="B225:B226"/>
    <mergeCell ref="C225:C226"/>
    <mergeCell ref="R225:R249"/>
    <mergeCell ref="S225:S249"/>
    <mergeCell ref="B227:B232"/>
    <mergeCell ref="C227:C231"/>
    <mergeCell ref="E227:E229"/>
    <mergeCell ref="B233:B234"/>
    <mergeCell ref="C233:C234"/>
    <mergeCell ref="E235:E249"/>
    <mergeCell ref="A202:A224"/>
    <mergeCell ref="B202:B203"/>
    <mergeCell ref="C202:C203"/>
    <mergeCell ref="R202:R224"/>
    <mergeCell ref="S202:S224"/>
    <mergeCell ref="B204:B208"/>
    <mergeCell ref="C204:C207"/>
    <mergeCell ref="E204:E205"/>
    <mergeCell ref="E210:E224"/>
    <mergeCell ref="R156:R178"/>
    <mergeCell ref="S156:S178"/>
    <mergeCell ref="C158:C161"/>
    <mergeCell ref="E158:E159"/>
    <mergeCell ref="B163:B164"/>
    <mergeCell ref="C163:C164"/>
    <mergeCell ref="E165:E178"/>
    <mergeCell ref="B570:B578"/>
    <mergeCell ref="E577:E578"/>
    <mergeCell ref="J567:J612"/>
    <mergeCell ref="R567:R612"/>
    <mergeCell ref="S567:S612"/>
    <mergeCell ref="C590:C591"/>
    <mergeCell ref="B179:B180"/>
    <mergeCell ref="C179:C180"/>
    <mergeCell ref="R179:R201"/>
    <mergeCell ref="S179:S201"/>
    <mergeCell ref="B181:B186"/>
    <mergeCell ref="C181:C185"/>
    <mergeCell ref="E181:E182"/>
    <mergeCell ref="E188:E201"/>
    <mergeCell ref="E183:E184"/>
    <mergeCell ref="C567:C569"/>
    <mergeCell ref="B567:B569"/>
    <mergeCell ref="R46:R70"/>
    <mergeCell ref="S46:S70"/>
    <mergeCell ref="B48:B52"/>
    <mergeCell ref="C48:C52"/>
    <mergeCell ref="E48:E49"/>
    <mergeCell ref="E56:E70"/>
    <mergeCell ref="C53:C55"/>
    <mergeCell ref="B53:B55"/>
    <mergeCell ref="I46:I70"/>
    <mergeCell ref="B64:B65"/>
    <mergeCell ref="C64:C65"/>
    <mergeCell ref="U2:U3"/>
    <mergeCell ref="V2:V3"/>
    <mergeCell ref="W2:W3"/>
    <mergeCell ref="M2:M3"/>
    <mergeCell ref="N2:N3"/>
    <mergeCell ref="O2:O3"/>
    <mergeCell ref="P2:P3"/>
    <mergeCell ref="Q2:Q3"/>
    <mergeCell ref="R2:S2"/>
    <mergeCell ref="T2:T3"/>
    <mergeCell ref="G2:G3"/>
    <mergeCell ref="H2:H3"/>
    <mergeCell ref="A25:A45"/>
    <mergeCell ref="B25:B26"/>
    <mergeCell ref="C25:C26"/>
    <mergeCell ref="R25:R45"/>
    <mergeCell ref="S25:S45"/>
    <mergeCell ref="B27:B30"/>
    <mergeCell ref="C27:C30"/>
    <mergeCell ref="E27:E28"/>
    <mergeCell ref="I2:I3"/>
    <mergeCell ref="J2:J3"/>
    <mergeCell ref="K2:K3"/>
    <mergeCell ref="L2:L3"/>
    <mergeCell ref="A2:A3"/>
    <mergeCell ref="B2:B3"/>
    <mergeCell ref="C2:C3"/>
    <mergeCell ref="D2:D3"/>
    <mergeCell ref="E2:E3"/>
    <mergeCell ref="F2:F3"/>
    <mergeCell ref="B31:B32"/>
    <mergeCell ref="C31:C32"/>
    <mergeCell ref="E33:E45"/>
    <mergeCell ref="A567:A612"/>
    <mergeCell ref="I567:I612"/>
    <mergeCell ref="B585:B586"/>
    <mergeCell ref="C585:C586"/>
    <mergeCell ref="E585:E612"/>
    <mergeCell ref="B588:B589"/>
    <mergeCell ref="B594:B595"/>
    <mergeCell ref="C594:C595"/>
    <mergeCell ref="C588:C589"/>
    <mergeCell ref="C570:C577"/>
    <mergeCell ref="E570:E572"/>
    <mergeCell ref="E573:E574"/>
    <mergeCell ref="E575:E576"/>
    <mergeCell ref="B610:B611"/>
    <mergeCell ref="C610:C611"/>
    <mergeCell ref="B590:B591"/>
    <mergeCell ref="E568:E569"/>
    <mergeCell ref="C602:C603"/>
    <mergeCell ref="B602:B603"/>
    <mergeCell ref="E579:E580"/>
    <mergeCell ref="C579:C584"/>
    <mergeCell ref="B579:B584"/>
    <mergeCell ref="E583:E584"/>
    <mergeCell ref="C598:C600"/>
    <mergeCell ref="A46:A70"/>
    <mergeCell ref="B46:B47"/>
    <mergeCell ref="C46:C47"/>
    <mergeCell ref="B158:B162"/>
    <mergeCell ref="A91:A110"/>
    <mergeCell ref="B91:B92"/>
    <mergeCell ref="C91:C92"/>
    <mergeCell ref="A111:A132"/>
    <mergeCell ref="B111:B112"/>
    <mergeCell ref="C111:C112"/>
    <mergeCell ref="A133:A155"/>
    <mergeCell ref="B133:B134"/>
    <mergeCell ref="C133:C134"/>
    <mergeCell ref="A156:A178"/>
    <mergeCell ref="B156:B157"/>
    <mergeCell ref="C156:C157"/>
    <mergeCell ref="A179:A201"/>
    <mergeCell ref="C4:C5"/>
    <mergeCell ref="R4:R24"/>
    <mergeCell ref="S4:S24"/>
    <mergeCell ref="B6:B9"/>
    <mergeCell ref="C6:C9"/>
    <mergeCell ref="E11:E24"/>
    <mergeCell ref="J4:J24"/>
    <mergeCell ref="A4:A24"/>
    <mergeCell ref="B4:B5"/>
    <mergeCell ref="E7:E8"/>
    <mergeCell ref="R91:R110"/>
    <mergeCell ref="S91:S110"/>
    <mergeCell ref="B93:B95"/>
    <mergeCell ref="C93:C95"/>
    <mergeCell ref="E97:E110"/>
    <mergeCell ref="A71:A90"/>
    <mergeCell ref="B71:B72"/>
    <mergeCell ref="C71:C72"/>
    <mergeCell ref="R71:R90"/>
    <mergeCell ref="S71:S90"/>
    <mergeCell ref="B73:B75"/>
    <mergeCell ref="C73:C75"/>
    <mergeCell ref="E77:E90"/>
    <mergeCell ref="R133:R155"/>
    <mergeCell ref="S133:S155"/>
    <mergeCell ref="B135:B139"/>
    <mergeCell ref="C135:C139"/>
    <mergeCell ref="E135:E137"/>
    <mergeCell ref="B140:B141"/>
    <mergeCell ref="C140:C141"/>
    <mergeCell ref="E142:E155"/>
    <mergeCell ref="R111:R132"/>
    <mergeCell ref="S111:S132"/>
    <mergeCell ref="B113:B117"/>
    <mergeCell ref="C113:C117"/>
    <mergeCell ref="E113:E114"/>
    <mergeCell ref="E119:E132"/>
    <mergeCell ref="E115:E116"/>
    <mergeCell ref="B598:B600"/>
    <mergeCell ref="C530:C531"/>
    <mergeCell ref="B530:B531"/>
    <mergeCell ref="R480:R506"/>
    <mergeCell ref="S480:S506"/>
    <mergeCell ref="E481:E482"/>
    <mergeCell ref="B483:B487"/>
    <mergeCell ref="C483:C486"/>
    <mergeCell ref="E483:E484"/>
    <mergeCell ref="B488:B490"/>
    <mergeCell ref="C488:C490"/>
    <mergeCell ref="E488:E489"/>
    <mergeCell ref="E491:E506"/>
    <mergeCell ref="B547:B549"/>
    <mergeCell ref="C547:C549"/>
    <mergeCell ref="E550:E566"/>
    <mergeCell ref="E547:E548"/>
    <mergeCell ref="E543:E544"/>
  </mergeCells>
  <pageMargins left="0.16" right="0.16" top="0.16" bottom="1.29" header="0.16" footer="0.16"/>
  <pageSetup paperSize="9" scale="45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Q341"/>
  <sheetViews>
    <sheetView zoomScale="80" zoomScaleNormal="80" workbookViewId="0">
      <pane xSplit="1" ySplit="4" topLeftCell="BW5" activePane="bottomRight" state="frozen"/>
      <selection activeCell="K16" sqref="K16"/>
      <selection pane="topRight" activeCell="K16" sqref="K16"/>
      <selection pane="bottomLeft" activeCell="K16" sqref="K16"/>
      <selection pane="bottomRight" activeCell="CV323" sqref="CV323"/>
    </sheetView>
  </sheetViews>
  <sheetFormatPr defaultRowHeight="15"/>
  <cols>
    <col min="1" max="1" width="95.28515625" style="4" customWidth="1"/>
    <col min="2" max="2" width="10.7109375" style="4" hidden="1" customWidth="1"/>
    <col min="3" max="3" width="9.140625" style="4" hidden="1" customWidth="1"/>
    <col min="4" max="4" width="9.7109375" style="4" hidden="1" customWidth="1"/>
    <col min="5" max="29" width="21" style="139" hidden="1" customWidth="1"/>
    <col min="30" max="31" width="9.140625" style="4" hidden="1" customWidth="1"/>
    <col min="32" max="32" width="10.28515625" style="4" hidden="1" customWidth="1"/>
    <col min="33" max="34" width="9.140625" style="4" hidden="1" customWidth="1"/>
    <col min="35" max="35" width="10.28515625" style="4" hidden="1" customWidth="1"/>
    <col min="36" max="37" width="9.140625" style="4" hidden="1" customWidth="1"/>
    <col min="38" max="38" width="9.7109375" style="4" hidden="1" customWidth="1"/>
    <col min="39" max="40" width="9.140625" style="4" hidden="1" customWidth="1"/>
    <col min="41" max="41" width="10.85546875" style="4" hidden="1" customWidth="1"/>
    <col min="42" max="43" width="9.140625" style="4" hidden="1" customWidth="1"/>
    <col min="44" max="44" width="9.85546875" style="4" hidden="1" customWidth="1"/>
    <col min="45" max="46" width="9.140625" style="4" hidden="1" customWidth="1"/>
    <col min="47" max="47" width="9.7109375" style="4" hidden="1" customWidth="1"/>
    <col min="48" max="49" width="9.140625" style="4" hidden="1" customWidth="1"/>
    <col min="50" max="50" width="9.7109375" style="4" hidden="1" customWidth="1"/>
    <col min="51" max="52" width="9.140625" style="4" hidden="1" customWidth="1"/>
    <col min="53" max="53" width="9.85546875" style="4" hidden="1" customWidth="1"/>
    <col min="54" max="55" width="9.140625" style="4" hidden="1" customWidth="1"/>
    <col min="56" max="56" width="9.5703125" style="4" hidden="1" customWidth="1"/>
    <col min="57" max="58" width="9.140625" style="4" hidden="1" customWidth="1"/>
    <col min="59" max="59" width="10.28515625" style="4" hidden="1" customWidth="1"/>
    <col min="60" max="60" width="9.7109375" style="4" hidden="1" customWidth="1"/>
    <col min="61" max="61" width="9.140625" style="4" hidden="1" customWidth="1"/>
    <col min="62" max="62" width="10.28515625" style="4" hidden="1" customWidth="1"/>
    <col min="63" max="64" width="9.140625" style="4" hidden="1" customWidth="1"/>
    <col min="65" max="65" width="10.42578125" style="4" hidden="1" customWidth="1"/>
    <col min="66" max="66" width="9.140625" style="4" hidden="1" customWidth="1"/>
    <col min="67" max="67" width="10.28515625" style="4" hidden="1" customWidth="1"/>
    <col min="68" max="68" width="10.42578125" style="4" hidden="1" customWidth="1"/>
    <col min="69" max="70" width="9.140625" style="4" hidden="1" customWidth="1"/>
    <col min="71" max="71" width="10" style="4" hidden="1" customWidth="1"/>
    <col min="72" max="73" width="9.140625" style="4" hidden="1" customWidth="1"/>
    <col min="74" max="74" width="9.85546875" style="4" hidden="1" customWidth="1"/>
    <col min="75" max="76" width="9.140625" style="4" customWidth="1"/>
    <col min="77" max="77" width="9.5703125" style="4" customWidth="1"/>
    <col min="78" max="79" width="9.140625" style="4" customWidth="1"/>
    <col min="80" max="80" width="10.28515625" style="4" customWidth="1"/>
    <col min="81" max="81" width="9.7109375" style="4" customWidth="1"/>
    <col min="82" max="82" width="9.140625" style="4" customWidth="1"/>
    <col min="83" max="83" width="10.42578125" style="4" customWidth="1"/>
    <col min="84" max="85" width="9.140625" style="4" customWidth="1"/>
    <col min="86" max="86" width="9.5703125" style="4" customWidth="1"/>
    <col min="87" max="88" width="9.140625" style="4" customWidth="1"/>
    <col min="89" max="89" width="10.28515625" style="4" customWidth="1"/>
    <col min="90" max="90" width="10.7109375" style="4" customWidth="1"/>
    <col min="91" max="91" width="9.140625" style="4" customWidth="1"/>
    <col min="92" max="92" width="10.42578125" style="4" customWidth="1"/>
    <col min="93" max="93" width="9.140625" style="4" customWidth="1"/>
    <col min="94" max="94" width="10.7109375" style="4" customWidth="1"/>
    <col min="95" max="95" width="9.85546875" style="4" customWidth="1"/>
    <col min="96" max="97" width="9.140625" style="4" customWidth="1"/>
    <col min="98" max="98" width="10.7109375" style="4" customWidth="1"/>
    <col min="99" max="100" width="9.140625" style="4" customWidth="1"/>
    <col min="101" max="101" width="10.7109375" style="4" customWidth="1"/>
    <col min="102" max="102" width="9.7109375" style="4" customWidth="1"/>
    <col min="103" max="103" width="9.140625" style="4" customWidth="1"/>
    <col min="104" max="104" width="9.85546875" style="4" customWidth="1"/>
    <col min="105" max="106" width="9.140625" style="4" customWidth="1"/>
    <col min="107" max="107" width="9.5703125" style="4" customWidth="1"/>
    <col min="108" max="109" width="9.140625" style="4" customWidth="1"/>
    <col min="110" max="110" width="9.7109375" style="4" customWidth="1"/>
    <col min="111" max="111" width="10.7109375" style="4" customWidth="1"/>
    <col min="112" max="112" width="9.140625" style="4" customWidth="1"/>
    <col min="113" max="113" width="9.7109375" style="4" customWidth="1"/>
    <col min="114" max="114" width="10.7109375" style="4" customWidth="1"/>
    <col min="115" max="115" width="9.140625" style="4" customWidth="1"/>
    <col min="116" max="116" width="9.7109375" style="4" customWidth="1"/>
    <col min="117" max="117" width="10.7109375" style="4" customWidth="1"/>
    <col min="118" max="118" width="9.140625" style="4" customWidth="1"/>
    <col min="119" max="119" width="9.7109375" style="4" customWidth="1"/>
    <col min="120" max="16384" width="9.140625" style="5"/>
  </cols>
  <sheetData>
    <row r="1" spans="1:119" ht="44.25" customHeight="1">
      <c r="A1" s="21" t="s">
        <v>93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S1" s="21"/>
      <c r="AW1" s="29"/>
      <c r="AY1" s="21"/>
      <c r="AZ1" s="21"/>
      <c r="BA1" s="21"/>
      <c r="BB1" s="21"/>
      <c r="BE1" s="21"/>
      <c r="BF1" s="21"/>
      <c r="BG1" s="21"/>
      <c r="BH1" s="21"/>
      <c r="BK1" s="14"/>
      <c r="BN1" s="14"/>
      <c r="BQ1" s="14"/>
      <c r="BT1" s="14"/>
      <c r="BW1" s="14"/>
      <c r="BZ1" s="14"/>
      <c r="CA1" s="14"/>
      <c r="CB1" s="14"/>
      <c r="CC1" s="14"/>
      <c r="CF1" s="14"/>
      <c r="CI1" s="14"/>
      <c r="CR1" s="14"/>
      <c r="CX1" s="14"/>
      <c r="DD1" s="14"/>
    </row>
    <row r="2" spans="1:119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BQ2" s="306"/>
      <c r="BW2" s="258"/>
      <c r="BZ2" s="258"/>
      <c r="CA2" s="258"/>
      <c r="CC2" s="306"/>
      <c r="CD2" s="306"/>
      <c r="CF2" s="306"/>
      <c r="CG2" s="306"/>
      <c r="CI2" s="306"/>
      <c r="CJ2" s="306"/>
      <c r="CL2" s="306"/>
      <c r="CM2" s="306"/>
      <c r="CO2" s="306"/>
      <c r="CP2" s="306"/>
    </row>
    <row r="3" spans="1:119" ht="20.25" customHeight="1">
      <c r="A3" s="6"/>
      <c r="B3" s="240">
        <v>46137</v>
      </c>
      <c r="C3" s="6" t="s">
        <v>26</v>
      </c>
      <c r="D3" s="6" t="s">
        <v>0</v>
      </c>
      <c r="E3" s="33" t="s">
        <v>36</v>
      </c>
      <c r="F3" s="33" t="s">
        <v>36</v>
      </c>
      <c r="G3" s="33" t="s">
        <v>36</v>
      </c>
      <c r="H3" s="33" t="s">
        <v>36</v>
      </c>
      <c r="I3" s="33" t="s">
        <v>36</v>
      </c>
      <c r="J3" s="33" t="s">
        <v>36</v>
      </c>
      <c r="K3" s="33" t="s">
        <v>36</v>
      </c>
      <c r="L3" s="33" t="s">
        <v>36</v>
      </c>
      <c r="M3" s="33" t="s">
        <v>36</v>
      </c>
      <c r="N3" s="33" t="s">
        <v>36</v>
      </c>
      <c r="O3" s="33" t="s">
        <v>36</v>
      </c>
      <c r="P3" s="33" t="s">
        <v>36</v>
      </c>
      <c r="Q3" s="33" t="s">
        <v>36</v>
      </c>
      <c r="R3" s="33" t="s">
        <v>36</v>
      </c>
      <c r="S3" s="33" t="s">
        <v>36</v>
      </c>
      <c r="T3" s="33" t="s">
        <v>36</v>
      </c>
      <c r="U3" s="33" t="s">
        <v>36</v>
      </c>
      <c r="V3" s="33" t="s">
        <v>36</v>
      </c>
      <c r="W3" s="33" t="s">
        <v>36</v>
      </c>
      <c r="X3" s="33" t="s">
        <v>36</v>
      </c>
      <c r="Y3" s="33" t="s">
        <v>36</v>
      </c>
      <c r="Z3" s="33" t="s">
        <v>36</v>
      </c>
      <c r="AA3" s="33" t="s">
        <v>36</v>
      </c>
      <c r="AB3" s="33" t="s">
        <v>36</v>
      </c>
      <c r="AC3" s="33" t="s">
        <v>36</v>
      </c>
      <c r="AD3" s="6" t="s">
        <v>330</v>
      </c>
      <c r="AE3" s="6" t="s">
        <v>4</v>
      </c>
      <c r="AF3" s="6" t="s">
        <v>0</v>
      </c>
      <c r="AG3" s="6" t="s">
        <v>331</v>
      </c>
      <c r="AH3" s="6" t="s">
        <v>4</v>
      </c>
      <c r="AI3" s="6" t="s">
        <v>0</v>
      </c>
      <c r="AJ3" s="6" t="s">
        <v>332</v>
      </c>
      <c r="AK3" s="6" t="s">
        <v>4</v>
      </c>
      <c r="AL3" s="6" t="s">
        <v>2</v>
      </c>
      <c r="AM3" s="6" t="s">
        <v>333</v>
      </c>
      <c r="AN3" s="6" t="s">
        <v>26</v>
      </c>
      <c r="AO3" s="6" t="s">
        <v>0</v>
      </c>
      <c r="AP3" s="6" t="s">
        <v>334</v>
      </c>
      <c r="AQ3" s="6" t="s">
        <v>4</v>
      </c>
      <c r="AR3" s="6" t="s">
        <v>0</v>
      </c>
      <c r="AS3" s="6" t="s">
        <v>335</v>
      </c>
      <c r="AT3" s="6" t="s">
        <v>4</v>
      </c>
      <c r="AU3" s="6" t="s">
        <v>0</v>
      </c>
      <c r="AV3" s="6" t="s">
        <v>336</v>
      </c>
      <c r="AW3" s="6" t="s">
        <v>4</v>
      </c>
      <c r="AX3" s="6" t="s">
        <v>0</v>
      </c>
      <c r="AY3" s="6" t="s">
        <v>337</v>
      </c>
      <c r="AZ3" s="6" t="s">
        <v>4</v>
      </c>
      <c r="BA3" s="6" t="s">
        <v>0</v>
      </c>
      <c r="BB3" s="6" t="s">
        <v>338</v>
      </c>
      <c r="BC3" s="6" t="s">
        <v>4</v>
      </c>
      <c r="BD3" s="6" t="s">
        <v>0</v>
      </c>
      <c r="BE3" s="6" t="s">
        <v>339</v>
      </c>
      <c r="BF3" s="6" t="s">
        <v>4</v>
      </c>
      <c r="BG3" s="6" t="s">
        <v>0</v>
      </c>
      <c r="BH3" s="6" t="s">
        <v>340</v>
      </c>
      <c r="BI3" s="6" t="s">
        <v>26</v>
      </c>
      <c r="BJ3" s="6" t="s">
        <v>2</v>
      </c>
      <c r="BK3" s="6" t="s">
        <v>341</v>
      </c>
      <c r="BL3" s="6" t="s">
        <v>26</v>
      </c>
      <c r="BM3" s="6" t="s">
        <v>2</v>
      </c>
      <c r="BN3" s="6" t="s">
        <v>342</v>
      </c>
      <c r="BO3" s="6" t="s">
        <v>26</v>
      </c>
      <c r="BP3" s="6" t="s">
        <v>2</v>
      </c>
      <c r="BQ3" s="6" t="s">
        <v>343</v>
      </c>
      <c r="BR3" s="6" t="s">
        <v>26</v>
      </c>
      <c r="BS3" s="6" t="s">
        <v>2</v>
      </c>
      <c r="BT3" s="6" t="s">
        <v>344</v>
      </c>
      <c r="BU3" s="6" t="s">
        <v>26</v>
      </c>
      <c r="BV3" s="6" t="s">
        <v>2</v>
      </c>
      <c r="BW3" s="6" t="s">
        <v>345</v>
      </c>
      <c r="BX3" s="6" t="s">
        <v>26</v>
      </c>
      <c r="BY3" s="6" t="s">
        <v>0</v>
      </c>
      <c r="BZ3" s="6" t="s">
        <v>346</v>
      </c>
      <c r="CA3" s="6" t="s">
        <v>26</v>
      </c>
      <c r="CB3" s="6" t="s">
        <v>0</v>
      </c>
      <c r="CC3" s="6" t="s">
        <v>347</v>
      </c>
      <c r="CD3" s="6" t="s">
        <v>26</v>
      </c>
      <c r="CE3" s="6" t="s">
        <v>0</v>
      </c>
      <c r="CF3" s="6" t="s">
        <v>348</v>
      </c>
      <c r="CG3" s="6" t="s">
        <v>26</v>
      </c>
      <c r="CH3" s="6" t="s">
        <v>0</v>
      </c>
      <c r="CI3" s="6" t="s">
        <v>349</v>
      </c>
      <c r="CJ3" s="6" t="s">
        <v>26</v>
      </c>
      <c r="CK3" s="6" t="s">
        <v>0</v>
      </c>
      <c r="CL3" s="6" t="s">
        <v>350</v>
      </c>
      <c r="CM3" s="6" t="s">
        <v>26</v>
      </c>
      <c r="CN3" s="6" t="s">
        <v>0</v>
      </c>
      <c r="CO3" s="6" t="s">
        <v>351</v>
      </c>
      <c r="CP3" s="6" t="s">
        <v>26</v>
      </c>
      <c r="CQ3" s="6" t="s">
        <v>0</v>
      </c>
      <c r="CR3" s="6" t="s">
        <v>352</v>
      </c>
      <c r="CS3" s="6" t="s">
        <v>26</v>
      </c>
      <c r="CT3" s="6" t="s">
        <v>0</v>
      </c>
      <c r="CU3" s="6" t="s">
        <v>353</v>
      </c>
      <c r="CV3" s="6" t="s">
        <v>26</v>
      </c>
      <c r="CW3" s="6" t="s">
        <v>0</v>
      </c>
      <c r="CX3" s="6" t="s">
        <v>354</v>
      </c>
      <c r="CY3" s="6" t="s">
        <v>26</v>
      </c>
      <c r="CZ3" s="6" t="s">
        <v>0</v>
      </c>
      <c r="DA3" s="6" t="s">
        <v>355</v>
      </c>
      <c r="DB3" s="6" t="s">
        <v>26</v>
      </c>
      <c r="DC3" s="6" t="s">
        <v>0</v>
      </c>
      <c r="DD3" s="6" t="s">
        <v>356</v>
      </c>
      <c r="DE3" s="6" t="s">
        <v>4</v>
      </c>
      <c r="DF3" s="6" t="s">
        <v>0</v>
      </c>
      <c r="DG3" s="6" t="s">
        <v>357</v>
      </c>
      <c r="DH3" s="6" t="s">
        <v>26</v>
      </c>
      <c r="DI3" s="6" t="s">
        <v>0</v>
      </c>
      <c r="DJ3" s="6" t="s">
        <v>358</v>
      </c>
      <c r="DK3" s="6" t="s">
        <v>26</v>
      </c>
      <c r="DL3" s="6" t="s">
        <v>0</v>
      </c>
      <c r="DM3" s="6" t="s">
        <v>359</v>
      </c>
      <c r="DN3" s="6" t="s">
        <v>26</v>
      </c>
      <c r="DO3" s="6" t="s">
        <v>0</v>
      </c>
    </row>
    <row r="4" spans="1:119">
      <c r="A4" s="6" t="s">
        <v>35</v>
      </c>
      <c r="B4" s="6"/>
      <c r="C4" s="6"/>
      <c r="D4" s="6"/>
      <c r="E4" s="140">
        <v>46137</v>
      </c>
      <c r="F4" s="140">
        <v>46146</v>
      </c>
      <c r="G4" s="140">
        <v>46147</v>
      </c>
      <c r="H4" s="140">
        <v>46148</v>
      </c>
      <c r="I4" s="140">
        <v>46149</v>
      </c>
      <c r="J4" s="140">
        <v>46150</v>
      </c>
      <c r="K4" s="140">
        <v>46151</v>
      </c>
      <c r="L4" s="140">
        <v>46153</v>
      </c>
      <c r="M4" s="140">
        <v>46154</v>
      </c>
      <c r="N4" s="140">
        <v>46155</v>
      </c>
      <c r="O4" s="140">
        <v>46156</v>
      </c>
      <c r="P4" s="140">
        <v>46157</v>
      </c>
      <c r="Q4" s="140">
        <v>46158</v>
      </c>
      <c r="R4" s="140">
        <v>46160</v>
      </c>
      <c r="S4" s="140">
        <v>46161</v>
      </c>
      <c r="T4" s="140">
        <v>46162</v>
      </c>
      <c r="U4" s="140">
        <v>46163</v>
      </c>
      <c r="V4" s="140">
        <v>46164</v>
      </c>
      <c r="W4" s="140">
        <v>46165</v>
      </c>
      <c r="X4" s="140">
        <v>46167</v>
      </c>
      <c r="Y4" s="140">
        <v>46168</v>
      </c>
      <c r="Z4" s="140">
        <v>46169</v>
      </c>
      <c r="AA4" s="140">
        <v>46170</v>
      </c>
      <c r="AB4" s="140">
        <v>46171</v>
      </c>
      <c r="AC4" s="140">
        <v>46172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</row>
    <row r="5" spans="1:119">
      <c r="A5" s="6">
        <v>1</v>
      </c>
      <c r="B5" s="6">
        <v>850</v>
      </c>
      <c r="C5" s="6"/>
      <c r="D5" s="6">
        <v>204</v>
      </c>
      <c r="E5" s="33" t="s">
        <v>37</v>
      </c>
      <c r="F5" s="33" t="s">
        <v>37</v>
      </c>
      <c r="G5" s="33" t="s">
        <v>37</v>
      </c>
      <c r="H5" s="33" t="s">
        <v>37</v>
      </c>
      <c r="I5" s="33" t="s">
        <v>37</v>
      </c>
      <c r="J5" s="33" t="s">
        <v>37</v>
      </c>
      <c r="K5" s="33" t="s">
        <v>37</v>
      </c>
      <c r="L5" s="33" t="s">
        <v>37</v>
      </c>
      <c r="M5" s="33" t="s">
        <v>37</v>
      </c>
      <c r="N5" s="33" t="s">
        <v>37</v>
      </c>
      <c r="O5" s="33" t="s">
        <v>37</v>
      </c>
      <c r="P5" s="148" t="s">
        <v>37</v>
      </c>
      <c r="Q5" s="33" t="s">
        <v>37</v>
      </c>
      <c r="R5" s="33" t="s">
        <v>37</v>
      </c>
      <c r="S5" s="33" t="s">
        <v>37</v>
      </c>
      <c r="T5" s="33" t="s">
        <v>37</v>
      </c>
      <c r="U5" s="33" t="s">
        <v>37</v>
      </c>
      <c r="V5" s="33" t="s">
        <v>37</v>
      </c>
      <c r="W5" s="33" t="s">
        <v>37</v>
      </c>
      <c r="X5" s="33" t="s">
        <v>37</v>
      </c>
      <c r="Y5" s="33" t="s">
        <v>37</v>
      </c>
      <c r="Z5" s="33" t="s">
        <v>37</v>
      </c>
      <c r="AA5" s="33" t="s">
        <v>37</v>
      </c>
      <c r="AB5" s="33" t="s">
        <v>37</v>
      </c>
      <c r="AC5" s="33" t="s">
        <v>37</v>
      </c>
      <c r="AD5" s="6"/>
      <c r="AE5" s="6"/>
      <c r="AF5" s="35"/>
      <c r="AG5" s="6"/>
      <c r="AH5" s="6"/>
      <c r="AI5" s="35"/>
      <c r="AJ5" s="35"/>
      <c r="AK5" s="35"/>
      <c r="AL5" s="35"/>
      <c r="AM5" s="35">
        <v>1246</v>
      </c>
      <c r="AN5" s="6"/>
      <c r="AO5" s="35">
        <f t="shared" ref="AO5:AO68" si="0">AN5+AM5-B5</f>
        <v>396</v>
      </c>
      <c r="AP5" s="6">
        <v>192</v>
      </c>
      <c r="AQ5" s="6">
        <v>1420</v>
      </c>
      <c r="AR5" s="34">
        <f>AQ5+AP5-AM5</f>
        <v>366</v>
      </c>
      <c r="AS5" s="35">
        <v>541</v>
      </c>
      <c r="AT5" s="35"/>
      <c r="AU5" s="35">
        <f>AT5+AS5-AP5</f>
        <v>349</v>
      </c>
      <c r="AV5" s="6">
        <v>921</v>
      </c>
      <c r="AW5" s="6"/>
      <c r="AX5" s="35">
        <f>AW5+AV5-AS5</f>
        <v>380</v>
      </c>
      <c r="AY5" s="6">
        <v>1291</v>
      </c>
      <c r="AZ5" s="6"/>
      <c r="BA5" s="35">
        <f>AZ5+AY5-AV5</f>
        <v>370</v>
      </c>
      <c r="BB5" s="35">
        <v>100</v>
      </c>
      <c r="BC5" s="35">
        <v>1560</v>
      </c>
      <c r="BD5" s="35">
        <f>BC5+BB5-AY5</f>
        <v>369</v>
      </c>
      <c r="BE5" s="6"/>
      <c r="BF5" s="6"/>
      <c r="BG5" s="35"/>
      <c r="BH5" s="6">
        <v>474</v>
      </c>
      <c r="BI5" s="6"/>
      <c r="BJ5" s="35">
        <f>BI5+BH5-BB5</f>
        <v>374</v>
      </c>
      <c r="BK5" s="6">
        <v>850</v>
      </c>
      <c r="BL5" s="6"/>
      <c r="BM5" s="6">
        <f>BL5+BK5-BH5</f>
        <v>376</v>
      </c>
      <c r="BN5" s="6">
        <v>1226</v>
      </c>
      <c r="BO5" s="6"/>
      <c r="BP5" s="6">
        <f>BO5+BN5-BK5</f>
        <v>376</v>
      </c>
      <c r="BQ5" s="6">
        <v>0</v>
      </c>
      <c r="BR5" s="6">
        <v>1407</v>
      </c>
      <c r="BS5" s="35">
        <f>BR5+BQ5-BN5</f>
        <v>181</v>
      </c>
      <c r="BT5" s="6">
        <v>369</v>
      </c>
      <c r="BU5" s="6"/>
      <c r="BV5" s="6">
        <f>BU5+BT5-BQ5</f>
        <v>369</v>
      </c>
      <c r="BW5" s="6">
        <v>730</v>
      </c>
      <c r="BX5" s="6"/>
      <c r="BY5" s="35">
        <f>BX5+BW5-BT5</f>
        <v>361</v>
      </c>
      <c r="BZ5" s="6"/>
      <c r="CA5" s="6"/>
      <c r="CB5" s="6"/>
      <c r="CC5" s="6">
        <v>1099</v>
      </c>
      <c r="CD5" s="6"/>
      <c r="CE5" s="6">
        <f>CD5+CC5-BW5</f>
        <v>369</v>
      </c>
      <c r="CF5" s="6">
        <v>1461</v>
      </c>
      <c r="CG5" s="6"/>
      <c r="CH5" s="6">
        <f>CG5+CF5-CC5</f>
        <v>362</v>
      </c>
      <c r="CI5" s="6">
        <v>279</v>
      </c>
      <c r="CJ5" s="6">
        <v>1560</v>
      </c>
      <c r="CK5" s="6">
        <f>CJ5+CI5-CF5</f>
        <v>378</v>
      </c>
      <c r="CL5" s="6">
        <v>658</v>
      </c>
      <c r="CM5" s="6"/>
      <c r="CN5" s="6">
        <f>CM5+CL5-CI5</f>
        <v>379</v>
      </c>
      <c r="CO5" s="6">
        <v>1013</v>
      </c>
      <c r="CP5" s="6"/>
      <c r="CQ5" s="6">
        <f>CP5+CO5-CL5</f>
        <v>355</v>
      </c>
      <c r="CR5" s="6">
        <v>1355</v>
      </c>
      <c r="CS5" s="6"/>
      <c r="CT5" s="6">
        <f>CS5+CR5-CO5</f>
        <v>342</v>
      </c>
      <c r="CU5" s="6"/>
      <c r="CV5" s="6"/>
      <c r="CW5" s="6"/>
      <c r="CX5" s="6">
        <v>135</v>
      </c>
      <c r="CY5" s="6">
        <v>1560</v>
      </c>
      <c r="CZ5" s="6">
        <f>CY5+CX5-CR5</f>
        <v>340</v>
      </c>
      <c r="DA5" s="6">
        <v>458</v>
      </c>
      <c r="DB5" s="6"/>
      <c r="DC5" s="6">
        <f>DB5+DA5-CX5</f>
        <v>323</v>
      </c>
      <c r="DD5" s="6">
        <v>834</v>
      </c>
      <c r="DE5" s="6"/>
      <c r="DF5" s="6">
        <f>DE5+DD5-DA5</f>
        <v>376</v>
      </c>
      <c r="DG5" s="6">
        <v>143</v>
      </c>
      <c r="DH5" s="6">
        <v>1059</v>
      </c>
      <c r="DI5" s="6">
        <f>DH5+DG5-DD5</f>
        <v>368</v>
      </c>
      <c r="DJ5" s="6">
        <v>10</v>
      </c>
      <c r="DK5" s="6">
        <v>506</v>
      </c>
      <c r="DL5" s="6">
        <f>DK5+DJ5-DG5</f>
        <v>373</v>
      </c>
      <c r="DM5" s="6">
        <v>358</v>
      </c>
      <c r="DN5" s="6"/>
      <c r="DO5" s="6">
        <f>DN5+DM5-DJ5</f>
        <v>348</v>
      </c>
    </row>
    <row r="6" spans="1:119">
      <c r="A6" s="6">
        <v>2</v>
      </c>
      <c r="B6" s="6">
        <v>1214</v>
      </c>
      <c r="C6" s="6"/>
      <c r="D6" s="6">
        <v>213</v>
      </c>
      <c r="E6" s="33" t="s">
        <v>128</v>
      </c>
      <c r="F6" s="33" t="s">
        <v>128</v>
      </c>
      <c r="G6" s="33" t="s">
        <v>128</v>
      </c>
      <c r="H6" s="33" t="s">
        <v>128</v>
      </c>
      <c r="I6" s="33" t="s">
        <v>128</v>
      </c>
      <c r="J6" s="33" t="s">
        <v>128</v>
      </c>
      <c r="K6" s="33" t="s">
        <v>128</v>
      </c>
      <c r="L6" s="33" t="s">
        <v>128</v>
      </c>
      <c r="M6" s="33" t="s">
        <v>128</v>
      </c>
      <c r="N6" s="33" t="s">
        <v>128</v>
      </c>
      <c r="O6" s="148" t="s">
        <v>307</v>
      </c>
      <c r="P6" s="33" t="s">
        <v>307</v>
      </c>
      <c r="Q6" s="33" t="s">
        <v>307</v>
      </c>
      <c r="R6" s="33" t="s">
        <v>307</v>
      </c>
      <c r="S6" s="33" t="s">
        <v>307</v>
      </c>
      <c r="T6" s="33" t="s">
        <v>307</v>
      </c>
      <c r="U6" s="33" t="s">
        <v>307</v>
      </c>
      <c r="V6" s="33" t="s">
        <v>307</v>
      </c>
      <c r="W6" s="33" t="s">
        <v>307</v>
      </c>
      <c r="X6" s="33" t="s">
        <v>307</v>
      </c>
      <c r="Y6" s="33" t="s">
        <v>307</v>
      </c>
      <c r="Z6" s="33" t="s">
        <v>307</v>
      </c>
      <c r="AA6" s="33" t="s">
        <v>307</v>
      </c>
      <c r="AB6" s="33" t="s">
        <v>307</v>
      </c>
      <c r="AC6" s="33" t="s">
        <v>307</v>
      </c>
      <c r="AD6" s="6"/>
      <c r="AE6" s="6"/>
      <c r="AF6" s="35"/>
      <c r="AG6" s="6"/>
      <c r="AH6" s="6"/>
      <c r="AI6" s="35"/>
      <c r="AJ6" s="35"/>
      <c r="AK6" s="35"/>
      <c r="AL6" s="35"/>
      <c r="AM6" s="6">
        <v>54</v>
      </c>
      <c r="AN6" s="6">
        <v>1560</v>
      </c>
      <c r="AO6" s="35">
        <f t="shared" si="0"/>
        <v>400</v>
      </c>
      <c r="AP6" s="6">
        <v>450</v>
      </c>
      <c r="AQ6" s="6"/>
      <c r="AR6" s="34">
        <f t="shared" ref="AR6:AR69" si="1">AQ6+AP6-AM6</f>
        <v>396</v>
      </c>
      <c r="AS6" s="35">
        <v>844</v>
      </c>
      <c r="AT6" s="35"/>
      <c r="AU6" s="35">
        <f t="shared" ref="AU6:AU69" si="2">AT6+AS6-AP6</f>
        <v>394</v>
      </c>
      <c r="AV6" s="6">
        <v>1243</v>
      </c>
      <c r="AW6" s="6"/>
      <c r="AX6" s="35">
        <f t="shared" ref="AX6:AX69" si="3">AW6+AV6-AS6</f>
        <v>399</v>
      </c>
      <c r="AY6" s="6">
        <v>78</v>
      </c>
      <c r="AZ6" s="6">
        <v>1563</v>
      </c>
      <c r="BA6" s="35">
        <f t="shared" ref="BA6:BA69" si="4">AZ6+AY6-AV6</f>
        <v>398</v>
      </c>
      <c r="BB6" s="35">
        <v>464</v>
      </c>
      <c r="BC6" s="35"/>
      <c r="BD6" s="35">
        <f t="shared" ref="BD6:BD69" si="5">BC6+BB6-AY6</f>
        <v>386</v>
      </c>
      <c r="BE6" s="6"/>
      <c r="BF6" s="6"/>
      <c r="BG6" s="35"/>
      <c r="BH6" s="6">
        <v>857</v>
      </c>
      <c r="BI6" s="6"/>
      <c r="BJ6" s="35">
        <f t="shared" ref="BJ6:BJ69" si="6">BI6+BH6-BB6</f>
        <v>393</v>
      </c>
      <c r="BK6" s="6">
        <v>1254</v>
      </c>
      <c r="BL6" s="6"/>
      <c r="BM6" s="6">
        <f t="shared" ref="BM6:BM69" si="7">BL6+BK6-BH6</f>
        <v>397</v>
      </c>
      <c r="BN6" s="6">
        <v>0</v>
      </c>
      <c r="BO6" s="6">
        <v>1484</v>
      </c>
      <c r="BP6" s="6">
        <f t="shared" ref="BP6:BP69" si="8">BO6+BN6-BK6</f>
        <v>230</v>
      </c>
      <c r="BQ6" s="6">
        <v>344</v>
      </c>
      <c r="BR6" s="6"/>
      <c r="BS6" s="35">
        <f t="shared" ref="BS6:BS69" si="9">BR6+BQ6-BN6</f>
        <v>344</v>
      </c>
      <c r="BT6" s="6">
        <v>704</v>
      </c>
      <c r="BU6" s="6"/>
      <c r="BV6" s="6">
        <f t="shared" ref="BV6:BV69" si="10">BU6+BT6-BQ6</f>
        <v>360</v>
      </c>
      <c r="BW6" s="6">
        <v>1060</v>
      </c>
      <c r="BX6" s="6"/>
      <c r="BY6" s="35">
        <f t="shared" ref="BY6:BY69" si="11">BX6+BW6-BT6</f>
        <v>356</v>
      </c>
      <c r="BZ6" s="6"/>
      <c r="CA6" s="6"/>
      <c r="CB6" s="6"/>
      <c r="CC6" s="6">
        <v>1436</v>
      </c>
      <c r="CD6" s="6"/>
      <c r="CE6" s="6">
        <f t="shared" ref="CE6:CE69" si="12">CD6+CC6-BW6</f>
        <v>376</v>
      </c>
      <c r="CF6" s="6">
        <v>242</v>
      </c>
      <c r="CG6" s="6">
        <v>1560</v>
      </c>
      <c r="CH6" s="6">
        <f t="shared" ref="CH6:CH69" si="13">CG6+CF6-CC6</f>
        <v>366</v>
      </c>
      <c r="CI6" s="6">
        <v>622</v>
      </c>
      <c r="CJ6" s="6"/>
      <c r="CK6" s="6">
        <f t="shared" ref="CK6:CK69" si="14">CJ6+CI6-CF6</f>
        <v>380</v>
      </c>
      <c r="CL6" s="6">
        <v>1003</v>
      </c>
      <c r="CM6" s="6"/>
      <c r="CN6" s="6">
        <f t="shared" ref="CN6:CN69" si="15">CM6+CL6-CI6</f>
        <v>381</v>
      </c>
      <c r="CO6" s="6">
        <v>1374</v>
      </c>
      <c r="CP6" s="6"/>
      <c r="CQ6" s="6">
        <f t="shared" ref="CQ6:CQ69" si="16">CP6+CO6-CL6</f>
        <v>371</v>
      </c>
      <c r="CR6" s="6">
        <v>173</v>
      </c>
      <c r="CS6" s="6">
        <v>1560</v>
      </c>
      <c r="CT6" s="6">
        <f t="shared" ref="CT6:CT69" si="17">CS6+CR6-CO6</f>
        <v>359</v>
      </c>
      <c r="CU6" s="6"/>
      <c r="CV6" s="6"/>
      <c r="CW6" s="6"/>
      <c r="CX6" s="6">
        <v>568</v>
      </c>
      <c r="CY6" s="6"/>
      <c r="CZ6" s="6">
        <f t="shared" ref="CZ6:CZ69" si="18">CY6+CX6-CR6</f>
        <v>395</v>
      </c>
      <c r="DA6" s="6">
        <v>943</v>
      </c>
      <c r="DB6" s="6"/>
      <c r="DC6" s="6">
        <f t="shared" ref="DC6:DC69" si="19">DB6+DA6-CX6</f>
        <v>375</v>
      </c>
      <c r="DD6" s="6">
        <v>1333</v>
      </c>
      <c r="DE6" s="6"/>
      <c r="DF6" s="6">
        <f t="shared" ref="DF6:DF69" si="20">DE6+DD6-DA6</f>
        <v>390</v>
      </c>
      <c r="DG6" s="6">
        <v>165</v>
      </c>
      <c r="DH6" s="6">
        <v>1560</v>
      </c>
      <c r="DI6" s="6">
        <f t="shared" ref="DI6:DI69" si="21">DH6+DG6-DD6</f>
        <v>392</v>
      </c>
      <c r="DJ6" s="6">
        <v>559</v>
      </c>
      <c r="DK6" s="6"/>
      <c r="DL6" s="6">
        <f t="shared" ref="DL6:DL69" si="22">DK6+DJ6-DG6</f>
        <v>394</v>
      </c>
      <c r="DM6" s="6">
        <v>912</v>
      </c>
      <c r="DN6" s="6"/>
      <c r="DO6" s="6">
        <f t="shared" ref="DO6:DO69" si="23">DN6+DM6-DJ6</f>
        <v>353</v>
      </c>
    </row>
    <row r="7" spans="1:119">
      <c r="A7" s="6">
        <v>3</v>
      </c>
      <c r="B7" s="6">
        <v>589</v>
      </c>
      <c r="C7" s="6"/>
      <c r="D7" s="6">
        <v>208</v>
      </c>
      <c r="E7" s="33" t="s">
        <v>37</v>
      </c>
      <c r="F7" s="33" t="s">
        <v>37</v>
      </c>
      <c r="G7" s="148" t="s">
        <v>37</v>
      </c>
      <c r="H7" s="33" t="s">
        <v>37</v>
      </c>
      <c r="I7" s="33" t="s">
        <v>37</v>
      </c>
      <c r="J7" s="33" t="s">
        <v>37</v>
      </c>
      <c r="K7" s="33" t="s">
        <v>37</v>
      </c>
      <c r="L7" s="33" t="s">
        <v>37</v>
      </c>
      <c r="M7" s="33" t="s">
        <v>37</v>
      </c>
      <c r="N7" s="33" t="s">
        <v>37</v>
      </c>
      <c r="O7" s="33" t="s">
        <v>37</v>
      </c>
      <c r="P7" s="33" t="s">
        <v>37</v>
      </c>
      <c r="Q7" s="33" t="s">
        <v>37</v>
      </c>
      <c r="R7" s="33" t="s">
        <v>37</v>
      </c>
      <c r="S7" s="33" t="s">
        <v>37</v>
      </c>
      <c r="T7" s="33" t="s">
        <v>37</v>
      </c>
      <c r="U7" s="33" t="s">
        <v>37</v>
      </c>
      <c r="V7" s="33" t="s">
        <v>37</v>
      </c>
      <c r="W7" s="33" t="s">
        <v>37</v>
      </c>
      <c r="X7" s="33" t="s">
        <v>37</v>
      </c>
      <c r="Y7" s="33" t="s">
        <v>37</v>
      </c>
      <c r="Z7" s="33" t="s">
        <v>37</v>
      </c>
      <c r="AA7" s="33" t="s">
        <v>37</v>
      </c>
      <c r="AB7" s="33" t="s">
        <v>37</v>
      </c>
      <c r="AC7" s="148" t="s">
        <v>37</v>
      </c>
      <c r="AD7" s="6"/>
      <c r="AE7" s="6"/>
      <c r="AF7" s="35"/>
      <c r="AG7" s="6"/>
      <c r="AH7" s="6"/>
      <c r="AI7" s="35"/>
      <c r="AJ7" s="35"/>
      <c r="AK7" s="35"/>
      <c r="AL7" s="35"/>
      <c r="AM7" s="35">
        <v>978</v>
      </c>
      <c r="AN7" s="6"/>
      <c r="AO7" s="35">
        <f t="shared" si="0"/>
        <v>389</v>
      </c>
      <c r="AP7" s="6">
        <v>285</v>
      </c>
      <c r="AQ7" s="6">
        <v>1004</v>
      </c>
      <c r="AR7" s="34">
        <f t="shared" si="1"/>
        <v>311</v>
      </c>
      <c r="AS7" s="35">
        <v>662</v>
      </c>
      <c r="AT7" s="35"/>
      <c r="AU7" s="35">
        <f t="shared" si="2"/>
        <v>377</v>
      </c>
      <c r="AV7" s="6">
        <v>1043</v>
      </c>
      <c r="AW7" s="6"/>
      <c r="AX7" s="35">
        <f t="shared" si="3"/>
        <v>381</v>
      </c>
      <c r="AY7" s="6">
        <v>1408</v>
      </c>
      <c r="AZ7" s="6"/>
      <c r="BA7" s="35">
        <f t="shared" si="4"/>
        <v>365</v>
      </c>
      <c r="BB7" s="35">
        <v>199</v>
      </c>
      <c r="BC7" s="35">
        <v>1560</v>
      </c>
      <c r="BD7" s="35">
        <f t="shared" si="5"/>
        <v>351</v>
      </c>
      <c r="BE7" s="6"/>
      <c r="BF7" s="6"/>
      <c r="BG7" s="35"/>
      <c r="BH7" s="6">
        <v>581</v>
      </c>
      <c r="BI7" s="6"/>
      <c r="BJ7" s="35">
        <f t="shared" si="6"/>
        <v>382</v>
      </c>
      <c r="BK7" s="6">
        <v>945</v>
      </c>
      <c r="BL7" s="6"/>
      <c r="BM7" s="6">
        <f t="shared" si="7"/>
        <v>364</v>
      </c>
      <c r="BN7" s="6">
        <v>1327</v>
      </c>
      <c r="BO7" s="6"/>
      <c r="BP7" s="6">
        <f t="shared" si="8"/>
        <v>382</v>
      </c>
      <c r="BQ7" s="6">
        <v>137</v>
      </c>
      <c r="BR7" s="6">
        <v>1560</v>
      </c>
      <c r="BS7" s="35">
        <f t="shared" si="9"/>
        <v>370</v>
      </c>
      <c r="BT7" s="6">
        <v>504</v>
      </c>
      <c r="BU7" s="6"/>
      <c r="BV7" s="6">
        <f t="shared" si="10"/>
        <v>367</v>
      </c>
      <c r="BW7" s="6">
        <v>844</v>
      </c>
      <c r="BX7" s="6"/>
      <c r="BY7" s="35">
        <f t="shared" si="11"/>
        <v>340</v>
      </c>
      <c r="BZ7" s="6"/>
      <c r="CA7" s="6"/>
      <c r="CB7" s="6"/>
      <c r="CC7" s="6">
        <v>1211</v>
      </c>
      <c r="CD7" s="6"/>
      <c r="CE7" s="6">
        <f t="shared" si="12"/>
        <v>367</v>
      </c>
      <c r="CF7" s="6">
        <v>23</v>
      </c>
      <c r="CG7" s="6">
        <v>1560</v>
      </c>
      <c r="CH7" s="6">
        <f t="shared" si="13"/>
        <v>372</v>
      </c>
      <c r="CI7" s="6">
        <v>405</v>
      </c>
      <c r="CJ7" s="6"/>
      <c r="CK7" s="6">
        <f t="shared" si="14"/>
        <v>382</v>
      </c>
      <c r="CL7" s="6">
        <v>783</v>
      </c>
      <c r="CM7" s="6"/>
      <c r="CN7" s="6">
        <f t="shared" si="15"/>
        <v>378</v>
      </c>
      <c r="CO7" s="6">
        <v>1149</v>
      </c>
      <c r="CP7" s="6"/>
      <c r="CQ7" s="6">
        <f t="shared" si="16"/>
        <v>366</v>
      </c>
      <c r="CR7" s="6">
        <v>1492</v>
      </c>
      <c r="CS7" s="6"/>
      <c r="CT7" s="6">
        <f t="shared" si="17"/>
        <v>343</v>
      </c>
      <c r="CU7" s="6"/>
      <c r="CV7" s="6"/>
      <c r="CW7" s="6"/>
      <c r="CX7" s="6">
        <v>321</v>
      </c>
      <c r="CY7" s="6">
        <v>1555</v>
      </c>
      <c r="CZ7" s="6">
        <f t="shared" si="18"/>
        <v>384</v>
      </c>
      <c r="DA7" s="6">
        <v>687</v>
      </c>
      <c r="DB7" s="6"/>
      <c r="DC7" s="6">
        <f t="shared" si="19"/>
        <v>366</v>
      </c>
      <c r="DD7" s="6">
        <v>1059</v>
      </c>
      <c r="DE7" s="6"/>
      <c r="DF7" s="6">
        <f t="shared" si="20"/>
        <v>372</v>
      </c>
      <c r="DG7" s="6">
        <v>1435</v>
      </c>
      <c r="DH7" s="6"/>
      <c r="DI7" s="6">
        <f t="shared" si="21"/>
        <v>376</v>
      </c>
      <c r="DJ7" s="6">
        <v>0</v>
      </c>
      <c r="DK7" s="6">
        <v>1612</v>
      </c>
      <c r="DL7" s="6">
        <f t="shared" si="22"/>
        <v>177</v>
      </c>
      <c r="DM7" s="6">
        <v>330</v>
      </c>
      <c r="DN7" s="6"/>
      <c r="DO7" s="6">
        <f t="shared" si="23"/>
        <v>330</v>
      </c>
    </row>
    <row r="8" spans="1:119">
      <c r="A8" s="6">
        <v>4</v>
      </c>
      <c r="B8" s="6">
        <v>596</v>
      </c>
      <c r="C8" s="6"/>
      <c r="D8" s="6">
        <v>199</v>
      </c>
      <c r="E8" s="33" t="s">
        <v>307</v>
      </c>
      <c r="F8" s="33" t="s">
        <v>307</v>
      </c>
      <c r="G8" s="33" t="s">
        <v>307</v>
      </c>
      <c r="H8" s="33" t="s">
        <v>307</v>
      </c>
      <c r="I8" s="33" t="s">
        <v>307</v>
      </c>
      <c r="J8" s="33" t="s">
        <v>307</v>
      </c>
      <c r="K8" s="33" t="s">
        <v>307</v>
      </c>
      <c r="L8" s="33" t="s">
        <v>307</v>
      </c>
      <c r="M8" s="33" t="s">
        <v>307</v>
      </c>
      <c r="N8" s="33" t="s">
        <v>307</v>
      </c>
      <c r="O8" s="33" t="s">
        <v>307</v>
      </c>
      <c r="P8" s="33" t="s">
        <v>307</v>
      </c>
      <c r="Q8" s="33" t="s">
        <v>307</v>
      </c>
      <c r="R8" s="33" t="s">
        <v>307</v>
      </c>
      <c r="S8" s="33" t="s">
        <v>307</v>
      </c>
      <c r="T8" s="33" t="s">
        <v>307</v>
      </c>
      <c r="U8" s="33" t="s">
        <v>307</v>
      </c>
      <c r="V8" s="148" t="s">
        <v>37</v>
      </c>
      <c r="W8" s="33" t="s">
        <v>37</v>
      </c>
      <c r="X8" s="33" t="s">
        <v>37</v>
      </c>
      <c r="Y8" s="33" t="s">
        <v>37</v>
      </c>
      <c r="Z8" s="33" t="s">
        <v>37</v>
      </c>
      <c r="AA8" s="33" t="s">
        <v>37</v>
      </c>
      <c r="AB8" s="33" t="s">
        <v>37</v>
      </c>
      <c r="AC8" s="33" t="s">
        <v>37</v>
      </c>
      <c r="AD8" s="6"/>
      <c r="AE8" s="6"/>
      <c r="AF8" s="35"/>
      <c r="AG8" s="6"/>
      <c r="AH8" s="6"/>
      <c r="AI8" s="35"/>
      <c r="AJ8" s="35"/>
      <c r="AK8" s="35"/>
      <c r="AL8" s="35"/>
      <c r="AM8" s="6">
        <v>136</v>
      </c>
      <c r="AN8" s="6">
        <v>828</v>
      </c>
      <c r="AO8" s="35">
        <f t="shared" si="0"/>
        <v>368</v>
      </c>
      <c r="AP8" s="6">
        <v>487</v>
      </c>
      <c r="AQ8" s="6"/>
      <c r="AR8" s="34">
        <f t="shared" si="1"/>
        <v>351</v>
      </c>
      <c r="AS8" s="35">
        <v>837</v>
      </c>
      <c r="AT8" s="35"/>
      <c r="AU8" s="35">
        <f t="shared" si="2"/>
        <v>350</v>
      </c>
      <c r="AV8" s="6">
        <v>1197</v>
      </c>
      <c r="AW8" s="6"/>
      <c r="AX8" s="35">
        <f t="shared" si="3"/>
        <v>360</v>
      </c>
      <c r="AY8" s="6">
        <v>1554</v>
      </c>
      <c r="AZ8" s="6"/>
      <c r="BA8" s="35">
        <f t="shared" si="4"/>
        <v>357</v>
      </c>
      <c r="BB8" s="35">
        <v>344</v>
      </c>
      <c r="BC8" s="35">
        <v>1560</v>
      </c>
      <c r="BD8" s="35">
        <f t="shared" si="5"/>
        <v>350</v>
      </c>
      <c r="BE8" s="6"/>
      <c r="BF8" s="6"/>
      <c r="BG8" s="35"/>
      <c r="BH8" s="6">
        <v>710</v>
      </c>
      <c r="BI8" s="6"/>
      <c r="BJ8" s="35">
        <f t="shared" si="6"/>
        <v>366</v>
      </c>
      <c r="BK8" s="6">
        <v>1078</v>
      </c>
      <c r="BL8" s="6"/>
      <c r="BM8" s="6">
        <f t="shared" si="7"/>
        <v>368</v>
      </c>
      <c r="BN8" s="6">
        <v>1475</v>
      </c>
      <c r="BO8" s="6"/>
      <c r="BP8" s="6">
        <f t="shared" si="8"/>
        <v>397</v>
      </c>
      <c r="BQ8" s="6">
        <v>307</v>
      </c>
      <c r="BR8" s="6">
        <v>1560</v>
      </c>
      <c r="BS8" s="35">
        <f t="shared" si="9"/>
        <v>392</v>
      </c>
      <c r="BT8" s="6">
        <v>702</v>
      </c>
      <c r="BU8" s="6"/>
      <c r="BV8" s="6">
        <f t="shared" si="10"/>
        <v>395</v>
      </c>
      <c r="BW8" s="6">
        <v>1074</v>
      </c>
      <c r="BX8" s="6"/>
      <c r="BY8" s="35">
        <f t="shared" si="11"/>
        <v>372</v>
      </c>
      <c r="BZ8" s="6"/>
      <c r="CA8" s="6"/>
      <c r="CB8" s="6"/>
      <c r="CC8" s="6">
        <v>1475</v>
      </c>
      <c r="CD8" s="6"/>
      <c r="CE8" s="6">
        <f t="shared" si="12"/>
        <v>401</v>
      </c>
      <c r="CF8" s="6">
        <v>304</v>
      </c>
      <c r="CG8" s="6">
        <v>1560</v>
      </c>
      <c r="CH8" s="6">
        <f t="shared" si="13"/>
        <v>389</v>
      </c>
      <c r="CI8" s="6">
        <v>697</v>
      </c>
      <c r="CJ8" s="6"/>
      <c r="CK8" s="6">
        <f t="shared" si="14"/>
        <v>393</v>
      </c>
      <c r="CL8" s="6">
        <v>0</v>
      </c>
      <c r="CM8" s="6">
        <v>950</v>
      </c>
      <c r="CN8" s="6">
        <f t="shared" si="15"/>
        <v>253</v>
      </c>
      <c r="CO8" s="6">
        <v>347</v>
      </c>
      <c r="CP8" s="6"/>
      <c r="CQ8" s="6">
        <f t="shared" si="16"/>
        <v>347</v>
      </c>
      <c r="CR8" s="6">
        <v>681</v>
      </c>
      <c r="CS8" s="6"/>
      <c r="CT8" s="6">
        <f t="shared" si="17"/>
        <v>334</v>
      </c>
      <c r="CU8" s="6"/>
      <c r="CV8" s="6"/>
      <c r="CW8" s="6"/>
      <c r="CX8" s="6">
        <v>1058</v>
      </c>
      <c r="CY8" s="6"/>
      <c r="CZ8" s="6">
        <f t="shared" si="18"/>
        <v>377</v>
      </c>
      <c r="DA8" s="6">
        <v>1430</v>
      </c>
      <c r="DB8" s="6"/>
      <c r="DC8" s="6">
        <f t="shared" si="19"/>
        <v>372</v>
      </c>
      <c r="DD8" s="6">
        <v>231</v>
      </c>
      <c r="DE8" s="6">
        <v>1560</v>
      </c>
      <c r="DF8" s="6">
        <f t="shared" si="20"/>
        <v>361</v>
      </c>
      <c r="DG8" s="6">
        <v>614</v>
      </c>
      <c r="DH8" s="6"/>
      <c r="DI8" s="6">
        <f t="shared" si="21"/>
        <v>383</v>
      </c>
      <c r="DJ8" s="6">
        <v>987</v>
      </c>
      <c r="DK8" s="6"/>
      <c r="DL8" s="6">
        <f t="shared" si="22"/>
        <v>373</v>
      </c>
      <c r="DM8" s="6">
        <v>1339</v>
      </c>
      <c r="DN8" s="6"/>
      <c r="DO8" s="6">
        <f t="shared" si="23"/>
        <v>352</v>
      </c>
    </row>
    <row r="9" spans="1:119">
      <c r="A9" s="6">
        <v>5</v>
      </c>
      <c r="B9" s="6">
        <v>756</v>
      </c>
      <c r="C9" s="6"/>
      <c r="D9" s="6">
        <v>204</v>
      </c>
      <c r="E9" s="33" t="s">
        <v>37</v>
      </c>
      <c r="F9" s="33" t="s">
        <v>37</v>
      </c>
      <c r="G9" s="33" t="s">
        <v>37</v>
      </c>
      <c r="H9" s="33" t="s">
        <v>37</v>
      </c>
      <c r="I9" s="148" t="s">
        <v>37</v>
      </c>
      <c r="J9" s="33" t="s">
        <v>37</v>
      </c>
      <c r="K9" s="33" t="s">
        <v>37</v>
      </c>
      <c r="L9" s="33" t="s">
        <v>37</v>
      </c>
      <c r="M9" s="33" t="s">
        <v>37</v>
      </c>
      <c r="N9" s="33" t="s">
        <v>37</v>
      </c>
      <c r="O9" s="33" t="s">
        <v>37</v>
      </c>
      <c r="P9" s="33" t="s">
        <v>37</v>
      </c>
      <c r="Q9" s="33" t="s">
        <v>37</v>
      </c>
      <c r="R9" s="33" t="s">
        <v>37</v>
      </c>
      <c r="S9" s="33" t="s">
        <v>37</v>
      </c>
      <c r="T9" s="33" t="s">
        <v>37</v>
      </c>
      <c r="U9" s="33" t="s">
        <v>37</v>
      </c>
      <c r="V9" s="33" t="s">
        <v>37</v>
      </c>
      <c r="W9" s="33" t="s">
        <v>37</v>
      </c>
      <c r="X9" s="33" t="s">
        <v>37</v>
      </c>
      <c r="Y9" s="33" t="s">
        <v>37</v>
      </c>
      <c r="Z9" s="33" t="s">
        <v>37</v>
      </c>
      <c r="AA9" s="33" t="s">
        <v>37</v>
      </c>
      <c r="AB9" s="33" t="s">
        <v>37</v>
      </c>
      <c r="AC9" s="33" t="s">
        <v>37</v>
      </c>
      <c r="AD9" s="6"/>
      <c r="AE9" s="6"/>
      <c r="AF9" s="35"/>
      <c r="AG9" s="6"/>
      <c r="AH9" s="6"/>
      <c r="AI9" s="35"/>
      <c r="AJ9" s="35"/>
      <c r="AK9" s="35"/>
      <c r="AL9" s="35"/>
      <c r="AM9" s="35">
        <v>369</v>
      </c>
      <c r="AN9" s="6">
        <v>773</v>
      </c>
      <c r="AO9" s="35">
        <f t="shared" si="0"/>
        <v>386</v>
      </c>
      <c r="AP9" s="6">
        <v>743</v>
      </c>
      <c r="AQ9" s="6"/>
      <c r="AR9" s="34">
        <f t="shared" si="1"/>
        <v>374</v>
      </c>
      <c r="AS9" s="35">
        <v>0</v>
      </c>
      <c r="AT9" s="35">
        <v>960</v>
      </c>
      <c r="AU9" s="35">
        <f t="shared" si="2"/>
        <v>217</v>
      </c>
      <c r="AV9" s="6">
        <v>365</v>
      </c>
      <c r="AW9" s="6"/>
      <c r="AX9" s="35">
        <f t="shared" si="3"/>
        <v>365</v>
      </c>
      <c r="AY9" s="6">
        <v>129</v>
      </c>
      <c r="AZ9" s="6">
        <v>604</v>
      </c>
      <c r="BA9" s="35">
        <f t="shared" si="4"/>
        <v>368</v>
      </c>
      <c r="BB9" s="35">
        <v>476</v>
      </c>
      <c r="BC9" s="35"/>
      <c r="BD9" s="35">
        <f t="shared" si="5"/>
        <v>347</v>
      </c>
      <c r="BE9" s="6"/>
      <c r="BF9" s="6"/>
      <c r="BG9" s="35"/>
      <c r="BH9" s="6">
        <v>360</v>
      </c>
      <c r="BI9" s="6">
        <v>486</v>
      </c>
      <c r="BJ9" s="35">
        <f t="shared" si="6"/>
        <v>370</v>
      </c>
      <c r="BK9" s="6">
        <v>738</v>
      </c>
      <c r="BL9" s="6"/>
      <c r="BM9" s="6">
        <f t="shared" si="7"/>
        <v>378</v>
      </c>
      <c r="BN9" s="6">
        <v>1110</v>
      </c>
      <c r="BO9" s="6"/>
      <c r="BP9" s="6">
        <f t="shared" si="8"/>
        <v>372</v>
      </c>
      <c r="BQ9" s="6">
        <v>1490</v>
      </c>
      <c r="BR9" s="6"/>
      <c r="BS9" s="35">
        <f t="shared" si="9"/>
        <v>380</v>
      </c>
      <c r="BT9" s="6">
        <v>310</v>
      </c>
      <c r="BU9" s="6">
        <v>1560</v>
      </c>
      <c r="BV9" s="6">
        <f t="shared" si="10"/>
        <v>380</v>
      </c>
      <c r="BW9" s="6">
        <v>671</v>
      </c>
      <c r="BX9" s="6"/>
      <c r="BY9" s="35">
        <f t="shared" si="11"/>
        <v>361</v>
      </c>
      <c r="BZ9" s="6"/>
      <c r="CA9" s="6"/>
      <c r="CB9" s="6"/>
      <c r="CC9" s="6">
        <v>373</v>
      </c>
      <c r="CD9" s="6">
        <v>673</v>
      </c>
      <c r="CE9" s="6">
        <f t="shared" si="12"/>
        <v>375</v>
      </c>
      <c r="CF9" s="6">
        <v>740</v>
      </c>
      <c r="CG9" s="6"/>
      <c r="CH9" s="6">
        <f t="shared" si="13"/>
        <v>367</v>
      </c>
      <c r="CI9" s="6">
        <v>1120</v>
      </c>
      <c r="CJ9" s="6"/>
      <c r="CK9" s="6">
        <f t="shared" si="14"/>
        <v>380</v>
      </c>
      <c r="CL9" s="6">
        <v>1493</v>
      </c>
      <c r="CM9" s="6"/>
      <c r="CN9" s="6">
        <f t="shared" si="15"/>
        <v>373</v>
      </c>
      <c r="CO9" s="6">
        <v>309</v>
      </c>
      <c r="CP9" s="6">
        <v>1560</v>
      </c>
      <c r="CQ9" s="6">
        <f t="shared" si="16"/>
        <v>376</v>
      </c>
      <c r="CR9" s="6">
        <v>674</v>
      </c>
      <c r="CS9" s="6"/>
      <c r="CT9" s="6">
        <f t="shared" si="17"/>
        <v>365</v>
      </c>
      <c r="CU9" s="6"/>
      <c r="CV9" s="6"/>
      <c r="CW9" s="6"/>
      <c r="CX9" s="6">
        <v>1059</v>
      </c>
      <c r="CY9" s="6"/>
      <c r="CZ9" s="6">
        <f t="shared" si="18"/>
        <v>385</v>
      </c>
      <c r="DA9" s="6">
        <v>1436</v>
      </c>
      <c r="DB9" s="6"/>
      <c r="DC9" s="6">
        <f t="shared" si="19"/>
        <v>377</v>
      </c>
      <c r="DD9" s="6">
        <v>257</v>
      </c>
      <c r="DE9" s="6">
        <v>1560</v>
      </c>
      <c r="DF9" s="6">
        <f t="shared" si="20"/>
        <v>381</v>
      </c>
      <c r="DG9" s="6">
        <v>633</v>
      </c>
      <c r="DH9" s="6"/>
      <c r="DI9" s="6">
        <f t="shared" si="21"/>
        <v>376</v>
      </c>
      <c r="DJ9" s="6">
        <v>1013</v>
      </c>
      <c r="DK9" s="6"/>
      <c r="DL9" s="6">
        <f t="shared" si="22"/>
        <v>380</v>
      </c>
      <c r="DM9" s="6">
        <v>1367</v>
      </c>
      <c r="DN9" s="6"/>
      <c r="DO9" s="6">
        <f t="shared" si="23"/>
        <v>354</v>
      </c>
    </row>
    <row r="10" spans="1:119">
      <c r="A10" s="6">
        <v>6</v>
      </c>
      <c r="B10" s="6">
        <v>234</v>
      </c>
      <c r="C10" s="6"/>
      <c r="D10" s="6">
        <v>218</v>
      </c>
      <c r="E10" s="33" t="s">
        <v>307</v>
      </c>
      <c r="F10" s="33" t="s">
        <v>307</v>
      </c>
      <c r="G10" s="33" t="s">
        <v>307</v>
      </c>
      <c r="H10" s="33" t="s">
        <v>307</v>
      </c>
      <c r="I10" s="33" t="s">
        <v>307</v>
      </c>
      <c r="J10" s="33" t="s">
        <v>307</v>
      </c>
      <c r="K10" s="33" t="s">
        <v>307</v>
      </c>
      <c r="L10" s="33" t="s">
        <v>307</v>
      </c>
      <c r="M10" s="33" t="s">
        <v>307</v>
      </c>
      <c r="N10" s="33" t="s">
        <v>307</v>
      </c>
      <c r="O10" s="33" t="s">
        <v>307</v>
      </c>
      <c r="P10" s="33" t="s">
        <v>307</v>
      </c>
      <c r="Q10" s="33" t="s">
        <v>307</v>
      </c>
      <c r="R10" s="33" t="s">
        <v>307</v>
      </c>
      <c r="S10" s="33" t="s">
        <v>307</v>
      </c>
      <c r="T10" s="33" t="s">
        <v>307</v>
      </c>
      <c r="U10" s="148" t="s">
        <v>307</v>
      </c>
      <c r="V10" s="33" t="s">
        <v>307</v>
      </c>
      <c r="W10" s="33" t="s">
        <v>307</v>
      </c>
      <c r="X10" s="33" t="s">
        <v>307</v>
      </c>
      <c r="Y10" s="33" t="s">
        <v>307</v>
      </c>
      <c r="Z10" s="33" t="s">
        <v>307</v>
      </c>
      <c r="AA10" s="33" t="s">
        <v>307</v>
      </c>
      <c r="AB10" s="33" t="s">
        <v>307</v>
      </c>
      <c r="AC10" s="33" t="s">
        <v>307</v>
      </c>
      <c r="AD10" s="6"/>
      <c r="AE10" s="6"/>
      <c r="AF10" s="35"/>
      <c r="AG10" s="6"/>
      <c r="AH10" s="6"/>
      <c r="AI10" s="35"/>
      <c r="AJ10" s="35"/>
      <c r="AK10" s="35"/>
      <c r="AL10" s="35"/>
      <c r="AM10" s="6">
        <v>651</v>
      </c>
      <c r="AN10" s="6"/>
      <c r="AO10" s="35">
        <f t="shared" si="0"/>
        <v>417</v>
      </c>
      <c r="AP10" s="6">
        <v>1045</v>
      </c>
      <c r="AQ10" s="6"/>
      <c r="AR10" s="34">
        <f t="shared" si="1"/>
        <v>394</v>
      </c>
      <c r="AS10" s="35">
        <v>1440</v>
      </c>
      <c r="AT10" s="35"/>
      <c r="AU10" s="35">
        <f t="shared" si="2"/>
        <v>395</v>
      </c>
      <c r="AV10" s="6">
        <v>280</v>
      </c>
      <c r="AW10" s="6">
        <v>1560</v>
      </c>
      <c r="AX10" s="35">
        <f t="shared" si="3"/>
        <v>400</v>
      </c>
      <c r="AY10" s="6">
        <v>678</v>
      </c>
      <c r="AZ10" s="6"/>
      <c r="BA10" s="35">
        <f t="shared" si="4"/>
        <v>398</v>
      </c>
      <c r="BB10" s="35">
        <v>171</v>
      </c>
      <c r="BC10" s="35">
        <v>880</v>
      </c>
      <c r="BD10" s="35">
        <f t="shared" si="5"/>
        <v>373</v>
      </c>
      <c r="BE10" s="6"/>
      <c r="BF10" s="6"/>
      <c r="BG10" s="35"/>
      <c r="BH10" s="6">
        <v>561</v>
      </c>
      <c r="BI10" s="6"/>
      <c r="BJ10" s="35">
        <f t="shared" si="6"/>
        <v>390</v>
      </c>
      <c r="BK10" s="6">
        <v>953</v>
      </c>
      <c r="BL10" s="6"/>
      <c r="BM10" s="6">
        <f t="shared" si="7"/>
        <v>392</v>
      </c>
      <c r="BN10" s="6">
        <v>1356</v>
      </c>
      <c r="BO10" s="6"/>
      <c r="BP10" s="6">
        <f t="shared" si="8"/>
        <v>403</v>
      </c>
      <c r="BQ10" s="6">
        <v>198</v>
      </c>
      <c r="BR10" s="6">
        <v>1560</v>
      </c>
      <c r="BS10" s="35">
        <f t="shared" si="9"/>
        <v>402</v>
      </c>
      <c r="BT10" s="6">
        <v>601</v>
      </c>
      <c r="BU10" s="6"/>
      <c r="BV10" s="6">
        <f t="shared" si="10"/>
        <v>403</v>
      </c>
      <c r="BW10" s="6">
        <v>977</v>
      </c>
      <c r="BX10" s="6"/>
      <c r="BY10" s="35">
        <f t="shared" si="11"/>
        <v>376</v>
      </c>
      <c r="BZ10" s="6"/>
      <c r="CA10" s="6"/>
      <c r="CB10" s="6"/>
      <c r="CC10" s="6">
        <v>1383</v>
      </c>
      <c r="CD10" s="6"/>
      <c r="CE10" s="6">
        <f t="shared" si="12"/>
        <v>406</v>
      </c>
      <c r="CF10" s="6">
        <v>215</v>
      </c>
      <c r="CG10" s="6">
        <v>1560</v>
      </c>
      <c r="CH10" s="6">
        <f t="shared" si="13"/>
        <v>392</v>
      </c>
      <c r="CI10" s="6">
        <v>618</v>
      </c>
      <c r="CJ10" s="6"/>
      <c r="CK10" s="6">
        <f t="shared" si="14"/>
        <v>403</v>
      </c>
      <c r="CL10" s="6">
        <v>273</v>
      </c>
      <c r="CM10" s="6">
        <v>751</v>
      </c>
      <c r="CN10" s="6">
        <f t="shared" si="15"/>
        <v>406</v>
      </c>
      <c r="CO10" s="6">
        <v>617</v>
      </c>
      <c r="CP10" s="6"/>
      <c r="CQ10" s="6">
        <f t="shared" si="16"/>
        <v>344</v>
      </c>
      <c r="CR10" s="6">
        <v>979</v>
      </c>
      <c r="CS10" s="6"/>
      <c r="CT10" s="6">
        <f t="shared" si="17"/>
        <v>362</v>
      </c>
      <c r="CU10" s="6"/>
      <c r="CV10" s="6"/>
      <c r="CW10" s="6"/>
      <c r="CX10" s="6">
        <v>364</v>
      </c>
      <c r="CY10" s="6">
        <v>1008</v>
      </c>
      <c r="CZ10" s="6">
        <f t="shared" si="18"/>
        <v>393</v>
      </c>
      <c r="DA10" s="6">
        <v>741</v>
      </c>
      <c r="DB10" s="6"/>
      <c r="DC10" s="6">
        <f t="shared" si="19"/>
        <v>377</v>
      </c>
      <c r="DD10" s="6">
        <v>1125</v>
      </c>
      <c r="DE10" s="6"/>
      <c r="DF10" s="6">
        <f t="shared" si="20"/>
        <v>384</v>
      </c>
      <c r="DG10" s="6">
        <v>1517</v>
      </c>
      <c r="DH10" s="6"/>
      <c r="DI10" s="6">
        <f t="shared" si="21"/>
        <v>392</v>
      </c>
      <c r="DJ10" s="6">
        <v>350</v>
      </c>
      <c r="DK10" s="6">
        <v>1560</v>
      </c>
      <c r="DL10" s="6">
        <f t="shared" si="22"/>
        <v>393</v>
      </c>
      <c r="DM10" s="6">
        <v>704</v>
      </c>
      <c r="DN10" s="6"/>
      <c r="DO10" s="6">
        <f t="shared" si="23"/>
        <v>354</v>
      </c>
    </row>
    <row r="11" spans="1:119">
      <c r="A11" s="6">
        <v>7</v>
      </c>
      <c r="B11" s="6">
        <v>156</v>
      </c>
      <c r="C11" s="6">
        <v>1560</v>
      </c>
      <c r="D11" s="6">
        <v>199</v>
      </c>
      <c r="E11" s="33" t="s">
        <v>37</v>
      </c>
      <c r="F11" s="33" t="s">
        <v>37</v>
      </c>
      <c r="G11" s="33" t="s">
        <v>37</v>
      </c>
      <c r="H11" s="33" t="s">
        <v>37</v>
      </c>
      <c r="I11" s="148" t="s">
        <v>37</v>
      </c>
      <c r="J11" s="33" t="s">
        <v>37</v>
      </c>
      <c r="K11" s="33" t="s">
        <v>37</v>
      </c>
      <c r="L11" s="33" t="s">
        <v>37</v>
      </c>
      <c r="M11" s="33" t="s">
        <v>37</v>
      </c>
      <c r="N11" s="33" t="s">
        <v>37</v>
      </c>
      <c r="O11" s="33" t="s">
        <v>37</v>
      </c>
      <c r="P11" s="33" t="s">
        <v>37</v>
      </c>
      <c r="Q11" s="33" t="s">
        <v>37</v>
      </c>
      <c r="R11" s="33" t="s">
        <v>37</v>
      </c>
      <c r="S11" s="33" t="s">
        <v>37</v>
      </c>
      <c r="T11" s="33" t="s">
        <v>37</v>
      </c>
      <c r="U11" s="33" t="s">
        <v>37</v>
      </c>
      <c r="V11" s="33" t="s">
        <v>37</v>
      </c>
      <c r="W11" s="33" t="s">
        <v>37</v>
      </c>
      <c r="X11" s="33" t="s">
        <v>37</v>
      </c>
      <c r="Y11" s="33" t="s">
        <v>37</v>
      </c>
      <c r="Z11" s="33" t="s">
        <v>37</v>
      </c>
      <c r="AA11" s="33" t="s">
        <v>37</v>
      </c>
      <c r="AB11" s="33" t="s">
        <v>37</v>
      </c>
      <c r="AC11" s="33" t="s">
        <v>37</v>
      </c>
      <c r="AD11" s="6"/>
      <c r="AE11" s="35"/>
      <c r="AF11" s="35"/>
      <c r="AG11" s="6"/>
      <c r="AH11" s="35"/>
      <c r="AI11" s="35"/>
      <c r="AJ11" s="35"/>
      <c r="AK11" s="35"/>
      <c r="AL11" s="35"/>
      <c r="AM11" s="35">
        <v>557</v>
      </c>
      <c r="AN11" s="6"/>
      <c r="AO11" s="35">
        <f t="shared" si="0"/>
        <v>401</v>
      </c>
      <c r="AP11" s="6">
        <v>930</v>
      </c>
      <c r="AQ11" s="6"/>
      <c r="AR11" s="34">
        <f t="shared" si="1"/>
        <v>373</v>
      </c>
      <c r="AS11" s="35">
        <v>1306</v>
      </c>
      <c r="AT11" s="35"/>
      <c r="AU11" s="35">
        <f t="shared" si="2"/>
        <v>376</v>
      </c>
      <c r="AV11" s="6">
        <v>351</v>
      </c>
      <c r="AW11" s="6">
        <v>1314</v>
      </c>
      <c r="AX11" s="35">
        <f t="shared" si="3"/>
        <v>359</v>
      </c>
      <c r="AY11" s="6">
        <v>734</v>
      </c>
      <c r="AZ11" s="6"/>
      <c r="BA11" s="35">
        <f t="shared" si="4"/>
        <v>383</v>
      </c>
      <c r="BB11" s="35">
        <v>3</v>
      </c>
      <c r="BC11" s="35">
        <v>1100</v>
      </c>
      <c r="BD11" s="35">
        <f t="shared" si="5"/>
        <v>369</v>
      </c>
      <c r="BE11" s="6"/>
      <c r="BF11" s="6"/>
      <c r="BG11" s="35"/>
      <c r="BH11" s="6">
        <v>383</v>
      </c>
      <c r="BI11" s="6"/>
      <c r="BJ11" s="35">
        <f t="shared" si="6"/>
        <v>380</v>
      </c>
      <c r="BK11" s="6">
        <v>757</v>
      </c>
      <c r="BL11" s="6"/>
      <c r="BM11" s="6">
        <f t="shared" si="7"/>
        <v>374</v>
      </c>
      <c r="BN11" s="6">
        <v>41</v>
      </c>
      <c r="BO11" s="6">
        <v>1084</v>
      </c>
      <c r="BP11" s="6">
        <f t="shared" si="8"/>
        <v>368</v>
      </c>
      <c r="BQ11" s="6">
        <v>417</v>
      </c>
      <c r="BR11" s="6"/>
      <c r="BS11" s="35">
        <f t="shared" si="9"/>
        <v>376</v>
      </c>
      <c r="BT11" s="6">
        <v>804</v>
      </c>
      <c r="BU11" s="6"/>
      <c r="BV11" s="6">
        <f t="shared" si="10"/>
        <v>387</v>
      </c>
      <c r="BW11" s="6">
        <v>1167</v>
      </c>
      <c r="BX11" s="6"/>
      <c r="BY11" s="35">
        <f t="shared" si="11"/>
        <v>363</v>
      </c>
      <c r="BZ11" s="6"/>
      <c r="CA11" s="6"/>
      <c r="CB11" s="6"/>
      <c r="CC11" s="6">
        <v>1559</v>
      </c>
      <c r="CD11" s="6"/>
      <c r="CE11" s="6">
        <f t="shared" si="12"/>
        <v>392</v>
      </c>
      <c r="CF11" s="6">
        <v>380</v>
      </c>
      <c r="CG11" s="6">
        <v>1560</v>
      </c>
      <c r="CH11" s="6">
        <f t="shared" si="13"/>
        <v>381</v>
      </c>
      <c r="CI11" s="6">
        <v>759</v>
      </c>
      <c r="CJ11" s="6"/>
      <c r="CK11" s="6">
        <f t="shared" si="14"/>
        <v>379</v>
      </c>
      <c r="CL11" s="6">
        <v>1122</v>
      </c>
      <c r="CM11" s="6"/>
      <c r="CN11" s="6">
        <f t="shared" si="15"/>
        <v>363</v>
      </c>
      <c r="CO11" s="6">
        <v>1495</v>
      </c>
      <c r="CP11" s="6"/>
      <c r="CQ11" s="6">
        <f t="shared" si="16"/>
        <v>373</v>
      </c>
      <c r="CR11" s="6">
        <v>283</v>
      </c>
      <c r="CS11" s="6">
        <v>1560</v>
      </c>
      <c r="CT11" s="6">
        <f t="shared" si="17"/>
        <v>348</v>
      </c>
      <c r="CU11" s="6"/>
      <c r="CV11" s="6"/>
      <c r="CW11" s="6"/>
      <c r="CX11" s="6">
        <v>625</v>
      </c>
      <c r="CY11" s="6"/>
      <c r="CZ11" s="6">
        <f t="shared" si="18"/>
        <v>342</v>
      </c>
      <c r="DA11" s="6">
        <v>969</v>
      </c>
      <c r="DB11" s="6"/>
      <c r="DC11" s="6">
        <f t="shared" si="19"/>
        <v>344</v>
      </c>
      <c r="DD11" s="6">
        <v>1321</v>
      </c>
      <c r="DE11" s="6"/>
      <c r="DF11" s="6">
        <f t="shared" si="20"/>
        <v>352</v>
      </c>
      <c r="DG11" s="6">
        <v>261</v>
      </c>
      <c r="DH11" s="6">
        <v>1415</v>
      </c>
      <c r="DI11" s="6">
        <f t="shared" si="21"/>
        <v>355</v>
      </c>
      <c r="DJ11" s="6">
        <v>639</v>
      </c>
      <c r="DK11" s="6"/>
      <c r="DL11" s="6">
        <f t="shared" si="22"/>
        <v>378</v>
      </c>
      <c r="DM11" s="6">
        <v>988</v>
      </c>
      <c r="DN11" s="6"/>
      <c r="DO11" s="6">
        <f t="shared" si="23"/>
        <v>349</v>
      </c>
    </row>
    <row r="12" spans="1:119">
      <c r="A12" s="6">
        <v>8</v>
      </c>
      <c r="B12" s="6">
        <v>1287</v>
      </c>
      <c r="C12" s="6"/>
      <c r="D12" s="6">
        <v>214</v>
      </c>
      <c r="E12" s="33" t="s">
        <v>128</v>
      </c>
      <c r="F12" s="33" t="s">
        <v>128</v>
      </c>
      <c r="G12" s="33" t="s">
        <v>128</v>
      </c>
      <c r="H12" s="33" t="s">
        <v>128</v>
      </c>
      <c r="I12" s="33" t="s">
        <v>128</v>
      </c>
      <c r="J12" s="33" t="s">
        <v>128</v>
      </c>
      <c r="K12" s="33" t="s">
        <v>128</v>
      </c>
      <c r="L12" s="33" t="s">
        <v>128</v>
      </c>
      <c r="M12" s="33" t="s">
        <v>128</v>
      </c>
      <c r="N12" s="33" t="s">
        <v>128</v>
      </c>
      <c r="O12" s="148" t="s">
        <v>307</v>
      </c>
      <c r="P12" s="33" t="s">
        <v>307</v>
      </c>
      <c r="Q12" s="33" t="s">
        <v>307</v>
      </c>
      <c r="R12" s="33" t="s">
        <v>307</v>
      </c>
      <c r="S12" s="33" t="s">
        <v>307</v>
      </c>
      <c r="T12" s="33" t="s">
        <v>307</v>
      </c>
      <c r="U12" s="33" t="s">
        <v>307</v>
      </c>
      <c r="V12" s="33" t="s">
        <v>307</v>
      </c>
      <c r="W12" s="33" t="s">
        <v>307</v>
      </c>
      <c r="X12" s="33" t="s">
        <v>307</v>
      </c>
      <c r="Y12" s="33" t="s">
        <v>307</v>
      </c>
      <c r="Z12" s="33" t="s">
        <v>307</v>
      </c>
      <c r="AA12" s="33" t="s">
        <v>307</v>
      </c>
      <c r="AB12" s="33" t="s">
        <v>307</v>
      </c>
      <c r="AC12" s="33" t="s">
        <v>307</v>
      </c>
      <c r="AD12" s="35"/>
      <c r="AE12" s="35"/>
      <c r="AF12" s="35"/>
      <c r="AG12" s="35"/>
      <c r="AH12" s="35"/>
      <c r="AI12" s="35"/>
      <c r="AJ12" s="35"/>
      <c r="AK12" s="35"/>
      <c r="AL12" s="35"/>
      <c r="AM12" s="35">
        <v>144</v>
      </c>
      <c r="AN12" s="35">
        <v>1560</v>
      </c>
      <c r="AO12" s="35">
        <f t="shared" si="0"/>
        <v>417</v>
      </c>
      <c r="AP12" s="35">
        <v>536</v>
      </c>
      <c r="AQ12" s="35"/>
      <c r="AR12" s="34">
        <f t="shared" si="1"/>
        <v>392</v>
      </c>
      <c r="AS12" s="35">
        <v>935</v>
      </c>
      <c r="AT12" s="35"/>
      <c r="AU12" s="35">
        <f t="shared" si="2"/>
        <v>399</v>
      </c>
      <c r="AV12" s="6">
        <v>1333</v>
      </c>
      <c r="AW12" s="6"/>
      <c r="AX12" s="35">
        <f t="shared" si="3"/>
        <v>398</v>
      </c>
      <c r="AY12" s="35">
        <v>200</v>
      </c>
      <c r="AZ12" s="35">
        <v>1530</v>
      </c>
      <c r="BA12" s="35">
        <f t="shared" si="4"/>
        <v>397</v>
      </c>
      <c r="BB12" s="35">
        <v>578</v>
      </c>
      <c r="BC12" s="35"/>
      <c r="BD12" s="35">
        <f t="shared" si="5"/>
        <v>378</v>
      </c>
      <c r="BE12" s="6"/>
      <c r="BF12" s="6"/>
      <c r="BG12" s="35"/>
      <c r="BH12" s="6">
        <v>964</v>
      </c>
      <c r="BI12" s="6"/>
      <c r="BJ12" s="35">
        <f t="shared" si="6"/>
        <v>386</v>
      </c>
      <c r="BK12" s="6">
        <v>1338</v>
      </c>
      <c r="BL12" s="35"/>
      <c r="BM12" s="6">
        <f t="shared" si="7"/>
        <v>374</v>
      </c>
      <c r="BN12" s="6">
        <v>0</v>
      </c>
      <c r="BO12" s="6">
        <v>1618</v>
      </c>
      <c r="BP12" s="6">
        <f t="shared" si="8"/>
        <v>280</v>
      </c>
      <c r="BQ12" s="6">
        <v>388</v>
      </c>
      <c r="BR12" s="6"/>
      <c r="BS12" s="35">
        <f t="shared" si="9"/>
        <v>388</v>
      </c>
      <c r="BT12" s="6">
        <v>789</v>
      </c>
      <c r="BU12" s="6"/>
      <c r="BV12" s="6">
        <f t="shared" si="10"/>
        <v>401</v>
      </c>
      <c r="BW12" s="6">
        <v>1161</v>
      </c>
      <c r="BX12" s="6"/>
      <c r="BY12" s="35">
        <f t="shared" si="11"/>
        <v>372</v>
      </c>
      <c r="BZ12" s="6"/>
      <c r="CA12" s="35"/>
      <c r="CB12" s="6"/>
      <c r="CC12" s="6">
        <v>2</v>
      </c>
      <c r="CD12" s="6">
        <v>1560</v>
      </c>
      <c r="CE12" s="6">
        <f t="shared" si="12"/>
        <v>401</v>
      </c>
      <c r="CF12" s="6">
        <v>395</v>
      </c>
      <c r="CG12" s="35"/>
      <c r="CH12" s="6">
        <f t="shared" si="13"/>
        <v>393</v>
      </c>
      <c r="CI12" s="6">
        <v>791</v>
      </c>
      <c r="CJ12" s="6"/>
      <c r="CK12" s="6">
        <f t="shared" si="14"/>
        <v>396</v>
      </c>
      <c r="CL12" s="6">
        <v>1175</v>
      </c>
      <c r="CM12" s="6"/>
      <c r="CN12" s="6">
        <f t="shared" si="15"/>
        <v>384</v>
      </c>
      <c r="CO12" s="6">
        <v>1555</v>
      </c>
      <c r="CP12" s="6"/>
      <c r="CQ12" s="6">
        <f t="shared" si="16"/>
        <v>380</v>
      </c>
      <c r="CR12" s="6">
        <v>359</v>
      </c>
      <c r="CS12" s="6">
        <v>1560</v>
      </c>
      <c r="CT12" s="6">
        <f t="shared" si="17"/>
        <v>364</v>
      </c>
      <c r="CU12" s="6"/>
      <c r="CV12" s="6"/>
      <c r="CW12" s="6"/>
      <c r="CX12" s="6">
        <v>755</v>
      </c>
      <c r="CY12" s="6"/>
      <c r="CZ12" s="6">
        <f t="shared" si="18"/>
        <v>396</v>
      </c>
      <c r="DA12" s="6">
        <v>1142</v>
      </c>
      <c r="DB12" s="6"/>
      <c r="DC12" s="6">
        <f t="shared" si="19"/>
        <v>387</v>
      </c>
      <c r="DD12" s="6">
        <v>1506</v>
      </c>
      <c r="DE12" s="6"/>
      <c r="DF12" s="6">
        <f t="shared" si="20"/>
        <v>364</v>
      </c>
      <c r="DG12" s="6">
        <v>327</v>
      </c>
      <c r="DH12" s="6">
        <v>1560</v>
      </c>
      <c r="DI12" s="6">
        <f t="shared" si="21"/>
        <v>381</v>
      </c>
      <c r="DJ12" s="6">
        <v>708</v>
      </c>
      <c r="DK12" s="6"/>
      <c r="DL12" s="6">
        <f t="shared" si="22"/>
        <v>381</v>
      </c>
      <c r="DM12" s="6">
        <v>1059</v>
      </c>
      <c r="DN12" s="6"/>
      <c r="DO12" s="6">
        <f t="shared" si="23"/>
        <v>351</v>
      </c>
    </row>
    <row r="13" spans="1:119">
      <c r="A13" s="6">
        <v>9</v>
      </c>
      <c r="B13" s="6">
        <v>30</v>
      </c>
      <c r="C13" s="6">
        <v>511</v>
      </c>
      <c r="D13" s="6">
        <v>174</v>
      </c>
      <c r="E13" s="33" t="s">
        <v>307</v>
      </c>
      <c r="F13" s="33" t="s">
        <v>307</v>
      </c>
      <c r="G13" s="33" t="s">
        <v>307</v>
      </c>
      <c r="H13" s="33" t="s">
        <v>307</v>
      </c>
      <c r="I13" s="33" t="s">
        <v>307</v>
      </c>
      <c r="J13" s="33" t="s">
        <v>307</v>
      </c>
      <c r="K13" s="33" t="s">
        <v>307</v>
      </c>
      <c r="L13" s="33" t="s">
        <v>307</v>
      </c>
      <c r="M13" s="33" t="s">
        <v>307</v>
      </c>
      <c r="N13" s="33" t="s">
        <v>307</v>
      </c>
      <c r="O13" s="33" t="s">
        <v>307</v>
      </c>
      <c r="P13" s="33" t="s">
        <v>307</v>
      </c>
      <c r="Q13" s="33" t="s">
        <v>307</v>
      </c>
      <c r="R13" s="33" t="s">
        <v>307</v>
      </c>
      <c r="S13" s="33" t="s">
        <v>307</v>
      </c>
      <c r="T13" s="33" t="s">
        <v>307</v>
      </c>
      <c r="U13" s="33" t="s">
        <v>307</v>
      </c>
      <c r="V13" s="33" t="s">
        <v>307</v>
      </c>
      <c r="W13" s="33" t="s">
        <v>307</v>
      </c>
      <c r="X13" s="33" t="s">
        <v>307</v>
      </c>
      <c r="Y13" s="148" t="s">
        <v>307</v>
      </c>
      <c r="Z13" s="33" t="s">
        <v>307</v>
      </c>
      <c r="AA13" s="33" t="s">
        <v>307</v>
      </c>
      <c r="AB13" s="33" t="s">
        <v>307</v>
      </c>
      <c r="AC13" s="33" t="s">
        <v>307</v>
      </c>
      <c r="AD13" s="35"/>
      <c r="AE13" s="35"/>
      <c r="AF13" s="35"/>
      <c r="AG13" s="35"/>
      <c r="AH13" s="35"/>
      <c r="AI13" s="35"/>
      <c r="AJ13" s="35"/>
      <c r="AK13" s="35"/>
      <c r="AL13" s="35"/>
      <c r="AM13" s="35">
        <v>413</v>
      </c>
      <c r="AN13" s="35"/>
      <c r="AO13" s="35">
        <f t="shared" si="0"/>
        <v>383</v>
      </c>
      <c r="AP13" s="6">
        <v>802</v>
      </c>
      <c r="AQ13" s="6"/>
      <c r="AR13" s="34">
        <f t="shared" si="1"/>
        <v>389</v>
      </c>
      <c r="AS13" s="35">
        <v>1195</v>
      </c>
      <c r="AT13" s="35"/>
      <c r="AU13" s="35">
        <f t="shared" si="2"/>
        <v>393</v>
      </c>
      <c r="AV13" s="6">
        <v>28</v>
      </c>
      <c r="AW13" s="6">
        <v>1560</v>
      </c>
      <c r="AX13" s="35">
        <f t="shared" si="3"/>
        <v>393</v>
      </c>
      <c r="AY13" s="6">
        <v>424</v>
      </c>
      <c r="AZ13" s="6"/>
      <c r="BA13" s="35">
        <f t="shared" si="4"/>
        <v>396</v>
      </c>
      <c r="BB13" s="6">
        <v>794</v>
      </c>
      <c r="BC13" s="6"/>
      <c r="BD13" s="35">
        <f t="shared" si="5"/>
        <v>370</v>
      </c>
      <c r="BE13" s="6"/>
      <c r="BF13" s="6"/>
      <c r="BG13" s="35"/>
      <c r="BH13" s="6">
        <v>86</v>
      </c>
      <c r="BI13" s="6">
        <v>1072</v>
      </c>
      <c r="BJ13" s="35">
        <f t="shared" si="6"/>
        <v>364</v>
      </c>
      <c r="BK13" s="6">
        <v>469</v>
      </c>
      <c r="BL13" s="35"/>
      <c r="BM13" s="6">
        <f t="shared" si="7"/>
        <v>383</v>
      </c>
      <c r="BN13" s="6">
        <v>864</v>
      </c>
      <c r="BO13" s="6"/>
      <c r="BP13" s="6">
        <f t="shared" si="8"/>
        <v>395</v>
      </c>
      <c r="BQ13" s="6">
        <v>1258</v>
      </c>
      <c r="BR13" s="6"/>
      <c r="BS13" s="35">
        <f t="shared" si="9"/>
        <v>394</v>
      </c>
      <c r="BT13" s="6">
        <v>103</v>
      </c>
      <c r="BU13" s="6">
        <v>1550</v>
      </c>
      <c r="BV13" s="6">
        <f t="shared" si="10"/>
        <v>395</v>
      </c>
      <c r="BW13" s="6">
        <v>475</v>
      </c>
      <c r="BX13" s="6"/>
      <c r="BY13" s="35">
        <f t="shared" si="11"/>
        <v>372</v>
      </c>
      <c r="BZ13" s="6"/>
      <c r="CA13" s="35"/>
      <c r="CB13" s="6"/>
      <c r="CC13" s="6">
        <v>870</v>
      </c>
      <c r="CD13" s="6"/>
      <c r="CE13" s="6">
        <f t="shared" si="12"/>
        <v>395</v>
      </c>
      <c r="CF13" s="6">
        <v>1260</v>
      </c>
      <c r="CG13" s="35"/>
      <c r="CH13" s="6">
        <f t="shared" si="13"/>
        <v>390</v>
      </c>
      <c r="CI13" s="6">
        <v>66</v>
      </c>
      <c r="CJ13" s="6">
        <v>1560</v>
      </c>
      <c r="CK13" s="6">
        <f t="shared" si="14"/>
        <v>366</v>
      </c>
      <c r="CL13" s="6">
        <v>449</v>
      </c>
      <c r="CM13" s="6"/>
      <c r="CN13" s="6">
        <f t="shared" si="15"/>
        <v>383</v>
      </c>
      <c r="CO13" s="6">
        <v>832</v>
      </c>
      <c r="CP13" s="6"/>
      <c r="CQ13" s="6">
        <f t="shared" si="16"/>
        <v>383</v>
      </c>
      <c r="CR13" s="6">
        <v>1196</v>
      </c>
      <c r="CS13" s="6"/>
      <c r="CT13" s="6">
        <f t="shared" si="17"/>
        <v>364</v>
      </c>
      <c r="CU13" s="6"/>
      <c r="CV13" s="6"/>
      <c r="CW13" s="6"/>
      <c r="CX13" s="6">
        <v>0</v>
      </c>
      <c r="CY13" s="6">
        <v>1520</v>
      </c>
      <c r="CZ13" s="6">
        <f t="shared" si="18"/>
        <v>324</v>
      </c>
      <c r="DA13" s="6">
        <v>332</v>
      </c>
      <c r="DB13" s="6"/>
      <c r="DC13" s="6">
        <f t="shared" si="19"/>
        <v>332</v>
      </c>
      <c r="DD13" s="6">
        <v>719</v>
      </c>
      <c r="DE13" s="6"/>
      <c r="DF13" s="6">
        <f t="shared" si="20"/>
        <v>387</v>
      </c>
      <c r="DG13" s="6">
        <v>1113</v>
      </c>
      <c r="DH13" s="6"/>
      <c r="DI13" s="6">
        <f t="shared" si="21"/>
        <v>394</v>
      </c>
      <c r="DJ13" s="6">
        <v>1497</v>
      </c>
      <c r="DK13" s="6"/>
      <c r="DL13" s="6">
        <f t="shared" si="22"/>
        <v>384</v>
      </c>
      <c r="DM13" s="6">
        <v>288</v>
      </c>
      <c r="DN13" s="6">
        <v>1559</v>
      </c>
      <c r="DO13" s="6">
        <f t="shared" si="23"/>
        <v>350</v>
      </c>
    </row>
    <row r="14" spans="1:119">
      <c r="A14" s="6">
        <v>10</v>
      </c>
      <c r="B14" s="6">
        <v>511</v>
      </c>
      <c r="C14" s="6"/>
      <c r="D14" s="6">
        <v>217</v>
      </c>
      <c r="E14" s="33" t="s">
        <v>128</v>
      </c>
      <c r="F14" s="33" t="s">
        <v>128</v>
      </c>
      <c r="G14" s="33" t="s">
        <v>128</v>
      </c>
      <c r="H14" s="148" t="s">
        <v>37</v>
      </c>
      <c r="I14" s="33" t="s">
        <v>37</v>
      </c>
      <c r="J14" s="33" t="s">
        <v>37</v>
      </c>
      <c r="K14" s="33" t="s">
        <v>37</v>
      </c>
      <c r="L14" s="33" t="s">
        <v>37</v>
      </c>
      <c r="M14" s="33" t="s">
        <v>37</v>
      </c>
      <c r="N14" s="33" t="s">
        <v>37</v>
      </c>
      <c r="O14" s="33" t="s">
        <v>37</v>
      </c>
      <c r="P14" s="33" t="s">
        <v>37</v>
      </c>
      <c r="Q14" s="33" t="s">
        <v>37</v>
      </c>
      <c r="R14" s="33" t="s">
        <v>37</v>
      </c>
      <c r="S14" s="33" t="s">
        <v>37</v>
      </c>
      <c r="T14" s="33" t="s">
        <v>37</v>
      </c>
      <c r="U14" s="33" t="s">
        <v>37</v>
      </c>
      <c r="V14" s="33" t="s">
        <v>37</v>
      </c>
      <c r="W14" s="33" t="s">
        <v>37</v>
      </c>
      <c r="X14" s="33" t="s">
        <v>37</v>
      </c>
      <c r="Y14" s="33" t="s">
        <v>37</v>
      </c>
      <c r="Z14" s="33" t="s">
        <v>37</v>
      </c>
      <c r="AA14" s="33" t="s">
        <v>37</v>
      </c>
      <c r="AB14" s="33" t="s">
        <v>37</v>
      </c>
      <c r="AC14" s="148" t="s">
        <v>37</v>
      </c>
      <c r="AD14" s="6"/>
      <c r="AE14" s="6"/>
      <c r="AF14" s="35"/>
      <c r="AG14" s="6"/>
      <c r="AH14" s="6"/>
      <c r="AI14" s="35"/>
      <c r="AJ14" s="35"/>
      <c r="AK14" s="35"/>
      <c r="AL14" s="35"/>
      <c r="AM14" s="6">
        <v>931</v>
      </c>
      <c r="AN14" s="6"/>
      <c r="AO14" s="35">
        <f t="shared" si="0"/>
        <v>420</v>
      </c>
      <c r="AP14" s="6">
        <v>0</v>
      </c>
      <c r="AQ14" s="6">
        <v>1216</v>
      </c>
      <c r="AR14" s="34">
        <f t="shared" si="1"/>
        <v>285</v>
      </c>
      <c r="AS14" s="35">
        <v>367</v>
      </c>
      <c r="AT14" s="35"/>
      <c r="AU14" s="35">
        <f t="shared" si="2"/>
        <v>367</v>
      </c>
      <c r="AV14" s="6">
        <v>9</v>
      </c>
      <c r="AW14" s="6">
        <v>751</v>
      </c>
      <c r="AX14" s="35">
        <f t="shared" si="3"/>
        <v>393</v>
      </c>
      <c r="AY14" s="6">
        <v>388</v>
      </c>
      <c r="AZ14" s="6"/>
      <c r="BA14" s="35">
        <f t="shared" si="4"/>
        <v>379</v>
      </c>
      <c r="BB14" s="35">
        <v>756</v>
      </c>
      <c r="BC14" s="35"/>
      <c r="BD14" s="35">
        <f t="shared" si="5"/>
        <v>368</v>
      </c>
      <c r="BE14" s="6"/>
      <c r="BF14" s="6"/>
      <c r="BG14" s="35"/>
      <c r="BH14" s="6">
        <v>325</v>
      </c>
      <c r="BI14" s="6">
        <v>808</v>
      </c>
      <c r="BJ14" s="35">
        <f t="shared" si="6"/>
        <v>377</v>
      </c>
      <c r="BK14" s="6">
        <v>701</v>
      </c>
      <c r="BL14" s="6"/>
      <c r="BM14" s="6">
        <f t="shared" si="7"/>
        <v>376</v>
      </c>
      <c r="BN14" s="6">
        <v>1083</v>
      </c>
      <c r="BO14" s="6"/>
      <c r="BP14" s="6">
        <f t="shared" si="8"/>
        <v>382</v>
      </c>
      <c r="BQ14" s="6">
        <v>1462</v>
      </c>
      <c r="BR14" s="6"/>
      <c r="BS14" s="35">
        <f t="shared" si="9"/>
        <v>379</v>
      </c>
      <c r="BT14" s="6">
        <v>282</v>
      </c>
      <c r="BU14" s="6">
        <v>1560</v>
      </c>
      <c r="BV14" s="6">
        <f t="shared" si="10"/>
        <v>380</v>
      </c>
      <c r="BW14" s="6">
        <v>643</v>
      </c>
      <c r="BX14" s="6"/>
      <c r="BY14" s="35">
        <f t="shared" si="11"/>
        <v>361</v>
      </c>
      <c r="BZ14" s="6"/>
      <c r="CA14" s="6"/>
      <c r="CB14" s="6"/>
      <c r="CC14" s="6">
        <v>1028</v>
      </c>
      <c r="CD14" s="6"/>
      <c r="CE14" s="6">
        <f t="shared" si="12"/>
        <v>385</v>
      </c>
      <c r="CF14" s="6">
        <v>1408</v>
      </c>
      <c r="CG14" s="6"/>
      <c r="CH14" s="6">
        <f t="shared" si="13"/>
        <v>380</v>
      </c>
      <c r="CI14" s="6">
        <v>228</v>
      </c>
      <c r="CJ14" s="6">
        <v>1560</v>
      </c>
      <c r="CK14" s="6">
        <f t="shared" si="14"/>
        <v>380</v>
      </c>
      <c r="CL14" s="6">
        <v>606</v>
      </c>
      <c r="CM14" s="6"/>
      <c r="CN14" s="6">
        <f t="shared" si="15"/>
        <v>378</v>
      </c>
      <c r="CO14" s="6">
        <v>362</v>
      </c>
      <c r="CP14" s="6">
        <v>611</v>
      </c>
      <c r="CQ14" s="6">
        <f t="shared" si="16"/>
        <v>367</v>
      </c>
      <c r="CR14" s="6">
        <v>710</v>
      </c>
      <c r="CS14" s="6"/>
      <c r="CT14" s="6">
        <f t="shared" si="17"/>
        <v>348</v>
      </c>
      <c r="CU14" s="6"/>
      <c r="CV14" s="6"/>
      <c r="CW14" s="6"/>
      <c r="CX14" s="6">
        <v>1090</v>
      </c>
      <c r="CY14" s="6"/>
      <c r="CZ14" s="6">
        <f t="shared" si="18"/>
        <v>380</v>
      </c>
      <c r="DA14" s="6">
        <v>234</v>
      </c>
      <c r="DB14" s="6">
        <v>1219</v>
      </c>
      <c r="DC14" s="6">
        <f t="shared" si="19"/>
        <v>363</v>
      </c>
      <c r="DD14" s="6">
        <v>610</v>
      </c>
      <c r="DE14" s="6"/>
      <c r="DF14" s="6">
        <f t="shared" si="20"/>
        <v>376</v>
      </c>
      <c r="DG14" s="6">
        <v>991</v>
      </c>
      <c r="DH14" s="6"/>
      <c r="DI14" s="6">
        <f t="shared" si="21"/>
        <v>381</v>
      </c>
      <c r="DJ14" s="6">
        <v>0</v>
      </c>
      <c r="DK14" s="6">
        <v>1355</v>
      </c>
      <c r="DL14" s="6">
        <f t="shared" si="22"/>
        <v>364</v>
      </c>
      <c r="DM14" s="6">
        <v>319</v>
      </c>
      <c r="DN14" s="6"/>
      <c r="DO14" s="6">
        <f t="shared" si="23"/>
        <v>319</v>
      </c>
    </row>
    <row r="15" spans="1:119">
      <c r="A15" s="6">
        <v>11</v>
      </c>
      <c r="B15" s="6">
        <v>1021</v>
      </c>
      <c r="C15" s="6"/>
      <c r="D15" s="6">
        <v>219</v>
      </c>
      <c r="E15" s="232" t="s">
        <v>128</v>
      </c>
      <c r="F15" s="232" t="s">
        <v>128</v>
      </c>
      <c r="G15" s="232" t="s">
        <v>128</v>
      </c>
      <c r="H15" s="232" t="s">
        <v>128</v>
      </c>
      <c r="I15" s="232" t="s">
        <v>128</v>
      </c>
      <c r="J15" s="232" t="s">
        <v>128</v>
      </c>
      <c r="K15" s="232" t="s">
        <v>128</v>
      </c>
      <c r="L15" s="232" t="s">
        <v>128</v>
      </c>
      <c r="M15" s="232" t="s">
        <v>128</v>
      </c>
      <c r="N15" s="232" t="s">
        <v>128</v>
      </c>
      <c r="O15" s="232" t="s">
        <v>128</v>
      </c>
      <c r="P15" s="307" t="s">
        <v>307</v>
      </c>
      <c r="Q15" s="309" t="s">
        <v>307</v>
      </c>
      <c r="R15" s="309" t="s">
        <v>307</v>
      </c>
      <c r="S15" s="309" t="s">
        <v>307</v>
      </c>
      <c r="T15" s="309" t="s">
        <v>307</v>
      </c>
      <c r="U15" s="309" t="s">
        <v>307</v>
      </c>
      <c r="V15" s="309" t="s">
        <v>307</v>
      </c>
      <c r="W15" s="309" t="s">
        <v>307</v>
      </c>
      <c r="X15" s="309" t="s">
        <v>307</v>
      </c>
      <c r="Y15" s="309" t="s">
        <v>307</v>
      </c>
      <c r="Z15" s="309" t="s">
        <v>307</v>
      </c>
      <c r="AA15" s="309" t="s">
        <v>307</v>
      </c>
      <c r="AB15" s="309" t="s">
        <v>307</v>
      </c>
      <c r="AC15" s="309" t="s">
        <v>307</v>
      </c>
      <c r="AD15" s="6"/>
      <c r="AE15" s="6"/>
      <c r="AF15" s="35"/>
      <c r="AG15" s="6"/>
      <c r="AH15" s="6"/>
      <c r="AI15" s="35"/>
      <c r="AJ15" s="35"/>
      <c r="AK15" s="35"/>
      <c r="AL15" s="35"/>
      <c r="AM15" s="6">
        <v>1435</v>
      </c>
      <c r="AN15" s="6"/>
      <c r="AO15" s="35">
        <f t="shared" si="0"/>
        <v>414</v>
      </c>
      <c r="AP15" s="6">
        <v>268</v>
      </c>
      <c r="AQ15" s="6">
        <v>1560</v>
      </c>
      <c r="AR15" s="34">
        <f t="shared" si="1"/>
        <v>393</v>
      </c>
      <c r="AS15" s="35">
        <v>670</v>
      </c>
      <c r="AT15" s="35"/>
      <c r="AU15" s="35">
        <f t="shared" si="2"/>
        <v>402</v>
      </c>
      <c r="AV15" s="6">
        <v>1073</v>
      </c>
      <c r="AW15" s="6"/>
      <c r="AX15" s="35">
        <f t="shared" si="3"/>
        <v>403</v>
      </c>
      <c r="AY15" s="6">
        <v>1474</v>
      </c>
      <c r="AZ15" s="6"/>
      <c r="BA15" s="35">
        <f t="shared" si="4"/>
        <v>401</v>
      </c>
      <c r="BB15" s="6">
        <v>319</v>
      </c>
      <c r="BC15" s="6">
        <v>1523</v>
      </c>
      <c r="BD15" s="35">
        <f t="shared" si="5"/>
        <v>368</v>
      </c>
      <c r="BE15" s="6"/>
      <c r="BF15" s="6"/>
      <c r="BG15" s="35"/>
      <c r="BH15" s="6">
        <v>697</v>
      </c>
      <c r="BI15" s="6"/>
      <c r="BJ15" s="35">
        <f t="shared" si="6"/>
        <v>378</v>
      </c>
      <c r="BK15" s="6">
        <v>1062</v>
      </c>
      <c r="BL15" s="35"/>
      <c r="BM15" s="6">
        <f t="shared" si="7"/>
        <v>365</v>
      </c>
      <c r="BN15" s="6">
        <v>1455</v>
      </c>
      <c r="BO15" s="6"/>
      <c r="BP15" s="6">
        <f t="shared" si="8"/>
        <v>393</v>
      </c>
      <c r="BQ15" s="6">
        <v>0</v>
      </c>
      <c r="BR15" s="6">
        <v>1617</v>
      </c>
      <c r="BS15" s="35">
        <f t="shared" si="9"/>
        <v>162</v>
      </c>
      <c r="BT15" s="6">
        <v>387</v>
      </c>
      <c r="BU15" s="6"/>
      <c r="BV15" s="6">
        <f t="shared" si="10"/>
        <v>387</v>
      </c>
      <c r="BW15" s="6">
        <v>733</v>
      </c>
      <c r="BX15" s="6"/>
      <c r="BY15" s="35">
        <f t="shared" si="11"/>
        <v>346</v>
      </c>
      <c r="BZ15" s="6"/>
      <c r="CA15" s="35"/>
      <c r="CB15" s="6"/>
      <c r="CC15" s="6">
        <v>1136</v>
      </c>
      <c r="CD15" s="6"/>
      <c r="CE15" s="6">
        <f t="shared" si="12"/>
        <v>403</v>
      </c>
      <c r="CF15" s="6">
        <v>1528</v>
      </c>
      <c r="CG15" s="35"/>
      <c r="CH15" s="6">
        <f t="shared" si="13"/>
        <v>392</v>
      </c>
      <c r="CI15" s="6">
        <v>365</v>
      </c>
      <c r="CJ15" s="6">
        <v>1560</v>
      </c>
      <c r="CK15" s="6">
        <f t="shared" si="14"/>
        <v>397</v>
      </c>
      <c r="CL15" s="6">
        <v>748</v>
      </c>
      <c r="CM15" s="6"/>
      <c r="CN15" s="6">
        <f t="shared" si="15"/>
        <v>383</v>
      </c>
      <c r="CO15" s="6">
        <v>1128</v>
      </c>
      <c r="CP15" s="6"/>
      <c r="CQ15" s="6">
        <f t="shared" si="16"/>
        <v>380</v>
      </c>
      <c r="CR15" s="6">
        <v>1491</v>
      </c>
      <c r="CS15" s="6"/>
      <c r="CT15" s="6">
        <f t="shared" si="17"/>
        <v>363</v>
      </c>
      <c r="CU15" s="6"/>
      <c r="CV15" s="6"/>
      <c r="CW15" s="6"/>
      <c r="CX15" s="6">
        <v>315</v>
      </c>
      <c r="CY15" s="6">
        <v>1560</v>
      </c>
      <c r="CZ15" s="6">
        <f t="shared" si="18"/>
        <v>384</v>
      </c>
      <c r="DA15" s="6">
        <v>700</v>
      </c>
      <c r="DB15" s="6"/>
      <c r="DC15" s="6">
        <f t="shared" si="19"/>
        <v>385</v>
      </c>
      <c r="DD15" s="6">
        <v>374</v>
      </c>
      <c r="DE15" s="6">
        <v>707</v>
      </c>
      <c r="DF15" s="6">
        <f t="shared" si="20"/>
        <v>381</v>
      </c>
      <c r="DG15" s="6">
        <v>767</v>
      </c>
      <c r="DH15" s="6"/>
      <c r="DI15" s="6">
        <f t="shared" si="21"/>
        <v>393</v>
      </c>
      <c r="DJ15" s="6">
        <v>1161</v>
      </c>
      <c r="DK15" s="6"/>
      <c r="DL15" s="6">
        <f t="shared" si="22"/>
        <v>394</v>
      </c>
      <c r="DM15" s="6">
        <v>1516</v>
      </c>
      <c r="DN15" s="6"/>
      <c r="DO15" s="6">
        <f t="shared" si="23"/>
        <v>355</v>
      </c>
    </row>
    <row r="16" spans="1:119">
      <c r="A16" s="6">
        <v>12</v>
      </c>
      <c r="B16" s="6">
        <v>625</v>
      </c>
      <c r="C16" s="6"/>
      <c r="D16" s="6">
        <v>210</v>
      </c>
      <c r="E16" s="230" t="s">
        <v>128</v>
      </c>
      <c r="F16" s="230" t="s">
        <v>128</v>
      </c>
      <c r="G16" s="230" t="s">
        <v>128</v>
      </c>
      <c r="H16" s="230" t="s">
        <v>128</v>
      </c>
      <c r="I16" s="230" t="s">
        <v>128</v>
      </c>
      <c r="J16" s="230" t="s">
        <v>128</v>
      </c>
      <c r="K16" s="230" t="s">
        <v>128</v>
      </c>
      <c r="L16" s="230" t="s">
        <v>128</v>
      </c>
      <c r="M16" s="230" t="s">
        <v>128</v>
      </c>
      <c r="N16" s="227" t="s">
        <v>37</v>
      </c>
      <c r="O16" s="230" t="s">
        <v>37</v>
      </c>
      <c r="P16" s="230" t="s">
        <v>37</v>
      </c>
      <c r="Q16" s="230" t="s">
        <v>37</v>
      </c>
      <c r="R16" s="230" t="s">
        <v>37</v>
      </c>
      <c r="S16" s="230" t="s">
        <v>37</v>
      </c>
      <c r="T16" s="230" t="s">
        <v>37</v>
      </c>
      <c r="U16" s="230" t="s">
        <v>37</v>
      </c>
      <c r="V16" s="230" t="s">
        <v>37</v>
      </c>
      <c r="W16" s="230" t="s">
        <v>37</v>
      </c>
      <c r="X16" s="230" t="s">
        <v>37</v>
      </c>
      <c r="Y16" s="230" t="s">
        <v>37</v>
      </c>
      <c r="Z16" s="230" t="s">
        <v>37</v>
      </c>
      <c r="AA16" s="230" t="s">
        <v>37</v>
      </c>
      <c r="AB16" s="230" t="s">
        <v>37</v>
      </c>
      <c r="AC16" s="230" t="s">
        <v>37</v>
      </c>
      <c r="AD16" s="35"/>
      <c r="AE16" s="35"/>
      <c r="AF16" s="35"/>
      <c r="AG16" s="35"/>
      <c r="AH16" s="35"/>
      <c r="AI16" s="35"/>
      <c r="AJ16" s="35"/>
      <c r="AK16" s="35"/>
      <c r="AL16" s="35"/>
      <c r="AM16" s="6">
        <v>1026</v>
      </c>
      <c r="AN16" s="35"/>
      <c r="AO16" s="35">
        <f t="shared" si="0"/>
        <v>401</v>
      </c>
      <c r="AP16" s="6">
        <v>1412</v>
      </c>
      <c r="AQ16" s="6"/>
      <c r="AR16" s="34">
        <f t="shared" si="1"/>
        <v>386</v>
      </c>
      <c r="AS16" s="35">
        <v>241</v>
      </c>
      <c r="AT16" s="35">
        <v>1560</v>
      </c>
      <c r="AU16" s="35">
        <f t="shared" si="2"/>
        <v>389</v>
      </c>
      <c r="AV16" s="6">
        <v>636</v>
      </c>
      <c r="AW16" s="6"/>
      <c r="AX16" s="35">
        <f t="shared" si="3"/>
        <v>395</v>
      </c>
      <c r="AY16" s="6">
        <v>1026</v>
      </c>
      <c r="AZ16" s="6"/>
      <c r="BA16" s="35">
        <f t="shared" si="4"/>
        <v>390</v>
      </c>
      <c r="BB16" s="6">
        <v>1408</v>
      </c>
      <c r="BC16" s="6"/>
      <c r="BD16" s="35">
        <f t="shared" si="5"/>
        <v>382</v>
      </c>
      <c r="BE16" s="6"/>
      <c r="BF16" s="6"/>
      <c r="BG16" s="35"/>
      <c r="BH16" s="6">
        <v>245</v>
      </c>
      <c r="BI16" s="6">
        <v>1560</v>
      </c>
      <c r="BJ16" s="35">
        <f t="shared" si="6"/>
        <v>397</v>
      </c>
      <c r="BK16" s="6">
        <v>0</v>
      </c>
      <c r="BL16" s="35">
        <v>576</v>
      </c>
      <c r="BM16" s="6">
        <f t="shared" si="7"/>
        <v>331</v>
      </c>
      <c r="BN16" s="6">
        <v>377</v>
      </c>
      <c r="BO16" s="6"/>
      <c r="BP16" s="6">
        <f t="shared" si="8"/>
        <v>377</v>
      </c>
      <c r="BQ16" s="6">
        <v>756</v>
      </c>
      <c r="BR16" s="6"/>
      <c r="BS16" s="35">
        <f t="shared" si="9"/>
        <v>379</v>
      </c>
      <c r="BT16" s="6">
        <v>1151</v>
      </c>
      <c r="BU16" s="6"/>
      <c r="BV16" s="6">
        <f t="shared" si="10"/>
        <v>395</v>
      </c>
      <c r="BW16" s="6">
        <v>1524</v>
      </c>
      <c r="BX16" s="6"/>
      <c r="BY16" s="35">
        <f t="shared" si="11"/>
        <v>373</v>
      </c>
      <c r="BZ16" s="6"/>
      <c r="CA16" s="35"/>
      <c r="CB16" s="6"/>
      <c r="CC16" s="6">
        <v>357</v>
      </c>
      <c r="CD16" s="6">
        <v>1560</v>
      </c>
      <c r="CE16" s="6">
        <f t="shared" si="12"/>
        <v>393</v>
      </c>
      <c r="CF16" s="6">
        <v>743</v>
      </c>
      <c r="CG16" s="35"/>
      <c r="CH16" s="6">
        <f t="shared" si="13"/>
        <v>386</v>
      </c>
      <c r="CI16" s="6">
        <v>1131</v>
      </c>
      <c r="CJ16" s="6"/>
      <c r="CK16" s="6">
        <f t="shared" si="14"/>
        <v>388</v>
      </c>
      <c r="CL16" s="6">
        <v>1509</v>
      </c>
      <c r="CM16" s="6"/>
      <c r="CN16" s="6">
        <f t="shared" si="15"/>
        <v>378</v>
      </c>
      <c r="CO16" s="6">
        <v>325</v>
      </c>
      <c r="CP16" s="6">
        <v>1560</v>
      </c>
      <c r="CQ16" s="6">
        <f t="shared" si="16"/>
        <v>376</v>
      </c>
      <c r="CR16" s="6">
        <v>688</v>
      </c>
      <c r="CS16" s="6"/>
      <c r="CT16" s="6">
        <f t="shared" si="17"/>
        <v>363</v>
      </c>
      <c r="CU16" s="6"/>
      <c r="CV16" s="6"/>
      <c r="CW16" s="6"/>
      <c r="CX16" s="6">
        <v>1065</v>
      </c>
      <c r="CY16" s="6"/>
      <c r="CZ16" s="6">
        <f t="shared" si="18"/>
        <v>377</v>
      </c>
      <c r="DA16" s="6">
        <v>1406</v>
      </c>
      <c r="DB16" s="6"/>
      <c r="DC16" s="6">
        <f t="shared" si="19"/>
        <v>341</v>
      </c>
      <c r="DD16" s="6">
        <v>218</v>
      </c>
      <c r="DE16" s="6">
        <v>1560</v>
      </c>
      <c r="DF16" s="6">
        <f t="shared" si="20"/>
        <v>372</v>
      </c>
      <c r="DG16" s="6">
        <v>590</v>
      </c>
      <c r="DH16" s="6"/>
      <c r="DI16" s="6">
        <f t="shared" si="21"/>
        <v>372</v>
      </c>
      <c r="DJ16" s="6">
        <v>962</v>
      </c>
      <c r="DK16" s="6"/>
      <c r="DL16" s="6">
        <f t="shared" si="22"/>
        <v>372</v>
      </c>
      <c r="DM16" s="6">
        <v>1310</v>
      </c>
      <c r="DN16" s="6"/>
      <c r="DO16" s="6">
        <f t="shared" si="23"/>
        <v>348</v>
      </c>
    </row>
    <row r="17" spans="1:119">
      <c r="A17" s="6">
        <v>13</v>
      </c>
      <c r="B17" s="6">
        <v>210</v>
      </c>
      <c r="C17" s="6"/>
      <c r="D17" s="6">
        <v>208</v>
      </c>
      <c r="E17" s="222" t="s">
        <v>37</v>
      </c>
      <c r="F17" s="222" t="s">
        <v>37</v>
      </c>
      <c r="G17" s="222" t="s">
        <v>37</v>
      </c>
      <c r="H17" s="222" t="s">
        <v>37</v>
      </c>
      <c r="I17" s="222" t="s">
        <v>37</v>
      </c>
      <c r="J17" s="222" t="s">
        <v>37</v>
      </c>
      <c r="K17" s="222" t="s">
        <v>37</v>
      </c>
      <c r="L17" s="217" t="s">
        <v>37</v>
      </c>
      <c r="M17" s="222" t="s">
        <v>37</v>
      </c>
      <c r="N17" s="222" t="s">
        <v>37</v>
      </c>
      <c r="O17" s="222" t="s">
        <v>37</v>
      </c>
      <c r="P17" s="222" t="s">
        <v>37</v>
      </c>
      <c r="Q17" s="222" t="s">
        <v>37</v>
      </c>
      <c r="R17" s="222" t="s">
        <v>37</v>
      </c>
      <c r="S17" s="222" t="s">
        <v>37</v>
      </c>
      <c r="T17" s="222" t="s">
        <v>37</v>
      </c>
      <c r="U17" s="222" t="s">
        <v>37</v>
      </c>
      <c r="V17" s="222" t="s">
        <v>37</v>
      </c>
      <c r="W17" s="222" t="s">
        <v>37</v>
      </c>
      <c r="X17" s="222" t="s">
        <v>37</v>
      </c>
      <c r="Y17" s="222" t="s">
        <v>37</v>
      </c>
      <c r="Z17" s="222" t="s">
        <v>37</v>
      </c>
      <c r="AA17" s="222" t="s">
        <v>37</v>
      </c>
      <c r="AB17" s="222" t="s">
        <v>37</v>
      </c>
      <c r="AC17" s="222" t="s">
        <v>37</v>
      </c>
      <c r="AD17" s="6"/>
      <c r="AE17" s="6"/>
      <c r="AF17" s="35"/>
      <c r="AG17" s="6"/>
      <c r="AH17" s="6"/>
      <c r="AI17" s="35"/>
      <c r="AJ17" s="35"/>
      <c r="AK17" s="35"/>
      <c r="AL17" s="35"/>
      <c r="AM17" s="6">
        <v>612</v>
      </c>
      <c r="AN17" s="6"/>
      <c r="AO17" s="35">
        <f t="shared" si="0"/>
        <v>402</v>
      </c>
      <c r="AP17" s="6">
        <v>989</v>
      </c>
      <c r="AQ17" s="6"/>
      <c r="AR17" s="34">
        <f t="shared" si="1"/>
        <v>377</v>
      </c>
      <c r="AS17" s="35">
        <v>1369</v>
      </c>
      <c r="AT17" s="35"/>
      <c r="AU17" s="35">
        <f t="shared" si="2"/>
        <v>380</v>
      </c>
      <c r="AV17" s="6">
        <v>189</v>
      </c>
      <c r="AW17" s="6">
        <v>1560</v>
      </c>
      <c r="AX17" s="35">
        <f t="shared" si="3"/>
        <v>380</v>
      </c>
      <c r="AY17" s="6">
        <v>563</v>
      </c>
      <c r="AZ17" s="6"/>
      <c r="BA17" s="35">
        <f t="shared" si="4"/>
        <v>374</v>
      </c>
      <c r="BB17" s="35">
        <v>915</v>
      </c>
      <c r="BC17" s="35"/>
      <c r="BD17" s="35">
        <f t="shared" si="5"/>
        <v>352</v>
      </c>
      <c r="BE17" s="6"/>
      <c r="BF17" s="6"/>
      <c r="BG17" s="35"/>
      <c r="BH17" s="35">
        <v>351</v>
      </c>
      <c r="BI17" s="6">
        <v>915</v>
      </c>
      <c r="BJ17" s="35">
        <f t="shared" si="6"/>
        <v>351</v>
      </c>
      <c r="BK17" s="6">
        <v>730</v>
      </c>
      <c r="BL17" s="6"/>
      <c r="BM17" s="6">
        <f t="shared" si="7"/>
        <v>379</v>
      </c>
      <c r="BN17" s="6">
        <v>257</v>
      </c>
      <c r="BO17" s="6">
        <v>851</v>
      </c>
      <c r="BP17" s="6">
        <f t="shared" si="8"/>
        <v>378</v>
      </c>
      <c r="BQ17" s="6">
        <v>639</v>
      </c>
      <c r="BR17" s="6"/>
      <c r="BS17" s="35">
        <f t="shared" si="9"/>
        <v>382</v>
      </c>
      <c r="BT17" s="6">
        <v>1021</v>
      </c>
      <c r="BU17" s="6"/>
      <c r="BV17" s="6">
        <f t="shared" si="10"/>
        <v>382</v>
      </c>
      <c r="BW17" s="6">
        <v>1373</v>
      </c>
      <c r="BX17" s="6"/>
      <c r="BY17" s="35">
        <f t="shared" si="11"/>
        <v>352</v>
      </c>
      <c r="BZ17" s="6"/>
      <c r="CA17" s="6"/>
      <c r="CB17" s="6"/>
      <c r="CC17" s="6">
        <v>194</v>
      </c>
      <c r="CD17" s="6">
        <v>1561</v>
      </c>
      <c r="CE17" s="6">
        <f t="shared" si="12"/>
        <v>382</v>
      </c>
      <c r="CF17" s="6">
        <v>570</v>
      </c>
      <c r="CG17" s="6"/>
      <c r="CH17" s="6">
        <f t="shared" si="13"/>
        <v>376</v>
      </c>
      <c r="CI17" s="6">
        <v>951</v>
      </c>
      <c r="CJ17" s="6"/>
      <c r="CK17" s="6">
        <f t="shared" si="14"/>
        <v>381</v>
      </c>
      <c r="CL17" s="6">
        <v>1328</v>
      </c>
      <c r="CM17" s="6"/>
      <c r="CN17" s="6">
        <f t="shared" si="15"/>
        <v>377</v>
      </c>
      <c r="CO17" s="6">
        <v>149</v>
      </c>
      <c r="CP17" s="6">
        <v>1560</v>
      </c>
      <c r="CQ17" s="6">
        <f t="shared" si="16"/>
        <v>381</v>
      </c>
      <c r="CR17" s="6">
        <v>515</v>
      </c>
      <c r="CS17" s="6"/>
      <c r="CT17" s="6">
        <f t="shared" si="17"/>
        <v>366</v>
      </c>
      <c r="CU17" s="6"/>
      <c r="CV17" s="6"/>
      <c r="CW17" s="6"/>
      <c r="CX17" s="6">
        <v>883</v>
      </c>
      <c r="CY17" s="6"/>
      <c r="CZ17" s="6">
        <f t="shared" si="18"/>
        <v>368</v>
      </c>
      <c r="DA17" s="6">
        <v>1255</v>
      </c>
      <c r="DB17" s="6"/>
      <c r="DC17" s="6">
        <f t="shared" si="19"/>
        <v>372</v>
      </c>
      <c r="DD17" s="6">
        <v>65</v>
      </c>
      <c r="DE17" s="6">
        <v>1560</v>
      </c>
      <c r="DF17" s="6">
        <f t="shared" si="20"/>
        <v>370</v>
      </c>
      <c r="DG17" s="6">
        <v>445</v>
      </c>
      <c r="DH17" s="6"/>
      <c r="DI17" s="6">
        <f t="shared" si="21"/>
        <v>380</v>
      </c>
      <c r="DJ17" s="6">
        <v>827</v>
      </c>
      <c r="DK17" s="6"/>
      <c r="DL17" s="6">
        <f t="shared" si="22"/>
        <v>382</v>
      </c>
      <c r="DM17" s="6">
        <v>1178</v>
      </c>
      <c r="DN17" s="6"/>
      <c r="DO17" s="6">
        <f t="shared" si="23"/>
        <v>351</v>
      </c>
    </row>
    <row r="18" spans="1:119">
      <c r="A18" s="6">
        <v>14</v>
      </c>
      <c r="B18" s="6">
        <v>136</v>
      </c>
      <c r="C18" s="6">
        <v>1560</v>
      </c>
      <c r="D18" s="6">
        <v>227</v>
      </c>
      <c r="E18" s="33" t="s">
        <v>128</v>
      </c>
      <c r="F18" s="33" t="s">
        <v>128</v>
      </c>
      <c r="G18" s="33" t="s">
        <v>128</v>
      </c>
      <c r="H18" s="33" t="s">
        <v>128</v>
      </c>
      <c r="I18" s="33" t="s">
        <v>128</v>
      </c>
      <c r="J18" s="148" t="s">
        <v>37</v>
      </c>
      <c r="K18" s="33" t="s">
        <v>37</v>
      </c>
      <c r="L18" s="33" t="s">
        <v>37</v>
      </c>
      <c r="M18" s="33" t="s">
        <v>37</v>
      </c>
      <c r="N18" s="33" t="s">
        <v>37</v>
      </c>
      <c r="O18" s="33" t="s">
        <v>37</v>
      </c>
      <c r="P18" s="33" t="s">
        <v>37</v>
      </c>
      <c r="Q18" s="33" t="s">
        <v>37</v>
      </c>
      <c r="R18" s="33" t="s">
        <v>37</v>
      </c>
      <c r="S18" s="33" t="s">
        <v>37</v>
      </c>
      <c r="T18" s="33" t="s">
        <v>37</v>
      </c>
      <c r="U18" s="33" t="s">
        <v>37</v>
      </c>
      <c r="V18" s="33" t="s">
        <v>37</v>
      </c>
      <c r="W18" s="33" t="s">
        <v>37</v>
      </c>
      <c r="X18" s="33" t="s">
        <v>37</v>
      </c>
      <c r="Y18" s="33" t="s">
        <v>37</v>
      </c>
      <c r="Z18" s="33" t="s">
        <v>37</v>
      </c>
      <c r="AA18" s="33" t="s">
        <v>37</v>
      </c>
      <c r="AB18" s="33" t="s">
        <v>37</v>
      </c>
      <c r="AC18" s="33" t="s">
        <v>37</v>
      </c>
      <c r="AD18" s="35"/>
      <c r="AE18" s="35"/>
      <c r="AF18" s="35"/>
      <c r="AG18" s="35"/>
      <c r="AH18" s="35"/>
      <c r="AI18" s="35"/>
      <c r="AJ18" s="35"/>
      <c r="AK18" s="35"/>
      <c r="AL18" s="35"/>
      <c r="AM18" s="35">
        <v>509</v>
      </c>
      <c r="AN18" s="35"/>
      <c r="AO18" s="35">
        <f t="shared" si="0"/>
        <v>373</v>
      </c>
      <c r="AP18" s="35">
        <v>889</v>
      </c>
      <c r="AQ18" s="35"/>
      <c r="AR18" s="34">
        <f t="shared" si="1"/>
        <v>380</v>
      </c>
      <c r="AS18" s="35">
        <v>1280</v>
      </c>
      <c r="AT18" s="35"/>
      <c r="AU18" s="35">
        <f t="shared" si="2"/>
        <v>391</v>
      </c>
      <c r="AV18" s="6">
        <v>0</v>
      </c>
      <c r="AW18" s="6">
        <v>1598</v>
      </c>
      <c r="AX18" s="35">
        <f t="shared" si="3"/>
        <v>318</v>
      </c>
      <c r="AY18" s="6">
        <v>348</v>
      </c>
      <c r="AZ18" s="6"/>
      <c r="BA18" s="35">
        <f t="shared" si="4"/>
        <v>348</v>
      </c>
      <c r="BB18" s="35">
        <v>714</v>
      </c>
      <c r="BC18" s="35"/>
      <c r="BD18" s="35">
        <f t="shared" si="5"/>
        <v>366</v>
      </c>
      <c r="BE18" s="6"/>
      <c r="BF18" s="6"/>
      <c r="BG18" s="35"/>
      <c r="BH18" s="6">
        <v>1100</v>
      </c>
      <c r="BI18" s="6"/>
      <c r="BJ18" s="35">
        <f t="shared" si="6"/>
        <v>386</v>
      </c>
      <c r="BK18" s="6">
        <v>1478</v>
      </c>
      <c r="BL18" s="6"/>
      <c r="BM18" s="6">
        <f t="shared" si="7"/>
        <v>378</v>
      </c>
      <c r="BN18" s="6">
        <v>282</v>
      </c>
      <c r="BO18" s="6">
        <v>1560</v>
      </c>
      <c r="BP18" s="6">
        <f t="shared" si="8"/>
        <v>364</v>
      </c>
      <c r="BQ18" s="6">
        <v>660</v>
      </c>
      <c r="BR18" s="6"/>
      <c r="BS18" s="35">
        <f t="shared" si="9"/>
        <v>378</v>
      </c>
      <c r="BT18" s="6">
        <v>1037</v>
      </c>
      <c r="BU18" s="6"/>
      <c r="BV18" s="6">
        <f t="shared" si="10"/>
        <v>377</v>
      </c>
      <c r="BW18" s="6">
        <v>1398</v>
      </c>
      <c r="BX18" s="6"/>
      <c r="BY18" s="35">
        <f t="shared" si="11"/>
        <v>361</v>
      </c>
      <c r="BZ18" s="6"/>
      <c r="CA18" s="6"/>
      <c r="CB18" s="6"/>
      <c r="CC18" s="6">
        <v>228</v>
      </c>
      <c r="CD18" s="6">
        <v>1551</v>
      </c>
      <c r="CE18" s="6">
        <f t="shared" si="12"/>
        <v>381</v>
      </c>
      <c r="CF18" s="6">
        <v>598</v>
      </c>
      <c r="CG18" s="6"/>
      <c r="CH18" s="6">
        <f t="shared" si="13"/>
        <v>370</v>
      </c>
      <c r="CI18" s="6">
        <v>976</v>
      </c>
      <c r="CJ18" s="6"/>
      <c r="CK18" s="6">
        <f t="shared" si="14"/>
        <v>378</v>
      </c>
      <c r="CL18" s="6">
        <v>1356</v>
      </c>
      <c r="CM18" s="6"/>
      <c r="CN18" s="6">
        <f t="shared" si="15"/>
        <v>380</v>
      </c>
      <c r="CO18" s="6">
        <v>161</v>
      </c>
      <c r="CP18" s="6">
        <v>1573</v>
      </c>
      <c r="CQ18" s="6">
        <f t="shared" si="16"/>
        <v>378</v>
      </c>
      <c r="CR18" s="6">
        <v>506</v>
      </c>
      <c r="CS18" s="6"/>
      <c r="CT18" s="6">
        <f t="shared" si="17"/>
        <v>345</v>
      </c>
      <c r="CU18" s="6"/>
      <c r="CV18" s="6"/>
      <c r="CW18" s="6"/>
      <c r="CX18" s="6">
        <v>888</v>
      </c>
      <c r="CY18" s="6"/>
      <c r="CZ18" s="6">
        <f t="shared" si="18"/>
        <v>382</v>
      </c>
      <c r="DA18" s="6">
        <v>176</v>
      </c>
      <c r="DB18" s="6">
        <v>1077</v>
      </c>
      <c r="DC18" s="6">
        <f t="shared" si="19"/>
        <v>365</v>
      </c>
      <c r="DD18" s="6">
        <v>543</v>
      </c>
      <c r="DE18" s="6"/>
      <c r="DF18" s="6">
        <f t="shared" si="20"/>
        <v>367</v>
      </c>
      <c r="DG18" s="6">
        <v>901</v>
      </c>
      <c r="DH18" s="6"/>
      <c r="DI18" s="6">
        <f t="shared" si="21"/>
        <v>358</v>
      </c>
      <c r="DJ18" s="6">
        <v>1276</v>
      </c>
      <c r="DK18" s="6"/>
      <c r="DL18" s="6">
        <f t="shared" si="22"/>
        <v>375</v>
      </c>
      <c r="DM18" s="6">
        <v>61</v>
      </c>
      <c r="DN18" s="6">
        <v>1560</v>
      </c>
      <c r="DO18" s="6">
        <f t="shared" si="23"/>
        <v>345</v>
      </c>
    </row>
    <row r="19" spans="1:119">
      <c r="A19" s="6">
        <v>15</v>
      </c>
      <c r="B19" s="6">
        <v>879</v>
      </c>
      <c r="C19" s="6"/>
      <c r="D19" s="6">
        <v>209</v>
      </c>
      <c r="E19" s="33" t="s">
        <v>307</v>
      </c>
      <c r="F19" s="33" t="s">
        <v>307</v>
      </c>
      <c r="G19" s="33" t="s">
        <v>307</v>
      </c>
      <c r="H19" s="33" t="s">
        <v>307</v>
      </c>
      <c r="I19" s="33" t="s">
        <v>307</v>
      </c>
      <c r="J19" s="33" t="s">
        <v>307</v>
      </c>
      <c r="K19" s="33" t="s">
        <v>307</v>
      </c>
      <c r="L19" s="33" t="s">
        <v>307</v>
      </c>
      <c r="M19" s="33" t="s">
        <v>307</v>
      </c>
      <c r="N19" s="33" t="s">
        <v>307</v>
      </c>
      <c r="O19" s="33" t="s">
        <v>307</v>
      </c>
      <c r="P19" s="33" t="s">
        <v>307</v>
      </c>
      <c r="Q19" s="33" t="s">
        <v>307</v>
      </c>
      <c r="R19" s="33" t="s">
        <v>307</v>
      </c>
      <c r="S19" s="33" t="s">
        <v>307</v>
      </c>
      <c r="T19" s="33" t="s">
        <v>307</v>
      </c>
      <c r="U19" s="33" t="s">
        <v>307</v>
      </c>
      <c r="V19" s="33" t="s">
        <v>307</v>
      </c>
      <c r="W19" s="33" t="s">
        <v>307</v>
      </c>
      <c r="X19" s="33" t="s">
        <v>307</v>
      </c>
      <c r="Y19" s="148" t="s">
        <v>307</v>
      </c>
      <c r="Z19" s="33" t="s">
        <v>307</v>
      </c>
      <c r="AA19" s="33" t="s">
        <v>307</v>
      </c>
      <c r="AB19" s="33" t="s">
        <v>307</v>
      </c>
      <c r="AC19" s="33" t="s">
        <v>307</v>
      </c>
      <c r="AD19" s="35"/>
      <c r="AE19" s="35"/>
      <c r="AF19" s="35"/>
      <c r="AG19" s="35"/>
      <c r="AH19" s="35"/>
      <c r="AI19" s="35"/>
      <c r="AJ19" s="35"/>
      <c r="AK19" s="35"/>
      <c r="AL19" s="35"/>
      <c r="AM19" s="35">
        <v>1285</v>
      </c>
      <c r="AN19" s="35"/>
      <c r="AO19" s="35">
        <f t="shared" si="0"/>
        <v>406</v>
      </c>
      <c r="AP19" s="35">
        <v>95</v>
      </c>
      <c r="AQ19" s="35">
        <v>1564</v>
      </c>
      <c r="AR19" s="34">
        <f t="shared" si="1"/>
        <v>374</v>
      </c>
      <c r="AS19" s="35">
        <v>468</v>
      </c>
      <c r="AT19" s="35"/>
      <c r="AU19" s="35">
        <f t="shared" si="2"/>
        <v>373</v>
      </c>
      <c r="AV19" s="6">
        <v>831</v>
      </c>
      <c r="AW19" s="6"/>
      <c r="AX19" s="35">
        <f t="shared" si="3"/>
        <v>363</v>
      </c>
      <c r="AY19" s="35">
        <v>118</v>
      </c>
      <c r="AZ19" s="35">
        <v>1091</v>
      </c>
      <c r="BA19" s="35">
        <f t="shared" si="4"/>
        <v>378</v>
      </c>
      <c r="BB19" s="35">
        <v>476</v>
      </c>
      <c r="BC19" s="35"/>
      <c r="BD19" s="35">
        <f t="shared" si="5"/>
        <v>358</v>
      </c>
      <c r="BE19" s="35"/>
      <c r="BF19" s="35"/>
      <c r="BG19" s="35"/>
      <c r="BH19" s="35">
        <v>838</v>
      </c>
      <c r="BI19" s="35"/>
      <c r="BJ19" s="35">
        <f t="shared" si="6"/>
        <v>362</v>
      </c>
      <c r="BK19" s="35">
        <v>1221</v>
      </c>
      <c r="BL19" s="35"/>
      <c r="BM19" s="6">
        <f t="shared" si="7"/>
        <v>383</v>
      </c>
      <c r="BN19" s="35">
        <v>261</v>
      </c>
      <c r="BO19" s="6">
        <v>1330</v>
      </c>
      <c r="BP19" s="6">
        <f t="shared" si="8"/>
        <v>370</v>
      </c>
      <c r="BQ19" s="6">
        <v>644</v>
      </c>
      <c r="BR19" s="6"/>
      <c r="BS19" s="35">
        <f t="shared" si="9"/>
        <v>383</v>
      </c>
      <c r="BT19" s="6">
        <v>196</v>
      </c>
      <c r="BU19" s="6">
        <v>831</v>
      </c>
      <c r="BV19" s="6">
        <f t="shared" si="10"/>
        <v>383</v>
      </c>
      <c r="BW19" s="6">
        <v>561</v>
      </c>
      <c r="BX19" s="6"/>
      <c r="BY19" s="35">
        <f t="shared" si="11"/>
        <v>365</v>
      </c>
      <c r="BZ19" s="6"/>
      <c r="CA19" s="6"/>
      <c r="CB19" s="6"/>
      <c r="CC19" s="6">
        <v>191</v>
      </c>
      <c r="CD19" s="6">
        <v>714</v>
      </c>
      <c r="CE19" s="6">
        <f t="shared" si="12"/>
        <v>344</v>
      </c>
      <c r="CF19" s="6">
        <v>576</v>
      </c>
      <c r="CG19" s="6"/>
      <c r="CH19" s="6">
        <f t="shared" si="13"/>
        <v>385</v>
      </c>
      <c r="CI19" s="6">
        <v>959</v>
      </c>
      <c r="CJ19" s="6"/>
      <c r="CK19" s="6">
        <f t="shared" si="14"/>
        <v>383</v>
      </c>
      <c r="CL19" s="6">
        <v>1322</v>
      </c>
      <c r="CM19" s="6"/>
      <c r="CN19" s="6">
        <f t="shared" si="15"/>
        <v>363</v>
      </c>
      <c r="CO19" s="6">
        <v>134</v>
      </c>
      <c r="CP19" s="6">
        <v>1560</v>
      </c>
      <c r="CQ19" s="6">
        <f t="shared" si="16"/>
        <v>372</v>
      </c>
      <c r="CR19" s="6">
        <v>487</v>
      </c>
      <c r="CS19" s="6"/>
      <c r="CT19" s="6">
        <f t="shared" si="17"/>
        <v>353</v>
      </c>
      <c r="CU19" s="6"/>
      <c r="CV19" s="6"/>
      <c r="CW19" s="6"/>
      <c r="CX19" s="6">
        <v>0</v>
      </c>
      <c r="CY19" s="6">
        <v>742</v>
      </c>
      <c r="CZ19" s="6">
        <f t="shared" si="18"/>
        <v>255</v>
      </c>
      <c r="DA19" s="6">
        <v>305</v>
      </c>
      <c r="DB19" s="6"/>
      <c r="DC19" s="6">
        <f t="shared" si="19"/>
        <v>305</v>
      </c>
      <c r="DD19" s="6">
        <v>672</v>
      </c>
      <c r="DE19" s="6"/>
      <c r="DF19" s="6">
        <f t="shared" si="20"/>
        <v>367</v>
      </c>
      <c r="DG19" s="6">
        <v>1062</v>
      </c>
      <c r="DH19" s="6"/>
      <c r="DI19" s="6">
        <f t="shared" si="21"/>
        <v>390</v>
      </c>
      <c r="DJ19" s="6">
        <v>1454</v>
      </c>
      <c r="DK19" s="6"/>
      <c r="DL19" s="6">
        <f t="shared" si="22"/>
        <v>392</v>
      </c>
      <c r="DM19" s="6">
        <v>245</v>
      </c>
      <c r="DN19" s="6">
        <v>1564</v>
      </c>
      <c r="DO19" s="6">
        <f t="shared" si="23"/>
        <v>355</v>
      </c>
    </row>
    <row r="20" spans="1:119" s="65" customFormat="1">
      <c r="A20" s="63">
        <v>16</v>
      </c>
      <c r="B20" s="63">
        <v>1038</v>
      </c>
      <c r="C20" s="63"/>
      <c r="D20" s="6">
        <v>213</v>
      </c>
      <c r="E20" s="33" t="s">
        <v>307</v>
      </c>
      <c r="F20" s="33" t="s">
        <v>307</v>
      </c>
      <c r="G20" s="33" t="s">
        <v>307</v>
      </c>
      <c r="H20" s="33" t="s">
        <v>307</v>
      </c>
      <c r="I20" s="33" t="s">
        <v>307</v>
      </c>
      <c r="J20" s="33" t="s">
        <v>307</v>
      </c>
      <c r="K20" s="33" t="s">
        <v>307</v>
      </c>
      <c r="L20" s="33" t="s">
        <v>307</v>
      </c>
      <c r="M20" s="33" t="s">
        <v>307</v>
      </c>
      <c r="N20" s="33" t="s">
        <v>307</v>
      </c>
      <c r="O20" s="33" t="s">
        <v>307</v>
      </c>
      <c r="P20" s="33" t="s">
        <v>307</v>
      </c>
      <c r="Q20" s="33" t="s">
        <v>307</v>
      </c>
      <c r="R20" s="33" t="s">
        <v>307</v>
      </c>
      <c r="S20" s="148" t="s">
        <v>307</v>
      </c>
      <c r="T20" s="33" t="s">
        <v>307</v>
      </c>
      <c r="U20" s="33" t="s">
        <v>307</v>
      </c>
      <c r="V20" s="33" t="s">
        <v>307</v>
      </c>
      <c r="W20" s="33" t="s">
        <v>307</v>
      </c>
      <c r="X20" s="33" t="s">
        <v>307</v>
      </c>
      <c r="Y20" s="33" t="s">
        <v>307</v>
      </c>
      <c r="Z20" s="33" t="s">
        <v>307</v>
      </c>
      <c r="AA20" s="33" t="s">
        <v>307</v>
      </c>
      <c r="AB20" s="33" t="s">
        <v>307</v>
      </c>
      <c r="AC20" s="33" t="s">
        <v>307</v>
      </c>
      <c r="AD20" s="63"/>
      <c r="AE20" s="63"/>
      <c r="AF20" s="35"/>
      <c r="AG20" s="63"/>
      <c r="AH20" s="63"/>
      <c r="AI20" s="35"/>
      <c r="AJ20" s="66"/>
      <c r="AK20" s="66"/>
      <c r="AL20" s="35"/>
      <c r="AM20" s="63">
        <v>1424</v>
      </c>
      <c r="AN20" s="63"/>
      <c r="AO20" s="35">
        <f t="shared" si="0"/>
        <v>386</v>
      </c>
      <c r="AP20" s="6">
        <v>253</v>
      </c>
      <c r="AQ20" s="6">
        <v>1560</v>
      </c>
      <c r="AR20" s="34">
        <f t="shared" si="1"/>
        <v>389</v>
      </c>
      <c r="AS20" s="66">
        <v>645</v>
      </c>
      <c r="AT20" s="66"/>
      <c r="AU20" s="35">
        <f t="shared" si="2"/>
        <v>392</v>
      </c>
      <c r="AV20" s="63">
        <v>1026</v>
      </c>
      <c r="AW20" s="63"/>
      <c r="AX20" s="35">
        <f t="shared" si="3"/>
        <v>381</v>
      </c>
      <c r="AY20" s="63">
        <v>1412</v>
      </c>
      <c r="AZ20" s="63"/>
      <c r="BA20" s="35">
        <f t="shared" si="4"/>
        <v>386</v>
      </c>
      <c r="BB20" s="66">
        <v>233</v>
      </c>
      <c r="BC20" s="66">
        <v>1560</v>
      </c>
      <c r="BD20" s="35">
        <f t="shared" si="5"/>
        <v>381</v>
      </c>
      <c r="BE20" s="63"/>
      <c r="BF20" s="63"/>
      <c r="BG20" s="35"/>
      <c r="BH20" s="63">
        <v>628</v>
      </c>
      <c r="BI20" s="63"/>
      <c r="BJ20" s="35">
        <f t="shared" si="6"/>
        <v>395</v>
      </c>
      <c r="BK20" s="63">
        <v>1017</v>
      </c>
      <c r="BL20" s="63"/>
      <c r="BM20" s="6">
        <f t="shared" si="7"/>
        <v>389</v>
      </c>
      <c r="BN20" s="63">
        <v>1419</v>
      </c>
      <c r="BO20" s="63"/>
      <c r="BP20" s="6">
        <f t="shared" si="8"/>
        <v>402</v>
      </c>
      <c r="BQ20" s="63">
        <v>259</v>
      </c>
      <c r="BR20" s="63">
        <v>1560</v>
      </c>
      <c r="BS20" s="35">
        <f t="shared" si="9"/>
        <v>400</v>
      </c>
      <c r="BT20" s="63">
        <v>659</v>
      </c>
      <c r="BU20" s="63"/>
      <c r="BV20" s="6">
        <f t="shared" si="10"/>
        <v>400</v>
      </c>
      <c r="BW20" s="63">
        <v>163</v>
      </c>
      <c r="BX20" s="63">
        <v>850</v>
      </c>
      <c r="BY20" s="35">
        <f t="shared" si="11"/>
        <v>354</v>
      </c>
      <c r="BZ20" s="63"/>
      <c r="CA20" s="63"/>
      <c r="CB20" s="6"/>
      <c r="CC20" s="63">
        <v>0</v>
      </c>
      <c r="CD20" s="63">
        <v>423</v>
      </c>
      <c r="CE20" s="6">
        <f t="shared" si="12"/>
        <v>260</v>
      </c>
      <c r="CF20" s="63">
        <v>384</v>
      </c>
      <c r="CG20" s="63"/>
      <c r="CH20" s="6">
        <f t="shared" si="13"/>
        <v>384</v>
      </c>
      <c r="CI20" s="63">
        <v>785</v>
      </c>
      <c r="CJ20" s="63"/>
      <c r="CK20" s="6">
        <f t="shared" si="14"/>
        <v>401</v>
      </c>
      <c r="CL20" s="63">
        <v>1170</v>
      </c>
      <c r="CM20" s="63"/>
      <c r="CN20" s="6">
        <f t="shared" si="15"/>
        <v>385</v>
      </c>
      <c r="CO20" s="63">
        <v>1549</v>
      </c>
      <c r="CP20" s="63"/>
      <c r="CQ20" s="6">
        <f t="shared" si="16"/>
        <v>379</v>
      </c>
      <c r="CR20" s="63">
        <v>355</v>
      </c>
      <c r="CS20" s="63">
        <v>1566</v>
      </c>
      <c r="CT20" s="6">
        <f t="shared" si="17"/>
        <v>372</v>
      </c>
      <c r="CU20" s="63"/>
      <c r="CV20" s="63"/>
      <c r="CW20" s="6"/>
      <c r="CX20" s="63">
        <v>745</v>
      </c>
      <c r="CY20" s="63"/>
      <c r="CZ20" s="6">
        <f t="shared" si="18"/>
        <v>390</v>
      </c>
      <c r="DA20" s="63">
        <v>1129</v>
      </c>
      <c r="DB20" s="63"/>
      <c r="DC20" s="6">
        <f t="shared" si="19"/>
        <v>384</v>
      </c>
      <c r="DD20" s="63">
        <v>1515</v>
      </c>
      <c r="DE20" s="63"/>
      <c r="DF20" s="6">
        <f t="shared" si="20"/>
        <v>386</v>
      </c>
      <c r="DG20" s="63">
        <v>348</v>
      </c>
      <c r="DH20" s="63">
        <v>1560</v>
      </c>
      <c r="DI20" s="6">
        <f t="shared" si="21"/>
        <v>393</v>
      </c>
      <c r="DJ20" s="63">
        <v>742</v>
      </c>
      <c r="DK20" s="63"/>
      <c r="DL20" s="6">
        <f t="shared" si="22"/>
        <v>394</v>
      </c>
      <c r="DM20" s="63">
        <v>1106</v>
      </c>
      <c r="DN20" s="63"/>
      <c r="DO20" s="6">
        <f t="shared" si="23"/>
        <v>364</v>
      </c>
    </row>
    <row r="21" spans="1:119">
      <c r="A21" s="6">
        <v>17</v>
      </c>
      <c r="B21" s="6">
        <v>926</v>
      </c>
      <c r="C21" s="6"/>
      <c r="D21" s="6">
        <v>200</v>
      </c>
      <c r="E21" s="33" t="s">
        <v>37</v>
      </c>
      <c r="F21" s="33" t="s">
        <v>37</v>
      </c>
      <c r="G21" s="33" t="s">
        <v>37</v>
      </c>
      <c r="H21" s="33" t="s">
        <v>37</v>
      </c>
      <c r="I21" s="33" t="s">
        <v>37</v>
      </c>
      <c r="J21" s="33" t="s">
        <v>37</v>
      </c>
      <c r="K21" s="148" t="s">
        <v>37</v>
      </c>
      <c r="L21" s="33" t="s">
        <v>37</v>
      </c>
      <c r="M21" s="33" t="s">
        <v>37</v>
      </c>
      <c r="N21" s="33" t="s">
        <v>37</v>
      </c>
      <c r="O21" s="33" t="s">
        <v>37</v>
      </c>
      <c r="P21" s="33" t="s">
        <v>37</v>
      </c>
      <c r="Q21" s="33" t="s">
        <v>37</v>
      </c>
      <c r="R21" s="33" t="s">
        <v>37</v>
      </c>
      <c r="S21" s="33" t="s">
        <v>37</v>
      </c>
      <c r="T21" s="33" t="s">
        <v>37</v>
      </c>
      <c r="U21" s="33" t="s">
        <v>37</v>
      </c>
      <c r="V21" s="33" t="s">
        <v>37</v>
      </c>
      <c r="W21" s="33" t="s">
        <v>37</v>
      </c>
      <c r="X21" s="33" t="s">
        <v>37</v>
      </c>
      <c r="Y21" s="33" t="s">
        <v>37</v>
      </c>
      <c r="Z21" s="33" t="s">
        <v>37</v>
      </c>
      <c r="AA21" s="33" t="s">
        <v>37</v>
      </c>
      <c r="AB21" s="33" t="s">
        <v>37</v>
      </c>
      <c r="AC21" s="33" t="s">
        <v>37</v>
      </c>
      <c r="AD21" s="6"/>
      <c r="AE21" s="6"/>
      <c r="AF21" s="35"/>
      <c r="AG21" s="6"/>
      <c r="AH21" s="6"/>
      <c r="AI21" s="35"/>
      <c r="AJ21" s="35"/>
      <c r="AK21" s="35"/>
      <c r="AL21" s="35"/>
      <c r="AM21" s="6">
        <v>378</v>
      </c>
      <c r="AN21" s="6">
        <v>928</v>
      </c>
      <c r="AO21" s="35">
        <f t="shared" si="0"/>
        <v>380</v>
      </c>
      <c r="AP21" s="6">
        <v>254</v>
      </c>
      <c r="AQ21" s="6">
        <v>495</v>
      </c>
      <c r="AR21" s="34">
        <f t="shared" si="1"/>
        <v>371</v>
      </c>
      <c r="AS21" s="35">
        <v>635</v>
      </c>
      <c r="AT21" s="35"/>
      <c r="AU21" s="35">
        <f t="shared" si="2"/>
        <v>381</v>
      </c>
      <c r="AV21" s="6">
        <v>348</v>
      </c>
      <c r="AW21" s="6">
        <v>667</v>
      </c>
      <c r="AX21" s="35">
        <f t="shared" si="3"/>
        <v>380</v>
      </c>
      <c r="AY21" s="6">
        <v>730</v>
      </c>
      <c r="AZ21" s="6"/>
      <c r="BA21" s="35">
        <f t="shared" si="4"/>
        <v>382</v>
      </c>
      <c r="BB21" s="35">
        <v>233</v>
      </c>
      <c r="BC21" s="35">
        <v>845</v>
      </c>
      <c r="BD21" s="35">
        <f t="shared" si="5"/>
        <v>348</v>
      </c>
      <c r="BE21" s="6"/>
      <c r="BF21" s="6"/>
      <c r="BG21" s="35"/>
      <c r="BH21" s="6">
        <v>255</v>
      </c>
      <c r="BI21" s="6">
        <v>348</v>
      </c>
      <c r="BJ21" s="35">
        <f t="shared" si="6"/>
        <v>370</v>
      </c>
      <c r="BK21" s="6">
        <v>202</v>
      </c>
      <c r="BL21" s="6">
        <v>403</v>
      </c>
      <c r="BM21" s="6">
        <f t="shared" si="7"/>
        <v>350</v>
      </c>
      <c r="BN21" s="6">
        <v>545</v>
      </c>
      <c r="BO21" s="6"/>
      <c r="BP21" s="6">
        <f t="shared" si="8"/>
        <v>343</v>
      </c>
      <c r="BQ21" s="6">
        <v>906</v>
      </c>
      <c r="BR21" s="6"/>
      <c r="BS21" s="35">
        <f t="shared" si="9"/>
        <v>361</v>
      </c>
      <c r="BT21" s="6">
        <v>199</v>
      </c>
      <c r="BU21" s="6">
        <v>1012</v>
      </c>
      <c r="BV21" s="6">
        <f t="shared" si="10"/>
        <v>305</v>
      </c>
      <c r="BW21" s="6">
        <v>23</v>
      </c>
      <c r="BX21" s="6">
        <v>469</v>
      </c>
      <c r="BY21" s="35">
        <f t="shared" si="11"/>
        <v>293</v>
      </c>
      <c r="BZ21" s="6"/>
      <c r="CA21" s="6"/>
      <c r="CB21" s="6"/>
      <c r="CC21" s="6">
        <v>368</v>
      </c>
      <c r="CD21" s="6"/>
      <c r="CE21" s="6">
        <f t="shared" si="12"/>
        <v>345</v>
      </c>
      <c r="CF21" s="6">
        <v>711</v>
      </c>
      <c r="CG21" s="6"/>
      <c r="CH21" s="6">
        <f t="shared" si="13"/>
        <v>343</v>
      </c>
      <c r="CI21" s="6">
        <v>1072</v>
      </c>
      <c r="CJ21" s="6"/>
      <c r="CK21" s="6">
        <f t="shared" si="14"/>
        <v>361</v>
      </c>
      <c r="CL21" s="6">
        <v>1422</v>
      </c>
      <c r="CM21" s="6"/>
      <c r="CN21" s="6">
        <f t="shared" si="15"/>
        <v>350</v>
      </c>
      <c r="CO21" s="6">
        <v>154</v>
      </c>
      <c r="CP21" s="6">
        <v>1560</v>
      </c>
      <c r="CQ21" s="6">
        <f t="shared" si="16"/>
        <v>292</v>
      </c>
      <c r="CR21" s="6">
        <v>396</v>
      </c>
      <c r="CS21" s="6"/>
      <c r="CT21" s="6">
        <f t="shared" si="17"/>
        <v>242</v>
      </c>
      <c r="CU21" s="6"/>
      <c r="CV21" s="6"/>
      <c r="CW21" s="6"/>
      <c r="CX21" s="6">
        <v>145</v>
      </c>
      <c r="CY21" s="6">
        <v>595</v>
      </c>
      <c r="CZ21" s="6">
        <f t="shared" si="18"/>
        <v>344</v>
      </c>
      <c r="DA21" s="6">
        <v>474</v>
      </c>
      <c r="DB21" s="6"/>
      <c r="DC21" s="6">
        <f t="shared" si="19"/>
        <v>329</v>
      </c>
      <c r="DD21" s="6">
        <v>76</v>
      </c>
      <c r="DE21" s="6">
        <v>723</v>
      </c>
      <c r="DF21" s="6">
        <f t="shared" si="20"/>
        <v>325</v>
      </c>
      <c r="DG21" s="6">
        <f>362+76</f>
        <v>438</v>
      </c>
      <c r="DH21" s="6"/>
      <c r="DI21" s="6">
        <f t="shared" si="21"/>
        <v>362</v>
      </c>
      <c r="DJ21" s="6">
        <f>725+76</f>
        <v>801</v>
      </c>
      <c r="DK21" s="6"/>
      <c r="DL21" s="6">
        <f t="shared" si="22"/>
        <v>363</v>
      </c>
      <c r="DM21" s="6">
        <f>1065+76</f>
        <v>1141</v>
      </c>
      <c r="DN21" s="6"/>
      <c r="DO21" s="6">
        <f t="shared" si="23"/>
        <v>340</v>
      </c>
    </row>
    <row r="22" spans="1:119">
      <c r="A22" s="6">
        <v>18</v>
      </c>
      <c r="B22" s="6">
        <v>196</v>
      </c>
      <c r="C22" s="6"/>
      <c r="D22" s="6">
        <v>196</v>
      </c>
      <c r="E22" s="148" t="s">
        <v>307</v>
      </c>
      <c r="F22" s="33" t="s">
        <v>307</v>
      </c>
      <c r="G22" s="33" t="s">
        <v>307</v>
      </c>
      <c r="H22" s="33" t="s">
        <v>307</v>
      </c>
      <c r="I22" s="33" t="s">
        <v>307</v>
      </c>
      <c r="J22" s="33" t="s">
        <v>307</v>
      </c>
      <c r="K22" s="33" t="s">
        <v>307</v>
      </c>
      <c r="L22" s="33" t="s">
        <v>307</v>
      </c>
      <c r="M22" s="33" t="s">
        <v>307</v>
      </c>
      <c r="N22" s="33" t="s">
        <v>307</v>
      </c>
      <c r="O22" s="33" t="s">
        <v>307</v>
      </c>
      <c r="P22" s="33" t="s">
        <v>307</v>
      </c>
      <c r="Q22" s="33" t="s">
        <v>307</v>
      </c>
      <c r="R22" s="33" t="s">
        <v>307</v>
      </c>
      <c r="S22" s="33" t="s">
        <v>307</v>
      </c>
      <c r="T22" s="33" t="s">
        <v>307</v>
      </c>
      <c r="U22" s="33" t="s">
        <v>307</v>
      </c>
      <c r="V22" s="33" t="s">
        <v>307</v>
      </c>
      <c r="W22" s="33" t="s">
        <v>307</v>
      </c>
      <c r="X22" s="33" t="s">
        <v>307</v>
      </c>
      <c r="Y22" s="33" t="s">
        <v>307</v>
      </c>
      <c r="Z22" s="148" t="s">
        <v>307</v>
      </c>
      <c r="AA22" s="33" t="s">
        <v>307</v>
      </c>
      <c r="AB22" s="33" t="s">
        <v>307</v>
      </c>
      <c r="AC22" s="33" t="s">
        <v>307</v>
      </c>
      <c r="AD22" s="6"/>
      <c r="AE22" s="6"/>
      <c r="AF22" s="35"/>
      <c r="AG22" s="6"/>
      <c r="AH22" s="6"/>
      <c r="AI22" s="35"/>
      <c r="AJ22" s="35"/>
      <c r="AK22" s="35"/>
      <c r="AL22" s="35"/>
      <c r="AM22" s="6">
        <v>597</v>
      </c>
      <c r="AN22" s="6"/>
      <c r="AO22" s="35">
        <f t="shared" si="0"/>
        <v>401</v>
      </c>
      <c r="AP22" s="6">
        <v>990</v>
      </c>
      <c r="AQ22" s="6"/>
      <c r="AR22" s="34">
        <f t="shared" si="1"/>
        <v>393</v>
      </c>
      <c r="AS22" s="35">
        <v>1394</v>
      </c>
      <c r="AT22" s="35"/>
      <c r="AU22" s="35">
        <f t="shared" si="2"/>
        <v>404</v>
      </c>
      <c r="AV22" s="6">
        <v>239</v>
      </c>
      <c r="AW22" s="6">
        <v>1560</v>
      </c>
      <c r="AX22" s="35">
        <f t="shared" si="3"/>
        <v>405</v>
      </c>
      <c r="AY22" s="6">
        <v>639</v>
      </c>
      <c r="AZ22" s="6"/>
      <c r="BA22" s="35">
        <f t="shared" si="4"/>
        <v>400</v>
      </c>
      <c r="BB22" s="35">
        <v>1030</v>
      </c>
      <c r="BC22" s="35"/>
      <c r="BD22" s="35">
        <f t="shared" si="5"/>
        <v>391</v>
      </c>
      <c r="BE22" s="6"/>
      <c r="BF22" s="6"/>
      <c r="BG22" s="35"/>
      <c r="BH22" s="6">
        <v>182</v>
      </c>
      <c r="BI22" s="6">
        <v>1194</v>
      </c>
      <c r="BJ22" s="35">
        <f t="shared" si="6"/>
        <v>346</v>
      </c>
      <c r="BK22" s="6">
        <v>559</v>
      </c>
      <c r="BL22" s="6"/>
      <c r="BM22" s="6">
        <f t="shared" si="7"/>
        <v>377</v>
      </c>
      <c r="BN22" s="6">
        <v>959</v>
      </c>
      <c r="BO22" s="6"/>
      <c r="BP22" s="6">
        <f t="shared" si="8"/>
        <v>400</v>
      </c>
      <c r="BQ22" s="6">
        <v>1354</v>
      </c>
      <c r="BR22" s="6"/>
      <c r="BS22" s="35">
        <f t="shared" si="9"/>
        <v>395</v>
      </c>
      <c r="BT22" s="6">
        <v>194</v>
      </c>
      <c r="BU22" s="6">
        <v>1560</v>
      </c>
      <c r="BV22" s="6">
        <f t="shared" si="10"/>
        <v>400</v>
      </c>
      <c r="BW22" s="6">
        <v>568</v>
      </c>
      <c r="BX22" s="6"/>
      <c r="BY22" s="35">
        <f t="shared" si="11"/>
        <v>374</v>
      </c>
      <c r="BZ22" s="6"/>
      <c r="CA22" s="6"/>
      <c r="CB22" s="6"/>
      <c r="CC22" s="6">
        <v>970</v>
      </c>
      <c r="CD22" s="6"/>
      <c r="CE22" s="6">
        <f t="shared" si="12"/>
        <v>402</v>
      </c>
      <c r="CF22" s="6">
        <v>1359</v>
      </c>
      <c r="CG22" s="6"/>
      <c r="CH22" s="6">
        <f t="shared" si="13"/>
        <v>389</v>
      </c>
      <c r="CI22" s="6">
        <v>197</v>
      </c>
      <c r="CJ22" s="6">
        <v>1560</v>
      </c>
      <c r="CK22" s="6">
        <f t="shared" si="14"/>
        <v>398</v>
      </c>
      <c r="CL22" s="6">
        <v>578</v>
      </c>
      <c r="CM22" s="6"/>
      <c r="CN22" s="6">
        <f t="shared" si="15"/>
        <v>381</v>
      </c>
      <c r="CO22" s="6">
        <v>960</v>
      </c>
      <c r="CP22" s="6"/>
      <c r="CQ22" s="6">
        <f t="shared" si="16"/>
        <v>382</v>
      </c>
      <c r="CR22" s="6">
        <v>1322</v>
      </c>
      <c r="CS22" s="6"/>
      <c r="CT22" s="6">
        <f t="shared" si="17"/>
        <v>362</v>
      </c>
      <c r="CU22" s="6"/>
      <c r="CV22" s="6"/>
      <c r="CW22" s="6"/>
      <c r="CX22" s="6">
        <v>154</v>
      </c>
      <c r="CY22" s="6">
        <v>1563</v>
      </c>
      <c r="CZ22" s="6">
        <f t="shared" si="18"/>
        <v>395</v>
      </c>
      <c r="DA22" s="6">
        <v>0</v>
      </c>
      <c r="DB22" s="6">
        <v>456</v>
      </c>
      <c r="DC22" s="6">
        <f t="shared" si="19"/>
        <v>302</v>
      </c>
      <c r="DD22" s="6">
        <v>358</v>
      </c>
      <c r="DE22" s="6"/>
      <c r="DF22" s="6">
        <f t="shared" si="20"/>
        <v>358</v>
      </c>
      <c r="DG22" s="6">
        <v>749</v>
      </c>
      <c r="DH22" s="6"/>
      <c r="DI22" s="6">
        <f t="shared" si="21"/>
        <v>391</v>
      </c>
      <c r="DJ22" s="6">
        <v>181</v>
      </c>
      <c r="DK22" s="6">
        <v>955</v>
      </c>
      <c r="DL22" s="6">
        <f t="shared" si="22"/>
        <v>387</v>
      </c>
      <c r="DM22" s="6">
        <f>356+181</f>
        <v>537</v>
      </c>
      <c r="DN22" s="6"/>
      <c r="DO22" s="6">
        <f t="shared" si="23"/>
        <v>356</v>
      </c>
    </row>
    <row r="23" spans="1:119">
      <c r="A23" s="6">
        <v>19</v>
      </c>
      <c r="B23" s="6">
        <v>815</v>
      </c>
      <c r="C23" s="6"/>
      <c r="D23" s="6">
        <v>220</v>
      </c>
      <c r="E23" s="33" t="s">
        <v>128</v>
      </c>
      <c r="F23" s="33" t="s">
        <v>128</v>
      </c>
      <c r="G23" s="33" t="s">
        <v>128</v>
      </c>
      <c r="H23" s="33" t="s">
        <v>128</v>
      </c>
      <c r="I23" s="33" t="s">
        <v>128</v>
      </c>
      <c r="J23" s="33" t="s">
        <v>128</v>
      </c>
      <c r="K23" s="33" t="s">
        <v>128</v>
      </c>
      <c r="L23" s="33" t="s">
        <v>128</v>
      </c>
      <c r="M23" s="33" t="s">
        <v>128</v>
      </c>
      <c r="N23" s="33" t="s">
        <v>128</v>
      </c>
      <c r="O23" s="33" t="s">
        <v>128</v>
      </c>
      <c r="P23" s="33" t="s">
        <v>128</v>
      </c>
      <c r="Q23" s="33" t="s">
        <v>128</v>
      </c>
      <c r="R23" s="148" t="s">
        <v>37</v>
      </c>
      <c r="S23" s="33" t="s">
        <v>37</v>
      </c>
      <c r="T23" s="33" t="s">
        <v>37</v>
      </c>
      <c r="U23" s="33" t="s">
        <v>37</v>
      </c>
      <c r="V23" s="33" t="s">
        <v>37</v>
      </c>
      <c r="W23" s="33" t="s">
        <v>37</v>
      </c>
      <c r="X23" s="33" t="s">
        <v>37</v>
      </c>
      <c r="Y23" s="33" t="s">
        <v>37</v>
      </c>
      <c r="Z23" s="33" t="s">
        <v>37</v>
      </c>
      <c r="AA23" s="33" t="s">
        <v>37</v>
      </c>
      <c r="AB23" s="33" t="s">
        <v>37</v>
      </c>
      <c r="AC23" s="33" t="s">
        <v>37</v>
      </c>
      <c r="AD23" s="6"/>
      <c r="AE23" s="35"/>
      <c r="AF23" s="35"/>
      <c r="AG23" s="6"/>
      <c r="AH23" s="35"/>
      <c r="AI23" s="35"/>
      <c r="AJ23" s="35"/>
      <c r="AK23" s="35"/>
      <c r="AL23" s="35"/>
      <c r="AM23" s="6">
        <v>1226</v>
      </c>
      <c r="AN23" s="6"/>
      <c r="AO23" s="35">
        <f t="shared" si="0"/>
        <v>411</v>
      </c>
      <c r="AP23" s="6">
        <v>66</v>
      </c>
      <c r="AQ23" s="6">
        <v>1560</v>
      </c>
      <c r="AR23" s="34">
        <f t="shared" si="1"/>
        <v>400</v>
      </c>
      <c r="AS23" s="35">
        <v>465</v>
      </c>
      <c r="AT23" s="35"/>
      <c r="AU23" s="35">
        <f t="shared" si="2"/>
        <v>399</v>
      </c>
      <c r="AV23" s="6">
        <v>870</v>
      </c>
      <c r="AW23" s="6"/>
      <c r="AX23" s="35">
        <f t="shared" si="3"/>
        <v>405</v>
      </c>
      <c r="AY23" s="6">
        <v>1257</v>
      </c>
      <c r="AZ23" s="6"/>
      <c r="BA23" s="35">
        <f t="shared" si="4"/>
        <v>387</v>
      </c>
      <c r="BB23" s="35">
        <v>87</v>
      </c>
      <c r="BC23" s="35">
        <v>1560</v>
      </c>
      <c r="BD23" s="35">
        <f t="shared" si="5"/>
        <v>390</v>
      </c>
      <c r="BE23" s="6"/>
      <c r="BF23" s="6"/>
      <c r="BG23" s="35"/>
      <c r="BH23" s="6">
        <v>488</v>
      </c>
      <c r="BI23" s="6"/>
      <c r="BJ23" s="35">
        <f t="shared" si="6"/>
        <v>401</v>
      </c>
      <c r="BK23" s="6">
        <v>888</v>
      </c>
      <c r="BL23" s="6"/>
      <c r="BM23" s="6">
        <f t="shared" si="7"/>
        <v>400</v>
      </c>
      <c r="BN23" s="6">
        <v>1274</v>
      </c>
      <c r="BO23" s="6"/>
      <c r="BP23" s="6">
        <f t="shared" si="8"/>
        <v>386</v>
      </c>
      <c r="BQ23" s="6">
        <v>94</v>
      </c>
      <c r="BR23" s="6">
        <v>1560</v>
      </c>
      <c r="BS23" s="35">
        <f t="shared" si="9"/>
        <v>380</v>
      </c>
      <c r="BT23" s="6">
        <v>491</v>
      </c>
      <c r="BU23" s="6"/>
      <c r="BV23" s="6">
        <f t="shared" si="10"/>
        <v>397</v>
      </c>
      <c r="BW23" s="6">
        <v>0</v>
      </c>
      <c r="BX23" s="6">
        <v>714</v>
      </c>
      <c r="BY23" s="35">
        <f>BX23+BW23-BT23</f>
        <v>223</v>
      </c>
      <c r="BZ23" s="6"/>
      <c r="CA23" s="6"/>
      <c r="CB23" s="6"/>
      <c r="CC23" s="6">
        <v>382</v>
      </c>
      <c r="CD23" s="6"/>
      <c r="CE23" s="6">
        <f t="shared" si="12"/>
        <v>382</v>
      </c>
      <c r="CF23" s="6">
        <v>775</v>
      </c>
      <c r="CG23" s="6"/>
      <c r="CH23" s="6">
        <f t="shared" si="13"/>
        <v>393</v>
      </c>
      <c r="CI23" s="6">
        <v>1169</v>
      </c>
      <c r="CJ23" s="6"/>
      <c r="CK23" s="6">
        <f t="shared" si="14"/>
        <v>394</v>
      </c>
      <c r="CL23" s="6">
        <v>1551</v>
      </c>
      <c r="CM23" s="6"/>
      <c r="CN23" s="6">
        <f t="shared" si="15"/>
        <v>382</v>
      </c>
      <c r="CO23" s="6">
        <v>369</v>
      </c>
      <c r="CP23" s="6">
        <v>1560</v>
      </c>
      <c r="CQ23" s="6">
        <f t="shared" si="16"/>
        <v>378</v>
      </c>
      <c r="CR23" s="6">
        <v>731</v>
      </c>
      <c r="CS23" s="6"/>
      <c r="CT23" s="6">
        <f t="shared" si="17"/>
        <v>362</v>
      </c>
      <c r="CU23" s="6"/>
      <c r="CV23" s="6"/>
      <c r="CW23" s="6"/>
      <c r="CX23" s="6">
        <v>1116</v>
      </c>
      <c r="CY23" s="6"/>
      <c r="CZ23" s="6">
        <f t="shared" si="18"/>
        <v>385</v>
      </c>
      <c r="DA23" s="6">
        <v>1494</v>
      </c>
      <c r="DB23" s="6"/>
      <c r="DC23" s="6">
        <f t="shared" si="19"/>
        <v>378</v>
      </c>
      <c r="DD23" s="6">
        <v>312</v>
      </c>
      <c r="DE23" s="6">
        <v>1560</v>
      </c>
      <c r="DF23" s="6">
        <f t="shared" si="20"/>
        <v>378</v>
      </c>
      <c r="DG23" s="6">
        <v>682</v>
      </c>
      <c r="DH23" s="6"/>
      <c r="DI23" s="6">
        <f t="shared" si="21"/>
        <v>370</v>
      </c>
      <c r="DJ23" s="6">
        <v>1065</v>
      </c>
      <c r="DK23" s="6"/>
      <c r="DL23" s="6">
        <f t="shared" si="22"/>
        <v>383</v>
      </c>
      <c r="DM23" s="6">
        <v>1415</v>
      </c>
      <c r="DN23" s="6"/>
      <c r="DO23" s="6">
        <f t="shared" si="23"/>
        <v>350</v>
      </c>
    </row>
    <row r="24" spans="1:119">
      <c r="A24" s="6">
        <v>20</v>
      </c>
      <c r="B24" s="6">
        <v>1273</v>
      </c>
      <c r="C24" s="6"/>
      <c r="D24" s="6">
        <v>207</v>
      </c>
      <c r="E24" s="257" t="s">
        <v>37</v>
      </c>
      <c r="F24" s="257" t="s">
        <v>37</v>
      </c>
      <c r="G24" s="257" t="s">
        <v>37</v>
      </c>
      <c r="H24" s="256" t="s">
        <v>37</v>
      </c>
      <c r="I24" s="257" t="s">
        <v>37</v>
      </c>
      <c r="J24" s="257" t="s">
        <v>37</v>
      </c>
      <c r="K24" s="257" t="s">
        <v>37</v>
      </c>
      <c r="L24" s="257" t="s">
        <v>37</v>
      </c>
      <c r="M24" s="257" t="s">
        <v>37</v>
      </c>
      <c r="N24" s="257" t="s">
        <v>37</v>
      </c>
      <c r="O24" s="257" t="s">
        <v>37</v>
      </c>
      <c r="P24" s="257" t="s">
        <v>37</v>
      </c>
      <c r="Q24" s="257" t="s">
        <v>37</v>
      </c>
      <c r="R24" s="257" t="s">
        <v>37</v>
      </c>
      <c r="S24" s="257" t="s">
        <v>37</v>
      </c>
      <c r="T24" s="257" t="s">
        <v>37</v>
      </c>
      <c r="U24" s="257" t="s">
        <v>37</v>
      </c>
      <c r="V24" s="257" t="s">
        <v>37</v>
      </c>
      <c r="W24" s="257" t="s">
        <v>37</v>
      </c>
      <c r="X24" s="257" t="s">
        <v>37</v>
      </c>
      <c r="Y24" s="257" t="s">
        <v>37</v>
      </c>
      <c r="Z24" s="257" t="s">
        <v>37</v>
      </c>
      <c r="AA24" s="257" t="s">
        <v>37</v>
      </c>
      <c r="AB24" s="257" t="s">
        <v>37</v>
      </c>
      <c r="AC24" s="256" t="s">
        <v>37</v>
      </c>
      <c r="AD24" s="6"/>
      <c r="AE24" s="6"/>
      <c r="AF24" s="35"/>
      <c r="AG24" s="6"/>
      <c r="AH24" s="6"/>
      <c r="AI24" s="35"/>
      <c r="AJ24" s="35"/>
      <c r="AK24" s="35"/>
      <c r="AL24" s="35"/>
      <c r="AM24" s="35">
        <v>113</v>
      </c>
      <c r="AN24" s="6">
        <v>1560</v>
      </c>
      <c r="AO24" s="35">
        <f t="shared" si="0"/>
        <v>400</v>
      </c>
      <c r="AP24" s="6">
        <v>0</v>
      </c>
      <c r="AQ24" s="6">
        <v>420</v>
      </c>
      <c r="AR24" s="34">
        <f t="shared" si="1"/>
        <v>307</v>
      </c>
      <c r="AS24" s="35">
        <v>343</v>
      </c>
      <c r="AT24" s="35"/>
      <c r="AU24" s="35">
        <f t="shared" si="2"/>
        <v>343</v>
      </c>
      <c r="AV24" s="6">
        <v>720</v>
      </c>
      <c r="AW24" s="6"/>
      <c r="AX24" s="35">
        <f t="shared" si="3"/>
        <v>377</v>
      </c>
      <c r="AY24" s="6">
        <v>1080</v>
      </c>
      <c r="AZ24" s="6"/>
      <c r="BA24" s="35">
        <f t="shared" si="4"/>
        <v>360</v>
      </c>
      <c r="BB24" s="35">
        <v>1444</v>
      </c>
      <c r="BC24" s="35"/>
      <c r="BD24" s="35">
        <f t="shared" si="5"/>
        <v>364</v>
      </c>
      <c r="BE24" s="6"/>
      <c r="BF24" s="6"/>
      <c r="BG24" s="35"/>
      <c r="BH24" s="6">
        <v>261</v>
      </c>
      <c r="BI24" s="6">
        <v>1560</v>
      </c>
      <c r="BJ24" s="35">
        <f t="shared" si="6"/>
        <v>377</v>
      </c>
      <c r="BK24" s="6">
        <v>629</v>
      </c>
      <c r="BL24" s="6"/>
      <c r="BM24" s="6">
        <f t="shared" si="7"/>
        <v>368</v>
      </c>
      <c r="BN24" s="6">
        <v>1004</v>
      </c>
      <c r="BO24" s="6"/>
      <c r="BP24" s="6">
        <f t="shared" si="8"/>
        <v>375</v>
      </c>
      <c r="BQ24" s="6">
        <v>1382</v>
      </c>
      <c r="BR24" s="6"/>
      <c r="BS24" s="35">
        <f t="shared" si="9"/>
        <v>378</v>
      </c>
      <c r="BT24" s="6">
        <v>194</v>
      </c>
      <c r="BU24" s="6">
        <v>1560</v>
      </c>
      <c r="BV24" s="6">
        <f t="shared" si="10"/>
        <v>372</v>
      </c>
      <c r="BW24" s="6">
        <v>556</v>
      </c>
      <c r="BX24" s="6"/>
      <c r="BY24" s="35">
        <f t="shared" si="11"/>
        <v>362</v>
      </c>
      <c r="BZ24" s="6"/>
      <c r="CA24" s="6"/>
      <c r="CB24" s="6"/>
      <c r="CC24" s="6">
        <v>941</v>
      </c>
      <c r="CD24" s="6"/>
      <c r="CE24" s="6">
        <f t="shared" si="12"/>
        <v>385</v>
      </c>
      <c r="CF24" s="6">
        <v>1317</v>
      </c>
      <c r="CG24" s="6"/>
      <c r="CH24" s="6">
        <f t="shared" si="13"/>
        <v>376</v>
      </c>
      <c r="CI24" s="6">
        <v>139</v>
      </c>
      <c r="CJ24" s="6">
        <v>1560</v>
      </c>
      <c r="CK24" s="6">
        <f t="shared" si="14"/>
        <v>382</v>
      </c>
      <c r="CL24" s="6">
        <v>517</v>
      </c>
      <c r="CM24" s="6"/>
      <c r="CN24" s="6">
        <f t="shared" si="15"/>
        <v>378</v>
      </c>
      <c r="CO24" s="6">
        <v>898</v>
      </c>
      <c r="CP24" s="6"/>
      <c r="CQ24" s="6">
        <f t="shared" si="16"/>
        <v>381</v>
      </c>
      <c r="CR24" s="6">
        <v>1261</v>
      </c>
      <c r="CS24" s="6"/>
      <c r="CT24" s="6">
        <f t="shared" si="17"/>
        <v>363</v>
      </c>
      <c r="CU24" s="6"/>
      <c r="CV24" s="6"/>
      <c r="CW24" s="6"/>
      <c r="CX24" s="6">
        <v>83</v>
      </c>
      <c r="CY24" s="6">
        <v>1560</v>
      </c>
      <c r="CZ24" s="6">
        <f t="shared" si="18"/>
        <v>382</v>
      </c>
      <c r="DA24" s="6">
        <v>459</v>
      </c>
      <c r="DB24" s="6"/>
      <c r="DC24" s="6">
        <f t="shared" si="19"/>
        <v>376</v>
      </c>
      <c r="DD24" s="6">
        <v>812</v>
      </c>
      <c r="DE24" s="6"/>
      <c r="DF24" s="6">
        <f t="shared" si="20"/>
        <v>353</v>
      </c>
      <c r="DG24" s="6">
        <v>1179</v>
      </c>
      <c r="DH24" s="6"/>
      <c r="DI24" s="6">
        <f t="shared" si="21"/>
        <v>367</v>
      </c>
      <c r="DJ24" s="6">
        <v>1560</v>
      </c>
      <c r="DK24" s="6"/>
      <c r="DL24" s="6">
        <f t="shared" si="22"/>
        <v>381</v>
      </c>
      <c r="DM24" s="6">
        <v>305</v>
      </c>
      <c r="DN24" s="6">
        <v>1594</v>
      </c>
      <c r="DO24" s="6">
        <f t="shared" si="23"/>
        <v>339</v>
      </c>
    </row>
    <row r="25" spans="1:119">
      <c r="A25" s="6">
        <v>21</v>
      </c>
      <c r="B25" s="6">
        <v>766</v>
      </c>
      <c r="C25" s="6"/>
      <c r="D25" s="6">
        <v>207</v>
      </c>
      <c r="E25" s="33" t="s">
        <v>307</v>
      </c>
      <c r="F25" s="33" t="s">
        <v>307</v>
      </c>
      <c r="G25" s="33" t="s">
        <v>307</v>
      </c>
      <c r="H25" s="33" t="s">
        <v>307</v>
      </c>
      <c r="I25" s="33" t="s">
        <v>307</v>
      </c>
      <c r="J25" s="33" t="s">
        <v>307</v>
      </c>
      <c r="K25" s="33" t="s">
        <v>307</v>
      </c>
      <c r="L25" s="33" t="s">
        <v>307</v>
      </c>
      <c r="M25" s="33" t="s">
        <v>307</v>
      </c>
      <c r="N25" s="33" t="s">
        <v>307</v>
      </c>
      <c r="O25" s="33" t="s">
        <v>307</v>
      </c>
      <c r="P25" s="33" t="s">
        <v>307</v>
      </c>
      <c r="Q25" s="33" t="s">
        <v>307</v>
      </c>
      <c r="R25" s="33" t="s">
        <v>307</v>
      </c>
      <c r="S25" s="33" t="s">
        <v>307</v>
      </c>
      <c r="T25" s="33" t="s">
        <v>307</v>
      </c>
      <c r="U25" s="148" t="s">
        <v>307</v>
      </c>
      <c r="V25" s="33" t="s">
        <v>307</v>
      </c>
      <c r="W25" s="33" t="s">
        <v>307</v>
      </c>
      <c r="X25" s="33" t="s">
        <v>307</v>
      </c>
      <c r="Y25" s="33" t="s">
        <v>307</v>
      </c>
      <c r="Z25" s="33" t="s">
        <v>307</v>
      </c>
      <c r="AA25" s="33" t="s">
        <v>307</v>
      </c>
      <c r="AB25" s="33" t="s">
        <v>307</v>
      </c>
      <c r="AC25" s="33" t="s">
        <v>307</v>
      </c>
      <c r="AD25" s="6"/>
      <c r="AE25" s="6"/>
      <c r="AF25" s="35"/>
      <c r="AG25" s="6"/>
      <c r="AH25" s="6"/>
      <c r="AI25" s="35"/>
      <c r="AJ25" s="35"/>
      <c r="AK25" s="35"/>
      <c r="AL25" s="35"/>
      <c r="AM25" s="6">
        <v>1163</v>
      </c>
      <c r="AN25" s="6"/>
      <c r="AO25" s="35">
        <f t="shared" si="0"/>
        <v>397</v>
      </c>
      <c r="AP25" s="6">
        <v>358</v>
      </c>
      <c r="AQ25" s="6">
        <v>1180</v>
      </c>
      <c r="AR25" s="34">
        <f t="shared" si="1"/>
        <v>375</v>
      </c>
      <c r="AS25" s="35">
        <v>737</v>
      </c>
      <c r="AT25" s="35"/>
      <c r="AU25" s="35">
        <f t="shared" si="2"/>
        <v>379</v>
      </c>
      <c r="AV25" s="6">
        <v>1118</v>
      </c>
      <c r="AW25" s="6"/>
      <c r="AX25" s="35">
        <f t="shared" si="3"/>
        <v>381</v>
      </c>
      <c r="AY25" s="6">
        <v>1504</v>
      </c>
      <c r="AZ25" s="6"/>
      <c r="BA25" s="35">
        <f t="shared" si="4"/>
        <v>386</v>
      </c>
      <c r="BB25" s="35">
        <v>314</v>
      </c>
      <c r="BC25" s="35">
        <v>1560</v>
      </c>
      <c r="BD25" s="35">
        <f t="shared" si="5"/>
        <v>370</v>
      </c>
      <c r="BE25" s="6"/>
      <c r="BF25" s="6"/>
      <c r="BG25" s="35"/>
      <c r="BH25" s="6">
        <v>690</v>
      </c>
      <c r="BI25" s="6"/>
      <c r="BJ25" s="35">
        <f t="shared" si="6"/>
        <v>376</v>
      </c>
      <c r="BK25" s="6">
        <v>1061</v>
      </c>
      <c r="BL25" s="6"/>
      <c r="BM25" s="6">
        <f t="shared" si="7"/>
        <v>371</v>
      </c>
      <c r="BN25" s="6">
        <v>1452</v>
      </c>
      <c r="BO25" s="6"/>
      <c r="BP25" s="6">
        <f t="shared" si="8"/>
        <v>391</v>
      </c>
      <c r="BQ25" s="6">
        <v>281</v>
      </c>
      <c r="BR25" s="6">
        <v>1560</v>
      </c>
      <c r="BS25" s="35">
        <f t="shared" si="9"/>
        <v>389</v>
      </c>
      <c r="BT25" s="6">
        <v>664</v>
      </c>
      <c r="BU25" s="6"/>
      <c r="BV25" s="6">
        <f t="shared" si="10"/>
        <v>383</v>
      </c>
      <c r="BW25" s="6">
        <v>1030</v>
      </c>
      <c r="BX25" s="6"/>
      <c r="BY25" s="35">
        <f t="shared" si="11"/>
        <v>366</v>
      </c>
      <c r="BZ25" s="6"/>
      <c r="CA25" s="6"/>
      <c r="CB25" s="6"/>
      <c r="CC25" s="6">
        <v>1426</v>
      </c>
      <c r="CD25" s="6"/>
      <c r="CE25" s="6">
        <f t="shared" si="12"/>
        <v>396</v>
      </c>
      <c r="CF25" s="6">
        <v>250</v>
      </c>
      <c r="CG25" s="6">
        <v>1561</v>
      </c>
      <c r="CH25" s="6">
        <f t="shared" si="13"/>
        <v>385</v>
      </c>
      <c r="CI25" s="6">
        <v>0</v>
      </c>
      <c r="CJ25" s="6">
        <v>448</v>
      </c>
      <c r="CK25" s="6">
        <f t="shared" si="14"/>
        <v>198</v>
      </c>
      <c r="CL25" s="6">
        <v>370</v>
      </c>
      <c r="CM25" s="6"/>
      <c r="CN25" s="6">
        <f t="shared" si="15"/>
        <v>370</v>
      </c>
      <c r="CO25" s="6">
        <v>746</v>
      </c>
      <c r="CP25" s="6"/>
      <c r="CQ25" s="6">
        <f t="shared" si="16"/>
        <v>376</v>
      </c>
      <c r="CR25" s="6">
        <v>1112</v>
      </c>
      <c r="CS25" s="6"/>
      <c r="CT25" s="6">
        <f t="shared" si="17"/>
        <v>366</v>
      </c>
      <c r="CU25" s="6"/>
      <c r="CV25" s="6"/>
      <c r="CW25" s="6"/>
      <c r="CX25" s="6">
        <v>1486</v>
      </c>
      <c r="CY25" s="6"/>
      <c r="CZ25" s="6">
        <f t="shared" si="18"/>
        <v>374</v>
      </c>
      <c r="DA25" s="6">
        <v>304</v>
      </c>
      <c r="DB25" s="6">
        <v>1561</v>
      </c>
      <c r="DC25" s="6">
        <f t="shared" si="19"/>
        <v>379</v>
      </c>
      <c r="DD25" s="6">
        <v>698</v>
      </c>
      <c r="DE25" s="6"/>
      <c r="DF25" s="6">
        <f t="shared" si="20"/>
        <v>394</v>
      </c>
      <c r="DG25" s="6">
        <v>1092</v>
      </c>
      <c r="DH25" s="6"/>
      <c r="DI25" s="6">
        <f t="shared" si="21"/>
        <v>394</v>
      </c>
      <c r="DJ25" s="6">
        <v>1487</v>
      </c>
      <c r="DK25" s="6"/>
      <c r="DL25" s="6">
        <f t="shared" si="22"/>
        <v>395</v>
      </c>
      <c r="DM25" s="6">
        <v>281</v>
      </c>
      <c r="DN25" s="6">
        <v>1560</v>
      </c>
      <c r="DO25" s="6">
        <f t="shared" si="23"/>
        <v>354</v>
      </c>
    </row>
    <row r="26" spans="1:119">
      <c r="A26" s="6">
        <v>22</v>
      </c>
      <c r="B26" s="6">
        <v>232</v>
      </c>
      <c r="C26" s="6"/>
      <c r="D26" s="6">
        <v>220</v>
      </c>
      <c r="E26" s="33" t="s">
        <v>128</v>
      </c>
      <c r="F26" s="33" t="s">
        <v>128</v>
      </c>
      <c r="G26" s="33" t="s">
        <v>128</v>
      </c>
      <c r="H26" s="33" t="s">
        <v>128</v>
      </c>
      <c r="I26" s="33" t="s">
        <v>128</v>
      </c>
      <c r="J26" s="33" t="s">
        <v>128</v>
      </c>
      <c r="K26" s="33" t="s">
        <v>128</v>
      </c>
      <c r="L26" s="33" t="s">
        <v>128</v>
      </c>
      <c r="M26" s="33" t="s">
        <v>128</v>
      </c>
      <c r="N26" s="33" t="s">
        <v>128</v>
      </c>
      <c r="O26" s="33" t="s">
        <v>128</v>
      </c>
      <c r="P26" s="33" t="s">
        <v>128</v>
      </c>
      <c r="Q26" s="33" t="s">
        <v>128</v>
      </c>
      <c r="R26" s="148" t="s">
        <v>37</v>
      </c>
      <c r="S26" s="33" t="s">
        <v>37</v>
      </c>
      <c r="T26" s="33" t="s">
        <v>37</v>
      </c>
      <c r="U26" s="33" t="s">
        <v>37</v>
      </c>
      <c r="V26" s="33" t="s">
        <v>37</v>
      </c>
      <c r="W26" s="33" t="s">
        <v>37</v>
      </c>
      <c r="X26" s="33" t="s">
        <v>37</v>
      </c>
      <c r="Y26" s="33" t="s">
        <v>37</v>
      </c>
      <c r="Z26" s="33" t="s">
        <v>37</v>
      </c>
      <c r="AA26" s="33" t="s">
        <v>37</v>
      </c>
      <c r="AB26" s="33" t="s">
        <v>37</v>
      </c>
      <c r="AC26" s="33" t="s">
        <v>37</v>
      </c>
      <c r="AD26" s="6"/>
      <c r="AE26" s="6"/>
      <c r="AF26" s="35"/>
      <c r="AG26" s="6"/>
      <c r="AH26" s="6"/>
      <c r="AI26" s="35"/>
      <c r="AJ26" s="35"/>
      <c r="AK26" s="35"/>
      <c r="AL26" s="35"/>
      <c r="AM26" s="6">
        <v>658</v>
      </c>
      <c r="AN26" s="6"/>
      <c r="AO26" s="35">
        <f t="shared" si="0"/>
        <v>426</v>
      </c>
      <c r="AP26" s="6">
        <v>1044</v>
      </c>
      <c r="AQ26" s="6"/>
      <c r="AR26" s="34">
        <f t="shared" si="1"/>
        <v>386</v>
      </c>
      <c r="AS26" s="35">
        <v>1436</v>
      </c>
      <c r="AT26" s="35"/>
      <c r="AU26" s="35">
        <f t="shared" si="2"/>
        <v>392</v>
      </c>
      <c r="AV26" s="6">
        <v>269</v>
      </c>
      <c r="AW26" s="6">
        <v>1560</v>
      </c>
      <c r="AX26" s="35">
        <f t="shared" si="3"/>
        <v>393</v>
      </c>
      <c r="AY26" s="6">
        <v>657</v>
      </c>
      <c r="AZ26" s="6"/>
      <c r="BA26" s="35">
        <f t="shared" si="4"/>
        <v>388</v>
      </c>
      <c r="BB26" s="35">
        <v>1039</v>
      </c>
      <c r="BC26" s="35"/>
      <c r="BD26" s="35">
        <f t="shared" si="5"/>
        <v>382</v>
      </c>
      <c r="BE26" s="6"/>
      <c r="BF26" s="6"/>
      <c r="BG26" s="35"/>
      <c r="BH26" s="6">
        <v>1431</v>
      </c>
      <c r="BI26" s="6"/>
      <c r="BJ26" s="35">
        <f t="shared" si="6"/>
        <v>392</v>
      </c>
      <c r="BK26" s="6">
        <v>260</v>
      </c>
      <c r="BL26" s="6">
        <v>1560</v>
      </c>
      <c r="BM26" s="6">
        <f t="shared" si="7"/>
        <v>389</v>
      </c>
      <c r="BN26" s="6">
        <v>655</v>
      </c>
      <c r="BO26" s="6"/>
      <c r="BP26" s="6">
        <f t="shared" si="8"/>
        <v>395</v>
      </c>
      <c r="BQ26" s="6">
        <v>1053</v>
      </c>
      <c r="BR26" s="6"/>
      <c r="BS26" s="35">
        <f t="shared" si="9"/>
        <v>398</v>
      </c>
      <c r="BT26" s="6">
        <v>1451</v>
      </c>
      <c r="BU26" s="6"/>
      <c r="BV26" s="6">
        <f t="shared" si="10"/>
        <v>398</v>
      </c>
      <c r="BW26" s="6">
        <v>0</v>
      </c>
      <c r="BX26" s="6">
        <v>1610</v>
      </c>
      <c r="BY26" s="35">
        <f t="shared" si="11"/>
        <v>159</v>
      </c>
      <c r="BZ26" s="6"/>
      <c r="CA26" s="6"/>
      <c r="CB26" s="6"/>
      <c r="CC26" s="6">
        <v>385</v>
      </c>
      <c r="CD26" s="6"/>
      <c r="CE26" s="6">
        <f t="shared" si="12"/>
        <v>385</v>
      </c>
      <c r="CF26" s="6">
        <v>781</v>
      </c>
      <c r="CG26" s="6"/>
      <c r="CH26" s="6">
        <f t="shared" si="13"/>
        <v>396</v>
      </c>
      <c r="CI26" s="6">
        <v>1172</v>
      </c>
      <c r="CJ26" s="6"/>
      <c r="CK26" s="6">
        <f t="shared" si="14"/>
        <v>391</v>
      </c>
      <c r="CL26" s="6">
        <v>1551</v>
      </c>
      <c r="CM26" s="6"/>
      <c r="CN26" s="6">
        <f t="shared" si="15"/>
        <v>379</v>
      </c>
      <c r="CO26" s="6">
        <v>364</v>
      </c>
      <c r="CP26" s="6">
        <v>1563</v>
      </c>
      <c r="CQ26" s="6">
        <f t="shared" si="16"/>
        <v>376</v>
      </c>
      <c r="CR26" s="6">
        <v>712</v>
      </c>
      <c r="CS26" s="6"/>
      <c r="CT26" s="6">
        <f t="shared" si="17"/>
        <v>348</v>
      </c>
      <c r="CU26" s="6"/>
      <c r="CV26" s="6"/>
      <c r="CW26" s="6"/>
      <c r="CX26" s="6">
        <v>1089</v>
      </c>
      <c r="CY26" s="6"/>
      <c r="CZ26" s="6">
        <f t="shared" si="18"/>
        <v>377</v>
      </c>
      <c r="DA26" s="6">
        <v>1445</v>
      </c>
      <c r="DB26" s="6"/>
      <c r="DC26" s="6">
        <f t="shared" si="19"/>
        <v>356</v>
      </c>
      <c r="DD26" s="6">
        <v>267</v>
      </c>
      <c r="DE26" s="6">
        <v>1560</v>
      </c>
      <c r="DF26" s="6">
        <f t="shared" si="20"/>
        <v>382</v>
      </c>
      <c r="DG26" s="6">
        <v>642</v>
      </c>
      <c r="DH26" s="6"/>
      <c r="DI26" s="6">
        <f t="shared" si="21"/>
        <v>375</v>
      </c>
      <c r="DJ26" s="6">
        <v>1020</v>
      </c>
      <c r="DK26" s="6"/>
      <c r="DL26" s="6">
        <f t="shared" si="22"/>
        <v>378</v>
      </c>
      <c r="DM26" s="6">
        <v>1364</v>
      </c>
      <c r="DN26" s="6"/>
      <c r="DO26" s="6">
        <f t="shared" si="23"/>
        <v>344</v>
      </c>
    </row>
    <row r="27" spans="1:119">
      <c r="A27" s="6">
        <v>23</v>
      </c>
      <c r="B27" s="6">
        <v>583</v>
      </c>
      <c r="C27" s="6"/>
      <c r="D27" s="6">
        <v>214</v>
      </c>
      <c r="E27" s="33" t="s">
        <v>307</v>
      </c>
      <c r="F27" s="33" t="s">
        <v>307</v>
      </c>
      <c r="G27" s="33" t="s">
        <v>307</v>
      </c>
      <c r="H27" s="33" t="s">
        <v>307</v>
      </c>
      <c r="I27" s="33" t="s">
        <v>307</v>
      </c>
      <c r="J27" s="33" t="s">
        <v>307</v>
      </c>
      <c r="K27" s="33" t="s">
        <v>307</v>
      </c>
      <c r="L27" s="33" t="s">
        <v>307</v>
      </c>
      <c r="M27" s="33" t="s">
        <v>307</v>
      </c>
      <c r="N27" s="33" t="s">
        <v>307</v>
      </c>
      <c r="O27" s="33" t="s">
        <v>307</v>
      </c>
      <c r="P27" s="33" t="s">
        <v>307</v>
      </c>
      <c r="Q27" s="33" t="s">
        <v>307</v>
      </c>
      <c r="R27" s="33" t="s">
        <v>307</v>
      </c>
      <c r="S27" s="33" t="s">
        <v>307</v>
      </c>
      <c r="T27" s="33" t="s">
        <v>307</v>
      </c>
      <c r="U27" s="33" t="s">
        <v>307</v>
      </c>
      <c r="V27" s="33" t="s">
        <v>307</v>
      </c>
      <c r="W27" s="33" t="s">
        <v>307</v>
      </c>
      <c r="X27" s="33" t="s">
        <v>307</v>
      </c>
      <c r="Y27" s="148" t="s">
        <v>307</v>
      </c>
      <c r="Z27" s="33" t="s">
        <v>307</v>
      </c>
      <c r="AA27" s="33" t="s">
        <v>307</v>
      </c>
      <c r="AB27" s="33" t="s">
        <v>307</v>
      </c>
      <c r="AC27" s="33" t="s">
        <v>307</v>
      </c>
      <c r="AD27" s="35"/>
      <c r="AE27" s="35"/>
      <c r="AF27" s="35"/>
      <c r="AG27" s="35"/>
      <c r="AH27" s="35"/>
      <c r="AI27" s="35"/>
      <c r="AJ27" s="35"/>
      <c r="AK27" s="35"/>
      <c r="AL27" s="35"/>
      <c r="AM27" s="35">
        <v>997</v>
      </c>
      <c r="AN27" s="35"/>
      <c r="AO27" s="35">
        <f t="shared" si="0"/>
        <v>414</v>
      </c>
      <c r="AP27" s="35">
        <v>1385</v>
      </c>
      <c r="AQ27" s="35"/>
      <c r="AR27" s="34">
        <f t="shared" si="1"/>
        <v>388</v>
      </c>
      <c r="AS27" s="35">
        <v>211</v>
      </c>
      <c r="AT27" s="35">
        <v>1565</v>
      </c>
      <c r="AU27" s="35">
        <f t="shared" si="2"/>
        <v>391</v>
      </c>
      <c r="AV27" s="6">
        <v>606</v>
      </c>
      <c r="AW27" s="6"/>
      <c r="AX27" s="35">
        <f t="shared" si="3"/>
        <v>395</v>
      </c>
      <c r="AY27" s="35">
        <v>1001</v>
      </c>
      <c r="AZ27" s="35"/>
      <c r="BA27" s="35">
        <f t="shared" si="4"/>
        <v>395</v>
      </c>
      <c r="BB27" s="35">
        <v>1381</v>
      </c>
      <c r="BC27" s="35"/>
      <c r="BD27" s="35">
        <f t="shared" si="5"/>
        <v>380</v>
      </c>
      <c r="BE27" s="35"/>
      <c r="BF27" s="35"/>
      <c r="BG27" s="35"/>
      <c r="BH27" s="35">
        <v>215</v>
      </c>
      <c r="BI27" s="35">
        <v>1561</v>
      </c>
      <c r="BJ27" s="35">
        <f t="shared" si="6"/>
        <v>395</v>
      </c>
      <c r="BK27" s="35">
        <v>601</v>
      </c>
      <c r="BL27" s="35"/>
      <c r="BM27" s="6">
        <f t="shared" si="7"/>
        <v>386</v>
      </c>
      <c r="BN27" s="35">
        <v>1000</v>
      </c>
      <c r="BO27" s="35"/>
      <c r="BP27" s="6">
        <f t="shared" si="8"/>
        <v>399</v>
      </c>
      <c r="BQ27" s="6">
        <v>1396</v>
      </c>
      <c r="BR27" s="6"/>
      <c r="BS27" s="35">
        <f t="shared" si="9"/>
        <v>396</v>
      </c>
      <c r="BT27" s="35">
        <v>231</v>
      </c>
      <c r="BU27" s="35">
        <v>1560</v>
      </c>
      <c r="BV27" s="6">
        <f t="shared" si="10"/>
        <v>395</v>
      </c>
      <c r="BW27" s="35">
        <v>590</v>
      </c>
      <c r="BX27" s="6"/>
      <c r="BY27" s="35">
        <f t="shared" si="11"/>
        <v>359</v>
      </c>
      <c r="BZ27" s="35"/>
      <c r="CA27" s="35"/>
      <c r="CB27" s="6"/>
      <c r="CC27" s="35">
        <v>992</v>
      </c>
      <c r="CD27" s="35"/>
      <c r="CE27" s="6">
        <f t="shared" si="12"/>
        <v>402</v>
      </c>
      <c r="CF27" s="6">
        <v>1386</v>
      </c>
      <c r="CG27" s="35"/>
      <c r="CH27" s="6">
        <f t="shared" si="13"/>
        <v>394</v>
      </c>
      <c r="CI27" s="6">
        <v>224</v>
      </c>
      <c r="CJ27" s="6">
        <v>1561</v>
      </c>
      <c r="CK27" s="6">
        <f t="shared" si="14"/>
        <v>399</v>
      </c>
      <c r="CL27" s="6">
        <v>609</v>
      </c>
      <c r="CM27" s="6"/>
      <c r="CN27" s="6">
        <f t="shared" si="15"/>
        <v>385</v>
      </c>
      <c r="CO27" s="6">
        <v>990</v>
      </c>
      <c r="CP27" s="6"/>
      <c r="CQ27" s="6">
        <f t="shared" si="16"/>
        <v>381</v>
      </c>
      <c r="CR27" s="6">
        <v>1347</v>
      </c>
      <c r="CS27" s="6"/>
      <c r="CT27" s="6">
        <f t="shared" si="17"/>
        <v>357</v>
      </c>
      <c r="CU27" s="6"/>
      <c r="CV27" s="6"/>
      <c r="CW27" s="6"/>
      <c r="CX27" s="6">
        <v>0</v>
      </c>
      <c r="CY27" s="6">
        <v>1637</v>
      </c>
      <c r="CZ27" s="6">
        <f t="shared" si="18"/>
        <v>290</v>
      </c>
      <c r="DA27" s="6">
        <v>365</v>
      </c>
      <c r="DB27" s="6"/>
      <c r="DC27" s="6">
        <f t="shared" si="19"/>
        <v>365</v>
      </c>
      <c r="DD27" s="6">
        <v>753</v>
      </c>
      <c r="DE27" s="6"/>
      <c r="DF27" s="6">
        <f t="shared" si="20"/>
        <v>388</v>
      </c>
      <c r="DG27" s="6">
        <v>1147</v>
      </c>
      <c r="DH27" s="6"/>
      <c r="DI27" s="6">
        <f t="shared" si="21"/>
        <v>394</v>
      </c>
      <c r="DJ27" s="6">
        <v>1543</v>
      </c>
      <c r="DK27" s="6"/>
      <c r="DL27" s="6">
        <f t="shared" si="22"/>
        <v>396</v>
      </c>
      <c r="DM27" s="6">
        <v>334</v>
      </c>
      <c r="DN27" s="6">
        <v>1561</v>
      </c>
      <c r="DO27" s="6">
        <f t="shared" si="23"/>
        <v>352</v>
      </c>
    </row>
    <row r="28" spans="1:119">
      <c r="A28" s="6">
        <v>24</v>
      </c>
      <c r="B28" s="6">
        <v>176</v>
      </c>
      <c r="C28" s="6"/>
      <c r="D28" s="6">
        <v>176</v>
      </c>
      <c r="E28" s="148" t="s">
        <v>37</v>
      </c>
      <c r="F28" s="33" t="s">
        <v>37</v>
      </c>
      <c r="G28" s="33" t="s">
        <v>37</v>
      </c>
      <c r="H28" s="33" t="s">
        <v>37</v>
      </c>
      <c r="I28" s="33" t="s">
        <v>37</v>
      </c>
      <c r="J28" s="33" t="s">
        <v>37</v>
      </c>
      <c r="K28" s="33" t="s">
        <v>37</v>
      </c>
      <c r="L28" s="33" t="s">
        <v>37</v>
      </c>
      <c r="M28" s="33" t="s">
        <v>37</v>
      </c>
      <c r="N28" s="33" t="s">
        <v>37</v>
      </c>
      <c r="O28" s="33" t="s">
        <v>37</v>
      </c>
      <c r="P28" s="33" t="s">
        <v>37</v>
      </c>
      <c r="Q28" s="33" t="s">
        <v>37</v>
      </c>
      <c r="R28" s="33" t="s">
        <v>37</v>
      </c>
      <c r="S28" s="33" t="s">
        <v>37</v>
      </c>
      <c r="T28" s="33" t="s">
        <v>37</v>
      </c>
      <c r="U28" s="33" t="s">
        <v>37</v>
      </c>
      <c r="V28" s="33" t="s">
        <v>37</v>
      </c>
      <c r="W28" s="33" t="s">
        <v>37</v>
      </c>
      <c r="X28" s="33" t="s">
        <v>37</v>
      </c>
      <c r="Y28" s="33" t="s">
        <v>37</v>
      </c>
      <c r="Z28" s="33" t="s">
        <v>37</v>
      </c>
      <c r="AA28" s="148" t="s">
        <v>37</v>
      </c>
      <c r="AB28" s="33" t="s">
        <v>37</v>
      </c>
      <c r="AC28" s="33" t="s">
        <v>37</v>
      </c>
      <c r="AD28" s="6"/>
      <c r="AE28" s="6"/>
      <c r="AF28" s="35"/>
      <c r="AG28" s="6"/>
      <c r="AH28" s="6"/>
      <c r="AI28" s="35"/>
      <c r="AJ28" s="35"/>
      <c r="AK28" s="35"/>
      <c r="AL28" s="35"/>
      <c r="AM28" s="6">
        <v>555</v>
      </c>
      <c r="AN28" s="6"/>
      <c r="AO28" s="35">
        <f t="shared" si="0"/>
        <v>379</v>
      </c>
      <c r="AP28" s="6">
        <v>940</v>
      </c>
      <c r="AQ28" s="6"/>
      <c r="AR28" s="34">
        <f t="shared" si="1"/>
        <v>385</v>
      </c>
      <c r="AS28" s="35">
        <v>1323</v>
      </c>
      <c r="AT28" s="35"/>
      <c r="AU28" s="35">
        <f t="shared" si="2"/>
        <v>383</v>
      </c>
      <c r="AV28" s="6">
        <v>141</v>
      </c>
      <c r="AW28" s="6">
        <v>1562</v>
      </c>
      <c r="AX28" s="35">
        <f t="shared" si="3"/>
        <v>380</v>
      </c>
      <c r="AY28" s="6">
        <v>518</v>
      </c>
      <c r="AZ28" s="6"/>
      <c r="BA28" s="35">
        <f t="shared" si="4"/>
        <v>377</v>
      </c>
      <c r="BB28" s="6">
        <v>875</v>
      </c>
      <c r="BC28" s="6"/>
      <c r="BD28" s="35">
        <f t="shared" si="5"/>
        <v>357</v>
      </c>
      <c r="BE28" s="6"/>
      <c r="BF28" s="6"/>
      <c r="BG28" s="35"/>
      <c r="BH28" s="6">
        <v>1253</v>
      </c>
      <c r="BI28" s="6"/>
      <c r="BJ28" s="35">
        <f t="shared" si="6"/>
        <v>378</v>
      </c>
      <c r="BK28" s="6">
        <v>70</v>
      </c>
      <c r="BL28" s="35">
        <v>1560</v>
      </c>
      <c r="BM28" s="6">
        <f t="shared" si="7"/>
        <v>377</v>
      </c>
      <c r="BN28" s="6">
        <v>449</v>
      </c>
      <c r="BO28" s="6"/>
      <c r="BP28" s="6">
        <f t="shared" si="8"/>
        <v>379</v>
      </c>
      <c r="BQ28" s="6">
        <v>819</v>
      </c>
      <c r="BR28" s="6"/>
      <c r="BS28" s="35">
        <f t="shared" si="9"/>
        <v>370</v>
      </c>
      <c r="BT28" s="6">
        <v>1201</v>
      </c>
      <c r="BU28" s="6"/>
      <c r="BV28" s="6">
        <f t="shared" si="10"/>
        <v>382</v>
      </c>
      <c r="BW28" s="6">
        <v>10</v>
      </c>
      <c r="BX28" s="6">
        <v>1545</v>
      </c>
      <c r="BY28" s="35">
        <f t="shared" si="11"/>
        <v>354</v>
      </c>
      <c r="BZ28" s="6"/>
      <c r="CA28" s="35"/>
      <c r="CB28" s="6"/>
      <c r="CC28" s="6">
        <v>394</v>
      </c>
      <c r="CD28" s="6"/>
      <c r="CE28" s="6">
        <f t="shared" si="12"/>
        <v>384</v>
      </c>
      <c r="CF28" s="6">
        <v>771</v>
      </c>
      <c r="CG28" s="35"/>
      <c r="CH28" s="6">
        <f t="shared" si="13"/>
        <v>377</v>
      </c>
      <c r="CI28" s="6">
        <v>1153</v>
      </c>
      <c r="CJ28" s="6"/>
      <c r="CK28" s="6">
        <f t="shared" si="14"/>
        <v>382</v>
      </c>
      <c r="CL28" s="6">
        <v>1534</v>
      </c>
      <c r="CM28" s="6"/>
      <c r="CN28" s="6">
        <f t="shared" si="15"/>
        <v>381</v>
      </c>
      <c r="CO28" s="6">
        <v>356</v>
      </c>
      <c r="CP28" s="6">
        <v>1560</v>
      </c>
      <c r="CQ28" s="6">
        <f t="shared" si="16"/>
        <v>382</v>
      </c>
      <c r="CR28" s="6">
        <v>723</v>
      </c>
      <c r="CS28" s="6"/>
      <c r="CT28" s="6">
        <f t="shared" si="17"/>
        <v>367</v>
      </c>
      <c r="CU28" s="6"/>
      <c r="CV28" s="6"/>
      <c r="CW28" s="6"/>
      <c r="CX28" s="6">
        <v>1108</v>
      </c>
      <c r="CY28" s="6"/>
      <c r="CZ28" s="6">
        <f t="shared" si="18"/>
        <v>385</v>
      </c>
      <c r="DA28" s="6">
        <v>1485</v>
      </c>
      <c r="DB28" s="6"/>
      <c r="DC28" s="6">
        <f t="shared" si="19"/>
        <v>377</v>
      </c>
      <c r="DD28" s="6">
        <v>0</v>
      </c>
      <c r="DE28" s="6">
        <v>1648</v>
      </c>
      <c r="DF28" s="6">
        <f t="shared" si="20"/>
        <v>163</v>
      </c>
      <c r="DG28" s="6">
        <v>356</v>
      </c>
      <c r="DH28" s="6"/>
      <c r="DI28" s="6">
        <f t="shared" si="21"/>
        <v>356</v>
      </c>
      <c r="DJ28" s="6">
        <v>735</v>
      </c>
      <c r="DK28" s="6"/>
      <c r="DL28" s="6">
        <f t="shared" si="22"/>
        <v>379</v>
      </c>
      <c r="DM28" s="6">
        <v>1069</v>
      </c>
      <c r="DN28" s="6"/>
      <c r="DO28" s="6">
        <f t="shared" si="23"/>
        <v>334</v>
      </c>
    </row>
    <row r="29" spans="1:119">
      <c r="A29" s="6">
        <v>25</v>
      </c>
      <c r="B29" s="6">
        <v>508</v>
      </c>
      <c r="C29" s="6"/>
      <c r="D29" s="6">
        <v>211</v>
      </c>
      <c r="E29" s="33" t="s">
        <v>307</v>
      </c>
      <c r="F29" s="33" t="s">
        <v>307</v>
      </c>
      <c r="G29" s="33" t="s">
        <v>307</v>
      </c>
      <c r="H29" s="33" t="s">
        <v>307</v>
      </c>
      <c r="I29" s="33" t="s">
        <v>307</v>
      </c>
      <c r="J29" s="33" t="s">
        <v>307</v>
      </c>
      <c r="K29" s="33" t="s">
        <v>307</v>
      </c>
      <c r="L29" s="33" t="s">
        <v>307</v>
      </c>
      <c r="M29" s="33" t="s">
        <v>307</v>
      </c>
      <c r="N29" s="33" t="s">
        <v>307</v>
      </c>
      <c r="O29" s="33" t="s">
        <v>307</v>
      </c>
      <c r="P29" s="33" t="s">
        <v>307</v>
      </c>
      <c r="Q29" s="33" t="s">
        <v>307</v>
      </c>
      <c r="R29" s="33" t="s">
        <v>307</v>
      </c>
      <c r="S29" s="33" t="s">
        <v>307</v>
      </c>
      <c r="T29" s="33" t="s">
        <v>307</v>
      </c>
      <c r="U29" s="148" t="s">
        <v>307</v>
      </c>
      <c r="V29" s="33" t="s">
        <v>307</v>
      </c>
      <c r="W29" s="33" t="s">
        <v>307</v>
      </c>
      <c r="X29" s="33" t="s">
        <v>307</v>
      </c>
      <c r="Y29" s="33" t="s">
        <v>307</v>
      </c>
      <c r="Z29" s="33" t="s">
        <v>307</v>
      </c>
      <c r="AA29" s="33" t="s">
        <v>307</v>
      </c>
      <c r="AB29" s="33" t="s">
        <v>307</v>
      </c>
      <c r="AC29" s="33" t="s">
        <v>307</v>
      </c>
      <c r="AD29" s="6"/>
      <c r="AE29" s="6"/>
      <c r="AF29" s="35"/>
      <c r="AG29" s="6"/>
      <c r="AH29" s="6"/>
      <c r="AI29" s="35"/>
      <c r="AJ29" s="35"/>
      <c r="AK29" s="35"/>
      <c r="AL29" s="35"/>
      <c r="AM29" s="6">
        <v>896</v>
      </c>
      <c r="AN29" s="6"/>
      <c r="AO29" s="35">
        <f t="shared" si="0"/>
        <v>388</v>
      </c>
      <c r="AP29" s="6">
        <v>1276</v>
      </c>
      <c r="AQ29" s="6"/>
      <c r="AR29" s="34">
        <f t="shared" si="1"/>
        <v>380</v>
      </c>
      <c r="AS29" s="35">
        <v>147</v>
      </c>
      <c r="AT29" s="35">
        <v>1524</v>
      </c>
      <c r="AU29" s="35">
        <f t="shared" si="2"/>
        <v>395</v>
      </c>
      <c r="AV29" s="6">
        <v>541</v>
      </c>
      <c r="AW29" s="6"/>
      <c r="AX29" s="35">
        <f t="shared" si="3"/>
        <v>394</v>
      </c>
      <c r="AY29" s="6">
        <v>924</v>
      </c>
      <c r="AZ29" s="6"/>
      <c r="BA29" s="35">
        <f t="shared" si="4"/>
        <v>383</v>
      </c>
      <c r="BB29" s="35">
        <v>1290</v>
      </c>
      <c r="BC29" s="35"/>
      <c r="BD29" s="35">
        <f t="shared" si="5"/>
        <v>366</v>
      </c>
      <c r="BE29" s="6"/>
      <c r="BF29" s="6"/>
      <c r="BG29" s="35"/>
      <c r="BH29" s="6">
        <v>106</v>
      </c>
      <c r="BI29" s="6">
        <v>1561</v>
      </c>
      <c r="BJ29" s="35">
        <f t="shared" si="6"/>
        <v>377</v>
      </c>
      <c r="BK29" s="6">
        <v>483</v>
      </c>
      <c r="BL29" s="6"/>
      <c r="BM29" s="6">
        <f t="shared" si="7"/>
        <v>377</v>
      </c>
      <c r="BN29" s="6">
        <v>869</v>
      </c>
      <c r="BO29" s="6"/>
      <c r="BP29" s="6">
        <f t="shared" si="8"/>
        <v>386</v>
      </c>
      <c r="BQ29" s="6">
        <v>1259</v>
      </c>
      <c r="BR29" s="6"/>
      <c r="BS29" s="35">
        <f t="shared" si="9"/>
        <v>390</v>
      </c>
      <c r="BT29" s="6">
        <v>87</v>
      </c>
      <c r="BU29" s="6">
        <v>1560</v>
      </c>
      <c r="BV29" s="6">
        <f t="shared" si="10"/>
        <v>388</v>
      </c>
      <c r="BW29" s="6">
        <v>429</v>
      </c>
      <c r="BX29" s="6"/>
      <c r="BY29" s="35">
        <f t="shared" si="11"/>
        <v>342</v>
      </c>
      <c r="BZ29" s="6"/>
      <c r="CA29" s="6"/>
      <c r="CB29" s="6"/>
      <c r="CC29" s="6">
        <v>822</v>
      </c>
      <c r="CD29" s="6"/>
      <c r="CE29" s="6">
        <f t="shared" si="12"/>
        <v>393</v>
      </c>
      <c r="CF29" s="6">
        <v>1206</v>
      </c>
      <c r="CG29" s="6"/>
      <c r="CH29" s="6">
        <f t="shared" si="13"/>
        <v>384</v>
      </c>
      <c r="CI29" s="6">
        <v>0</v>
      </c>
      <c r="CJ29" s="6">
        <v>1530</v>
      </c>
      <c r="CK29" s="6">
        <f t="shared" si="14"/>
        <v>324</v>
      </c>
      <c r="CL29" s="6">
        <v>363</v>
      </c>
      <c r="CM29" s="6"/>
      <c r="CN29" s="6">
        <f t="shared" si="15"/>
        <v>363</v>
      </c>
      <c r="CO29" s="6">
        <v>740</v>
      </c>
      <c r="CP29" s="6"/>
      <c r="CQ29" s="6">
        <f t="shared" si="16"/>
        <v>377</v>
      </c>
      <c r="CR29" s="6">
        <v>1090</v>
      </c>
      <c r="CS29" s="6"/>
      <c r="CT29" s="6">
        <f t="shared" si="17"/>
        <v>350</v>
      </c>
      <c r="CU29" s="6"/>
      <c r="CV29" s="6"/>
      <c r="CW29" s="6"/>
      <c r="CX29" s="6">
        <v>1469</v>
      </c>
      <c r="CY29" s="6"/>
      <c r="CZ29" s="6">
        <f t="shared" si="18"/>
        <v>379</v>
      </c>
      <c r="DA29" s="6">
        <v>269</v>
      </c>
      <c r="DB29" s="6">
        <v>1561</v>
      </c>
      <c r="DC29" s="6">
        <f t="shared" si="19"/>
        <v>361</v>
      </c>
      <c r="DD29" s="6">
        <v>657</v>
      </c>
      <c r="DE29" s="6"/>
      <c r="DF29" s="6">
        <f t="shared" si="20"/>
        <v>388</v>
      </c>
      <c r="DG29" s="6">
        <v>1040</v>
      </c>
      <c r="DH29" s="6"/>
      <c r="DI29" s="6">
        <f t="shared" si="21"/>
        <v>383</v>
      </c>
      <c r="DJ29" s="6">
        <v>1426</v>
      </c>
      <c r="DK29" s="6"/>
      <c r="DL29" s="6">
        <f t="shared" si="22"/>
        <v>386</v>
      </c>
      <c r="DM29" s="6">
        <v>215</v>
      </c>
      <c r="DN29" s="6">
        <v>1560</v>
      </c>
      <c r="DO29" s="6">
        <f t="shared" si="23"/>
        <v>349</v>
      </c>
    </row>
    <row r="30" spans="1:119">
      <c r="A30" s="6">
        <v>26</v>
      </c>
      <c r="B30" s="6">
        <v>1282</v>
      </c>
      <c r="C30" s="6"/>
      <c r="D30" s="6">
        <v>218</v>
      </c>
      <c r="E30" s="33" t="s">
        <v>307</v>
      </c>
      <c r="F30" s="33" t="s">
        <v>307</v>
      </c>
      <c r="G30" s="33" t="s">
        <v>307</v>
      </c>
      <c r="H30" s="33" t="s">
        <v>307</v>
      </c>
      <c r="I30" s="33" t="s">
        <v>307</v>
      </c>
      <c r="J30" s="33" t="s">
        <v>307</v>
      </c>
      <c r="K30" s="33" t="s">
        <v>307</v>
      </c>
      <c r="L30" s="33" t="s">
        <v>307</v>
      </c>
      <c r="M30" s="33" t="s">
        <v>307</v>
      </c>
      <c r="N30" s="33" t="s">
        <v>307</v>
      </c>
      <c r="O30" s="33" t="s">
        <v>307</v>
      </c>
      <c r="P30" s="33" t="s">
        <v>307</v>
      </c>
      <c r="Q30" s="33" t="s">
        <v>307</v>
      </c>
      <c r="R30" s="33" t="s">
        <v>307</v>
      </c>
      <c r="S30" s="148" t="s">
        <v>307</v>
      </c>
      <c r="T30" s="33" t="s">
        <v>307</v>
      </c>
      <c r="U30" s="33" t="s">
        <v>307</v>
      </c>
      <c r="V30" s="33" t="s">
        <v>307</v>
      </c>
      <c r="W30" s="33" t="s">
        <v>307</v>
      </c>
      <c r="X30" s="33" t="s">
        <v>307</v>
      </c>
      <c r="Y30" s="33" t="s">
        <v>307</v>
      </c>
      <c r="Z30" s="33" t="s">
        <v>307</v>
      </c>
      <c r="AA30" s="33" t="s">
        <v>307</v>
      </c>
      <c r="AB30" s="33" t="s">
        <v>307</v>
      </c>
      <c r="AC30" s="33" t="s">
        <v>307</v>
      </c>
      <c r="AD30" s="6"/>
      <c r="AE30" s="6"/>
      <c r="AF30" s="35"/>
      <c r="AG30" s="6"/>
      <c r="AH30" s="6"/>
      <c r="AI30" s="35"/>
      <c r="AJ30" s="35"/>
      <c r="AK30" s="35"/>
      <c r="AL30" s="35"/>
      <c r="AM30" s="6">
        <v>146</v>
      </c>
      <c r="AN30" s="6">
        <v>1560</v>
      </c>
      <c r="AO30" s="35">
        <f t="shared" si="0"/>
        <v>424</v>
      </c>
      <c r="AP30" s="6">
        <v>541</v>
      </c>
      <c r="AQ30" s="6"/>
      <c r="AR30" s="34">
        <f t="shared" si="1"/>
        <v>395</v>
      </c>
      <c r="AS30" s="35">
        <v>939</v>
      </c>
      <c r="AT30" s="35"/>
      <c r="AU30" s="35">
        <f t="shared" si="2"/>
        <v>398</v>
      </c>
      <c r="AV30" s="6">
        <v>1335</v>
      </c>
      <c r="AW30" s="6"/>
      <c r="AX30" s="35">
        <f t="shared" si="3"/>
        <v>396</v>
      </c>
      <c r="AY30" s="6">
        <v>173</v>
      </c>
      <c r="AZ30" s="6">
        <v>1560</v>
      </c>
      <c r="BA30" s="35">
        <f t="shared" si="4"/>
        <v>398</v>
      </c>
      <c r="BB30" s="35">
        <v>562</v>
      </c>
      <c r="BC30" s="35"/>
      <c r="BD30" s="35">
        <f t="shared" si="5"/>
        <v>389</v>
      </c>
      <c r="BE30" s="6"/>
      <c r="BF30" s="6"/>
      <c r="BG30" s="35"/>
      <c r="BH30" s="6">
        <v>358</v>
      </c>
      <c r="BI30" s="6">
        <v>598</v>
      </c>
      <c r="BJ30" s="35">
        <f t="shared" si="6"/>
        <v>394</v>
      </c>
      <c r="BK30" s="6">
        <v>753</v>
      </c>
      <c r="BL30" s="6"/>
      <c r="BM30" s="6">
        <f>BL30+BK30-BH30</f>
        <v>395</v>
      </c>
      <c r="BN30" s="6">
        <v>1152</v>
      </c>
      <c r="BO30" s="6"/>
      <c r="BP30" s="6">
        <f t="shared" si="8"/>
        <v>399</v>
      </c>
      <c r="BQ30" s="6">
        <f>332+1201</f>
        <v>1533</v>
      </c>
      <c r="BR30" s="6"/>
      <c r="BS30" s="35">
        <f t="shared" si="9"/>
        <v>381</v>
      </c>
      <c r="BT30" s="6">
        <v>276</v>
      </c>
      <c r="BU30" s="6">
        <v>1646</v>
      </c>
      <c r="BV30" s="6">
        <f t="shared" si="10"/>
        <v>389</v>
      </c>
      <c r="BW30" s="6">
        <v>640</v>
      </c>
      <c r="BX30" s="6"/>
      <c r="BY30" s="35">
        <f t="shared" si="11"/>
        <v>364</v>
      </c>
      <c r="BZ30" s="6"/>
      <c r="CA30" s="6"/>
      <c r="CB30" s="6"/>
      <c r="CC30" s="6">
        <v>0</v>
      </c>
      <c r="CD30" s="6">
        <v>955</v>
      </c>
      <c r="CE30" s="6">
        <f t="shared" si="12"/>
        <v>315</v>
      </c>
      <c r="CF30" s="6">
        <v>370</v>
      </c>
      <c r="CG30" s="6"/>
      <c r="CH30" s="6">
        <f t="shared" si="13"/>
        <v>370</v>
      </c>
      <c r="CI30" s="6">
        <v>763</v>
      </c>
      <c r="CJ30" s="6"/>
      <c r="CK30" s="6">
        <f t="shared" si="14"/>
        <v>393</v>
      </c>
      <c r="CL30" s="6">
        <v>1147</v>
      </c>
      <c r="CM30" s="6"/>
      <c r="CN30" s="6">
        <f t="shared" si="15"/>
        <v>384</v>
      </c>
      <c r="CO30" s="6">
        <v>1518</v>
      </c>
      <c r="CP30" s="6"/>
      <c r="CQ30" s="6">
        <f t="shared" si="16"/>
        <v>371</v>
      </c>
      <c r="CR30" s="6">
        <v>303</v>
      </c>
      <c r="CS30" s="6">
        <v>1565</v>
      </c>
      <c r="CT30" s="6">
        <f t="shared" si="17"/>
        <v>350</v>
      </c>
      <c r="CU30" s="6"/>
      <c r="CV30" s="6"/>
      <c r="CW30" s="6"/>
      <c r="CX30" s="6">
        <v>695</v>
      </c>
      <c r="CY30" s="6"/>
      <c r="CZ30" s="6">
        <f t="shared" si="18"/>
        <v>392</v>
      </c>
      <c r="DA30" s="6">
        <v>1085</v>
      </c>
      <c r="DB30" s="6"/>
      <c r="DC30" s="6">
        <f t="shared" si="19"/>
        <v>390</v>
      </c>
      <c r="DD30" s="6">
        <v>1479</v>
      </c>
      <c r="DE30" s="6"/>
      <c r="DF30" s="6">
        <f t="shared" si="20"/>
        <v>394</v>
      </c>
      <c r="DG30" s="6">
        <v>309</v>
      </c>
      <c r="DH30" s="6">
        <v>1560</v>
      </c>
      <c r="DI30" s="6">
        <f t="shared" si="21"/>
        <v>390</v>
      </c>
      <c r="DJ30" s="6">
        <v>353</v>
      </c>
      <c r="DK30" s="6">
        <v>344</v>
      </c>
      <c r="DL30" s="6">
        <f t="shared" si="22"/>
        <v>388</v>
      </c>
      <c r="DM30" s="6">
        <v>209</v>
      </c>
      <c r="DN30" s="6">
        <v>490</v>
      </c>
      <c r="DO30" s="6">
        <f t="shared" si="23"/>
        <v>346</v>
      </c>
    </row>
    <row r="31" spans="1:119">
      <c r="A31" s="6">
        <v>27</v>
      </c>
      <c r="B31" s="6">
        <v>914</v>
      </c>
      <c r="C31" s="6"/>
      <c r="D31" s="6">
        <v>214</v>
      </c>
      <c r="E31" s="33" t="s">
        <v>307</v>
      </c>
      <c r="F31" s="33" t="s">
        <v>307</v>
      </c>
      <c r="G31" s="33" t="s">
        <v>307</v>
      </c>
      <c r="H31" s="33" t="s">
        <v>307</v>
      </c>
      <c r="I31" s="33" t="s">
        <v>307</v>
      </c>
      <c r="J31" s="33" t="s">
        <v>307</v>
      </c>
      <c r="K31" s="33" t="s">
        <v>307</v>
      </c>
      <c r="L31" s="33" t="s">
        <v>307</v>
      </c>
      <c r="M31" s="33" t="s">
        <v>307</v>
      </c>
      <c r="N31" s="33" t="s">
        <v>307</v>
      </c>
      <c r="O31" s="33" t="s">
        <v>307</v>
      </c>
      <c r="P31" s="33" t="s">
        <v>307</v>
      </c>
      <c r="Q31" s="33" t="s">
        <v>307</v>
      </c>
      <c r="R31" s="33" t="s">
        <v>307</v>
      </c>
      <c r="S31" s="33" t="s">
        <v>307</v>
      </c>
      <c r="T31" s="148" t="s">
        <v>307</v>
      </c>
      <c r="U31" s="33" t="s">
        <v>307</v>
      </c>
      <c r="V31" s="33" t="s">
        <v>307</v>
      </c>
      <c r="W31" s="33" t="s">
        <v>307</v>
      </c>
      <c r="X31" s="33" t="s">
        <v>307</v>
      </c>
      <c r="Y31" s="33" t="s">
        <v>307</v>
      </c>
      <c r="Z31" s="33" t="s">
        <v>307</v>
      </c>
      <c r="AA31" s="33" t="s">
        <v>307</v>
      </c>
      <c r="AB31" s="33" t="s">
        <v>307</v>
      </c>
      <c r="AC31" s="33" t="s">
        <v>307</v>
      </c>
      <c r="AD31" s="6"/>
      <c r="AE31" s="6"/>
      <c r="AF31" s="35"/>
      <c r="AG31" s="6"/>
      <c r="AH31" s="6"/>
      <c r="AI31" s="35"/>
      <c r="AJ31" s="35"/>
      <c r="AK31" s="35"/>
      <c r="AL31" s="35"/>
      <c r="AM31" s="6">
        <v>1329</v>
      </c>
      <c r="AN31" s="6"/>
      <c r="AO31" s="35">
        <f t="shared" si="0"/>
        <v>415</v>
      </c>
      <c r="AP31" s="6">
        <v>153</v>
      </c>
      <c r="AQ31" s="6">
        <v>1560</v>
      </c>
      <c r="AR31" s="34">
        <f t="shared" si="1"/>
        <v>384</v>
      </c>
      <c r="AS31" s="35">
        <v>545</v>
      </c>
      <c r="AT31" s="35"/>
      <c r="AU31" s="35">
        <f t="shared" si="2"/>
        <v>392</v>
      </c>
      <c r="AV31" s="6">
        <v>938</v>
      </c>
      <c r="AW31" s="6"/>
      <c r="AX31" s="35">
        <f t="shared" si="3"/>
        <v>393</v>
      </c>
      <c r="AY31" s="6">
        <v>1332</v>
      </c>
      <c r="AZ31" s="6"/>
      <c r="BA31" s="35">
        <f t="shared" si="4"/>
        <v>394</v>
      </c>
      <c r="BB31" s="35">
        <v>147</v>
      </c>
      <c r="BC31" s="35">
        <v>1560</v>
      </c>
      <c r="BD31" s="35">
        <f t="shared" si="5"/>
        <v>375</v>
      </c>
      <c r="BE31" s="6"/>
      <c r="BF31" s="6"/>
      <c r="BG31" s="35"/>
      <c r="BH31" s="6">
        <v>538</v>
      </c>
      <c r="BI31" s="6"/>
      <c r="BJ31" s="35">
        <f t="shared" si="6"/>
        <v>391</v>
      </c>
      <c r="BK31" s="6">
        <v>913</v>
      </c>
      <c r="BL31" s="6"/>
      <c r="BM31" s="6">
        <f t="shared" si="7"/>
        <v>375</v>
      </c>
      <c r="BN31" s="6">
        <v>1291</v>
      </c>
      <c r="BO31" s="6"/>
      <c r="BP31" s="6">
        <f t="shared" si="8"/>
        <v>378</v>
      </c>
      <c r="BQ31" s="6">
        <v>142</v>
      </c>
      <c r="BR31" s="6">
        <v>1550</v>
      </c>
      <c r="BS31" s="35">
        <f t="shared" si="9"/>
        <v>401</v>
      </c>
      <c r="BT31" s="6">
        <v>538</v>
      </c>
      <c r="BU31" s="6"/>
      <c r="BV31" s="6">
        <f t="shared" si="10"/>
        <v>396</v>
      </c>
      <c r="BW31" s="6">
        <v>915</v>
      </c>
      <c r="BX31" s="6"/>
      <c r="BY31" s="35">
        <f t="shared" si="11"/>
        <v>377</v>
      </c>
      <c r="BZ31" s="6"/>
      <c r="CA31" s="6"/>
      <c r="CB31" s="6"/>
      <c r="CC31" s="6">
        <v>1316</v>
      </c>
      <c r="CD31" s="6"/>
      <c r="CE31" s="6">
        <f t="shared" si="12"/>
        <v>401</v>
      </c>
      <c r="CF31" s="6">
        <v>0</v>
      </c>
      <c r="CG31" s="6">
        <v>1616</v>
      </c>
      <c r="CH31" s="6">
        <f t="shared" si="13"/>
        <v>300</v>
      </c>
      <c r="CI31" s="6">
        <v>381</v>
      </c>
      <c r="CJ31" s="6"/>
      <c r="CK31" s="6">
        <f t="shared" si="14"/>
        <v>381</v>
      </c>
      <c r="CL31" s="6">
        <v>755</v>
      </c>
      <c r="CM31" s="6"/>
      <c r="CN31" s="6">
        <f t="shared" si="15"/>
        <v>374</v>
      </c>
      <c r="CO31" s="6">
        <v>1136</v>
      </c>
      <c r="CP31" s="6"/>
      <c r="CQ31" s="6">
        <f t="shared" si="16"/>
        <v>381</v>
      </c>
      <c r="CR31" s="6">
        <v>1484</v>
      </c>
      <c r="CS31" s="6"/>
      <c r="CT31" s="6">
        <f t="shared" si="17"/>
        <v>348</v>
      </c>
      <c r="CU31" s="6"/>
      <c r="CV31" s="6"/>
      <c r="CW31" s="6"/>
      <c r="CX31" s="6">
        <v>294</v>
      </c>
      <c r="CY31" s="6">
        <v>1560</v>
      </c>
      <c r="CZ31" s="6">
        <f t="shared" si="18"/>
        <v>370</v>
      </c>
      <c r="DA31" s="6">
        <v>678</v>
      </c>
      <c r="DB31" s="6"/>
      <c r="DC31" s="6">
        <f t="shared" si="19"/>
        <v>384</v>
      </c>
      <c r="DD31" s="6">
        <v>1070</v>
      </c>
      <c r="DE31" s="6"/>
      <c r="DF31" s="6">
        <f t="shared" si="20"/>
        <v>392</v>
      </c>
      <c r="DG31" s="6">
        <v>1459</v>
      </c>
      <c r="DH31" s="6"/>
      <c r="DI31" s="6">
        <f t="shared" si="21"/>
        <v>389</v>
      </c>
      <c r="DJ31" s="6">
        <v>294</v>
      </c>
      <c r="DK31" s="6">
        <v>1560</v>
      </c>
      <c r="DL31" s="6">
        <f t="shared" si="22"/>
        <v>395</v>
      </c>
      <c r="DM31" s="6">
        <v>657</v>
      </c>
      <c r="DN31" s="6"/>
      <c r="DO31" s="6">
        <f t="shared" si="23"/>
        <v>363</v>
      </c>
    </row>
    <row r="32" spans="1:119">
      <c r="A32" s="6">
        <v>28</v>
      </c>
      <c r="B32" s="6">
        <v>515</v>
      </c>
      <c r="C32" s="6"/>
      <c r="D32" s="6">
        <v>214</v>
      </c>
      <c r="E32" s="33" t="s">
        <v>128</v>
      </c>
      <c r="F32" s="33" t="s">
        <v>128</v>
      </c>
      <c r="G32" s="33" t="s">
        <v>128</v>
      </c>
      <c r="H32" s="33" t="s">
        <v>128</v>
      </c>
      <c r="I32" s="33" t="s">
        <v>128</v>
      </c>
      <c r="J32" s="33" t="s">
        <v>128</v>
      </c>
      <c r="K32" s="33" t="s">
        <v>128</v>
      </c>
      <c r="L32" s="33" t="s">
        <v>128</v>
      </c>
      <c r="M32" s="148" t="s">
        <v>37</v>
      </c>
      <c r="N32" s="33" t="s">
        <v>37</v>
      </c>
      <c r="O32" s="33" t="s">
        <v>37</v>
      </c>
      <c r="P32" s="33" t="s">
        <v>37</v>
      </c>
      <c r="Q32" s="33" t="s">
        <v>37</v>
      </c>
      <c r="R32" s="33" t="s">
        <v>37</v>
      </c>
      <c r="S32" s="33" t="s">
        <v>37</v>
      </c>
      <c r="T32" s="33" t="s">
        <v>37</v>
      </c>
      <c r="U32" s="33" t="s">
        <v>37</v>
      </c>
      <c r="V32" s="33" t="s">
        <v>37</v>
      </c>
      <c r="W32" s="33" t="s">
        <v>37</v>
      </c>
      <c r="X32" s="33" t="s">
        <v>37</v>
      </c>
      <c r="Y32" s="33" t="s">
        <v>37</v>
      </c>
      <c r="Z32" s="33" t="s">
        <v>37</v>
      </c>
      <c r="AA32" s="33" t="s">
        <v>37</v>
      </c>
      <c r="AB32" s="33" t="s">
        <v>37</v>
      </c>
      <c r="AC32" s="33" t="s">
        <v>37</v>
      </c>
      <c r="AD32" s="35"/>
      <c r="AE32" s="35"/>
      <c r="AF32" s="35"/>
      <c r="AG32" s="35"/>
      <c r="AH32" s="35"/>
      <c r="AI32" s="35"/>
      <c r="AJ32" s="35"/>
      <c r="AK32" s="35"/>
      <c r="AL32" s="35"/>
      <c r="AM32" s="35">
        <v>925</v>
      </c>
      <c r="AN32" s="35"/>
      <c r="AO32" s="35">
        <f t="shared" si="0"/>
        <v>410</v>
      </c>
      <c r="AP32" s="6">
        <v>1314</v>
      </c>
      <c r="AQ32" s="6"/>
      <c r="AR32" s="34">
        <f t="shared" si="1"/>
        <v>389</v>
      </c>
      <c r="AS32" s="35">
        <v>142</v>
      </c>
      <c r="AT32" s="35">
        <v>1560</v>
      </c>
      <c r="AU32" s="35">
        <f t="shared" si="2"/>
        <v>388</v>
      </c>
      <c r="AV32" s="6">
        <v>534</v>
      </c>
      <c r="AW32" s="6"/>
      <c r="AX32" s="35">
        <f t="shared" si="3"/>
        <v>392</v>
      </c>
      <c r="AY32" s="6">
        <v>927</v>
      </c>
      <c r="AZ32" s="6"/>
      <c r="BA32" s="35">
        <f t="shared" si="4"/>
        <v>393</v>
      </c>
      <c r="BB32" s="6">
        <v>1306</v>
      </c>
      <c r="BC32" s="6"/>
      <c r="BD32" s="35">
        <f t="shared" si="5"/>
        <v>379</v>
      </c>
      <c r="BE32" s="6"/>
      <c r="BF32" s="6"/>
      <c r="BG32" s="35"/>
      <c r="BH32" s="6">
        <v>0</v>
      </c>
      <c r="BI32" s="6">
        <f>1440+141</f>
        <v>1581</v>
      </c>
      <c r="BJ32" s="35">
        <f t="shared" si="6"/>
        <v>275</v>
      </c>
      <c r="BK32" s="6">
        <v>348</v>
      </c>
      <c r="BL32" s="35"/>
      <c r="BM32" s="6">
        <f t="shared" si="7"/>
        <v>348</v>
      </c>
      <c r="BN32" s="6">
        <v>721</v>
      </c>
      <c r="BO32" s="6"/>
      <c r="BP32" s="6">
        <f t="shared" si="8"/>
        <v>373</v>
      </c>
      <c r="BQ32" s="6">
        <v>1097</v>
      </c>
      <c r="BR32" s="6"/>
      <c r="BS32" s="35">
        <f t="shared" si="9"/>
        <v>376</v>
      </c>
      <c r="BT32" s="6">
        <v>1473</v>
      </c>
      <c r="BU32" s="6"/>
      <c r="BV32" s="6">
        <f t="shared" si="10"/>
        <v>376</v>
      </c>
      <c r="BW32" s="6">
        <v>269</v>
      </c>
      <c r="BX32" s="6">
        <v>1560</v>
      </c>
      <c r="BY32" s="35">
        <f t="shared" si="11"/>
        <v>356</v>
      </c>
      <c r="BZ32" s="6"/>
      <c r="CA32" s="35"/>
      <c r="CB32" s="6"/>
      <c r="CC32" s="6">
        <v>655</v>
      </c>
      <c r="CD32" s="6"/>
      <c r="CE32" s="6">
        <f t="shared" si="12"/>
        <v>386</v>
      </c>
      <c r="CF32" s="6">
        <v>1033</v>
      </c>
      <c r="CG32" s="35"/>
      <c r="CH32" s="6">
        <f t="shared" si="13"/>
        <v>378</v>
      </c>
      <c r="CI32" s="6">
        <v>1414</v>
      </c>
      <c r="CJ32" s="6"/>
      <c r="CK32" s="6">
        <f t="shared" si="14"/>
        <v>381</v>
      </c>
      <c r="CL32" s="6">
        <v>235</v>
      </c>
      <c r="CM32" s="6">
        <v>1560</v>
      </c>
      <c r="CN32" s="6">
        <f t="shared" si="15"/>
        <v>381</v>
      </c>
      <c r="CO32" s="6">
        <v>615</v>
      </c>
      <c r="CP32" s="6"/>
      <c r="CQ32" s="6">
        <f t="shared" si="16"/>
        <v>380</v>
      </c>
      <c r="CR32" s="6">
        <v>978</v>
      </c>
      <c r="CS32" s="6"/>
      <c r="CT32" s="6">
        <f t="shared" si="17"/>
        <v>363</v>
      </c>
      <c r="CU32" s="6"/>
      <c r="CV32" s="6"/>
      <c r="CW32" s="6"/>
      <c r="CX32" s="6">
        <v>1358</v>
      </c>
      <c r="CY32" s="6"/>
      <c r="CZ32" s="6">
        <f t="shared" si="18"/>
        <v>380</v>
      </c>
      <c r="DA32" s="6">
        <v>246</v>
      </c>
      <c r="DB32" s="6">
        <v>1490</v>
      </c>
      <c r="DC32" s="6">
        <f t="shared" si="19"/>
        <v>378</v>
      </c>
      <c r="DD32" s="6">
        <v>624</v>
      </c>
      <c r="DE32" s="6"/>
      <c r="DF32" s="6">
        <f t="shared" si="20"/>
        <v>378</v>
      </c>
      <c r="DG32" s="6">
        <v>1001</v>
      </c>
      <c r="DH32" s="6"/>
      <c r="DI32" s="6">
        <f t="shared" si="21"/>
        <v>377</v>
      </c>
      <c r="DJ32" s="6">
        <v>1382</v>
      </c>
      <c r="DK32" s="6"/>
      <c r="DL32" s="6">
        <f t="shared" si="22"/>
        <v>381</v>
      </c>
      <c r="DM32" s="6">
        <v>200</v>
      </c>
      <c r="DN32" s="6">
        <v>1529</v>
      </c>
      <c r="DO32" s="6">
        <f t="shared" si="23"/>
        <v>347</v>
      </c>
    </row>
    <row r="33" spans="1:119">
      <c r="A33" s="6">
        <v>29</v>
      </c>
      <c r="B33" s="6">
        <v>589</v>
      </c>
      <c r="C33" s="6"/>
      <c r="D33" s="6">
        <v>217</v>
      </c>
      <c r="E33" s="33" t="s">
        <v>307</v>
      </c>
      <c r="F33" s="33" t="s">
        <v>307</v>
      </c>
      <c r="G33" s="33" t="s">
        <v>307</v>
      </c>
      <c r="H33" s="33" t="s">
        <v>307</v>
      </c>
      <c r="I33" s="33" t="s">
        <v>307</v>
      </c>
      <c r="J33" s="33" t="s">
        <v>307</v>
      </c>
      <c r="K33" s="33" t="s">
        <v>307</v>
      </c>
      <c r="L33" s="33" t="s">
        <v>307</v>
      </c>
      <c r="M33" s="33" t="s">
        <v>307</v>
      </c>
      <c r="N33" s="33" t="s">
        <v>307</v>
      </c>
      <c r="O33" s="33" t="s">
        <v>307</v>
      </c>
      <c r="P33" s="33" t="s">
        <v>307</v>
      </c>
      <c r="Q33" s="33" t="s">
        <v>307</v>
      </c>
      <c r="R33" s="33" t="s">
        <v>307</v>
      </c>
      <c r="S33" s="33" t="s">
        <v>307</v>
      </c>
      <c r="T33" s="33" t="s">
        <v>307</v>
      </c>
      <c r="U33" s="33" t="s">
        <v>307</v>
      </c>
      <c r="V33" s="33" t="s">
        <v>307</v>
      </c>
      <c r="W33" s="33" t="s">
        <v>307</v>
      </c>
      <c r="X33" s="33" t="s">
        <v>307</v>
      </c>
      <c r="Y33" s="148" t="s">
        <v>307</v>
      </c>
      <c r="Z33" s="33" t="s">
        <v>307</v>
      </c>
      <c r="AA33" s="33" t="s">
        <v>307</v>
      </c>
      <c r="AB33" s="33" t="s">
        <v>307</v>
      </c>
      <c r="AC33" s="33" t="s">
        <v>307</v>
      </c>
      <c r="AD33" s="35"/>
      <c r="AE33" s="35"/>
      <c r="AF33" s="35"/>
      <c r="AG33" s="35"/>
      <c r="AH33" s="35"/>
      <c r="AI33" s="35"/>
      <c r="AJ33" s="35"/>
      <c r="AK33" s="35"/>
      <c r="AL33" s="35"/>
      <c r="AM33" s="35">
        <v>1015</v>
      </c>
      <c r="AN33" s="35"/>
      <c r="AO33" s="35">
        <f t="shared" si="0"/>
        <v>426</v>
      </c>
      <c r="AP33" s="35">
        <v>1408</v>
      </c>
      <c r="AQ33" s="35"/>
      <c r="AR33" s="34">
        <f t="shared" si="1"/>
        <v>393</v>
      </c>
      <c r="AS33" s="35">
        <v>246</v>
      </c>
      <c r="AT33" s="35">
        <v>1560</v>
      </c>
      <c r="AU33" s="35">
        <f t="shared" si="2"/>
        <v>398</v>
      </c>
      <c r="AV33" s="6">
        <v>629</v>
      </c>
      <c r="AW33" s="6"/>
      <c r="AX33" s="35">
        <f t="shared" si="3"/>
        <v>383</v>
      </c>
      <c r="AY33" s="6">
        <v>1028</v>
      </c>
      <c r="AZ33" s="6"/>
      <c r="BA33" s="35">
        <f t="shared" si="4"/>
        <v>399</v>
      </c>
      <c r="BB33" s="6">
        <v>1418</v>
      </c>
      <c r="BC33" s="6"/>
      <c r="BD33" s="35">
        <f t="shared" si="5"/>
        <v>390</v>
      </c>
      <c r="BE33" s="6"/>
      <c r="BF33" s="6"/>
      <c r="BG33" s="35"/>
      <c r="BH33" s="6">
        <v>261</v>
      </c>
      <c r="BI33" s="6">
        <v>1560</v>
      </c>
      <c r="BJ33" s="35">
        <f t="shared" si="6"/>
        <v>403</v>
      </c>
      <c r="BK33" s="6">
        <v>657</v>
      </c>
      <c r="BL33" s="35"/>
      <c r="BM33" s="6">
        <f t="shared" si="7"/>
        <v>396</v>
      </c>
      <c r="BN33" s="6">
        <v>1056</v>
      </c>
      <c r="BO33" s="6"/>
      <c r="BP33" s="6">
        <f t="shared" si="8"/>
        <v>399</v>
      </c>
      <c r="BQ33" s="6">
        <v>1453</v>
      </c>
      <c r="BR33" s="6"/>
      <c r="BS33" s="35">
        <f t="shared" si="9"/>
        <v>397</v>
      </c>
      <c r="BT33" s="6">
        <v>290</v>
      </c>
      <c r="BU33" s="6">
        <v>1561</v>
      </c>
      <c r="BV33" s="6">
        <f t="shared" si="10"/>
        <v>398</v>
      </c>
      <c r="BW33" s="6">
        <v>664</v>
      </c>
      <c r="BX33" s="6"/>
      <c r="BY33" s="35">
        <f t="shared" si="11"/>
        <v>374</v>
      </c>
      <c r="BZ33" s="6"/>
      <c r="CA33" s="35"/>
      <c r="CB33" s="6"/>
      <c r="CC33" s="6">
        <v>1056</v>
      </c>
      <c r="CD33" s="6"/>
      <c r="CE33" s="6">
        <f t="shared" si="12"/>
        <v>392</v>
      </c>
      <c r="CF33" s="6">
        <v>1452</v>
      </c>
      <c r="CG33" s="35"/>
      <c r="CH33" s="6">
        <f t="shared" si="13"/>
        <v>396</v>
      </c>
      <c r="CI33" s="6">
        <v>294</v>
      </c>
      <c r="CJ33" s="6">
        <v>1561</v>
      </c>
      <c r="CK33" s="6">
        <f t="shared" si="14"/>
        <v>403</v>
      </c>
      <c r="CL33" s="6">
        <v>678</v>
      </c>
      <c r="CM33" s="6"/>
      <c r="CN33" s="6">
        <f t="shared" si="15"/>
        <v>384</v>
      </c>
      <c r="CO33" s="6">
        <v>1056</v>
      </c>
      <c r="CP33" s="6"/>
      <c r="CQ33" s="6">
        <f t="shared" si="16"/>
        <v>378</v>
      </c>
      <c r="CR33" s="6">
        <v>1424</v>
      </c>
      <c r="CS33" s="6"/>
      <c r="CT33" s="6">
        <f t="shared" si="17"/>
        <v>368</v>
      </c>
      <c r="CU33" s="6"/>
      <c r="CV33" s="6"/>
      <c r="CW33" s="6"/>
      <c r="CX33" s="6">
        <v>0</v>
      </c>
      <c r="CY33" s="6">
        <v>1612</v>
      </c>
      <c r="CZ33" s="6">
        <f t="shared" si="18"/>
        <v>188</v>
      </c>
      <c r="DA33" s="6">
        <v>369</v>
      </c>
      <c r="DB33" s="6"/>
      <c r="DC33" s="6">
        <f t="shared" si="19"/>
        <v>369</v>
      </c>
      <c r="DD33" s="6">
        <v>759</v>
      </c>
      <c r="DE33" s="6"/>
      <c r="DF33" s="6">
        <f t="shared" si="20"/>
        <v>390</v>
      </c>
      <c r="DG33" s="6">
        <v>1152</v>
      </c>
      <c r="DH33" s="6"/>
      <c r="DI33" s="6">
        <f t="shared" si="21"/>
        <v>393</v>
      </c>
      <c r="DJ33" s="6">
        <v>1543</v>
      </c>
      <c r="DK33" s="6"/>
      <c r="DL33" s="6">
        <f t="shared" si="22"/>
        <v>391</v>
      </c>
      <c r="DM33" s="6">
        <v>336</v>
      </c>
      <c r="DN33" s="6">
        <v>1561</v>
      </c>
      <c r="DO33" s="6">
        <f t="shared" si="23"/>
        <v>354</v>
      </c>
    </row>
    <row r="34" spans="1:119">
      <c r="A34" s="6">
        <v>30</v>
      </c>
      <c r="B34" s="6">
        <v>1317</v>
      </c>
      <c r="C34" s="6"/>
      <c r="D34" s="6">
        <v>206</v>
      </c>
      <c r="E34" s="33" t="s">
        <v>307</v>
      </c>
      <c r="F34" s="33" t="s">
        <v>307</v>
      </c>
      <c r="G34" s="33" t="s">
        <v>307</v>
      </c>
      <c r="H34" s="33" t="s">
        <v>307</v>
      </c>
      <c r="I34" s="33" t="s">
        <v>307</v>
      </c>
      <c r="J34" s="33" t="s">
        <v>307</v>
      </c>
      <c r="K34" s="33" t="s">
        <v>307</v>
      </c>
      <c r="L34" s="33" t="s">
        <v>307</v>
      </c>
      <c r="M34" s="33" t="s">
        <v>307</v>
      </c>
      <c r="N34" s="33" t="s">
        <v>307</v>
      </c>
      <c r="O34" s="33" t="s">
        <v>307</v>
      </c>
      <c r="P34" s="33" t="s">
        <v>307</v>
      </c>
      <c r="Q34" s="33" t="s">
        <v>307</v>
      </c>
      <c r="R34" s="33" t="s">
        <v>307</v>
      </c>
      <c r="S34" s="33" t="s">
        <v>307</v>
      </c>
      <c r="T34" s="148" t="s">
        <v>384</v>
      </c>
      <c r="U34" s="33" t="s">
        <v>384</v>
      </c>
      <c r="V34" s="33" t="s">
        <v>384</v>
      </c>
      <c r="W34" s="33" t="s">
        <v>384</v>
      </c>
      <c r="X34" s="33" t="s">
        <v>384</v>
      </c>
      <c r="Y34" s="33" t="s">
        <v>384</v>
      </c>
      <c r="Z34" s="148" t="s">
        <v>384</v>
      </c>
      <c r="AA34" s="33" t="s">
        <v>384</v>
      </c>
      <c r="AB34" s="33" t="s">
        <v>384</v>
      </c>
      <c r="AC34" s="148" t="s">
        <v>384</v>
      </c>
      <c r="AD34" s="6"/>
      <c r="AE34" s="6"/>
      <c r="AF34" s="35"/>
      <c r="AG34" s="6"/>
      <c r="AH34" s="6"/>
      <c r="AI34" s="35"/>
      <c r="AJ34" s="35"/>
      <c r="AK34" s="35"/>
      <c r="AL34" s="35"/>
      <c r="AM34" s="6">
        <v>133</v>
      </c>
      <c r="AN34" s="6">
        <v>1560</v>
      </c>
      <c r="AO34" s="35">
        <f t="shared" si="0"/>
        <v>376</v>
      </c>
      <c r="AP34" s="6">
        <v>523</v>
      </c>
      <c r="AQ34" s="6"/>
      <c r="AR34" s="34">
        <f t="shared" si="1"/>
        <v>390</v>
      </c>
      <c r="AS34" s="35">
        <v>0</v>
      </c>
      <c r="AT34" s="35">
        <v>876</v>
      </c>
      <c r="AU34" s="35">
        <f t="shared" si="2"/>
        <v>353</v>
      </c>
      <c r="AV34" s="6">
        <v>382</v>
      </c>
      <c r="AW34" s="6"/>
      <c r="AX34" s="35">
        <f t="shared" si="3"/>
        <v>382</v>
      </c>
      <c r="AY34" s="6">
        <v>776</v>
      </c>
      <c r="AZ34" s="6"/>
      <c r="BA34" s="35">
        <f t="shared" si="4"/>
        <v>394</v>
      </c>
      <c r="BB34" s="35">
        <v>1158</v>
      </c>
      <c r="BC34" s="35"/>
      <c r="BD34" s="35">
        <f t="shared" si="5"/>
        <v>382</v>
      </c>
      <c r="BE34" s="6"/>
      <c r="BF34" s="6"/>
      <c r="BG34" s="35"/>
      <c r="BH34" s="6">
        <v>1554</v>
      </c>
      <c r="BI34" s="6"/>
      <c r="BJ34" s="35">
        <f t="shared" si="6"/>
        <v>396</v>
      </c>
      <c r="BK34" s="6">
        <v>373</v>
      </c>
      <c r="BL34" s="6">
        <v>1560</v>
      </c>
      <c r="BM34" s="6">
        <f t="shared" si="7"/>
        <v>379</v>
      </c>
      <c r="BN34" s="6">
        <v>761</v>
      </c>
      <c r="BO34" s="6"/>
      <c r="BP34" s="6">
        <f t="shared" si="8"/>
        <v>388</v>
      </c>
      <c r="BQ34" s="6">
        <v>1152</v>
      </c>
      <c r="BR34" s="6"/>
      <c r="BS34" s="35">
        <f t="shared" si="9"/>
        <v>391</v>
      </c>
      <c r="BT34" s="6">
        <v>1551</v>
      </c>
      <c r="BU34" s="6"/>
      <c r="BV34" s="6">
        <f t="shared" si="10"/>
        <v>399</v>
      </c>
      <c r="BW34" s="6">
        <v>360</v>
      </c>
      <c r="BX34" s="6">
        <v>1560</v>
      </c>
      <c r="BY34" s="35">
        <f t="shared" si="11"/>
        <v>369</v>
      </c>
      <c r="BZ34" s="6"/>
      <c r="CA34" s="6"/>
      <c r="CB34" s="6"/>
      <c r="CC34" s="6">
        <v>18</v>
      </c>
      <c r="CD34" s="6">
        <v>729</v>
      </c>
      <c r="CE34" s="6">
        <f t="shared" si="12"/>
        <v>387</v>
      </c>
      <c r="CF34" s="6">
        <v>407</v>
      </c>
      <c r="CG34" s="6"/>
      <c r="CH34" s="6">
        <f t="shared" si="13"/>
        <v>389</v>
      </c>
      <c r="CI34" s="6">
        <v>325</v>
      </c>
      <c r="CJ34" s="6">
        <v>479</v>
      </c>
      <c r="CK34" s="6">
        <f t="shared" si="14"/>
        <v>397</v>
      </c>
      <c r="CL34" s="6">
        <v>333</v>
      </c>
      <c r="CM34" s="6">
        <v>500</v>
      </c>
      <c r="CN34" s="6">
        <f t="shared" si="15"/>
        <v>508</v>
      </c>
      <c r="CO34" s="6">
        <v>136</v>
      </c>
      <c r="CP34" s="6">
        <v>700</v>
      </c>
      <c r="CQ34" s="6">
        <f t="shared" si="16"/>
        <v>503</v>
      </c>
      <c r="CR34" s="6">
        <v>634</v>
      </c>
      <c r="CS34" s="6"/>
      <c r="CT34" s="6">
        <f t="shared" si="17"/>
        <v>498</v>
      </c>
      <c r="CU34" s="6"/>
      <c r="CV34" s="6"/>
      <c r="CW34" s="6"/>
      <c r="CX34" s="6">
        <v>21</v>
      </c>
      <c r="CY34" s="6">
        <f>700+396</f>
        <v>1096</v>
      </c>
      <c r="CZ34" s="6">
        <f t="shared" si="18"/>
        <v>483</v>
      </c>
      <c r="DA34" s="6">
        <v>0</v>
      </c>
      <c r="DB34" s="6">
        <f>306+133</f>
        <v>439</v>
      </c>
      <c r="DC34" s="6">
        <f t="shared" si="19"/>
        <v>418</v>
      </c>
      <c r="DD34" s="6">
        <v>427</v>
      </c>
      <c r="DE34" s="6"/>
      <c r="DF34" s="6">
        <f t="shared" si="20"/>
        <v>427</v>
      </c>
      <c r="DG34" s="6">
        <v>226</v>
      </c>
      <c r="DH34" s="6">
        <v>700</v>
      </c>
      <c r="DI34" s="6">
        <f t="shared" si="21"/>
        <v>499</v>
      </c>
      <c r="DJ34" s="6">
        <v>0</v>
      </c>
      <c r="DK34" s="6">
        <v>313</v>
      </c>
      <c r="DL34" s="6">
        <f t="shared" si="22"/>
        <v>87</v>
      </c>
      <c r="DM34" s="6">
        <v>346</v>
      </c>
      <c r="DN34" s="6"/>
      <c r="DO34" s="6">
        <f t="shared" si="23"/>
        <v>346</v>
      </c>
    </row>
    <row r="35" spans="1:119">
      <c r="A35" s="6">
        <v>31</v>
      </c>
      <c r="B35" s="6">
        <v>182</v>
      </c>
      <c r="C35" s="6"/>
      <c r="D35" s="6">
        <v>182</v>
      </c>
      <c r="E35" s="148" t="s">
        <v>37</v>
      </c>
      <c r="F35" s="33" t="s">
        <v>37</v>
      </c>
      <c r="G35" s="33" t="s">
        <v>37</v>
      </c>
      <c r="H35" s="33" t="s">
        <v>37</v>
      </c>
      <c r="I35" s="33" t="s">
        <v>37</v>
      </c>
      <c r="J35" s="33" t="s">
        <v>37</v>
      </c>
      <c r="K35" s="33" t="s">
        <v>37</v>
      </c>
      <c r="L35" s="33" t="s">
        <v>37</v>
      </c>
      <c r="M35" s="33" t="s">
        <v>37</v>
      </c>
      <c r="N35" s="33" t="s">
        <v>37</v>
      </c>
      <c r="O35" s="33" t="s">
        <v>37</v>
      </c>
      <c r="P35" s="33" t="s">
        <v>37</v>
      </c>
      <c r="Q35" s="33" t="s">
        <v>37</v>
      </c>
      <c r="R35" s="33" t="s">
        <v>37</v>
      </c>
      <c r="S35" s="33" t="s">
        <v>37</v>
      </c>
      <c r="T35" s="33" t="s">
        <v>37</v>
      </c>
      <c r="U35" s="33" t="s">
        <v>37</v>
      </c>
      <c r="V35" s="33" t="s">
        <v>37</v>
      </c>
      <c r="W35" s="33" t="s">
        <v>37</v>
      </c>
      <c r="X35" s="33" t="s">
        <v>37</v>
      </c>
      <c r="Y35" s="33" t="s">
        <v>37</v>
      </c>
      <c r="Z35" s="33" t="s">
        <v>37</v>
      </c>
      <c r="AA35" s="148" t="s">
        <v>37</v>
      </c>
      <c r="AB35" s="33" t="s">
        <v>37</v>
      </c>
      <c r="AC35" s="33" t="s">
        <v>37</v>
      </c>
      <c r="AD35" s="6"/>
      <c r="AE35" s="6"/>
      <c r="AF35" s="35"/>
      <c r="AG35" s="6"/>
      <c r="AH35" s="6"/>
      <c r="AI35" s="35"/>
      <c r="AJ35" s="35"/>
      <c r="AK35" s="35"/>
      <c r="AL35" s="35"/>
      <c r="AM35" s="6">
        <v>553</v>
      </c>
      <c r="AN35" s="6"/>
      <c r="AO35" s="35">
        <f t="shared" si="0"/>
        <v>371</v>
      </c>
      <c r="AP35" s="6">
        <v>919</v>
      </c>
      <c r="AQ35" s="6"/>
      <c r="AR35" s="34">
        <f t="shared" si="1"/>
        <v>366</v>
      </c>
      <c r="AS35" s="35">
        <v>1291</v>
      </c>
      <c r="AT35" s="35"/>
      <c r="AU35" s="35">
        <f t="shared" si="2"/>
        <v>372</v>
      </c>
      <c r="AV35" s="6">
        <v>96</v>
      </c>
      <c r="AW35" s="6">
        <v>1561</v>
      </c>
      <c r="AX35" s="35">
        <f t="shared" si="3"/>
        <v>366</v>
      </c>
      <c r="AY35" s="6">
        <v>466</v>
      </c>
      <c r="AZ35" s="6"/>
      <c r="BA35" s="35">
        <f t="shared" si="4"/>
        <v>370</v>
      </c>
      <c r="BB35" s="35">
        <v>1</v>
      </c>
      <c r="BC35" s="35">
        <v>827</v>
      </c>
      <c r="BD35" s="35">
        <f t="shared" si="5"/>
        <v>362</v>
      </c>
      <c r="BE35" s="6"/>
      <c r="BF35" s="6"/>
      <c r="BG35" s="35"/>
      <c r="BH35" s="6">
        <v>376</v>
      </c>
      <c r="BI35" s="6"/>
      <c r="BJ35" s="35">
        <f t="shared" si="6"/>
        <v>375</v>
      </c>
      <c r="BK35" s="6">
        <v>742</v>
      </c>
      <c r="BL35" s="6"/>
      <c r="BM35" s="6">
        <f t="shared" si="7"/>
        <v>366</v>
      </c>
      <c r="BN35" s="6">
        <v>1121</v>
      </c>
      <c r="BO35" s="6"/>
      <c r="BP35" s="6">
        <f t="shared" si="8"/>
        <v>379</v>
      </c>
      <c r="BQ35" s="6">
        <v>285</v>
      </c>
      <c r="BR35" s="6">
        <v>1213</v>
      </c>
      <c r="BS35" s="35">
        <f t="shared" si="9"/>
        <v>377</v>
      </c>
      <c r="BT35" s="6">
        <v>665</v>
      </c>
      <c r="BU35" s="6"/>
      <c r="BV35" s="6">
        <f t="shared" si="10"/>
        <v>380</v>
      </c>
      <c r="BW35" s="6">
        <v>253</v>
      </c>
      <c r="BX35" s="6">
        <v>759</v>
      </c>
      <c r="BY35" s="35">
        <f t="shared" si="11"/>
        <v>347</v>
      </c>
      <c r="BZ35" s="6"/>
      <c r="CA35" s="6"/>
      <c r="CB35" s="6"/>
      <c r="CC35" s="6">
        <v>631</v>
      </c>
      <c r="CD35" s="6"/>
      <c r="CE35" s="6">
        <f t="shared" si="12"/>
        <v>378</v>
      </c>
      <c r="CF35" s="6">
        <v>1010</v>
      </c>
      <c r="CG35" s="6"/>
      <c r="CH35" s="6">
        <f t="shared" si="13"/>
        <v>379</v>
      </c>
      <c r="CI35" s="6">
        <v>1380</v>
      </c>
      <c r="CJ35" s="6"/>
      <c r="CK35" s="6">
        <f t="shared" si="14"/>
        <v>370</v>
      </c>
      <c r="CL35" s="6">
        <v>186</v>
      </c>
      <c r="CM35" s="6">
        <v>1560</v>
      </c>
      <c r="CN35" s="6">
        <f t="shared" si="15"/>
        <v>366</v>
      </c>
      <c r="CO35" s="6">
        <v>562</v>
      </c>
      <c r="CP35" s="6"/>
      <c r="CQ35" s="6">
        <f t="shared" si="16"/>
        <v>376</v>
      </c>
      <c r="CR35" s="6">
        <v>895</v>
      </c>
      <c r="CS35" s="6"/>
      <c r="CT35" s="6">
        <f t="shared" si="17"/>
        <v>333</v>
      </c>
      <c r="CU35" s="6"/>
      <c r="CV35" s="6"/>
      <c r="CW35" s="6"/>
      <c r="CX35" s="6">
        <v>371</v>
      </c>
      <c r="CY35" s="6">
        <v>902</v>
      </c>
      <c r="CZ35" s="6">
        <f t="shared" si="18"/>
        <v>378</v>
      </c>
      <c r="DA35" s="6">
        <v>747</v>
      </c>
      <c r="DB35" s="6"/>
      <c r="DC35" s="6">
        <f t="shared" si="19"/>
        <v>376</v>
      </c>
      <c r="DD35" s="6">
        <v>0</v>
      </c>
      <c r="DE35" s="6">
        <v>1017</v>
      </c>
      <c r="DF35" s="6">
        <f t="shared" si="20"/>
        <v>270</v>
      </c>
      <c r="DG35" s="6">
        <v>367</v>
      </c>
      <c r="DH35" s="6"/>
      <c r="DI35" s="6">
        <f t="shared" si="21"/>
        <v>367</v>
      </c>
      <c r="DJ35" s="6">
        <v>739</v>
      </c>
      <c r="DK35" s="6"/>
      <c r="DL35" s="6">
        <f t="shared" si="22"/>
        <v>372</v>
      </c>
      <c r="DM35" s="6">
        <v>1086</v>
      </c>
      <c r="DN35" s="6"/>
      <c r="DO35" s="6">
        <f t="shared" si="23"/>
        <v>347</v>
      </c>
    </row>
    <row r="36" spans="1:119">
      <c r="A36" s="6">
        <v>32</v>
      </c>
      <c r="B36" s="6">
        <v>577</v>
      </c>
      <c r="C36" s="6"/>
      <c r="D36" s="6">
        <v>208</v>
      </c>
      <c r="E36" s="33" t="s">
        <v>37</v>
      </c>
      <c r="F36" s="33" t="s">
        <v>37</v>
      </c>
      <c r="G36" s="33" t="s">
        <v>37</v>
      </c>
      <c r="H36" s="33" t="s">
        <v>37</v>
      </c>
      <c r="I36" s="33" t="s">
        <v>37</v>
      </c>
      <c r="J36" s="33" t="s">
        <v>37</v>
      </c>
      <c r="K36" s="33" t="s">
        <v>37</v>
      </c>
      <c r="L36" s="33" t="s">
        <v>37</v>
      </c>
      <c r="M36" s="33" t="s">
        <v>37</v>
      </c>
      <c r="N36" s="33" t="s">
        <v>37</v>
      </c>
      <c r="O36" s="33" t="s">
        <v>37</v>
      </c>
      <c r="P36" s="33" t="s">
        <v>37</v>
      </c>
      <c r="Q36" s="33" t="s">
        <v>37</v>
      </c>
      <c r="R36" s="33" t="s">
        <v>37</v>
      </c>
      <c r="S36" s="33" t="s">
        <v>37</v>
      </c>
      <c r="T36" s="33" t="s">
        <v>37</v>
      </c>
      <c r="U36" s="33" t="s">
        <v>37</v>
      </c>
      <c r="V36" s="33" t="s">
        <v>37</v>
      </c>
      <c r="W36" s="33" t="s">
        <v>37</v>
      </c>
      <c r="X36" s="33" t="s">
        <v>37</v>
      </c>
      <c r="Y36" s="148" t="s">
        <v>307</v>
      </c>
      <c r="Z36" s="33" t="s">
        <v>307</v>
      </c>
      <c r="AA36" s="33" t="s">
        <v>307</v>
      </c>
      <c r="AB36" s="33" t="s">
        <v>307</v>
      </c>
      <c r="AC36" s="33" t="s">
        <v>307</v>
      </c>
      <c r="AD36" s="6"/>
      <c r="AE36" s="6"/>
      <c r="AF36" s="35"/>
      <c r="AG36" s="6"/>
      <c r="AH36" s="6"/>
      <c r="AI36" s="35"/>
      <c r="AJ36" s="35"/>
      <c r="AK36" s="35"/>
      <c r="AL36" s="35"/>
      <c r="AM36" s="6">
        <v>983</v>
      </c>
      <c r="AN36" s="6"/>
      <c r="AO36" s="35">
        <f t="shared" si="0"/>
        <v>406</v>
      </c>
      <c r="AP36" s="6">
        <v>1359</v>
      </c>
      <c r="AQ36" s="6"/>
      <c r="AR36" s="34">
        <f t="shared" si="1"/>
        <v>376</v>
      </c>
      <c r="AS36" s="35">
        <v>179</v>
      </c>
      <c r="AT36" s="35">
        <v>1560</v>
      </c>
      <c r="AU36" s="35">
        <f t="shared" si="2"/>
        <v>380</v>
      </c>
      <c r="AV36" s="6">
        <v>558</v>
      </c>
      <c r="AW36" s="6"/>
      <c r="AX36" s="35">
        <f t="shared" si="3"/>
        <v>379</v>
      </c>
      <c r="AY36" s="6">
        <v>935</v>
      </c>
      <c r="AZ36" s="6"/>
      <c r="BA36" s="35">
        <f t="shared" si="4"/>
        <v>377</v>
      </c>
      <c r="BB36" s="35">
        <v>1303</v>
      </c>
      <c r="BC36" s="35"/>
      <c r="BD36" s="35">
        <f t="shared" si="5"/>
        <v>368</v>
      </c>
      <c r="BE36" s="6"/>
      <c r="BF36" s="6"/>
      <c r="BG36" s="35"/>
      <c r="BH36" s="6">
        <v>125</v>
      </c>
      <c r="BI36" s="6">
        <v>1560</v>
      </c>
      <c r="BJ36" s="35">
        <f t="shared" si="6"/>
        <v>382</v>
      </c>
      <c r="BK36" s="6">
        <v>503</v>
      </c>
      <c r="BL36" s="6"/>
      <c r="BM36" s="6">
        <f t="shared" si="7"/>
        <v>378</v>
      </c>
      <c r="BN36" s="6">
        <v>877</v>
      </c>
      <c r="BO36" s="6"/>
      <c r="BP36" s="6">
        <f t="shared" si="8"/>
        <v>374</v>
      </c>
      <c r="BQ36" s="6">
        <v>1258</v>
      </c>
      <c r="BR36" s="6"/>
      <c r="BS36" s="35">
        <f t="shared" si="9"/>
        <v>381</v>
      </c>
      <c r="BT36" s="6">
        <v>77</v>
      </c>
      <c r="BU36" s="6">
        <v>1560</v>
      </c>
      <c r="BV36" s="6">
        <f t="shared" si="10"/>
        <v>379</v>
      </c>
      <c r="BW36" s="6">
        <v>431</v>
      </c>
      <c r="BX36" s="6"/>
      <c r="BY36" s="35">
        <f t="shared" si="11"/>
        <v>354</v>
      </c>
      <c r="BZ36" s="6"/>
      <c r="CA36" s="6"/>
      <c r="CB36" s="6"/>
      <c r="CC36" s="6">
        <v>818</v>
      </c>
      <c r="CD36" s="6"/>
      <c r="CE36" s="6">
        <f t="shared" si="12"/>
        <v>387</v>
      </c>
      <c r="CF36" s="6">
        <v>1210</v>
      </c>
      <c r="CG36" s="6"/>
      <c r="CH36" s="6">
        <f t="shared" si="13"/>
        <v>392</v>
      </c>
      <c r="CI36" s="6">
        <v>51</v>
      </c>
      <c r="CJ36" s="6">
        <v>1560</v>
      </c>
      <c r="CK36" s="6">
        <f t="shared" si="14"/>
        <v>401</v>
      </c>
      <c r="CL36" s="6">
        <v>436</v>
      </c>
      <c r="CM36" s="6"/>
      <c r="CN36" s="6">
        <f t="shared" si="15"/>
        <v>385</v>
      </c>
      <c r="CO36" s="6">
        <v>818</v>
      </c>
      <c r="CP36" s="6"/>
      <c r="CQ36" s="6">
        <f t="shared" si="16"/>
        <v>382</v>
      </c>
      <c r="CR36" s="6">
        <v>1173</v>
      </c>
      <c r="CS36" s="6"/>
      <c r="CT36" s="6">
        <f t="shared" si="17"/>
        <v>355</v>
      </c>
      <c r="CU36" s="6"/>
      <c r="CV36" s="6"/>
      <c r="CW36" s="6"/>
      <c r="CX36" s="6">
        <v>1552</v>
      </c>
      <c r="CY36" s="6"/>
      <c r="CZ36" s="6">
        <f t="shared" si="18"/>
        <v>379</v>
      </c>
      <c r="DA36" s="6">
        <v>253</v>
      </c>
      <c r="DB36" s="6">
        <v>1618</v>
      </c>
      <c r="DC36" s="6">
        <f t="shared" si="19"/>
        <v>319</v>
      </c>
      <c r="DD36" s="6">
        <v>633</v>
      </c>
      <c r="DE36" s="6"/>
      <c r="DF36" s="6">
        <f t="shared" si="20"/>
        <v>380</v>
      </c>
      <c r="DG36" s="6">
        <v>953</v>
      </c>
      <c r="DH36" s="6"/>
      <c r="DI36" s="6">
        <f t="shared" si="21"/>
        <v>320</v>
      </c>
      <c r="DJ36" s="6">
        <v>1329</v>
      </c>
      <c r="DK36" s="6"/>
      <c r="DL36" s="6">
        <f t="shared" si="22"/>
        <v>376</v>
      </c>
      <c r="DM36" s="6">
        <v>99</v>
      </c>
      <c r="DN36" s="6">
        <v>1560</v>
      </c>
      <c r="DO36" s="6">
        <f t="shared" si="23"/>
        <v>330</v>
      </c>
    </row>
    <row r="37" spans="1:119">
      <c r="A37" s="6">
        <v>33</v>
      </c>
      <c r="B37" s="6">
        <v>344</v>
      </c>
      <c r="C37" s="6"/>
      <c r="D37" s="6">
        <v>215</v>
      </c>
      <c r="E37" s="33" t="s">
        <v>307</v>
      </c>
      <c r="F37" s="33" t="s">
        <v>307</v>
      </c>
      <c r="G37" s="33" t="s">
        <v>307</v>
      </c>
      <c r="H37" s="33" t="s">
        <v>307</v>
      </c>
      <c r="I37" s="33" t="s">
        <v>307</v>
      </c>
      <c r="J37" s="33" t="s">
        <v>307</v>
      </c>
      <c r="K37" s="33" t="s">
        <v>307</v>
      </c>
      <c r="L37" s="33" t="s">
        <v>307</v>
      </c>
      <c r="M37" s="33" t="s">
        <v>307</v>
      </c>
      <c r="N37" s="33" t="s">
        <v>307</v>
      </c>
      <c r="O37" s="33" t="s">
        <v>307</v>
      </c>
      <c r="P37" s="33" t="s">
        <v>307</v>
      </c>
      <c r="Q37" s="33" t="s">
        <v>307</v>
      </c>
      <c r="R37" s="33" t="s">
        <v>307</v>
      </c>
      <c r="S37" s="33" t="s">
        <v>307</v>
      </c>
      <c r="T37" s="33" t="s">
        <v>307</v>
      </c>
      <c r="U37" s="33" t="s">
        <v>307</v>
      </c>
      <c r="V37" s="33" t="s">
        <v>307</v>
      </c>
      <c r="W37" s="33" t="s">
        <v>307</v>
      </c>
      <c r="X37" s="148" t="s">
        <v>307</v>
      </c>
      <c r="Y37" s="33" t="s">
        <v>307</v>
      </c>
      <c r="Z37" s="33" t="s">
        <v>307</v>
      </c>
      <c r="AA37" s="33" t="s">
        <v>307</v>
      </c>
      <c r="AB37" s="33" t="s">
        <v>307</v>
      </c>
      <c r="AC37" s="33" t="s">
        <v>307</v>
      </c>
      <c r="AD37" s="35"/>
      <c r="AE37" s="35"/>
      <c r="AF37" s="35"/>
      <c r="AG37" s="35"/>
      <c r="AH37" s="35"/>
      <c r="AI37" s="35"/>
      <c r="AJ37" s="35"/>
      <c r="AK37" s="35"/>
      <c r="AL37" s="35"/>
      <c r="AM37" s="35">
        <v>739</v>
      </c>
      <c r="AN37" s="35"/>
      <c r="AO37" s="35">
        <f t="shared" si="0"/>
        <v>395</v>
      </c>
      <c r="AP37" s="35">
        <v>1127</v>
      </c>
      <c r="AQ37" s="35"/>
      <c r="AR37" s="34">
        <f t="shared" si="1"/>
        <v>388</v>
      </c>
      <c r="AS37" s="35">
        <v>1515</v>
      </c>
      <c r="AT37" s="35"/>
      <c r="AU37" s="35">
        <f t="shared" si="2"/>
        <v>388</v>
      </c>
      <c r="AV37" s="6">
        <v>347</v>
      </c>
      <c r="AW37" s="6">
        <v>1560</v>
      </c>
      <c r="AX37" s="35">
        <f t="shared" si="3"/>
        <v>392</v>
      </c>
      <c r="AY37" s="35">
        <v>741</v>
      </c>
      <c r="AZ37" s="35"/>
      <c r="BA37" s="35">
        <f t="shared" si="4"/>
        <v>394</v>
      </c>
      <c r="BB37" s="6">
        <v>1128</v>
      </c>
      <c r="BC37" s="6"/>
      <c r="BD37" s="35">
        <f t="shared" si="5"/>
        <v>387</v>
      </c>
      <c r="BE37" s="6"/>
      <c r="BF37" s="6"/>
      <c r="BG37" s="35"/>
      <c r="BH37" s="6">
        <v>1523</v>
      </c>
      <c r="BI37" s="6"/>
      <c r="BJ37" s="35">
        <f t="shared" si="6"/>
        <v>395</v>
      </c>
      <c r="BK37" s="6">
        <v>340</v>
      </c>
      <c r="BL37" s="6">
        <v>1560</v>
      </c>
      <c r="BM37" s="6">
        <f t="shared" si="7"/>
        <v>377</v>
      </c>
      <c r="BN37" s="6">
        <v>731</v>
      </c>
      <c r="BO37" s="6"/>
      <c r="BP37" s="6">
        <f t="shared" si="8"/>
        <v>391</v>
      </c>
      <c r="BQ37" s="6">
        <v>1120</v>
      </c>
      <c r="BR37" s="6"/>
      <c r="BS37" s="35">
        <f t="shared" si="9"/>
        <v>389</v>
      </c>
      <c r="BT37" s="6">
        <v>1514</v>
      </c>
      <c r="BU37" s="6"/>
      <c r="BV37" s="6">
        <f t="shared" si="10"/>
        <v>394</v>
      </c>
      <c r="BW37" s="6">
        <v>318</v>
      </c>
      <c r="BX37" s="6">
        <v>1560</v>
      </c>
      <c r="BY37" s="35">
        <f t="shared" si="11"/>
        <v>364</v>
      </c>
      <c r="BZ37" s="6"/>
      <c r="CA37" s="6"/>
      <c r="CB37" s="6"/>
      <c r="CC37" s="6">
        <v>691</v>
      </c>
      <c r="CD37" s="6"/>
      <c r="CE37" s="6">
        <f t="shared" si="12"/>
        <v>373</v>
      </c>
      <c r="CF37" s="6">
        <v>1082</v>
      </c>
      <c r="CG37" s="6"/>
      <c r="CH37" s="6">
        <f t="shared" si="13"/>
        <v>391</v>
      </c>
      <c r="CI37" s="6">
        <v>1468</v>
      </c>
      <c r="CJ37" s="6"/>
      <c r="CK37" s="6">
        <f t="shared" si="14"/>
        <v>386</v>
      </c>
      <c r="CL37" s="6">
        <v>290</v>
      </c>
      <c r="CM37" s="6">
        <v>1560</v>
      </c>
      <c r="CN37" s="6">
        <f t="shared" si="15"/>
        <v>382</v>
      </c>
      <c r="CO37" s="6">
        <v>671</v>
      </c>
      <c r="CP37" s="6"/>
      <c r="CQ37" s="6">
        <f t="shared" si="16"/>
        <v>381</v>
      </c>
      <c r="CR37" s="6">
        <v>0</v>
      </c>
      <c r="CS37" s="6">
        <v>988</v>
      </c>
      <c r="CT37" s="6">
        <f t="shared" si="17"/>
        <v>317</v>
      </c>
      <c r="CU37" s="6"/>
      <c r="CV37" s="6"/>
      <c r="CW37" s="6"/>
      <c r="CX37" s="6">
        <v>378</v>
      </c>
      <c r="CY37" s="6"/>
      <c r="CZ37" s="6">
        <f t="shared" si="18"/>
        <v>378</v>
      </c>
      <c r="DA37" s="6">
        <v>766</v>
      </c>
      <c r="DB37" s="6"/>
      <c r="DC37" s="6">
        <f t="shared" si="19"/>
        <v>388</v>
      </c>
      <c r="DD37" s="6">
        <v>1156</v>
      </c>
      <c r="DE37" s="6"/>
      <c r="DF37" s="6">
        <f t="shared" si="20"/>
        <v>390</v>
      </c>
      <c r="DG37" s="6">
        <v>1479</v>
      </c>
      <c r="DH37" s="6"/>
      <c r="DI37" s="6">
        <f t="shared" si="21"/>
        <v>323</v>
      </c>
      <c r="DJ37" s="6">
        <v>298</v>
      </c>
      <c r="DK37" s="6">
        <v>1560</v>
      </c>
      <c r="DL37" s="6">
        <f t="shared" si="22"/>
        <v>379</v>
      </c>
      <c r="DM37" s="6">
        <v>650</v>
      </c>
      <c r="DN37" s="6"/>
      <c r="DO37" s="6">
        <f t="shared" si="23"/>
        <v>352</v>
      </c>
    </row>
    <row r="38" spans="1:119">
      <c r="A38" s="6">
        <v>34</v>
      </c>
      <c r="B38" s="6">
        <v>592</v>
      </c>
      <c r="C38" s="6"/>
      <c r="D38" s="6">
        <v>214</v>
      </c>
      <c r="E38" s="33" t="s">
        <v>307</v>
      </c>
      <c r="F38" s="33" t="s">
        <v>307</v>
      </c>
      <c r="G38" s="33" t="s">
        <v>307</v>
      </c>
      <c r="H38" s="33" t="s">
        <v>307</v>
      </c>
      <c r="I38" s="33" t="s">
        <v>307</v>
      </c>
      <c r="J38" s="33" t="s">
        <v>307</v>
      </c>
      <c r="K38" s="33" t="s">
        <v>307</v>
      </c>
      <c r="L38" s="33" t="s">
        <v>307</v>
      </c>
      <c r="M38" s="33" t="s">
        <v>307</v>
      </c>
      <c r="N38" s="33" t="s">
        <v>307</v>
      </c>
      <c r="O38" s="33" t="s">
        <v>307</v>
      </c>
      <c r="P38" s="33" t="s">
        <v>307</v>
      </c>
      <c r="Q38" s="33" t="s">
        <v>307</v>
      </c>
      <c r="R38" s="33" t="s">
        <v>307</v>
      </c>
      <c r="S38" s="33" t="s">
        <v>307</v>
      </c>
      <c r="T38" s="33" t="s">
        <v>307</v>
      </c>
      <c r="U38" s="33" t="s">
        <v>307</v>
      </c>
      <c r="V38" s="33" t="s">
        <v>307</v>
      </c>
      <c r="W38" s="33" t="s">
        <v>307</v>
      </c>
      <c r="X38" s="33" t="s">
        <v>307</v>
      </c>
      <c r="Y38" s="148" t="s">
        <v>307</v>
      </c>
      <c r="Z38" s="33" t="s">
        <v>307</v>
      </c>
      <c r="AA38" s="33" t="s">
        <v>307</v>
      </c>
      <c r="AB38" s="33" t="s">
        <v>307</v>
      </c>
      <c r="AC38" s="33" t="s">
        <v>307</v>
      </c>
      <c r="AD38" s="35"/>
      <c r="AE38" s="35"/>
      <c r="AF38" s="35"/>
      <c r="AG38" s="35"/>
      <c r="AH38" s="35"/>
      <c r="AI38" s="35"/>
      <c r="AJ38" s="35"/>
      <c r="AK38" s="35"/>
      <c r="AL38" s="35"/>
      <c r="AM38" s="35">
        <v>1020</v>
      </c>
      <c r="AN38" s="35"/>
      <c r="AO38" s="35">
        <f t="shared" si="0"/>
        <v>428</v>
      </c>
      <c r="AP38" s="35">
        <v>1412</v>
      </c>
      <c r="AQ38" s="35"/>
      <c r="AR38" s="34">
        <f t="shared" si="1"/>
        <v>392</v>
      </c>
      <c r="AS38" s="35">
        <v>255</v>
      </c>
      <c r="AT38" s="35">
        <v>1557</v>
      </c>
      <c r="AU38" s="35">
        <f t="shared" si="2"/>
        <v>400</v>
      </c>
      <c r="AV38" s="6">
        <v>650</v>
      </c>
      <c r="AW38" s="6"/>
      <c r="AX38" s="35">
        <f t="shared" si="3"/>
        <v>395</v>
      </c>
      <c r="AY38" s="35">
        <v>1051</v>
      </c>
      <c r="AZ38" s="6"/>
      <c r="BA38" s="35">
        <f t="shared" si="4"/>
        <v>401</v>
      </c>
      <c r="BB38" s="6">
        <v>1441</v>
      </c>
      <c r="BC38" s="6"/>
      <c r="BD38" s="35">
        <f t="shared" si="5"/>
        <v>390</v>
      </c>
      <c r="BE38" s="6"/>
      <c r="BF38" s="6"/>
      <c r="BG38" s="35"/>
      <c r="BH38" s="6">
        <v>279</v>
      </c>
      <c r="BI38" s="6">
        <v>1560</v>
      </c>
      <c r="BJ38" s="35">
        <f t="shared" si="6"/>
        <v>398</v>
      </c>
      <c r="BK38" s="6">
        <v>676</v>
      </c>
      <c r="BL38" s="6"/>
      <c r="BM38" s="6">
        <f t="shared" si="7"/>
        <v>397</v>
      </c>
      <c r="BN38" s="6">
        <v>1076</v>
      </c>
      <c r="BO38" s="6"/>
      <c r="BP38" s="6">
        <f t="shared" si="8"/>
        <v>400</v>
      </c>
      <c r="BQ38" s="6">
        <v>1473</v>
      </c>
      <c r="BR38" s="6"/>
      <c r="BS38" s="35">
        <f t="shared" si="9"/>
        <v>397</v>
      </c>
      <c r="BT38" s="6">
        <v>311</v>
      </c>
      <c r="BU38" s="6">
        <v>1560</v>
      </c>
      <c r="BV38" s="6">
        <f t="shared" si="10"/>
        <v>398</v>
      </c>
      <c r="BW38" s="6">
        <v>682</v>
      </c>
      <c r="BX38" s="6"/>
      <c r="BY38" s="35">
        <f t="shared" si="11"/>
        <v>371</v>
      </c>
      <c r="BZ38" s="6"/>
      <c r="CA38" s="6"/>
      <c r="CB38" s="6"/>
      <c r="CC38" s="6">
        <v>1085</v>
      </c>
      <c r="CD38" s="6"/>
      <c r="CE38" s="6">
        <f t="shared" si="12"/>
        <v>403</v>
      </c>
      <c r="CF38" s="6">
        <v>1437</v>
      </c>
      <c r="CG38" s="6"/>
      <c r="CH38" s="6">
        <f t="shared" si="13"/>
        <v>352</v>
      </c>
      <c r="CI38" s="6">
        <v>259</v>
      </c>
      <c r="CJ38" s="6">
        <v>1560</v>
      </c>
      <c r="CK38" s="6">
        <f t="shared" si="14"/>
        <v>382</v>
      </c>
      <c r="CL38" s="6">
        <v>640</v>
      </c>
      <c r="CM38" s="6"/>
      <c r="CN38" s="6">
        <f t="shared" si="15"/>
        <v>381</v>
      </c>
      <c r="CO38" s="6">
        <v>1016</v>
      </c>
      <c r="CP38" s="6"/>
      <c r="CQ38" s="6">
        <f t="shared" si="16"/>
        <v>376</v>
      </c>
      <c r="CR38" s="6">
        <v>1381</v>
      </c>
      <c r="CS38" s="6"/>
      <c r="CT38" s="6">
        <f t="shared" si="17"/>
        <v>365</v>
      </c>
      <c r="CU38" s="6"/>
      <c r="CV38" s="6"/>
      <c r="CW38" s="6"/>
      <c r="CX38" s="6">
        <v>0</v>
      </c>
      <c r="CY38" s="6">
        <v>1603</v>
      </c>
      <c r="CZ38" s="6">
        <f t="shared" si="18"/>
        <v>222</v>
      </c>
      <c r="DA38" s="6">
        <v>369</v>
      </c>
      <c r="DB38" s="6"/>
      <c r="DC38" s="6">
        <f t="shared" si="19"/>
        <v>369</v>
      </c>
      <c r="DD38" s="6">
        <v>761</v>
      </c>
      <c r="DE38" s="6"/>
      <c r="DF38" s="6">
        <f t="shared" si="20"/>
        <v>392</v>
      </c>
      <c r="DG38" s="6">
        <v>1140</v>
      </c>
      <c r="DH38" s="6"/>
      <c r="DI38" s="6">
        <f t="shared" si="21"/>
        <v>379</v>
      </c>
      <c r="DJ38" s="6">
        <v>1533</v>
      </c>
      <c r="DK38" s="6"/>
      <c r="DL38" s="6">
        <f t="shared" si="22"/>
        <v>393</v>
      </c>
      <c r="DM38" s="6">
        <v>332</v>
      </c>
      <c r="DN38" s="6">
        <v>1560</v>
      </c>
      <c r="DO38" s="6">
        <f t="shared" si="23"/>
        <v>359</v>
      </c>
    </row>
    <row r="39" spans="1:119">
      <c r="A39" s="6">
        <v>35</v>
      </c>
      <c r="B39" s="6">
        <v>988</v>
      </c>
      <c r="C39" s="6"/>
      <c r="D39" s="6">
        <v>217</v>
      </c>
      <c r="E39" s="33" t="s">
        <v>307</v>
      </c>
      <c r="F39" s="33" t="s">
        <v>307</v>
      </c>
      <c r="G39" s="33" t="s">
        <v>307</v>
      </c>
      <c r="H39" s="33" t="s">
        <v>307</v>
      </c>
      <c r="I39" s="33" t="s">
        <v>307</v>
      </c>
      <c r="J39" s="33" t="s">
        <v>307</v>
      </c>
      <c r="K39" s="33" t="s">
        <v>307</v>
      </c>
      <c r="L39" s="33" t="s">
        <v>307</v>
      </c>
      <c r="M39" s="33" t="s">
        <v>307</v>
      </c>
      <c r="N39" s="33" t="s">
        <v>307</v>
      </c>
      <c r="O39" s="33" t="s">
        <v>307</v>
      </c>
      <c r="P39" s="33" t="s">
        <v>307</v>
      </c>
      <c r="Q39" s="33" t="s">
        <v>307</v>
      </c>
      <c r="R39" s="33" t="s">
        <v>307</v>
      </c>
      <c r="S39" s="33" t="s">
        <v>307</v>
      </c>
      <c r="T39" s="33" t="s">
        <v>307</v>
      </c>
      <c r="U39" s="33" t="s">
        <v>307</v>
      </c>
      <c r="V39" s="33" t="s">
        <v>307</v>
      </c>
      <c r="W39" s="33" t="s">
        <v>307</v>
      </c>
      <c r="X39" s="148" t="s">
        <v>307</v>
      </c>
      <c r="Y39" s="33" t="s">
        <v>307</v>
      </c>
      <c r="Z39" s="33" t="s">
        <v>307</v>
      </c>
      <c r="AA39" s="33" t="s">
        <v>307</v>
      </c>
      <c r="AB39" s="33" t="s">
        <v>307</v>
      </c>
      <c r="AC39" s="33" t="s">
        <v>307</v>
      </c>
      <c r="AD39" s="6"/>
      <c r="AE39" s="6"/>
      <c r="AF39" s="35"/>
      <c r="AG39" s="6"/>
      <c r="AH39" s="6"/>
      <c r="AI39" s="35"/>
      <c r="AJ39" s="35"/>
      <c r="AK39" s="35"/>
      <c r="AL39" s="35"/>
      <c r="AM39" s="6">
        <v>1406</v>
      </c>
      <c r="AN39" s="6"/>
      <c r="AO39" s="35">
        <f t="shared" si="0"/>
        <v>418</v>
      </c>
      <c r="AP39" s="6">
        <v>242</v>
      </c>
      <c r="AQ39" s="6">
        <v>1560</v>
      </c>
      <c r="AR39" s="34">
        <f t="shared" si="1"/>
        <v>396</v>
      </c>
      <c r="AS39" s="35">
        <v>643</v>
      </c>
      <c r="AT39" s="35"/>
      <c r="AU39" s="35">
        <f t="shared" si="2"/>
        <v>401</v>
      </c>
      <c r="AV39" s="6">
        <v>334</v>
      </c>
      <c r="AW39" s="6">
        <v>696</v>
      </c>
      <c r="AX39" s="35">
        <f t="shared" si="3"/>
        <v>387</v>
      </c>
      <c r="AY39" s="6">
        <v>735</v>
      </c>
      <c r="AZ39" s="6"/>
      <c r="BA39" s="35">
        <f t="shared" si="4"/>
        <v>401</v>
      </c>
      <c r="BB39" s="35">
        <v>1123</v>
      </c>
      <c r="BC39" s="35"/>
      <c r="BD39" s="35">
        <f t="shared" si="5"/>
        <v>388</v>
      </c>
      <c r="BE39" s="6"/>
      <c r="BF39" s="6"/>
      <c r="BG39" s="35"/>
      <c r="BH39" s="6">
        <v>1524</v>
      </c>
      <c r="BI39" s="6"/>
      <c r="BJ39" s="35">
        <f t="shared" si="6"/>
        <v>401</v>
      </c>
      <c r="BK39" s="6">
        <v>359</v>
      </c>
      <c r="BL39" s="6">
        <v>1560</v>
      </c>
      <c r="BM39" s="6">
        <f t="shared" si="7"/>
        <v>395</v>
      </c>
      <c r="BN39" s="6">
        <v>755</v>
      </c>
      <c r="BO39" s="6"/>
      <c r="BP39" s="6">
        <f t="shared" si="8"/>
        <v>396</v>
      </c>
      <c r="BQ39" s="6">
        <v>15</v>
      </c>
      <c r="BR39" s="6">
        <v>1129</v>
      </c>
      <c r="BS39" s="35">
        <f t="shared" si="9"/>
        <v>389</v>
      </c>
      <c r="BT39" s="6">
        <v>203</v>
      </c>
      <c r="BU39" s="6">
        <f>162+15</f>
        <v>177</v>
      </c>
      <c r="BV39" s="6">
        <f t="shared" si="10"/>
        <v>365</v>
      </c>
      <c r="BW39" s="6">
        <v>578</v>
      </c>
      <c r="BX39" s="6"/>
      <c r="BY39" s="35">
        <f t="shared" si="11"/>
        <v>375</v>
      </c>
      <c r="BZ39" s="35"/>
      <c r="CA39" s="6"/>
      <c r="CB39" s="6"/>
      <c r="CC39" s="6">
        <v>981</v>
      </c>
      <c r="CD39" s="6"/>
      <c r="CE39" s="6">
        <f t="shared" si="12"/>
        <v>403</v>
      </c>
      <c r="CF39" s="6">
        <v>1376</v>
      </c>
      <c r="CG39" s="6"/>
      <c r="CH39" s="6">
        <f t="shared" si="13"/>
        <v>395</v>
      </c>
      <c r="CI39" s="6">
        <v>205</v>
      </c>
      <c r="CJ39" s="6">
        <v>1565</v>
      </c>
      <c r="CK39" s="6">
        <f t="shared" si="14"/>
        <v>394</v>
      </c>
      <c r="CL39" s="6">
        <v>373</v>
      </c>
      <c r="CM39" s="6">
        <v>212</v>
      </c>
      <c r="CN39" s="6">
        <f t="shared" si="15"/>
        <v>380</v>
      </c>
      <c r="CO39" s="6">
        <v>756</v>
      </c>
      <c r="CP39" s="6"/>
      <c r="CQ39" s="6">
        <f t="shared" si="16"/>
        <v>383</v>
      </c>
      <c r="CR39" s="6">
        <v>0</v>
      </c>
      <c r="CS39" s="6">
        <v>960</v>
      </c>
      <c r="CT39" s="6">
        <f t="shared" si="17"/>
        <v>204</v>
      </c>
      <c r="CU39" s="6"/>
      <c r="CV39" s="6"/>
      <c r="CW39" s="6"/>
      <c r="CX39" s="6">
        <v>381</v>
      </c>
      <c r="CY39" s="6"/>
      <c r="CZ39" s="6">
        <f t="shared" si="18"/>
        <v>381</v>
      </c>
      <c r="DA39" s="6">
        <v>771</v>
      </c>
      <c r="DB39" s="6"/>
      <c r="DC39" s="6">
        <f t="shared" si="19"/>
        <v>390</v>
      </c>
      <c r="DD39" s="6">
        <v>1112</v>
      </c>
      <c r="DE39" s="6"/>
      <c r="DF39" s="6">
        <f t="shared" si="20"/>
        <v>341</v>
      </c>
      <c r="DG39" s="6">
        <v>217</v>
      </c>
      <c r="DH39" s="6">
        <v>1146</v>
      </c>
      <c r="DI39" s="6">
        <f t="shared" si="21"/>
        <v>251</v>
      </c>
      <c r="DJ39" s="6">
        <v>126</v>
      </c>
      <c r="DK39" s="6">
        <v>459</v>
      </c>
      <c r="DL39" s="6">
        <f t="shared" si="22"/>
        <v>368</v>
      </c>
      <c r="DM39" s="6">
        <v>458</v>
      </c>
      <c r="DN39" s="6"/>
      <c r="DO39" s="6">
        <f t="shared" si="23"/>
        <v>332</v>
      </c>
    </row>
    <row r="40" spans="1:119" ht="14.25" customHeight="1">
      <c r="A40" s="6">
        <v>36</v>
      </c>
      <c r="B40" s="6">
        <v>1368</v>
      </c>
      <c r="C40" s="6"/>
      <c r="D40" s="6">
        <v>205</v>
      </c>
      <c r="E40" s="33" t="s">
        <v>37</v>
      </c>
      <c r="F40" s="33" t="s">
        <v>37</v>
      </c>
      <c r="G40" s="33" t="s">
        <v>37</v>
      </c>
      <c r="H40" s="33" t="s">
        <v>37</v>
      </c>
      <c r="I40" s="33" t="s">
        <v>37</v>
      </c>
      <c r="J40" s="33" t="s">
        <v>37</v>
      </c>
      <c r="K40" s="33" t="s">
        <v>37</v>
      </c>
      <c r="L40" s="33" t="s">
        <v>37</v>
      </c>
      <c r="M40" s="33" t="s">
        <v>37</v>
      </c>
      <c r="N40" s="33" t="s">
        <v>37</v>
      </c>
      <c r="O40" s="33" t="s">
        <v>37</v>
      </c>
      <c r="P40" s="33" t="s">
        <v>37</v>
      </c>
      <c r="Q40" s="33" t="s">
        <v>37</v>
      </c>
      <c r="R40" s="33" t="s">
        <v>37</v>
      </c>
      <c r="S40" s="33" t="s">
        <v>37</v>
      </c>
      <c r="T40" s="148" t="s">
        <v>37</v>
      </c>
      <c r="U40" s="33" t="s">
        <v>37</v>
      </c>
      <c r="V40" s="33" t="s">
        <v>37</v>
      </c>
      <c r="W40" s="33" t="s">
        <v>37</v>
      </c>
      <c r="X40" s="33" t="s">
        <v>37</v>
      </c>
      <c r="Y40" s="33" t="s">
        <v>37</v>
      </c>
      <c r="Z40" s="33" t="s">
        <v>37</v>
      </c>
      <c r="AA40" s="33" t="s">
        <v>37</v>
      </c>
      <c r="AB40" s="33" t="s">
        <v>37</v>
      </c>
      <c r="AC40" s="33" t="s">
        <v>37</v>
      </c>
      <c r="AD40" s="6"/>
      <c r="AE40" s="6"/>
      <c r="AF40" s="35"/>
      <c r="AG40" s="6"/>
      <c r="AH40" s="6"/>
      <c r="AI40" s="35"/>
      <c r="AJ40" s="35"/>
      <c r="AK40" s="35"/>
      <c r="AL40" s="35"/>
      <c r="AM40" s="6">
        <v>365</v>
      </c>
      <c r="AN40" s="6">
        <v>1368</v>
      </c>
      <c r="AO40" s="35">
        <f t="shared" si="0"/>
        <v>365</v>
      </c>
      <c r="AP40" s="6">
        <v>737</v>
      </c>
      <c r="AQ40" s="6"/>
      <c r="AR40" s="34">
        <f t="shared" si="1"/>
        <v>372</v>
      </c>
      <c r="AS40" s="35">
        <v>1115</v>
      </c>
      <c r="AT40" s="35"/>
      <c r="AU40" s="35">
        <f t="shared" si="2"/>
        <v>378</v>
      </c>
      <c r="AV40" s="6">
        <v>1489</v>
      </c>
      <c r="AW40" s="6"/>
      <c r="AX40" s="35">
        <f t="shared" si="3"/>
        <v>374</v>
      </c>
      <c r="AY40" s="6">
        <v>312</v>
      </c>
      <c r="AZ40" s="6">
        <v>1560</v>
      </c>
      <c r="BA40" s="35">
        <f t="shared" si="4"/>
        <v>383</v>
      </c>
      <c r="BB40" s="35">
        <v>84</v>
      </c>
      <c r="BC40" s="35">
        <f>381+178</f>
        <v>559</v>
      </c>
      <c r="BD40" s="35">
        <f t="shared" si="5"/>
        <v>331</v>
      </c>
      <c r="BE40" s="6"/>
      <c r="BF40" s="6"/>
      <c r="BG40" s="35"/>
      <c r="BH40" s="6">
        <v>191</v>
      </c>
      <c r="BI40" s="6">
        <v>283</v>
      </c>
      <c r="BJ40" s="35">
        <f t="shared" si="6"/>
        <v>390</v>
      </c>
      <c r="BK40" s="6">
        <v>559</v>
      </c>
      <c r="BL40" s="6"/>
      <c r="BM40" s="6">
        <f t="shared" si="7"/>
        <v>368</v>
      </c>
      <c r="BN40" s="6">
        <v>931</v>
      </c>
      <c r="BO40" s="6"/>
      <c r="BP40" s="6">
        <f t="shared" si="8"/>
        <v>372</v>
      </c>
      <c r="BQ40" s="6">
        <v>1301</v>
      </c>
      <c r="BR40" s="6"/>
      <c r="BS40" s="35">
        <f t="shared" si="9"/>
        <v>370</v>
      </c>
      <c r="BT40" s="6">
        <v>132</v>
      </c>
      <c r="BU40" s="6">
        <v>1550</v>
      </c>
      <c r="BV40" s="6">
        <f t="shared" si="10"/>
        <v>381</v>
      </c>
      <c r="BW40" s="6">
        <v>480</v>
      </c>
      <c r="BX40" s="6"/>
      <c r="BY40" s="35">
        <f t="shared" si="11"/>
        <v>348</v>
      </c>
      <c r="BZ40" s="6"/>
      <c r="CA40" s="6"/>
      <c r="CB40" s="6"/>
      <c r="CC40" s="6">
        <v>860</v>
      </c>
      <c r="CD40" s="6"/>
      <c r="CE40" s="6">
        <f t="shared" si="12"/>
        <v>380</v>
      </c>
      <c r="CF40" s="6">
        <v>0</v>
      </c>
      <c r="CG40" s="6">
        <v>1023</v>
      </c>
      <c r="CH40" s="6">
        <f t="shared" si="13"/>
        <v>163</v>
      </c>
      <c r="CI40" s="6">
        <v>369</v>
      </c>
      <c r="CJ40" s="6"/>
      <c r="CK40" s="6">
        <f t="shared" si="14"/>
        <v>369</v>
      </c>
      <c r="CL40" s="6">
        <v>750</v>
      </c>
      <c r="CM40" s="6"/>
      <c r="CN40" s="6">
        <f t="shared" si="15"/>
        <v>381</v>
      </c>
      <c r="CO40" s="6">
        <v>1133</v>
      </c>
      <c r="CP40" s="6"/>
      <c r="CQ40" s="6">
        <f t="shared" si="16"/>
        <v>383</v>
      </c>
      <c r="CR40" s="6">
        <v>1490</v>
      </c>
      <c r="CS40" s="6"/>
      <c r="CT40" s="6">
        <f t="shared" si="17"/>
        <v>357</v>
      </c>
      <c r="CU40" s="6"/>
      <c r="CV40" s="6"/>
      <c r="CW40" s="6"/>
      <c r="CX40" s="6">
        <v>293</v>
      </c>
      <c r="CY40" s="6">
        <v>1560</v>
      </c>
      <c r="CZ40" s="6">
        <f t="shared" si="18"/>
        <v>363</v>
      </c>
      <c r="DA40" s="6">
        <v>656</v>
      </c>
      <c r="DB40" s="6"/>
      <c r="DC40" s="6">
        <f t="shared" si="19"/>
        <v>363</v>
      </c>
      <c r="DD40" s="6">
        <v>64</v>
      </c>
      <c r="DE40" s="6">
        <f>742+65</f>
        <v>807</v>
      </c>
      <c r="DF40" s="6">
        <f t="shared" si="20"/>
        <v>215</v>
      </c>
      <c r="DG40" s="6">
        <v>373</v>
      </c>
      <c r="DH40" s="6"/>
      <c r="DI40" s="6">
        <f t="shared" si="21"/>
        <v>309</v>
      </c>
      <c r="DJ40" s="6">
        <v>756</v>
      </c>
      <c r="DK40" s="6"/>
      <c r="DL40" s="6">
        <f t="shared" si="22"/>
        <v>383</v>
      </c>
      <c r="DM40" s="6">
        <v>1098</v>
      </c>
      <c r="DN40" s="6"/>
      <c r="DO40" s="6">
        <f t="shared" si="23"/>
        <v>342</v>
      </c>
    </row>
    <row r="41" spans="1:119">
      <c r="A41" s="6">
        <v>37</v>
      </c>
      <c r="B41" s="6">
        <v>935</v>
      </c>
      <c r="C41" s="6"/>
      <c r="D41" s="6">
        <v>215</v>
      </c>
      <c r="E41" s="33" t="s">
        <v>307</v>
      </c>
      <c r="F41" s="33" t="s">
        <v>307</v>
      </c>
      <c r="G41" s="33" t="s">
        <v>307</v>
      </c>
      <c r="H41" s="33" t="s">
        <v>307</v>
      </c>
      <c r="I41" s="33" t="s">
        <v>307</v>
      </c>
      <c r="J41" s="33" t="s">
        <v>307</v>
      </c>
      <c r="K41" s="33" t="s">
        <v>307</v>
      </c>
      <c r="L41" s="33" t="s">
        <v>307</v>
      </c>
      <c r="M41" s="33" t="s">
        <v>307</v>
      </c>
      <c r="N41" s="33" t="s">
        <v>307</v>
      </c>
      <c r="O41" s="33" t="s">
        <v>307</v>
      </c>
      <c r="P41" s="33" t="s">
        <v>307</v>
      </c>
      <c r="Q41" s="33" t="s">
        <v>307</v>
      </c>
      <c r="R41" s="33" t="s">
        <v>307</v>
      </c>
      <c r="S41" s="33" t="s">
        <v>307</v>
      </c>
      <c r="T41" s="148" t="s">
        <v>307</v>
      </c>
      <c r="U41" s="33" t="s">
        <v>307</v>
      </c>
      <c r="V41" s="33" t="s">
        <v>307</v>
      </c>
      <c r="W41" s="33" t="s">
        <v>307</v>
      </c>
      <c r="X41" s="33" t="s">
        <v>307</v>
      </c>
      <c r="Y41" s="33" t="s">
        <v>307</v>
      </c>
      <c r="Z41" s="33" t="s">
        <v>307</v>
      </c>
      <c r="AA41" s="33" t="s">
        <v>307</v>
      </c>
      <c r="AB41" s="33" t="s">
        <v>307</v>
      </c>
      <c r="AC41" s="33" t="s">
        <v>307</v>
      </c>
      <c r="AD41" s="6"/>
      <c r="AE41" s="6"/>
      <c r="AF41" s="35"/>
      <c r="AG41" s="6"/>
      <c r="AH41" s="6"/>
      <c r="AI41" s="35"/>
      <c r="AJ41" s="35"/>
      <c r="AK41" s="35"/>
      <c r="AL41" s="35"/>
      <c r="AM41" s="6">
        <v>1319</v>
      </c>
      <c r="AN41" s="6"/>
      <c r="AO41" s="35">
        <f t="shared" si="0"/>
        <v>384</v>
      </c>
      <c r="AP41" s="6">
        <v>137</v>
      </c>
      <c r="AQ41" s="6">
        <v>1560</v>
      </c>
      <c r="AR41" s="34">
        <f t="shared" si="1"/>
        <v>378</v>
      </c>
      <c r="AS41" s="35">
        <v>534</v>
      </c>
      <c r="AT41" s="35"/>
      <c r="AU41" s="35">
        <f t="shared" si="2"/>
        <v>397</v>
      </c>
      <c r="AV41" s="6">
        <v>935</v>
      </c>
      <c r="AW41" s="6"/>
      <c r="AX41" s="35">
        <f t="shared" si="3"/>
        <v>401</v>
      </c>
      <c r="AY41" s="6">
        <v>1307</v>
      </c>
      <c r="AZ41" s="6"/>
      <c r="BA41" s="35">
        <f t="shared" si="4"/>
        <v>372</v>
      </c>
      <c r="BB41" s="35">
        <v>112</v>
      </c>
      <c r="BC41" s="35">
        <v>1560</v>
      </c>
      <c r="BD41" s="35">
        <f t="shared" si="5"/>
        <v>365</v>
      </c>
      <c r="BE41" s="6"/>
      <c r="BF41" s="6"/>
      <c r="BG41" s="35"/>
      <c r="BH41" s="6">
        <v>514</v>
      </c>
      <c r="BI41" s="6"/>
      <c r="BJ41" s="35">
        <f t="shared" si="6"/>
        <v>402</v>
      </c>
      <c r="BK41" s="6">
        <v>898</v>
      </c>
      <c r="BL41" s="6"/>
      <c r="BM41" s="6">
        <f t="shared" si="7"/>
        <v>384</v>
      </c>
      <c r="BN41" s="6">
        <v>1299</v>
      </c>
      <c r="BO41" s="6"/>
      <c r="BP41" s="6">
        <f t="shared" si="8"/>
        <v>401</v>
      </c>
      <c r="BQ41" s="6">
        <v>136</v>
      </c>
      <c r="BR41" s="6">
        <v>1560</v>
      </c>
      <c r="BS41" s="35">
        <f t="shared" si="9"/>
        <v>397</v>
      </c>
      <c r="BT41" s="6">
        <v>530</v>
      </c>
      <c r="BU41" s="6"/>
      <c r="BV41" s="6">
        <f t="shared" si="10"/>
        <v>394</v>
      </c>
      <c r="BW41" s="6">
        <v>896</v>
      </c>
      <c r="BX41" s="6"/>
      <c r="BY41" s="35">
        <f t="shared" si="11"/>
        <v>366</v>
      </c>
      <c r="BZ41" s="6"/>
      <c r="CA41" s="6"/>
      <c r="CB41" s="6"/>
      <c r="CC41" s="6">
        <v>1288</v>
      </c>
      <c r="CD41" s="6"/>
      <c r="CE41" s="6">
        <f t="shared" si="12"/>
        <v>392</v>
      </c>
      <c r="CF41" s="6">
        <v>0</v>
      </c>
      <c r="CG41" s="6">
        <v>1640</v>
      </c>
      <c r="CH41" s="6">
        <f t="shared" si="13"/>
        <v>352</v>
      </c>
      <c r="CI41" s="6">
        <v>364</v>
      </c>
      <c r="CJ41" s="6"/>
      <c r="CK41" s="6">
        <f t="shared" si="14"/>
        <v>364</v>
      </c>
      <c r="CL41" s="6">
        <v>745</v>
      </c>
      <c r="CM41" s="6"/>
      <c r="CN41" s="6">
        <f t="shared" si="15"/>
        <v>381</v>
      </c>
      <c r="CO41" s="6">
        <v>1121</v>
      </c>
      <c r="CP41" s="6"/>
      <c r="CQ41" s="6">
        <f t="shared" si="16"/>
        <v>376</v>
      </c>
      <c r="CR41" s="6">
        <v>1487</v>
      </c>
      <c r="CS41" s="6"/>
      <c r="CT41" s="6">
        <f t="shared" si="17"/>
        <v>366</v>
      </c>
      <c r="CU41" s="6"/>
      <c r="CV41" s="6"/>
      <c r="CW41" s="6"/>
      <c r="CX41" s="6">
        <v>318</v>
      </c>
      <c r="CY41" s="6">
        <v>1560</v>
      </c>
      <c r="CZ41" s="6">
        <f t="shared" si="18"/>
        <v>391</v>
      </c>
      <c r="DA41" s="6">
        <v>680</v>
      </c>
      <c r="DB41" s="6"/>
      <c r="DC41" s="6">
        <f t="shared" si="19"/>
        <v>362</v>
      </c>
      <c r="DD41" s="6">
        <v>1062</v>
      </c>
      <c r="DE41" s="6"/>
      <c r="DF41" s="6">
        <f t="shared" si="20"/>
        <v>382</v>
      </c>
      <c r="DG41" s="6">
        <v>1455</v>
      </c>
      <c r="DH41" s="6"/>
      <c r="DI41" s="6">
        <f t="shared" si="21"/>
        <v>393</v>
      </c>
      <c r="DJ41" s="6">
        <v>288</v>
      </c>
      <c r="DK41" s="6">
        <v>1560</v>
      </c>
      <c r="DL41" s="6">
        <f t="shared" si="22"/>
        <v>393</v>
      </c>
      <c r="DM41" s="6">
        <v>643</v>
      </c>
      <c r="DN41" s="6"/>
      <c r="DO41" s="6">
        <f t="shared" si="23"/>
        <v>355</v>
      </c>
    </row>
    <row r="42" spans="1:119">
      <c r="A42" s="6">
        <v>38</v>
      </c>
      <c r="B42" s="6">
        <v>203</v>
      </c>
      <c r="C42" s="6">
        <v>1071</v>
      </c>
      <c r="D42" s="6">
        <v>204</v>
      </c>
      <c r="E42" s="33" t="s">
        <v>37</v>
      </c>
      <c r="F42" s="33" t="s">
        <v>37</v>
      </c>
      <c r="G42" s="33" t="s">
        <v>37</v>
      </c>
      <c r="H42" s="33" t="s">
        <v>37</v>
      </c>
      <c r="I42" s="33" t="s">
        <v>37</v>
      </c>
      <c r="J42" s="33" t="s">
        <v>37</v>
      </c>
      <c r="K42" s="33" t="s">
        <v>37</v>
      </c>
      <c r="L42" s="33" t="s">
        <v>37</v>
      </c>
      <c r="M42" s="33" t="s">
        <v>37</v>
      </c>
      <c r="N42" s="33" t="s">
        <v>37</v>
      </c>
      <c r="O42" s="33" t="s">
        <v>37</v>
      </c>
      <c r="P42" s="33" t="s">
        <v>37</v>
      </c>
      <c r="Q42" s="33" t="s">
        <v>37</v>
      </c>
      <c r="R42" s="33" t="s">
        <v>37</v>
      </c>
      <c r="S42" s="33" t="s">
        <v>37</v>
      </c>
      <c r="T42" s="33" t="s">
        <v>37</v>
      </c>
      <c r="U42" s="33" t="s">
        <v>37</v>
      </c>
      <c r="V42" s="33" t="s">
        <v>37</v>
      </c>
      <c r="W42" s="33" t="s">
        <v>37</v>
      </c>
      <c r="X42" s="148" t="s">
        <v>307</v>
      </c>
      <c r="Y42" s="33" t="s">
        <v>307</v>
      </c>
      <c r="Z42" s="33" t="s">
        <v>307</v>
      </c>
      <c r="AA42" s="33" t="s">
        <v>307</v>
      </c>
      <c r="AB42" s="33" t="s">
        <v>307</v>
      </c>
      <c r="AC42" s="33" t="s">
        <v>307</v>
      </c>
      <c r="AD42" s="6"/>
      <c r="AE42" s="6"/>
      <c r="AF42" s="35"/>
      <c r="AG42" s="6"/>
      <c r="AH42" s="6"/>
      <c r="AI42" s="35"/>
      <c r="AJ42" s="35"/>
      <c r="AK42" s="35"/>
      <c r="AL42" s="35"/>
      <c r="AM42" s="6">
        <v>607</v>
      </c>
      <c r="AN42" s="6"/>
      <c r="AO42" s="35">
        <f t="shared" si="0"/>
        <v>404</v>
      </c>
      <c r="AP42" s="6">
        <v>984</v>
      </c>
      <c r="AQ42" s="6"/>
      <c r="AR42" s="34">
        <f t="shared" si="1"/>
        <v>377</v>
      </c>
      <c r="AS42" s="35">
        <v>1358</v>
      </c>
      <c r="AT42" s="35"/>
      <c r="AU42" s="35">
        <f t="shared" si="2"/>
        <v>374</v>
      </c>
      <c r="AV42" s="6">
        <v>174</v>
      </c>
      <c r="AW42" s="6">
        <v>1560</v>
      </c>
      <c r="AX42" s="35">
        <f t="shared" si="3"/>
        <v>376</v>
      </c>
      <c r="AY42" s="6">
        <v>554</v>
      </c>
      <c r="AZ42" s="6"/>
      <c r="BA42" s="35">
        <f t="shared" si="4"/>
        <v>380</v>
      </c>
      <c r="BB42" s="35">
        <v>923</v>
      </c>
      <c r="BC42" s="35"/>
      <c r="BD42" s="35">
        <f t="shared" si="5"/>
        <v>369</v>
      </c>
      <c r="BE42" s="6"/>
      <c r="BF42" s="6"/>
      <c r="BG42" s="35"/>
      <c r="BH42" s="6">
        <v>1306</v>
      </c>
      <c r="BI42" s="6"/>
      <c r="BJ42" s="35">
        <f t="shared" si="6"/>
        <v>383</v>
      </c>
      <c r="BK42" s="6">
        <v>122</v>
      </c>
      <c r="BL42" s="6">
        <v>1560</v>
      </c>
      <c r="BM42" s="6">
        <f t="shared" si="7"/>
        <v>376</v>
      </c>
      <c r="BN42" s="6">
        <v>502</v>
      </c>
      <c r="BO42" s="6"/>
      <c r="BP42" s="6">
        <f t="shared" si="8"/>
        <v>380</v>
      </c>
      <c r="BQ42" s="6">
        <v>878</v>
      </c>
      <c r="BR42" s="6"/>
      <c r="BS42" s="35">
        <f t="shared" si="9"/>
        <v>376</v>
      </c>
      <c r="BT42" s="6">
        <v>1255</v>
      </c>
      <c r="BU42" s="6"/>
      <c r="BV42" s="6">
        <f t="shared" si="10"/>
        <v>377</v>
      </c>
      <c r="BW42" s="6">
        <v>53</v>
      </c>
      <c r="BX42" s="6">
        <v>1560</v>
      </c>
      <c r="BY42" s="35">
        <f t="shared" si="11"/>
        <v>358</v>
      </c>
      <c r="BZ42" s="35"/>
      <c r="CA42" s="6"/>
      <c r="CB42" s="6"/>
      <c r="CC42" s="6">
        <v>440</v>
      </c>
      <c r="CD42" s="6"/>
      <c r="CE42" s="6">
        <f t="shared" si="12"/>
        <v>387</v>
      </c>
      <c r="CF42" s="6">
        <v>807</v>
      </c>
      <c r="CG42" s="6"/>
      <c r="CH42" s="6">
        <f t="shared" si="13"/>
        <v>367</v>
      </c>
      <c r="CI42" s="6">
        <v>1201</v>
      </c>
      <c r="CJ42" s="6"/>
      <c r="CK42" s="6">
        <f t="shared" si="14"/>
        <v>394</v>
      </c>
      <c r="CL42" s="6">
        <v>18</v>
      </c>
      <c r="CM42" s="6">
        <v>1560</v>
      </c>
      <c r="CN42" s="6">
        <f t="shared" si="15"/>
        <v>377</v>
      </c>
      <c r="CO42" s="6">
        <v>395</v>
      </c>
      <c r="CP42" s="6"/>
      <c r="CQ42" s="6">
        <f t="shared" si="16"/>
        <v>377</v>
      </c>
      <c r="CR42" s="6">
        <v>0</v>
      </c>
      <c r="CS42" s="6">
        <v>561</v>
      </c>
      <c r="CT42" s="6">
        <f t="shared" si="17"/>
        <v>166</v>
      </c>
      <c r="CU42" s="6"/>
      <c r="CV42" s="6"/>
      <c r="CW42" s="6"/>
      <c r="CX42" s="6">
        <v>365</v>
      </c>
      <c r="CY42" s="6"/>
      <c r="CZ42" s="6">
        <f t="shared" si="18"/>
        <v>365</v>
      </c>
      <c r="DA42" s="6">
        <v>750</v>
      </c>
      <c r="DB42" s="6"/>
      <c r="DC42" s="6">
        <f t="shared" si="19"/>
        <v>385</v>
      </c>
      <c r="DD42" s="6">
        <v>1138</v>
      </c>
      <c r="DE42" s="6"/>
      <c r="DF42" s="6">
        <f t="shared" si="20"/>
        <v>388</v>
      </c>
      <c r="DG42" s="6">
        <v>1529</v>
      </c>
      <c r="DH42" s="6"/>
      <c r="DI42" s="6">
        <f t="shared" si="21"/>
        <v>391</v>
      </c>
      <c r="DJ42" s="6">
        <v>357</v>
      </c>
      <c r="DK42" s="6">
        <v>1560</v>
      </c>
      <c r="DL42" s="6">
        <f t="shared" si="22"/>
        <v>388</v>
      </c>
      <c r="DM42" s="6">
        <v>694</v>
      </c>
      <c r="DN42" s="6"/>
      <c r="DO42" s="6">
        <f t="shared" si="23"/>
        <v>337</v>
      </c>
    </row>
    <row r="43" spans="1:119">
      <c r="A43" s="6">
        <v>39</v>
      </c>
      <c r="B43" s="6">
        <v>1531</v>
      </c>
      <c r="C43" s="6"/>
      <c r="D43" s="6">
        <v>215</v>
      </c>
      <c r="E43" s="33" t="s">
        <v>307</v>
      </c>
      <c r="F43" s="33" t="s">
        <v>307</v>
      </c>
      <c r="G43" s="33" t="s">
        <v>307</v>
      </c>
      <c r="H43" s="33" t="s">
        <v>307</v>
      </c>
      <c r="I43" s="33" t="s">
        <v>307</v>
      </c>
      <c r="J43" s="33" t="s">
        <v>307</v>
      </c>
      <c r="K43" s="33" t="s">
        <v>307</v>
      </c>
      <c r="L43" s="33" t="s">
        <v>307</v>
      </c>
      <c r="M43" s="33" t="s">
        <v>307</v>
      </c>
      <c r="N43" s="33" t="s">
        <v>307</v>
      </c>
      <c r="O43" s="33" t="s">
        <v>307</v>
      </c>
      <c r="P43" s="33" t="s">
        <v>307</v>
      </c>
      <c r="Q43" s="33" t="s">
        <v>307</v>
      </c>
      <c r="R43" s="33" t="s">
        <v>307</v>
      </c>
      <c r="S43" s="33" t="s">
        <v>307</v>
      </c>
      <c r="T43" s="33" t="s">
        <v>307</v>
      </c>
      <c r="U43" s="148" t="s">
        <v>307</v>
      </c>
      <c r="V43" s="33" t="s">
        <v>307</v>
      </c>
      <c r="W43" s="33" t="s">
        <v>307</v>
      </c>
      <c r="X43" s="33" t="s">
        <v>307</v>
      </c>
      <c r="Y43" s="33" t="s">
        <v>307</v>
      </c>
      <c r="Z43" s="33" t="s">
        <v>307</v>
      </c>
      <c r="AA43" s="33" t="s">
        <v>307</v>
      </c>
      <c r="AB43" s="33" t="s">
        <v>307</v>
      </c>
      <c r="AC43" s="33" t="s">
        <v>307</v>
      </c>
      <c r="AD43" s="6"/>
      <c r="AE43" s="6"/>
      <c r="AF43" s="35"/>
      <c r="AG43" s="6"/>
      <c r="AH43" s="6"/>
      <c r="AI43" s="35"/>
      <c r="AJ43" s="35"/>
      <c r="AK43" s="35"/>
      <c r="AL43" s="35"/>
      <c r="AM43" s="6">
        <v>375</v>
      </c>
      <c r="AN43" s="6">
        <v>1560</v>
      </c>
      <c r="AO43" s="35">
        <f t="shared" si="0"/>
        <v>404</v>
      </c>
      <c r="AP43" s="6">
        <v>754</v>
      </c>
      <c r="AQ43" s="6"/>
      <c r="AR43" s="34">
        <f t="shared" si="1"/>
        <v>379</v>
      </c>
      <c r="AS43" s="35">
        <v>1149</v>
      </c>
      <c r="AT43" s="35"/>
      <c r="AU43" s="35">
        <f t="shared" si="2"/>
        <v>395</v>
      </c>
      <c r="AV43" s="6">
        <v>1539</v>
      </c>
      <c r="AW43" s="6"/>
      <c r="AX43" s="35">
        <f t="shared" si="3"/>
        <v>390</v>
      </c>
      <c r="AY43" s="6">
        <v>376</v>
      </c>
      <c r="AZ43" s="6">
        <v>1560</v>
      </c>
      <c r="BA43" s="35">
        <f t="shared" si="4"/>
        <v>397</v>
      </c>
      <c r="BB43" s="35">
        <v>764</v>
      </c>
      <c r="BC43" s="35"/>
      <c r="BD43" s="35">
        <f t="shared" si="5"/>
        <v>388</v>
      </c>
      <c r="BE43" s="6"/>
      <c r="BF43" s="6"/>
      <c r="BG43" s="35"/>
      <c r="BH43" s="6">
        <v>1154</v>
      </c>
      <c r="BI43" s="6"/>
      <c r="BJ43" s="35">
        <f t="shared" si="6"/>
        <v>390</v>
      </c>
      <c r="BK43" s="6">
        <v>1546</v>
      </c>
      <c r="BL43" s="6"/>
      <c r="BM43" s="6">
        <f t="shared" si="7"/>
        <v>392</v>
      </c>
      <c r="BN43" s="6">
        <v>363</v>
      </c>
      <c r="BO43" s="6">
        <v>1560</v>
      </c>
      <c r="BP43" s="6">
        <f t="shared" si="8"/>
        <v>377</v>
      </c>
      <c r="BQ43" s="6">
        <v>757</v>
      </c>
      <c r="BR43" s="6"/>
      <c r="BS43" s="35">
        <f t="shared" si="9"/>
        <v>394</v>
      </c>
      <c r="BT43" s="6">
        <v>1151</v>
      </c>
      <c r="BU43" s="6"/>
      <c r="BV43" s="6">
        <f t="shared" si="10"/>
        <v>394</v>
      </c>
      <c r="BW43" s="6">
        <v>1521</v>
      </c>
      <c r="BX43" s="6"/>
      <c r="BY43" s="35">
        <f t="shared" si="11"/>
        <v>370</v>
      </c>
      <c r="BZ43" s="6"/>
      <c r="CA43" s="6"/>
      <c r="CB43" s="6"/>
      <c r="CC43" s="6">
        <v>353</v>
      </c>
      <c r="CD43" s="6">
        <v>1560</v>
      </c>
      <c r="CE43" s="6">
        <f t="shared" si="12"/>
        <v>392</v>
      </c>
      <c r="CF43" s="6">
        <v>732</v>
      </c>
      <c r="CG43" s="6"/>
      <c r="CH43" s="6">
        <f t="shared" si="13"/>
        <v>379</v>
      </c>
      <c r="CI43" s="6">
        <v>0</v>
      </c>
      <c r="CJ43" s="6">
        <v>954</v>
      </c>
      <c r="CK43" s="6">
        <f t="shared" si="14"/>
        <v>222</v>
      </c>
      <c r="CL43" s="6">
        <v>357</v>
      </c>
      <c r="CM43" s="6"/>
      <c r="CN43" s="6">
        <f t="shared" si="15"/>
        <v>357</v>
      </c>
      <c r="CO43" s="6">
        <v>740</v>
      </c>
      <c r="CP43" s="6"/>
      <c r="CQ43" s="6">
        <f t="shared" si="16"/>
        <v>383</v>
      </c>
      <c r="CR43" s="6">
        <v>1102</v>
      </c>
      <c r="CS43" s="6"/>
      <c r="CT43" s="6">
        <f t="shared" si="17"/>
        <v>362</v>
      </c>
      <c r="CU43" s="6"/>
      <c r="CV43" s="6"/>
      <c r="CW43" s="6"/>
      <c r="CX43" s="6">
        <v>1491</v>
      </c>
      <c r="CY43" s="6"/>
      <c r="CZ43" s="6">
        <f t="shared" si="18"/>
        <v>389</v>
      </c>
      <c r="DA43" s="6">
        <v>310</v>
      </c>
      <c r="DB43" s="6">
        <v>1560</v>
      </c>
      <c r="DC43" s="6">
        <f t="shared" si="19"/>
        <v>379</v>
      </c>
      <c r="DD43" s="6">
        <v>689</v>
      </c>
      <c r="DE43" s="6"/>
      <c r="DF43" s="6">
        <f t="shared" si="20"/>
        <v>379</v>
      </c>
      <c r="DG43" s="6">
        <v>1070</v>
      </c>
      <c r="DH43" s="6"/>
      <c r="DI43" s="6">
        <f t="shared" si="21"/>
        <v>381</v>
      </c>
      <c r="DJ43" s="6">
        <v>1461</v>
      </c>
      <c r="DK43" s="6"/>
      <c r="DL43" s="6">
        <f t="shared" si="22"/>
        <v>391</v>
      </c>
      <c r="DM43" s="6">
        <v>252</v>
      </c>
      <c r="DN43" s="6">
        <v>1560</v>
      </c>
      <c r="DO43" s="6">
        <f t="shared" si="23"/>
        <v>351</v>
      </c>
    </row>
    <row r="44" spans="1:119">
      <c r="A44" s="6">
        <v>40</v>
      </c>
      <c r="B44" s="6">
        <v>1161</v>
      </c>
      <c r="C44" s="6"/>
      <c r="D44" s="6">
        <v>206</v>
      </c>
      <c r="E44" s="255" t="s">
        <v>128</v>
      </c>
      <c r="F44" s="255" t="s">
        <v>128</v>
      </c>
      <c r="G44" s="289" t="s">
        <v>37</v>
      </c>
      <c r="H44" s="290" t="s">
        <v>37</v>
      </c>
      <c r="I44" s="290" t="s">
        <v>37</v>
      </c>
      <c r="J44" s="290" t="s">
        <v>37</v>
      </c>
      <c r="K44" s="290" t="s">
        <v>37</v>
      </c>
      <c r="L44" s="290" t="s">
        <v>37</v>
      </c>
      <c r="M44" s="290" t="s">
        <v>37</v>
      </c>
      <c r="N44" s="290" t="s">
        <v>37</v>
      </c>
      <c r="O44" s="290" t="s">
        <v>37</v>
      </c>
      <c r="P44" s="290" t="s">
        <v>37</v>
      </c>
      <c r="Q44" s="290" t="s">
        <v>37</v>
      </c>
      <c r="R44" s="290" t="s">
        <v>37</v>
      </c>
      <c r="S44" s="290" t="s">
        <v>37</v>
      </c>
      <c r="T44" s="290" t="s">
        <v>37</v>
      </c>
      <c r="U44" s="290" t="s">
        <v>37</v>
      </c>
      <c r="V44" s="290" t="s">
        <v>37</v>
      </c>
      <c r="W44" s="290" t="s">
        <v>37</v>
      </c>
      <c r="X44" s="290" t="s">
        <v>37</v>
      </c>
      <c r="Y44" s="290" t="s">
        <v>37</v>
      </c>
      <c r="Z44" s="290" t="s">
        <v>37</v>
      </c>
      <c r="AA44" s="290" t="s">
        <v>37</v>
      </c>
      <c r="AB44" s="290" t="s">
        <v>37</v>
      </c>
      <c r="AC44" s="289" t="s">
        <v>37</v>
      </c>
      <c r="AD44" s="6"/>
      <c r="AE44" s="6"/>
      <c r="AF44" s="35"/>
      <c r="AG44" s="6"/>
      <c r="AH44" s="6"/>
      <c r="AI44" s="35"/>
      <c r="AJ44" s="35"/>
      <c r="AK44" s="35"/>
      <c r="AL44" s="35"/>
      <c r="AM44" s="6">
        <v>0</v>
      </c>
      <c r="AN44" s="6">
        <v>1301</v>
      </c>
      <c r="AO44" s="35">
        <f t="shared" si="0"/>
        <v>140</v>
      </c>
      <c r="AP44" s="6">
        <v>364</v>
      </c>
      <c r="AQ44" s="6"/>
      <c r="AR44" s="34">
        <f t="shared" si="1"/>
        <v>364</v>
      </c>
      <c r="AS44" s="35">
        <v>735</v>
      </c>
      <c r="AT44" s="35"/>
      <c r="AU44" s="35">
        <f t="shared" si="2"/>
        <v>371</v>
      </c>
      <c r="AV44" s="6">
        <v>1121</v>
      </c>
      <c r="AW44" s="6"/>
      <c r="AX44" s="35">
        <f t="shared" si="3"/>
        <v>386</v>
      </c>
      <c r="AY44" s="6">
        <v>1501</v>
      </c>
      <c r="AZ44" s="6"/>
      <c r="BA44" s="35">
        <f t="shared" si="4"/>
        <v>380</v>
      </c>
      <c r="BB44" s="35">
        <v>308</v>
      </c>
      <c r="BC44" s="35">
        <v>1560</v>
      </c>
      <c r="BD44" s="35">
        <f t="shared" si="5"/>
        <v>367</v>
      </c>
      <c r="BE44" s="6"/>
      <c r="BF44" s="6"/>
      <c r="BG44" s="35"/>
      <c r="BH44" s="6">
        <v>702</v>
      </c>
      <c r="BI44" s="6"/>
      <c r="BJ44" s="35">
        <f t="shared" si="6"/>
        <v>394</v>
      </c>
      <c r="BK44" s="6">
        <v>1085</v>
      </c>
      <c r="BL44" s="6"/>
      <c r="BM44" s="6">
        <f t="shared" si="7"/>
        <v>383</v>
      </c>
      <c r="BN44" s="6">
        <v>1460</v>
      </c>
      <c r="BO44" s="6"/>
      <c r="BP44" s="6">
        <f t="shared" si="8"/>
        <v>375</v>
      </c>
      <c r="BQ44" s="6">
        <v>275</v>
      </c>
      <c r="BR44" s="6">
        <v>1560</v>
      </c>
      <c r="BS44" s="35">
        <f t="shared" si="9"/>
        <v>375</v>
      </c>
      <c r="BT44" s="6">
        <v>632</v>
      </c>
      <c r="BU44" s="6"/>
      <c r="BV44" s="6">
        <f t="shared" si="10"/>
        <v>357</v>
      </c>
      <c r="BW44" s="6">
        <v>970</v>
      </c>
      <c r="BX44" s="6"/>
      <c r="BY44" s="35">
        <f t="shared" si="11"/>
        <v>338</v>
      </c>
      <c r="BZ44" s="6"/>
      <c r="CA44" s="6"/>
      <c r="CB44" s="6"/>
      <c r="CC44" s="6">
        <v>1342</v>
      </c>
      <c r="CD44" s="6"/>
      <c r="CE44" s="6">
        <f t="shared" si="12"/>
        <v>372</v>
      </c>
      <c r="CF44" s="6">
        <v>153</v>
      </c>
      <c r="CG44" s="6">
        <v>1560</v>
      </c>
      <c r="CH44" s="6">
        <f t="shared" si="13"/>
        <v>371</v>
      </c>
      <c r="CI44" s="6">
        <v>531</v>
      </c>
      <c r="CJ44" s="6"/>
      <c r="CK44" s="6">
        <f t="shared" si="14"/>
        <v>378</v>
      </c>
      <c r="CL44" s="6">
        <v>894</v>
      </c>
      <c r="CM44" s="6"/>
      <c r="CN44" s="6">
        <f t="shared" si="15"/>
        <v>363</v>
      </c>
      <c r="CO44" s="6">
        <v>1239</v>
      </c>
      <c r="CP44" s="6"/>
      <c r="CQ44" s="6">
        <f t="shared" si="16"/>
        <v>345</v>
      </c>
      <c r="CR44" s="6">
        <v>27</v>
      </c>
      <c r="CS44" s="6">
        <v>1560</v>
      </c>
      <c r="CT44" s="6">
        <f t="shared" si="17"/>
        <v>348</v>
      </c>
      <c r="CU44" s="6"/>
      <c r="CV44" s="6"/>
      <c r="CW44" s="6"/>
      <c r="CX44" s="6">
        <v>399</v>
      </c>
      <c r="CY44" s="6"/>
      <c r="CZ44" s="6">
        <f t="shared" si="18"/>
        <v>372</v>
      </c>
      <c r="DA44" s="6">
        <v>766</v>
      </c>
      <c r="DB44" s="6"/>
      <c r="DC44" s="6">
        <f t="shared" si="19"/>
        <v>367</v>
      </c>
      <c r="DD44" s="6">
        <v>1119</v>
      </c>
      <c r="DE44" s="6"/>
      <c r="DF44" s="6">
        <f t="shared" si="20"/>
        <v>353</v>
      </c>
      <c r="DG44" s="6">
        <v>1482</v>
      </c>
      <c r="DH44" s="6"/>
      <c r="DI44" s="6">
        <f t="shared" si="21"/>
        <v>363</v>
      </c>
      <c r="DJ44" s="6">
        <v>0</v>
      </c>
      <c r="DK44" s="6">
        <v>1631</v>
      </c>
      <c r="DL44" s="6">
        <f t="shared" si="22"/>
        <v>149</v>
      </c>
      <c r="DM44" s="6">
        <v>302</v>
      </c>
      <c r="DN44" s="6"/>
      <c r="DO44" s="6">
        <f t="shared" si="23"/>
        <v>302</v>
      </c>
    </row>
    <row r="45" spans="1:119">
      <c r="A45" s="6">
        <v>41</v>
      </c>
      <c r="B45" s="6">
        <v>310</v>
      </c>
      <c r="C45" s="6"/>
      <c r="D45" s="6">
        <v>215</v>
      </c>
      <c r="E45" s="33" t="s">
        <v>128</v>
      </c>
      <c r="F45" s="33" t="s">
        <v>128</v>
      </c>
      <c r="G45" s="33" t="s">
        <v>128</v>
      </c>
      <c r="H45" s="33" t="s">
        <v>128</v>
      </c>
      <c r="I45" s="33" t="s">
        <v>128</v>
      </c>
      <c r="J45" s="33" t="s">
        <v>128</v>
      </c>
      <c r="K45" s="33" t="s">
        <v>128</v>
      </c>
      <c r="L45" s="33" t="s">
        <v>128</v>
      </c>
      <c r="M45" s="33" t="s">
        <v>128</v>
      </c>
      <c r="N45" s="148" t="s">
        <v>37</v>
      </c>
      <c r="O45" s="33" t="s">
        <v>37</v>
      </c>
      <c r="P45" s="33" t="s">
        <v>37</v>
      </c>
      <c r="Q45" s="33" t="s">
        <v>37</v>
      </c>
      <c r="R45" s="33" t="s">
        <v>37</v>
      </c>
      <c r="S45" s="33" t="s">
        <v>37</v>
      </c>
      <c r="T45" s="33" t="s">
        <v>37</v>
      </c>
      <c r="U45" s="33" t="s">
        <v>37</v>
      </c>
      <c r="V45" s="33" t="s">
        <v>37</v>
      </c>
      <c r="W45" s="33" t="s">
        <v>37</v>
      </c>
      <c r="X45" s="33" t="s">
        <v>37</v>
      </c>
      <c r="Y45" s="33" t="s">
        <v>37</v>
      </c>
      <c r="Z45" s="33" t="s">
        <v>37</v>
      </c>
      <c r="AA45" s="33" t="s">
        <v>37</v>
      </c>
      <c r="AB45" s="33" t="s">
        <v>37</v>
      </c>
      <c r="AC45" s="33" t="s">
        <v>37</v>
      </c>
      <c r="AD45" s="6"/>
      <c r="AE45" s="6"/>
      <c r="AF45" s="35"/>
      <c r="AG45" s="6"/>
      <c r="AH45" s="6"/>
      <c r="AI45" s="35"/>
      <c r="AJ45" s="35"/>
      <c r="AK45" s="35"/>
      <c r="AL45" s="35"/>
      <c r="AM45" s="6">
        <v>713</v>
      </c>
      <c r="AN45" s="6"/>
      <c r="AO45" s="35">
        <f t="shared" si="0"/>
        <v>403</v>
      </c>
      <c r="AP45" s="6">
        <v>1092</v>
      </c>
      <c r="AQ45" s="6"/>
      <c r="AR45" s="34">
        <f t="shared" si="1"/>
        <v>379</v>
      </c>
      <c r="AS45" s="35">
        <v>1477</v>
      </c>
      <c r="AT45" s="35"/>
      <c r="AU45" s="35">
        <f t="shared" si="2"/>
        <v>385</v>
      </c>
      <c r="AV45" s="6">
        <v>300</v>
      </c>
      <c r="AW45" s="6">
        <v>1560</v>
      </c>
      <c r="AX45" s="35">
        <f t="shared" si="3"/>
        <v>383</v>
      </c>
      <c r="AY45" s="6">
        <v>678</v>
      </c>
      <c r="AZ45" s="6"/>
      <c r="BA45" s="35">
        <f t="shared" si="4"/>
        <v>378</v>
      </c>
      <c r="BB45" s="35">
        <v>1049</v>
      </c>
      <c r="BC45" s="35"/>
      <c r="BD45" s="35">
        <f t="shared" si="5"/>
        <v>371</v>
      </c>
      <c r="BE45" s="6"/>
      <c r="BF45" s="6"/>
      <c r="BG45" s="35"/>
      <c r="BH45" s="6">
        <v>1434</v>
      </c>
      <c r="BI45" s="6"/>
      <c r="BJ45" s="35">
        <f t="shared" si="6"/>
        <v>385</v>
      </c>
      <c r="BK45" s="6">
        <v>0</v>
      </c>
      <c r="BL45" s="6">
        <v>1531</v>
      </c>
      <c r="BM45" s="6">
        <f t="shared" si="7"/>
        <v>97</v>
      </c>
      <c r="BN45" s="6">
        <v>322</v>
      </c>
      <c r="BO45" s="6"/>
      <c r="BP45" s="6">
        <f t="shared" si="8"/>
        <v>322</v>
      </c>
      <c r="BQ45" s="6">
        <v>292</v>
      </c>
      <c r="BR45" s="6">
        <v>368</v>
      </c>
      <c r="BS45" s="35">
        <f t="shared" si="9"/>
        <v>338</v>
      </c>
      <c r="BT45" s="6">
        <v>636</v>
      </c>
      <c r="BU45" s="6"/>
      <c r="BV45" s="6">
        <f t="shared" si="10"/>
        <v>344</v>
      </c>
      <c r="BW45" s="6">
        <v>159</v>
      </c>
      <c r="BX45" s="6">
        <v>794</v>
      </c>
      <c r="BY45" s="35">
        <f t="shared" si="11"/>
        <v>317</v>
      </c>
      <c r="BZ45" s="6"/>
      <c r="CA45" s="6"/>
      <c r="CB45" s="6"/>
      <c r="CC45" s="6">
        <v>506</v>
      </c>
      <c r="CD45" s="6"/>
      <c r="CE45" s="6">
        <f t="shared" si="12"/>
        <v>347</v>
      </c>
      <c r="CF45" s="6">
        <v>121</v>
      </c>
      <c r="CG45" s="6">
        <v>720</v>
      </c>
      <c r="CH45" s="6">
        <f t="shared" si="13"/>
        <v>335</v>
      </c>
      <c r="CI45" s="6">
        <v>465</v>
      </c>
      <c r="CJ45" s="6"/>
      <c r="CK45" s="6">
        <f t="shared" si="14"/>
        <v>344</v>
      </c>
      <c r="CL45" s="6">
        <v>333</v>
      </c>
      <c r="CM45" s="6">
        <v>489</v>
      </c>
      <c r="CN45" s="6">
        <f t="shared" si="15"/>
        <v>357</v>
      </c>
      <c r="CO45" s="6">
        <v>695</v>
      </c>
      <c r="CP45" s="6"/>
      <c r="CQ45" s="6">
        <f t="shared" si="16"/>
        <v>362</v>
      </c>
      <c r="CR45" s="6">
        <v>1041</v>
      </c>
      <c r="CS45" s="6"/>
      <c r="CT45" s="6">
        <f t="shared" si="17"/>
        <v>346</v>
      </c>
      <c r="CU45" s="6"/>
      <c r="CV45" s="6"/>
      <c r="CW45" s="6"/>
      <c r="CX45" s="6">
        <v>42</v>
      </c>
      <c r="CY45" s="6">
        <v>1359</v>
      </c>
      <c r="CZ45" s="6">
        <f t="shared" si="18"/>
        <v>360</v>
      </c>
      <c r="DA45" s="6">
        <v>415</v>
      </c>
      <c r="DB45" s="6"/>
      <c r="DC45" s="6">
        <f t="shared" si="19"/>
        <v>373</v>
      </c>
      <c r="DD45" s="6">
        <v>797</v>
      </c>
      <c r="DE45" s="6"/>
      <c r="DF45" s="6">
        <f t="shared" si="20"/>
        <v>382</v>
      </c>
      <c r="DG45" s="6">
        <v>1181</v>
      </c>
      <c r="DH45" s="6"/>
      <c r="DI45" s="6">
        <f t="shared" si="21"/>
        <v>384</v>
      </c>
      <c r="DJ45" s="6">
        <v>2</v>
      </c>
      <c r="DK45" s="6">
        <v>1560</v>
      </c>
      <c r="DL45" s="6">
        <f t="shared" si="22"/>
        <v>381</v>
      </c>
      <c r="DM45" s="6">
        <v>352</v>
      </c>
      <c r="DN45" s="6"/>
      <c r="DO45" s="6">
        <f t="shared" si="23"/>
        <v>350</v>
      </c>
    </row>
    <row r="46" spans="1:119">
      <c r="A46" s="6">
        <v>42</v>
      </c>
      <c r="B46" s="6">
        <v>1259</v>
      </c>
      <c r="C46" s="6"/>
      <c r="D46" s="6">
        <v>206</v>
      </c>
      <c r="E46" s="33" t="s">
        <v>307</v>
      </c>
      <c r="F46" s="33" t="s">
        <v>307</v>
      </c>
      <c r="G46" s="33" t="s">
        <v>307</v>
      </c>
      <c r="H46" s="33" t="s">
        <v>307</v>
      </c>
      <c r="I46" s="33" t="s">
        <v>307</v>
      </c>
      <c r="J46" s="33" t="s">
        <v>307</v>
      </c>
      <c r="K46" s="33" t="s">
        <v>307</v>
      </c>
      <c r="L46" s="33" t="s">
        <v>307</v>
      </c>
      <c r="M46" s="33" t="s">
        <v>307</v>
      </c>
      <c r="N46" s="33" t="s">
        <v>307</v>
      </c>
      <c r="O46" s="33" t="s">
        <v>307</v>
      </c>
      <c r="P46" s="33" t="s">
        <v>307</v>
      </c>
      <c r="Q46" s="33" t="s">
        <v>307</v>
      </c>
      <c r="R46" s="33" t="s">
        <v>307</v>
      </c>
      <c r="S46" s="33" t="s">
        <v>307</v>
      </c>
      <c r="T46" s="33" t="s">
        <v>307</v>
      </c>
      <c r="U46" s="33" t="s">
        <v>307</v>
      </c>
      <c r="V46" s="33" t="s">
        <v>307</v>
      </c>
      <c r="W46" s="33" t="s">
        <v>307</v>
      </c>
      <c r="X46" s="148" t="s">
        <v>307</v>
      </c>
      <c r="Y46" s="33" t="s">
        <v>307</v>
      </c>
      <c r="Z46" s="33" t="s">
        <v>307</v>
      </c>
      <c r="AA46" s="33" t="s">
        <v>307</v>
      </c>
      <c r="AB46" s="33" t="s">
        <v>307</v>
      </c>
      <c r="AC46" s="33" t="s">
        <v>307</v>
      </c>
      <c r="AD46" s="6"/>
      <c r="AE46" s="6"/>
      <c r="AF46" s="35"/>
      <c r="AG46" s="6"/>
      <c r="AH46" s="6"/>
      <c r="AI46" s="35"/>
      <c r="AJ46" s="35"/>
      <c r="AK46" s="35"/>
      <c r="AL46" s="35"/>
      <c r="AM46" s="6">
        <v>1642</v>
      </c>
      <c r="AN46" s="6"/>
      <c r="AO46" s="35">
        <f t="shared" si="0"/>
        <v>383</v>
      </c>
      <c r="AP46" s="6">
        <v>377</v>
      </c>
      <c r="AQ46" s="6">
        <v>1650</v>
      </c>
      <c r="AR46" s="34">
        <f t="shared" si="1"/>
        <v>385</v>
      </c>
      <c r="AS46" s="35">
        <v>758</v>
      </c>
      <c r="AT46" s="35"/>
      <c r="AU46" s="35">
        <f t="shared" si="2"/>
        <v>381</v>
      </c>
      <c r="AV46" s="35">
        <v>1157</v>
      </c>
      <c r="AW46" s="6"/>
      <c r="AX46" s="35">
        <f t="shared" si="3"/>
        <v>399</v>
      </c>
      <c r="AY46" s="6">
        <v>1552</v>
      </c>
      <c r="AZ46" s="6"/>
      <c r="BA46" s="35">
        <f t="shared" si="4"/>
        <v>395</v>
      </c>
      <c r="BB46" s="35">
        <v>361</v>
      </c>
      <c r="BC46" s="35">
        <v>1560</v>
      </c>
      <c r="BD46" s="35">
        <f t="shared" si="5"/>
        <v>369</v>
      </c>
      <c r="BE46" s="6"/>
      <c r="BF46" s="6"/>
      <c r="BG46" s="35"/>
      <c r="BH46" s="6">
        <v>752</v>
      </c>
      <c r="BI46" s="6"/>
      <c r="BJ46" s="35">
        <f t="shared" si="6"/>
        <v>391</v>
      </c>
      <c r="BK46" s="6">
        <v>1138</v>
      </c>
      <c r="BL46" s="6"/>
      <c r="BM46" s="6">
        <f t="shared" si="7"/>
        <v>386</v>
      </c>
      <c r="BN46" s="6">
        <v>1504</v>
      </c>
      <c r="BO46" s="6"/>
      <c r="BP46" s="6">
        <f t="shared" si="8"/>
        <v>366</v>
      </c>
      <c r="BQ46" s="6">
        <v>315</v>
      </c>
      <c r="BR46" s="6">
        <v>1560</v>
      </c>
      <c r="BS46" s="35">
        <f t="shared" si="9"/>
        <v>371</v>
      </c>
      <c r="BT46" s="6">
        <v>687</v>
      </c>
      <c r="BU46" s="6"/>
      <c r="BV46" s="6">
        <f t="shared" si="10"/>
        <v>372</v>
      </c>
      <c r="BW46" s="6">
        <v>1041</v>
      </c>
      <c r="BX46" s="6"/>
      <c r="BY46" s="35">
        <f t="shared" si="11"/>
        <v>354</v>
      </c>
      <c r="BZ46" s="6"/>
      <c r="CA46" s="6"/>
      <c r="CB46" s="6"/>
      <c r="CC46" s="6">
        <v>1407</v>
      </c>
      <c r="CD46" s="6"/>
      <c r="CE46" s="6">
        <f t="shared" si="12"/>
        <v>366</v>
      </c>
      <c r="CF46" s="6">
        <v>217</v>
      </c>
      <c r="CG46" s="6">
        <v>1560</v>
      </c>
      <c r="CH46" s="6">
        <f t="shared" si="13"/>
        <v>370</v>
      </c>
      <c r="CI46" s="6">
        <v>593</v>
      </c>
      <c r="CJ46" s="6"/>
      <c r="CK46" s="6">
        <f t="shared" si="14"/>
        <v>376</v>
      </c>
      <c r="CL46" s="6">
        <v>956</v>
      </c>
      <c r="CM46" s="6"/>
      <c r="CN46" s="6">
        <f t="shared" si="15"/>
        <v>363</v>
      </c>
      <c r="CO46" s="6">
        <v>1328</v>
      </c>
      <c r="CP46" s="6"/>
      <c r="CQ46" s="6">
        <f t="shared" si="16"/>
        <v>372</v>
      </c>
      <c r="CR46" s="6">
        <v>0</v>
      </c>
      <c r="CS46" s="6">
        <v>1481</v>
      </c>
      <c r="CT46" s="6">
        <f t="shared" si="17"/>
        <v>153</v>
      </c>
      <c r="CU46" s="6"/>
      <c r="CV46" s="6"/>
      <c r="CW46" s="6"/>
      <c r="CX46" s="6">
        <v>367</v>
      </c>
      <c r="CY46" s="6"/>
      <c r="CZ46" s="6">
        <f t="shared" si="18"/>
        <v>367</v>
      </c>
      <c r="DA46" s="6">
        <v>742</v>
      </c>
      <c r="DB46" s="6"/>
      <c r="DC46" s="6">
        <f t="shared" si="19"/>
        <v>375</v>
      </c>
      <c r="DD46" s="6">
        <v>1129</v>
      </c>
      <c r="DE46" s="6"/>
      <c r="DF46" s="6">
        <f t="shared" si="20"/>
        <v>387</v>
      </c>
      <c r="DG46" s="6">
        <v>1519</v>
      </c>
      <c r="DH46" s="6"/>
      <c r="DI46" s="6">
        <f t="shared" si="21"/>
        <v>390</v>
      </c>
      <c r="DJ46" s="6">
        <v>351</v>
      </c>
      <c r="DK46" s="6">
        <v>1560</v>
      </c>
      <c r="DL46" s="6">
        <f t="shared" si="22"/>
        <v>392</v>
      </c>
      <c r="DM46" s="6">
        <v>700</v>
      </c>
      <c r="DN46" s="6"/>
      <c r="DO46" s="6">
        <f t="shared" si="23"/>
        <v>349</v>
      </c>
    </row>
    <row r="47" spans="1:119">
      <c r="A47" s="6">
        <v>43</v>
      </c>
      <c r="B47" s="6">
        <v>1243</v>
      </c>
      <c r="C47" s="6"/>
      <c r="D47" s="6">
        <v>206</v>
      </c>
      <c r="E47" s="33" t="s">
        <v>37</v>
      </c>
      <c r="F47" s="33" t="s">
        <v>37</v>
      </c>
      <c r="G47" s="33" t="s">
        <v>37</v>
      </c>
      <c r="H47" s="33" t="s">
        <v>37</v>
      </c>
      <c r="I47" s="33" t="s">
        <v>37</v>
      </c>
      <c r="J47" s="33" t="s">
        <v>37</v>
      </c>
      <c r="K47" s="33" t="s">
        <v>37</v>
      </c>
      <c r="L47" s="33" t="s">
        <v>37</v>
      </c>
      <c r="M47" s="33" t="s">
        <v>37</v>
      </c>
      <c r="N47" s="33" t="s">
        <v>37</v>
      </c>
      <c r="O47" s="33" t="s">
        <v>37</v>
      </c>
      <c r="P47" s="33" t="s">
        <v>37</v>
      </c>
      <c r="Q47" s="148" t="s">
        <v>37</v>
      </c>
      <c r="R47" s="33" t="s">
        <v>37</v>
      </c>
      <c r="S47" s="33" t="s">
        <v>37</v>
      </c>
      <c r="T47" s="33" t="s">
        <v>37</v>
      </c>
      <c r="U47" s="33" t="s">
        <v>37</v>
      </c>
      <c r="V47" s="33" t="s">
        <v>37</v>
      </c>
      <c r="W47" s="33" t="s">
        <v>37</v>
      </c>
      <c r="X47" s="33" t="s">
        <v>37</v>
      </c>
      <c r="Y47" s="33" t="s">
        <v>37</v>
      </c>
      <c r="Z47" s="33" t="s">
        <v>37</v>
      </c>
      <c r="AA47" s="33" t="s">
        <v>37</v>
      </c>
      <c r="AB47" s="33" t="s">
        <v>37</v>
      </c>
      <c r="AC47" s="33" t="s">
        <v>37</v>
      </c>
      <c r="AD47" s="6"/>
      <c r="AE47" s="6"/>
      <c r="AF47" s="35"/>
      <c r="AG47" s="6"/>
      <c r="AH47" s="6"/>
      <c r="AI47" s="35"/>
      <c r="AJ47" s="35"/>
      <c r="AK47" s="35"/>
      <c r="AL47" s="35"/>
      <c r="AM47" s="6">
        <v>56</v>
      </c>
      <c r="AN47" s="6">
        <v>1561</v>
      </c>
      <c r="AO47" s="35">
        <f t="shared" si="0"/>
        <v>374</v>
      </c>
      <c r="AP47" s="6">
        <v>423</v>
      </c>
      <c r="AQ47" s="6"/>
      <c r="AR47" s="34">
        <f t="shared" si="1"/>
        <v>367</v>
      </c>
      <c r="AS47" s="35">
        <v>803</v>
      </c>
      <c r="AT47" s="35"/>
      <c r="AU47" s="35">
        <f t="shared" si="2"/>
        <v>380</v>
      </c>
      <c r="AV47" s="6">
        <v>1185</v>
      </c>
      <c r="AW47" s="6"/>
      <c r="AX47" s="35">
        <f t="shared" si="3"/>
        <v>382</v>
      </c>
      <c r="AY47" s="6">
        <v>5</v>
      </c>
      <c r="AZ47" s="6">
        <v>1560</v>
      </c>
      <c r="BA47" s="35">
        <f t="shared" si="4"/>
        <v>380</v>
      </c>
      <c r="BB47" s="35">
        <v>370</v>
      </c>
      <c r="BC47" s="35"/>
      <c r="BD47" s="35">
        <f t="shared" si="5"/>
        <v>365</v>
      </c>
      <c r="BE47" s="6"/>
      <c r="BF47" s="6"/>
      <c r="BG47" s="35"/>
      <c r="BH47" s="6">
        <v>334</v>
      </c>
      <c r="BI47" s="6">
        <v>419</v>
      </c>
      <c r="BJ47" s="35">
        <f t="shared" si="6"/>
        <v>383</v>
      </c>
      <c r="BK47" s="6">
        <v>0</v>
      </c>
      <c r="BL47" s="6">
        <v>453</v>
      </c>
      <c r="BM47" s="6">
        <f t="shared" si="7"/>
        <v>119</v>
      </c>
      <c r="BN47" s="6">
        <v>295</v>
      </c>
      <c r="BO47" s="6"/>
      <c r="BP47" s="6">
        <f t="shared" si="8"/>
        <v>295</v>
      </c>
      <c r="BQ47" s="6">
        <f>295+100+100</f>
        <v>495</v>
      </c>
      <c r="BR47" s="6"/>
      <c r="BS47" s="35">
        <f t="shared" si="9"/>
        <v>200</v>
      </c>
      <c r="BT47" s="6">
        <f>295+100+100+46+100</f>
        <v>641</v>
      </c>
      <c r="BU47" s="6"/>
      <c r="BV47" s="6">
        <f t="shared" si="10"/>
        <v>146</v>
      </c>
      <c r="BW47" s="6">
        <v>241</v>
      </c>
      <c r="BX47" s="6">
        <f>295+100+100+46+100+70</f>
        <v>711</v>
      </c>
      <c r="BY47" s="35">
        <f t="shared" si="11"/>
        <v>311</v>
      </c>
      <c r="BZ47" s="6"/>
      <c r="CA47" s="6"/>
      <c r="CB47" s="6"/>
      <c r="CC47" s="6">
        <v>621</v>
      </c>
      <c r="CD47" s="6"/>
      <c r="CE47" s="6">
        <f t="shared" si="12"/>
        <v>380</v>
      </c>
      <c r="CF47" s="6">
        <v>988</v>
      </c>
      <c r="CG47" s="6"/>
      <c r="CH47" s="6">
        <f t="shared" si="13"/>
        <v>367</v>
      </c>
      <c r="CI47" s="6">
        <v>1364</v>
      </c>
      <c r="CJ47" s="6"/>
      <c r="CK47" s="6">
        <f t="shared" si="14"/>
        <v>376</v>
      </c>
      <c r="CL47" s="6">
        <v>171</v>
      </c>
      <c r="CM47" s="6">
        <v>1560</v>
      </c>
      <c r="CN47" s="6">
        <f t="shared" si="15"/>
        <v>367</v>
      </c>
      <c r="CO47" s="6">
        <v>536</v>
      </c>
      <c r="CP47" s="6"/>
      <c r="CQ47" s="6">
        <f t="shared" si="16"/>
        <v>365</v>
      </c>
      <c r="CR47" s="6">
        <v>886</v>
      </c>
      <c r="CS47" s="6"/>
      <c r="CT47" s="6">
        <f t="shared" si="17"/>
        <v>350</v>
      </c>
      <c r="CU47" s="6"/>
      <c r="CV47" s="6"/>
      <c r="CW47" s="6"/>
      <c r="CX47" s="6">
        <v>1245</v>
      </c>
      <c r="CY47" s="6"/>
      <c r="CZ47" s="6">
        <f t="shared" si="18"/>
        <v>359</v>
      </c>
      <c r="DA47" s="6">
        <v>46</v>
      </c>
      <c r="DB47" s="6">
        <v>1564</v>
      </c>
      <c r="DC47" s="6">
        <f t="shared" si="19"/>
        <v>365</v>
      </c>
      <c r="DD47" s="6">
        <v>418</v>
      </c>
      <c r="DE47" s="6"/>
      <c r="DF47" s="6">
        <f t="shared" si="20"/>
        <v>372</v>
      </c>
      <c r="DG47" s="6">
        <v>799</v>
      </c>
      <c r="DH47" s="6"/>
      <c r="DI47" s="6">
        <f t="shared" si="21"/>
        <v>381</v>
      </c>
      <c r="DJ47" s="6">
        <v>1178</v>
      </c>
      <c r="DK47" s="6"/>
      <c r="DL47" s="6">
        <f t="shared" si="22"/>
        <v>379</v>
      </c>
      <c r="DM47" s="6">
        <v>1525</v>
      </c>
      <c r="DN47" s="6"/>
      <c r="DO47" s="6">
        <f t="shared" si="23"/>
        <v>347</v>
      </c>
    </row>
    <row r="48" spans="1:119">
      <c r="A48" s="6">
        <v>44</v>
      </c>
      <c r="B48" s="6">
        <v>1502</v>
      </c>
      <c r="C48" s="6"/>
      <c r="D48" s="6">
        <v>182</v>
      </c>
      <c r="E48" s="33" t="s">
        <v>128</v>
      </c>
      <c r="F48" s="33" t="s">
        <v>128</v>
      </c>
      <c r="G48" s="33" t="s">
        <v>128</v>
      </c>
      <c r="H48" s="33" t="s">
        <v>128</v>
      </c>
      <c r="I48" s="33" t="s">
        <v>128</v>
      </c>
      <c r="J48" s="33" t="s">
        <v>128</v>
      </c>
      <c r="K48" s="33" t="s">
        <v>128</v>
      </c>
      <c r="L48" s="33" t="s">
        <v>128</v>
      </c>
      <c r="M48" s="33" t="s">
        <v>128</v>
      </c>
      <c r="N48" s="33" t="s">
        <v>128</v>
      </c>
      <c r="O48" s="33" t="s">
        <v>128</v>
      </c>
      <c r="P48" s="148" t="s">
        <v>307</v>
      </c>
      <c r="Q48" s="33" t="s">
        <v>307</v>
      </c>
      <c r="R48" s="33" t="s">
        <v>307</v>
      </c>
      <c r="S48" s="33" t="s">
        <v>307</v>
      </c>
      <c r="T48" s="33" t="s">
        <v>307</v>
      </c>
      <c r="U48" s="33" t="s">
        <v>307</v>
      </c>
      <c r="V48" s="33" t="s">
        <v>307</v>
      </c>
      <c r="W48" s="33" t="s">
        <v>307</v>
      </c>
      <c r="X48" s="33" t="s">
        <v>307</v>
      </c>
      <c r="Y48" s="33" t="s">
        <v>307</v>
      </c>
      <c r="Z48" s="33" t="s">
        <v>307</v>
      </c>
      <c r="AA48" s="33" t="s">
        <v>307</v>
      </c>
      <c r="AB48" s="33" t="s">
        <v>307</v>
      </c>
      <c r="AC48" s="33" t="s">
        <v>307</v>
      </c>
      <c r="AD48" s="6"/>
      <c r="AE48" s="6"/>
      <c r="AF48" s="35"/>
      <c r="AG48" s="6"/>
      <c r="AH48" s="6"/>
      <c r="AI48" s="35"/>
      <c r="AJ48" s="35"/>
      <c r="AK48" s="35"/>
      <c r="AL48" s="35"/>
      <c r="AM48" s="6">
        <v>346</v>
      </c>
      <c r="AN48" s="6">
        <v>1508</v>
      </c>
      <c r="AO48" s="35">
        <f t="shared" si="0"/>
        <v>352</v>
      </c>
      <c r="AP48" s="6">
        <v>687</v>
      </c>
      <c r="AQ48" s="6"/>
      <c r="AR48" s="34">
        <f t="shared" si="1"/>
        <v>341</v>
      </c>
      <c r="AS48" s="35">
        <v>1030</v>
      </c>
      <c r="AT48" s="35"/>
      <c r="AU48" s="35">
        <f t="shared" si="2"/>
        <v>343</v>
      </c>
      <c r="AV48" s="6">
        <v>158</v>
      </c>
      <c r="AW48" s="6">
        <v>1199</v>
      </c>
      <c r="AX48" s="35">
        <f t="shared" si="3"/>
        <v>327</v>
      </c>
      <c r="AY48" s="6">
        <v>497</v>
      </c>
      <c r="AZ48" s="6"/>
      <c r="BA48" s="35">
        <f t="shared" si="4"/>
        <v>339</v>
      </c>
      <c r="BB48" s="35">
        <v>833</v>
      </c>
      <c r="BC48" s="35"/>
      <c r="BD48" s="35">
        <f t="shared" si="5"/>
        <v>336</v>
      </c>
      <c r="BE48" s="6"/>
      <c r="BF48" s="6"/>
      <c r="BG48" s="35"/>
      <c r="BH48" s="6">
        <v>172</v>
      </c>
      <c r="BI48" s="6">
        <v>961</v>
      </c>
      <c r="BJ48" s="35">
        <f t="shared" si="6"/>
        <v>300</v>
      </c>
      <c r="BK48" s="6">
        <v>509</v>
      </c>
      <c r="BL48" s="6"/>
      <c r="BM48" s="6">
        <f t="shared" si="7"/>
        <v>337</v>
      </c>
      <c r="BN48" s="6">
        <v>867</v>
      </c>
      <c r="BO48" s="6"/>
      <c r="BP48" s="6">
        <f t="shared" si="8"/>
        <v>358</v>
      </c>
      <c r="BQ48" s="6">
        <v>0</v>
      </c>
      <c r="BR48" s="6">
        <v>1110</v>
      </c>
      <c r="BS48" s="35">
        <f t="shared" si="9"/>
        <v>243</v>
      </c>
      <c r="BT48" s="6">
        <v>339</v>
      </c>
      <c r="BU48" s="6"/>
      <c r="BV48" s="6">
        <f t="shared" si="10"/>
        <v>339</v>
      </c>
      <c r="BW48" s="6">
        <v>677</v>
      </c>
      <c r="BX48" s="6"/>
      <c r="BY48" s="35">
        <f t="shared" si="11"/>
        <v>338</v>
      </c>
      <c r="BZ48" s="6"/>
      <c r="CA48" s="6"/>
      <c r="CB48" s="6"/>
      <c r="CC48" s="6">
        <v>1038</v>
      </c>
      <c r="CD48" s="6"/>
      <c r="CE48" s="6">
        <f t="shared" si="12"/>
        <v>361</v>
      </c>
      <c r="CF48" s="6">
        <v>1393</v>
      </c>
      <c r="CG48" s="6"/>
      <c r="CH48" s="6">
        <f t="shared" si="13"/>
        <v>355</v>
      </c>
      <c r="CI48" s="6">
        <v>191</v>
      </c>
      <c r="CJ48" s="6">
        <v>1560</v>
      </c>
      <c r="CK48" s="6">
        <f t="shared" si="14"/>
        <v>358</v>
      </c>
      <c r="CL48" s="6">
        <v>547</v>
      </c>
      <c r="CM48" s="6"/>
      <c r="CN48" s="6">
        <f t="shared" si="15"/>
        <v>356</v>
      </c>
      <c r="CO48" s="6">
        <v>898</v>
      </c>
      <c r="CP48" s="6"/>
      <c r="CQ48" s="6">
        <f t="shared" si="16"/>
        <v>351</v>
      </c>
      <c r="CR48" s="6">
        <v>1232</v>
      </c>
      <c r="CS48" s="6"/>
      <c r="CT48" s="6">
        <f t="shared" si="17"/>
        <v>334</v>
      </c>
      <c r="CU48" s="6"/>
      <c r="CV48" s="6"/>
      <c r="CW48" s="6"/>
      <c r="CX48" s="6">
        <v>65</v>
      </c>
      <c r="CY48" s="6">
        <v>1560</v>
      </c>
      <c r="CZ48" s="6">
        <f t="shared" si="18"/>
        <v>393</v>
      </c>
      <c r="DA48" s="6">
        <v>451</v>
      </c>
      <c r="DB48" s="6"/>
      <c r="DC48" s="6">
        <f t="shared" si="19"/>
        <v>386</v>
      </c>
      <c r="DD48" s="6">
        <v>844</v>
      </c>
      <c r="DE48" s="6"/>
      <c r="DF48" s="6">
        <f t="shared" si="20"/>
        <v>393</v>
      </c>
      <c r="DG48" s="6">
        <v>1239</v>
      </c>
      <c r="DH48" s="6"/>
      <c r="DI48" s="6">
        <f t="shared" si="21"/>
        <v>395</v>
      </c>
      <c r="DJ48" s="6">
        <v>71</v>
      </c>
      <c r="DK48" s="6">
        <v>1560</v>
      </c>
      <c r="DL48" s="6">
        <f t="shared" si="22"/>
        <v>392</v>
      </c>
      <c r="DM48" s="6">
        <v>426</v>
      </c>
      <c r="DN48" s="6"/>
      <c r="DO48" s="6">
        <f t="shared" si="23"/>
        <v>355</v>
      </c>
    </row>
    <row r="49" spans="1:119">
      <c r="A49" s="6">
        <v>45</v>
      </c>
      <c r="B49" s="6">
        <v>1130</v>
      </c>
      <c r="C49" s="6"/>
      <c r="D49" s="6">
        <v>215</v>
      </c>
      <c r="E49" s="33" t="s">
        <v>128</v>
      </c>
      <c r="F49" s="33" t="s">
        <v>128</v>
      </c>
      <c r="G49" s="33" t="s">
        <v>128</v>
      </c>
      <c r="H49" s="33" t="s">
        <v>128</v>
      </c>
      <c r="I49" s="33" t="s">
        <v>128</v>
      </c>
      <c r="J49" s="33" t="s">
        <v>128</v>
      </c>
      <c r="K49" s="33" t="s">
        <v>128</v>
      </c>
      <c r="L49" s="33" t="s">
        <v>128</v>
      </c>
      <c r="M49" s="33" t="s">
        <v>128</v>
      </c>
      <c r="N49" s="33" t="s">
        <v>128</v>
      </c>
      <c r="O49" s="148" t="s">
        <v>307</v>
      </c>
      <c r="P49" s="33" t="s">
        <v>307</v>
      </c>
      <c r="Q49" s="33" t="s">
        <v>307</v>
      </c>
      <c r="R49" s="33" t="s">
        <v>307</v>
      </c>
      <c r="S49" s="33" t="s">
        <v>307</v>
      </c>
      <c r="T49" s="33" t="s">
        <v>307</v>
      </c>
      <c r="U49" s="33" t="s">
        <v>307</v>
      </c>
      <c r="V49" s="33" t="s">
        <v>307</v>
      </c>
      <c r="W49" s="33" t="s">
        <v>307</v>
      </c>
      <c r="X49" s="33" t="s">
        <v>307</v>
      </c>
      <c r="Y49" s="33" t="s">
        <v>307</v>
      </c>
      <c r="Z49" s="33" t="s">
        <v>307</v>
      </c>
      <c r="AA49" s="33" t="s">
        <v>307</v>
      </c>
      <c r="AB49" s="33" t="s">
        <v>307</v>
      </c>
      <c r="AC49" s="33" t="s">
        <v>307</v>
      </c>
      <c r="AD49" s="6"/>
      <c r="AE49" s="6"/>
      <c r="AF49" s="35"/>
      <c r="AG49" s="6"/>
      <c r="AH49" s="6"/>
      <c r="AI49" s="35"/>
      <c r="AJ49" s="35"/>
      <c r="AK49" s="35"/>
      <c r="AL49" s="35"/>
      <c r="AM49" s="6">
        <v>59</v>
      </c>
      <c r="AN49" s="6">
        <v>1561</v>
      </c>
      <c r="AO49" s="35">
        <f t="shared" si="0"/>
        <v>490</v>
      </c>
      <c r="AP49" s="6">
        <v>455</v>
      </c>
      <c r="AQ49" s="6"/>
      <c r="AR49" s="34">
        <f t="shared" si="1"/>
        <v>396</v>
      </c>
      <c r="AS49" s="35">
        <v>849</v>
      </c>
      <c r="AT49" s="35"/>
      <c r="AU49" s="35">
        <f t="shared" si="2"/>
        <v>394</v>
      </c>
      <c r="AV49" s="6">
        <v>1249</v>
      </c>
      <c r="AW49" s="6"/>
      <c r="AX49" s="35">
        <f t="shared" si="3"/>
        <v>400</v>
      </c>
      <c r="AY49" s="6">
        <v>84</v>
      </c>
      <c r="AZ49" s="6">
        <v>1560</v>
      </c>
      <c r="BA49" s="35">
        <f t="shared" si="4"/>
        <v>395</v>
      </c>
      <c r="BB49" s="35">
        <v>472</v>
      </c>
      <c r="BC49" s="35"/>
      <c r="BD49" s="35">
        <f t="shared" si="5"/>
        <v>388</v>
      </c>
      <c r="BE49" s="6"/>
      <c r="BF49" s="6"/>
      <c r="BG49" s="35"/>
      <c r="BH49" s="6">
        <v>877</v>
      </c>
      <c r="BI49" s="6"/>
      <c r="BJ49" s="35">
        <f t="shared" si="6"/>
        <v>405</v>
      </c>
      <c r="BK49" s="6">
        <v>1273</v>
      </c>
      <c r="BL49" s="6"/>
      <c r="BM49" s="6">
        <f t="shared" si="7"/>
        <v>396</v>
      </c>
      <c r="BN49" s="6">
        <v>0</v>
      </c>
      <c r="BO49" s="6">
        <v>1663</v>
      </c>
      <c r="BP49" s="6">
        <f t="shared" si="8"/>
        <v>390</v>
      </c>
      <c r="BQ49" s="6">
        <v>389</v>
      </c>
      <c r="BR49" s="6"/>
      <c r="BS49" s="35">
        <f t="shared" si="9"/>
        <v>389</v>
      </c>
      <c r="BT49" s="6">
        <v>780</v>
      </c>
      <c r="BU49" s="6"/>
      <c r="BV49" s="6">
        <f t="shared" si="10"/>
        <v>391</v>
      </c>
      <c r="BW49" s="6">
        <v>1144</v>
      </c>
      <c r="BX49" s="6"/>
      <c r="BY49" s="35">
        <f t="shared" si="11"/>
        <v>364</v>
      </c>
      <c r="BZ49" s="6"/>
      <c r="CA49" s="6"/>
      <c r="CB49" s="6"/>
      <c r="CC49" s="6">
        <v>326</v>
      </c>
      <c r="CD49" s="6">
        <v>1205</v>
      </c>
      <c r="CE49" s="6">
        <f t="shared" si="12"/>
        <v>387</v>
      </c>
      <c r="CF49" s="6">
        <v>709</v>
      </c>
      <c r="CG49" s="6"/>
      <c r="CH49" s="6">
        <f t="shared" si="13"/>
        <v>383</v>
      </c>
      <c r="CI49" s="6">
        <v>1103</v>
      </c>
      <c r="CJ49" s="6"/>
      <c r="CK49" s="6">
        <f t="shared" si="14"/>
        <v>394</v>
      </c>
      <c r="CL49" s="6">
        <v>1485</v>
      </c>
      <c r="CM49" s="6"/>
      <c r="CN49" s="6">
        <f t="shared" si="15"/>
        <v>382</v>
      </c>
      <c r="CO49" s="6">
        <v>304</v>
      </c>
      <c r="CP49" s="6">
        <v>1560</v>
      </c>
      <c r="CQ49" s="6">
        <f t="shared" si="16"/>
        <v>379</v>
      </c>
      <c r="CR49" s="6">
        <v>657</v>
      </c>
      <c r="CS49" s="6"/>
      <c r="CT49" s="6">
        <f t="shared" si="17"/>
        <v>353</v>
      </c>
      <c r="CU49" s="6"/>
      <c r="CV49" s="6"/>
      <c r="CW49" s="6"/>
      <c r="CX49" s="6">
        <v>1045</v>
      </c>
      <c r="CY49" s="6"/>
      <c r="CZ49" s="6">
        <f t="shared" si="18"/>
        <v>388</v>
      </c>
      <c r="DA49" s="6">
        <v>1420</v>
      </c>
      <c r="DB49" s="6"/>
      <c r="DC49" s="6">
        <f t="shared" si="19"/>
        <v>375</v>
      </c>
      <c r="DD49" s="6">
        <v>250</v>
      </c>
      <c r="DE49" s="6">
        <v>1560</v>
      </c>
      <c r="DF49" s="6">
        <f t="shared" si="20"/>
        <v>390</v>
      </c>
      <c r="DG49" s="6">
        <v>633</v>
      </c>
      <c r="DH49" s="6"/>
      <c r="DI49" s="6">
        <f t="shared" si="21"/>
        <v>383</v>
      </c>
      <c r="DJ49" s="6">
        <v>1022</v>
      </c>
      <c r="DK49" s="6"/>
      <c r="DL49" s="6">
        <f t="shared" si="22"/>
        <v>389</v>
      </c>
      <c r="DM49" s="6">
        <v>1374</v>
      </c>
      <c r="DN49" s="6"/>
      <c r="DO49" s="6">
        <f t="shared" si="23"/>
        <v>352</v>
      </c>
    </row>
    <row r="50" spans="1:119">
      <c r="A50" s="6">
        <v>46</v>
      </c>
      <c r="B50" s="6">
        <v>1506</v>
      </c>
      <c r="C50" s="6"/>
      <c r="D50" s="6">
        <v>213</v>
      </c>
      <c r="E50" s="33" t="s">
        <v>128</v>
      </c>
      <c r="F50" s="33" t="s">
        <v>128</v>
      </c>
      <c r="G50" s="148" t="s">
        <v>37</v>
      </c>
      <c r="H50" s="33" t="s">
        <v>37</v>
      </c>
      <c r="I50" s="33" t="s">
        <v>37</v>
      </c>
      <c r="J50" s="33" t="s">
        <v>37</v>
      </c>
      <c r="K50" s="33" t="s">
        <v>37</v>
      </c>
      <c r="L50" s="33" t="s">
        <v>37</v>
      </c>
      <c r="M50" s="33" t="s">
        <v>37</v>
      </c>
      <c r="N50" s="33" t="s">
        <v>37</v>
      </c>
      <c r="O50" s="33" t="s">
        <v>37</v>
      </c>
      <c r="P50" s="33" t="s">
        <v>37</v>
      </c>
      <c r="Q50" s="33" t="s">
        <v>37</v>
      </c>
      <c r="R50" s="33" t="s">
        <v>37</v>
      </c>
      <c r="S50" s="33" t="s">
        <v>37</v>
      </c>
      <c r="T50" s="33" t="s">
        <v>37</v>
      </c>
      <c r="U50" s="33" t="s">
        <v>37</v>
      </c>
      <c r="V50" s="33" t="s">
        <v>37</v>
      </c>
      <c r="W50" s="33" t="s">
        <v>37</v>
      </c>
      <c r="X50" s="33" t="s">
        <v>37</v>
      </c>
      <c r="Y50" s="33" t="s">
        <v>37</v>
      </c>
      <c r="Z50" s="33" t="s">
        <v>37</v>
      </c>
      <c r="AA50" s="33" t="s">
        <v>37</v>
      </c>
      <c r="AB50" s="148" t="s">
        <v>37</v>
      </c>
      <c r="AC50" s="33" t="s">
        <v>37</v>
      </c>
      <c r="AD50" s="6"/>
      <c r="AE50" s="6"/>
      <c r="AF50" s="35"/>
      <c r="AG50" s="6"/>
      <c r="AH50" s="6"/>
      <c r="AI50" s="35"/>
      <c r="AJ50" s="35"/>
      <c r="AK50" s="35"/>
      <c r="AL50" s="35"/>
      <c r="AM50" s="6">
        <v>0</v>
      </c>
      <c r="AN50" s="6">
        <v>1719</v>
      </c>
      <c r="AO50" s="35">
        <f t="shared" si="0"/>
        <v>213</v>
      </c>
      <c r="AP50" s="6">
        <v>357</v>
      </c>
      <c r="AQ50" s="6"/>
      <c r="AR50" s="34">
        <f t="shared" si="1"/>
        <v>357</v>
      </c>
      <c r="AS50" s="35">
        <v>47</v>
      </c>
      <c r="AT50" s="35">
        <v>694</v>
      </c>
      <c r="AU50" s="35">
        <f t="shared" si="2"/>
        <v>384</v>
      </c>
      <c r="AV50" s="6">
        <v>442</v>
      </c>
      <c r="AW50" s="6"/>
      <c r="AX50" s="35">
        <f t="shared" si="3"/>
        <v>395</v>
      </c>
      <c r="AY50" s="6">
        <v>823</v>
      </c>
      <c r="AZ50" s="6"/>
      <c r="BA50" s="35">
        <f t="shared" si="4"/>
        <v>381</v>
      </c>
      <c r="BB50" s="35">
        <v>1166</v>
      </c>
      <c r="BC50" s="35"/>
      <c r="BD50" s="35">
        <f t="shared" si="5"/>
        <v>343</v>
      </c>
      <c r="BE50" s="35"/>
      <c r="BF50" s="6"/>
      <c r="BG50" s="35"/>
      <c r="BH50" s="6">
        <v>1538</v>
      </c>
      <c r="BI50" s="6"/>
      <c r="BJ50" s="35">
        <f t="shared" si="6"/>
        <v>372</v>
      </c>
      <c r="BK50" s="6">
        <v>354</v>
      </c>
      <c r="BL50" s="6">
        <v>1560</v>
      </c>
      <c r="BM50" s="6">
        <f t="shared" si="7"/>
        <v>376</v>
      </c>
      <c r="BN50" s="6">
        <v>733</v>
      </c>
      <c r="BO50" s="6"/>
      <c r="BP50" s="6">
        <f t="shared" si="8"/>
        <v>379</v>
      </c>
      <c r="BQ50" s="6">
        <v>1112</v>
      </c>
      <c r="BR50" s="6"/>
      <c r="BS50" s="35">
        <f t="shared" si="9"/>
        <v>379</v>
      </c>
      <c r="BT50" s="6">
        <v>1495</v>
      </c>
      <c r="BU50" s="6"/>
      <c r="BV50" s="6">
        <f t="shared" si="10"/>
        <v>383</v>
      </c>
      <c r="BW50" s="6">
        <v>294</v>
      </c>
      <c r="BX50" s="6">
        <v>1560</v>
      </c>
      <c r="BY50" s="35">
        <f t="shared" si="11"/>
        <v>359</v>
      </c>
      <c r="BZ50" s="6"/>
      <c r="CA50" s="6"/>
      <c r="CB50" s="6"/>
      <c r="CC50" s="6">
        <v>680</v>
      </c>
      <c r="CD50" s="6"/>
      <c r="CE50" s="6">
        <f t="shared" si="12"/>
        <v>386</v>
      </c>
      <c r="CF50" s="6">
        <v>1057</v>
      </c>
      <c r="CG50" s="6"/>
      <c r="CH50" s="6">
        <f t="shared" si="13"/>
        <v>377</v>
      </c>
      <c r="CI50" s="6">
        <v>1438</v>
      </c>
      <c r="CJ50" s="6"/>
      <c r="CK50" s="6">
        <f t="shared" si="14"/>
        <v>381</v>
      </c>
      <c r="CL50" s="6">
        <v>262</v>
      </c>
      <c r="CM50" s="6">
        <v>1560</v>
      </c>
      <c r="CN50" s="6">
        <f t="shared" si="15"/>
        <v>384</v>
      </c>
      <c r="CO50" s="6">
        <v>640</v>
      </c>
      <c r="CP50" s="6"/>
      <c r="CQ50" s="6">
        <f t="shared" si="16"/>
        <v>378</v>
      </c>
      <c r="CR50" s="6">
        <v>994</v>
      </c>
      <c r="CS50" s="6"/>
      <c r="CT50" s="6">
        <f t="shared" si="17"/>
        <v>354</v>
      </c>
      <c r="CU50" s="6"/>
      <c r="CV50" s="6"/>
      <c r="CW50" s="6"/>
      <c r="CX50" s="6">
        <v>1375</v>
      </c>
      <c r="CY50" s="6"/>
      <c r="CZ50" s="6">
        <f t="shared" si="18"/>
        <v>381</v>
      </c>
      <c r="DA50" s="6">
        <v>190</v>
      </c>
      <c r="DB50" s="6">
        <v>1560</v>
      </c>
      <c r="DC50" s="6">
        <f t="shared" si="19"/>
        <v>375</v>
      </c>
      <c r="DD50" s="6">
        <v>566</v>
      </c>
      <c r="DE50" s="6"/>
      <c r="DF50" s="6">
        <f t="shared" si="20"/>
        <v>376</v>
      </c>
      <c r="DG50" s="6">
        <v>0</v>
      </c>
      <c r="DH50" s="6">
        <v>942</v>
      </c>
      <c r="DI50" s="6">
        <f t="shared" si="21"/>
        <v>376</v>
      </c>
      <c r="DJ50" s="6">
        <v>371</v>
      </c>
      <c r="DK50" s="6"/>
      <c r="DL50" s="6">
        <f t="shared" si="22"/>
        <v>371</v>
      </c>
      <c r="DM50" s="6">
        <v>718</v>
      </c>
      <c r="DN50" s="6"/>
      <c r="DO50" s="6">
        <f t="shared" si="23"/>
        <v>347</v>
      </c>
    </row>
    <row r="51" spans="1:119">
      <c r="A51" s="6">
        <v>47</v>
      </c>
      <c r="B51" s="6">
        <v>908</v>
      </c>
      <c r="C51" s="6"/>
      <c r="D51" s="6">
        <v>216</v>
      </c>
      <c r="E51" s="33" t="s">
        <v>128</v>
      </c>
      <c r="F51" s="33" t="s">
        <v>128</v>
      </c>
      <c r="G51" s="33" t="s">
        <v>128</v>
      </c>
      <c r="H51" s="33" t="s">
        <v>128</v>
      </c>
      <c r="I51" s="33" t="s">
        <v>128</v>
      </c>
      <c r="J51" s="33" t="s">
        <v>128</v>
      </c>
      <c r="K51" s="33" t="s">
        <v>128</v>
      </c>
      <c r="L51" s="33" t="s">
        <v>128</v>
      </c>
      <c r="M51" s="33" t="s">
        <v>128</v>
      </c>
      <c r="N51" s="33" t="s">
        <v>128</v>
      </c>
      <c r="O51" s="33" t="s">
        <v>128</v>
      </c>
      <c r="P51" s="33" t="s">
        <v>128</v>
      </c>
      <c r="Q51" s="148" t="s">
        <v>307</v>
      </c>
      <c r="R51" s="33" t="s">
        <v>307</v>
      </c>
      <c r="S51" s="33" t="s">
        <v>307</v>
      </c>
      <c r="T51" s="33" t="s">
        <v>307</v>
      </c>
      <c r="U51" s="33" t="s">
        <v>307</v>
      </c>
      <c r="V51" s="33" t="s">
        <v>307</v>
      </c>
      <c r="W51" s="33" t="s">
        <v>307</v>
      </c>
      <c r="X51" s="33" t="s">
        <v>307</v>
      </c>
      <c r="Y51" s="33" t="s">
        <v>307</v>
      </c>
      <c r="Z51" s="33" t="s">
        <v>307</v>
      </c>
      <c r="AA51" s="33" t="s">
        <v>307</v>
      </c>
      <c r="AB51" s="33" t="s">
        <v>307</v>
      </c>
      <c r="AC51" s="33" t="s">
        <v>307</v>
      </c>
      <c r="AD51" s="35"/>
      <c r="AE51" s="35"/>
      <c r="AF51" s="35"/>
      <c r="AG51" s="35"/>
      <c r="AH51" s="35"/>
      <c r="AI51" s="35"/>
      <c r="AJ51" s="35"/>
      <c r="AK51" s="35"/>
      <c r="AL51" s="35"/>
      <c r="AM51" s="6">
        <v>1281</v>
      </c>
      <c r="AN51" s="6"/>
      <c r="AO51" s="35">
        <f t="shared" si="0"/>
        <v>373</v>
      </c>
      <c r="AP51" s="6">
        <v>336</v>
      </c>
      <c r="AQ51" s="6">
        <v>1315</v>
      </c>
      <c r="AR51" s="34">
        <f t="shared" si="1"/>
        <v>370</v>
      </c>
      <c r="AS51" s="35">
        <v>25</v>
      </c>
      <c r="AT51" s="35">
        <v>694</v>
      </c>
      <c r="AU51" s="35">
        <f t="shared" si="2"/>
        <v>383</v>
      </c>
      <c r="AV51" s="6">
        <v>402</v>
      </c>
      <c r="AW51" s="6"/>
      <c r="AX51" s="35">
        <f t="shared" si="3"/>
        <v>377</v>
      </c>
      <c r="AY51" s="6">
        <v>789</v>
      </c>
      <c r="AZ51" s="6"/>
      <c r="BA51" s="35">
        <f t="shared" si="4"/>
        <v>387</v>
      </c>
      <c r="BB51" s="6">
        <v>1162</v>
      </c>
      <c r="BC51" s="6"/>
      <c r="BD51" s="35">
        <f t="shared" si="5"/>
        <v>373</v>
      </c>
      <c r="BE51" s="6"/>
      <c r="BF51" s="6"/>
      <c r="BG51" s="35"/>
      <c r="BH51" s="6">
        <v>1548</v>
      </c>
      <c r="BI51" s="6"/>
      <c r="BJ51" s="35">
        <f t="shared" si="6"/>
        <v>386</v>
      </c>
      <c r="BK51" s="6">
        <v>357</v>
      </c>
      <c r="BL51" s="35">
        <v>1560</v>
      </c>
      <c r="BM51" s="6">
        <f t="shared" si="7"/>
        <v>369</v>
      </c>
      <c r="BN51" s="6">
        <v>745</v>
      </c>
      <c r="BO51" s="6"/>
      <c r="BP51" s="6">
        <f t="shared" si="8"/>
        <v>388</v>
      </c>
      <c r="BQ51" s="6">
        <v>1134</v>
      </c>
      <c r="BR51" s="6"/>
      <c r="BS51" s="35">
        <f t="shared" si="9"/>
        <v>389</v>
      </c>
      <c r="BT51" s="6">
        <v>1522</v>
      </c>
      <c r="BU51" s="6"/>
      <c r="BV51" s="6">
        <f t="shared" si="10"/>
        <v>388</v>
      </c>
      <c r="BW51" s="6">
        <v>285</v>
      </c>
      <c r="BX51" s="6">
        <v>1572</v>
      </c>
      <c r="BY51" s="35">
        <f t="shared" si="11"/>
        <v>335</v>
      </c>
      <c r="BZ51" s="35"/>
      <c r="CA51" s="35"/>
      <c r="CB51" s="6"/>
      <c r="CC51" s="6">
        <v>629</v>
      </c>
      <c r="CD51" s="6"/>
      <c r="CE51" s="6">
        <f t="shared" si="12"/>
        <v>344</v>
      </c>
      <c r="CF51" s="6">
        <v>942</v>
      </c>
      <c r="CG51" s="35"/>
      <c r="CH51" s="6">
        <f t="shared" si="13"/>
        <v>313</v>
      </c>
      <c r="CI51" s="6">
        <v>261</v>
      </c>
      <c r="CJ51" s="6">
        <v>1042</v>
      </c>
      <c r="CK51" s="6">
        <f t="shared" si="14"/>
        <v>361</v>
      </c>
      <c r="CL51" s="6">
        <v>638</v>
      </c>
      <c r="CM51" s="6"/>
      <c r="CN51" s="6">
        <f t="shared" si="15"/>
        <v>377</v>
      </c>
      <c r="CO51" s="6">
        <v>1015</v>
      </c>
      <c r="CP51" s="6"/>
      <c r="CQ51" s="6">
        <f t="shared" si="16"/>
        <v>377</v>
      </c>
      <c r="CR51" s="6">
        <v>1373</v>
      </c>
      <c r="CS51" s="6"/>
      <c r="CT51" s="6">
        <f t="shared" si="17"/>
        <v>358</v>
      </c>
      <c r="CU51" s="6"/>
      <c r="CV51" s="6"/>
      <c r="CW51" s="6"/>
      <c r="CX51" s="6">
        <v>146</v>
      </c>
      <c r="CY51" s="6">
        <v>1620</v>
      </c>
      <c r="CZ51" s="6">
        <f t="shared" si="18"/>
        <v>393</v>
      </c>
      <c r="DA51" s="6">
        <v>515</v>
      </c>
      <c r="DB51" s="6"/>
      <c r="DC51" s="6">
        <f t="shared" si="19"/>
        <v>369</v>
      </c>
      <c r="DD51" s="6">
        <v>877</v>
      </c>
      <c r="DE51" s="6"/>
      <c r="DF51" s="6">
        <f t="shared" si="20"/>
        <v>362</v>
      </c>
      <c r="DG51" s="6">
        <v>1235</v>
      </c>
      <c r="DH51" s="6"/>
      <c r="DI51" s="6">
        <f t="shared" si="21"/>
        <v>358</v>
      </c>
      <c r="DJ51" s="6">
        <v>42</v>
      </c>
      <c r="DK51" s="6">
        <v>1560</v>
      </c>
      <c r="DL51" s="6">
        <f t="shared" si="22"/>
        <v>367</v>
      </c>
      <c r="DM51" s="6">
        <v>369</v>
      </c>
      <c r="DN51" s="6"/>
      <c r="DO51" s="6">
        <f t="shared" si="23"/>
        <v>327</v>
      </c>
    </row>
    <row r="52" spans="1:119">
      <c r="A52" s="6">
        <v>48</v>
      </c>
      <c r="B52" s="6">
        <v>1286</v>
      </c>
      <c r="C52" s="6"/>
      <c r="D52" s="6">
        <v>206</v>
      </c>
      <c r="E52" s="33" t="s">
        <v>37</v>
      </c>
      <c r="F52" s="33" t="s">
        <v>37</v>
      </c>
      <c r="G52" s="33" t="s">
        <v>37</v>
      </c>
      <c r="H52" s="33" t="s">
        <v>37</v>
      </c>
      <c r="I52" s="33" t="s">
        <v>37</v>
      </c>
      <c r="J52" s="33" t="s">
        <v>37</v>
      </c>
      <c r="K52" s="33" t="s">
        <v>37</v>
      </c>
      <c r="L52" s="33" t="s">
        <v>37</v>
      </c>
      <c r="M52" s="33" t="s">
        <v>37</v>
      </c>
      <c r="N52" s="33" t="s">
        <v>37</v>
      </c>
      <c r="O52" s="148" t="s">
        <v>307</v>
      </c>
      <c r="P52" s="33" t="s">
        <v>307</v>
      </c>
      <c r="Q52" s="33" t="s">
        <v>307</v>
      </c>
      <c r="R52" s="33" t="s">
        <v>307</v>
      </c>
      <c r="S52" s="33" t="s">
        <v>307</v>
      </c>
      <c r="T52" s="33" t="s">
        <v>307</v>
      </c>
      <c r="U52" s="33" t="s">
        <v>307</v>
      </c>
      <c r="V52" s="33" t="s">
        <v>307</v>
      </c>
      <c r="W52" s="33" t="s">
        <v>307</v>
      </c>
      <c r="X52" s="33" t="s">
        <v>307</v>
      </c>
      <c r="Y52" s="33" t="s">
        <v>307</v>
      </c>
      <c r="Z52" s="33" t="s">
        <v>307</v>
      </c>
      <c r="AA52" s="33" t="s">
        <v>307</v>
      </c>
      <c r="AB52" s="33" t="s">
        <v>307</v>
      </c>
      <c r="AC52" s="33" t="s">
        <v>307</v>
      </c>
      <c r="AD52" s="35"/>
      <c r="AE52" s="35"/>
      <c r="AF52" s="35"/>
      <c r="AG52" s="35"/>
      <c r="AH52" s="35"/>
      <c r="AI52" s="35"/>
      <c r="AJ52" s="35"/>
      <c r="AK52" s="35"/>
      <c r="AL52" s="35"/>
      <c r="AM52" s="35">
        <v>127</v>
      </c>
      <c r="AN52" s="35">
        <v>1560</v>
      </c>
      <c r="AO52" s="35">
        <f t="shared" si="0"/>
        <v>401</v>
      </c>
      <c r="AP52" s="6">
        <v>505</v>
      </c>
      <c r="AQ52" s="6"/>
      <c r="AR52" s="34">
        <f t="shared" si="1"/>
        <v>378</v>
      </c>
      <c r="AS52" s="35">
        <v>883</v>
      </c>
      <c r="AT52" s="35"/>
      <c r="AU52" s="35">
        <f t="shared" si="2"/>
        <v>378</v>
      </c>
      <c r="AV52" s="6">
        <v>1259</v>
      </c>
      <c r="AW52" s="6"/>
      <c r="AX52" s="35">
        <f t="shared" si="3"/>
        <v>376</v>
      </c>
      <c r="AY52" s="6">
        <v>73</v>
      </c>
      <c r="AZ52" s="6">
        <v>1560</v>
      </c>
      <c r="BA52" s="35">
        <f t="shared" si="4"/>
        <v>374</v>
      </c>
      <c r="BB52" s="35">
        <v>442</v>
      </c>
      <c r="BC52" s="35"/>
      <c r="BD52" s="35">
        <f t="shared" si="5"/>
        <v>369</v>
      </c>
      <c r="BE52" s="6"/>
      <c r="BF52" s="6"/>
      <c r="BG52" s="35"/>
      <c r="BH52" s="6">
        <v>814</v>
      </c>
      <c r="BI52" s="6"/>
      <c r="BJ52" s="35">
        <f t="shared" si="6"/>
        <v>372</v>
      </c>
      <c r="BK52" s="6">
        <v>1188</v>
      </c>
      <c r="BL52" s="6"/>
      <c r="BM52" s="6">
        <f t="shared" si="7"/>
        <v>374</v>
      </c>
      <c r="BN52" s="6">
        <v>1569</v>
      </c>
      <c r="BO52" s="6"/>
      <c r="BP52" s="6">
        <f t="shared" si="8"/>
        <v>381</v>
      </c>
      <c r="BQ52" s="6">
        <v>331</v>
      </c>
      <c r="BR52" s="6">
        <v>1599</v>
      </c>
      <c r="BS52" s="35">
        <f t="shared" si="9"/>
        <v>361</v>
      </c>
      <c r="BT52" s="35">
        <v>698</v>
      </c>
      <c r="BU52" s="6"/>
      <c r="BV52" s="6">
        <f t="shared" si="10"/>
        <v>367</v>
      </c>
      <c r="BW52" s="6">
        <v>1052</v>
      </c>
      <c r="BX52" s="6"/>
      <c r="BY52" s="35">
        <f t="shared" si="11"/>
        <v>354</v>
      </c>
      <c r="BZ52" s="6"/>
      <c r="CA52" s="6"/>
      <c r="CB52" s="6"/>
      <c r="CC52" s="6">
        <v>1430</v>
      </c>
      <c r="CD52" s="6"/>
      <c r="CE52" s="6">
        <f t="shared" si="12"/>
        <v>378</v>
      </c>
      <c r="CF52" s="6">
        <v>236</v>
      </c>
      <c r="CG52" s="6">
        <v>1560</v>
      </c>
      <c r="CH52" s="6">
        <f t="shared" si="13"/>
        <v>366</v>
      </c>
      <c r="CI52" s="6">
        <v>618</v>
      </c>
      <c r="CJ52" s="6"/>
      <c r="CK52" s="6">
        <f t="shared" si="14"/>
        <v>382</v>
      </c>
      <c r="CL52" s="6">
        <v>995</v>
      </c>
      <c r="CM52" s="6"/>
      <c r="CN52" s="6">
        <f t="shared" si="15"/>
        <v>377</v>
      </c>
      <c r="CO52" s="6">
        <v>1376</v>
      </c>
      <c r="CP52" s="6"/>
      <c r="CQ52" s="6">
        <f t="shared" si="16"/>
        <v>381</v>
      </c>
      <c r="CR52" s="6">
        <v>175</v>
      </c>
      <c r="CS52" s="6">
        <v>1560</v>
      </c>
      <c r="CT52" s="6">
        <f t="shared" si="17"/>
        <v>359</v>
      </c>
      <c r="CU52" s="6"/>
      <c r="CV52" s="6"/>
      <c r="CW52" s="6"/>
      <c r="CX52" s="6">
        <v>545</v>
      </c>
      <c r="CY52" s="6"/>
      <c r="CZ52" s="6">
        <f t="shared" si="18"/>
        <v>370</v>
      </c>
      <c r="DA52" s="6">
        <v>921</v>
      </c>
      <c r="DB52" s="6"/>
      <c r="DC52" s="6">
        <f t="shared" si="19"/>
        <v>376</v>
      </c>
      <c r="DD52" s="6">
        <v>1301</v>
      </c>
      <c r="DE52" s="6"/>
      <c r="DF52" s="6">
        <f t="shared" si="20"/>
        <v>380</v>
      </c>
      <c r="DG52" s="6">
        <v>120</v>
      </c>
      <c r="DH52" s="6">
        <v>1560</v>
      </c>
      <c r="DI52" s="6">
        <f t="shared" si="21"/>
        <v>379</v>
      </c>
      <c r="DJ52" s="6">
        <v>504</v>
      </c>
      <c r="DK52" s="6"/>
      <c r="DL52" s="6">
        <f t="shared" si="22"/>
        <v>384</v>
      </c>
      <c r="DM52" s="6">
        <v>856</v>
      </c>
      <c r="DN52" s="6"/>
      <c r="DO52" s="6">
        <f t="shared" si="23"/>
        <v>352</v>
      </c>
    </row>
    <row r="53" spans="1:119">
      <c r="A53" s="6">
        <v>49</v>
      </c>
      <c r="B53" s="6">
        <v>112</v>
      </c>
      <c r="C53" s="6">
        <v>1102</v>
      </c>
      <c r="D53" s="6">
        <v>184</v>
      </c>
      <c r="E53" s="148" t="s">
        <v>37</v>
      </c>
      <c r="F53" s="33" t="s">
        <v>37</v>
      </c>
      <c r="G53" s="33" t="s">
        <v>37</v>
      </c>
      <c r="H53" s="33" t="s">
        <v>37</v>
      </c>
      <c r="I53" s="33" t="s">
        <v>37</v>
      </c>
      <c r="J53" s="33" t="s">
        <v>37</v>
      </c>
      <c r="K53" s="33" t="s">
        <v>37</v>
      </c>
      <c r="L53" s="33" t="s">
        <v>37</v>
      </c>
      <c r="M53" s="33" t="s">
        <v>37</v>
      </c>
      <c r="N53" s="33" t="s">
        <v>37</v>
      </c>
      <c r="O53" s="33" t="s">
        <v>37</v>
      </c>
      <c r="P53" s="33" t="s">
        <v>37</v>
      </c>
      <c r="Q53" s="33" t="s">
        <v>37</v>
      </c>
      <c r="R53" s="33" t="s">
        <v>37</v>
      </c>
      <c r="S53" s="33" t="s">
        <v>37</v>
      </c>
      <c r="T53" s="33" t="s">
        <v>37</v>
      </c>
      <c r="U53" s="33" t="s">
        <v>37</v>
      </c>
      <c r="V53" s="33" t="s">
        <v>37</v>
      </c>
      <c r="W53" s="33" t="s">
        <v>37</v>
      </c>
      <c r="X53" s="33" t="s">
        <v>37</v>
      </c>
      <c r="Y53" s="33" t="s">
        <v>37</v>
      </c>
      <c r="Z53" s="33" t="s">
        <v>37</v>
      </c>
      <c r="AA53" s="33" t="s">
        <v>37</v>
      </c>
      <c r="AB53" s="33" t="s">
        <v>37</v>
      </c>
      <c r="AC53" s="148" t="s">
        <v>37</v>
      </c>
      <c r="AD53" s="35"/>
      <c r="AE53" s="35"/>
      <c r="AF53" s="35"/>
      <c r="AG53" s="35"/>
      <c r="AH53" s="35"/>
      <c r="AI53" s="35"/>
      <c r="AJ53" s="35"/>
      <c r="AK53" s="35"/>
      <c r="AL53" s="35"/>
      <c r="AM53" s="35">
        <v>201</v>
      </c>
      <c r="AN53" s="35"/>
      <c r="AO53" s="35">
        <f t="shared" si="0"/>
        <v>89</v>
      </c>
      <c r="AP53" s="6">
        <v>528</v>
      </c>
      <c r="AQ53" s="35"/>
      <c r="AR53" s="34">
        <f t="shared" si="1"/>
        <v>327</v>
      </c>
      <c r="AS53" s="35">
        <v>874</v>
      </c>
      <c r="AT53" s="35"/>
      <c r="AU53" s="35">
        <f t="shared" si="2"/>
        <v>346</v>
      </c>
      <c r="AV53" s="6">
        <v>1225</v>
      </c>
      <c r="AW53" s="6"/>
      <c r="AX53" s="35">
        <f t="shared" si="3"/>
        <v>351</v>
      </c>
      <c r="AY53" s="6">
        <v>21</v>
      </c>
      <c r="AZ53" s="6">
        <v>1570</v>
      </c>
      <c r="BA53" s="35">
        <f t="shared" si="4"/>
        <v>366</v>
      </c>
      <c r="BB53" s="6">
        <v>362</v>
      </c>
      <c r="BC53" s="6"/>
      <c r="BD53" s="35">
        <f t="shared" si="5"/>
        <v>341</v>
      </c>
      <c r="BE53" s="6"/>
      <c r="BF53" s="6"/>
      <c r="BG53" s="35"/>
      <c r="BH53" s="6">
        <v>720</v>
      </c>
      <c r="BI53" s="6"/>
      <c r="BJ53" s="35">
        <f t="shared" si="6"/>
        <v>358</v>
      </c>
      <c r="BK53" s="6">
        <v>1082</v>
      </c>
      <c r="BL53" s="35"/>
      <c r="BM53" s="6">
        <f t="shared" si="7"/>
        <v>362</v>
      </c>
      <c r="BN53" s="6">
        <v>301</v>
      </c>
      <c r="BO53" s="6">
        <v>1137</v>
      </c>
      <c r="BP53" s="6">
        <f t="shared" si="8"/>
        <v>356</v>
      </c>
      <c r="BQ53" s="6">
        <v>653</v>
      </c>
      <c r="BR53" s="6"/>
      <c r="BS53" s="35">
        <f t="shared" si="9"/>
        <v>352</v>
      </c>
      <c r="BT53" s="6">
        <v>1020</v>
      </c>
      <c r="BU53" s="6"/>
      <c r="BV53" s="6">
        <f t="shared" si="10"/>
        <v>367</v>
      </c>
      <c r="BW53" s="6">
        <v>1361</v>
      </c>
      <c r="BX53" s="6"/>
      <c r="BY53" s="35">
        <f t="shared" si="11"/>
        <v>341</v>
      </c>
      <c r="BZ53" s="6"/>
      <c r="CA53" s="35"/>
      <c r="CB53" s="6"/>
      <c r="CC53" s="6">
        <v>174</v>
      </c>
      <c r="CD53" s="6">
        <v>1560</v>
      </c>
      <c r="CE53" s="6">
        <f t="shared" si="12"/>
        <v>373</v>
      </c>
      <c r="CF53" s="6">
        <v>533</v>
      </c>
      <c r="CG53" s="35"/>
      <c r="CH53" s="6">
        <f t="shared" si="13"/>
        <v>359</v>
      </c>
      <c r="CI53" s="6">
        <v>899</v>
      </c>
      <c r="CJ53" s="6"/>
      <c r="CK53" s="6">
        <f t="shared" si="14"/>
        <v>366</v>
      </c>
      <c r="CL53" s="6">
        <v>1257</v>
      </c>
      <c r="CM53" s="6"/>
      <c r="CN53" s="6">
        <f t="shared" si="15"/>
        <v>358</v>
      </c>
      <c r="CO53" s="6">
        <v>54</v>
      </c>
      <c r="CP53" s="6">
        <v>1560</v>
      </c>
      <c r="CQ53" s="6">
        <f t="shared" si="16"/>
        <v>357</v>
      </c>
      <c r="CR53" s="6">
        <v>400</v>
      </c>
      <c r="CS53" s="6"/>
      <c r="CT53" s="6">
        <f t="shared" si="17"/>
        <v>346</v>
      </c>
      <c r="CU53" s="6"/>
      <c r="CV53" s="6"/>
      <c r="CW53" s="6"/>
      <c r="CX53" s="6">
        <v>783</v>
      </c>
      <c r="CY53" s="6"/>
      <c r="CZ53" s="6">
        <f t="shared" si="18"/>
        <v>383</v>
      </c>
      <c r="DA53" s="6">
        <v>1143</v>
      </c>
      <c r="DB53" s="6"/>
      <c r="DC53" s="6">
        <f t="shared" si="19"/>
        <v>360</v>
      </c>
      <c r="DD53" s="6">
        <v>1520</v>
      </c>
      <c r="DE53" s="6"/>
      <c r="DF53" s="6">
        <f t="shared" si="20"/>
        <v>377</v>
      </c>
      <c r="DG53" s="6">
        <v>329</v>
      </c>
      <c r="DH53" s="6">
        <v>1560</v>
      </c>
      <c r="DI53" s="6">
        <f t="shared" si="21"/>
        <v>369</v>
      </c>
      <c r="DJ53" s="6">
        <v>0</v>
      </c>
      <c r="DK53" s="6">
        <v>504</v>
      </c>
      <c r="DL53" s="6">
        <f t="shared" si="22"/>
        <v>175</v>
      </c>
      <c r="DM53" s="6">
        <v>326</v>
      </c>
      <c r="DN53" s="6"/>
      <c r="DO53" s="6">
        <f t="shared" si="23"/>
        <v>326</v>
      </c>
    </row>
    <row r="54" spans="1:119">
      <c r="A54" s="6">
        <v>50</v>
      </c>
      <c r="B54" s="6">
        <v>194</v>
      </c>
      <c r="C54" s="6"/>
      <c r="D54" s="6">
        <v>194</v>
      </c>
      <c r="E54" s="283" t="s">
        <v>37</v>
      </c>
      <c r="F54" s="284" t="s">
        <v>37</v>
      </c>
      <c r="G54" s="284" t="s">
        <v>37</v>
      </c>
      <c r="H54" s="284" t="s">
        <v>37</v>
      </c>
      <c r="I54" s="284" t="s">
        <v>37</v>
      </c>
      <c r="J54" s="284" t="s">
        <v>37</v>
      </c>
      <c r="K54" s="284" t="s">
        <v>37</v>
      </c>
      <c r="L54" s="284" t="s">
        <v>37</v>
      </c>
      <c r="M54" s="284" t="s">
        <v>37</v>
      </c>
      <c r="N54" s="284" t="s">
        <v>37</v>
      </c>
      <c r="O54" s="284" t="s">
        <v>37</v>
      </c>
      <c r="P54" s="284" t="s">
        <v>37</v>
      </c>
      <c r="Q54" s="284" t="s">
        <v>37</v>
      </c>
      <c r="R54" s="284" t="s">
        <v>37</v>
      </c>
      <c r="S54" s="284" t="s">
        <v>37</v>
      </c>
      <c r="T54" s="284" t="s">
        <v>37</v>
      </c>
      <c r="U54" s="284" t="s">
        <v>37</v>
      </c>
      <c r="V54" s="284" t="s">
        <v>37</v>
      </c>
      <c r="W54" s="284" t="s">
        <v>37</v>
      </c>
      <c r="X54" s="284" t="s">
        <v>37</v>
      </c>
      <c r="Y54" s="284" t="s">
        <v>37</v>
      </c>
      <c r="Z54" s="284" t="s">
        <v>37</v>
      </c>
      <c r="AA54" s="283" t="s">
        <v>37</v>
      </c>
      <c r="AB54" s="284" t="s">
        <v>37</v>
      </c>
      <c r="AC54" s="284" t="s">
        <v>37</v>
      </c>
      <c r="AD54" s="6"/>
      <c r="AE54" s="6"/>
      <c r="AF54" s="35"/>
      <c r="AG54" s="6"/>
      <c r="AH54" s="6"/>
      <c r="AI54" s="35"/>
      <c r="AJ54" s="35"/>
      <c r="AK54" s="35"/>
      <c r="AL54" s="35"/>
      <c r="AM54" s="6">
        <v>594</v>
      </c>
      <c r="AN54" s="6"/>
      <c r="AO54" s="35">
        <f t="shared" si="0"/>
        <v>400</v>
      </c>
      <c r="AP54" s="6">
        <v>967</v>
      </c>
      <c r="AQ54" s="6"/>
      <c r="AR54" s="34">
        <f t="shared" si="1"/>
        <v>373</v>
      </c>
      <c r="AS54" s="35">
        <v>1338</v>
      </c>
      <c r="AT54" s="35"/>
      <c r="AU54" s="35">
        <f t="shared" si="2"/>
        <v>371</v>
      </c>
      <c r="AV54" s="6">
        <v>140</v>
      </c>
      <c r="AW54" s="6">
        <v>1561</v>
      </c>
      <c r="AX54" s="35">
        <f t="shared" si="3"/>
        <v>363</v>
      </c>
      <c r="AY54" s="6">
        <v>513</v>
      </c>
      <c r="AZ54" s="6"/>
      <c r="BA54" s="35">
        <f t="shared" si="4"/>
        <v>373</v>
      </c>
      <c r="BB54" s="35">
        <v>867</v>
      </c>
      <c r="BC54" s="35"/>
      <c r="BD54" s="35">
        <f t="shared" si="5"/>
        <v>354</v>
      </c>
      <c r="BE54" s="6"/>
      <c r="BF54" s="6"/>
      <c r="BG54" s="35"/>
      <c r="BH54" s="6">
        <v>1235</v>
      </c>
      <c r="BI54" s="6"/>
      <c r="BJ54" s="35">
        <f t="shared" si="6"/>
        <v>368</v>
      </c>
      <c r="BK54" s="6">
        <v>54</v>
      </c>
      <c r="BL54" s="6">
        <v>1560</v>
      </c>
      <c r="BM54" s="6">
        <f t="shared" si="7"/>
        <v>379</v>
      </c>
      <c r="BN54" s="6">
        <v>433</v>
      </c>
      <c r="BO54" s="6"/>
      <c r="BP54" s="6">
        <f t="shared" si="8"/>
        <v>379</v>
      </c>
      <c r="BQ54" s="6">
        <v>811</v>
      </c>
      <c r="BR54" s="6"/>
      <c r="BS54" s="35">
        <f t="shared" si="9"/>
        <v>378</v>
      </c>
      <c r="BT54" s="6">
        <v>1192</v>
      </c>
      <c r="BU54" s="6"/>
      <c r="BV54" s="6">
        <f t="shared" si="10"/>
        <v>381</v>
      </c>
      <c r="BW54" s="6">
        <v>1547</v>
      </c>
      <c r="BX54" s="6"/>
      <c r="BY54" s="35">
        <f t="shared" si="11"/>
        <v>355</v>
      </c>
      <c r="BZ54" s="6"/>
      <c r="CA54" s="6"/>
      <c r="CB54" s="6"/>
      <c r="CC54" s="6">
        <v>355</v>
      </c>
      <c r="CD54" s="6">
        <v>1560</v>
      </c>
      <c r="CE54" s="6">
        <f t="shared" si="12"/>
        <v>368</v>
      </c>
      <c r="CF54" s="6">
        <v>730</v>
      </c>
      <c r="CG54" s="6"/>
      <c r="CH54" s="6">
        <f t="shared" si="13"/>
        <v>375</v>
      </c>
      <c r="CI54" s="6">
        <v>250</v>
      </c>
      <c r="CJ54" s="6">
        <v>832</v>
      </c>
      <c r="CK54" s="6">
        <f t="shared" si="14"/>
        <v>352</v>
      </c>
      <c r="CL54" s="6">
        <v>623</v>
      </c>
      <c r="CM54" s="6"/>
      <c r="CN54" s="6">
        <f t="shared" si="15"/>
        <v>373</v>
      </c>
      <c r="CO54" s="6">
        <v>999</v>
      </c>
      <c r="CP54" s="6"/>
      <c r="CQ54" s="6">
        <f t="shared" si="16"/>
        <v>376</v>
      </c>
      <c r="CR54" s="6">
        <v>1353</v>
      </c>
      <c r="CS54" s="6"/>
      <c r="CT54" s="6">
        <f t="shared" si="17"/>
        <v>354</v>
      </c>
      <c r="CU54" s="6"/>
      <c r="CV54" s="6"/>
      <c r="CW54" s="6"/>
      <c r="CX54" s="6">
        <v>154</v>
      </c>
      <c r="CY54" s="6">
        <v>1560</v>
      </c>
      <c r="CZ54" s="6">
        <f t="shared" si="18"/>
        <v>361</v>
      </c>
      <c r="DA54" s="6">
        <v>528</v>
      </c>
      <c r="DB54" s="6"/>
      <c r="DC54" s="6">
        <f t="shared" si="19"/>
        <v>374</v>
      </c>
      <c r="DD54" s="6">
        <v>0</v>
      </c>
      <c r="DE54" s="6">
        <v>795</v>
      </c>
      <c r="DF54" s="6">
        <f t="shared" si="20"/>
        <v>267</v>
      </c>
      <c r="DG54" s="6">
        <v>337</v>
      </c>
      <c r="DH54" s="6"/>
      <c r="DI54" s="6">
        <f t="shared" si="21"/>
        <v>337</v>
      </c>
      <c r="DJ54" s="6">
        <v>319</v>
      </c>
      <c r="DK54" s="6">
        <v>381</v>
      </c>
      <c r="DL54" s="6">
        <f t="shared" si="22"/>
        <v>363</v>
      </c>
      <c r="DM54" s="6">
        <v>667</v>
      </c>
      <c r="DN54" s="6"/>
      <c r="DO54" s="6">
        <f t="shared" si="23"/>
        <v>348</v>
      </c>
    </row>
    <row r="55" spans="1:119">
      <c r="A55" s="6">
        <v>51</v>
      </c>
      <c r="B55" s="6">
        <v>908</v>
      </c>
      <c r="C55" s="6"/>
      <c r="D55" s="6">
        <v>207</v>
      </c>
      <c r="E55" s="33" t="s">
        <v>307</v>
      </c>
      <c r="F55" s="33" t="s">
        <v>307</v>
      </c>
      <c r="G55" s="33" t="s">
        <v>307</v>
      </c>
      <c r="H55" s="33" t="s">
        <v>307</v>
      </c>
      <c r="I55" s="33" t="s">
        <v>307</v>
      </c>
      <c r="J55" s="33" t="s">
        <v>307</v>
      </c>
      <c r="K55" s="33" t="s">
        <v>307</v>
      </c>
      <c r="L55" s="33" t="s">
        <v>307</v>
      </c>
      <c r="M55" s="33" t="s">
        <v>307</v>
      </c>
      <c r="N55" s="33" t="s">
        <v>307</v>
      </c>
      <c r="O55" s="33" t="s">
        <v>307</v>
      </c>
      <c r="P55" s="33" t="s">
        <v>307</v>
      </c>
      <c r="Q55" s="33" t="s">
        <v>307</v>
      </c>
      <c r="R55" s="33" t="s">
        <v>307</v>
      </c>
      <c r="S55" s="33" t="s">
        <v>307</v>
      </c>
      <c r="T55" s="148" t="s">
        <v>307</v>
      </c>
      <c r="U55" s="33" t="s">
        <v>307</v>
      </c>
      <c r="V55" s="33" t="s">
        <v>307</v>
      </c>
      <c r="W55" s="33" t="s">
        <v>307</v>
      </c>
      <c r="X55" s="33" t="s">
        <v>307</v>
      </c>
      <c r="Y55" s="33" t="s">
        <v>307</v>
      </c>
      <c r="Z55" s="33" t="s">
        <v>307</v>
      </c>
      <c r="AA55" s="33" t="s">
        <v>307</v>
      </c>
      <c r="AB55" s="33" t="s">
        <v>307</v>
      </c>
      <c r="AC55" s="33" t="s">
        <v>307</v>
      </c>
      <c r="AD55" s="6"/>
      <c r="AE55" s="6"/>
      <c r="AF55" s="35"/>
      <c r="AG55" s="6"/>
      <c r="AH55" s="6"/>
      <c r="AI55" s="35"/>
      <c r="AJ55" s="35"/>
      <c r="AK55" s="35"/>
      <c r="AL55" s="35"/>
      <c r="AM55" s="6">
        <v>315</v>
      </c>
      <c r="AN55" s="6">
        <v>970</v>
      </c>
      <c r="AO55" s="35">
        <f t="shared" si="0"/>
        <v>377</v>
      </c>
      <c r="AP55" s="6">
        <v>702</v>
      </c>
      <c r="AQ55" s="6"/>
      <c r="AR55" s="34">
        <f t="shared" si="1"/>
        <v>387</v>
      </c>
      <c r="AS55" s="35">
        <v>1099</v>
      </c>
      <c r="AT55" s="35"/>
      <c r="AU55" s="35">
        <f t="shared" si="2"/>
        <v>397</v>
      </c>
      <c r="AV55" s="6">
        <v>1497</v>
      </c>
      <c r="AW55" s="6"/>
      <c r="AX55" s="35">
        <f t="shared" si="3"/>
        <v>398</v>
      </c>
      <c r="AY55" s="6">
        <v>335</v>
      </c>
      <c r="AZ55" s="6">
        <v>1560</v>
      </c>
      <c r="BA55" s="35">
        <f t="shared" si="4"/>
        <v>398</v>
      </c>
      <c r="BB55" s="35">
        <v>708</v>
      </c>
      <c r="BC55" s="35"/>
      <c r="BD55" s="35">
        <f t="shared" si="5"/>
        <v>373</v>
      </c>
      <c r="BE55" s="6"/>
      <c r="BF55" s="6"/>
      <c r="BG55" s="35"/>
      <c r="BH55" s="6">
        <v>365</v>
      </c>
      <c r="BI55" s="6">
        <v>722</v>
      </c>
      <c r="BJ55" s="35">
        <f t="shared" si="6"/>
        <v>379</v>
      </c>
      <c r="BK55" s="6">
        <v>10</v>
      </c>
      <c r="BL55" s="6">
        <v>657</v>
      </c>
      <c r="BM55" s="6">
        <f t="shared" si="7"/>
        <v>302</v>
      </c>
      <c r="BN55" s="6">
        <v>400</v>
      </c>
      <c r="BO55" s="6"/>
      <c r="BP55" s="6">
        <f t="shared" si="8"/>
        <v>390</v>
      </c>
      <c r="BQ55" s="6">
        <v>782</v>
      </c>
      <c r="BR55" s="6"/>
      <c r="BS55" s="35">
        <f t="shared" si="9"/>
        <v>382</v>
      </c>
      <c r="BT55" s="6">
        <v>1157</v>
      </c>
      <c r="BU55" s="6"/>
      <c r="BV55" s="6">
        <f t="shared" si="10"/>
        <v>375</v>
      </c>
      <c r="BW55" s="6">
        <v>1513</v>
      </c>
      <c r="BX55" s="6"/>
      <c r="BY55" s="35">
        <f t="shared" si="11"/>
        <v>356</v>
      </c>
      <c r="BZ55" s="6"/>
      <c r="CA55" s="6"/>
      <c r="CB55" s="6"/>
      <c r="CC55" s="6">
        <v>335</v>
      </c>
      <c r="CD55" s="6">
        <v>1560</v>
      </c>
      <c r="CE55" s="6">
        <f t="shared" si="12"/>
        <v>382</v>
      </c>
      <c r="CF55" s="6">
        <v>713</v>
      </c>
      <c r="CG55" s="6"/>
      <c r="CH55" s="6">
        <f t="shared" si="13"/>
        <v>378</v>
      </c>
      <c r="CI55" s="6">
        <v>244</v>
      </c>
      <c r="CJ55" s="6">
        <v>825</v>
      </c>
      <c r="CK55" s="6">
        <f t="shared" si="14"/>
        <v>356</v>
      </c>
      <c r="CL55" s="6">
        <v>624</v>
      </c>
      <c r="CM55" s="6"/>
      <c r="CN55" s="6">
        <f t="shared" si="15"/>
        <v>380</v>
      </c>
      <c r="CO55" s="6">
        <v>1006</v>
      </c>
      <c r="CP55" s="6"/>
      <c r="CQ55" s="6">
        <f t="shared" si="16"/>
        <v>382</v>
      </c>
      <c r="CR55" s="6">
        <v>1367</v>
      </c>
      <c r="CS55" s="6"/>
      <c r="CT55" s="6">
        <f t="shared" si="17"/>
        <v>361</v>
      </c>
      <c r="CU55" s="6"/>
      <c r="CV55" s="6"/>
      <c r="CW55" s="6"/>
      <c r="CX55" s="6">
        <v>195</v>
      </c>
      <c r="CY55" s="6">
        <v>1560</v>
      </c>
      <c r="CZ55" s="6">
        <f t="shared" si="18"/>
        <v>388</v>
      </c>
      <c r="DA55" s="6">
        <v>576</v>
      </c>
      <c r="DB55" s="6"/>
      <c r="DC55" s="6">
        <f t="shared" si="19"/>
        <v>381</v>
      </c>
      <c r="DD55" s="6">
        <v>964</v>
      </c>
      <c r="DE55" s="6"/>
      <c r="DF55" s="6">
        <f t="shared" si="20"/>
        <v>388</v>
      </c>
      <c r="DG55" s="6">
        <v>85</v>
      </c>
      <c r="DH55" s="6">
        <v>1263</v>
      </c>
      <c r="DI55" s="6">
        <f t="shared" si="21"/>
        <v>384</v>
      </c>
      <c r="DJ55" s="6">
        <v>472</v>
      </c>
      <c r="DK55" s="6"/>
      <c r="DL55" s="6">
        <f t="shared" si="22"/>
        <v>387</v>
      </c>
      <c r="DM55" s="6">
        <v>28</v>
      </c>
      <c r="DN55" s="6">
        <v>787</v>
      </c>
      <c r="DO55" s="6">
        <f t="shared" si="23"/>
        <v>343</v>
      </c>
    </row>
    <row r="56" spans="1:119">
      <c r="A56" s="6">
        <v>52</v>
      </c>
      <c r="B56" s="6">
        <v>1156</v>
      </c>
      <c r="C56" s="6"/>
      <c r="D56" s="6">
        <v>183</v>
      </c>
      <c r="E56" s="33" t="s">
        <v>130</v>
      </c>
      <c r="F56" s="33" t="s">
        <v>130</v>
      </c>
      <c r="G56" s="33" t="s">
        <v>130</v>
      </c>
      <c r="H56" s="33" t="s">
        <v>130</v>
      </c>
      <c r="I56" s="33" t="s">
        <v>130</v>
      </c>
      <c r="J56" s="33" t="s">
        <v>130</v>
      </c>
      <c r="K56" s="148" t="s">
        <v>37</v>
      </c>
      <c r="L56" s="33" t="s">
        <v>37</v>
      </c>
      <c r="M56" s="33" t="s">
        <v>37</v>
      </c>
      <c r="N56" s="33" t="s">
        <v>37</v>
      </c>
      <c r="O56" s="33" t="s">
        <v>37</v>
      </c>
      <c r="P56" s="33" t="s">
        <v>37</v>
      </c>
      <c r="Q56" s="33" t="s">
        <v>37</v>
      </c>
      <c r="R56" s="33" t="s">
        <v>37</v>
      </c>
      <c r="S56" s="33" t="s">
        <v>37</v>
      </c>
      <c r="T56" s="33" t="s">
        <v>37</v>
      </c>
      <c r="U56" s="33" t="s">
        <v>37</v>
      </c>
      <c r="V56" s="33" t="s">
        <v>37</v>
      </c>
      <c r="W56" s="33" t="s">
        <v>37</v>
      </c>
      <c r="X56" s="33" t="s">
        <v>37</v>
      </c>
      <c r="Y56" s="33" t="s">
        <v>37</v>
      </c>
      <c r="Z56" s="33" t="s">
        <v>37</v>
      </c>
      <c r="AA56" s="33" t="s">
        <v>37</v>
      </c>
      <c r="AB56" s="33" t="s">
        <v>37</v>
      </c>
      <c r="AC56" s="33" t="s">
        <v>37</v>
      </c>
      <c r="AD56" s="6"/>
      <c r="AE56" s="6"/>
      <c r="AF56" s="35"/>
      <c r="AG56" s="6"/>
      <c r="AH56" s="6"/>
      <c r="AI56" s="35"/>
      <c r="AJ56" s="35"/>
      <c r="AK56" s="35"/>
      <c r="AL56" s="35"/>
      <c r="AM56" s="6">
        <v>317</v>
      </c>
      <c r="AN56" s="6">
        <v>1200</v>
      </c>
      <c r="AO56" s="35">
        <f t="shared" si="0"/>
        <v>361</v>
      </c>
      <c r="AP56" s="6">
        <v>657</v>
      </c>
      <c r="AQ56" s="6"/>
      <c r="AR56" s="34">
        <f t="shared" si="1"/>
        <v>340</v>
      </c>
      <c r="AS56" s="35">
        <v>995</v>
      </c>
      <c r="AT56" s="35"/>
      <c r="AU56" s="35">
        <f t="shared" si="2"/>
        <v>338</v>
      </c>
      <c r="AV56" s="6">
        <v>142</v>
      </c>
      <c r="AW56" s="6">
        <v>1200</v>
      </c>
      <c r="AX56" s="35">
        <f t="shared" si="3"/>
        <v>347</v>
      </c>
      <c r="AY56" s="6">
        <v>484</v>
      </c>
      <c r="AZ56" s="6"/>
      <c r="BA56" s="35">
        <f t="shared" si="4"/>
        <v>342</v>
      </c>
      <c r="BB56" s="35">
        <v>345</v>
      </c>
      <c r="BC56" s="35">
        <v>489</v>
      </c>
      <c r="BD56" s="35">
        <f t="shared" si="5"/>
        <v>350</v>
      </c>
      <c r="BE56" s="35"/>
      <c r="BF56" s="6"/>
      <c r="BG56" s="35"/>
      <c r="BH56" s="35">
        <v>730</v>
      </c>
      <c r="BI56" s="6"/>
      <c r="BJ56" s="35">
        <f t="shared" si="6"/>
        <v>385</v>
      </c>
      <c r="BK56" s="6">
        <v>1107</v>
      </c>
      <c r="BL56" s="6"/>
      <c r="BM56" s="6">
        <f t="shared" si="7"/>
        <v>377</v>
      </c>
      <c r="BN56" s="6">
        <v>1485</v>
      </c>
      <c r="BO56" s="6"/>
      <c r="BP56" s="6">
        <f t="shared" si="8"/>
        <v>378</v>
      </c>
      <c r="BQ56" s="6">
        <v>295</v>
      </c>
      <c r="BR56" s="6">
        <v>1560</v>
      </c>
      <c r="BS56" s="35">
        <f t="shared" si="9"/>
        <v>370</v>
      </c>
      <c r="BT56" s="6">
        <v>669</v>
      </c>
      <c r="BU56" s="6"/>
      <c r="BV56" s="6">
        <f t="shared" si="10"/>
        <v>374</v>
      </c>
      <c r="BW56" s="6">
        <v>1020</v>
      </c>
      <c r="BX56" s="6"/>
      <c r="BY56" s="35">
        <f t="shared" si="11"/>
        <v>351</v>
      </c>
      <c r="BZ56" s="6"/>
      <c r="CA56" s="6"/>
      <c r="CB56" s="6"/>
      <c r="CC56" s="6">
        <v>1404</v>
      </c>
      <c r="CD56" s="6"/>
      <c r="CE56" s="6">
        <f t="shared" si="12"/>
        <v>384</v>
      </c>
      <c r="CF56" s="6">
        <v>219</v>
      </c>
      <c r="CG56" s="6">
        <v>1560</v>
      </c>
      <c r="CH56" s="6">
        <f t="shared" si="13"/>
        <v>375</v>
      </c>
      <c r="CI56" s="6">
        <v>601</v>
      </c>
      <c r="CJ56" s="6"/>
      <c r="CK56" s="6">
        <f t="shared" si="14"/>
        <v>382</v>
      </c>
      <c r="CL56" s="6">
        <v>982</v>
      </c>
      <c r="CM56" s="6"/>
      <c r="CN56" s="6">
        <f t="shared" si="15"/>
        <v>381</v>
      </c>
      <c r="CO56" s="6">
        <v>1361</v>
      </c>
      <c r="CP56" s="6"/>
      <c r="CQ56" s="6">
        <f t="shared" si="16"/>
        <v>379</v>
      </c>
      <c r="CR56" s="6">
        <v>153</v>
      </c>
      <c r="CS56" s="6">
        <v>1565</v>
      </c>
      <c r="CT56" s="6">
        <f t="shared" si="17"/>
        <v>357</v>
      </c>
      <c r="CU56" s="6"/>
      <c r="CV56" s="6"/>
      <c r="CW56" s="6"/>
      <c r="CX56" s="6">
        <v>523</v>
      </c>
      <c r="CY56" s="6"/>
      <c r="CZ56" s="6">
        <f t="shared" si="18"/>
        <v>370</v>
      </c>
      <c r="DA56" s="6">
        <v>69</v>
      </c>
      <c r="DB56" s="6">
        <v>812</v>
      </c>
      <c r="DC56" s="6">
        <f t="shared" si="19"/>
        <v>358</v>
      </c>
      <c r="DD56" s="6">
        <v>448</v>
      </c>
      <c r="DE56" s="6"/>
      <c r="DF56" s="6">
        <f t="shared" si="20"/>
        <v>379</v>
      </c>
      <c r="DG56" s="6">
        <v>823</v>
      </c>
      <c r="DH56" s="6"/>
      <c r="DI56" s="6">
        <f t="shared" si="21"/>
        <v>375</v>
      </c>
      <c r="DJ56" s="6">
        <v>134</v>
      </c>
      <c r="DK56" s="6">
        <v>1058</v>
      </c>
      <c r="DL56" s="6">
        <f t="shared" si="22"/>
        <v>369</v>
      </c>
      <c r="DM56" s="6">
        <v>482</v>
      </c>
      <c r="DN56" s="6"/>
      <c r="DO56" s="6">
        <f t="shared" si="23"/>
        <v>348</v>
      </c>
    </row>
    <row r="57" spans="1:119">
      <c r="A57" s="6">
        <v>53</v>
      </c>
      <c r="B57" s="6">
        <v>858</v>
      </c>
      <c r="C57" s="6"/>
      <c r="D57" s="6">
        <v>184</v>
      </c>
      <c r="E57" s="169" t="s">
        <v>130</v>
      </c>
      <c r="F57" s="169" t="s">
        <v>130</v>
      </c>
      <c r="G57" s="169" t="s">
        <v>130</v>
      </c>
      <c r="H57" s="169" t="s">
        <v>130</v>
      </c>
      <c r="I57" s="169" t="s">
        <v>130</v>
      </c>
      <c r="J57" s="169" t="s">
        <v>130</v>
      </c>
      <c r="K57" s="169" t="s">
        <v>130</v>
      </c>
      <c r="L57" s="169" t="s">
        <v>130</v>
      </c>
      <c r="M57" s="169" t="s">
        <v>130</v>
      </c>
      <c r="N57" s="169" t="s">
        <v>130</v>
      </c>
      <c r="O57" s="169" t="s">
        <v>130</v>
      </c>
      <c r="P57" s="169" t="s">
        <v>130</v>
      </c>
      <c r="Q57" s="169" t="s">
        <v>130</v>
      </c>
      <c r="R57" s="169" t="s">
        <v>130</v>
      </c>
      <c r="S57" s="169" t="s">
        <v>130</v>
      </c>
      <c r="T57" s="169" t="s">
        <v>130</v>
      </c>
      <c r="U57" s="311" t="s">
        <v>320</v>
      </c>
      <c r="V57" s="312" t="s">
        <v>320</v>
      </c>
      <c r="W57" s="312" t="s">
        <v>320</v>
      </c>
      <c r="X57" s="312" t="s">
        <v>320</v>
      </c>
      <c r="Y57" s="312" t="s">
        <v>320</v>
      </c>
      <c r="Z57" s="312" t="s">
        <v>320</v>
      </c>
      <c r="AA57" s="312" t="s">
        <v>320</v>
      </c>
      <c r="AB57" s="312" t="s">
        <v>320</v>
      </c>
      <c r="AC57" s="312" t="s">
        <v>320</v>
      </c>
      <c r="AD57" s="6"/>
      <c r="AE57" s="6"/>
      <c r="AF57" s="35"/>
      <c r="AG57" s="6"/>
      <c r="AH57" s="6"/>
      <c r="AI57" s="35"/>
      <c r="AJ57" s="35"/>
      <c r="AK57" s="35"/>
      <c r="AL57" s="35"/>
      <c r="AM57" s="6">
        <v>24</v>
      </c>
      <c r="AN57" s="6">
        <v>1200</v>
      </c>
      <c r="AO57" s="35">
        <f t="shared" si="0"/>
        <v>366</v>
      </c>
      <c r="AP57" s="6">
        <v>369</v>
      </c>
      <c r="AQ57" s="6"/>
      <c r="AR57" s="34">
        <f t="shared" si="1"/>
        <v>345</v>
      </c>
      <c r="AS57" s="35">
        <v>712</v>
      </c>
      <c r="AT57" s="35"/>
      <c r="AU57" s="35">
        <f t="shared" si="2"/>
        <v>343</v>
      </c>
      <c r="AV57" s="6">
        <v>1055</v>
      </c>
      <c r="AW57" s="6"/>
      <c r="AX57" s="35">
        <f t="shared" si="3"/>
        <v>343</v>
      </c>
      <c r="AY57" s="6">
        <v>200</v>
      </c>
      <c r="AZ57" s="6">
        <v>1190</v>
      </c>
      <c r="BA57" s="35">
        <f t="shared" si="4"/>
        <v>335</v>
      </c>
      <c r="BB57" s="35">
        <v>535</v>
      </c>
      <c r="BC57" s="35"/>
      <c r="BD57" s="35">
        <f t="shared" si="5"/>
        <v>335</v>
      </c>
      <c r="BE57" s="6"/>
      <c r="BF57" s="6"/>
      <c r="BG57" s="35"/>
      <c r="BH57" s="6">
        <v>885</v>
      </c>
      <c r="BI57" s="6"/>
      <c r="BJ57" s="35">
        <f t="shared" si="6"/>
        <v>350</v>
      </c>
      <c r="BK57" s="6">
        <v>27</v>
      </c>
      <c r="BL57" s="6">
        <v>1200</v>
      </c>
      <c r="BM57" s="6">
        <f t="shared" si="7"/>
        <v>342</v>
      </c>
      <c r="BN57" s="6">
        <v>375</v>
      </c>
      <c r="BO57" s="6"/>
      <c r="BP57" s="6">
        <f t="shared" si="8"/>
        <v>348</v>
      </c>
      <c r="BQ57" s="6">
        <v>724</v>
      </c>
      <c r="BR57" s="6"/>
      <c r="BS57" s="35">
        <f t="shared" si="9"/>
        <v>349</v>
      </c>
      <c r="BT57" s="6">
        <v>1075</v>
      </c>
      <c r="BU57" s="6"/>
      <c r="BV57" s="6">
        <f t="shared" si="10"/>
        <v>351</v>
      </c>
      <c r="BW57" s="6">
        <v>201</v>
      </c>
      <c r="BX57" s="6">
        <v>1200</v>
      </c>
      <c r="BY57" s="35">
        <f t="shared" si="11"/>
        <v>326</v>
      </c>
      <c r="BZ57" s="6"/>
      <c r="CA57" s="6"/>
      <c r="CB57" s="6"/>
      <c r="CC57" s="6">
        <v>539</v>
      </c>
      <c r="CD57" s="6"/>
      <c r="CE57" s="6">
        <f t="shared" si="12"/>
        <v>338</v>
      </c>
      <c r="CF57" s="6">
        <v>886</v>
      </c>
      <c r="CG57" s="6"/>
      <c r="CH57" s="6">
        <f t="shared" si="13"/>
        <v>347</v>
      </c>
      <c r="CI57" s="6">
        <v>0</v>
      </c>
      <c r="CJ57" s="6">
        <v>1123</v>
      </c>
      <c r="CK57" s="6">
        <f t="shared" si="14"/>
        <v>237</v>
      </c>
      <c r="CL57" s="6">
        <v>335</v>
      </c>
      <c r="CM57" s="6"/>
      <c r="CN57" s="6">
        <f t="shared" si="15"/>
        <v>335</v>
      </c>
      <c r="CO57" s="6">
        <v>684</v>
      </c>
      <c r="CP57" s="6"/>
      <c r="CQ57" s="6">
        <f t="shared" si="16"/>
        <v>349</v>
      </c>
      <c r="CR57" s="6">
        <v>1007</v>
      </c>
      <c r="CS57" s="6"/>
      <c r="CT57" s="6">
        <f t="shared" si="17"/>
        <v>323</v>
      </c>
      <c r="CU57" s="6"/>
      <c r="CV57" s="6"/>
      <c r="CW57" s="6"/>
      <c r="CX57" s="6">
        <v>155</v>
      </c>
      <c r="CY57" s="6">
        <v>1200</v>
      </c>
      <c r="CZ57" s="6">
        <f t="shared" si="18"/>
        <v>348</v>
      </c>
      <c r="DA57" s="6">
        <v>496</v>
      </c>
      <c r="DB57" s="6"/>
      <c r="DC57" s="6">
        <f t="shared" si="19"/>
        <v>341</v>
      </c>
      <c r="DD57" s="6">
        <v>846</v>
      </c>
      <c r="DE57" s="6"/>
      <c r="DF57" s="6">
        <f t="shared" si="20"/>
        <v>350</v>
      </c>
      <c r="DG57" s="6">
        <v>1193</v>
      </c>
      <c r="DH57" s="6"/>
      <c r="DI57" s="6">
        <f t="shared" si="21"/>
        <v>347</v>
      </c>
      <c r="DJ57" s="6">
        <v>341</v>
      </c>
      <c r="DK57" s="6">
        <v>1200</v>
      </c>
      <c r="DL57" s="6">
        <f t="shared" si="22"/>
        <v>348</v>
      </c>
      <c r="DM57" s="6">
        <v>654</v>
      </c>
      <c r="DN57" s="6"/>
      <c r="DO57" s="6">
        <f t="shared" si="23"/>
        <v>313</v>
      </c>
    </row>
    <row r="58" spans="1:119">
      <c r="A58" s="6">
        <v>54</v>
      </c>
      <c r="B58" s="6">
        <v>65</v>
      </c>
      <c r="C58" s="6">
        <v>1210</v>
      </c>
      <c r="D58" s="6">
        <v>185</v>
      </c>
      <c r="E58" s="33" t="s">
        <v>130</v>
      </c>
      <c r="F58" s="33" t="s">
        <v>130</v>
      </c>
      <c r="G58" s="33" t="s">
        <v>130</v>
      </c>
      <c r="H58" s="33" t="s">
        <v>130</v>
      </c>
      <c r="I58" s="148" t="s">
        <v>320</v>
      </c>
      <c r="J58" s="33" t="s">
        <v>320</v>
      </c>
      <c r="K58" s="33" t="s">
        <v>320</v>
      </c>
      <c r="L58" s="33" t="s">
        <v>320</v>
      </c>
      <c r="M58" s="33" t="s">
        <v>320</v>
      </c>
      <c r="N58" s="33" t="s">
        <v>320</v>
      </c>
      <c r="O58" s="33" t="s">
        <v>320</v>
      </c>
      <c r="P58" s="33" t="s">
        <v>320</v>
      </c>
      <c r="Q58" s="33" t="s">
        <v>320</v>
      </c>
      <c r="R58" s="33" t="s">
        <v>320</v>
      </c>
      <c r="S58" s="33" t="s">
        <v>320</v>
      </c>
      <c r="T58" s="33" t="s">
        <v>320</v>
      </c>
      <c r="U58" s="33" t="s">
        <v>320</v>
      </c>
      <c r="V58" s="33" t="s">
        <v>320</v>
      </c>
      <c r="W58" s="33" t="s">
        <v>320</v>
      </c>
      <c r="X58" s="33" t="s">
        <v>320</v>
      </c>
      <c r="Y58" s="33" t="s">
        <v>320</v>
      </c>
      <c r="Z58" s="33" t="s">
        <v>320</v>
      </c>
      <c r="AA58" s="148" t="s">
        <v>320</v>
      </c>
      <c r="AB58" s="33" t="s">
        <v>320</v>
      </c>
      <c r="AC58" s="33" t="s">
        <v>320</v>
      </c>
      <c r="AD58" s="35"/>
      <c r="AE58" s="35"/>
      <c r="AF58" s="35"/>
      <c r="AG58" s="35"/>
      <c r="AH58" s="35"/>
      <c r="AI58" s="35"/>
      <c r="AJ58" s="35"/>
      <c r="AK58" s="35"/>
      <c r="AL58" s="35"/>
      <c r="AM58" s="6">
        <v>418</v>
      </c>
      <c r="AN58" s="35"/>
      <c r="AO58" s="35">
        <f t="shared" si="0"/>
        <v>353</v>
      </c>
      <c r="AP58" s="6">
        <v>744</v>
      </c>
      <c r="AQ58" s="6"/>
      <c r="AR58" s="34">
        <f t="shared" si="1"/>
        <v>326</v>
      </c>
      <c r="AS58" s="35">
        <v>1082</v>
      </c>
      <c r="AT58" s="35"/>
      <c r="AU58" s="35">
        <f t="shared" si="2"/>
        <v>338</v>
      </c>
      <c r="AV58" s="6">
        <v>293</v>
      </c>
      <c r="AW58" s="6">
        <v>1093</v>
      </c>
      <c r="AX58" s="35">
        <f t="shared" si="3"/>
        <v>304</v>
      </c>
      <c r="AY58" s="35">
        <v>625</v>
      </c>
      <c r="AZ58" s="6"/>
      <c r="BA58" s="35">
        <f t="shared" si="4"/>
        <v>332</v>
      </c>
      <c r="BB58" s="6">
        <v>156</v>
      </c>
      <c r="BC58" s="6">
        <v>768</v>
      </c>
      <c r="BD58" s="35">
        <f t="shared" si="5"/>
        <v>299</v>
      </c>
      <c r="BE58" s="6"/>
      <c r="BF58" s="6"/>
      <c r="BG58" s="35"/>
      <c r="BH58" s="6">
        <v>169</v>
      </c>
      <c r="BI58" s="6">
        <v>286</v>
      </c>
      <c r="BJ58" s="35">
        <f t="shared" si="6"/>
        <v>299</v>
      </c>
      <c r="BK58" s="6">
        <v>504</v>
      </c>
      <c r="BL58" s="35"/>
      <c r="BM58" s="6">
        <f t="shared" si="7"/>
        <v>335</v>
      </c>
      <c r="BN58" s="6">
        <v>848</v>
      </c>
      <c r="BO58" s="6"/>
      <c r="BP58" s="6">
        <f t="shared" si="8"/>
        <v>344</v>
      </c>
      <c r="BQ58" s="6">
        <v>1188</v>
      </c>
      <c r="BR58" s="6"/>
      <c r="BS58" s="35">
        <f t="shared" si="9"/>
        <v>340</v>
      </c>
      <c r="BT58" s="6">
        <v>321</v>
      </c>
      <c r="BU58" s="6">
        <v>1200</v>
      </c>
      <c r="BV58" s="6">
        <f t="shared" si="10"/>
        <v>333</v>
      </c>
      <c r="BW58" s="6">
        <v>611</v>
      </c>
      <c r="BX58" s="6"/>
      <c r="BY58" s="35">
        <f t="shared" si="11"/>
        <v>290</v>
      </c>
      <c r="BZ58" s="6"/>
      <c r="CA58" s="35"/>
      <c r="CB58" s="6"/>
      <c r="CC58" s="6">
        <v>123</v>
      </c>
      <c r="CD58" s="6">
        <v>794</v>
      </c>
      <c r="CE58" s="6">
        <f t="shared" si="12"/>
        <v>306</v>
      </c>
      <c r="CF58" s="6">
        <v>463</v>
      </c>
      <c r="CG58" s="35"/>
      <c r="CH58" s="6">
        <f t="shared" si="13"/>
        <v>340</v>
      </c>
      <c r="CI58" s="6">
        <v>807</v>
      </c>
      <c r="CJ58" s="6"/>
      <c r="CK58" s="6">
        <f t="shared" si="14"/>
        <v>344</v>
      </c>
      <c r="CL58" s="6">
        <v>1145</v>
      </c>
      <c r="CM58" s="6"/>
      <c r="CN58" s="6">
        <f t="shared" si="15"/>
        <v>338</v>
      </c>
      <c r="CO58" s="6">
        <v>285</v>
      </c>
      <c r="CP58" s="6">
        <v>1200</v>
      </c>
      <c r="CQ58" s="6">
        <f t="shared" si="16"/>
        <v>340</v>
      </c>
      <c r="CR58" s="6">
        <v>607</v>
      </c>
      <c r="CS58" s="6"/>
      <c r="CT58" s="6">
        <f t="shared" si="17"/>
        <v>322</v>
      </c>
      <c r="CU58" s="6"/>
      <c r="CV58" s="6"/>
      <c r="CW58" s="6"/>
      <c r="CX58" s="6">
        <v>952</v>
      </c>
      <c r="CY58" s="6"/>
      <c r="CZ58" s="6">
        <f t="shared" si="18"/>
        <v>345</v>
      </c>
      <c r="DA58" s="6">
        <v>83</v>
      </c>
      <c r="DB58" s="6">
        <v>1200</v>
      </c>
      <c r="DC58" s="6">
        <f t="shared" si="19"/>
        <v>331</v>
      </c>
      <c r="DD58" s="6">
        <v>423</v>
      </c>
      <c r="DE58" s="6"/>
      <c r="DF58" s="6">
        <f t="shared" si="20"/>
        <v>340</v>
      </c>
      <c r="DG58" s="6">
        <v>292</v>
      </c>
      <c r="DH58" s="6">
        <v>445</v>
      </c>
      <c r="DI58" s="6">
        <f t="shared" si="21"/>
        <v>314</v>
      </c>
      <c r="DJ58" s="6">
        <v>636</v>
      </c>
      <c r="DK58" s="6"/>
      <c r="DL58" s="6">
        <f t="shared" si="22"/>
        <v>344</v>
      </c>
      <c r="DM58" s="6">
        <v>943</v>
      </c>
      <c r="DN58" s="6"/>
      <c r="DO58" s="6">
        <f t="shared" si="23"/>
        <v>307</v>
      </c>
    </row>
    <row r="59" spans="1:119">
      <c r="A59" s="6">
        <v>55</v>
      </c>
      <c r="B59" s="6">
        <v>925</v>
      </c>
      <c r="C59" s="6"/>
      <c r="D59" s="6">
        <v>205</v>
      </c>
      <c r="E59" s="33" t="s">
        <v>307</v>
      </c>
      <c r="F59" s="33" t="s">
        <v>307</v>
      </c>
      <c r="G59" s="33" t="s">
        <v>307</v>
      </c>
      <c r="H59" s="33" t="s">
        <v>307</v>
      </c>
      <c r="I59" s="33" t="s">
        <v>307</v>
      </c>
      <c r="J59" s="33" t="s">
        <v>307</v>
      </c>
      <c r="K59" s="33" t="s">
        <v>307</v>
      </c>
      <c r="L59" s="33" t="s">
        <v>307</v>
      </c>
      <c r="M59" s="33" t="s">
        <v>307</v>
      </c>
      <c r="N59" s="33" t="s">
        <v>307</v>
      </c>
      <c r="O59" s="33" t="s">
        <v>307</v>
      </c>
      <c r="P59" s="33" t="s">
        <v>307</v>
      </c>
      <c r="Q59" s="33" t="s">
        <v>307</v>
      </c>
      <c r="R59" s="33" t="s">
        <v>307</v>
      </c>
      <c r="S59" s="33" t="s">
        <v>307</v>
      </c>
      <c r="T59" s="148" t="s">
        <v>307</v>
      </c>
      <c r="U59" s="33" t="s">
        <v>307</v>
      </c>
      <c r="V59" s="33" t="s">
        <v>307</v>
      </c>
      <c r="W59" s="33" t="s">
        <v>307</v>
      </c>
      <c r="X59" s="33" t="s">
        <v>307</v>
      </c>
      <c r="Y59" s="33" t="s">
        <v>307</v>
      </c>
      <c r="Z59" s="33" t="s">
        <v>307</v>
      </c>
      <c r="AA59" s="33" t="s">
        <v>307</v>
      </c>
      <c r="AB59" s="33" t="s">
        <v>307</v>
      </c>
      <c r="AC59" s="33" t="s">
        <v>307</v>
      </c>
      <c r="AD59" s="6"/>
      <c r="AE59" s="6"/>
      <c r="AF59" s="35"/>
      <c r="AG59" s="6"/>
      <c r="AH59" s="6"/>
      <c r="AI59" s="35"/>
      <c r="AJ59" s="35"/>
      <c r="AK59" s="35"/>
      <c r="AL59" s="35"/>
      <c r="AM59" s="6">
        <v>1335</v>
      </c>
      <c r="AN59" s="6"/>
      <c r="AO59" s="35">
        <f t="shared" si="0"/>
        <v>410</v>
      </c>
      <c r="AP59" s="6">
        <v>155</v>
      </c>
      <c r="AQ59" s="6">
        <v>1560</v>
      </c>
      <c r="AR59" s="34">
        <f t="shared" si="1"/>
        <v>380</v>
      </c>
      <c r="AS59" s="35">
        <v>541</v>
      </c>
      <c r="AT59" s="35"/>
      <c r="AU59" s="35">
        <f t="shared" si="2"/>
        <v>386</v>
      </c>
      <c r="AV59" s="6">
        <v>924</v>
      </c>
      <c r="AW59" s="6"/>
      <c r="AX59" s="35">
        <f t="shared" si="3"/>
        <v>383</v>
      </c>
      <c r="AY59" s="6">
        <v>1296</v>
      </c>
      <c r="AZ59" s="6"/>
      <c r="BA59" s="35">
        <f t="shared" si="4"/>
        <v>372</v>
      </c>
      <c r="BB59" s="35">
        <v>347</v>
      </c>
      <c r="BC59" s="35">
        <v>1302</v>
      </c>
      <c r="BD59" s="35">
        <f t="shared" si="5"/>
        <v>353</v>
      </c>
      <c r="BE59" s="6"/>
      <c r="BF59" s="6"/>
      <c r="BG59" s="35"/>
      <c r="BH59" s="6">
        <v>727</v>
      </c>
      <c r="BI59" s="6"/>
      <c r="BJ59" s="35">
        <f t="shared" si="6"/>
        <v>380</v>
      </c>
      <c r="BK59" s="6">
        <v>1102</v>
      </c>
      <c r="BL59" s="6"/>
      <c r="BM59" s="6">
        <f t="shared" si="7"/>
        <v>375</v>
      </c>
      <c r="BN59" s="6">
        <v>1491</v>
      </c>
      <c r="BO59" s="6"/>
      <c r="BP59" s="6">
        <f t="shared" si="8"/>
        <v>389</v>
      </c>
      <c r="BQ59" s="6">
        <v>317</v>
      </c>
      <c r="BR59" s="6">
        <v>1560</v>
      </c>
      <c r="BS59" s="35">
        <f t="shared" si="9"/>
        <v>386</v>
      </c>
      <c r="BT59" s="6">
        <v>702</v>
      </c>
      <c r="BU59" s="6"/>
      <c r="BV59" s="6">
        <f t="shared" si="10"/>
        <v>385</v>
      </c>
      <c r="BW59" s="6">
        <v>1063</v>
      </c>
      <c r="BX59" s="6"/>
      <c r="BY59" s="35">
        <f t="shared" si="11"/>
        <v>361</v>
      </c>
      <c r="BZ59" s="6"/>
      <c r="CA59" s="6"/>
      <c r="CB59" s="6"/>
      <c r="CC59" s="6">
        <v>1448</v>
      </c>
      <c r="CD59" s="6"/>
      <c r="CE59" s="6">
        <f t="shared" si="12"/>
        <v>385</v>
      </c>
      <c r="CF59" s="6">
        <v>0</v>
      </c>
      <c r="CG59" s="6">
        <v>1581</v>
      </c>
      <c r="CH59" s="6">
        <f t="shared" si="13"/>
        <v>133</v>
      </c>
      <c r="CI59" s="6">
        <v>368</v>
      </c>
      <c r="CJ59" s="6"/>
      <c r="CK59" s="6">
        <f t="shared" si="14"/>
        <v>368</v>
      </c>
      <c r="CL59" s="6">
        <v>755</v>
      </c>
      <c r="CM59" s="6"/>
      <c r="CN59" s="6">
        <f t="shared" si="15"/>
        <v>387</v>
      </c>
      <c r="CO59" s="6">
        <v>1141</v>
      </c>
      <c r="CP59" s="6"/>
      <c r="CQ59" s="6">
        <f t="shared" si="16"/>
        <v>386</v>
      </c>
      <c r="CR59" s="6">
        <v>1508</v>
      </c>
      <c r="CS59" s="6"/>
      <c r="CT59" s="6">
        <f t="shared" si="17"/>
        <v>367</v>
      </c>
      <c r="CU59" s="6"/>
      <c r="CV59" s="6"/>
      <c r="CW59" s="6"/>
      <c r="CX59" s="6">
        <v>342</v>
      </c>
      <c r="CY59" s="6">
        <v>1560</v>
      </c>
      <c r="CZ59" s="6">
        <f t="shared" si="18"/>
        <v>394</v>
      </c>
      <c r="DA59" s="6">
        <v>731</v>
      </c>
      <c r="DB59" s="6"/>
      <c r="DC59" s="6">
        <f t="shared" si="19"/>
        <v>389</v>
      </c>
      <c r="DD59" s="6">
        <v>1126</v>
      </c>
      <c r="DE59" s="6"/>
      <c r="DF59" s="6">
        <f t="shared" si="20"/>
        <v>395</v>
      </c>
      <c r="DG59" s="6">
        <v>1520</v>
      </c>
      <c r="DH59" s="6"/>
      <c r="DI59" s="6">
        <f t="shared" si="21"/>
        <v>394</v>
      </c>
      <c r="DJ59" s="6">
        <v>348</v>
      </c>
      <c r="DK59" s="6">
        <v>1560</v>
      </c>
      <c r="DL59" s="6">
        <f t="shared" si="22"/>
        <v>388</v>
      </c>
      <c r="DM59" s="6">
        <v>701</v>
      </c>
      <c r="DN59" s="6"/>
      <c r="DO59" s="6">
        <f t="shared" si="23"/>
        <v>353</v>
      </c>
    </row>
    <row r="60" spans="1:119">
      <c r="A60" s="6">
        <v>56</v>
      </c>
      <c r="B60" s="6">
        <v>737</v>
      </c>
      <c r="C60" s="6"/>
      <c r="D60" s="6">
        <v>180</v>
      </c>
      <c r="E60" s="33" t="s">
        <v>320</v>
      </c>
      <c r="F60" s="33" t="s">
        <v>320</v>
      </c>
      <c r="G60" s="33" t="s">
        <v>320</v>
      </c>
      <c r="H60" s="33" t="s">
        <v>320</v>
      </c>
      <c r="I60" s="33" t="s">
        <v>320</v>
      </c>
      <c r="J60" s="33" t="s">
        <v>320</v>
      </c>
      <c r="K60" s="33" t="s">
        <v>320</v>
      </c>
      <c r="L60" s="33" t="s">
        <v>320</v>
      </c>
      <c r="M60" s="33" t="s">
        <v>320</v>
      </c>
      <c r="N60" s="33" t="s">
        <v>320</v>
      </c>
      <c r="O60" s="33" t="s">
        <v>320</v>
      </c>
      <c r="P60" s="33" t="s">
        <v>320</v>
      </c>
      <c r="Q60" s="33" t="s">
        <v>320</v>
      </c>
      <c r="R60" s="33" t="s">
        <v>320</v>
      </c>
      <c r="S60" s="33" t="s">
        <v>320</v>
      </c>
      <c r="T60" s="33" t="s">
        <v>320</v>
      </c>
      <c r="U60" s="148" t="s">
        <v>320</v>
      </c>
      <c r="V60" s="33" t="s">
        <v>320</v>
      </c>
      <c r="W60" s="33" t="s">
        <v>320</v>
      </c>
      <c r="X60" s="33" t="s">
        <v>320</v>
      </c>
      <c r="Y60" s="33" t="s">
        <v>320</v>
      </c>
      <c r="Z60" s="33" t="s">
        <v>320</v>
      </c>
      <c r="AA60" s="33" t="s">
        <v>320</v>
      </c>
      <c r="AB60" s="33" t="s">
        <v>320</v>
      </c>
      <c r="AC60" s="33" t="s">
        <v>320</v>
      </c>
      <c r="AD60" s="35"/>
      <c r="AE60" s="35"/>
      <c r="AF60" s="35"/>
      <c r="AG60" s="35"/>
      <c r="AH60" s="35"/>
      <c r="AI60" s="35"/>
      <c r="AJ60" s="35"/>
      <c r="AK60" s="35"/>
      <c r="AL60" s="35"/>
      <c r="AM60" s="6">
        <v>285</v>
      </c>
      <c r="AN60" s="35">
        <v>794</v>
      </c>
      <c r="AO60" s="35">
        <f t="shared" si="0"/>
        <v>342</v>
      </c>
      <c r="AP60" s="6">
        <v>616</v>
      </c>
      <c r="AQ60" s="6"/>
      <c r="AR60" s="34">
        <f t="shared" si="1"/>
        <v>331</v>
      </c>
      <c r="AS60" s="35">
        <v>941</v>
      </c>
      <c r="AT60" s="35"/>
      <c r="AU60" s="35">
        <f t="shared" si="2"/>
        <v>325</v>
      </c>
      <c r="AV60" s="6">
        <v>78</v>
      </c>
      <c r="AW60" s="6">
        <v>1200</v>
      </c>
      <c r="AX60" s="35">
        <f t="shared" si="3"/>
        <v>337</v>
      </c>
      <c r="AY60" s="6">
        <v>416</v>
      </c>
      <c r="AZ60" s="6"/>
      <c r="BA60" s="35">
        <f t="shared" si="4"/>
        <v>338</v>
      </c>
      <c r="BB60" s="6">
        <v>739</v>
      </c>
      <c r="BC60" s="6"/>
      <c r="BD60" s="35">
        <f t="shared" si="5"/>
        <v>323</v>
      </c>
      <c r="BE60" s="6"/>
      <c r="BF60" s="6"/>
      <c r="BG60" s="35"/>
      <c r="BH60" s="6">
        <v>1072</v>
      </c>
      <c r="BI60" s="6"/>
      <c r="BJ60" s="35">
        <f t="shared" si="6"/>
        <v>333</v>
      </c>
      <c r="BK60" s="6">
        <v>200</v>
      </c>
      <c r="BL60" s="35">
        <v>1200</v>
      </c>
      <c r="BM60" s="6">
        <f t="shared" si="7"/>
        <v>328</v>
      </c>
      <c r="BN60" s="6">
        <v>540</v>
      </c>
      <c r="BO60" s="6"/>
      <c r="BP60" s="6">
        <f t="shared" si="8"/>
        <v>340</v>
      </c>
      <c r="BQ60" s="6">
        <v>880</v>
      </c>
      <c r="BR60" s="6"/>
      <c r="BS60" s="35">
        <f t="shared" si="9"/>
        <v>340</v>
      </c>
      <c r="BT60" s="6">
        <v>20</v>
      </c>
      <c r="BU60" s="6">
        <v>1200</v>
      </c>
      <c r="BV60" s="6">
        <f t="shared" si="10"/>
        <v>340</v>
      </c>
      <c r="BW60" s="6">
        <v>340</v>
      </c>
      <c r="BX60" s="6"/>
      <c r="BY60" s="35">
        <f t="shared" si="11"/>
        <v>320</v>
      </c>
      <c r="BZ60" s="6"/>
      <c r="CA60" s="35"/>
      <c r="CB60" s="6"/>
      <c r="CC60" s="6">
        <v>683</v>
      </c>
      <c r="CD60" s="6"/>
      <c r="CE60" s="6">
        <f t="shared" si="12"/>
        <v>343</v>
      </c>
      <c r="CF60" s="6">
        <v>1015</v>
      </c>
      <c r="CG60" s="35"/>
      <c r="CH60" s="6">
        <f t="shared" si="13"/>
        <v>332</v>
      </c>
      <c r="CI60" s="6">
        <v>1355</v>
      </c>
      <c r="CJ60" s="6"/>
      <c r="CK60" s="6">
        <f t="shared" si="14"/>
        <v>340</v>
      </c>
      <c r="CL60" s="6">
        <v>295</v>
      </c>
      <c r="CM60" s="6">
        <v>1377</v>
      </c>
      <c r="CN60" s="6">
        <f t="shared" si="15"/>
        <v>317</v>
      </c>
      <c r="CO60" s="6">
        <v>633</v>
      </c>
      <c r="CP60" s="6"/>
      <c r="CQ60" s="6">
        <f t="shared" si="16"/>
        <v>338</v>
      </c>
      <c r="CR60" s="6">
        <v>950</v>
      </c>
      <c r="CS60" s="6"/>
      <c r="CT60" s="6">
        <f t="shared" si="17"/>
        <v>317</v>
      </c>
      <c r="CU60" s="6"/>
      <c r="CV60" s="6"/>
      <c r="CW60" s="6"/>
      <c r="CX60" s="6">
        <v>87</v>
      </c>
      <c r="CY60" s="6">
        <v>1200</v>
      </c>
      <c r="CZ60" s="6">
        <f t="shared" si="18"/>
        <v>337</v>
      </c>
      <c r="DA60" s="6">
        <v>419</v>
      </c>
      <c r="DB60" s="6"/>
      <c r="DC60" s="6">
        <f t="shared" si="19"/>
        <v>332</v>
      </c>
      <c r="DD60" s="6">
        <v>750</v>
      </c>
      <c r="DE60" s="6"/>
      <c r="DF60" s="6">
        <f t="shared" si="20"/>
        <v>331</v>
      </c>
      <c r="DG60" s="6">
        <v>1089</v>
      </c>
      <c r="DH60" s="6"/>
      <c r="DI60" s="6">
        <f t="shared" si="21"/>
        <v>339</v>
      </c>
      <c r="DJ60" s="6">
        <v>231</v>
      </c>
      <c r="DK60" s="6">
        <v>1200</v>
      </c>
      <c r="DL60" s="6">
        <f t="shared" si="22"/>
        <v>342</v>
      </c>
      <c r="DM60" s="6">
        <v>544</v>
      </c>
      <c r="DN60" s="6"/>
      <c r="DO60" s="6">
        <f t="shared" si="23"/>
        <v>313</v>
      </c>
    </row>
    <row r="61" spans="1:119" s="51" customFormat="1">
      <c r="A61" s="50">
        <v>57</v>
      </c>
      <c r="B61" s="50">
        <v>620</v>
      </c>
      <c r="C61" s="50"/>
      <c r="D61" s="6">
        <v>187</v>
      </c>
      <c r="E61" s="33" t="s">
        <v>130</v>
      </c>
      <c r="F61" s="33" t="s">
        <v>130</v>
      </c>
      <c r="G61" s="33" t="s">
        <v>130</v>
      </c>
      <c r="H61" s="33" t="s">
        <v>130</v>
      </c>
      <c r="I61" s="33" t="s">
        <v>130</v>
      </c>
      <c r="J61" s="33" t="s">
        <v>130</v>
      </c>
      <c r="K61" s="33" t="s">
        <v>130</v>
      </c>
      <c r="L61" s="33" t="s">
        <v>130</v>
      </c>
      <c r="M61" s="33" t="s">
        <v>130</v>
      </c>
      <c r="N61" s="33" t="s">
        <v>130</v>
      </c>
      <c r="O61" s="33" t="s">
        <v>130</v>
      </c>
      <c r="P61" s="33" t="s">
        <v>130</v>
      </c>
      <c r="Q61" s="33" t="s">
        <v>130</v>
      </c>
      <c r="R61" s="148" t="s">
        <v>135</v>
      </c>
      <c r="S61" s="33" t="s">
        <v>135</v>
      </c>
      <c r="T61" s="33" t="s">
        <v>135</v>
      </c>
      <c r="U61" s="33" t="s">
        <v>135</v>
      </c>
      <c r="V61" s="33" t="s">
        <v>135</v>
      </c>
      <c r="W61" s="33" t="s">
        <v>135</v>
      </c>
      <c r="X61" s="33" t="s">
        <v>135</v>
      </c>
      <c r="Y61" s="33" t="s">
        <v>135</v>
      </c>
      <c r="Z61" s="33" t="s">
        <v>135</v>
      </c>
      <c r="AA61" s="33" t="s">
        <v>135</v>
      </c>
      <c r="AB61" s="33" t="s">
        <v>135</v>
      </c>
      <c r="AC61" s="33" t="s">
        <v>135</v>
      </c>
      <c r="AD61" s="50"/>
      <c r="AE61" s="50"/>
      <c r="AF61" s="35"/>
      <c r="AG61" s="50"/>
      <c r="AH61" s="50"/>
      <c r="AI61" s="35"/>
      <c r="AJ61" s="96"/>
      <c r="AK61" s="96"/>
      <c r="AL61" s="35"/>
      <c r="AM61" s="50">
        <v>981</v>
      </c>
      <c r="AN61" s="50"/>
      <c r="AO61" s="35">
        <f t="shared" si="0"/>
        <v>361</v>
      </c>
      <c r="AP61" s="6">
        <v>120</v>
      </c>
      <c r="AQ61" s="6">
        <v>1200</v>
      </c>
      <c r="AR61" s="34">
        <f t="shared" si="1"/>
        <v>339</v>
      </c>
      <c r="AS61" s="96">
        <v>463</v>
      </c>
      <c r="AT61" s="96"/>
      <c r="AU61" s="35">
        <f t="shared" si="2"/>
        <v>343</v>
      </c>
      <c r="AV61" s="50">
        <v>807</v>
      </c>
      <c r="AW61" s="50"/>
      <c r="AX61" s="35">
        <f t="shared" si="3"/>
        <v>344</v>
      </c>
      <c r="AY61" s="50">
        <v>1140</v>
      </c>
      <c r="AZ61" s="50"/>
      <c r="BA61" s="35">
        <f t="shared" si="4"/>
        <v>333</v>
      </c>
      <c r="BB61" s="96">
        <v>261</v>
      </c>
      <c r="BC61" s="96">
        <v>1200</v>
      </c>
      <c r="BD61" s="35">
        <f t="shared" si="5"/>
        <v>321</v>
      </c>
      <c r="BE61" s="50"/>
      <c r="BF61" s="50"/>
      <c r="BG61" s="35"/>
      <c r="BH61" s="50">
        <v>603</v>
      </c>
      <c r="BI61" s="50"/>
      <c r="BJ61" s="35">
        <f t="shared" si="6"/>
        <v>342</v>
      </c>
      <c r="BK61" s="50">
        <v>947</v>
      </c>
      <c r="BL61" s="50"/>
      <c r="BM61" s="6">
        <f t="shared" si="7"/>
        <v>344</v>
      </c>
      <c r="BN61" s="50">
        <v>100</v>
      </c>
      <c r="BO61" s="50">
        <v>1195</v>
      </c>
      <c r="BP61" s="6">
        <f t="shared" si="8"/>
        <v>348</v>
      </c>
      <c r="BQ61" s="50">
        <v>443</v>
      </c>
      <c r="BR61" s="50"/>
      <c r="BS61" s="35">
        <f t="shared" si="9"/>
        <v>343</v>
      </c>
      <c r="BT61" s="50">
        <v>790</v>
      </c>
      <c r="BU61" s="50"/>
      <c r="BV61" s="6">
        <f t="shared" si="10"/>
        <v>347</v>
      </c>
      <c r="BW61" s="50">
        <v>0</v>
      </c>
      <c r="BX61" s="50">
        <v>1093</v>
      </c>
      <c r="BY61" s="35">
        <f t="shared" si="11"/>
        <v>303</v>
      </c>
      <c r="BZ61" s="50"/>
      <c r="CA61" s="50"/>
      <c r="CB61" s="6"/>
      <c r="CC61" s="50">
        <v>269</v>
      </c>
      <c r="CD61" s="50"/>
      <c r="CE61" s="6">
        <f t="shared" si="12"/>
        <v>269</v>
      </c>
      <c r="CF61" s="50">
        <v>554</v>
      </c>
      <c r="CG61" s="50"/>
      <c r="CH61" s="6">
        <f t="shared" si="13"/>
        <v>285</v>
      </c>
      <c r="CI61" s="50">
        <v>845</v>
      </c>
      <c r="CJ61" s="50"/>
      <c r="CK61" s="6">
        <f t="shared" si="14"/>
        <v>291</v>
      </c>
      <c r="CL61" s="50">
        <v>1135</v>
      </c>
      <c r="CM61" s="50"/>
      <c r="CN61" s="6">
        <f t="shared" si="15"/>
        <v>290</v>
      </c>
      <c r="CO61" s="50">
        <v>1422</v>
      </c>
      <c r="CP61" s="50"/>
      <c r="CQ61" s="6">
        <f t="shared" si="16"/>
        <v>287</v>
      </c>
      <c r="CR61" s="50">
        <v>1697</v>
      </c>
      <c r="CS61" s="50"/>
      <c r="CT61" s="6">
        <f t="shared" si="17"/>
        <v>275</v>
      </c>
      <c r="CU61" s="50"/>
      <c r="CV61" s="50"/>
      <c r="CW61" s="6"/>
      <c r="CX61" s="50">
        <v>184</v>
      </c>
      <c r="CY61" s="50">
        <v>1800</v>
      </c>
      <c r="CZ61" s="6">
        <f t="shared" si="18"/>
        <v>287</v>
      </c>
      <c r="DA61" s="50">
        <v>467</v>
      </c>
      <c r="DB61" s="50"/>
      <c r="DC61" s="6">
        <f t="shared" si="19"/>
        <v>283</v>
      </c>
      <c r="DD61" s="50">
        <v>754</v>
      </c>
      <c r="DE61" s="50"/>
      <c r="DF61" s="6">
        <f t="shared" si="20"/>
        <v>287</v>
      </c>
      <c r="DG61" s="50">
        <v>141</v>
      </c>
      <c r="DH61" s="50">
        <v>900</v>
      </c>
      <c r="DI61" s="6">
        <f t="shared" si="21"/>
        <v>287</v>
      </c>
      <c r="DJ61" s="50">
        <v>431</v>
      </c>
      <c r="DK61" s="50"/>
      <c r="DL61" s="6">
        <f t="shared" si="22"/>
        <v>290</v>
      </c>
      <c r="DM61" s="50">
        <v>696</v>
      </c>
      <c r="DN61" s="50"/>
      <c r="DO61" s="6">
        <f t="shared" si="23"/>
        <v>265</v>
      </c>
    </row>
    <row r="62" spans="1:119">
      <c r="A62" s="6">
        <v>58</v>
      </c>
      <c r="B62" s="6">
        <v>840</v>
      </c>
      <c r="C62" s="6"/>
      <c r="D62" s="6">
        <v>184</v>
      </c>
      <c r="E62" s="33" t="s">
        <v>130</v>
      </c>
      <c r="F62" s="33" t="s">
        <v>130</v>
      </c>
      <c r="G62" s="148" t="s">
        <v>130</v>
      </c>
      <c r="H62" s="33" t="s">
        <v>130</v>
      </c>
      <c r="I62" s="33" t="s">
        <v>130</v>
      </c>
      <c r="J62" s="33" t="s">
        <v>130</v>
      </c>
      <c r="K62" s="33" t="s">
        <v>130</v>
      </c>
      <c r="L62" s="33" t="s">
        <v>130</v>
      </c>
      <c r="M62" s="33" t="s">
        <v>130</v>
      </c>
      <c r="N62" s="33" t="s">
        <v>130</v>
      </c>
      <c r="O62" s="33" t="s">
        <v>130</v>
      </c>
      <c r="P62" s="33" t="s">
        <v>130</v>
      </c>
      <c r="Q62" s="33" t="s">
        <v>130</v>
      </c>
      <c r="R62" s="33" t="s">
        <v>130</v>
      </c>
      <c r="S62" s="33" t="s">
        <v>130</v>
      </c>
      <c r="T62" s="33" t="s">
        <v>130</v>
      </c>
      <c r="U62" s="33" t="s">
        <v>130</v>
      </c>
      <c r="V62" s="33" t="s">
        <v>130</v>
      </c>
      <c r="W62" s="33" t="s">
        <v>130</v>
      </c>
      <c r="X62" s="33" t="s">
        <v>130</v>
      </c>
      <c r="Y62" s="148" t="s">
        <v>320</v>
      </c>
      <c r="Z62" s="33" t="s">
        <v>320</v>
      </c>
      <c r="AA62" s="33" t="s">
        <v>320</v>
      </c>
      <c r="AB62" s="33" t="s">
        <v>320</v>
      </c>
      <c r="AC62" s="33" t="s">
        <v>320</v>
      </c>
      <c r="AD62" s="35"/>
      <c r="AE62" s="35"/>
      <c r="AF62" s="35"/>
      <c r="AG62" s="35"/>
      <c r="AH62" s="35"/>
      <c r="AI62" s="35"/>
      <c r="AJ62" s="35"/>
      <c r="AK62" s="35"/>
      <c r="AL62" s="35"/>
      <c r="AM62" s="6">
        <v>0</v>
      </c>
      <c r="AN62" s="35">
        <v>1100</v>
      </c>
      <c r="AO62" s="35">
        <f t="shared" si="0"/>
        <v>260</v>
      </c>
      <c r="AP62" s="6">
        <v>308</v>
      </c>
      <c r="AQ62" s="6"/>
      <c r="AR62" s="34">
        <f t="shared" si="1"/>
        <v>308</v>
      </c>
      <c r="AS62" s="35">
        <v>651</v>
      </c>
      <c r="AT62" s="35"/>
      <c r="AU62" s="35">
        <f t="shared" si="2"/>
        <v>343</v>
      </c>
      <c r="AV62" s="6">
        <v>998</v>
      </c>
      <c r="AW62" s="6"/>
      <c r="AX62" s="35">
        <f t="shared" si="3"/>
        <v>347</v>
      </c>
      <c r="AY62" s="6">
        <v>140</v>
      </c>
      <c r="AZ62" s="6">
        <v>1200</v>
      </c>
      <c r="BA62" s="35">
        <f t="shared" si="4"/>
        <v>342</v>
      </c>
      <c r="BB62" s="6">
        <v>459</v>
      </c>
      <c r="BC62" s="6"/>
      <c r="BD62" s="35">
        <f t="shared" si="5"/>
        <v>319</v>
      </c>
      <c r="BE62" s="6"/>
      <c r="BF62" s="6"/>
      <c r="BG62" s="35"/>
      <c r="BH62" s="6">
        <v>807</v>
      </c>
      <c r="BI62" s="6"/>
      <c r="BJ62" s="35">
        <f t="shared" si="6"/>
        <v>348</v>
      </c>
      <c r="BK62" s="6">
        <v>1144</v>
      </c>
      <c r="BL62" s="35"/>
      <c r="BM62" s="6">
        <f t="shared" si="7"/>
        <v>337</v>
      </c>
      <c r="BN62" s="6">
        <v>285</v>
      </c>
      <c r="BO62" s="6">
        <v>1200</v>
      </c>
      <c r="BP62" s="6">
        <f t="shared" si="8"/>
        <v>341</v>
      </c>
      <c r="BQ62" s="6">
        <v>246</v>
      </c>
      <c r="BR62" s="6">
        <v>381</v>
      </c>
      <c r="BS62" s="35">
        <f t="shared" si="9"/>
        <v>342</v>
      </c>
      <c r="BT62" s="6">
        <v>590</v>
      </c>
      <c r="BU62" s="6"/>
      <c r="BV62" s="6">
        <f t="shared" si="10"/>
        <v>344</v>
      </c>
      <c r="BW62" s="6">
        <v>909</v>
      </c>
      <c r="BX62" s="6"/>
      <c r="BY62" s="35">
        <f t="shared" si="11"/>
        <v>319</v>
      </c>
      <c r="BZ62" s="6"/>
      <c r="CA62" s="35"/>
      <c r="CB62" s="6"/>
      <c r="CC62" s="6">
        <v>54</v>
      </c>
      <c r="CD62" s="6">
        <v>1200</v>
      </c>
      <c r="CE62" s="6">
        <f t="shared" si="12"/>
        <v>345</v>
      </c>
      <c r="CF62" s="6">
        <v>397</v>
      </c>
      <c r="CG62" s="35"/>
      <c r="CH62" s="6">
        <f t="shared" si="13"/>
        <v>343</v>
      </c>
      <c r="CI62" s="6">
        <v>742</v>
      </c>
      <c r="CJ62" s="6"/>
      <c r="CK62" s="6">
        <f t="shared" si="14"/>
        <v>345</v>
      </c>
      <c r="CL62" s="6">
        <v>1086</v>
      </c>
      <c r="CM62" s="6"/>
      <c r="CN62" s="6">
        <f t="shared" si="15"/>
        <v>344</v>
      </c>
      <c r="CO62" s="6">
        <v>225</v>
      </c>
      <c r="CP62" s="6">
        <v>1200</v>
      </c>
      <c r="CQ62" s="6">
        <f t="shared" si="16"/>
        <v>339</v>
      </c>
      <c r="CR62" s="6">
        <v>521</v>
      </c>
      <c r="CS62" s="6"/>
      <c r="CT62" s="6">
        <f t="shared" si="17"/>
        <v>296</v>
      </c>
      <c r="CU62" s="6"/>
      <c r="CV62" s="6"/>
      <c r="CW62" s="6"/>
      <c r="CX62" s="6">
        <v>0</v>
      </c>
      <c r="CY62" s="6">
        <v>717</v>
      </c>
      <c r="CZ62" s="6">
        <f t="shared" si="18"/>
        <v>196</v>
      </c>
      <c r="DA62" s="6">
        <v>292</v>
      </c>
      <c r="DB62" s="6"/>
      <c r="DC62" s="6">
        <f t="shared" si="19"/>
        <v>292</v>
      </c>
      <c r="DD62" s="6">
        <v>613</v>
      </c>
      <c r="DE62" s="6"/>
      <c r="DF62" s="6">
        <f t="shared" si="20"/>
        <v>321</v>
      </c>
      <c r="DG62" s="6">
        <v>936</v>
      </c>
      <c r="DH62" s="6"/>
      <c r="DI62" s="6">
        <f t="shared" si="21"/>
        <v>323</v>
      </c>
      <c r="DJ62" s="6">
        <v>52</v>
      </c>
      <c r="DK62" s="6">
        <v>1200</v>
      </c>
      <c r="DL62" s="6">
        <f t="shared" si="22"/>
        <v>316</v>
      </c>
      <c r="DM62" s="6">
        <v>352</v>
      </c>
      <c r="DN62" s="6"/>
      <c r="DO62" s="6">
        <f t="shared" si="23"/>
        <v>300</v>
      </c>
    </row>
    <row r="63" spans="1:119">
      <c r="A63" s="6">
        <v>59</v>
      </c>
      <c r="B63" s="6">
        <v>1209</v>
      </c>
      <c r="C63" s="6"/>
      <c r="D63" s="6">
        <v>185</v>
      </c>
      <c r="E63" s="33" t="s">
        <v>130</v>
      </c>
      <c r="F63" s="33" t="s">
        <v>130</v>
      </c>
      <c r="G63" s="148" t="s">
        <v>130</v>
      </c>
      <c r="H63" s="33" t="s">
        <v>130</v>
      </c>
      <c r="I63" s="33" t="s">
        <v>130</v>
      </c>
      <c r="J63" s="33" t="s">
        <v>130</v>
      </c>
      <c r="K63" s="33" t="s">
        <v>130</v>
      </c>
      <c r="L63" s="33" t="s">
        <v>130</v>
      </c>
      <c r="M63" s="33" t="s">
        <v>130</v>
      </c>
      <c r="N63" s="33" t="s">
        <v>130</v>
      </c>
      <c r="O63" s="33" t="s">
        <v>130</v>
      </c>
      <c r="P63" s="33" t="s">
        <v>130</v>
      </c>
      <c r="Q63" s="33" t="s">
        <v>130</v>
      </c>
      <c r="R63" s="33" t="s">
        <v>130</v>
      </c>
      <c r="S63" s="33" t="s">
        <v>130</v>
      </c>
      <c r="T63" s="33" t="s">
        <v>130</v>
      </c>
      <c r="U63" s="33" t="s">
        <v>130</v>
      </c>
      <c r="V63" s="33" t="s">
        <v>130</v>
      </c>
      <c r="W63" s="33" t="s">
        <v>130</v>
      </c>
      <c r="X63" s="33" t="s">
        <v>130</v>
      </c>
      <c r="Y63" s="148" t="s">
        <v>320</v>
      </c>
      <c r="Z63" s="33" t="s">
        <v>320</v>
      </c>
      <c r="AA63" s="33" t="s">
        <v>320</v>
      </c>
      <c r="AB63" s="33" t="s">
        <v>320</v>
      </c>
      <c r="AC63" s="33" t="s">
        <v>320</v>
      </c>
      <c r="AD63" s="35"/>
      <c r="AE63" s="35"/>
      <c r="AF63" s="35"/>
      <c r="AG63" s="35"/>
      <c r="AH63" s="35"/>
      <c r="AI63" s="35"/>
      <c r="AJ63" s="35"/>
      <c r="AK63" s="35"/>
      <c r="AL63" s="35"/>
      <c r="AM63" s="35">
        <v>0</v>
      </c>
      <c r="AN63" s="35">
        <v>1376</v>
      </c>
      <c r="AO63" s="35">
        <f t="shared" si="0"/>
        <v>167</v>
      </c>
      <c r="AP63" s="6">
        <v>308</v>
      </c>
      <c r="AQ63" s="6"/>
      <c r="AR63" s="34">
        <f t="shared" si="1"/>
        <v>308</v>
      </c>
      <c r="AS63" s="35">
        <v>653</v>
      </c>
      <c r="AT63" s="35"/>
      <c r="AU63" s="35">
        <f t="shared" si="2"/>
        <v>345</v>
      </c>
      <c r="AV63" s="6">
        <v>998</v>
      </c>
      <c r="AW63" s="6"/>
      <c r="AX63" s="35">
        <f t="shared" si="3"/>
        <v>345</v>
      </c>
      <c r="AY63" s="6">
        <v>143</v>
      </c>
      <c r="AZ63" s="6">
        <v>1200</v>
      </c>
      <c r="BA63" s="35">
        <f t="shared" si="4"/>
        <v>345</v>
      </c>
      <c r="BB63" s="6">
        <v>475</v>
      </c>
      <c r="BC63" s="6"/>
      <c r="BD63" s="35">
        <f t="shared" si="5"/>
        <v>332</v>
      </c>
      <c r="BE63" s="6"/>
      <c r="BF63" s="6"/>
      <c r="BG63" s="35"/>
      <c r="BH63" s="6">
        <v>824</v>
      </c>
      <c r="BI63" s="6"/>
      <c r="BJ63" s="35">
        <f t="shared" si="6"/>
        <v>349</v>
      </c>
      <c r="BK63" s="6">
        <v>1166</v>
      </c>
      <c r="BL63" s="35"/>
      <c r="BM63" s="6">
        <f t="shared" si="7"/>
        <v>342</v>
      </c>
      <c r="BN63" s="6">
        <v>309</v>
      </c>
      <c r="BO63" s="6">
        <v>1200</v>
      </c>
      <c r="BP63" s="6">
        <f t="shared" si="8"/>
        <v>343</v>
      </c>
      <c r="BQ63" s="6">
        <v>654</v>
      </c>
      <c r="BR63" s="6"/>
      <c r="BS63" s="35">
        <f t="shared" si="9"/>
        <v>345</v>
      </c>
      <c r="BT63" s="6">
        <v>999</v>
      </c>
      <c r="BU63" s="6"/>
      <c r="BV63" s="6">
        <f t="shared" si="10"/>
        <v>345</v>
      </c>
      <c r="BW63" s="6">
        <v>121</v>
      </c>
      <c r="BX63" s="6">
        <v>1200</v>
      </c>
      <c r="BY63" s="35">
        <f t="shared" si="11"/>
        <v>322</v>
      </c>
      <c r="BZ63" s="6"/>
      <c r="CA63" s="35"/>
      <c r="CB63" s="6"/>
      <c r="CC63" s="6">
        <v>469</v>
      </c>
      <c r="CD63" s="6"/>
      <c r="CE63" s="6">
        <f t="shared" si="12"/>
        <v>348</v>
      </c>
      <c r="CF63" s="6">
        <v>812</v>
      </c>
      <c r="CG63" s="35"/>
      <c r="CH63" s="6">
        <f t="shared" si="13"/>
        <v>343</v>
      </c>
      <c r="CI63" s="6">
        <v>1158</v>
      </c>
      <c r="CJ63" s="6"/>
      <c r="CK63" s="6">
        <f t="shared" si="14"/>
        <v>346</v>
      </c>
      <c r="CL63" s="6">
        <v>302</v>
      </c>
      <c r="CM63" s="6">
        <v>1200</v>
      </c>
      <c r="CN63" s="6">
        <f t="shared" si="15"/>
        <v>344</v>
      </c>
      <c r="CO63" s="6">
        <v>647</v>
      </c>
      <c r="CP63" s="6"/>
      <c r="CQ63" s="6">
        <f t="shared" si="16"/>
        <v>345</v>
      </c>
      <c r="CR63" s="6">
        <v>974</v>
      </c>
      <c r="CS63" s="6"/>
      <c r="CT63" s="6">
        <f t="shared" si="17"/>
        <v>327</v>
      </c>
      <c r="CU63" s="6"/>
      <c r="CV63" s="6"/>
      <c r="CW63" s="6"/>
      <c r="CX63" s="6">
        <v>1</v>
      </c>
      <c r="CY63" s="6">
        <v>1100</v>
      </c>
      <c r="CZ63" s="6">
        <f t="shared" si="18"/>
        <v>127</v>
      </c>
      <c r="DA63" s="6">
        <v>321</v>
      </c>
      <c r="DB63" s="6"/>
      <c r="DC63" s="6">
        <f t="shared" si="19"/>
        <v>320</v>
      </c>
      <c r="DD63" s="6">
        <v>664</v>
      </c>
      <c r="DE63" s="6"/>
      <c r="DF63" s="6">
        <f t="shared" si="20"/>
        <v>343</v>
      </c>
      <c r="DG63" s="6">
        <v>1010</v>
      </c>
      <c r="DH63" s="6"/>
      <c r="DI63" s="6">
        <f t="shared" si="21"/>
        <v>346</v>
      </c>
      <c r="DJ63" s="6">
        <v>155</v>
      </c>
      <c r="DK63" s="6">
        <v>1200</v>
      </c>
      <c r="DL63" s="6">
        <f t="shared" si="22"/>
        <v>345</v>
      </c>
      <c r="DM63" s="6">
        <v>471</v>
      </c>
      <c r="DN63" s="6"/>
      <c r="DO63" s="6">
        <f t="shared" si="23"/>
        <v>316</v>
      </c>
    </row>
    <row r="64" spans="1:119">
      <c r="A64" s="6">
        <v>60</v>
      </c>
      <c r="B64" s="6">
        <v>346</v>
      </c>
      <c r="C64" s="6"/>
      <c r="D64" s="6">
        <v>188</v>
      </c>
      <c r="E64" s="33" t="s">
        <v>130</v>
      </c>
      <c r="F64" s="33" t="s">
        <v>130</v>
      </c>
      <c r="G64" s="33" t="s">
        <v>130</v>
      </c>
      <c r="H64" s="148" t="s">
        <v>320</v>
      </c>
      <c r="I64" s="33" t="s">
        <v>320</v>
      </c>
      <c r="J64" s="33" t="s">
        <v>320</v>
      </c>
      <c r="K64" s="33" t="s">
        <v>320</v>
      </c>
      <c r="L64" s="33" t="s">
        <v>320</v>
      </c>
      <c r="M64" s="33" t="s">
        <v>320</v>
      </c>
      <c r="N64" s="33" t="s">
        <v>320</v>
      </c>
      <c r="O64" s="33" t="s">
        <v>320</v>
      </c>
      <c r="P64" s="33" t="s">
        <v>320</v>
      </c>
      <c r="Q64" s="33" t="s">
        <v>320</v>
      </c>
      <c r="R64" s="33" t="s">
        <v>320</v>
      </c>
      <c r="S64" s="33" t="s">
        <v>320</v>
      </c>
      <c r="T64" s="33" t="s">
        <v>320</v>
      </c>
      <c r="U64" s="33" t="s">
        <v>320</v>
      </c>
      <c r="V64" s="33" t="s">
        <v>320</v>
      </c>
      <c r="W64" s="33" t="s">
        <v>320</v>
      </c>
      <c r="X64" s="33" t="s">
        <v>320</v>
      </c>
      <c r="Y64" s="33" t="s">
        <v>320</v>
      </c>
      <c r="Z64" s="148" t="s">
        <v>320</v>
      </c>
      <c r="AA64" s="33" t="s">
        <v>320</v>
      </c>
      <c r="AB64" s="33" t="s">
        <v>320</v>
      </c>
      <c r="AC64" s="33" t="s">
        <v>320</v>
      </c>
      <c r="AD64" s="6"/>
      <c r="AE64" s="6"/>
      <c r="AF64" s="35"/>
      <c r="AG64" s="6"/>
      <c r="AH64" s="6"/>
      <c r="AI64" s="35"/>
      <c r="AJ64" s="35"/>
      <c r="AK64" s="35"/>
      <c r="AL64" s="35"/>
      <c r="AM64" s="6">
        <v>712</v>
      </c>
      <c r="AN64" s="6"/>
      <c r="AO64" s="35">
        <f t="shared" si="0"/>
        <v>366</v>
      </c>
      <c r="AP64" s="6">
        <v>1056</v>
      </c>
      <c r="AQ64" s="6"/>
      <c r="AR64" s="34">
        <f t="shared" si="1"/>
        <v>344</v>
      </c>
      <c r="AS64" s="35">
        <v>282</v>
      </c>
      <c r="AT64" s="35">
        <v>1095</v>
      </c>
      <c r="AU64" s="35">
        <f t="shared" si="2"/>
        <v>321</v>
      </c>
      <c r="AV64" s="35">
        <v>631</v>
      </c>
      <c r="AW64" s="6"/>
      <c r="AX64" s="35">
        <f t="shared" si="3"/>
        <v>349</v>
      </c>
      <c r="AY64" s="6">
        <v>980</v>
      </c>
      <c r="AZ64" s="6"/>
      <c r="BA64" s="35">
        <f t="shared" si="4"/>
        <v>349</v>
      </c>
      <c r="BB64" s="35">
        <v>117</v>
      </c>
      <c r="BC64" s="35">
        <v>1200</v>
      </c>
      <c r="BD64" s="35">
        <f t="shared" si="5"/>
        <v>337</v>
      </c>
      <c r="BE64" s="6"/>
      <c r="BF64" s="6"/>
      <c r="BG64" s="35"/>
      <c r="BH64" s="6">
        <v>444</v>
      </c>
      <c r="BI64" s="6"/>
      <c r="BJ64" s="35">
        <f t="shared" si="6"/>
        <v>327</v>
      </c>
      <c r="BK64" s="6">
        <v>786</v>
      </c>
      <c r="BL64" s="6"/>
      <c r="BM64" s="6">
        <f t="shared" si="7"/>
        <v>342</v>
      </c>
      <c r="BN64" s="6">
        <v>1129</v>
      </c>
      <c r="BO64" s="6"/>
      <c r="BP64" s="6">
        <f t="shared" si="8"/>
        <v>343</v>
      </c>
      <c r="BQ64" s="6">
        <v>274</v>
      </c>
      <c r="BR64" s="6">
        <v>1200</v>
      </c>
      <c r="BS64" s="35">
        <f t="shared" si="9"/>
        <v>345</v>
      </c>
      <c r="BT64" s="6">
        <v>621</v>
      </c>
      <c r="BU64" s="6"/>
      <c r="BV64" s="6">
        <f t="shared" si="10"/>
        <v>347</v>
      </c>
      <c r="BW64" s="6">
        <v>945</v>
      </c>
      <c r="BX64" s="6"/>
      <c r="BY64" s="35">
        <f t="shared" si="11"/>
        <v>324</v>
      </c>
      <c r="BZ64" s="6"/>
      <c r="CA64" s="6"/>
      <c r="CB64" s="6"/>
      <c r="CC64" s="6">
        <v>94</v>
      </c>
      <c r="CD64" s="6">
        <v>1200</v>
      </c>
      <c r="CE64" s="6">
        <f t="shared" si="12"/>
        <v>349</v>
      </c>
      <c r="CF64" s="6">
        <v>434</v>
      </c>
      <c r="CG64" s="6"/>
      <c r="CH64" s="6">
        <f t="shared" si="13"/>
        <v>340</v>
      </c>
      <c r="CI64" s="6">
        <v>777</v>
      </c>
      <c r="CJ64" s="6"/>
      <c r="CK64" s="6">
        <f t="shared" si="14"/>
        <v>343</v>
      </c>
      <c r="CL64" s="6">
        <v>1122</v>
      </c>
      <c r="CM64" s="6"/>
      <c r="CN64" s="6">
        <f t="shared" si="15"/>
        <v>345</v>
      </c>
      <c r="CO64" s="6">
        <v>262</v>
      </c>
      <c r="CP64" s="6">
        <v>1200</v>
      </c>
      <c r="CQ64" s="6">
        <f t="shared" si="16"/>
        <v>340</v>
      </c>
      <c r="CR64" s="6">
        <v>588</v>
      </c>
      <c r="CS64" s="6"/>
      <c r="CT64" s="6">
        <f t="shared" si="17"/>
        <v>326</v>
      </c>
      <c r="CU64" s="6"/>
      <c r="CV64" s="6"/>
      <c r="CW64" s="6"/>
      <c r="CX64" s="6">
        <v>926</v>
      </c>
      <c r="CY64" s="6"/>
      <c r="CZ64" s="6">
        <f t="shared" si="18"/>
        <v>338</v>
      </c>
      <c r="DA64" s="6">
        <v>0</v>
      </c>
      <c r="DB64" s="6">
        <v>1101</v>
      </c>
      <c r="DC64" s="6">
        <f t="shared" si="19"/>
        <v>175</v>
      </c>
      <c r="DD64" s="6">
        <v>325</v>
      </c>
      <c r="DE64" s="6"/>
      <c r="DF64" s="6">
        <f t="shared" si="20"/>
        <v>325</v>
      </c>
      <c r="DG64" s="6">
        <v>671</v>
      </c>
      <c r="DH64" s="6"/>
      <c r="DI64" s="6">
        <f t="shared" si="21"/>
        <v>346</v>
      </c>
      <c r="DJ64" s="6">
        <v>1014</v>
      </c>
      <c r="DK64" s="6"/>
      <c r="DL64" s="6">
        <f t="shared" si="22"/>
        <v>343</v>
      </c>
      <c r="DM64" s="6">
        <v>120</v>
      </c>
      <c r="DN64" s="6">
        <v>1200</v>
      </c>
      <c r="DO64" s="6">
        <f t="shared" si="23"/>
        <v>306</v>
      </c>
    </row>
    <row r="65" spans="1:119">
      <c r="A65" s="6">
        <v>61</v>
      </c>
      <c r="B65" s="6">
        <v>1175</v>
      </c>
      <c r="C65" s="6"/>
      <c r="D65" s="6">
        <v>184</v>
      </c>
      <c r="E65" s="33" t="s">
        <v>130</v>
      </c>
      <c r="F65" s="33" t="s">
        <v>130</v>
      </c>
      <c r="G65" s="33" t="s">
        <v>130</v>
      </c>
      <c r="H65" s="33" t="s">
        <v>130</v>
      </c>
      <c r="I65" s="33" t="s">
        <v>130</v>
      </c>
      <c r="J65" s="33" t="s">
        <v>130</v>
      </c>
      <c r="K65" s="33" t="s">
        <v>130</v>
      </c>
      <c r="L65" s="33" t="s">
        <v>130</v>
      </c>
      <c r="M65" s="33" t="s">
        <v>130</v>
      </c>
      <c r="N65" s="33" t="s">
        <v>130</v>
      </c>
      <c r="O65" s="33" t="s">
        <v>130</v>
      </c>
      <c r="P65" s="33" t="s">
        <v>130</v>
      </c>
      <c r="Q65" s="33" t="s">
        <v>130</v>
      </c>
      <c r="R65" s="33" t="s">
        <v>130</v>
      </c>
      <c r="S65" s="33" t="s">
        <v>130</v>
      </c>
      <c r="T65" s="148" t="s">
        <v>320</v>
      </c>
      <c r="U65" s="33" t="s">
        <v>320</v>
      </c>
      <c r="V65" s="33" t="s">
        <v>320</v>
      </c>
      <c r="W65" s="33" t="s">
        <v>320</v>
      </c>
      <c r="X65" s="33" t="s">
        <v>320</v>
      </c>
      <c r="Y65" s="33" t="s">
        <v>320</v>
      </c>
      <c r="Z65" s="33" t="s">
        <v>320</v>
      </c>
      <c r="AA65" s="33" t="s">
        <v>320</v>
      </c>
      <c r="AB65" s="33" t="s">
        <v>320</v>
      </c>
      <c r="AC65" s="33" t="s">
        <v>320</v>
      </c>
      <c r="AD65" s="6"/>
      <c r="AE65" s="6"/>
      <c r="AF65" s="35"/>
      <c r="AG65" s="6"/>
      <c r="AH65" s="6"/>
      <c r="AI65" s="35"/>
      <c r="AJ65" s="35"/>
      <c r="AK65" s="35"/>
      <c r="AL65" s="35"/>
      <c r="AM65" s="6">
        <v>334</v>
      </c>
      <c r="AN65" s="6">
        <v>1200</v>
      </c>
      <c r="AO65" s="35">
        <f t="shared" si="0"/>
        <v>359</v>
      </c>
      <c r="AP65" s="6">
        <v>667</v>
      </c>
      <c r="AQ65" s="6"/>
      <c r="AR65" s="34">
        <f t="shared" si="1"/>
        <v>333</v>
      </c>
      <c r="AS65" s="35">
        <v>1011</v>
      </c>
      <c r="AT65" s="35"/>
      <c r="AU65" s="35">
        <f t="shared" si="2"/>
        <v>344</v>
      </c>
      <c r="AV65" s="6">
        <v>160</v>
      </c>
      <c r="AW65" s="6">
        <v>1200</v>
      </c>
      <c r="AX65" s="35">
        <f t="shared" si="3"/>
        <v>349</v>
      </c>
      <c r="AY65" s="6">
        <v>503</v>
      </c>
      <c r="AZ65" s="6"/>
      <c r="BA65" s="35">
        <f t="shared" si="4"/>
        <v>343</v>
      </c>
      <c r="BB65" s="35">
        <v>836</v>
      </c>
      <c r="BC65" s="35"/>
      <c r="BD65" s="35">
        <f t="shared" si="5"/>
        <v>333</v>
      </c>
      <c r="BE65" s="6"/>
      <c r="BF65" s="6"/>
      <c r="BG65" s="35"/>
      <c r="BH65" s="6">
        <v>1185</v>
      </c>
      <c r="BI65" s="6"/>
      <c r="BJ65" s="35">
        <f t="shared" si="6"/>
        <v>349</v>
      </c>
      <c r="BK65" s="6">
        <v>326</v>
      </c>
      <c r="BL65" s="6">
        <v>1200</v>
      </c>
      <c r="BM65" s="6">
        <f t="shared" si="7"/>
        <v>341</v>
      </c>
      <c r="BN65" s="6">
        <v>672</v>
      </c>
      <c r="BO65" s="6"/>
      <c r="BP65" s="6">
        <f t="shared" si="8"/>
        <v>346</v>
      </c>
      <c r="BQ65" s="6">
        <v>1012</v>
      </c>
      <c r="BR65" s="6"/>
      <c r="BS65" s="35">
        <f t="shared" si="9"/>
        <v>340</v>
      </c>
      <c r="BT65" s="6">
        <v>157</v>
      </c>
      <c r="BU65" s="6">
        <v>1200</v>
      </c>
      <c r="BV65" s="6">
        <f t="shared" si="10"/>
        <v>345</v>
      </c>
      <c r="BW65" s="6">
        <v>481</v>
      </c>
      <c r="BX65" s="6"/>
      <c r="BY65" s="35">
        <f t="shared" si="11"/>
        <v>324</v>
      </c>
      <c r="BZ65" s="6"/>
      <c r="CA65" s="6"/>
      <c r="CB65" s="6"/>
      <c r="CC65" s="6">
        <v>830</v>
      </c>
      <c r="CD65" s="6"/>
      <c r="CE65" s="6">
        <f t="shared" si="12"/>
        <v>349</v>
      </c>
      <c r="CF65" s="6">
        <v>0</v>
      </c>
      <c r="CG65" s="6">
        <v>1110</v>
      </c>
      <c r="CH65" s="6">
        <f t="shared" si="13"/>
        <v>280</v>
      </c>
      <c r="CI65" s="6">
        <v>323</v>
      </c>
      <c r="CJ65" s="6"/>
      <c r="CK65" s="6">
        <f t="shared" si="14"/>
        <v>323</v>
      </c>
      <c r="CL65" s="6">
        <v>636</v>
      </c>
      <c r="CM65" s="6"/>
      <c r="CN65" s="6">
        <f t="shared" si="15"/>
        <v>313</v>
      </c>
      <c r="CO65" s="6">
        <v>960</v>
      </c>
      <c r="CP65" s="6"/>
      <c r="CQ65" s="6">
        <f t="shared" si="16"/>
        <v>324</v>
      </c>
      <c r="CR65" s="6">
        <v>68</v>
      </c>
      <c r="CS65" s="6">
        <v>1200</v>
      </c>
      <c r="CT65" s="6">
        <f t="shared" si="17"/>
        <v>308</v>
      </c>
      <c r="CU65" s="6"/>
      <c r="CV65" s="6"/>
      <c r="CW65" s="6"/>
      <c r="CX65" s="6">
        <v>392</v>
      </c>
      <c r="CY65" s="6"/>
      <c r="CZ65" s="6">
        <f t="shared" si="18"/>
        <v>324</v>
      </c>
      <c r="DA65" s="6">
        <v>727</v>
      </c>
      <c r="DB65" s="6"/>
      <c r="DC65" s="6">
        <f t="shared" si="19"/>
        <v>335</v>
      </c>
      <c r="DD65" s="6">
        <v>1056</v>
      </c>
      <c r="DE65" s="6"/>
      <c r="DF65" s="6">
        <f t="shared" si="20"/>
        <v>329</v>
      </c>
      <c r="DG65" s="6">
        <v>186</v>
      </c>
      <c r="DH65" s="6">
        <v>1203</v>
      </c>
      <c r="DI65" s="6">
        <f t="shared" si="21"/>
        <v>333</v>
      </c>
      <c r="DJ65" s="6">
        <v>531</v>
      </c>
      <c r="DK65" s="6"/>
      <c r="DL65" s="6">
        <f t="shared" si="22"/>
        <v>345</v>
      </c>
      <c r="DM65" s="6">
        <v>830</v>
      </c>
      <c r="DN65" s="6"/>
      <c r="DO65" s="6">
        <f t="shared" si="23"/>
        <v>299</v>
      </c>
    </row>
    <row r="66" spans="1:119">
      <c r="A66" s="6">
        <v>62</v>
      </c>
      <c r="B66" s="6">
        <v>1195</v>
      </c>
      <c r="C66" s="6"/>
      <c r="D66" s="6">
        <v>187</v>
      </c>
      <c r="E66" s="33" t="s">
        <v>130</v>
      </c>
      <c r="F66" s="33" t="s">
        <v>130</v>
      </c>
      <c r="G66" s="33" t="s">
        <v>130</v>
      </c>
      <c r="H66" s="33" t="s">
        <v>130</v>
      </c>
      <c r="I66" s="148" t="s">
        <v>320</v>
      </c>
      <c r="J66" s="33" t="s">
        <v>320</v>
      </c>
      <c r="K66" s="33" t="s">
        <v>320</v>
      </c>
      <c r="L66" s="33" t="s">
        <v>320</v>
      </c>
      <c r="M66" s="33" t="s">
        <v>320</v>
      </c>
      <c r="N66" s="33" t="s">
        <v>320</v>
      </c>
      <c r="O66" s="33" t="s">
        <v>320</v>
      </c>
      <c r="P66" s="33" t="s">
        <v>320</v>
      </c>
      <c r="Q66" s="33" t="s">
        <v>320</v>
      </c>
      <c r="R66" s="33" t="s">
        <v>320</v>
      </c>
      <c r="S66" s="33" t="s">
        <v>320</v>
      </c>
      <c r="T66" s="33" t="s">
        <v>320</v>
      </c>
      <c r="U66" s="33" t="s">
        <v>320</v>
      </c>
      <c r="V66" s="33" t="s">
        <v>320</v>
      </c>
      <c r="W66" s="33" t="s">
        <v>320</v>
      </c>
      <c r="X66" s="33" t="s">
        <v>320</v>
      </c>
      <c r="Y66" s="33" t="s">
        <v>320</v>
      </c>
      <c r="Z66" s="33" t="s">
        <v>320</v>
      </c>
      <c r="AA66" s="148" t="s">
        <v>320</v>
      </c>
      <c r="AB66" s="33" t="s">
        <v>320</v>
      </c>
      <c r="AC66" s="33" t="s">
        <v>320</v>
      </c>
      <c r="AD66" s="35"/>
      <c r="AE66" s="35"/>
      <c r="AF66" s="35"/>
      <c r="AG66" s="35"/>
      <c r="AH66" s="35"/>
      <c r="AI66" s="35"/>
      <c r="AJ66" s="35"/>
      <c r="AK66" s="35"/>
      <c r="AL66" s="35"/>
      <c r="AM66" s="35">
        <v>356</v>
      </c>
      <c r="AN66" s="35">
        <v>1200</v>
      </c>
      <c r="AO66" s="35">
        <f t="shared" si="0"/>
        <v>361</v>
      </c>
      <c r="AP66" s="6">
        <v>697</v>
      </c>
      <c r="AQ66" s="35"/>
      <c r="AR66" s="34">
        <f t="shared" si="1"/>
        <v>341</v>
      </c>
      <c r="AS66" s="35">
        <v>0</v>
      </c>
      <c r="AT66" s="35">
        <v>982</v>
      </c>
      <c r="AU66" s="35">
        <f t="shared" si="2"/>
        <v>285</v>
      </c>
      <c r="AV66" s="6">
        <v>313</v>
      </c>
      <c r="AW66" s="6"/>
      <c r="AX66" s="35">
        <f t="shared" si="3"/>
        <v>313</v>
      </c>
      <c r="AY66" s="6">
        <v>114</v>
      </c>
      <c r="AZ66" s="6">
        <v>538</v>
      </c>
      <c r="BA66" s="35">
        <f t="shared" si="4"/>
        <v>339</v>
      </c>
      <c r="BB66" s="6">
        <v>440</v>
      </c>
      <c r="BC66" s="6"/>
      <c r="BD66" s="35">
        <f t="shared" si="5"/>
        <v>326</v>
      </c>
      <c r="BE66" s="6"/>
      <c r="BF66" s="6"/>
      <c r="BG66" s="35"/>
      <c r="BH66" s="6">
        <v>787</v>
      </c>
      <c r="BI66" s="6"/>
      <c r="BJ66" s="35">
        <f t="shared" si="6"/>
        <v>347</v>
      </c>
      <c r="BK66" s="6">
        <v>1119</v>
      </c>
      <c r="BL66" s="35"/>
      <c r="BM66" s="6">
        <f t="shared" si="7"/>
        <v>332</v>
      </c>
      <c r="BN66" s="6">
        <v>263</v>
      </c>
      <c r="BO66" s="6">
        <v>1200</v>
      </c>
      <c r="BP66" s="6">
        <f t="shared" si="8"/>
        <v>344</v>
      </c>
      <c r="BQ66" s="6">
        <v>605</v>
      </c>
      <c r="BR66" s="6"/>
      <c r="BS66" s="35">
        <f t="shared" si="9"/>
        <v>342</v>
      </c>
      <c r="BT66" s="6">
        <v>948</v>
      </c>
      <c r="BU66" s="6"/>
      <c r="BV66" s="6">
        <f t="shared" si="10"/>
        <v>343</v>
      </c>
      <c r="BW66" s="6">
        <v>96</v>
      </c>
      <c r="BX66" s="6">
        <v>1170</v>
      </c>
      <c r="BY66" s="35">
        <f t="shared" si="11"/>
        <v>318</v>
      </c>
      <c r="BZ66" s="6"/>
      <c r="CA66" s="35"/>
      <c r="CB66" s="6"/>
      <c r="CC66" s="6">
        <v>446</v>
      </c>
      <c r="CD66" s="6"/>
      <c r="CE66" s="6">
        <f t="shared" si="12"/>
        <v>350</v>
      </c>
      <c r="CF66" s="6">
        <v>787</v>
      </c>
      <c r="CG66" s="35"/>
      <c r="CH66" s="6">
        <f t="shared" si="13"/>
        <v>341</v>
      </c>
      <c r="CI66" s="6">
        <v>1133</v>
      </c>
      <c r="CJ66" s="6"/>
      <c r="CK66" s="6">
        <f t="shared" si="14"/>
        <v>346</v>
      </c>
      <c r="CL66" s="6">
        <v>277</v>
      </c>
      <c r="CM66" s="6">
        <v>1200</v>
      </c>
      <c r="CN66" s="6">
        <f t="shared" si="15"/>
        <v>344</v>
      </c>
      <c r="CO66" s="6">
        <v>621</v>
      </c>
      <c r="CP66" s="6"/>
      <c r="CQ66" s="6">
        <f t="shared" si="16"/>
        <v>344</v>
      </c>
      <c r="CR66" s="6">
        <v>948</v>
      </c>
      <c r="CS66" s="6"/>
      <c r="CT66" s="6">
        <f t="shared" si="17"/>
        <v>327</v>
      </c>
      <c r="CU66" s="6"/>
      <c r="CV66" s="6"/>
      <c r="CW66" s="6"/>
      <c r="CX66" s="6">
        <v>92</v>
      </c>
      <c r="CY66" s="6">
        <v>1200</v>
      </c>
      <c r="CZ66" s="6">
        <f t="shared" si="18"/>
        <v>344</v>
      </c>
      <c r="DA66" s="6">
        <v>423</v>
      </c>
      <c r="DB66" s="6"/>
      <c r="DC66" s="6">
        <f t="shared" si="19"/>
        <v>331</v>
      </c>
      <c r="DD66" s="6">
        <v>0</v>
      </c>
      <c r="DE66" s="6">
        <v>594</v>
      </c>
      <c r="DF66" s="6">
        <f t="shared" si="20"/>
        <v>171</v>
      </c>
      <c r="DG66" s="6">
        <v>322</v>
      </c>
      <c r="DH66" s="6"/>
      <c r="DI66" s="6">
        <f t="shared" si="21"/>
        <v>322</v>
      </c>
      <c r="DJ66" s="6">
        <v>667</v>
      </c>
      <c r="DK66" s="6"/>
      <c r="DL66" s="6">
        <f t="shared" si="22"/>
        <v>345</v>
      </c>
      <c r="DM66" s="6">
        <v>96</v>
      </c>
      <c r="DN66" s="6">
        <v>870</v>
      </c>
      <c r="DO66" s="6">
        <f t="shared" si="23"/>
        <v>299</v>
      </c>
    </row>
    <row r="67" spans="1:119">
      <c r="A67" s="6">
        <v>63</v>
      </c>
      <c r="B67" s="6">
        <v>436</v>
      </c>
      <c r="C67" s="6"/>
      <c r="D67" s="6">
        <v>187</v>
      </c>
      <c r="E67" s="33" t="s">
        <v>130</v>
      </c>
      <c r="F67" s="33" t="s">
        <v>130</v>
      </c>
      <c r="G67" s="148" t="s">
        <v>130</v>
      </c>
      <c r="H67" s="33" t="s">
        <v>130</v>
      </c>
      <c r="I67" s="33" t="s">
        <v>130</v>
      </c>
      <c r="J67" s="33" t="s">
        <v>130</v>
      </c>
      <c r="K67" s="33" t="s">
        <v>130</v>
      </c>
      <c r="L67" s="33" t="s">
        <v>130</v>
      </c>
      <c r="M67" s="33" t="s">
        <v>130</v>
      </c>
      <c r="N67" s="33" t="s">
        <v>130</v>
      </c>
      <c r="O67" s="33" t="s">
        <v>130</v>
      </c>
      <c r="P67" s="33" t="s">
        <v>130</v>
      </c>
      <c r="Q67" s="33" t="s">
        <v>130</v>
      </c>
      <c r="R67" s="33" t="s">
        <v>130</v>
      </c>
      <c r="S67" s="33" t="s">
        <v>130</v>
      </c>
      <c r="T67" s="33" t="s">
        <v>130</v>
      </c>
      <c r="U67" s="33" t="s">
        <v>130</v>
      </c>
      <c r="V67" s="33" t="s">
        <v>130</v>
      </c>
      <c r="W67" s="33" t="s">
        <v>130</v>
      </c>
      <c r="X67" s="148" t="s">
        <v>320</v>
      </c>
      <c r="Y67" s="33" t="s">
        <v>320</v>
      </c>
      <c r="Z67" s="33" t="s">
        <v>320</v>
      </c>
      <c r="AA67" s="33" t="s">
        <v>320</v>
      </c>
      <c r="AB67" s="33" t="s">
        <v>320</v>
      </c>
      <c r="AC67" s="33" t="s">
        <v>320</v>
      </c>
      <c r="AD67" s="35"/>
      <c r="AE67" s="35"/>
      <c r="AF67" s="35"/>
      <c r="AG67" s="35"/>
      <c r="AH67" s="35"/>
      <c r="AI67" s="35"/>
      <c r="AJ67" s="35"/>
      <c r="AK67" s="35"/>
      <c r="AL67" s="35"/>
      <c r="AM67" s="35">
        <v>0</v>
      </c>
      <c r="AN67" s="35">
        <v>699</v>
      </c>
      <c r="AO67" s="35">
        <f t="shared" si="0"/>
        <v>263</v>
      </c>
      <c r="AP67" s="6">
        <v>309</v>
      </c>
      <c r="AQ67" s="35"/>
      <c r="AR67" s="34">
        <f t="shared" si="1"/>
        <v>309</v>
      </c>
      <c r="AS67" s="35">
        <v>655</v>
      </c>
      <c r="AT67" s="35"/>
      <c r="AU67" s="35">
        <f t="shared" si="2"/>
        <v>346</v>
      </c>
      <c r="AV67" s="6">
        <v>1002</v>
      </c>
      <c r="AW67" s="6"/>
      <c r="AX67" s="35">
        <f t="shared" si="3"/>
        <v>347</v>
      </c>
      <c r="AY67" s="6">
        <v>144</v>
      </c>
      <c r="AZ67" s="6">
        <v>1200</v>
      </c>
      <c r="BA67" s="35">
        <f t="shared" si="4"/>
        <v>342</v>
      </c>
      <c r="BB67" s="6">
        <v>480</v>
      </c>
      <c r="BC67" s="6"/>
      <c r="BD67" s="35">
        <f t="shared" si="5"/>
        <v>336</v>
      </c>
      <c r="BE67" s="6"/>
      <c r="BF67" s="6"/>
      <c r="BG67" s="35"/>
      <c r="BH67" s="6">
        <v>826</v>
      </c>
      <c r="BI67" s="6"/>
      <c r="BJ67" s="35">
        <f t="shared" si="6"/>
        <v>346</v>
      </c>
      <c r="BK67" s="6">
        <v>1170</v>
      </c>
      <c r="BL67" s="35"/>
      <c r="BM67" s="6">
        <f t="shared" si="7"/>
        <v>344</v>
      </c>
      <c r="BN67" s="6">
        <v>320</v>
      </c>
      <c r="BO67" s="6">
        <v>1200</v>
      </c>
      <c r="BP67" s="6">
        <f t="shared" si="8"/>
        <v>350</v>
      </c>
      <c r="BQ67" s="6">
        <v>666</v>
      </c>
      <c r="BR67" s="6"/>
      <c r="BS67" s="35">
        <f t="shared" si="9"/>
        <v>346</v>
      </c>
      <c r="BT67" s="6">
        <v>1013</v>
      </c>
      <c r="BU67" s="6"/>
      <c r="BV67" s="6">
        <f t="shared" si="10"/>
        <v>347</v>
      </c>
      <c r="BW67" s="6">
        <v>142</v>
      </c>
      <c r="BX67" s="6">
        <v>1200</v>
      </c>
      <c r="BY67" s="35">
        <f t="shared" si="11"/>
        <v>329</v>
      </c>
      <c r="BZ67" s="6"/>
      <c r="CA67" s="35"/>
      <c r="CB67" s="6"/>
      <c r="CC67" s="6">
        <v>493</v>
      </c>
      <c r="CD67" s="6"/>
      <c r="CE67" s="6">
        <f t="shared" si="12"/>
        <v>351</v>
      </c>
      <c r="CF67" s="6">
        <v>838</v>
      </c>
      <c r="CG67" s="35"/>
      <c r="CH67" s="6">
        <f t="shared" si="13"/>
        <v>345</v>
      </c>
      <c r="CI67" s="6">
        <v>1189</v>
      </c>
      <c r="CJ67" s="6"/>
      <c r="CK67" s="6">
        <f t="shared" si="14"/>
        <v>351</v>
      </c>
      <c r="CL67" s="6">
        <v>330</v>
      </c>
      <c r="CM67" s="6">
        <v>1200</v>
      </c>
      <c r="CN67" s="6">
        <f t="shared" si="15"/>
        <v>341</v>
      </c>
      <c r="CO67" s="6">
        <v>677</v>
      </c>
      <c r="CP67" s="6"/>
      <c r="CQ67" s="6">
        <f t="shared" si="16"/>
        <v>347</v>
      </c>
      <c r="CR67" s="6">
        <v>1007</v>
      </c>
      <c r="CS67" s="6"/>
      <c r="CT67" s="6">
        <f t="shared" si="17"/>
        <v>330</v>
      </c>
      <c r="CU67" s="6"/>
      <c r="CV67" s="6"/>
      <c r="CW67" s="6"/>
      <c r="CX67" s="6">
        <v>204</v>
      </c>
      <c r="CY67" s="6">
        <v>1094</v>
      </c>
      <c r="CZ67" s="6">
        <f t="shared" si="18"/>
        <v>291</v>
      </c>
      <c r="DA67" s="6">
        <v>524</v>
      </c>
      <c r="DB67" s="6"/>
      <c r="DC67" s="6">
        <f t="shared" si="19"/>
        <v>320</v>
      </c>
      <c r="DD67" s="6">
        <v>869</v>
      </c>
      <c r="DE67" s="6"/>
      <c r="DF67" s="6">
        <f t="shared" si="20"/>
        <v>345</v>
      </c>
      <c r="DG67" s="6">
        <v>11</v>
      </c>
      <c r="DH67" s="6">
        <v>1200</v>
      </c>
      <c r="DI67" s="6">
        <f t="shared" si="21"/>
        <v>342</v>
      </c>
      <c r="DJ67" s="6">
        <v>352</v>
      </c>
      <c r="DK67" s="6"/>
      <c r="DL67" s="6">
        <f t="shared" si="22"/>
        <v>341</v>
      </c>
      <c r="DM67" s="6">
        <v>665</v>
      </c>
      <c r="DN67" s="6"/>
      <c r="DO67" s="6">
        <f t="shared" si="23"/>
        <v>313</v>
      </c>
    </row>
    <row r="68" spans="1:119">
      <c r="A68" s="6">
        <v>64</v>
      </c>
      <c r="B68" s="6">
        <v>195</v>
      </c>
      <c r="C68" s="6"/>
      <c r="D68" s="6">
        <v>185</v>
      </c>
      <c r="E68" s="33" t="s">
        <v>130</v>
      </c>
      <c r="F68" s="33" t="s">
        <v>130</v>
      </c>
      <c r="G68" s="33" t="s">
        <v>130</v>
      </c>
      <c r="H68" s="33" t="s">
        <v>130</v>
      </c>
      <c r="I68" s="33" t="s">
        <v>130</v>
      </c>
      <c r="J68" s="33" t="s">
        <v>130</v>
      </c>
      <c r="K68" s="33" t="s">
        <v>130</v>
      </c>
      <c r="L68" s="33" t="s">
        <v>130</v>
      </c>
      <c r="M68" s="33" t="s">
        <v>130</v>
      </c>
      <c r="N68" s="33" t="s">
        <v>130</v>
      </c>
      <c r="O68" s="33" t="s">
        <v>130</v>
      </c>
      <c r="P68" s="148" t="s">
        <v>320</v>
      </c>
      <c r="Q68" s="33" t="s">
        <v>320</v>
      </c>
      <c r="R68" s="33" t="s">
        <v>320</v>
      </c>
      <c r="S68" s="33" t="s">
        <v>320</v>
      </c>
      <c r="T68" s="33" t="s">
        <v>320</v>
      </c>
      <c r="U68" s="33" t="s">
        <v>320</v>
      </c>
      <c r="V68" s="33" t="s">
        <v>320</v>
      </c>
      <c r="W68" s="33" t="s">
        <v>320</v>
      </c>
      <c r="X68" s="33" t="s">
        <v>320</v>
      </c>
      <c r="Y68" s="33" t="s">
        <v>320</v>
      </c>
      <c r="Z68" s="33" t="s">
        <v>320</v>
      </c>
      <c r="AA68" s="33" t="s">
        <v>320</v>
      </c>
      <c r="AB68" s="33" t="s">
        <v>320</v>
      </c>
      <c r="AC68" s="33" t="s">
        <v>320</v>
      </c>
      <c r="AD68" s="6"/>
      <c r="AE68" s="6"/>
      <c r="AF68" s="35"/>
      <c r="AG68" s="6"/>
      <c r="AH68" s="6"/>
      <c r="AI68" s="35"/>
      <c r="AJ68" s="35"/>
      <c r="AK68" s="35"/>
      <c r="AL68" s="35"/>
      <c r="AM68" s="6">
        <v>565</v>
      </c>
      <c r="AN68" s="6"/>
      <c r="AO68" s="35">
        <f t="shared" si="0"/>
        <v>370</v>
      </c>
      <c r="AP68" s="6">
        <v>906</v>
      </c>
      <c r="AQ68" s="6"/>
      <c r="AR68" s="34">
        <f t="shared" si="1"/>
        <v>341</v>
      </c>
      <c r="AS68" s="35">
        <v>50</v>
      </c>
      <c r="AT68" s="35">
        <v>1204</v>
      </c>
      <c r="AU68" s="35">
        <f t="shared" si="2"/>
        <v>348</v>
      </c>
      <c r="AV68" s="6">
        <v>399</v>
      </c>
      <c r="AW68" s="6"/>
      <c r="AX68" s="35">
        <f t="shared" si="3"/>
        <v>349</v>
      </c>
      <c r="AY68" s="6">
        <v>749</v>
      </c>
      <c r="AZ68" s="6"/>
      <c r="BA68" s="35">
        <f t="shared" si="4"/>
        <v>350</v>
      </c>
      <c r="BB68" s="6">
        <v>1083</v>
      </c>
      <c r="BC68" s="6"/>
      <c r="BD68" s="35">
        <f t="shared" si="5"/>
        <v>334</v>
      </c>
      <c r="BE68" s="6"/>
      <c r="BF68" s="6"/>
      <c r="BG68" s="35"/>
      <c r="BH68" s="6">
        <v>234</v>
      </c>
      <c r="BI68" s="6">
        <v>1200</v>
      </c>
      <c r="BJ68" s="35">
        <f t="shared" si="6"/>
        <v>351</v>
      </c>
      <c r="BK68" s="6">
        <v>581</v>
      </c>
      <c r="BL68" s="35"/>
      <c r="BM68" s="6">
        <f t="shared" si="7"/>
        <v>347</v>
      </c>
      <c r="BN68" s="6">
        <v>928</v>
      </c>
      <c r="BO68" s="6"/>
      <c r="BP68" s="6">
        <f t="shared" si="8"/>
        <v>347</v>
      </c>
      <c r="BQ68" s="6">
        <v>0</v>
      </c>
      <c r="BR68" s="6">
        <v>1104</v>
      </c>
      <c r="BS68" s="35">
        <f t="shared" si="9"/>
        <v>176</v>
      </c>
      <c r="BT68" s="6">
        <v>334</v>
      </c>
      <c r="BU68" s="6"/>
      <c r="BV68" s="6">
        <f t="shared" si="10"/>
        <v>334</v>
      </c>
      <c r="BW68" s="6">
        <v>661</v>
      </c>
      <c r="BX68" s="6"/>
      <c r="BY68" s="35">
        <f t="shared" si="11"/>
        <v>327</v>
      </c>
      <c r="BZ68" s="6"/>
      <c r="CA68" s="35"/>
      <c r="CB68" s="6"/>
      <c r="CC68" s="6">
        <v>1011</v>
      </c>
      <c r="CD68" s="6"/>
      <c r="CE68" s="6">
        <f t="shared" si="12"/>
        <v>350</v>
      </c>
      <c r="CF68" s="6">
        <v>154</v>
      </c>
      <c r="CG68" s="35">
        <v>1200</v>
      </c>
      <c r="CH68" s="6">
        <f t="shared" si="13"/>
        <v>343</v>
      </c>
      <c r="CI68" s="6">
        <v>503</v>
      </c>
      <c r="CJ68" s="6"/>
      <c r="CK68" s="6">
        <f t="shared" si="14"/>
        <v>349</v>
      </c>
      <c r="CL68" s="6">
        <v>851</v>
      </c>
      <c r="CM68" s="6"/>
      <c r="CN68" s="6">
        <f t="shared" si="15"/>
        <v>348</v>
      </c>
      <c r="CO68" s="6">
        <v>1</v>
      </c>
      <c r="CP68" s="6">
        <v>1200</v>
      </c>
      <c r="CQ68" s="6">
        <f t="shared" si="16"/>
        <v>350</v>
      </c>
      <c r="CR68" s="6">
        <v>329</v>
      </c>
      <c r="CS68" s="6"/>
      <c r="CT68" s="6">
        <f t="shared" si="17"/>
        <v>328</v>
      </c>
      <c r="CU68" s="6"/>
      <c r="CV68" s="6"/>
      <c r="CW68" s="6"/>
      <c r="CX68" s="6">
        <v>677</v>
      </c>
      <c r="CY68" s="6"/>
      <c r="CZ68" s="6">
        <f t="shared" si="18"/>
        <v>348</v>
      </c>
      <c r="DA68" s="6">
        <v>1018</v>
      </c>
      <c r="DB68" s="6"/>
      <c r="DC68" s="6">
        <f t="shared" si="19"/>
        <v>341</v>
      </c>
      <c r="DD68" s="6">
        <v>160</v>
      </c>
      <c r="DE68" s="6">
        <v>1200</v>
      </c>
      <c r="DF68" s="6">
        <f t="shared" si="20"/>
        <v>342</v>
      </c>
      <c r="DG68" s="6">
        <v>506</v>
      </c>
      <c r="DH68" s="35"/>
      <c r="DI68" s="6">
        <f t="shared" si="21"/>
        <v>346</v>
      </c>
      <c r="DJ68" s="6">
        <v>855</v>
      </c>
      <c r="DK68" s="35"/>
      <c r="DL68" s="6">
        <f t="shared" si="22"/>
        <v>349</v>
      </c>
      <c r="DM68" s="6">
        <v>1170</v>
      </c>
      <c r="DN68" s="35"/>
      <c r="DO68" s="6">
        <f t="shared" si="23"/>
        <v>315</v>
      </c>
    </row>
    <row r="69" spans="1:119">
      <c r="A69" s="6">
        <v>65</v>
      </c>
      <c r="B69" s="6">
        <v>605</v>
      </c>
      <c r="C69" s="6"/>
      <c r="D69" s="6">
        <v>188</v>
      </c>
      <c r="E69" s="33" t="s">
        <v>130</v>
      </c>
      <c r="F69" s="33" t="s">
        <v>130</v>
      </c>
      <c r="G69" s="33" t="s">
        <v>130</v>
      </c>
      <c r="H69" s="33" t="s">
        <v>130</v>
      </c>
      <c r="I69" s="33" t="s">
        <v>130</v>
      </c>
      <c r="J69" s="33" t="s">
        <v>130</v>
      </c>
      <c r="K69" s="33" t="s">
        <v>130</v>
      </c>
      <c r="L69" s="33" t="s">
        <v>130</v>
      </c>
      <c r="M69" s="33" t="s">
        <v>130</v>
      </c>
      <c r="N69" s="33" t="s">
        <v>130</v>
      </c>
      <c r="O69" s="33" t="s">
        <v>130</v>
      </c>
      <c r="P69" s="33" t="s">
        <v>130</v>
      </c>
      <c r="Q69" s="33" t="s">
        <v>130</v>
      </c>
      <c r="R69" s="148" t="s">
        <v>135</v>
      </c>
      <c r="S69" s="33" t="s">
        <v>135</v>
      </c>
      <c r="T69" s="33" t="s">
        <v>135</v>
      </c>
      <c r="U69" s="33" t="s">
        <v>135</v>
      </c>
      <c r="V69" s="33" t="s">
        <v>135</v>
      </c>
      <c r="W69" s="33" t="s">
        <v>135</v>
      </c>
      <c r="X69" s="33" t="s">
        <v>135</v>
      </c>
      <c r="Y69" s="33" t="s">
        <v>135</v>
      </c>
      <c r="Z69" s="33" t="s">
        <v>135</v>
      </c>
      <c r="AA69" s="33" t="s">
        <v>135</v>
      </c>
      <c r="AB69" s="33" t="s">
        <v>135</v>
      </c>
      <c r="AC69" s="33" t="s">
        <v>135</v>
      </c>
      <c r="AD69" s="6"/>
      <c r="AE69" s="6"/>
      <c r="AF69" s="35"/>
      <c r="AG69" s="6"/>
      <c r="AH69" s="6"/>
      <c r="AI69" s="35"/>
      <c r="AJ69" s="35"/>
      <c r="AK69" s="35"/>
      <c r="AL69" s="35"/>
      <c r="AM69" s="6">
        <v>122</v>
      </c>
      <c r="AN69" s="6">
        <v>840</v>
      </c>
      <c r="AO69" s="35">
        <f t="shared" ref="AO69:AO132" si="24">AN69+AM69-B69</f>
        <v>357</v>
      </c>
      <c r="AP69" s="6">
        <v>463</v>
      </c>
      <c r="AQ69" s="6"/>
      <c r="AR69" s="34">
        <f t="shared" si="1"/>
        <v>341</v>
      </c>
      <c r="AS69" s="35">
        <v>795</v>
      </c>
      <c r="AT69" s="35"/>
      <c r="AU69" s="35">
        <f t="shared" si="2"/>
        <v>332</v>
      </c>
      <c r="AV69" s="6">
        <v>1144</v>
      </c>
      <c r="AW69" s="6"/>
      <c r="AX69" s="35">
        <f t="shared" si="3"/>
        <v>349</v>
      </c>
      <c r="AY69" s="6">
        <v>294</v>
      </c>
      <c r="AZ69" s="6">
        <v>1200</v>
      </c>
      <c r="BA69" s="35">
        <f t="shared" si="4"/>
        <v>350</v>
      </c>
      <c r="BB69" s="35">
        <v>625</v>
      </c>
      <c r="BC69" s="35"/>
      <c r="BD69" s="35">
        <f t="shared" si="5"/>
        <v>331</v>
      </c>
      <c r="BE69" s="6"/>
      <c r="BF69" s="6"/>
      <c r="BG69" s="35"/>
      <c r="BH69" s="6">
        <v>974</v>
      </c>
      <c r="BI69" s="6"/>
      <c r="BJ69" s="35">
        <f t="shared" si="6"/>
        <v>349</v>
      </c>
      <c r="BK69" s="6">
        <v>118</v>
      </c>
      <c r="BL69" s="6">
        <v>1200</v>
      </c>
      <c r="BM69" s="6">
        <f t="shared" si="7"/>
        <v>344</v>
      </c>
      <c r="BN69" s="6">
        <v>467</v>
      </c>
      <c r="BO69" s="6"/>
      <c r="BP69" s="6">
        <f t="shared" si="8"/>
        <v>349</v>
      </c>
      <c r="BQ69" s="6">
        <v>815</v>
      </c>
      <c r="BR69" s="6"/>
      <c r="BS69" s="35">
        <f t="shared" si="9"/>
        <v>348</v>
      </c>
      <c r="BT69" s="6">
        <v>1165</v>
      </c>
      <c r="BU69" s="6"/>
      <c r="BV69" s="6">
        <f t="shared" si="10"/>
        <v>350</v>
      </c>
      <c r="BW69" s="6">
        <v>0</v>
      </c>
      <c r="BX69" s="6">
        <v>1452</v>
      </c>
      <c r="BY69" s="35">
        <f t="shared" si="11"/>
        <v>287</v>
      </c>
      <c r="BZ69" s="6"/>
      <c r="CA69" s="6"/>
      <c r="CB69" s="6"/>
      <c r="CC69" s="6">
        <v>270</v>
      </c>
      <c r="CD69" s="6"/>
      <c r="CE69" s="6">
        <f t="shared" si="12"/>
        <v>270</v>
      </c>
      <c r="CF69" s="6">
        <v>550</v>
      </c>
      <c r="CG69" s="6"/>
      <c r="CH69" s="6">
        <f t="shared" si="13"/>
        <v>280</v>
      </c>
      <c r="CI69" s="6">
        <v>837</v>
      </c>
      <c r="CJ69" s="6"/>
      <c r="CK69" s="6">
        <f t="shared" si="14"/>
        <v>287</v>
      </c>
      <c r="CL69" s="6">
        <v>1124</v>
      </c>
      <c r="CM69" s="6"/>
      <c r="CN69" s="6">
        <f t="shared" si="15"/>
        <v>287</v>
      </c>
      <c r="CO69" s="6">
        <v>1412</v>
      </c>
      <c r="CP69" s="6"/>
      <c r="CQ69" s="6">
        <f t="shared" si="16"/>
        <v>288</v>
      </c>
      <c r="CR69" s="6">
        <v>1670</v>
      </c>
      <c r="CS69" s="6"/>
      <c r="CT69" s="6">
        <f t="shared" si="17"/>
        <v>258</v>
      </c>
      <c r="CU69" s="6"/>
      <c r="CV69" s="6"/>
      <c r="CW69" s="6"/>
      <c r="CX69" s="6">
        <v>156</v>
      </c>
      <c r="CY69" s="6">
        <v>1800</v>
      </c>
      <c r="CZ69" s="6">
        <f t="shared" si="18"/>
        <v>286</v>
      </c>
      <c r="DA69" s="6">
        <v>434</v>
      </c>
      <c r="DB69" s="6"/>
      <c r="DC69" s="6">
        <f t="shared" si="19"/>
        <v>278</v>
      </c>
      <c r="DD69" s="6">
        <v>716</v>
      </c>
      <c r="DE69" s="6"/>
      <c r="DF69" s="6">
        <f t="shared" si="20"/>
        <v>282</v>
      </c>
      <c r="DG69" s="6">
        <v>2</v>
      </c>
      <c r="DH69" s="6">
        <v>1000</v>
      </c>
      <c r="DI69" s="6">
        <f t="shared" si="21"/>
        <v>286</v>
      </c>
      <c r="DJ69" s="6">
        <v>282</v>
      </c>
      <c r="DK69" s="6"/>
      <c r="DL69" s="6">
        <f t="shared" si="22"/>
        <v>280</v>
      </c>
      <c r="DM69" s="6">
        <v>541</v>
      </c>
      <c r="DN69" s="6"/>
      <c r="DO69" s="6">
        <f t="shared" si="23"/>
        <v>259</v>
      </c>
    </row>
    <row r="70" spans="1:119">
      <c r="A70" s="6">
        <v>66</v>
      </c>
      <c r="B70" s="6">
        <v>0</v>
      </c>
      <c r="C70" s="6">
        <v>1104</v>
      </c>
      <c r="D70" s="6">
        <v>117</v>
      </c>
      <c r="E70" s="33" t="s">
        <v>130</v>
      </c>
      <c r="F70" s="148" t="s">
        <v>130</v>
      </c>
      <c r="G70" s="33" t="s">
        <v>130</v>
      </c>
      <c r="H70" s="33" t="s">
        <v>130</v>
      </c>
      <c r="I70" s="33" t="s">
        <v>130</v>
      </c>
      <c r="J70" s="33" t="s">
        <v>130</v>
      </c>
      <c r="K70" s="33" t="s">
        <v>130</v>
      </c>
      <c r="L70" s="33" t="s">
        <v>130</v>
      </c>
      <c r="M70" s="33" t="s">
        <v>130</v>
      </c>
      <c r="N70" s="33" t="s">
        <v>130</v>
      </c>
      <c r="O70" s="33" t="s">
        <v>130</v>
      </c>
      <c r="P70" s="33" t="s">
        <v>130</v>
      </c>
      <c r="Q70" s="33" t="s">
        <v>130</v>
      </c>
      <c r="R70" s="33" t="s">
        <v>130</v>
      </c>
      <c r="S70" s="33" t="s">
        <v>130</v>
      </c>
      <c r="T70" s="33" t="s">
        <v>130</v>
      </c>
      <c r="U70" s="33" t="s">
        <v>130</v>
      </c>
      <c r="V70" s="33" t="s">
        <v>130</v>
      </c>
      <c r="W70" s="33" t="s">
        <v>130</v>
      </c>
      <c r="X70" s="148" t="s">
        <v>320</v>
      </c>
      <c r="Y70" s="33" t="s">
        <v>320</v>
      </c>
      <c r="Z70" s="33" t="s">
        <v>320</v>
      </c>
      <c r="AA70" s="33" t="s">
        <v>320</v>
      </c>
      <c r="AB70" s="33" t="s">
        <v>320</v>
      </c>
      <c r="AC70" s="33" t="s">
        <v>320</v>
      </c>
      <c r="AD70" s="6"/>
      <c r="AE70" s="6"/>
      <c r="AF70" s="35"/>
      <c r="AG70" s="6"/>
      <c r="AH70" s="6"/>
      <c r="AI70" s="35"/>
      <c r="AJ70" s="35"/>
      <c r="AK70" s="35"/>
      <c r="AL70" s="35"/>
      <c r="AM70" s="6">
        <v>339</v>
      </c>
      <c r="AN70" s="6"/>
      <c r="AO70" s="35">
        <f t="shared" si="24"/>
        <v>339</v>
      </c>
      <c r="AP70" s="6">
        <v>87</v>
      </c>
      <c r="AQ70" s="6">
        <v>597</v>
      </c>
      <c r="AR70" s="34">
        <f t="shared" ref="AR70:AR133" si="25">AQ70+AP70-AM70</f>
        <v>345</v>
      </c>
      <c r="AS70" s="35">
        <v>434</v>
      </c>
      <c r="AT70" s="35"/>
      <c r="AU70" s="35">
        <f t="shared" ref="AU70:AU133" si="26">AT70+AS70-AP70</f>
        <v>347</v>
      </c>
      <c r="AV70" s="6">
        <v>782</v>
      </c>
      <c r="AW70" s="6"/>
      <c r="AX70" s="35">
        <f t="shared" ref="AX70:AX133" si="27">AW70+AV70-AS70</f>
        <v>348</v>
      </c>
      <c r="AY70" s="6">
        <v>1125</v>
      </c>
      <c r="AZ70" s="6"/>
      <c r="BA70" s="35">
        <f t="shared" ref="BA70:BA133" si="28">AZ70+AY70-AV70</f>
        <v>343</v>
      </c>
      <c r="BB70" s="35">
        <v>255</v>
      </c>
      <c r="BC70" s="35">
        <v>1200</v>
      </c>
      <c r="BD70" s="35">
        <f t="shared" ref="BD70:BD133" si="29">BC70+BB70-AY70</f>
        <v>330</v>
      </c>
      <c r="BE70" s="6"/>
      <c r="BF70" s="6"/>
      <c r="BG70" s="35"/>
      <c r="BH70" s="6">
        <v>603</v>
      </c>
      <c r="BI70" s="6"/>
      <c r="BJ70" s="35">
        <f t="shared" ref="BJ70:BJ133" si="30">BI70+BH70-BB70</f>
        <v>348</v>
      </c>
      <c r="BK70" s="6">
        <v>948</v>
      </c>
      <c r="BL70" s="6"/>
      <c r="BM70" s="6">
        <f t="shared" ref="BM70:BM133" si="31">BL70+BK70-BH70</f>
        <v>345</v>
      </c>
      <c r="BN70" s="6">
        <v>91</v>
      </c>
      <c r="BO70" s="6">
        <v>1200</v>
      </c>
      <c r="BP70" s="6">
        <f t="shared" ref="BP70:BP133" si="32">BO70+BN70-BK70</f>
        <v>343</v>
      </c>
      <c r="BQ70" s="6">
        <v>433</v>
      </c>
      <c r="BR70" s="6"/>
      <c r="BS70" s="35">
        <f t="shared" ref="BS70:BS133" si="33">BR70+BQ70-BN70</f>
        <v>342</v>
      </c>
      <c r="BT70" s="6">
        <v>778</v>
      </c>
      <c r="BU70" s="6"/>
      <c r="BV70" s="6">
        <f t="shared" ref="BV70:BV133" si="34">BU70+BT70-BQ70</f>
        <v>345</v>
      </c>
      <c r="BW70" s="6">
        <v>1086</v>
      </c>
      <c r="BX70" s="6"/>
      <c r="BY70" s="35">
        <f t="shared" ref="BY70:BY133" si="35">BX70+BW70-BT70</f>
        <v>308</v>
      </c>
      <c r="BZ70" s="6"/>
      <c r="CA70" s="6"/>
      <c r="CB70" s="6"/>
      <c r="CC70" s="6">
        <v>228</v>
      </c>
      <c r="CD70" s="6">
        <v>1200</v>
      </c>
      <c r="CE70" s="6">
        <f t="shared" ref="CE70:CE133" si="36">CD70+CC70-BW70</f>
        <v>342</v>
      </c>
      <c r="CF70" s="6">
        <v>570</v>
      </c>
      <c r="CG70" s="6"/>
      <c r="CH70" s="6">
        <f t="shared" ref="CH70:CH133" si="37">CG70+CF70-CC70</f>
        <v>342</v>
      </c>
      <c r="CI70" s="6">
        <v>900</v>
      </c>
      <c r="CJ70" s="6"/>
      <c r="CK70" s="6">
        <f t="shared" ref="CK70:CK133" si="38">CJ70+CI70-CF70</f>
        <v>330</v>
      </c>
      <c r="CL70" s="6">
        <v>346</v>
      </c>
      <c r="CM70" s="6">
        <v>901</v>
      </c>
      <c r="CN70" s="6">
        <f t="shared" ref="CN70:CN133" si="39">CM70+CL70-CI70</f>
        <v>347</v>
      </c>
      <c r="CO70" s="6">
        <v>688</v>
      </c>
      <c r="CP70" s="6"/>
      <c r="CQ70" s="6">
        <f t="shared" ref="CQ70:CQ133" si="40">CP70+CO70-CL70</f>
        <v>342</v>
      </c>
      <c r="CR70" s="6">
        <v>0</v>
      </c>
      <c r="CS70" s="6">
        <v>807</v>
      </c>
      <c r="CT70" s="6">
        <f t="shared" ref="CT70:CT133" si="41">CS70+CR70-CO70</f>
        <v>119</v>
      </c>
      <c r="CU70" s="6"/>
      <c r="CV70" s="6"/>
      <c r="CW70" s="6"/>
      <c r="CX70" s="6">
        <v>320</v>
      </c>
      <c r="CY70" s="6"/>
      <c r="CZ70" s="6">
        <f t="shared" ref="CZ70:CZ133" si="42">CY70+CX70-CR70</f>
        <v>320</v>
      </c>
      <c r="DA70" s="6">
        <v>659</v>
      </c>
      <c r="DB70" s="6"/>
      <c r="DC70" s="6">
        <f t="shared" ref="DC70:DC133" si="43">DB70+DA70-CX70</f>
        <v>339</v>
      </c>
      <c r="DD70" s="6">
        <v>1006</v>
      </c>
      <c r="DE70" s="6"/>
      <c r="DF70" s="6">
        <f t="shared" ref="DF70:DF133" si="44">DE70+DD70-DA70</f>
        <v>347</v>
      </c>
      <c r="DG70" s="6">
        <v>149</v>
      </c>
      <c r="DH70" s="6">
        <v>1200</v>
      </c>
      <c r="DI70" s="6">
        <f t="shared" ref="DI70:DI133" si="45">DH70+DG70-DD70</f>
        <v>343</v>
      </c>
      <c r="DJ70" s="6">
        <v>489</v>
      </c>
      <c r="DK70" s="6"/>
      <c r="DL70" s="6">
        <f t="shared" ref="DL70:DL133" si="46">DK70+DJ70-DG70</f>
        <v>340</v>
      </c>
      <c r="DM70" s="6">
        <v>805</v>
      </c>
      <c r="DN70" s="6"/>
      <c r="DO70" s="6">
        <f t="shared" ref="DO70:DO133" si="47">DN70+DM70-DJ70</f>
        <v>316</v>
      </c>
    </row>
    <row r="71" spans="1:119">
      <c r="A71" s="6">
        <v>67</v>
      </c>
      <c r="B71" s="6">
        <v>171</v>
      </c>
      <c r="C71" s="6"/>
      <c r="D71" s="6">
        <v>171</v>
      </c>
      <c r="E71" s="148" t="s">
        <v>130</v>
      </c>
      <c r="F71" s="33" t="s">
        <v>130</v>
      </c>
      <c r="G71" s="33" t="s">
        <v>130</v>
      </c>
      <c r="H71" s="33" t="s">
        <v>130</v>
      </c>
      <c r="I71" s="33" t="s">
        <v>130</v>
      </c>
      <c r="J71" s="33" t="s">
        <v>130</v>
      </c>
      <c r="K71" s="33" t="s">
        <v>130</v>
      </c>
      <c r="L71" s="33" t="s">
        <v>130</v>
      </c>
      <c r="M71" s="33" t="s">
        <v>130</v>
      </c>
      <c r="N71" s="33" t="s">
        <v>130</v>
      </c>
      <c r="O71" s="33" t="s">
        <v>130</v>
      </c>
      <c r="P71" s="33" t="s">
        <v>130</v>
      </c>
      <c r="Q71" s="33" t="s">
        <v>130</v>
      </c>
      <c r="R71" s="33" t="s">
        <v>130</v>
      </c>
      <c r="S71" s="33" t="s">
        <v>130</v>
      </c>
      <c r="T71" s="33" t="s">
        <v>130</v>
      </c>
      <c r="U71" s="33" t="s">
        <v>130</v>
      </c>
      <c r="V71" s="33" t="s">
        <v>130</v>
      </c>
      <c r="W71" s="33" t="s">
        <v>130</v>
      </c>
      <c r="X71" s="148" t="s">
        <v>320</v>
      </c>
      <c r="Y71" s="33" t="s">
        <v>320</v>
      </c>
      <c r="Z71" s="33" t="s">
        <v>320</v>
      </c>
      <c r="AA71" s="33" t="s">
        <v>320</v>
      </c>
      <c r="AB71" s="33" t="s">
        <v>320</v>
      </c>
      <c r="AC71" s="33" t="s">
        <v>320</v>
      </c>
      <c r="AD71" s="6"/>
      <c r="AE71" s="6"/>
      <c r="AF71" s="35"/>
      <c r="AG71" s="6"/>
      <c r="AH71" s="6"/>
      <c r="AI71" s="35"/>
      <c r="AJ71" s="35"/>
      <c r="AK71" s="35"/>
      <c r="AL71" s="35"/>
      <c r="AM71" s="6">
        <v>522</v>
      </c>
      <c r="AN71" s="6"/>
      <c r="AO71" s="35">
        <f t="shared" si="24"/>
        <v>351</v>
      </c>
      <c r="AP71" s="6">
        <v>849</v>
      </c>
      <c r="AQ71" s="6"/>
      <c r="AR71" s="34">
        <f t="shared" si="25"/>
        <v>327</v>
      </c>
      <c r="AS71" s="35">
        <v>1181</v>
      </c>
      <c r="AT71" s="35"/>
      <c r="AU71" s="35">
        <f t="shared" si="26"/>
        <v>332</v>
      </c>
      <c r="AV71" s="6">
        <v>305</v>
      </c>
      <c r="AW71" s="6">
        <v>1200</v>
      </c>
      <c r="AX71" s="35">
        <f t="shared" si="27"/>
        <v>324</v>
      </c>
      <c r="AY71" s="6">
        <v>633</v>
      </c>
      <c r="AZ71" s="6"/>
      <c r="BA71" s="35">
        <f t="shared" si="28"/>
        <v>328</v>
      </c>
      <c r="BB71" s="35">
        <v>946</v>
      </c>
      <c r="BC71" s="35"/>
      <c r="BD71" s="35">
        <f t="shared" si="29"/>
        <v>313</v>
      </c>
      <c r="BE71" s="6"/>
      <c r="BF71" s="6"/>
      <c r="BG71" s="35"/>
      <c r="BH71" s="6">
        <v>279</v>
      </c>
      <c r="BI71" s="6">
        <v>955</v>
      </c>
      <c r="BJ71" s="35">
        <f t="shared" si="30"/>
        <v>288</v>
      </c>
      <c r="BK71" s="6">
        <v>601</v>
      </c>
      <c r="BL71" s="6"/>
      <c r="BM71" s="6">
        <f t="shared" si="31"/>
        <v>322</v>
      </c>
      <c r="BN71" s="6">
        <v>922</v>
      </c>
      <c r="BO71" s="6"/>
      <c r="BP71" s="6">
        <f t="shared" si="32"/>
        <v>321</v>
      </c>
      <c r="BQ71" s="6">
        <v>43</v>
      </c>
      <c r="BR71" s="6">
        <v>1200</v>
      </c>
      <c r="BS71" s="35">
        <f t="shared" si="33"/>
        <v>321</v>
      </c>
      <c r="BT71" s="6">
        <v>368</v>
      </c>
      <c r="BU71" s="6"/>
      <c r="BV71" s="6">
        <f t="shared" si="34"/>
        <v>325</v>
      </c>
      <c r="BW71" s="6">
        <v>674</v>
      </c>
      <c r="BX71" s="6"/>
      <c r="BY71" s="35">
        <f t="shared" si="35"/>
        <v>306</v>
      </c>
      <c r="BZ71" s="6"/>
      <c r="CA71" s="6"/>
      <c r="CB71" s="6"/>
      <c r="CC71" s="6">
        <v>989</v>
      </c>
      <c r="CD71" s="6"/>
      <c r="CE71" s="6">
        <f t="shared" si="36"/>
        <v>315</v>
      </c>
      <c r="CF71" s="6">
        <v>104</v>
      </c>
      <c r="CG71" s="6">
        <v>1200</v>
      </c>
      <c r="CH71" s="6">
        <f t="shared" si="37"/>
        <v>315</v>
      </c>
      <c r="CI71" s="6">
        <v>423</v>
      </c>
      <c r="CJ71" s="6"/>
      <c r="CK71" s="6">
        <f t="shared" si="38"/>
        <v>319</v>
      </c>
      <c r="CL71" s="6">
        <v>747</v>
      </c>
      <c r="CM71" s="6"/>
      <c r="CN71" s="6">
        <f t="shared" si="39"/>
        <v>324</v>
      </c>
      <c r="CO71" s="6">
        <v>1066</v>
      </c>
      <c r="CP71" s="6"/>
      <c r="CQ71" s="6">
        <f t="shared" si="40"/>
        <v>319</v>
      </c>
      <c r="CR71" s="35">
        <v>0</v>
      </c>
      <c r="CS71" s="6">
        <v>1330</v>
      </c>
      <c r="CT71" s="6">
        <f t="shared" si="41"/>
        <v>264</v>
      </c>
      <c r="CU71" s="6"/>
      <c r="CV71" s="6"/>
      <c r="CW71" s="6"/>
      <c r="CX71" s="6">
        <v>312</v>
      </c>
      <c r="CY71" s="6"/>
      <c r="CZ71" s="6">
        <f t="shared" si="42"/>
        <v>312</v>
      </c>
      <c r="DA71" s="6">
        <v>625</v>
      </c>
      <c r="DB71" s="6"/>
      <c r="DC71" s="6">
        <f t="shared" si="43"/>
        <v>313</v>
      </c>
      <c r="DD71" s="6">
        <v>945</v>
      </c>
      <c r="DE71" s="6"/>
      <c r="DF71" s="6">
        <f t="shared" si="44"/>
        <v>320</v>
      </c>
      <c r="DG71" s="6">
        <v>64</v>
      </c>
      <c r="DH71" s="6">
        <v>1200</v>
      </c>
      <c r="DI71" s="6">
        <f t="shared" si="45"/>
        <v>319</v>
      </c>
      <c r="DJ71" s="6">
        <v>392</v>
      </c>
      <c r="DK71" s="6"/>
      <c r="DL71" s="6">
        <f t="shared" si="46"/>
        <v>328</v>
      </c>
      <c r="DM71" s="6">
        <v>688</v>
      </c>
      <c r="DN71" s="6"/>
      <c r="DO71" s="6">
        <f t="shared" si="47"/>
        <v>296</v>
      </c>
    </row>
    <row r="72" spans="1:119">
      <c r="A72" s="6">
        <v>68</v>
      </c>
      <c r="B72" s="6">
        <v>723</v>
      </c>
      <c r="C72" s="6"/>
      <c r="D72" s="6">
        <v>187</v>
      </c>
      <c r="E72" s="33" t="s">
        <v>130</v>
      </c>
      <c r="F72" s="33" t="s">
        <v>130</v>
      </c>
      <c r="G72" s="33" t="s">
        <v>130</v>
      </c>
      <c r="H72" s="33" t="s">
        <v>130</v>
      </c>
      <c r="I72" s="33" t="s">
        <v>130</v>
      </c>
      <c r="J72" s="33" t="s">
        <v>130</v>
      </c>
      <c r="K72" s="148" t="s">
        <v>130</v>
      </c>
      <c r="L72" s="33" t="s">
        <v>130</v>
      </c>
      <c r="M72" s="33" t="s">
        <v>130</v>
      </c>
      <c r="N72" s="33" t="s">
        <v>130</v>
      </c>
      <c r="O72" s="33" t="s">
        <v>130</v>
      </c>
      <c r="P72" s="33" t="s">
        <v>130</v>
      </c>
      <c r="Q72" s="33" t="s">
        <v>130</v>
      </c>
      <c r="R72" s="33" t="s">
        <v>130</v>
      </c>
      <c r="S72" s="33" t="s">
        <v>130</v>
      </c>
      <c r="T72" s="148" t="s">
        <v>130</v>
      </c>
      <c r="U72" s="33" t="s">
        <v>130</v>
      </c>
      <c r="V72" s="33" t="s">
        <v>130</v>
      </c>
      <c r="W72" s="33" t="s">
        <v>130</v>
      </c>
      <c r="X72" s="33" t="s">
        <v>130</v>
      </c>
      <c r="Y72" s="33" t="s">
        <v>130</v>
      </c>
      <c r="Z72" s="33" t="s">
        <v>130</v>
      </c>
      <c r="AA72" s="148" t="s">
        <v>320</v>
      </c>
      <c r="AB72" s="33" t="s">
        <v>320</v>
      </c>
      <c r="AC72" s="33" t="s">
        <v>320</v>
      </c>
      <c r="AD72" s="6"/>
      <c r="AE72" s="6"/>
      <c r="AF72" s="35"/>
      <c r="AG72" s="6"/>
      <c r="AH72" s="6"/>
      <c r="AI72" s="35"/>
      <c r="AJ72" s="35"/>
      <c r="AK72" s="35"/>
      <c r="AL72" s="35"/>
      <c r="AM72" s="6">
        <v>1093</v>
      </c>
      <c r="AN72" s="6"/>
      <c r="AO72" s="35">
        <f t="shared" si="24"/>
        <v>370</v>
      </c>
      <c r="AP72" s="6">
        <v>237</v>
      </c>
      <c r="AQ72" s="6">
        <v>1200</v>
      </c>
      <c r="AR72" s="34">
        <f t="shared" si="25"/>
        <v>344</v>
      </c>
      <c r="AS72" s="35">
        <v>584</v>
      </c>
      <c r="AT72" s="35"/>
      <c r="AU72" s="35">
        <f t="shared" si="26"/>
        <v>347</v>
      </c>
      <c r="AV72" s="6">
        <v>931</v>
      </c>
      <c r="AW72" s="6"/>
      <c r="AX72" s="35">
        <f t="shared" si="27"/>
        <v>347</v>
      </c>
      <c r="AY72" s="6">
        <v>0</v>
      </c>
      <c r="AZ72" s="6">
        <v>1180</v>
      </c>
      <c r="BA72" s="35">
        <f t="shared" si="28"/>
        <v>249</v>
      </c>
      <c r="BB72" s="35">
        <v>318</v>
      </c>
      <c r="BC72" s="35"/>
      <c r="BD72" s="35">
        <f t="shared" si="29"/>
        <v>318</v>
      </c>
      <c r="BE72" s="6"/>
      <c r="BF72" s="6"/>
      <c r="BG72" s="35"/>
      <c r="BH72" s="6">
        <v>662</v>
      </c>
      <c r="BI72" s="6"/>
      <c r="BJ72" s="35">
        <f t="shared" si="30"/>
        <v>344</v>
      </c>
      <c r="BK72" s="6">
        <v>998</v>
      </c>
      <c r="BL72" s="6"/>
      <c r="BM72" s="6">
        <f t="shared" si="31"/>
        <v>336</v>
      </c>
      <c r="BN72" s="6">
        <v>140</v>
      </c>
      <c r="BO72" s="6">
        <v>1200</v>
      </c>
      <c r="BP72" s="6">
        <f t="shared" si="32"/>
        <v>342</v>
      </c>
      <c r="BQ72" s="6">
        <v>467</v>
      </c>
      <c r="BR72" s="6"/>
      <c r="BS72" s="35">
        <f t="shared" si="33"/>
        <v>327</v>
      </c>
      <c r="BT72" s="6">
        <v>807</v>
      </c>
      <c r="BU72" s="6"/>
      <c r="BV72" s="6">
        <f t="shared" si="34"/>
        <v>340</v>
      </c>
      <c r="BW72" s="6">
        <v>1124</v>
      </c>
      <c r="BX72" s="6"/>
      <c r="BY72" s="35">
        <f t="shared" si="35"/>
        <v>317</v>
      </c>
      <c r="BZ72" s="6"/>
      <c r="CA72" s="6"/>
      <c r="CB72" s="6"/>
      <c r="CC72" s="6">
        <v>257</v>
      </c>
      <c r="CD72" s="6">
        <v>1200</v>
      </c>
      <c r="CE72" s="6">
        <f t="shared" si="36"/>
        <v>333</v>
      </c>
      <c r="CF72" s="6">
        <v>594</v>
      </c>
      <c r="CG72" s="6"/>
      <c r="CH72" s="6">
        <f t="shared" si="37"/>
        <v>337</v>
      </c>
      <c r="CI72" s="6">
        <v>313</v>
      </c>
      <c r="CJ72" s="6">
        <v>612</v>
      </c>
      <c r="CK72" s="6">
        <f t="shared" si="38"/>
        <v>331</v>
      </c>
      <c r="CL72" s="6">
        <v>652</v>
      </c>
      <c r="CM72" s="6"/>
      <c r="CN72" s="6">
        <f t="shared" si="39"/>
        <v>339</v>
      </c>
      <c r="CO72" s="6">
        <v>997</v>
      </c>
      <c r="CP72" s="6"/>
      <c r="CQ72" s="6">
        <f t="shared" si="40"/>
        <v>345</v>
      </c>
      <c r="CR72" s="6">
        <v>126</v>
      </c>
      <c r="CS72" s="6">
        <v>1200</v>
      </c>
      <c r="CT72" s="6">
        <f t="shared" si="41"/>
        <v>329</v>
      </c>
      <c r="CU72" s="6"/>
      <c r="CV72" s="6"/>
      <c r="CW72" s="6"/>
      <c r="CX72" s="6">
        <v>467</v>
      </c>
      <c r="CY72" s="6"/>
      <c r="CZ72" s="6">
        <f t="shared" si="42"/>
        <v>341</v>
      </c>
      <c r="DA72" s="6">
        <v>798</v>
      </c>
      <c r="DB72" s="6"/>
      <c r="DC72" s="6">
        <f t="shared" si="43"/>
        <v>331</v>
      </c>
      <c r="DD72" s="6">
        <v>0</v>
      </c>
      <c r="DE72" s="6">
        <v>977</v>
      </c>
      <c r="DF72" s="6">
        <f t="shared" si="44"/>
        <v>179</v>
      </c>
      <c r="DG72" s="6">
        <v>324</v>
      </c>
      <c r="DH72" s="6"/>
      <c r="DI72" s="6">
        <f t="shared" si="45"/>
        <v>324</v>
      </c>
      <c r="DJ72" s="6">
        <v>661</v>
      </c>
      <c r="DK72" s="6"/>
      <c r="DL72" s="6">
        <f t="shared" si="46"/>
        <v>337</v>
      </c>
      <c r="DM72" s="6">
        <v>976</v>
      </c>
      <c r="DN72" s="6"/>
      <c r="DO72" s="6">
        <f t="shared" si="47"/>
        <v>315</v>
      </c>
    </row>
    <row r="73" spans="1:119">
      <c r="A73" s="6">
        <v>69</v>
      </c>
      <c r="B73" s="6">
        <v>841</v>
      </c>
      <c r="C73" s="6"/>
      <c r="D73" s="6">
        <v>187</v>
      </c>
      <c r="E73" s="33" t="s">
        <v>130</v>
      </c>
      <c r="F73" s="33" t="s">
        <v>130</v>
      </c>
      <c r="G73" s="148" t="s">
        <v>130</v>
      </c>
      <c r="H73" s="33" t="s">
        <v>130</v>
      </c>
      <c r="I73" s="33" t="s">
        <v>130</v>
      </c>
      <c r="J73" s="33" t="s">
        <v>130</v>
      </c>
      <c r="K73" s="33" t="s">
        <v>130</v>
      </c>
      <c r="L73" s="33" t="s">
        <v>130</v>
      </c>
      <c r="M73" s="33" t="s">
        <v>130</v>
      </c>
      <c r="N73" s="33" t="s">
        <v>130</v>
      </c>
      <c r="O73" s="33" t="s">
        <v>130</v>
      </c>
      <c r="P73" s="33" t="s">
        <v>130</v>
      </c>
      <c r="Q73" s="33" t="s">
        <v>130</v>
      </c>
      <c r="R73" s="148" t="s">
        <v>135</v>
      </c>
      <c r="S73" s="33" t="s">
        <v>135</v>
      </c>
      <c r="T73" s="33" t="s">
        <v>135</v>
      </c>
      <c r="U73" s="33" t="s">
        <v>135</v>
      </c>
      <c r="V73" s="33" t="s">
        <v>135</v>
      </c>
      <c r="W73" s="33" t="s">
        <v>135</v>
      </c>
      <c r="X73" s="33" t="s">
        <v>135</v>
      </c>
      <c r="Y73" s="33" t="s">
        <v>135</v>
      </c>
      <c r="Z73" s="33" t="s">
        <v>135</v>
      </c>
      <c r="AA73" s="33" t="s">
        <v>135</v>
      </c>
      <c r="AB73" s="33" t="s">
        <v>135</v>
      </c>
      <c r="AC73" s="33" t="s">
        <v>135</v>
      </c>
      <c r="AD73" s="6"/>
      <c r="AE73" s="6"/>
      <c r="AF73" s="35"/>
      <c r="AG73" s="6"/>
      <c r="AH73" s="6"/>
      <c r="AI73" s="35"/>
      <c r="AJ73" s="35"/>
      <c r="AK73" s="35"/>
      <c r="AL73" s="35"/>
      <c r="AM73" s="6">
        <v>0</v>
      </c>
      <c r="AN73" s="6">
        <v>1081</v>
      </c>
      <c r="AO73" s="35">
        <f t="shared" si="24"/>
        <v>240</v>
      </c>
      <c r="AP73" s="6">
        <v>304</v>
      </c>
      <c r="AQ73" s="6"/>
      <c r="AR73" s="34">
        <f t="shared" si="25"/>
        <v>304</v>
      </c>
      <c r="AS73" s="35">
        <v>646</v>
      </c>
      <c r="AT73" s="35"/>
      <c r="AU73" s="35">
        <f t="shared" si="26"/>
        <v>342</v>
      </c>
      <c r="AV73" s="6">
        <v>995</v>
      </c>
      <c r="AW73" s="6"/>
      <c r="AX73" s="35">
        <f t="shared" si="27"/>
        <v>349</v>
      </c>
      <c r="AY73" s="6">
        <v>144</v>
      </c>
      <c r="AZ73" s="6">
        <v>1200</v>
      </c>
      <c r="BA73" s="35">
        <f t="shared" si="28"/>
        <v>349</v>
      </c>
      <c r="BB73" s="6">
        <v>481</v>
      </c>
      <c r="BC73" s="6"/>
      <c r="BD73" s="35">
        <f t="shared" si="29"/>
        <v>337</v>
      </c>
      <c r="BE73" s="6"/>
      <c r="BF73" s="6"/>
      <c r="BG73" s="35"/>
      <c r="BH73" s="6">
        <v>833</v>
      </c>
      <c r="BI73" s="6"/>
      <c r="BJ73" s="35">
        <f t="shared" si="30"/>
        <v>352</v>
      </c>
      <c r="BK73" s="6">
        <v>1179</v>
      </c>
      <c r="BL73" s="6"/>
      <c r="BM73" s="6">
        <f t="shared" si="31"/>
        <v>346</v>
      </c>
      <c r="BN73" s="6">
        <v>327</v>
      </c>
      <c r="BO73" s="6">
        <v>1200</v>
      </c>
      <c r="BP73" s="6">
        <f t="shared" si="32"/>
        <v>348</v>
      </c>
      <c r="BQ73" s="6">
        <v>674</v>
      </c>
      <c r="BR73" s="6"/>
      <c r="BS73" s="35">
        <f t="shared" si="33"/>
        <v>347</v>
      </c>
      <c r="BT73" s="6">
        <v>1024</v>
      </c>
      <c r="BU73" s="6"/>
      <c r="BV73" s="6">
        <f t="shared" si="34"/>
        <v>350</v>
      </c>
      <c r="BW73" s="6">
        <v>151</v>
      </c>
      <c r="BX73" s="6">
        <v>1200</v>
      </c>
      <c r="BY73" s="35">
        <f t="shared" si="35"/>
        <v>327</v>
      </c>
      <c r="BZ73" s="6"/>
      <c r="CA73" s="6"/>
      <c r="CB73" s="6"/>
      <c r="CC73" s="6">
        <v>185</v>
      </c>
      <c r="CD73" s="6">
        <v>173</v>
      </c>
      <c r="CE73" s="6">
        <f t="shared" si="36"/>
        <v>207</v>
      </c>
      <c r="CF73" s="6">
        <v>467</v>
      </c>
      <c r="CG73" s="6"/>
      <c r="CH73" s="6">
        <f t="shared" si="37"/>
        <v>282</v>
      </c>
      <c r="CI73" s="6">
        <v>755</v>
      </c>
      <c r="CJ73" s="6"/>
      <c r="CK73" s="6">
        <f t="shared" si="38"/>
        <v>288</v>
      </c>
      <c r="CL73" s="6">
        <v>1042</v>
      </c>
      <c r="CM73" s="6"/>
      <c r="CN73" s="6">
        <f t="shared" si="39"/>
        <v>287</v>
      </c>
      <c r="CO73" s="6">
        <v>1295</v>
      </c>
      <c r="CP73" s="6"/>
      <c r="CQ73" s="6">
        <f t="shared" si="40"/>
        <v>253</v>
      </c>
      <c r="CR73" s="35">
        <v>192</v>
      </c>
      <c r="CS73" s="6">
        <v>1344</v>
      </c>
      <c r="CT73" s="6">
        <f t="shared" si="41"/>
        <v>241</v>
      </c>
      <c r="CU73" s="6"/>
      <c r="CV73" s="6"/>
      <c r="CW73" s="6"/>
      <c r="CX73" s="6">
        <v>484</v>
      </c>
      <c r="CY73" s="35"/>
      <c r="CZ73" s="6">
        <f t="shared" si="42"/>
        <v>292</v>
      </c>
      <c r="DA73" s="6">
        <v>770</v>
      </c>
      <c r="DB73" s="6"/>
      <c r="DC73" s="6">
        <f t="shared" si="43"/>
        <v>286</v>
      </c>
      <c r="DD73" s="6">
        <v>152</v>
      </c>
      <c r="DE73" s="35">
        <v>900</v>
      </c>
      <c r="DF73" s="6">
        <f t="shared" si="44"/>
        <v>282</v>
      </c>
      <c r="DG73" s="6">
        <v>441</v>
      </c>
      <c r="DH73" s="6"/>
      <c r="DI73" s="6">
        <f t="shared" si="45"/>
        <v>289</v>
      </c>
      <c r="DJ73" s="6">
        <v>732</v>
      </c>
      <c r="DK73" s="6"/>
      <c r="DL73" s="6">
        <f t="shared" si="46"/>
        <v>291</v>
      </c>
      <c r="DM73" s="6">
        <v>93</v>
      </c>
      <c r="DN73" s="6">
        <v>900</v>
      </c>
      <c r="DO73" s="6">
        <f t="shared" si="47"/>
        <v>261</v>
      </c>
    </row>
    <row r="74" spans="1:119">
      <c r="A74" s="6">
        <v>70</v>
      </c>
      <c r="B74" s="6">
        <v>100</v>
      </c>
      <c r="C74" s="6">
        <v>1200</v>
      </c>
      <c r="D74" s="6">
        <v>186</v>
      </c>
      <c r="E74" s="33" t="s">
        <v>130</v>
      </c>
      <c r="F74" s="33" t="s">
        <v>130</v>
      </c>
      <c r="G74" s="33" t="s">
        <v>130</v>
      </c>
      <c r="H74" s="33" t="s">
        <v>130</v>
      </c>
      <c r="I74" s="33" t="s">
        <v>130</v>
      </c>
      <c r="J74" s="33" t="s">
        <v>130</v>
      </c>
      <c r="K74" s="33" t="s">
        <v>130</v>
      </c>
      <c r="L74" s="33" t="s">
        <v>130</v>
      </c>
      <c r="M74" s="33" t="s">
        <v>130</v>
      </c>
      <c r="N74" s="33" t="s">
        <v>130</v>
      </c>
      <c r="O74" s="33" t="s">
        <v>130</v>
      </c>
      <c r="P74" s="148" t="s">
        <v>320</v>
      </c>
      <c r="Q74" s="33" t="s">
        <v>320</v>
      </c>
      <c r="R74" s="148" t="s">
        <v>135</v>
      </c>
      <c r="S74" s="33" t="s">
        <v>135</v>
      </c>
      <c r="T74" s="33" t="s">
        <v>135</v>
      </c>
      <c r="U74" s="33" t="s">
        <v>135</v>
      </c>
      <c r="V74" s="33" t="s">
        <v>135</v>
      </c>
      <c r="W74" s="33" t="s">
        <v>135</v>
      </c>
      <c r="X74" s="33" t="s">
        <v>135</v>
      </c>
      <c r="Y74" s="33" t="s">
        <v>135</v>
      </c>
      <c r="Z74" s="33" t="s">
        <v>135</v>
      </c>
      <c r="AA74" s="33" t="s">
        <v>135</v>
      </c>
      <c r="AB74" s="33" t="s">
        <v>135</v>
      </c>
      <c r="AC74" s="33" t="s">
        <v>135</v>
      </c>
      <c r="AD74" s="6"/>
      <c r="AE74" s="6"/>
      <c r="AF74" s="35"/>
      <c r="AG74" s="6"/>
      <c r="AH74" s="6"/>
      <c r="AI74" s="35"/>
      <c r="AJ74" s="35"/>
      <c r="AK74" s="35"/>
      <c r="AL74" s="35"/>
      <c r="AM74" s="6">
        <v>456</v>
      </c>
      <c r="AN74" s="6"/>
      <c r="AO74" s="35">
        <f t="shared" si="24"/>
        <v>356</v>
      </c>
      <c r="AP74" s="6">
        <v>800</v>
      </c>
      <c r="AQ74" s="6"/>
      <c r="AR74" s="34">
        <f t="shared" si="25"/>
        <v>344</v>
      </c>
      <c r="AS74" s="35">
        <v>1146</v>
      </c>
      <c r="AT74" s="35"/>
      <c r="AU74" s="35">
        <f t="shared" si="26"/>
        <v>346</v>
      </c>
      <c r="AV74" s="6">
        <v>292</v>
      </c>
      <c r="AW74" s="6">
        <v>1200</v>
      </c>
      <c r="AX74" s="35">
        <f t="shared" si="27"/>
        <v>346</v>
      </c>
      <c r="AY74" s="6">
        <v>642</v>
      </c>
      <c r="AZ74" s="6"/>
      <c r="BA74" s="35">
        <f t="shared" si="28"/>
        <v>350</v>
      </c>
      <c r="BB74" s="35">
        <v>980</v>
      </c>
      <c r="BC74" s="35"/>
      <c r="BD74" s="35">
        <f t="shared" si="29"/>
        <v>338</v>
      </c>
      <c r="BE74" s="6"/>
      <c r="BF74" s="6"/>
      <c r="BG74" s="35"/>
      <c r="BH74" s="6">
        <v>132</v>
      </c>
      <c r="BI74" s="6">
        <v>1200</v>
      </c>
      <c r="BJ74" s="35">
        <f t="shared" si="30"/>
        <v>352</v>
      </c>
      <c r="BK74" s="6">
        <v>478</v>
      </c>
      <c r="BL74" s="6"/>
      <c r="BM74" s="6">
        <f t="shared" si="31"/>
        <v>346</v>
      </c>
      <c r="BN74" s="6">
        <v>828</v>
      </c>
      <c r="BO74" s="6"/>
      <c r="BP74" s="6">
        <f t="shared" si="32"/>
        <v>350</v>
      </c>
      <c r="BQ74" s="6">
        <v>0</v>
      </c>
      <c r="BR74" s="6">
        <v>1089</v>
      </c>
      <c r="BS74" s="35">
        <f t="shared" si="33"/>
        <v>261</v>
      </c>
      <c r="BT74" s="6">
        <v>323</v>
      </c>
      <c r="BU74" s="6"/>
      <c r="BV74" s="6">
        <f t="shared" si="34"/>
        <v>323</v>
      </c>
      <c r="BW74" s="6">
        <v>651</v>
      </c>
      <c r="BX74" s="6"/>
      <c r="BY74" s="35">
        <f t="shared" si="35"/>
        <v>328</v>
      </c>
      <c r="BZ74" s="6"/>
      <c r="CA74" s="6"/>
      <c r="CB74" s="6"/>
      <c r="CC74" s="6">
        <v>219</v>
      </c>
      <c r="CD74" s="6">
        <v>672</v>
      </c>
      <c r="CE74" s="6">
        <f t="shared" si="36"/>
        <v>240</v>
      </c>
      <c r="CF74" s="6">
        <v>506</v>
      </c>
      <c r="CG74" s="6"/>
      <c r="CH74" s="6">
        <f t="shared" si="37"/>
        <v>287</v>
      </c>
      <c r="CI74" s="6">
        <v>795</v>
      </c>
      <c r="CJ74" s="6"/>
      <c r="CK74" s="6">
        <f t="shared" si="38"/>
        <v>289</v>
      </c>
      <c r="CL74" s="6">
        <v>217</v>
      </c>
      <c r="CM74" s="6">
        <v>859</v>
      </c>
      <c r="CN74" s="6">
        <f t="shared" si="39"/>
        <v>281</v>
      </c>
      <c r="CO74" s="6">
        <v>503</v>
      </c>
      <c r="CP74" s="6"/>
      <c r="CQ74" s="6">
        <f t="shared" si="40"/>
        <v>286</v>
      </c>
      <c r="CR74" s="6">
        <v>778</v>
      </c>
      <c r="CS74" s="6"/>
      <c r="CT74" s="6">
        <f t="shared" si="41"/>
        <v>275</v>
      </c>
      <c r="CU74" s="6"/>
      <c r="CV74" s="6"/>
      <c r="CW74" s="6"/>
      <c r="CX74" s="35">
        <v>166</v>
      </c>
      <c r="CY74" s="6">
        <v>859</v>
      </c>
      <c r="CZ74" s="6">
        <f t="shared" si="42"/>
        <v>247</v>
      </c>
      <c r="DA74" s="6">
        <v>442</v>
      </c>
      <c r="DB74" s="6"/>
      <c r="DC74" s="6">
        <f t="shared" si="43"/>
        <v>276</v>
      </c>
      <c r="DD74" s="6">
        <v>731</v>
      </c>
      <c r="DE74" s="6"/>
      <c r="DF74" s="6">
        <f t="shared" si="44"/>
        <v>289</v>
      </c>
      <c r="DG74" s="6">
        <v>111</v>
      </c>
      <c r="DH74" s="6">
        <v>900</v>
      </c>
      <c r="DI74" s="6">
        <f t="shared" si="45"/>
        <v>280</v>
      </c>
      <c r="DJ74" s="6">
        <v>395</v>
      </c>
      <c r="DK74" s="6"/>
      <c r="DL74" s="6">
        <f t="shared" si="46"/>
        <v>284</v>
      </c>
      <c r="DM74" s="6">
        <v>658</v>
      </c>
      <c r="DN74" s="6"/>
      <c r="DO74" s="6">
        <f t="shared" si="47"/>
        <v>263</v>
      </c>
    </row>
    <row r="75" spans="1:119">
      <c r="A75" s="6">
        <v>71</v>
      </c>
      <c r="B75" s="6">
        <v>492</v>
      </c>
      <c r="C75" s="6"/>
      <c r="D75" s="6">
        <v>185</v>
      </c>
      <c r="E75" s="33" t="s">
        <v>130</v>
      </c>
      <c r="F75" s="33" t="s">
        <v>130</v>
      </c>
      <c r="G75" s="33" t="s">
        <v>130</v>
      </c>
      <c r="H75" s="33" t="s">
        <v>130</v>
      </c>
      <c r="I75" s="33" t="s">
        <v>130</v>
      </c>
      <c r="J75" s="33" t="s">
        <v>130</v>
      </c>
      <c r="K75" s="33" t="s">
        <v>130</v>
      </c>
      <c r="L75" s="33" t="s">
        <v>130</v>
      </c>
      <c r="M75" s="33" t="s">
        <v>130</v>
      </c>
      <c r="N75" s="33" t="s">
        <v>130</v>
      </c>
      <c r="O75" s="33" t="s">
        <v>130</v>
      </c>
      <c r="P75" s="33" t="s">
        <v>130</v>
      </c>
      <c r="Q75" s="33" t="s">
        <v>130</v>
      </c>
      <c r="R75" s="33" t="s">
        <v>130</v>
      </c>
      <c r="S75" s="148" t="s">
        <v>320</v>
      </c>
      <c r="T75" s="33" t="s">
        <v>320</v>
      </c>
      <c r="U75" s="33" t="s">
        <v>320</v>
      </c>
      <c r="V75" s="33" t="s">
        <v>320</v>
      </c>
      <c r="W75" s="33" t="s">
        <v>320</v>
      </c>
      <c r="X75" s="33" t="s">
        <v>320</v>
      </c>
      <c r="Y75" s="33" t="s">
        <v>320</v>
      </c>
      <c r="Z75" s="33" t="s">
        <v>320</v>
      </c>
      <c r="AA75" s="33" t="s">
        <v>320</v>
      </c>
      <c r="AB75" s="33" t="s">
        <v>320</v>
      </c>
      <c r="AC75" s="33" t="s">
        <v>320</v>
      </c>
      <c r="AD75" s="6"/>
      <c r="AE75" s="6"/>
      <c r="AF75" s="35"/>
      <c r="AG75" s="6"/>
      <c r="AH75" s="6"/>
      <c r="AI75" s="35"/>
      <c r="AJ75" s="35"/>
      <c r="AK75" s="35"/>
      <c r="AL75" s="35"/>
      <c r="AM75" s="6">
        <v>844</v>
      </c>
      <c r="AN75" s="6"/>
      <c r="AO75" s="35">
        <f t="shared" si="24"/>
        <v>352</v>
      </c>
      <c r="AP75" s="6">
        <v>1181</v>
      </c>
      <c r="AQ75" s="6"/>
      <c r="AR75" s="34">
        <f t="shared" si="25"/>
        <v>337</v>
      </c>
      <c r="AS75" s="35">
        <v>326</v>
      </c>
      <c r="AT75" s="35">
        <v>1200</v>
      </c>
      <c r="AU75" s="35">
        <f t="shared" si="26"/>
        <v>345</v>
      </c>
      <c r="AV75" s="6">
        <v>670</v>
      </c>
      <c r="AW75" s="6"/>
      <c r="AX75" s="35">
        <f t="shared" si="27"/>
        <v>344</v>
      </c>
      <c r="AY75" s="6">
        <v>1017</v>
      </c>
      <c r="AZ75" s="6"/>
      <c r="BA75" s="35">
        <f t="shared" si="28"/>
        <v>347</v>
      </c>
      <c r="BB75" s="6">
        <v>152</v>
      </c>
      <c r="BC75" s="6">
        <v>1200</v>
      </c>
      <c r="BD75" s="35">
        <f t="shared" si="29"/>
        <v>335</v>
      </c>
      <c r="BE75" s="35"/>
      <c r="BF75" s="6"/>
      <c r="BG75" s="35"/>
      <c r="BH75" s="6">
        <v>496</v>
      </c>
      <c r="BI75" s="6"/>
      <c r="BJ75" s="35">
        <f t="shared" si="30"/>
        <v>344</v>
      </c>
      <c r="BK75" s="6">
        <v>839</v>
      </c>
      <c r="BL75" s="6"/>
      <c r="BM75" s="6">
        <f t="shared" si="31"/>
        <v>343</v>
      </c>
      <c r="BN75" s="6">
        <v>1185</v>
      </c>
      <c r="BO75" s="6"/>
      <c r="BP75" s="6">
        <f t="shared" si="32"/>
        <v>346</v>
      </c>
      <c r="BQ75" s="6">
        <v>326</v>
      </c>
      <c r="BR75" s="6">
        <v>1200</v>
      </c>
      <c r="BS75" s="35">
        <f t="shared" si="33"/>
        <v>341</v>
      </c>
      <c r="BT75" s="6">
        <v>671</v>
      </c>
      <c r="BU75" s="6"/>
      <c r="BV75" s="6">
        <f t="shared" si="34"/>
        <v>345</v>
      </c>
      <c r="BW75" s="6">
        <v>995</v>
      </c>
      <c r="BX75" s="6"/>
      <c r="BY75" s="35">
        <f t="shared" si="35"/>
        <v>324</v>
      </c>
      <c r="BZ75" s="6"/>
      <c r="CA75" s="6"/>
      <c r="CB75" s="6"/>
      <c r="CC75" s="6">
        <v>0</v>
      </c>
      <c r="CD75" s="6">
        <v>1257</v>
      </c>
      <c r="CE75" s="6">
        <f t="shared" si="36"/>
        <v>262</v>
      </c>
      <c r="CF75" s="6">
        <v>318</v>
      </c>
      <c r="CG75" s="6"/>
      <c r="CH75" s="6">
        <f t="shared" si="37"/>
        <v>318</v>
      </c>
      <c r="CI75" s="6">
        <v>661</v>
      </c>
      <c r="CJ75" s="6"/>
      <c r="CK75" s="6">
        <f t="shared" si="38"/>
        <v>343</v>
      </c>
      <c r="CL75" s="6">
        <v>1007</v>
      </c>
      <c r="CM75" s="6"/>
      <c r="CN75" s="6">
        <f t="shared" si="39"/>
        <v>346</v>
      </c>
      <c r="CO75" s="6">
        <v>148</v>
      </c>
      <c r="CP75" s="6">
        <v>1200</v>
      </c>
      <c r="CQ75" s="6">
        <f t="shared" si="40"/>
        <v>341</v>
      </c>
      <c r="CR75" s="6">
        <v>477</v>
      </c>
      <c r="CS75" s="6"/>
      <c r="CT75" s="6">
        <f t="shared" si="41"/>
        <v>329</v>
      </c>
      <c r="CU75" s="6"/>
      <c r="CV75" s="6"/>
      <c r="CW75" s="6"/>
      <c r="CX75" s="6">
        <v>823</v>
      </c>
      <c r="CY75" s="6"/>
      <c r="CZ75" s="6">
        <f t="shared" si="42"/>
        <v>346</v>
      </c>
      <c r="DA75" s="6">
        <v>1140</v>
      </c>
      <c r="DB75" s="6"/>
      <c r="DC75" s="6">
        <f t="shared" si="43"/>
        <v>317</v>
      </c>
      <c r="DD75" s="6">
        <v>264</v>
      </c>
      <c r="DE75" s="6">
        <v>1200</v>
      </c>
      <c r="DF75" s="6">
        <f t="shared" si="44"/>
        <v>324</v>
      </c>
      <c r="DG75" s="6">
        <v>607</v>
      </c>
      <c r="DH75" s="6"/>
      <c r="DI75" s="6">
        <f t="shared" si="45"/>
        <v>343</v>
      </c>
      <c r="DJ75" s="6">
        <v>945</v>
      </c>
      <c r="DK75" s="6"/>
      <c r="DL75" s="6">
        <f t="shared" si="46"/>
        <v>338</v>
      </c>
      <c r="DM75" s="6">
        <v>52</v>
      </c>
      <c r="DN75" s="6">
        <v>1200</v>
      </c>
      <c r="DO75" s="6">
        <f t="shared" si="47"/>
        <v>307</v>
      </c>
    </row>
    <row r="76" spans="1:119">
      <c r="A76" s="6">
        <v>72</v>
      </c>
      <c r="B76" s="6">
        <v>426</v>
      </c>
      <c r="C76" s="6"/>
      <c r="D76" s="6">
        <v>185</v>
      </c>
      <c r="E76" s="33" t="s">
        <v>130</v>
      </c>
      <c r="F76" s="33" t="s">
        <v>130</v>
      </c>
      <c r="G76" s="33" t="s">
        <v>130</v>
      </c>
      <c r="H76" s="33" t="s">
        <v>130</v>
      </c>
      <c r="I76" s="33" t="s">
        <v>130</v>
      </c>
      <c r="J76" s="33" t="s">
        <v>130</v>
      </c>
      <c r="K76" s="33" t="s">
        <v>130</v>
      </c>
      <c r="L76" s="33" t="s">
        <v>130</v>
      </c>
      <c r="M76" s="33" t="s">
        <v>130</v>
      </c>
      <c r="N76" s="33" t="s">
        <v>130</v>
      </c>
      <c r="O76" s="148" t="s">
        <v>320</v>
      </c>
      <c r="P76" s="33" t="s">
        <v>320</v>
      </c>
      <c r="Q76" s="33" t="s">
        <v>320</v>
      </c>
      <c r="R76" s="148" t="s">
        <v>135</v>
      </c>
      <c r="S76" s="33" t="s">
        <v>135</v>
      </c>
      <c r="T76" s="33" t="s">
        <v>135</v>
      </c>
      <c r="U76" s="33" t="s">
        <v>135</v>
      </c>
      <c r="V76" s="33" t="s">
        <v>135</v>
      </c>
      <c r="W76" s="33" t="s">
        <v>135</v>
      </c>
      <c r="X76" s="33" t="s">
        <v>135</v>
      </c>
      <c r="Y76" s="33" t="s">
        <v>135</v>
      </c>
      <c r="Z76" s="33" t="s">
        <v>135</v>
      </c>
      <c r="AA76" s="33" t="s">
        <v>135</v>
      </c>
      <c r="AB76" s="33" t="s">
        <v>135</v>
      </c>
      <c r="AC76" s="33" t="s">
        <v>135</v>
      </c>
      <c r="AD76" s="6"/>
      <c r="AE76" s="6"/>
      <c r="AF76" s="35"/>
      <c r="AG76" s="6"/>
      <c r="AH76" s="6"/>
      <c r="AI76" s="35"/>
      <c r="AJ76" s="35"/>
      <c r="AK76" s="35"/>
      <c r="AL76" s="35"/>
      <c r="AM76" s="6">
        <v>764</v>
      </c>
      <c r="AN76" s="6"/>
      <c r="AO76" s="35">
        <f t="shared" si="24"/>
        <v>338</v>
      </c>
      <c r="AP76" s="6">
        <v>1102</v>
      </c>
      <c r="AQ76" s="6"/>
      <c r="AR76" s="34">
        <f t="shared" si="25"/>
        <v>338</v>
      </c>
      <c r="AS76" s="35">
        <v>243</v>
      </c>
      <c r="AT76" s="35">
        <v>1200</v>
      </c>
      <c r="AU76" s="35">
        <f t="shared" si="26"/>
        <v>341</v>
      </c>
      <c r="AV76" s="6">
        <v>585</v>
      </c>
      <c r="AW76" s="6"/>
      <c r="AX76" s="35">
        <f t="shared" si="27"/>
        <v>342</v>
      </c>
      <c r="AY76" s="6">
        <v>932</v>
      </c>
      <c r="AZ76" s="6"/>
      <c r="BA76" s="35">
        <f t="shared" si="28"/>
        <v>347</v>
      </c>
      <c r="BB76" s="6">
        <v>39</v>
      </c>
      <c r="BC76" s="6">
        <v>1200</v>
      </c>
      <c r="BD76" s="35">
        <f t="shared" si="29"/>
        <v>307</v>
      </c>
      <c r="BE76" s="6"/>
      <c r="BF76" s="6"/>
      <c r="BG76" s="35"/>
      <c r="BH76" s="6">
        <v>386</v>
      </c>
      <c r="BI76" s="6"/>
      <c r="BJ76" s="35">
        <f t="shared" si="30"/>
        <v>347</v>
      </c>
      <c r="BK76" s="6">
        <v>728</v>
      </c>
      <c r="BL76" s="6"/>
      <c r="BM76" s="6">
        <f t="shared" si="31"/>
        <v>342</v>
      </c>
      <c r="BN76" s="6">
        <v>0</v>
      </c>
      <c r="BO76" s="6">
        <v>1027</v>
      </c>
      <c r="BP76" s="6">
        <f t="shared" si="32"/>
        <v>299</v>
      </c>
      <c r="BQ76" s="6">
        <v>317</v>
      </c>
      <c r="BR76" s="6"/>
      <c r="BS76" s="35">
        <f t="shared" si="33"/>
        <v>317</v>
      </c>
      <c r="BT76" s="35">
        <v>656</v>
      </c>
      <c r="BU76" s="6"/>
      <c r="BV76" s="6">
        <f t="shared" si="34"/>
        <v>339</v>
      </c>
      <c r="BW76" s="6">
        <v>962</v>
      </c>
      <c r="BX76" s="6"/>
      <c r="BY76" s="35">
        <f t="shared" si="35"/>
        <v>306</v>
      </c>
      <c r="BZ76" s="6"/>
      <c r="CA76" s="6"/>
      <c r="CB76" s="6"/>
      <c r="CC76" s="6">
        <v>243</v>
      </c>
      <c r="CD76" s="6">
        <v>983</v>
      </c>
      <c r="CE76" s="6">
        <f t="shared" si="36"/>
        <v>264</v>
      </c>
      <c r="CF76" s="6">
        <v>532</v>
      </c>
      <c r="CG76" s="6"/>
      <c r="CH76" s="6">
        <f t="shared" si="37"/>
        <v>289</v>
      </c>
      <c r="CI76" s="6">
        <v>820</v>
      </c>
      <c r="CJ76" s="6"/>
      <c r="CK76" s="6">
        <f t="shared" si="38"/>
        <v>288</v>
      </c>
      <c r="CL76" s="6">
        <v>1105</v>
      </c>
      <c r="CM76" s="6"/>
      <c r="CN76" s="6">
        <f t="shared" si="39"/>
        <v>285</v>
      </c>
      <c r="CO76" s="6">
        <v>1387</v>
      </c>
      <c r="CP76" s="6"/>
      <c r="CQ76" s="6">
        <f t="shared" si="40"/>
        <v>282</v>
      </c>
      <c r="CR76" s="6">
        <v>3</v>
      </c>
      <c r="CS76" s="6">
        <v>1636</v>
      </c>
      <c r="CT76" s="6">
        <f t="shared" si="41"/>
        <v>252</v>
      </c>
      <c r="CU76" s="6"/>
      <c r="CV76" s="6"/>
      <c r="CW76" s="6"/>
      <c r="CX76" s="6">
        <v>288</v>
      </c>
      <c r="CY76" s="6"/>
      <c r="CZ76" s="6">
        <f t="shared" si="42"/>
        <v>285</v>
      </c>
      <c r="DA76" s="6">
        <v>564</v>
      </c>
      <c r="DB76" s="6"/>
      <c r="DC76" s="6">
        <f t="shared" si="43"/>
        <v>276</v>
      </c>
      <c r="DD76" s="6">
        <v>855</v>
      </c>
      <c r="DE76" s="6"/>
      <c r="DF76" s="6">
        <f t="shared" si="44"/>
        <v>291</v>
      </c>
      <c r="DG76" s="6">
        <v>1157</v>
      </c>
      <c r="DH76" s="6"/>
      <c r="DI76" s="6">
        <f t="shared" si="45"/>
        <v>302</v>
      </c>
      <c r="DJ76" s="6">
        <v>1460</v>
      </c>
      <c r="DK76" s="6"/>
      <c r="DL76" s="6">
        <f t="shared" si="46"/>
        <v>303</v>
      </c>
      <c r="DM76" s="6">
        <v>1735</v>
      </c>
      <c r="DN76" s="6"/>
      <c r="DO76" s="6">
        <f t="shared" si="47"/>
        <v>275</v>
      </c>
    </row>
    <row r="77" spans="1:119">
      <c r="A77" s="6">
        <v>73</v>
      </c>
      <c r="B77" s="6">
        <v>611</v>
      </c>
      <c r="C77" s="6"/>
      <c r="D77" s="6">
        <v>215</v>
      </c>
      <c r="E77" s="33" t="s">
        <v>307</v>
      </c>
      <c r="F77" s="33" t="s">
        <v>307</v>
      </c>
      <c r="G77" s="33" t="s">
        <v>307</v>
      </c>
      <c r="H77" s="33" t="s">
        <v>307</v>
      </c>
      <c r="I77" s="33" t="s">
        <v>307</v>
      </c>
      <c r="J77" s="33" t="s">
        <v>307</v>
      </c>
      <c r="K77" s="33" t="s">
        <v>307</v>
      </c>
      <c r="L77" s="33" t="s">
        <v>307</v>
      </c>
      <c r="M77" s="33" t="s">
        <v>307</v>
      </c>
      <c r="N77" s="33" t="s">
        <v>307</v>
      </c>
      <c r="O77" s="33" t="s">
        <v>307</v>
      </c>
      <c r="P77" s="33" t="s">
        <v>307</v>
      </c>
      <c r="Q77" s="33" t="s">
        <v>307</v>
      </c>
      <c r="R77" s="33" t="s">
        <v>307</v>
      </c>
      <c r="S77" s="33" t="s">
        <v>307</v>
      </c>
      <c r="T77" s="33" t="s">
        <v>307</v>
      </c>
      <c r="U77" s="148" t="s">
        <v>307</v>
      </c>
      <c r="V77" s="33" t="s">
        <v>307</v>
      </c>
      <c r="W77" s="33" t="s">
        <v>307</v>
      </c>
      <c r="X77" s="33" t="s">
        <v>307</v>
      </c>
      <c r="Y77" s="33" t="s">
        <v>307</v>
      </c>
      <c r="Z77" s="33" t="s">
        <v>307</v>
      </c>
      <c r="AA77" s="33" t="s">
        <v>307</v>
      </c>
      <c r="AB77" s="33" t="s">
        <v>307</v>
      </c>
      <c r="AC77" s="33" t="s">
        <v>307</v>
      </c>
      <c r="AD77" s="6"/>
      <c r="AE77" s="6"/>
      <c r="AF77" s="35"/>
      <c r="AG77" s="6"/>
      <c r="AH77" s="6"/>
      <c r="AI77" s="35"/>
      <c r="AJ77" s="35"/>
      <c r="AK77" s="35"/>
      <c r="AL77" s="35"/>
      <c r="AM77" s="6">
        <v>1036</v>
      </c>
      <c r="AN77" s="6"/>
      <c r="AO77" s="35">
        <f t="shared" si="24"/>
        <v>425</v>
      </c>
      <c r="AP77" s="6">
        <v>1426</v>
      </c>
      <c r="AQ77" s="6"/>
      <c r="AR77" s="34">
        <f t="shared" si="25"/>
        <v>390</v>
      </c>
      <c r="AS77" s="35">
        <v>265</v>
      </c>
      <c r="AT77" s="35">
        <v>1560</v>
      </c>
      <c r="AU77" s="35">
        <f t="shared" si="26"/>
        <v>399</v>
      </c>
      <c r="AV77" s="6">
        <v>640</v>
      </c>
      <c r="AW77" s="6"/>
      <c r="AX77" s="35">
        <f t="shared" si="27"/>
        <v>375</v>
      </c>
      <c r="AY77" s="6">
        <v>1040</v>
      </c>
      <c r="AZ77" s="6"/>
      <c r="BA77" s="35">
        <f t="shared" si="28"/>
        <v>400</v>
      </c>
      <c r="BB77" s="35">
        <v>1420</v>
      </c>
      <c r="BC77" s="35"/>
      <c r="BD77" s="35">
        <f t="shared" si="29"/>
        <v>380</v>
      </c>
      <c r="BE77" s="6"/>
      <c r="BF77" s="6"/>
      <c r="BG77" s="35"/>
      <c r="BH77" s="35">
        <v>381</v>
      </c>
      <c r="BI77" s="6">
        <v>1421</v>
      </c>
      <c r="BJ77" s="35">
        <f t="shared" si="30"/>
        <v>382</v>
      </c>
      <c r="BK77" s="6">
        <v>778</v>
      </c>
      <c r="BL77" s="6"/>
      <c r="BM77" s="6">
        <f t="shared" si="31"/>
        <v>397</v>
      </c>
      <c r="BN77" s="6">
        <v>1177</v>
      </c>
      <c r="BO77" s="6"/>
      <c r="BP77" s="6">
        <f t="shared" si="32"/>
        <v>399</v>
      </c>
      <c r="BQ77" s="6">
        <v>12</v>
      </c>
      <c r="BR77" s="6">
        <v>1560</v>
      </c>
      <c r="BS77" s="35">
        <f t="shared" si="33"/>
        <v>395</v>
      </c>
      <c r="BT77" s="6">
        <v>407</v>
      </c>
      <c r="BU77" s="6"/>
      <c r="BV77" s="6">
        <f t="shared" si="34"/>
        <v>395</v>
      </c>
      <c r="BW77" s="6">
        <v>780</v>
      </c>
      <c r="BX77" s="6"/>
      <c r="BY77" s="35">
        <f t="shared" si="35"/>
        <v>373</v>
      </c>
      <c r="BZ77" s="6"/>
      <c r="CA77" s="6"/>
      <c r="CB77" s="6"/>
      <c r="CC77" s="6">
        <v>82</v>
      </c>
      <c r="CD77" s="6">
        <v>1052</v>
      </c>
      <c r="CE77" s="6">
        <f t="shared" si="36"/>
        <v>354</v>
      </c>
      <c r="CF77" s="6">
        <v>432</v>
      </c>
      <c r="CG77" s="6"/>
      <c r="CH77" s="6">
        <f t="shared" si="37"/>
        <v>350</v>
      </c>
      <c r="CI77" s="6">
        <v>0</v>
      </c>
      <c r="CJ77" s="6">
        <v>720</v>
      </c>
      <c r="CK77" s="6">
        <f t="shared" si="38"/>
        <v>288</v>
      </c>
      <c r="CL77" s="6">
        <v>362</v>
      </c>
      <c r="CM77" s="6"/>
      <c r="CN77" s="6">
        <f t="shared" si="39"/>
        <v>362</v>
      </c>
      <c r="CO77" s="6">
        <v>741</v>
      </c>
      <c r="CP77" s="6"/>
      <c r="CQ77" s="6">
        <f t="shared" si="40"/>
        <v>379</v>
      </c>
      <c r="CR77" s="6">
        <v>1107</v>
      </c>
      <c r="CS77" s="6"/>
      <c r="CT77" s="6">
        <f t="shared" si="41"/>
        <v>366</v>
      </c>
      <c r="CU77" s="6"/>
      <c r="CV77" s="6"/>
      <c r="CW77" s="6"/>
      <c r="CX77" s="6">
        <v>336</v>
      </c>
      <c r="CY77" s="6">
        <v>1135</v>
      </c>
      <c r="CZ77" s="6">
        <f t="shared" si="42"/>
        <v>364</v>
      </c>
      <c r="DA77" s="6">
        <v>715</v>
      </c>
      <c r="DB77" s="6"/>
      <c r="DC77" s="6">
        <f t="shared" si="43"/>
        <v>379</v>
      </c>
      <c r="DD77" s="6">
        <v>1092</v>
      </c>
      <c r="DE77" s="6"/>
      <c r="DF77" s="6">
        <f t="shared" si="44"/>
        <v>377</v>
      </c>
      <c r="DG77" s="6">
        <v>1472</v>
      </c>
      <c r="DH77" s="6"/>
      <c r="DI77" s="6">
        <f t="shared" si="45"/>
        <v>380</v>
      </c>
      <c r="DJ77" s="6">
        <v>284</v>
      </c>
      <c r="DK77" s="6">
        <v>1560</v>
      </c>
      <c r="DL77" s="6">
        <f t="shared" si="46"/>
        <v>372</v>
      </c>
      <c r="DM77" s="6">
        <v>638</v>
      </c>
      <c r="DN77" s="6"/>
      <c r="DO77" s="6">
        <f t="shared" si="47"/>
        <v>354</v>
      </c>
    </row>
    <row r="78" spans="1:119">
      <c r="A78" s="6">
        <v>74</v>
      </c>
      <c r="B78" s="6">
        <v>1242</v>
      </c>
      <c r="C78" s="6"/>
      <c r="D78" s="6">
        <v>147</v>
      </c>
      <c r="E78" s="33" t="s">
        <v>99</v>
      </c>
      <c r="F78" s="33" t="s">
        <v>99</v>
      </c>
      <c r="G78" s="33" t="s">
        <v>99</v>
      </c>
      <c r="H78" s="33" t="s">
        <v>99</v>
      </c>
      <c r="I78" s="33" t="s">
        <v>99</v>
      </c>
      <c r="J78" s="33" t="s">
        <v>99</v>
      </c>
      <c r="K78" s="33" t="s">
        <v>99</v>
      </c>
      <c r="L78" s="33" t="s">
        <v>99</v>
      </c>
      <c r="M78" s="33" t="s">
        <v>99</v>
      </c>
      <c r="N78" s="33" t="s">
        <v>99</v>
      </c>
      <c r="O78" s="33" t="s">
        <v>99</v>
      </c>
      <c r="P78" s="33" t="s">
        <v>99</v>
      </c>
      <c r="Q78" s="33" t="s">
        <v>99</v>
      </c>
      <c r="R78" s="33" t="s">
        <v>99</v>
      </c>
      <c r="S78" s="33" t="s">
        <v>99</v>
      </c>
      <c r="T78" s="33" t="s">
        <v>99</v>
      </c>
      <c r="U78" s="33" t="s">
        <v>99</v>
      </c>
      <c r="V78" s="33" t="s">
        <v>99</v>
      </c>
      <c r="W78" s="148" t="s">
        <v>307</v>
      </c>
      <c r="X78" s="33" t="s">
        <v>307</v>
      </c>
      <c r="Y78" s="33" t="s">
        <v>307</v>
      </c>
      <c r="Z78" s="33" t="s">
        <v>307</v>
      </c>
      <c r="AA78" s="33" t="s">
        <v>307</v>
      </c>
      <c r="AB78" s="33" t="s">
        <v>307</v>
      </c>
      <c r="AC78" s="33" t="s">
        <v>307</v>
      </c>
      <c r="AD78" s="35"/>
      <c r="AE78" s="35"/>
      <c r="AF78" s="35"/>
      <c r="AG78" s="35"/>
      <c r="AH78" s="35"/>
      <c r="AI78" s="35"/>
      <c r="AJ78" s="35"/>
      <c r="AK78" s="35"/>
      <c r="AL78" s="35"/>
      <c r="AM78" s="35">
        <v>47</v>
      </c>
      <c r="AN78" s="35">
        <v>1500</v>
      </c>
      <c r="AO78" s="35">
        <f t="shared" si="24"/>
        <v>305</v>
      </c>
      <c r="AP78" s="6">
        <v>327</v>
      </c>
      <c r="AQ78" s="6"/>
      <c r="AR78" s="34">
        <f t="shared" si="25"/>
        <v>280</v>
      </c>
      <c r="AS78" s="35">
        <v>608</v>
      </c>
      <c r="AT78" s="35"/>
      <c r="AU78" s="35">
        <f t="shared" si="26"/>
        <v>281</v>
      </c>
      <c r="AV78" s="6">
        <v>891</v>
      </c>
      <c r="AW78" s="6"/>
      <c r="AX78" s="35">
        <f t="shared" si="27"/>
        <v>283</v>
      </c>
      <c r="AY78" s="6">
        <v>1175</v>
      </c>
      <c r="AZ78" s="6"/>
      <c r="BA78" s="35">
        <f t="shared" si="28"/>
        <v>284</v>
      </c>
      <c r="BB78" s="6">
        <v>1449</v>
      </c>
      <c r="BC78" s="6"/>
      <c r="BD78" s="35">
        <f t="shared" si="29"/>
        <v>274</v>
      </c>
      <c r="BE78" s="6"/>
      <c r="BF78" s="6"/>
      <c r="BG78" s="35"/>
      <c r="BH78" s="6">
        <v>279</v>
      </c>
      <c r="BI78" s="6">
        <v>1462</v>
      </c>
      <c r="BJ78" s="35">
        <f t="shared" si="30"/>
        <v>292</v>
      </c>
      <c r="BK78" s="6">
        <v>554</v>
      </c>
      <c r="BL78" s="35"/>
      <c r="BM78" s="6">
        <f t="shared" si="31"/>
        <v>275</v>
      </c>
      <c r="BN78" s="6">
        <v>839</v>
      </c>
      <c r="BO78" s="6"/>
      <c r="BP78" s="6">
        <f t="shared" si="32"/>
        <v>285</v>
      </c>
      <c r="BQ78" s="6">
        <v>1122</v>
      </c>
      <c r="BR78" s="6"/>
      <c r="BS78" s="35">
        <f t="shared" si="33"/>
        <v>283</v>
      </c>
      <c r="BT78" s="6">
        <v>1402</v>
      </c>
      <c r="BU78" s="6"/>
      <c r="BV78" s="6">
        <f t="shared" si="34"/>
        <v>280</v>
      </c>
      <c r="BW78" s="6">
        <v>167</v>
      </c>
      <c r="BX78" s="6">
        <v>1500</v>
      </c>
      <c r="BY78" s="35">
        <f t="shared" si="35"/>
        <v>265</v>
      </c>
      <c r="BZ78" s="6"/>
      <c r="CA78" s="35"/>
      <c r="CB78" s="6"/>
      <c r="CC78" s="6">
        <v>451</v>
      </c>
      <c r="CD78" s="6"/>
      <c r="CE78" s="6">
        <f t="shared" si="36"/>
        <v>284</v>
      </c>
      <c r="CF78" s="6">
        <v>730</v>
      </c>
      <c r="CG78" s="35"/>
      <c r="CH78" s="6">
        <f t="shared" si="37"/>
        <v>279</v>
      </c>
      <c r="CI78" s="6">
        <v>1010</v>
      </c>
      <c r="CJ78" s="6"/>
      <c r="CK78" s="6">
        <f t="shared" si="38"/>
        <v>280</v>
      </c>
      <c r="CL78" s="6">
        <v>1292</v>
      </c>
      <c r="CM78" s="6"/>
      <c r="CN78" s="6">
        <f t="shared" si="39"/>
        <v>282</v>
      </c>
      <c r="CO78" s="6">
        <v>0</v>
      </c>
      <c r="CP78" s="6">
        <v>1394</v>
      </c>
      <c r="CQ78" s="6">
        <f t="shared" si="40"/>
        <v>102</v>
      </c>
      <c r="CR78" s="6">
        <v>336</v>
      </c>
      <c r="CS78" s="6"/>
      <c r="CT78" s="6">
        <f t="shared" si="41"/>
        <v>336</v>
      </c>
      <c r="CU78" s="6"/>
      <c r="CV78" s="6"/>
      <c r="CW78" s="6"/>
      <c r="CX78" s="6">
        <v>726</v>
      </c>
      <c r="CY78" s="6"/>
      <c r="CZ78" s="6">
        <f t="shared" si="42"/>
        <v>390</v>
      </c>
      <c r="DA78" s="6">
        <v>1099</v>
      </c>
      <c r="DB78" s="6"/>
      <c r="DC78" s="6">
        <f t="shared" si="43"/>
        <v>373</v>
      </c>
      <c r="DD78" s="6">
        <v>1456</v>
      </c>
      <c r="DE78" s="6"/>
      <c r="DF78" s="6">
        <f t="shared" si="44"/>
        <v>357</v>
      </c>
      <c r="DG78" s="6">
        <v>276</v>
      </c>
      <c r="DH78" s="6">
        <v>1560</v>
      </c>
      <c r="DI78" s="6">
        <f t="shared" si="45"/>
        <v>380</v>
      </c>
      <c r="DJ78" s="6">
        <v>659</v>
      </c>
      <c r="DK78" s="6"/>
      <c r="DL78" s="6">
        <f t="shared" si="46"/>
        <v>383</v>
      </c>
      <c r="DM78" s="6">
        <v>1005</v>
      </c>
      <c r="DN78" s="6"/>
      <c r="DO78" s="6">
        <f t="shared" si="47"/>
        <v>346</v>
      </c>
    </row>
    <row r="79" spans="1:119">
      <c r="A79" s="6">
        <v>75</v>
      </c>
      <c r="B79" s="6">
        <v>590</v>
      </c>
      <c r="C79" s="6"/>
      <c r="D79" s="6">
        <v>213</v>
      </c>
      <c r="E79" s="33" t="s">
        <v>307</v>
      </c>
      <c r="F79" s="33" t="s">
        <v>307</v>
      </c>
      <c r="G79" s="33" t="s">
        <v>307</v>
      </c>
      <c r="H79" s="33" t="s">
        <v>307</v>
      </c>
      <c r="I79" s="33" t="s">
        <v>307</v>
      </c>
      <c r="J79" s="33" t="s">
        <v>307</v>
      </c>
      <c r="K79" s="33" t="s">
        <v>307</v>
      </c>
      <c r="L79" s="33" t="s">
        <v>307</v>
      </c>
      <c r="M79" s="33" t="s">
        <v>307</v>
      </c>
      <c r="N79" s="33" t="s">
        <v>307</v>
      </c>
      <c r="O79" s="33" t="s">
        <v>307</v>
      </c>
      <c r="P79" s="33" t="s">
        <v>307</v>
      </c>
      <c r="Q79" s="33" t="s">
        <v>307</v>
      </c>
      <c r="R79" s="33" t="s">
        <v>307</v>
      </c>
      <c r="S79" s="33" t="s">
        <v>307</v>
      </c>
      <c r="T79" s="33" t="s">
        <v>307</v>
      </c>
      <c r="U79" s="148" t="s">
        <v>307</v>
      </c>
      <c r="V79" s="33" t="s">
        <v>307</v>
      </c>
      <c r="W79" s="33" t="s">
        <v>307</v>
      </c>
      <c r="X79" s="33" t="s">
        <v>307</v>
      </c>
      <c r="Y79" s="33" t="s">
        <v>307</v>
      </c>
      <c r="Z79" s="33" t="s">
        <v>307</v>
      </c>
      <c r="AA79" s="33" t="s">
        <v>307</v>
      </c>
      <c r="AB79" s="33" t="s">
        <v>307</v>
      </c>
      <c r="AC79" s="33" t="s">
        <v>307</v>
      </c>
      <c r="AD79" s="6"/>
      <c r="AE79" s="6"/>
      <c r="AF79" s="35"/>
      <c r="AG79" s="6"/>
      <c r="AH79" s="6"/>
      <c r="AI79" s="35"/>
      <c r="AJ79" s="35"/>
      <c r="AK79" s="35"/>
      <c r="AL79" s="35"/>
      <c r="AM79" s="6">
        <v>990</v>
      </c>
      <c r="AN79" s="6"/>
      <c r="AO79" s="35">
        <f t="shared" si="24"/>
        <v>400</v>
      </c>
      <c r="AP79" s="6">
        <v>1386</v>
      </c>
      <c r="AQ79" s="6"/>
      <c r="AR79" s="34">
        <f t="shared" si="25"/>
        <v>396</v>
      </c>
      <c r="AS79" s="35">
        <v>219</v>
      </c>
      <c r="AT79" s="35">
        <v>1560</v>
      </c>
      <c r="AU79" s="35">
        <f t="shared" si="26"/>
        <v>393</v>
      </c>
      <c r="AV79" s="6">
        <v>621</v>
      </c>
      <c r="AW79" s="6"/>
      <c r="AX79" s="35">
        <f t="shared" si="27"/>
        <v>402</v>
      </c>
      <c r="AY79" s="6">
        <v>1019</v>
      </c>
      <c r="AZ79" s="6"/>
      <c r="BA79" s="35">
        <f t="shared" si="28"/>
        <v>398</v>
      </c>
      <c r="BB79" s="35">
        <v>1398</v>
      </c>
      <c r="BC79" s="35"/>
      <c r="BD79" s="35">
        <f t="shared" si="29"/>
        <v>379</v>
      </c>
      <c r="BE79" s="6"/>
      <c r="BF79" s="6"/>
      <c r="BG79" s="35"/>
      <c r="BH79" s="6">
        <v>239</v>
      </c>
      <c r="BI79" s="6">
        <v>1560</v>
      </c>
      <c r="BJ79" s="35">
        <f t="shared" si="30"/>
        <v>401</v>
      </c>
      <c r="BK79" s="6">
        <v>119</v>
      </c>
      <c r="BL79" s="6">
        <v>506</v>
      </c>
      <c r="BM79" s="6">
        <f t="shared" si="31"/>
        <v>386</v>
      </c>
      <c r="BN79" s="6">
        <v>515</v>
      </c>
      <c r="BO79" s="6"/>
      <c r="BP79" s="6">
        <f t="shared" si="32"/>
        <v>396</v>
      </c>
      <c r="BQ79" s="6">
        <v>911</v>
      </c>
      <c r="BR79" s="6"/>
      <c r="BS79" s="35">
        <f t="shared" si="33"/>
        <v>396</v>
      </c>
      <c r="BT79" s="6">
        <v>1309</v>
      </c>
      <c r="BU79" s="6"/>
      <c r="BV79" s="6">
        <f t="shared" si="34"/>
        <v>398</v>
      </c>
      <c r="BW79" s="6">
        <v>123</v>
      </c>
      <c r="BX79" s="6">
        <v>1560</v>
      </c>
      <c r="BY79" s="35">
        <f t="shared" si="35"/>
        <v>374</v>
      </c>
      <c r="BZ79" s="6"/>
      <c r="CA79" s="6"/>
      <c r="CB79" s="6"/>
      <c r="CC79" s="6">
        <v>525</v>
      </c>
      <c r="CD79" s="6"/>
      <c r="CE79" s="6">
        <f t="shared" si="36"/>
        <v>402</v>
      </c>
      <c r="CF79" s="6">
        <v>917</v>
      </c>
      <c r="CG79" s="6"/>
      <c r="CH79" s="6">
        <f t="shared" si="37"/>
        <v>392</v>
      </c>
      <c r="CI79" s="6">
        <v>0</v>
      </c>
      <c r="CJ79" s="6">
        <v>1115</v>
      </c>
      <c r="CK79" s="6">
        <f t="shared" si="38"/>
        <v>198</v>
      </c>
      <c r="CL79" s="6">
        <v>354</v>
      </c>
      <c r="CM79" s="6"/>
      <c r="CN79" s="6">
        <f t="shared" si="39"/>
        <v>354</v>
      </c>
      <c r="CO79" s="6">
        <v>734</v>
      </c>
      <c r="CP79" s="6"/>
      <c r="CQ79" s="6">
        <f t="shared" si="40"/>
        <v>380</v>
      </c>
      <c r="CR79" s="6">
        <v>1096</v>
      </c>
      <c r="CS79" s="6"/>
      <c r="CT79" s="6">
        <f t="shared" si="41"/>
        <v>362</v>
      </c>
      <c r="CU79" s="6"/>
      <c r="CV79" s="6"/>
      <c r="CW79" s="6"/>
      <c r="CX79" s="6">
        <v>1491</v>
      </c>
      <c r="CY79" s="6"/>
      <c r="CZ79" s="6">
        <f t="shared" si="42"/>
        <v>395</v>
      </c>
      <c r="DA79" s="6">
        <v>316</v>
      </c>
      <c r="DB79" s="6">
        <v>1560</v>
      </c>
      <c r="DC79" s="6">
        <f t="shared" si="43"/>
        <v>385</v>
      </c>
      <c r="DD79" s="6">
        <v>707</v>
      </c>
      <c r="DE79" s="6"/>
      <c r="DF79" s="6">
        <f t="shared" si="44"/>
        <v>391</v>
      </c>
      <c r="DG79" s="6">
        <v>1102</v>
      </c>
      <c r="DH79" s="6"/>
      <c r="DI79" s="6">
        <f t="shared" si="45"/>
        <v>395</v>
      </c>
      <c r="DJ79" s="6">
        <v>1494</v>
      </c>
      <c r="DK79" s="6"/>
      <c r="DL79" s="6">
        <f t="shared" si="46"/>
        <v>392</v>
      </c>
      <c r="DM79" s="6">
        <v>286</v>
      </c>
      <c r="DN79" s="6">
        <v>1560</v>
      </c>
      <c r="DO79" s="6">
        <f t="shared" si="47"/>
        <v>352</v>
      </c>
    </row>
    <row r="80" spans="1:119">
      <c r="A80" s="6">
        <v>76</v>
      </c>
      <c r="B80" s="6">
        <v>1327</v>
      </c>
      <c r="C80" s="6"/>
      <c r="D80" s="6">
        <v>215</v>
      </c>
      <c r="E80" s="33" t="s">
        <v>307</v>
      </c>
      <c r="F80" s="33" t="s">
        <v>307</v>
      </c>
      <c r="G80" s="33" t="s">
        <v>307</v>
      </c>
      <c r="H80" s="33" t="s">
        <v>307</v>
      </c>
      <c r="I80" s="33" t="s">
        <v>307</v>
      </c>
      <c r="J80" s="33" t="s">
        <v>307</v>
      </c>
      <c r="K80" s="33" t="s">
        <v>307</v>
      </c>
      <c r="L80" s="33" t="s">
        <v>307</v>
      </c>
      <c r="M80" s="33" t="s">
        <v>307</v>
      </c>
      <c r="N80" s="33" t="s">
        <v>307</v>
      </c>
      <c r="O80" s="33" t="s">
        <v>307</v>
      </c>
      <c r="P80" s="33" t="s">
        <v>307</v>
      </c>
      <c r="Q80" s="33" t="s">
        <v>307</v>
      </c>
      <c r="R80" s="148" t="s">
        <v>37</v>
      </c>
      <c r="S80" s="33" t="s">
        <v>37</v>
      </c>
      <c r="T80" s="33" t="s">
        <v>37</v>
      </c>
      <c r="U80" s="33" t="s">
        <v>37</v>
      </c>
      <c r="V80" s="33" t="s">
        <v>37</v>
      </c>
      <c r="W80" s="33" t="s">
        <v>37</v>
      </c>
      <c r="X80" s="33" t="s">
        <v>37</v>
      </c>
      <c r="Y80" s="33" t="s">
        <v>37</v>
      </c>
      <c r="Z80" s="33" t="s">
        <v>37</v>
      </c>
      <c r="AA80" s="33" t="s">
        <v>37</v>
      </c>
      <c r="AB80" s="33" t="s">
        <v>37</v>
      </c>
      <c r="AC80" s="33" t="s">
        <v>37</v>
      </c>
      <c r="AD80" s="6"/>
      <c r="AE80" s="6"/>
      <c r="AF80" s="35"/>
      <c r="AG80" s="6"/>
      <c r="AH80" s="6"/>
      <c r="AI80" s="35"/>
      <c r="AJ80" s="35"/>
      <c r="AK80" s="35"/>
      <c r="AL80" s="35"/>
      <c r="AM80" s="6">
        <v>190</v>
      </c>
      <c r="AN80" s="6">
        <v>1560</v>
      </c>
      <c r="AO80" s="35">
        <f t="shared" si="24"/>
        <v>423</v>
      </c>
      <c r="AP80" s="6">
        <v>585</v>
      </c>
      <c r="AQ80" s="6"/>
      <c r="AR80" s="34">
        <f t="shared" si="25"/>
        <v>395</v>
      </c>
      <c r="AS80" s="35">
        <v>984</v>
      </c>
      <c r="AT80" s="35"/>
      <c r="AU80" s="35">
        <f t="shared" si="26"/>
        <v>399</v>
      </c>
      <c r="AV80" s="6">
        <v>1379</v>
      </c>
      <c r="AW80" s="6"/>
      <c r="AX80" s="35">
        <f t="shared" si="27"/>
        <v>395</v>
      </c>
      <c r="AY80" s="6">
        <v>221</v>
      </c>
      <c r="AZ80" s="6">
        <v>1560</v>
      </c>
      <c r="BA80" s="35">
        <f t="shared" si="28"/>
        <v>402</v>
      </c>
      <c r="BB80" s="35">
        <v>579</v>
      </c>
      <c r="BC80" s="35"/>
      <c r="BD80" s="35">
        <f t="shared" si="29"/>
        <v>358</v>
      </c>
      <c r="BE80" s="6"/>
      <c r="BF80" s="6"/>
      <c r="BG80" s="35"/>
      <c r="BH80" s="6">
        <v>982</v>
      </c>
      <c r="BI80" s="6"/>
      <c r="BJ80" s="35">
        <f t="shared" si="30"/>
        <v>403</v>
      </c>
      <c r="BK80" s="6">
        <v>1376</v>
      </c>
      <c r="BL80" s="6"/>
      <c r="BM80" s="6">
        <f t="shared" si="31"/>
        <v>394</v>
      </c>
      <c r="BN80" s="6">
        <v>211</v>
      </c>
      <c r="BO80" s="6">
        <v>1560</v>
      </c>
      <c r="BP80" s="6">
        <f t="shared" si="32"/>
        <v>395</v>
      </c>
      <c r="BQ80" s="6">
        <v>604</v>
      </c>
      <c r="BR80" s="6"/>
      <c r="BS80" s="35">
        <f t="shared" si="33"/>
        <v>393</v>
      </c>
      <c r="BT80" s="6">
        <v>1005</v>
      </c>
      <c r="BU80" s="6"/>
      <c r="BV80" s="6">
        <f t="shared" si="34"/>
        <v>401</v>
      </c>
      <c r="BW80" s="6">
        <v>0</v>
      </c>
      <c r="BX80" s="6">
        <v>1321</v>
      </c>
      <c r="BY80" s="35">
        <f t="shared" si="35"/>
        <v>316</v>
      </c>
      <c r="BZ80" s="6"/>
      <c r="CA80" s="6"/>
      <c r="CB80" s="6"/>
      <c r="CC80" s="6">
        <v>359</v>
      </c>
      <c r="CD80" s="6"/>
      <c r="CE80" s="6">
        <f t="shared" si="36"/>
        <v>359</v>
      </c>
      <c r="CF80" s="6">
        <v>750</v>
      </c>
      <c r="CG80" s="6"/>
      <c r="CH80" s="6">
        <f t="shared" si="37"/>
        <v>391</v>
      </c>
      <c r="CI80" s="6">
        <v>1150</v>
      </c>
      <c r="CJ80" s="6"/>
      <c r="CK80" s="6">
        <f t="shared" si="38"/>
        <v>400</v>
      </c>
      <c r="CL80" s="6">
        <v>1534</v>
      </c>
      <c r="CM80" s="6"/>
      <c r="CN80" s="6">
        <f t="shared" si="39"/>
        <v>384</v>
      </c>
      <c r="CO80" s="6">
        <v>354</v>
      </c>
      <c r="CP80" s="6">
        <v>1560</v>
      </c>
      <c r="CQ80" s="6">
        <f t="shared" si="40"/>
        <v>380</v>
      </c>
      <c r="CR80" s="6">
        <v>711</v>
      </c>
      <c r="CS80" s="6"/>
      <c r="CT80" s="6">
        <f t="shared" si="41"/>
        <v>357</v>
      </c>
      <c r="CU80" s="6"/>
      <c r="CV80" s="6"/>
      <c r="CW80" s="6"/>
      <c r="CX80" s="6">
        <v>1093</v>
      </c>
      <c r="CY80" s="6"/>
      <c r="CZ80" s="6">
        <f t="shared" si="42"/>
        <v>382</v>
      </c>
      <c r="DA80" s="6">
        <v>1468</v>
      </c>
      <c r="DB80" s="6"/>
      <c r="DC80" s="6">
        <f t="shared" si="43"/>
        <v>375</v>
      </c>
      <c r="DD80" s="6">
        <v>289</v>
      </c>
      <c r="DE80" s="6">
        <v>1560</v>
      </c>
      <c r="DF80" s="6">
        <f t="shared" si="44"/>
        <v>381</v>
      </c>
      <c r="DG80" s="6">
        <v>668</v>
      </c>
      <c r="DH80" s="6"/>
      <c r="DI80" s="6">
        <f t="shared" si="45"/>
        <v>379</v>
      </c>
      <c r="DJ80" s="6">
        <v>1048</v>
      </c>
      <c r="DK80" s="6"/>
      <c r="DL80" s="6">
        <f t="shared" si="46"/>
        <v>380</v>
      </c>
      <c r="DM80" s="6">
        <v>1394</v>
      </c>
      <c r="DN80" s="6"/>
      <c r="DO80" s="6">
        <f t="shared" si="47"/>
        <v>346</v>
      </c>
    </row>
    <row r="81" spans="1:119">
      <c r="A81" s="6">
        <v>77</v>
      </c>
      <c r="B81" s="6">
        <v>1197</v>
      </c>
      <c r="C81" s="6"/>
      <c r="D81" s="6">
        <v>189</v>
      </c>
      <c r="E81" s="33" t="s">
        <v>37</v>
      </c>
      <c r="F81" s="33" t="s">
        <v>37</v>
      </c>
      <c r="G81" s="33" t="s">
        <v>37</v>
      </c>
      <c r="H81" s="33" t="s">
        <v>37</v>
      </c>
      <c r="I81" s="33" t="s">
        <v>37</v>
      </c>
      <c r="J81" s="33" t="s">
        <v>37</v>
      </c>
      <c r="K81" s="33" t="s">
        <v>37</v>
      </c>
      <c r="L81" s="33" t="s">
        <v>37</v>
      </c>
      <c r="M81" s="33" t="s">
        <v>37</v>
      </c>
      <c r="N81" s="33" t="s">
        <v>37</v>
      </c>
      <c r="O81" s="33" t="s">
        <v>37</v>
      </c>
      <c r="P81" s="33" t="s">
        <v>37</v>
      </c>
      <c r="Q81" s="33" t="s">
        <v>37</v>
      </c>
      <c r="R81" s="33" t="s">
        <v>37</v>
      </c>
      <c r="S81" s="33" t="s">
        <v>37</v>
      </c>
      <c r="T81" s="33" t="s">
        <v>37</v>
      </c>
      <c r="U81" s="33" t="s">
        <v>37</v>
      </c>
      <c r="V81" s="33" t="s">
        <v>37</v>
      </c>
      <c r="W81" s="33" t="s">
        <v>37</v>
      </c>
      <c r="X81" s="148" t="s">
        <v>37</v>
      </c>
      <c r="Y81" s="33" t="s">
        <v>37</v>
      </c>
      <c r="Z81" s="33" t="s">
        <v>37</v>
      </c>
      <c r="AA81" s="33" t="s">
        <v>37</v>
      </c>
      <c r="AB81" s="33" t="s">
        <v>37</v>
      </c>
      <c r="AC81" s="33" t="s">
        <v>37</v>
      </c>
      <c r="AD81" s="6"/>
      <c r="AE81" s="6"/>
      <c r="AF81" s="35"/>
      <c r="AG81" s="6"/>
      <c r="AH81" s="6"/>
      <c r="AI81" s="35"/>
      <c r="AJ81" s="35"/>
      <c r="AK81" s="35"/>
      <c r="AL81" s="35"/>
      <c r="AM81" s="35">
        <v>352</v>
      </c>
      <c r="AN81" s="6">
        <v>1199</v>
      </c>
      <c r="AO81" s="35">
        <f t="shared" si="24"/>
        <v>354</v>
      </c>
      <c r="AP81" s="6">
        <v>711</v>
      </c>
      <c r="AQ81" s="6"/>
      <c r="AR81" s="34">
        <f t="shared" si="25"/>
        <v>359</v>
      </c>
      <c r="AS81" s="35">
        <v>1077</v>
      </c>
      <c r="AT81" s="35"/>
      <c r="AU81" s="35">
        <f t="shared" si="26"/>
        <v>366</v>
      </c>
      <c r="AV81" s="6">
        <v>1440</v>
      </c>
      <c r="AW81" s="6"/>
      <c r="AX81" s="35">
        <f t="shared" si="27"/>
        <v>363</v>
      </c>
      <c r="AY81" s="6">
        <v>249</v>
      </c>
      <c r="AZ81" s="6">
        <v>1560</v>
      </c>
      <c r="BA81" s="35">
        <f t="shared" si="28"/>
        <v>369</v>
      </c>
      <c r="BB81" s="6">
        <v>600</v>
      </c>
      <c r="BC81" s="6"/>
      <c r="BD81" s="35">
        <f t="shared" si="29"/>
        <v>351</v>
      </c>
      <c r="BE81" s="6"/>
      <c r="BF81" s="6"/>
      <c r="BG81" s="35"/>
      <c r="BH81" s="6">
        <v>977</v>
      </c>
      <c r="BI81" s="6"/>
      <c r="BJ81" s="35">
        <f t="shared" si="30"/>
        <v>377</v>
      </c>
      <c r="BK81" s="6">
        <v>1353</v>
      </c>
      <c r="BL81" s="35"/>
      <c r="BM81" s="6">
        <f t="shared" si="31"/>
        <v>376</v>
      </c>
      <c r="BN81" s="6">
        <v>162</v>
      </c>
      <c r="BO81" s="6">
        <v>1560</v>
      </c>
      <c r="BP81" s="6">
        <f t="shared" si="32"/>
        <v>369</v>
      </c>
      <c r="BQ81" s="6">
        <v>544</v>
      </c>
      <c r="BR81" s="6"/>
      <c r="BS81" s="35">
        <f t="shared" si="33"/>
        <v>382</v>
      </c>
      <c r="BT81" s="6">
        <v>910</v>
      </c>
      <c r="BU81" s="6"/>
      <c r="BV81" s="6">
        <f t="shared" si="34"/>
        <v>366</v>
      </c>
      <c r="BW81" s="6">
        <v>1257</v>
      </c>
      <c r="BX81" s="6"/>
      <c r="BY81" s="35">
        <f t="shared" si="35"/>
        <v>347</v>
      </c>
      <c r="BZ81" s="6"/>
      <c r="CA81" s="35"/>
      <c r="CB81" s="6"/>
      <c r="CC81" s="6">
        <v>62</v>
      </c>
      <c r="CD81" s="6">
        <v>1560</v>
      </c>
      <c r="CE81" s="6">
        <f t="shared" si="36"/>
        <v>365</v>
      </c>
      <c r="CF81" s="6">
        <v>434</v>
      </c>
      <c r="CG81" s="35"/>
      <c r="CH81" s="6">
        <f t="shared" si="37"/>
        <v>372</v>
      </c>
      <c r="CI81" s="6">
        <v>817</v>
      </c>
      <c r="CJ81" s="6"/>
      <c r="CK81" s="6">
        <f t="shared" si="38"/>
        <v>383</v>
      </c>
      <c r="CL81" s="6">
        <v>1190</v>
      </c>
      <c r="CM81" s="6"/>
      <c r="CN81" s="6">
        <f t="shared" si="39"/>
        <v>373</v>
      </c>
      <c r="CO81" s="6">
        <v>1550</v>
      </c>
      <c r="CP81" s="6"/>
      <c r="CQ81" s="6">
        <f t="shared" si="40"/>
        <v>360</v>
      </c>
      <c r="CR81" s="6">
        <v>331</v>
      </c>
      <c r="CS81" s="6">
        <v>1560</v>
      </c>
      <c r="CT81" s="6">
        <f t="shared" si="41"/>
        <v>341</v>
      </c>
      <c r="CU81" s="6"/>
      <c r="CV81" s="6"/>
      <c r="CW81" s="6"/>
      <c r="CX81" s="6">
        <v>259</v>
      </c>
      <c r="CY81" s="6">
        <v>416</v>
      </c>
      <c r="CZ81" s="6">
        <f t="shared" si="42"/>
        <v>344</v>
      </c>
      <c r="DA81" s="6">
        <v>632</v>
      </c>
      <c r="DB81" s="6"/>
      <c r="DC81" s="6">
        <f t="shared" si="43"/>
        <v>373</v>
      </c>
      <c r="DD81" s="6">
        <v>996</v>
      </c>
      <c r="DE81" s="6"/>
      <c r="DF81" s="6">
        <f t="shared" si="44"/>
        <v>364</v>
      </c>
      <c r="DG81" s="6">
        <v>1356</v>
      </c>
      <c r="DH81" s="6"/>
      <c r="DI81" s="6">
        <f t="shared" si="45"/>
        <v>360</v>
      </c>
      <c r="DJ81" s="6">
        <v>162</v>
      </c>
      <c r="DK81" s="6">
        <v>1560</v>
      </c>
      <c r="DL81" s="6">
        <f t="shared" si="46"/>
        <v>366</v>
      </c>
      <c r="DM81" s="6">
        <v>511</v>
      </c>
      <c r="DN81" s="6"/>
      <c r="DO81" s="6">
        <f t="shared" si="47"/>
        <v>349</v>
      </c>
    </row>
    <row r="82" spans="1:119">
      <c r="A82" s="6">
        <v>78</v>
      </c>
      <c r="B82" s="6">
        <v>1330</v>
      </c>
      <c r="C82" s="6"/>
      <c r="D82" s="6">
        <v>215</v>
      </c>
      <c r="E82" s="33" t="s">
        <v>128</v>
      </c>
      <c r="F82" s="33" t="s">
        <v>128</v>
      </c>
      <c r="G82" s="33" t="s">
        <v>128</v>
      </c>
      <c r="H82" s="33" t="s">
        <v>128</v>
      </c>
      <c r="I82" s="33" t="s">
        <v>128</v>
      </c>
      <c r="J82" s="33" t="s">
        <v>128</v>
      </c>
      <c r="K82" s="33" t="s">
        <v>128</v>
      </c>
      <c r="L82" s="33" t="s">
        <v>128</v>
      </c>
      <c r="M82" s="33" t="s">
        <v>128</v>
      </c>
      <c r="N82" s="33" t="s">
        <v>128</v>
      </c>
      <c r="O82" s="33" t="s">
        <v>128</v>
      </c>
      <c r="P82" s="33" t="s">
        <v>128</v>
      </c>
      <c r="Q82" s="33" t="s">
        <v>128</v>
      </c>
      <c r="R82" s="33" t="s">
        <v>128</v>
      </c>
      <c r="S82" s="148" t="s">
        <v>307</v>
      </c>
      <c r="T82" s="33" t="s">
        <v>307</v>
      </c>
      <c r="U82" s="33" t="s">
        <v>307</v>
      </c>
      <c r="V82" s="33" t="s">
        <v>307</v>
      </c>
      <c r="W82" s="33" t="s">
        <v>307</v>
      </c>
      <c r="X82" s="33" t="s">
        <v>307</v>
      </c>
      <c r="Y82" s="33" t="s">
        <v>307</v>
      </c>
      <c r="Z82" s="33" t="s">
        <v>307</v>
      </c>
      <c r="AA82" s="33" t="s">
        <v>307</v>
      </c>
      <c r="AB82" s="33" t="s">
        <v>307</v>
      </c>
      <c r="AC82" s="33" t="s">
        <v>307</v>
      </c>
      <c r="AD82" s="6"/>
      <c r="AE82" s="6"/>
      <c r="AF82" s="35"/>
      <c r="AG82" s="6"/>
      <c r="AH82" s="6"/>
      <c r="AI82" s="35"/>
      <c r="AJ82" s="35"/>
      <c r="AK82" s="35"/>
      <c r="AL82" s="35"/>
      <c r="AM82" s="6">
        <v>179</v>
      </c>
      <c r="AN82" s="6">
        <v>1560</v>
      </c>
      <c r="AO82" s="35">
        <f t="shared" si="24"/>
        <v>409</v>
      </c>
      <c r="AP82" s="6">
        <v>574</v>
      </c>
      <c r="AQ82" s="6"/>
      <c r="AR82" s="34">
        <f t="shared" si="25"/>
        <v>395</v>
      </c>
      <c r="AS82" s="35">
        <v>972</v>
      </c>
      <c r="AT82" s="35"/>
      <c r="AU82" s="35">
        <f t="shared" si="26"/>
        <v>398</v>
      </c>
      <c r="AV82" s="6">
        <v>1372</v>
      </c>
      <c r="AW82" s="6"/>
      <c r="AX82" s="35">
        <f t="shared" si="27"/>
        <v>400</v>
      </c>
      <c r="AY82" s="6">
        <v>210</v>
      </c>
      <c r="AZ82" s="6">
        <v>1560</v>
      </c>
      <c r="BA82" s="35">
        <f t="shared" si="28"/>
        <v>398</v>
      </c>
      <c r="BB82" s="35">
        <v>14</v>
      </c>
      <c r="BC82" s="35">
        <v>557</v>
      </c>
      <c r="BD82" s="35">
        <f t="shared" si="29"/>
        <v>361</v>
      </c>
      <c r="BE82" s="6"/>
      <c r="BF82" s="6"/>
      <c r="BG82" s="35"/>
      <c r="BH82" s="6">
        <v>410</v>
      </c>
      <c r="BI82" s="6"/>
      <c r="BJ82" s="35">
        <f t="shared" si="30"/>
        <v>396</v>
      </c>
      <c r="BK82" s="6">
        <v>804</v>
      </c>
      <c r="BL82" s="6"/>
      <c r="BM82" s="6">
        <f t="shared" si="31"/>
        <v>394</v>
      </c>
      <c r="BN82" s="6">
        <v>1204</v>
      </c>
      <c r="BO82" s="6"/>
      <c r="BP82" s="6">
        <f t="shared" si="32"/>
        <v>400</v>
      </c>
      <c r="BQ82" s="6">
        <v>44</v>
      </c>
      <c r="BR82" s="6">
        <v>1556</v>
      </c>
      <c r="BS82" s="35">
        <f t="shared" si="33"/>
        <v>396</v>
      </c>
      <c r="BT82" s="6">
        <v>441</v>
      </c>
      <c r="BU82" s="6"/>
      <c r="BV82" s="6">
        <f t="shared" si="34"/>
        <v>397</v>
      </c>
      <c r="BW82" s="6">
        <v>819</v>
      </c>
      <c r="BX82" s="6"/>
      <c r="BY82" s="35">
        <f t="shared" si="35"/>
        <v>378</v>
      </c>
      <c r="BZ82" s="6"/>
      <c r="CA82" s="6"/>
      <c r="CB82" s="6"/>
      <c r="CC82" s="6">
        <v>0</v>
      </c>
      <c r="CD82" s="6">
        <v>1057</v>
      </c>
      <c r="CE82" s="6">
        <f t="shared" si="36"/>
        <v>238</v>
      </c>
      <c r="CF82" s="6">
        <v>321</v>
      </c>
      <c r="CG82" s="6"/>
      <c r="CH82" s="6">
        <f t="shared" si="37"/>
        <v>321</v>
      </c>
      <c r="CI82" s="6">
        <v>720</v>
      </c>
      <c r="CJ82" s="6"/>
      <c r="CK82" s="6">
        <f t="shared" si="38"/>
        <v>399</v>
      </c>
      <c r="CL82" s="6">
        <v>1103</v>
      </c>
      <c r="CM82" s="6"/>
      <c r="CN82" s="6">
        <f t="shared" si="39"/>
        <v>383</v>
      </c>
      <c r="CO82" s="6">
        <v>1483</v>
      </c>
      <c r="CP82" s="6"/>
      <c r="CQ82" s="6">
        <f t="shared" si="40"/>
        <v>380</v>
      </c>
      <c r="CR82" s="6">
        <v>290</v>
      </c>
      <c r="CS82" s="6">
        <v>1560</v>
      </c>
      <c r="CT82" s="6">
        <f t="shared" si="41"/>
        <v>367</v>
      </c>
      <c r="CU82" s="6"/>
      <c r="CV82" s="6"/>
      <c r="CW82" s="6"/>
      <c r="CX82" s="6">
        <v>682</v>
      </c>
      <c r="CY82" s="6"/>
      <c r="CZ82" s="6">
        <f t="shared" si="42"/>
        <v>392</v>
      </c>
      <c r="DA82" s="6">
        <v>1069</v>
      </c>
      <c r="DB82" s="6"/>
      <c r="DC82" s="6">
        <f t="shared" si="43"/>
        <v>387</v>
      </c>
      <c r="DD82" s="6">
        <v>1459</v>
      </c>
      <c r="DE82" s="6"/>
      <c r="DF82" s="6">
        <f t="shared" si="44"/>
        <v>390</v>
      </c>
      <c r="DG82" s="6">
        <v>292</v>
      </c>
      <c r="DH82" s="6">
        <v>1555</v>
      </c>
      <c r="DI82" s="6">
        <f t="shared" si="45"/>
        <v>388</v>
      </c>
      <c r="DJ82" s="6">
        <v>686</v>
      </c>
      <c r="DK82" s="6"/>
      <c r="DL82" s="6">
        <f t="shared" si="46"/>
        <v>394</v>
      </c>
      <c r="DM82" s="6">
        <v>1024</v>
      </c>
      <c r="DN82" s="6"/>
      <c r="DO82" s="6">
        <f t="shared" si="47"/>
        <v>338</v>
      </c>
    </row>
    <row r="83" spans="1:119">
      <c r="A83" s="6">
        <v>79</v>
      </c>
      <c r="B83" s="6">
        <v>588</v>
      </c>
      <c r="C83" s="6"/>
      <c r="D83" s="6">
        <v>210</v>
      </c>
      <c r="E83" s="33" t="s">
        <v>307</v>
      </c>
      <c r="F83" s="33" t="s">
        <v>307</v>
      </c>
      <c r="G83" s="33" t="s">
        <v>307</v>
      </c>
      <c r="H83" s="33" t="s">
        <v>307</v>
      </c>
      <c r="I83" s="33" t="s">
        <v>307</v>
      </c>
      <c r="J83" s="33" t="s">
        <v>307</v>
      </c>
      <c r="K83" s="33" t="s">
        <v>307</v>
      </c>
      <c r="L83" s="33" t="s">
        <v>307</v>
      </c>
      <c r="M83" s="33" t="s">
        <v>307</v>
      </c>
      <c r="N83" s="33" t="s">
        <v>307</v>
      </c>
      <c r="O83" s="33" t="s">
        <v>307</v>
      </c>
      <c r="P83" s="33" t="s">
        <v>307</v>
      </c>
      <c r="Q83" s="33" t="s">
        <v>307</v>
      </c>
      <c r="R83" s="33" t="s">
        <v>307</v>
      </c>
      <c r="S83" s="33" t="s">
        <v>307</v>
      </c>
      <c r="T83" s="33" t="s">
        <v>307</v>
      </c>
      <c r="U83" s="148" t="s">
        <v>307</v>
      </c>
      <c r="V83" s="33" t="s">
        <v>307</v>
      </c>
      <c r="W83" s="33" t="s">
        <v>307</v>
      </c>
      <c r="X83" s="33" t="s">
        <v>307</v>
      </c>
      <c r="Y83" s="33" t="s">
        <v>307</v>
      </c>
      <c r="Z83" s="33" t="s">
        <v>307</v>
      </c>
      <c r="AA83" s="33" t="s">
        <v>307</v>
      </c>
      <c r="AB83" s="33" t="s">
        <v>307</v>
      </c>
      <c r="AC83" s="33" t="s">
        <v>307</v>
      </c>
      <c r="AD83" s="6"/>
      <c r="AE83" s="6"/>
      <c r="AF83" s="35"/>
      <c r="AG83" s="6"/>
      <c r="AH83" s="6"/>
      <c r="AI83" s="35"/>
      <c r="AJ83" s="35"/>
      <c r="AK83" s="35"/>
      <c r="AL83" s="35"/>
      <c r="AM83" s="6">
        <v>1012</v>
      </c>
      <c r="AN83" s="6"/>
      <c r="AO83" s="35">
        <f t="shared" si="24"/>
        <v>424</v>
      </c>
      <c r="AP83" s="6">
        <v>231</v>
      </c>
      <c r="AQ83" s="6">
        <v>1165</v>
      </c>
      <c r="AR83" s="34">
        <f t="shared" si="25"/>
        <v>384</v>
      </c>
      <c r="AS83" s="35">
        <v>626</v>
      </c>
      <c r="AT83" s="35"/>
      <c r="AU83" s="35">
        <f t="shared" si="26"/>
        <v>395</v>
      </c>
      <c r="AV83" s="6">
        <v>1023</v>
      </c>
      <c r="AW83" s="6"/>
      <c r="AX83" s="35">
        <f t="shared" si="27"/>
        <v>397</v>
      </c>
      <c r="AY83" s="6">
        <v>1421</v>
      </c>
      <c r="AZ83" s="6"/>
      <c r="BA83" s="35">
        <f t="shared" si="28"/>
        <v>398</v>
      </c>
      <c r="BB83" s="35">
        <v>246</v>
      </c>
      <c r="BC83" s="35">
        <v>1560</v>
      </c>
      <c r="BD83" s="35">
        <f t="shared" si="29"/>
        <v>385</v>
      </c>
      <c r="BE83" s="6"/>
      <c r="BF83" s="6"/>
      <c r="BG83" s="35"/>
      <c r="BH83" s="6">
        <v>646</v>
      </c>
      <c r="BI83" s="6"/>
      <c r="BJ83" s="35">
        <f t="shared" si="30"/>
        <v>400</v>
      </c>
      <c r="BK83" s="6">
        <v>1038</v>
      </c>
      <c r="BL83" s="107"/>
      <c r="BM83" s="6">
        <f t="shared" si="31"/>
        <v>392</v>
      </c>
      <c r="BN83" s="6">
        <v>1429</v>
      </c>
      <c r="BO83" s="6"/>
      <c r="BP83" s="6">
        <f t="shared" si="32"/>
        <v>391</v>
      </c>
      <c r="BQ83" s="6">
        <v>267</v>
      </c>
      <c r="BR83" s="6">
        <v>1560</v>
      </c>
      <c r="BS83" s="35">
        <f t="shared" si="33"/>
        <v>398</v>
      </c>
      <c r="BT83" s="6">
        <v>663</v>
      </c>
      <c r="BU83" s="6"/>
      <c r="BV83" s="6">
        <f t="shared" si="34"/>
        <v>396</v>
      </c>
      <c r="BW83" s="6">
        <v>1041</v>
      </c>
      <c r="BX83" s="6"/>
      <c r="BY83" s="35">
        <f t="shared" si="35"/>
        <v>378</v>
      </c>
      <c r="BZ83" s="6"/>
      <c r="CA83" s="6"/>
      <c r="CB83" s="6"/>
      <c r="CC83" s="6">
        <v>1434</v>
      </c>
      <c r="CD83" s="6"/>
      <c r="CE83" s="6">
        <f t="shared" si="36"/>
        <v>393</v>
      </c>
      <c r="CF83" s="6">
        <v>271</v>
      </c>
      <c r="CG83" s="6">
        <v>1560</v>
      </c>
      <c r="CH83" s="6">
        <f t="shared" si="37"/>
        <v>397</v>
      </c>
      <c r="CI83" s="6">
        <v>0</v>
      </c>
      <c r="CJ83" s="6">
        <v>337</v>
      </c>
      <c r="CK83" s="6">
        <f t="shared" si="38"/>
        <v>66</v>
      </c>
      <c r="CL83" s="6">
        <v>0</v>
      </c>
      <c r="CM83" s="6"/>
      <c r="CN83" s="6">
        <f t="shared" si="39"/>
        <v>0</v>
      </c>
      <c r="CO83" s="6">
        <v>245</v>
      </c>
      <c r="CP83" s="6"/>
      <c r="CQ83" s="6">
        <f t="shared" si="40"/>
        <v>245</v>
      </c>
      <c r="CR83" s="6">
        <v>596</v>
      </c>
      <c r="CS83" s="6"/>
      <c r="CT83" s="6">
        <f t="shared" si="41"/>
        <v>351</v>
      </c>
      <c r="CU83" s="6"/>
      <c r="CV83" s="6"/>
      <c r="CW83" s="6"/>
      <c r="CX83" s="6">
        <v>984</v>
      </c>
      <c r="CY83" s="6"/>
      <c r="CZ83" s="6">
        <f t="shared" si="42"/>
        <v>388</v>
      </c>
      <c r="DA83" s="6">
        <v>1369</v>
      </c>
      <c r="DB83" s="6"/>
      <c r="DC83" s="6">
        <f t="shared" si="43"/>
        <v>385</v>
      </c>
      <c r="DD83" s="6">
        <v>182</v>
      </c>
      <c r="DE83" s="6">
        <v>1560</v>
      </c>
      <c r="DF83" s="6">
        <f t="shared" si="44"/>
        <v>373</v>
      </c>
      <c r="DG83" s="6">
        <v>559</v>
      </c>
      <c r="DH83" s="6"/>
      <c r="DI83" s="6">
        <f t="shared" si="45"/>
        <v>377</v>
      </c>
      <c r="DJ83" s="6">
        <v>952</v>
      </c>
      <c r="DK83" s="6"/>
      <c r="DL83" s="6">
        <f t="shared" si="46"/>
        <v>393</v>
      </c>
      <c r="DM83" s="6">
        <v>1306</v>
      </c>
      <c r="DN83" s="6"/>
      <c r="DO83" s="6">
        <f t="shared" si="47"/>
        <v>354</v>
      </c>
    </row>
    <row r="84" spans="1:119">
      <c r="A84" s="6">
        <v>80</v>
      </c>
      <c r="B84" s="6">
        <v>180</v>
      </c>
      <c r="C84" s="6"/>
      <c r="D84" s="6">
        <v>180</v>
      </c>
      <c r="E84" s="167" t="s">
        <v>37</v>
      </c>
      <c r="F84" s="169" t="s">
        <v>37</v>
      </c>
      <c r="G84" s="169" t="s">
        <v>37</v>
      </c>
      <c r="H84" s="169" t="s">
        <v>37</v>
      </c>
      <c r="I84" s="169" t="s">
        <v>37</v>
      </c>
      <c r="J84" s="169" t="s">
        <v>37</v>
      </c>
      <c r="K84" s="169" t="s">
        <v>37</v>
      </c>
      <c r="L84" s="169" t="s">
        <v>37</v>
      </c>
      <c r="M84" s="169" t="s">
        <v>37</v>
      </c>
      <c r="N84" s="169" t="s">
        <v>37</v>
      </c>
      <c r="O84" s="169" t="s">
        <v>37</v>
      </c>
      <c r="P84" s="169" t="s">
        <v>37</v>
      </c>
      <c r="Q84" s="169" t="s">
        <v>37</v>
      </c>
      <c r="R84" s="169" t="s">
        <v>37</v>
      </c>
      <c r="S84" s="169" t="s">
        <v>37</v>
      </c>
      <c r="T84" s="169" t="s">
        <v>37</v>
      </c>
      <c r="U84" s="169" t="s">
        <v>37</v>
      </c>
      <c r="V84" s="169" t="s">
        <v>37</v>
      </c>
      <c r="W84" s="169" t="s">
        <v>37</v>
      </c>
      <c r="X84" s="169" t="s">
        <v>37</v>
      </c>
      <c r="Y84" s="169" t="s">
        <v>37</v>
      </c>
      <c r="Z84" s="169" t="s">
        <v>37</v>
      </c>
      <c r="AA84" s="167" t="s">
        <v>37</v>
      </c>
      <c r="AB84" s="169" t="s">
        <v>37</v>
      </c>
      <c r="AC84" s="169" t="s">
        <v>37</v>
      </c>
      <c r="AD84" s="6"/>
      <c r="AE84" s="6"/>
      <c r="AF84" s="35"/>
      <c r="AG84" s="6"/>
      <c r="AH84" s="6"/>
      <c r="AI84" s="35"/>
      <c r="AJ84" s="35"/>
      <c r="AK84" s="35"/>
      <c r="AL84" s="35"/>
      <c r="AM84" s="6">
        <v>583</v>
      </c>
      <c r="AN84" s="6"/>
      <c r="AO84" s="35">
        <f t="shared" si="24"/>
        <v>403</v>
      </c>
      <c r="AP84" s="6">
        <v>954</v>
      </c>
      <c r="AQ84" s="6"/>
      <c r="AR84" s="34">
        <f t="shared" si="25"/>
        <v>371</v>
      </c>
      <c r="AS84" s="35">
        <v>254</v>
      </c>
      <c r="AT84" s="35">
        <v>1078</v>
      </c>
      <c r="AU84" s="35">
        <f t="shared" si="26"/>
        <v>378</v>
      </c>
      <c r="AV84" s="6">
        <v>344</v>
      </c>
      <c r="AW84" s="6">
        <v>280</v>
      </c>
      <c r="AX84" s="35">
        <f t="shared" si="27"/>
        <v>370</v>
      </c>
      <c r="AY84" s="6">
        <v>50</v>
      </c>
      <c r="AZ84" s="6">
        <v>666</v>
      </c>
      <c r="BA84" s="35">
        <f t="shared" si="28"/>
        <v>372</v>
      </c>
      <c r="BB84" s="35">
        <v>24</v>
      </c>
      <c r="BC84" s="35">
        <v>381</v>
      </c>
      <c r="BD84" s="35">
        <f t="shared" si="29"/>
        <v>355</v>
      </c>
      <c r="BE84" s="6"/>
      <c r="BF84" s="6"/>
      <c r="BG84" s="35"/>
      <c r="BH84" s="6">
        <v>395</v>
      </c>
      <c r="BI84" s="6"/>
      <c r="BJ84" s="35">
        <f t="shared" si="30"/>
        <v>371</v>
      </c>
      <c r="BK84" s="6">
        <v>1</v>
      </c>
      <c r="BL84" s="107">
        <v>771</v>
      </c>
      <c r="BM84" s="6">
        <f t="shared" si="31"/>
        <v>377</v>
      </c>
      <c r="BN84" s="6">
        <v>377</v>
      </c>
      <c r="BO84" s="6"/>
      <c r="BP84" s="6">
        <f t="shared" si="32"/>
        <v>376</v>
      </c>
      <c r="BQ84" s="6">
        <v>266</v>
      </c>
      <c r="BR84" s="6">
        <v>476</v>
      </c>
      <c r="BS84" s="35">
        <f t="shared" si="33"/>
        <v>365</v>
      </c>
      <c r="BT84" s="6">
        <v>263</v>
      </c>
      <c r="BU84" s="6">
        <v>373</v>
      </c>
      <c r="BV84" s="6">
        <f t="shared" si="34"/>
        <v>370</v>
      </c>
      <c r="BW84" s="6">
        <v>623</v>
      </c>
      <c r="BX84" s="6"/>
      <c r="BY84" s="35">
        <f t="shared" si="35"/>
        <v>360</v>
      </c>
      <c r="BZ84" s="6"/>
      <c r="CA84" s="6"/>
      <c r="CB84" s="6"/>
      <c r="CC84" s="6">
        <v>1007</v>
      </c>
      <c r="CD84" s="6"/>
      <c r="CE84" s="6">
        <f t="shared" si="36"/>
        <v>384</v>
      </c>
      <c r="CF84" s="6">
        <v>1376</v>
      </c>
      <c r="CG84" s="6"/>
      <c r="CH84" s="6">
        <f t="shared" si="37"/>
        <v>369</v>
      </c>
      <c r="CI84" s="6">
        <v>198</v>
      </c>
      <c r="CJ84" s="6">
        <v>1560</v>
      </c>
      <c r="CK84" s="6">
        <f t="shared" si="38"/>
        <v>382</v>
      </c>
      <c r="CL84" s="6">
        <v>549</v>
      </c>
      <c r="CM84" s="6"/>
      <c r="CN84" s="6">
        <f t="shared" si="39"/>
        <v>351</v>
      </c>
      <c r="CO84" s="6">
        <v>347</v>
      </c>
      <c r="CP84" s="6">
        <v>567</v>
      </c>
      <c r="CQ84" s="6">
        <f t="shared" si="40"/>
        <v>365</v>
      </c>
      <c r="CR84" s="6">
        <v>702</v>
      </c>
      <c r="CS84" s="6"/>
      <c r="CT84" s="6">
        <f t="shared" si="41"/>
        <v>355</v>
      </c>
      <c r="CU84" s="6"/>
      <c r="CV84" s="6"/>
      <c r="CW84" s="6"/>
      <c r="CX84" s="6">
        <v>1086</v>
      </c>
      <c r="CY84" s="6"/>
      <c r="CZ84" s="6">
        <f t="shared" si="42"/>
        <v>384</v>
      </c>
      <c r="DA84" s="6">
        <v>1459</v>
      </c>
      <c r="DB84" s="6"/>
      <c r="DC84" s="6">
        <f t="shared" si="43"/>
        <v>373</v>
      </c>
      <c r="DD84" s="6">
        <v>0</v>
      </c>
      <c r="DE84" s="6">
        <f>1668+56</f>
        <v>1724</v>
      </c>
      <c r="DF84" s="6">
        <f t="shared" si="44"/>
        <v>265</v>
      </c>
      <c r="DG84" s="6">
        <v>352</v>
      </c>
      <c r="DH84" s="6"/>
      <c r="DI84" s="6">
        <f t="shared" si="45"/>
        <v>352</v>
      </c>
      <c r="DJ84" s="6">
        <v>734</v>
      </c>
      <c r="DK84" s="6"/>
      <c r="DL84" s="6">
        <f t="shared" si="46"/>
        <v>382</v>
      </c>
      <c r="DM84" s="6">
        <v>1082</v>
      </c>
      <c r="DN84" s="6"/>
      <c r="DO84" s="6">
        <f t="shared" si="47"/>
        <v>348</v>
      </c>
    </row>
    <row r="85" spans="1:119">
      <c r="A85" s="6">
        <v>81</v>
      </c>
      <c r="B85" s="6">
        <v>176</v>
      </c>
      <c r="C85" s="6"/>
      <c r="D85" s="6">
        <v>176</v>
      </c>
      <c r="E85" s="148" t="s">
        <v>37</v>
      </c>
      <c r="F85" s="33" t="s">
        <v>37</v>
      </c>
      <c r="G85" s="33" t="s">
        <v>37</v>
      </c>
      <c r="H85" s="33" t="s">
        <v>37</v>
      </c>
      <c r="I85" s="33" t="s">
        <v>37</v>
      </c>
      <c r="J85" s="33" t="s">
        <v>37</v>
      </c>
      <c r="K85" s="33" t="s">
        <v>37</v>
      </c>
      <c r="L85" s="33" t="s">
        <v>37</v>
      </c>
      <c r="M85" s="33" t="s">
        <v>37</v>
      </c>
      <c r="N85" s="33" t="s">
        <v>37</v>
      </c>
      <c r="O85" s="33" t="s">
        <v>37</v>
      </c>
      <c r="P85" s="33" t="s">
        <v>37</v>
      </c>
      <c r="Q85" s="33" t="s">
        <v>37</v>
      </c>
      <c r="R85" s="33" t="s">
        <v>37</v>
      </c>
      <c r="S85" s="33" t="s">
        <v>37</v>
      </c>
      <c r="T85" s="33" t="s">
        <v>37</v>
      </c>
      <c r="U85" s="33" t="s">
        <v>37</v>
      </c>
      <c r="V85" s="33" t="s">
        <v>37</v>
      </c>
      <c r="W85" s="33" t="s">
        <v>37</v>
      </c>
      <c r="X85" s="33" t="s">
        <v>37</v>
      </c>
      <c r="Y85" s="33" t="s">
        <v>37</v>
      </c>
      <c r="Z85" s="33" t="s">
        <v>37</v>
      </c>
      <c r="AA85" s="148" t="s">
        <v>37</v>
      </c>
      <c r="AB85" s="33" t="s">
        <v>37</v>
      </c>
      <c r="AC85" s="33" t="s">
        <v>37</v>
      </c>
      <c r="AD85" s="35"/>
      <c r="AE85" s="35"/>
      <c r="AF85" s="35"/>
      <c r="AG85" s="35"/>
      <c r="AH85" s="35"/>
      <c r="AI85" s="35"/>
      <c r="AJ85" s="35"/>
      <c r="AK85" s="35"/>
      <c r="AL85" s="35"/>
      <c r="AM85" s="35">
        <v>580</v>
      </c>
      <c r="AN85" s="35"/>
      <c r="AO85" s="35">
        <f t="shared" si="24"/>
        <v>404</v>
      </c>
      <c r="AP85" s="35">
        <v>356</v>
      </c>
      <c r="AQ85" s="35">
        <v>581</v>
      </c>
      <c r="AR85" s="34">
        <f t="shared" si="25"/>
        <v>357</v>
      </c>
      <c r="AS85" s="35">
        <v>741</v>
      </c>
      <c r="AT85" s="35"/>
      <c r="AU85" s="35">
        <f t="shared" si="26"/>
        <v>385</v>
      </c>
      <c r="AV85" s="6">
        <v>1128</v>
      </c>
      <c r="AW85" s="6"/>
      <c r="AX85" s="35">
        <f t="shared" si="27"/>
        <v>387</v>
      </c>
      <c r="AY85" s="6">
        <v>1506</v>
      </c>
      <c r="AZ85" s="6"/>
      <c r="BA85" s="35">
        <f t="shared" si="28"/>
        <v>378</v>
      </c>
      <c r="BB85" s="6">
        <v>312</v>
      </c>
      <c r="BC85" s="6">
        <v>1560</v>
      </c>
      <c r="BD85" s="35">
        <f t="shared" si="29"/>
        <v>366</v>
      </c>
      <c r="BE85" s="6"/>
      <c r="BF85" s="6"/>
      <c r="BG85" s="35"/>
      <c r="BH85" s="6">
        <v>685</v>
      </c>
      <c r="BI85" s="6"/>
      <c r="BJ85" s="35">
        <f t="shared" si="30"/>
        <v>373</v>
      </c>
      <c r="BK85" s="6">
        <v>1059</v>
      </c>
      <c r="BL85" s="35"/>
      <c r="BM85" s="6">
        <f t="shared" si="31"/>
        <v>374</v>
      </c>
      <c r="BN85" s="6">
        <v>1441</v>
      </c>
      <c r="BO85" s="6"/>
      <c r="BP85" s="6">
        <f t="shared" si="32"/>
        <v>382</v>
      </c>
      <c r="BQ85" s="6">
        <v>244</v>
      </c>
      <c r="BR85" s="6">
        <v>1560</v>
      </c>
      <c r="BS85" s="35">
        <f t="shared" si="33"/>
        <v>363</v>
      </c>
      <c r="BT85" s="6">
        <v>620</v>
      </c>
      <c r="BU85" s="6"/>
      <c r="BV85" s="6">
        <f t="shared" si="34"/>
        <v>376</v>
      </c>
      <c r="BW85" s="6">
        <v>288</v>
      </c>
      <c r="BX85" s="6">
        <v>677</v>
      </c>
      <c r="BY85" s="35">
        <f t="shared" si="35"/>
        <v>345</v>
      </c>
      <c r="BZ85" s="6"/>
      <c r="CA85" s="35"/>
      <c r="CB85" s="6"/>
      <c r="CC85" s="6">
        <v>674</v>
      </c>
      <c r="CD85" s="6"/>
      <c r="CE85" s="6">
        <f t="shared" si="36"/>
        <v>386</v>
      </c>
      <c r="CF85" s="6">
        <v>1053</v>
      </c>
      <c r="CG85" s="35"/>
      <c r="CH85" s="6">
        <f t="shared" si="37"/>
        <v>379</v>
      </c>
      <c r="CI85" s="6">
        <v>1432</v>
      </c>
      <c r="CJ85" s="6"/>
      <c r="CK85" s="6">
        <f t="shared" si="38"/>
        <v>379</v>
      </c>
      <c r="CL85" s="6">
        <v>249</v>
      </c>
      <c r="CM85" s="6">
        <v>1560</v>
      </c>
      <c r="CN85" s="6">
        <f t="shared" si="39"/>
        <v>377</v>
      </c>
      <c r="CO85" s="6">
        <v>265</v>
      </c>
      <c r="CP85" s="6">
        <v>358</v>
      </c>
      <c r="CQ85" s="6">
        <f t="shared" si="40"/>
        <v>374</v>
      </c>
      <c r="CR85" s="6">
        <v>24</v>
      </c>
      <c r="CS85" s="6">
        <v>607</v>
      </c>
      <c r="CT85" s="6">
        <f t="shared" si="41"/>
        <v>366</v>
      </c>
      <c r="CU85" s="6"/>
      <c r="CV85" s="6"/>
      <c r="CW85" s="6"/>
      <c r="CX85" s="6">
        <v>404</v>
      </c>
      <c r="CY85" s="6"/>
      <c r="CZ85" s="6">
        <f t="shared" si="42"/>
        <v>380</v>
      </c>
      <c r="DA85" s="6">
        <v>768</v>
      </c>
      <c r="DB85" s="6"/>
      <c r="DC85" s="6">
        <f t="shared" si="43"/>
        <v>364</v>
      </c>
      <c r="DD85" s="6">
        <v>0</v>
      </c>
      <c r="DE85" s="6">
        <v>960</v>
      </c>
      <c r="DF85" s="6">
        <f t="shared" si="44"/>
        <v>192</v>
      </c>
      <c r="DG85" s="6">
        <v>352</v>
      </c>
      <c r="DH85" s="6"/>
      <c r="DI85" s="6">
        <f t="shared" si="45"/>
        <v>352</v>
      </c>
      <c r="DJ85" s="6">
        <v>731</v>
      </c>
      <c r="DK85" s="6"/>
      <c r="DL85" s="6">
        <f t="shared" si="46"/>
        <v>379</v>
      </c>
      <c r="DM85" s="6">
        <v>1076</v>
      </c>
      <c r="DN85" s="6"/>
      <c r="DO85" s="6">
        <f t="shared" si="47"/>
        <v>345</v>
      </c>
    </row>
    <row r="86" spans="1:119">
      <c r="A86" s="6">
        <v>82</v>
      </c>
      <c r="B86" s="6">
        <v>133</v>
      </c>
      <c r="C86" s="6">
        <v>1560</v>
      </c>
      <c r="D86" s="6">
        <v>212</v>
      </c>
      <c r="E86" s="33" t="s">
        <v>128</v>
      </c>
      <c r="F86" s="33" t="s">
        <v>128</v>
      </c>
      <c r="G86" s="33" t="s">
        <v>128</v>
      </c>
      <c r="H86" s="33" t="s">
        <v>128</v>
      </c>
      <c r="I86" s="33" t="s">
        <v>128</v>
      </c>
      <c r="J86" s="33" t="s">
        <v>128</v>
      </c>
      <c r="K86" s="33" t="s">
        <v>128</v>
      </c>
      <c r="L86" s="33" t="s">
        <v>128</v>
      </c>
      <c r="M86" s="33" t="s">
        <v>128</v>
      </c>
      <c r="N86" s="33" t="s">
        <v>128</v>
      </c>
      <c r="O86" s="33" t="s">
        <v>128</v>
      </c>
      <c r="P86" s="33" t="s">
        <v>128</v>
      </c>
      <c r="Q86" s="148" t="s">
        <v>307</v>
      </c>
      <c r="R86" s="33" t="s">
        <v>307</v>
      </c>
      <c r="S86" s="33" t="s">
        <v>307</v>
      </c>
      <c r="T86" s="33" t="s">
        <v>307</v>
      </c>
      <c r="U86" s="33" t="s">
        <v>307</v>
      </c>
      <c r="V86" s="33" t="s">
        <v>307</v>
      </c>
      <c r="W86" s="33" t="s">
        <v>307</v>
      </c>
      <c r="X86" s="33" t="s">
        <v>307</v>
      </c>
      <c r="Y86" s="33" t="s">
        <v>307</v>
      </c>
      <c r="Z86" s="33" t="s">
        <v>307</v>
      </c>
      <c r="AA86" s="33" t="s">
        <v>307</v>
      </c>
      <c r="AB86" s="33" t="s">
        <v>307</v>
      </c>
      <c r="AC86" s="33" t="s">
        <v>307</v>
      </c>
      <c r="AD86" s="6"/>
      <c r="AE86" s="6"/>
      <c r="AF86" s="35"/>
      <c r="AG86" s="6"/>
      <c r="AH86" s="6"/>
      <c r="AI86" s="35"/>
      <c r="AJ86" s="35"/>
      <c r="AK86" s="35"/>
      <c r="AL86" s="35"/>
      <c r="AM86" s="6">
        <v>548</v>
      </c>
      <c r="AN86" s="6"/>
      <c r="AO86" s="35">
        <f t="shared" si="24"/>
        <v>415</v>
      </c>
      <c r="AP86" s="6">
        <v>939</v>
      </c>
      <c r="AQ86" s="6"/>
      <c r="AR86" s="34">
        <f t="shared" si="25"/>
        <v>391</v>
      </c>
      <c r="AS86" s="35">
        <v>1331</v>
      </c>
      <c r="AT86" s="35"/>
      <c r="AU86" s="35">
        <f t="shared" si="26"/>
        <v>392</v>
      </c>
      <c r="AV86" s="6">
        <v>169</v>
      </c>
      <c r="AW86" s="6">
        <v>1560</v>
      </c>
      <c r="AX86" s="35">
        <f t="shared" si="27"/>
        <v>398</v>
      </c>
      <c r="AY86" s="6">
        <v>555</v>
      </c>
      <c r="AZ86" s="6"/>
      <c r="BA86" s="35">
        <f t="shared" si="28"/>
        <v>386</v>
      </c>
      <c r="BB86" s="35">
        <v>943</v>
      </c>
      <c r="BC86" s="35"/>
      <c r="BD86" s="35">
        <f t="shared" si="29"/>
        <v>388</v>
      </c>
      <c r="BE86" s="6"/>
      <c r="BF86" s="6"/>
      <c r="BG86" s="35"/>
      <c r="BH86" s="6">
        <v>1348</v>
      </c>
      <c r="BI86" s="6"/>
      <c r="BJ86" s="35">
        <f t="shared" si="30"/>
        <v>405</v>
      </c>
      <c r="BK86" s="6">
        <v>145</v>
      </c>
      <c r="BL86" s="6">
        <v>1560</v>
      </c>
      <c r="BM86" s="6">
        <f t="shared" si="31"/>
        <v>357</v>
      </c>
      <c r="BN86" s="6">
        <v>540</v>
      </c>
      <c r="BO86" s="6"/>
      <c r="BP86" s="6">
        <f t="shared" si="32"/>
        <v>395</v>
      </c>
      <c r="BQ86" s="6">
        <v>932</v>
      </c>
      <c r="BR86" s="6"/>
      <c r="BS86" s="35">
        <f t="shared" si="33"/>
        <v>392</v>
      </c>
      <c r="BT86" s="6">
        <v>0</v>
      </c>
      <c r="BU86" s="6">
        <v>1321</v>
      </c>
      <c r="BV86" s="6">
        <f t="shared" si="34"/>
        <v>389</v>
      </c>
      <c r="BW86" s="6">
        <v>355</v>
      </c>
      <c r="BX86" s="6"/>
      <c r="BY86" s="35">
        <f t="shared" si="35"/>
        <v>355</v>
      </c>
      <c r="BZ86" s="6"/>
      <c r="CA86" s="6"/>
      <c r="CB86" s="6"/>
      <c r="CC86" s="6">
        <v>744</v>
      </c>
      <c r="CD86" s="6"/>
      <c r="CE86" s="6">
        <f t="shared" si="36"/>
        <v>389</v>
      </c>
      <c r="CF86" s="6">
        <v>1136</v>
      </c>
      <c r="CG86" s="6"/>
      <c r="CH86" s="6">
        <f t="shared" si="37"/>
        <v>392</v>
      </c>
      <c r="CI86" s="6">
        <v>1528</v>
      </c>
      <c r="CJ86" s="6"/>
      <c r="CK86" s="6">
        <f t="shared" si="38"/>
        <v>392</v>
      </c>
      <c r="CL86" s="6">
        <v>349</v>
      </c>
      <c r="CM86" s="6">
        <v>1561</v>
      </c>
      <c r="CN86" s="6">
        <f t="shared" si="39"/>
        <v>382</v>
      </c>
      <c r="CO86" s="6">
        <v>729</v>
      </c>
      <c r="CP86" s="6"/>
      <c r="CQ86" s="6">
        <f t="shared" si="40"/>
        <v>380</v>
      </c>
      <c r="CR86" s="6">
        <v>1077</v>
      </c>
      <c r="CS86" s="6"/>
      <c r="CT86" s="6">
        <f t="shared" si="41"/>
        <v>348</v>
      </c>
      <c r="CU86" s="6"/>
      <c r="CV86" s="6"/>
      <c r="CW86" s="6"/>
      <c r="CX86" s="6">
        <v>1449</v>
      </c>
      <c r="CY86" s="6"/>
      <c r="CZ86" s="6">
        <f t="shared" si="42"/>
        <v>372</v>
      </c>
      <c r="DA86" s="6">
        <v>271</v>
      </c>
      <c r="DB86" s="6">
        <v>1560</v>
      </c>
      <c r="DC86" s="6">
        <f t="shared" si="43"/>
        <v>382</v>
      </c>
      <c r="DD86" s="6">
        <v>641</v>
      </c>
      <c r="DE86" s="6"/>
      <c r="DF86" s="6">
        <f t="shared" si="44"/>
        <v>370</v>
      </c>
      <c r="DG86" s="6">
        <v>1015</v>
      </c>
      <c r="DH86" s="6"/>
      <c r="DI86" s="6">
        <f t="shared" si="45"/>
        <v>374</v>
      </c>
      <c r="DJ86" s="6">
        <v>1406</v>
      </c>
      <c r="DK86" s="6"/>
      <c r="DL86" s="6">
        <f t="shared" si="46"/>
        <v>391</v>
      </c>
      <c r="DM86" s="6">
        <v>197</v>
      </c>
      <c r="DN86" s="6">
        <v>1560</v>
      </c>
      <c r="DO86" s="6">
        <f t="shared" si="47"/>
        <v>351</v>
      </c>
    </row>
    <row r="87" spans="1:119">
      <c r="A87" s="6">
        <v>83</v>
      </c>
      <c r="B87" s="6">
        <v>104</v>
      </c>
      <c r="C87" s="6">
        <v>859</v>
      </c>
      <c r="D87" s="6">
        <v>192</v>
      </c>
      <c r="E87" s="33" t="s">
        <v>128</v>
      </c>
      <c r="F87" s="33" t="s">
        <v>128</v>
      </c>
      <c r="G87" s="33" t="s">
        <v>128</v>
      </c>
      <c r="H87" s="33" t="s">
        <v>128</v>
      </c>
      <c r="I87" s="33" t="s">
        <v>128</v>
      </c>
      <c r="J87" s="33" t="s">
        <v>128</v>
      </c>
      <c r="K87" s="33" t="s">
        <v>128</v>
      </c>
      <c r="L87" s="33" t="s">
        <v>128</v>
      </c>
      <c r="M87" s="33" t="s">
        <v>128</v>
      </c>
      <c r="N87" s="33" t="s">
        <v>128</v>
      </c>
      <c r="O87" s="33" t="s">
        <v>128</v>
      </c>
      <c r="P87" s="33" t="s">
        <v>128</v>
      </c>
      <c r="Q87" s="33" t="s">
        <v>128</v>
      </c>
      <c r="R87" s="33" t="s">
        <v>128</v>
      </c>
      <c r="S87" s="148" t="s">
        <v>307</v>
      </c>
      <c r="T87" s="33" t="s">
        <v>307</v>
      </c>
      <c r="U87" s="33" t="s">
        <v>307</v>
      </c>
      <c r="V87" s="33" t="s">
        <v>307</v>
      </c>
      <c r="W87" s="33" t="s">
        <v>307</v>
      </c>
      <c r="X87" s="33" t="s">
        <v>307</v>
      </c>
      <c r="Y87" s="33" t="s">
        <v>307</v>
      </c>
      <c r="Z87" s="33" t="s">
        <v>307</v>
      </c>
      <c r="AA87" s="33" t="s">
        <v>307</v>
      </c>
      <c r="AB87" s="33" t="s">
        <v>307</v>
      </c>
      <c r="AC87" s="33" t="s">
        <v>307</v>
      </c>
      <c r="AD87" s="6"/>
      <c r="AE87" s="6"/>
      <c r="AF87" s="35"/>
      <c r="AG87" s="6"/>
      <c r="AH87" s="6"/>
      <c r="AI87" s="35"/>
      <c r="AJ87" s="35"/>
      <c r="AK87" s="35"/>
      <c r="AL87" s="35"/>
      <c r="AM87" s="35">
        <v>328</v>
      </c>
      <c r="AN87" s="6">
        <v>164</v>
      </c>
      <c r="AO87" s="35">
        <f t="shared" si="24"/>
        <v>388</v>
      </c>
      <c r="AP87" s="6">
        <v>2</v>
      </c>
      <c r="AQ87" s="6">
        <v>701</v>
      </c>
      <c r="AR87" s="34">
        <f t="shared" si="25"/>
        <v>375</v>
      </c>
      <c r="AS87" s="35">
        <v>378</v>
      </c>
      <c r="AT87" s="35"/>
      <c r="AU87" s="35">
        <f t="shared" si="26"/>
        <v>376</v>
      </c>
      <c r="AV87" s="6">
        <v>752</v>
      </c>
      <c r="AW87" s="6"/>
      <c r="AX87" s="35">
        <f t="shared" si="27"/>
        <v>374</v>
      </c>
      <c r="AY87" s="6">
        <v>1127</v>
      </c>
      <c r="AZ87" s="6"/>
      <c r="BA87" s="35">
        <f t="shared" si="28"/>
        <v>375</v>
      </c>
      <c r="BB87" s="35">
        <v>116</v>
      </c>
      <c r="BC87" s="35">
        <v>1354</v>
      </c>
      <c r="BD87" s="35">
        <f t="shared" si="29"/>
        <v>343</v>
      </c>
      <c r="BE87" s="6"/>
      <c r="BF87" s="6"/>
      <c r="BG87" s="35"/>
      <c r="BH87" s="6">
        <v>480</v>
      </c>
      <c r="BI87" s="6"/>
      <c r="BJ87" s="35">
        <f t="shared" si="30"/>
        <v>364</v>
      </c>
      <c r="BK87" s="6">
        <v>847</v>
      </c>
      <c r="BL87" s="6"/>
      <c r="BM87" s="6">
        <f t="shared" si="31"/>
        <v>367</v>
      </c>
      <c r="BN87" s="6">
        <v>1237</v>
      </c>
      <c r="BO87" s="6"/>
      <c r="BP87" s="6">
        <f t="shared" si="32"/>
        <v>390</v>
      </c>
      <c r="BQ87" s="6">
        <v>267</v>
      </c>
      <c r="BR87" s="6">
        <v>1323</v>
      </c>
      <c r="BS87" s="35">
        <f t="shared" si="33"/>
        <v>353</v>
      </c>
      <c r="BT87" s="6">
        <v>640</v>
      </c>
      <c r="BU87" s="6"/>
      <c r="BV87" s="6">
        <f t="shared" si="34"/>
        <v>373</v>
      </c>
      <c r="BW87" s="6">
        <v>983</v>
      </c>
      <c r="BX87" s="6"/>
      <c r="BY87" s="35">
        <f t="shared" si="35"/>
        <v>343</v>
      </c>
      <c r="BZ87" s="6"/>
      <c r="CA87" s="6"/>
      <c r="CB87" s="6"/>
      <c r="CC87" s="6">
        <v>0</v>
      </c>
      <c r="CD87" s="6">
        <v>1179</v>
      </c>
      <c r="CE87" s="6">
        <f t="shared" si="36"/>
        <v>196</v>
      </c>
      <c r="CF87" s="6">
        <v>363</v>
      </c>
      <c r="CG87" s="6"/>
      <c r="CH87" s="6">
        <f t="shared" si="37"/>
        <v>363</v>
      </c>
      <c r="CI87" s="6">
        <v>755</v>
      </c>
      <c r="CJ87" s="6"/>
      <c r="CK87" s="6">
        <f t="shared" si="38"/>
        <v>392</v>
      </c>
      <c r="CL87" s="6">
        <v>1136</v>
      </c>
      <c r="CM87" s="6"/>
      <c r="CN87" s="6">
        <f t="shared" si="39"/>
        <v>381</v>
      </c>
      <c r="CO87" s="6">
        <v>1513</v>
      </c>
      <c r="CP87" s="6"/>
      <c r="CQ87" s="6">
        <f t="shared" si="40"/>
        <v>377</v>
      </c>
      <c r="CR87" s="6">
        <v>310</v>
      </c>
      <c r="CS87" s="6">
        <v>1562</v>
      </c>
      <c r="CT87" s="6">
        <f t="shared" si="41"/>
        <v>359</v>
      </c>
      <c r="CU87" s="6"/>
      <c r="CV87" s="6"/>
      <c r="CW87" s="6"/>
      <c r="CX87" s="6">
        <v>700</v>
      </c>
      <c r="CY87" s="6"/>
      <c r="CZ87" s="6">
        <f t="shared" si="42"/>
        <v>390</v>
      </c>
      <c r="DA87" s="6">
        <v>1069</v>
      </c>
      <c r="DB87" s="6"/>
      <c r="DC87" s="6">
        <f t="shared" si="43"/>
        <v>369</v>
      </c>
      <c r="DD87" s="6">
        <v>1456</v>
      </c>
      <c r="DE87" s="6"/>
      <c r="DF87" s="6">
        <f t="shared" si="44"/>
        <v>387</v>
      </c>
      <c r="DG87" s="6">
        <v>296</v>
      </c>
      <c r="DH87" s="6">
        <v>1550</v>
      </c>
      <c r="DI87" s="6">
        <f t="shared" si="45"/>
        <v>390</v>
      </c>
      <c r="DJ87" s="6">
        <v>686</v>
      </c>
      <c r="DK87" s="6"/>
      <c r="DL87" s="6">
        <f t="shared" si="46"/>
        <v>390</v>
      </c>
      <c r="DM87" s="6">
        <v>1036</v>
      </c>
      <c r="DN87" s="6"/>
      <c r="DO87" s="6">
        <f t="shared" si="47"/>
        <v>350</v>
      </c>
    </row>
    <row r="88" spans="1:119">
      <c r="A88" s="6">
        <v>84</v>
      </c>
      <c r="B88" s="6">
        <v>160</v>
      </c>
      <c r="C88" s="6"/>
      <c r="D88" s="6">
        <v>160</v>
      </c>
      <c r="E88" s="148" t="s">
        <v>37</v>
      </c>
      <c r="F88" s="33" t="s">
        <v>37</v>
      </c>
      <c r="G88" s="33" t="s">
        <v>37</v>
      </c>
      <c r="H88" s="33" t="s">
        <v>37</v>
      </c>
      <c r="I88" s="33" t="s">
        <v>37</v>
      </c>
      <c r="J88" s="33" t="s">
        <v>37</v>
      </c>
      <c r="K88" s="33" t="s">
        <v>37</v>
      </c>
      <c r="L88" s="33" t="s">
        <v>37</v>
      </c>
      <c r="M88" s="33" t="s">
        <v>37</v>
      </c>
      <c r="N88" s="33" t="s">
        <v>37</v>
      </c>
      <c r="O88" s="33" t="s">
        <v>37</v>
      </c>
      <c r="P88" s="33" t="s">
        <v>37</v>
      </c>
      <c r="Q88" s="33" t="s">
        <v>37</v>
      </c>
      <c r="R88" s="33" t="s">
        <v>37</v>
      </c>
      <c r="S88" s="33" t="s">
        <v>37</v>
      </c>
      <c r="T88" s="33" t="s">
        <v>37</v>
      </c>
      <c r="U88" s="33" t="s">
        <v>37</v>
      </c>
      <c r="V88" s="33" t="s">
        <v>37</v>
      </c>
      <c r="W88" s="33" t="s">
        <v>37</v>
      </c>
      <c r="X88" s="33" t="s">
        <v>37</v>
      </c>
      <c r="Y88" s="33" t="s">
        <v>37</v>
      </c>
      <c r="Z88" s="33" t="s">
        <v>37</v>
      </c>
      <c r="AA88" s="148" t="s">
        <v>37</v>
      </c>
      <c r="AB88" s="33" t="s">
        <v>37</v>
      </c>
      <c r="AC88" s="33" t="s">
        <v>37</v>
      </c>
      <c r="AD88" s="35"/>
      <c r="AE88" s="35"/>
      <c r="AF88" s="35"/>
      <c r="AG88" s="35"/>
      <c r="AH88" s="35"/>
      <c r="AI88" s="35"/>
      <c r="AJ88" s="35"/>
      <c r="AK88" s="35"/>
      <c r="AL88" s="35"/>
      <c r="AM88" s="35">
        <v>559</v>
      </c>
      <c r="AN88" s="35"/>
      <c r="AO88" s="35">
        <f t="shared" si="24"/>
        <v>399</v>
      </c>
      <c r="AP88" s="6">
        <v>934</v>
      </c>
      <c r="AQ88" s="6"/>
      <c r="AR88" s="34">
        <f t="shared" si="25"/>
        <v>375</v>
      </c>
      <c r="AS88" s="35">
        <v>1317</v>
      </c>
      <c r="AT88" s="35"/>
      <c r="AU88" s="35">
        <f t="shared" si="26"/>
        <v>383</v>
      </c>
      <c r="AV88" s="6">
        <v>139</v>
      </c>
      <c r="AW88" s="6">
        <v>1560</v>
      </c>
      <c r="AX88" s="35">
        <f t="shared" si="27"/>
        <v>382</v>
      </c>
      <c r="AY88" s="6">
        <v>520</v>
      </c>
      <c r="AZ88" s="6"/>
      <c r="BA88" s="35">
        <f t="shared" si="28"/>
        <v>381</v>
      </c>
      <c r="BB88" s="6">
        <v>886</v>
      </c>
      <c r="BC88" s="6"/>
      <c r="BD88" s="35">
        <f t="shared" si="29"/>
        <v>366</v>
      </c>
      <c r="BE88" s="6"/>
      <c r="BF88" s="6"/>
      <c r="BG88" s="35"/>
      <c r="BH88" s="6">
        <v>1269</v>
      </c>
      <c r="BI88" s="6"/>
      <c r="BJ88" s="35">
        <f t="shared" si="30"/>
        <v>383</v>
      </c>
      <c r="BK88" s="6">
        <v>83</v>
      </c>
      <c r="BL88" s="35">
        <v>1560</v>
      </c>
      <c r="BM88" s="6">
        <f t="shared" si="31"/>
        <v>374</v>
      </c>
      <c r="BN88" s="6">
        <v>456</v>
      </c>
      <c r="BO88" s="6"/>
      <c r="BP88" s="6">
        <f t="shared" si="32"/>
        <v>373</v>
      </c>
      <c r="BQ88" s="6">
        <v>832</v>
      </c>
      <c r="BR88" s="6"/>
      <c r="BS88" s="35">
        <f t="shared" si="33"/>
        <v>376</v>
      </c>
      <c r="BT88" s="6">
        <v>1206</v>
      </c>
      <c r="BU88" s="6"/>
      <c r="BV88" s="6">
        <f t="shared" si="34"/>
        <v>374</v>
      </c>
      <c r="BW88" s="6">
        <v>5</v>
      </c>
      <c r="BX88" s="6">
        <v>1560</v>
      </c>
      <c r="BY88" s="35">
        <f t="shared" si="35"/>
        <v>359</v>
      </c>
      <c r="BZ88" s="6"/>
      <c r="CA88" s="35"/>
      <c r="CB88" s="6"/>
      <c r="CC88" s="6">
        <v>384</v>
      </c>
      <c r="CD88" s="6"/>
      <c r="CE88" s="6">
        <f t="shared" si="36"/>
        <v>379</v>
      </c>
      <c r="CF88" s="6">
        <v>763</v>
      </c>
      <c r="CG88" s="35"/>
      <c r="CH88" s="6">
        <f t="shared" si="37"/>
        <v>379</v>
      </c>
      <c r="CI88" s="6">
        <v>1147</v>
      </c>
      <c r="CJ88" s="6"/>
      <c r="CK88" s="6">
        <f t="shared" si="38"/>
        <v>384</v>
      </c>
      <c r="CL88" s="6">
        <v>1527</v>
      </c>
      <c r="CM88" s="6"/>
      <c r="CN88" s="6">
        <f t="shared" si="39"/>
        <v>380</v>
      </c>
      <c r="CO88" s="6">
        <v>346</v>
      </c>
      <c r="CP88" s="6">
        <v>1560</v>
      </c>
      <c r="CQ88" s="6">
        <f t="shared" si="40"/>
        <v>379</v>
      </c>
      <c r="CR88" s="6">
        <v>714</v>
      </c>
      <c r="CS88" s="6"/>
      <c r="CT88" s="6">
        <f t="shared" si="41"/>
        <v>368</v>
      </c>
      <c r="CU88" s="6"/>
      <c r="CV88" s="6"/>
      <c r="CW88" s="6"/>
      <c r="CX88" s="6">
        <v>1096</v>
      </c>
      <c r="CY88" s="6"/>
      <c r="CZ88" s="6">
        <f t="shared" si="42"/>
        <v>382</v>
      </c>
      <c r="DA88" s="6">
        <v>1472</v>
      </c>
      <c r="DB88" s="6"/>
      <c r="DC88" s="6">
        <f t="shared" si="43"/>
        <v>376</v>
      </c>
      <c r="DD88" s="6">
        <v>0</v>
      </c>
      <c r="DE88" s="6">
        <v>1605</v>
      </c>
      <c r="DF88" s="6">
        <f t="shared" si="44"/>
        <v>133</v>
      </c>
      <c r="DG88" s="6">
        <v>334</v>
      </c>
      <c r="DH88" s="6"/>
      <c r="DI88" s="6">
        <f t="shared" si="45"/>
        <v>334</v>
      </c>
      <c r="DJ88" s="6">
        <v>699</v>
      </c>
      <c r="DK88" s="6"/>
      <c r="DL88" s="6">
        <f t="shared" si="46"/>
        <v>365</v>
      </c>
      <c r="DM88" s="6">
        <v>1046</v>
      </c>
      <c r="DN88" s="6"/>
      <c r="DO88" s="6">
        <f t="shared" si="47"/>
        <v>347</v>
      </c>
    </row>
    <row r="89" spans="1:119">
      <c r="A89" s="6">
        <v>85</v>
      </c>
      <c r="B89" s="6">
        <v>1293</v>
      </c>
      <c r="C89" s="6"/>
      <c r="D89" s="6">
        <v>212</v>
      </c>
      <c r="E89" s="33" t="s">
        <v>128</v>
      </c>
      <c r="F89" s="33" t="s">
        <v>128</v>
      </c>
      <c r="G89" s="33" t="s">
        <v>128</v>
      </c>
      <c r="H89" s="33" t="s">
        <v>128</v>
      </c>
      <c r="I89" s="33" t="s">
        <v>128</v>
      </c>
      <c r="J89" s="33" t="s">
        <v>128</v>
      </c>
      <c r="K89" s="33" t="s">
        <v>128</v>
      </c>
      <c r="L89" s="33" t="s">
        <v>128</v>
      </c>
      <c r="M89" s="33" t="s">
        <v>128</v>
      </c>
      <c r="N89" s="33" t="s">
        <v>128</v>
      </c>
      <c r="O89" s="33" t="s">
        <v>128</v>
      </c>
      <c r="P89" s="33" t="s">
        <v>128</v>
      </c>
      <c r="Q89" s="33" t="s">
        <v>128</v>
      </c>
      <c r="R89" s="33" t="s">
        <v>128</v>
      </c>
      <c r="S89" s="148" t="s">
        <v>307</v>
      </c>
      <c r="T89" s="33" t="s">
        <v>307</v>
      </c>
      <c r="U89" s="33" t="s">
        <v>307</v>
      </c>
      <c r="V89" s="33" t="s">
        <v>307</v>
      </c>
      <c r="W89" s="33" t="s">
        <v>307</v>
      </c>
      <c r="X89" s="33" t="s">
        <v>307</v>
      </c>
      <c r="Y89" s="33" t="s">
        <v>307</v>
      </c>
      <c r="Z89" s="33" t="s">
        <v>307</v>
      </c>
      <c r="AA89" s="33" t="s">
        <v>307</v>
      </c>
      <c r="AB89" s="33" t="s">
        <v>307</v>
      </c>
      <c r="AC89" s="33" t="s">
        <v>307</v>
      </c>
      <c r="AD89" s="6"/>
      <c r="AE89" s="6"/>
      <c r="AF89" s="35"/>
      <c r="AG89" s="6"/>
      <c r="AH89" s="6"/>
      <c r="AI89" s="35"/>
      <c r="AJ89" s="35"/>
      <c r="AK89" s="35"/>
      <c r="AL89" s="35"/>
      <c r="AM89" s="6">
        <v>155</v>
      </c>
      <c r="AN89" s="6">
        <v>1560</v>
      </c>
      <c r="AO89" s="35">
        <f t="shared" si="24"/>
        <v>422</v>
      </c>
      <c r="AP89" s="6">
        <v>526</v>
      </c>
      <c r="AQ89" s="6"/>
      <c r="AR89" s="34">
        <f t="shared" si="25"/>
        <v>371</v>
      </c>
      <c r="AS89" s="35">
        <v>905</v>
      </c>
      <c r="AT89" s="35"/>
      <c r="AU89" s="35">
        <f t="shared" si="26"/>
        <v>379</v>
      </c>
      <c r="AV89" s="6">
        <v>1281</v>
      </c>
      <c r="AW89" s="6"/>
      <c r="AX89" s="35">
        <f t="shared" si="27"/>
        <v>376</v>
      </c>
      <c r="AY89" s="6">
        <v>139</v>
      </c>
      <c r="AZ89" s="6">
        <v>1512</v>
      </c>
      <c r="BA89" s="35">
        <f t="shared" si="28"/>
        <v>370</v>
      </c>
      <c r="BB89" s="35">
        <v>490</v>
      </c>
      <c r="BC89" s="35"/>
      <c r="BD89" s="35">
        <f t="shared" si="29"/>
        <v>351</v>
      </c>
      <c r="BE89" s="6"/>
      <c r="BF89" s="6"/>
      <c r="BG89" s="35"/>
      <c r="BH89" s="6">
        <v>859</v>
      </c>
      <c r="BI89" s="6"/>
      <c r="BJ89" s="35">
        <f t="shared" si="30"/>
        <v>369</v>
      </c>
      <c r="BK89" s="6">
        <v>1225</v>
      </c>
      <c r="BL89" s="6"/>
      <c r="BM89" s="6">
        <f t="shared" si="31"/>
        <v>366</v>
      </c>
      <c r="BN89" s="6">
        <v>56</v>
      </c>
      <c r="BO89" s="6">
        <v>1560</v>
      </c>
      <c r="BP89" s="6">
        <f t="shared" si="32"/>
        <v>391</v>
      </c>
      <c r="BQ89" s="6">
        <v>431</v>
      </c>
      <c r="BR89" s="6"/>
      <c r="BS89" s="35">
        <f t="shared" si="33"/>
        <v>375</v>
      </c>
      <c r="BT89" s="6">
        <v>818</v>
      </c>
      <c r="BU89" s="6"/>
      <c r="BV89" s="6">
        <f t="shared" si="34"/>
        <v>387</v>
      </c>
      <c r="BW89" s="6">
        <v>1185</v>
      </c>
      <c r="BX89" s="6"/>
      <c r="BY89" s="35">
        <f t="shared" si="35"/>
        <v>367</v>
      </c>
      <c r="BZ89" s="35"/>
      <c r="CA89" s="6"/>
      <c r="CB89" s="6"/>
      <c r="CC89" s="6">
        <v>0</v>
      </c>
      <c r="CD89" s="6">
        <v>1328</v>
      </c>
      <c r="CE89" s="6">
        <f t="shared" si="36"/>
        <v>143</v>
      </c>
      <c r="CF89" s="6">
        <v>339</v>
      </c>
      <c r="CG89" s="6"/>
      <c r="CH89" s="6">
        <f t="shared" si="37"/>
        <v>339</v>
      </c>
      <c r="CI89" s="6">
        <v>722</v>
      </c>
      <c r="CJ89" s="6"/>
      <c r="CK89" s="6">
        <f t="shared" si="38"/>
        <v>383</v>
      </c>
      <c r="CL89" s="6">
        <v>1103</v>
      </c>
      <c r="CM89" s="6"/>
      <c r="CN89" s="6">
        <f t="shared" si="39"/>
        <v>381</v>
      </c>
      <c r="CO89" s="6">
        <v>1480</v>
      </c>
      <c r="CP89" s="6"/>
      <c r="CQ89" s="6">
        <f t="shared" si="40"/>
        <v>377</v>
      </c>
      <c r="CR89" s="6">
        <v>281</v>
      </c>
      <c r="CS89" s="6">
        <v>1560</v>
      </c>
      <c r="CT89" s="6">
        <f t="shared" si="41"/>
        <v>361</v>
      </c>
      <c r="CU89" s="6"/>
      <c r="CV89" s="6"/>
      <c r="CW89" s="6"/>
      <c r="CX89" s="6">
        <v>675</v>
      </c>
      <c r="CY89" s="6"/>
      <c r="CZ89" s="6">
        <f t="shared" si="42"/>
        <v>394</v>
      </c>
      <c r="DA89" s="6">
        <v>1062</v>
      </c>
      <c r="DB89" s="6"/>
      <c r="DC89" s="6">
        <f t="shared" si="43"/>
        <v>387</v>
      </c>
      <c r="DD89" s="6">
        <v>1456</v>
      </c>
      <c r="DE89" s="6"/>
      <c r="DF89" s="6">
        <f t="shared" si="44"/>
        <v>394</v>
      </c>
      <c r="DG89" s="6">
        <v>290</v>
      </c>
      <c r="DH89" s="6">
        <v>1560</v>
      </c>
      <c r="DI89" s="6">
        <f t="shared" si="45"/>
        <v>394</v>
      </c>
      <c r="DJ89" s="6">
        <v>682</v>
      </c>
      <c r="DK89" s="6"/>
      <c r="DL89" s="6">
        <f t="shared" si="46"/>
        <v>392</v>
      </c>
      <c r="DM89" s="6">
        <v>1034</v>
      </c>
      <c r="DN89" s="6"/>
      <c r="DO89" s="6">
        <f t="shared" si="47"/>
        <v>352</v>
      </c>
    </row>
    <row r="90" spans="1:119">
      <c r="A90" s="6">
        <v>86</v>
      </c>
      <c r="B90" s="6">
        <v>1242</v>
      </c>
      <c r="C90" s="6"/>
      <c r="D90" s="6">
        <v>207</v>
      </c>
      <c r="E90" s="33" t="s">
        <v>307</v>
      </c>
      <c r="F90" s="33" t="s">
        <v>307</v>
      </c>
      <c r="G90" s="33" t="s">
        <v>307</v>
      </c>
      <c r="H90" s="33" t="s">
        <v>307</v>
      </c>
      <c r="I90" s="33" t="s">
        <v>307</v>
      </c>
      <c r="J90" s="33" t="s">
        <v>307</v>
      </c>
      <c r="K90" s="33" t="s">
        <v>307</v>
      </c>
      <c r="L90" s="33" t="s">
        <v>307</v>
      </c>
      <c r="M90" s="33" t="s">
        <v>307</v>
      </c>
      <c r="N90" s="33" t="s">
        <v>307</v>
      </c>
      <c r="O90" s="33" t="s">
        <v>307</v>
      </c>
      <c r="P90" s="33" t="s">
        <v>307</v>
      </c>
      <c r="Q90" s="33" t="s">
        <v>307</v>
      </c>
      <c r="R90" s="33" t="s">
        <v>307</v>
      </c>
      <c r="S90" s="33" t="s">
        <v>307</v>
      </c>
      <c r="T90" s="33" t="s">
        <v>307</v>
      </c>
      <c r="U90" s="33" t="s">
        <v>307</v>
      </c>
      <c r="V90" s="33" t="s">
        <v>307</v>
      </c>
      <c r="W90" s="33" t="s">
        <v>307</v>
      </c>
      <c r="X90" s="148" t="s">
        <v>307</v>
      </c>
      <c r="Y90" s="33" t="s">
        <v>307</v>
      </c>
      <c r="Z90" s="33" t="s">
        <v>307</v>
      </c>
      <c r="AA90" s="33" t="s">
        <v>307</v>
      </c>
      <c r="AB90" s="33" t="s">
        <v>307</v>
      </c>
      <c r="AC90" s="33" t="s">
        <v>307</v>
      </c>
      <c r="AD90" s="6"/>
      <c r="AE90" s="6"/>
      <c r="AF90" s="35"/>
      <c r="AG90" s="6"/>
      <c r="AH90" s="6"/>
      <c r="AI90" s="35"/>
      <c r="AJ90" s="35"/>
      <c r="AK90" s="35"/>
      <c r="AL90" s="35"/>
      <c r="AM90" s="6">
        <v>80</v>
      </c>
      <c r="AN90" s="6">
        <v>1560</v>
      </c>
      <c r="AO90" s="35">
        <f t="shared" si="24"/>
        <v>398</v>
      </c>
      <c r="AP90" s="6">
        <v>460</v>
      </c>
      <c r="AQ90" s="6"/>
      <c r="AR90" s="34">
        <f t="shared" si="25"/>
        <v>380</v>
      </c>
      <c r="AS90" s="35">
        <v>91</v>
      </c>
      <c r="AT90" s="35">
        <v>739</v>
      </c>
      <c r="AU90" s="35">
        <f t="shared" si="26"/>
        <v>370</v>
      </c>
      <c r="AV90" s="6">
        <v>478</v>
      </c>
      <c r="AW90" s="6"/>
      <c r="AX90" s="35">
        <f t="shared" si="27"/>
        <v>387</v>
      </c>
      <c r="AY90" s="6">
        <v>867</v>
      </c>
      <c r="AZ90" s="6"/>
      <c r="BA90" s="35">
        <f t="shared" si="28"/>
        <v>389</v>
      </c>
      <c r="BB90" s="35">
        <v>261</v>
      </c>
      <c r="BC90" s="35">
        <v>982</v>
      </c>
      <c r="BD90" s="35">
        <f t="shared" si="29"/>
        <v>376</v>
      </c>
      <c r="BE90" s="6"/>
      <c r="BF90" s="6"/>
      <c r="BG90" s="35"/>
      <c r="BH90" s="6">
        <v>650</v>
      </c>
      <c r="BI90" s="6"/>
      <c r="BJ90" s="35">
        <f t="shared" si="30"/>
        <v>389</v>
      </c>
      <c r="BK90" s="6">
        <v>300</v>
      </c>
      <c r="BL90" s="6">
        <v>725</v>
      </c>
      <c r="BM90" s="6">
        <f t="shared" si="31"/>
        <v>375</v>
      </c>
      <c r="BN90" s="6">
        <v>691</v>
      </c>
      <c r="BO90" s="6"/>
      <c r="BP90" s="6">
        <f t="shared" si="32"/>
        <v>391</v>
      </c>
      <c r="BQ90" s="6">
        <v>1079</v>
      </c>
      <c r="BR90" s="6"/>
      <c r="BS90" s="35">
        <f t="shared" si="33"/>
        <v>388</v>
      </c>
      <c r="BT90" s="6">
        <v>1458</v>
      </c>
      <c r="BU90" s="6"/>
      <c r="BV90" s="6">
        <f t="shared" si="34"/>
        <v>379</v>
      </c>
      <c r="BW90" s="6">
        <v>252</v>
      </c>
      <c r="BX90" s="6">
        <v>1560</v>
      </c>
      <c r="BY90" s="35">
        <f t="shared" si="35"/>
        <v>354</v>
      </c>
      <c r="BZ90" s="6"/>
      <c r="CA90" s="6"/>
      <c r="CB90" s="6"/>
      <c r="CC90" s="6">
        <v>648</v>
      </c>
      <c r="CD90" s="6"/>
      <c r="CE90" s="6">
        <f t="shared" si="36"/>
        <v>396</v>
      </c>
      <c r="CF90" s="6">
        <v>1037</v>
      </c>
      <c r="CG90" s="6"/>
      <c r="CH90" s="6">
        <f t="shared" si="37"/>
        <v>389</v>
      </c>
      <c r="CI90" s="6">
        <v>1427</v>
      </c>
      <c r="CJ90" s="6"/>
      <c r="CK90" s="6">
        <f t="shared" si="38"/>
        <v>390</v>
      </c>
      <c r="CL90" s="6">
        <v>246</v>
      </c>
      <c r="CM90" s="6">
        <v>1560</v>
      </c>
      <c r="CN90" s="6">
        <f t="shared" si="39"/>
        <v>379</v>
      </c>
      <c r="CO90" s="6">
        <v>619</v>
      </c>
      <c r="CP90" s="6"/>
      <c r="CQ90" s="6">
        <f t="shared" si="40"/>
        <v>373</v>
      </c>
      <c r="CR90" s="6">
        <v>0</v>
      </c>
      <c r="CS90" s="6">
        <v>739</v>
      </c>
      <c r="CT90" s="6">
        <f t="shared" si="41"/>
        <v>120</v>
      </c>
      <c r="CU90" s="6"/>
      <c r="CV90" s="6"/>
      <c r="CW90" s="6"/>
      <c r="CX90" s="6">
        <v>351</v>
      </c>
      <c r="CY90" s="6"/>
      <c r="CZ90" s="6">
        <f t="shared" si="42"/>
        <v>351</v>
      </c>
      <c r="DA90" s="6">
        <v>192</v>
      </c>
      <c r="DB90" s="6">
        <v>525</v>
      </c>
      <c r="DC90" s="6">
        <f t="shared" si="43"/>
        <v>366</v>
      </c>
      <c r="DD90" s="6">
        <v>47</v>
      </c>
      <c r="DE90" s="6">
        <v>480</v>
      </c>
      <c r="DF90" s="6">
        <f t="shared" si="44"/>
        <v>335</v>
      </c>
      <c r="DG90" s="6">
        <v>427</v>
      </c>
      <c r="DH90" s="6"/>
      <c r="DI90" s="6">
        <f t="shared" si="45"/>
        <v>380</v>
      </c>
      <c r="DJ90" s="6">
        <v>103</v>
      </c>
      <c r="DK90" s="6">
        <v>672</v>
      </c>
      <c r="DL90" s="6">
        <f t="shared" si="46"/>
        <v>348</v>
      </c>
      <c r="DM90" s="6">
        <v>446</v>
      </c>
      <c r="DN90" s="6"/>
      <c r="DO90" s="6">
        <f t="shared" si="47"/>
        <v>343</v>
      </c>
    </row>
    <row r="91" spans="1:119">
      <c r="A91" s="6">
        <v>87</v>
      </c>
      <c r="B91" s="6">
        <v>1435</v>
      </c>
      <c r="C91" s="6"/>
      <c r="D91" s="6">
        <v>208</v>
      </c>
      <c r="E91" s="33" t="s">
        <v>307</v>
      </c>
      <c r="F91" s="33" t="s">
        <v>307</v>
      </c>
      <c r="G91" s="33" t="s">
        <v>307</v>
      </c>
      <c r="H91" s="33" t="s">
        <v>307</v>
      </c>
      <c r="I91" s="33" t="s">
        <v>307</v>
      </c>
      <c r="J91" s="33" t="s">
        <v>307</v>
      </c>
      <c r="K91" s="33" t="s">
        <v>307</v>
      </c>
      <c r="L91" s="33" t="s">
        <v>307</v>
      </c>
      <c r="M91" s="33" t="s">
        <v>307</v>
      </c>
      <c r="N91" s="33" t="s">
        <v>307</v>
      </c>
      <c r="O91" s="33" t="s">
        <v>307</v>
      </c>
      <c r="P91" s="33" t="s">
        <v>307</v>
      </c>
      <c r="Q91" s="33" t="s">
        <v>307</v>
      </c>
      <c r="R91" s="33" t="s">
        <v>307</v>
      </c>
      <c r="S91" s="148" t="s">
        <v>307</v>
      </c>
      <c r="T91" s="33" t="s">
        <v>307</v>
      </c>
      <c r="U91" s="33" t="s">
        <v>307</v>
      </c>
      <c r="V91" s="33" t="s">
        <v>307</v>
      </c>
      <c r="W91" s="33" t="s">
        <v>307</v>
      </c>
      <c r="X91" s="33" t="s">
        <v>307</v>
      </c>
      <c r="Y91" s="33" t="s">
        <v>307</v>
      </c>
      <c r="Z91" s="33" t="s">
        <v>307</v>
      </c>
      <c r="AA91" s="33" t="s">
        <v>307</v>
      </c>
      <c r="AB91" s="33" t="s">
        <v>307</v>
      </c>
      <c r="AC91" s="33" t="s">
        <v>307</v>
      </c>
      <c r="AD91" s="6"/>
      <c r="AE91" s="6"/>
      <c r="AF91" s="35"/>
      <c r="AG91" s="6"/>
      <c r="AH91" s="6"/>
      <c r="AI91" s="35"/>
      <c r="AJ91" s="35"/>
      <c r="AK91" s="35"/>
      <c r="AL91" s="35"/>
      <c r="AM91" s="6">
        <v>286</v>
      </c>
      <c r="AN91" s="6">
        <v>1560</v>
      </c>
      <c r="AO91" s="35">
        <f t="shared" si="24"/>
        <v>411</v>
      </c>
      <c r="AP91" s="6">
        <v>674</v>
      </c>
      <c r="AQ91" s="6"/>
      <c r="AR91" s="34">
        <f t="shared" si="25"/>
        <v>388</v>
      </c>
      <c r="AS91" s="35">
        <v>1064</v>
      </c>
      <c r="AT91" s="35"/>
      <c r="AU91" s="35">
        <f t="shared" si="26"/>
        <v>390</v>
      </c>
      <c r="AV91" s="6">
        <v>1453</v>
      </c>
      <c r="AW91" s="6"/>
      <c r="AX91" s="35">
        <f t="shared" si="27"/>
        <v>389</v>
      </c>
      <c r="AY91" s="6">
        <v>283</v>
      </c>
      <c r="AZ91" s="6">
        <v>1560</v>
      </c>
      <c r="BA91" s="35">
        <f t="shared" si="28"/>
        <v>390</v>
      </c>
      <c r="BB91" s="35">
        <v>662</v>
      </c>
      <c r="BC91" s="35"/>
      <c r="BD91" s="35">
        <f t="shared" si="29"/>
        <v>379</v>
      </c>
      <c r="BE91" s="6"/>
      <c r="BF91" s="6"/>
      <c r="BG91" s="35"/>
      <c r="BH91" s="6">
        <v>1045</v>
      </c>
      <c r="BI91" s="6"/>
      <c r="BJ91" s="35">
        <f t="shared" si="30"/>
        <v>383</v>
      </c>
      <c r="BK91" s="6">
        <v>1434</v>
      </c>
      <c r="BL91" s="6"/>
      <c r="BM91" s="6">
        <f t="shared" si="31"/>
        <v>389</v>
      </c>
      <c r="BN91" s="6">
        <v>263</v>
      </c>
      <c r="BO91" s="6">
        <v>1560</v>
      </c>
      <c r="BP91" s="6">
        <f t="shared" si="32"/>
        <v>389</v>
      </c>
      <c r="BQ91" s="6">
        <v>630</v>
      </c>
      <c r="BR91" s="6"/>
      <c r="BS91" s="35">
        <f t="shared" si="33"/>
        <v>367</v>
      </c>
      <c r="BT91" s="6">
        <v>998</v>
      </c>
      <c r="BU91" s="6"/>
      <c r="BV91" s="6">
        <f t="shared" si="34"/>
        <v>368</v>
      </c>
      <c r="BW91" s="6">
        <v>1361</v>
      </c>
      <c r="BX91" s="6"/>
      <c r="BY91" s="35">
        <f t="shared" si="35"/>
        <v>363</v>
      </c>
      <c r="BZ91" s="6"/>
      <c r="CA91" s="6"/>
      <c r="CB91" s="6"/>
      <c r="CC91" s="6">
        <v>1720</v>
      </c>
      <c r="CD91" s="6"/>
      <c r="CE91" s="6">
        <f t="shared" si="36"/>
        <v>359</v>
      </c>
      <c r="CF91" s="6">
        <v>354</v>
      </c>
      <c r="CG91" s="6">
        <v>1720</v>
      </c>
      <c r="CH91" s="6">
        <f t="shared" si="37"/>
        <v>354</v>
      </c>
      <c r="CI91" s="6">
        <v>750</v>
      </c>
      <c r="CJ91" s="6"/>
      <c r="CK91" s="6">
        <f t="shared" si="38"/>
        <v>396</v>
      </c>
      <c r="CL91" s="6">
        <v>1131</v>
      </c>
      <c r="CM91" s="6"/>
      <c r="CN91" s="6">
        <f t="shared" si="39"/>
        <v>381</v>
      </c>
      <c r="CO91" s="6">
        <v>1514</v>
      </c>
      <c r="CP91" s="6"/>
      <c r="CQ91" s="6">
        <f t="shared" si="40"/>
        <v>383</v>
      </c>
      <c r="CR91" s="6">
        <v>318</v>
      </c>
      <c r="CS91" s="6">
        <v>1560</v>
      </c>
      <c r="CT91" s="6">
        <f t="shared" si="41"/>
        <v>364</v>
      </c>
      <c r="CU91" s="6"/>
      <c r="CV91" s="6"/>
      <c r="CW91" s="6"/>
      <c r="CX91" s="6">
        <v>678</v>
      </c>
      <c r="CY91" s="6"/>
      <c r="CZ91" s="6">
        <f t="shared" si="42"/>
        <v>360</v>
      </c>
      <c r="DA91" s="6">
        <v>1051</v>
      </c>
      <c r="DB91" s="6"/>
      <c r="DC91" s="6">
        <f t="shared" si="43"/>
        <v>373</v>
      </c>
      <c r="DD91" s="6">
        <v>1424</v>
      </c>
      <c r="DE91" s="6"/>
      <c r="DF91" s="6">
        <f t="shared" si="44"/>
        <v>373</v>
      </c>
      <c r="DG91" s="6">
        <v>245</v>
      </c>
      <c r="DH91" s="6">
        <v>1560</v>
      </c>
      <c r="DI91" s="6">
        <f t="shared" si="45"/>
        <v>381</v>
      </c>
      <c r="DJ91" s="6">
        <v>631</v>
      </c>
      <c r="DK91" s="6"/>
      <c r="DL91" s="6">
        <f t="shared" si="46"/>
        <v>386</v>
      </c>
      <c r="DM91" s="6">
        <v>985</v>
      </c>
      <c r="DN91" s="6"/>
      <c r="DO91" s="6">
        <f t="shared" si="47"/>
        <v>354</v>
      </c>
    </row>
    <row r="92" spans="1:119">
      <c r="A92" s="6">
        <v>88</v>
      </c>
      <c r="B92" s="6">
        <v>595</v>
      </c>
      <c r="C92" s="6"/>
      <c r="D92" s="6">
        <v>211</v>
      </c>
      <c r="E92" s="33" t="s">
        <v>128</v>
      </c>
      <c r="F92" s="33" t="s">
        <v>128</v>
      </c>
      <c r="G92" s="33" t="s">
        <v>128</v>
      </c>
      <c r="H92" s="33" t="s">
        <v>128</v>
      </c>
      <c r="I92" s="33" t="s">
        <v>128</v>
      </c>
      <c r="J92" s="33" t="s">
        <v>128</v>
      </c>
      <c r="K92" s="33" t="s">
        <v>128</v>
      </c>
      <c r="L92" s="33" t="s">
        <v>128</v>
      </c>
      <c r="M92" s="33" t="s">
        <v>128</v>
      </c>
      <c r="N92" s="33" t="s">
        <v>128</v>
      </c>
      <c r="O92" s="33" t="s">
        <v>128</v>
      </c>
      <c r="P92" s="33" t="s">
        <v>128</v>
      </c>
      <c r="Q92" s="148" t="s">
        <v>307</v>
      </c>
      <c r="R92" s="33" t="s">
        <v>307</v>
      </c>
      <c r="S92" s="33" t="s">
        <v>307</v>
      </c>
      <c r="T92" s="33" t="s">
        <v>307</v>
      </c>
      <c r="U92" s="33" t="s">
        <v>307</v>
      </c>
      <c r="V92" s="33" t="s">
        <v>307</v>
      </c>
      <c r="W92" s="33" t="s">
        <v>307</v>
      </c>
      <c r="X92" s="33" t="s">
        <v>307</v>
      </c>
      <c r="Y92" s="33" t="s">
        <v>307</v>
      </c>
      <c r="Z92" s="33" t="s">
        <v>307</v>
      </c>
      <c r="AA92" s="33" t="s">
        <v>307</v>
      </c>
      <c r="AB92" s="33" t="s">
        <v>307</v>
      </c>
      <c r="AC92" s="33" t="s">
        <v>307</v>
      </c>
      <c r="AD92" s="6"/>
      <c r="AE92" s="6"/>
      <c r="AF92" s="35"/>
      <c r="AG92" s="6"/>
      <c r="AH92" s="6"/>
      <c r="AI92" s="35"/>
      <c r="AJ92" s="35"/>
      <c r="AK92" s="35"/>
      <c r="AL92" s="35"/>
      <c r="AM92" s="6">
        <v>1011</v>
      </c>
      <c r="AN92" s="6"/>
      <c r="AO92" s="35">
        <f t="shared" si="24"/>
        <v>416</v>
      </c>
      <c r="AP92" s="6">
        <v>1396</v>
      </c>
      <c r="AQ92" s="6"/>
      <c r="AR92" s="34">
        <f t="shared" si="25"/>
        <v>385</v>
      </c>
      <c r="AS92" s="35">
        <v>223</v>
      </c>
      <c r="AT92" s="35">
        <v>1549</v>
      </c>
      <c r="AU92" s="35">
        <f t="shared" si="26"/>
        <v>376</v>
      </c>
      <c r="AV92" s="6">
        <v>618</v>
      </c>
      <c r="AW92" s="6"/>
      <c r="AX92" s="35">
        <f t="shared" si="27"/>
        <v>395</v>
      </c>
      <c r="AY92" s="6">
        <v>1013</v>
      </c>
      <c r="AZ92" s="6"/>
      <c r="BA92" s="35">
        <f t="shared" si="28"/>
        <v>395</v>
      </c>
      <c r="BB92" s="35">
        <v>1389</v>
      </c>
      <c r="BC92" s="35"/>
      <c r="BD92" s="35">
        <f t="shared" si="29"/>
        <v>376</v>
      </c>
      <c r="BE92" s="6"/>
      <c r="BF92" s="6"/>
      <c r="BG92" s="35"/>
      <c r="BH92" s="6">
        <v>217</v>
      </c>
      <c r="BI92" s="6">
        <v>1560</v>
      </c>
      <c r="BJ92" s="35">
        <f t="shared" si="30"/>
        <v>388</v>
      </c>
      <c r="BK92" s="6">
        <v>593</v>
      </c>
      <c r="BL92" s="6"/>
      <c r="BM92" s="6">
        <f t="shared" si="31"/>
        <v>376</v>
      </c>
      <c r="BN92" s="6">
        <v>988</v>
      </c>
      <c r="BO92" s="6"/>
      <c r="BP92" s="6">
        <f t="shared" si="32"/>
        <v>395</v>
      </c>
      <c r="BQ92" s="6">
        <v>1382</v>
      </c>
      <c r="BR92" s="6"/>
      <c r="BS92" s="35">
        <f t="shared" si="33"/>
        <v>394</v>
      </c>
      <c r="BT92" s="6">
        <v>0</v>
      </c>
      <c r="BU92" s="6">
        <v>1650</v>
      </c>
      <c r="BV92" s="6">
        <f t="shared" si="34"/>
        <v>268</v>
      </c>
      <c r="BW92" s="6">
        <v>356</v>
      </c>
      <c r="BX92" s="6"/>
      <c r="BY92" s="35">
        <f t="shared" si="35"/>
        <v>356</v>
      </c>
      <c r="BZ92" s="6"/>
      <c r="CA92" s="6"/>
      <c r="CB92" s="6"/>
      <c r="CC92" s="6">
        <v>749</v>
      </c>
      <c r="CD92" s="6"/>
      <c r="CE92" s="6">
        <f t="shared" si="36"/>
        <v>393</v>
      </c>
      <c r="CF92" s="6">
        <v>1145</v>
      </c>
      <c r="CG92" s="6"/>
      <c r="CH92" s="6">
        <f t="shared" si="37"/>
        <v>396</v>
      </c>
      <c r="CI92" s="6">
        <v>1544</v>
      </c>
      <c r="CJ92" s="6"/>
      <c r="CK92" s="6">
        <f t="shared" si="38"/>
        <v>399</v>
      </c>
      <c r="CL92" s="6">
        <v>368</v>
      </c>
      <c r="CM92" s="6">
        <v>1560</v>
      </c>
      <c r="CN92" s="6">
        <f t="shared" si="39"/>
        <v>384</v>
      </c>
      <c r="CO92" s="6">
        <v>750</v>
      </c>
      <c r="CP92" s="6"/>
      <c r="CQ92" s="6">
        <f t="shared" si="40"/>
        <v>382</v>
      </c>
      <c r="CR92" s="6">
        <v>1116</v>
      </c>
      <c r="CS92" s="6"/>
      <c r="CT92" s="6">
        <f t="shared" si="41"/>
        <v>366</v>
      </c>
      <c r="CU92" s="6"/>
      <c r="CV92" s="6"/>
      <c r="CW92" s="6"/>
      <c r="CX92" s="6">
        <v>1508</v>
      </c>
      <c r="CY92" s="6"/>
      <c r="CZ92" s="6">
        <f t="shared" si="42"/>
        <v>392</v>
      </c>
      <c r="DA92" s="6">
        <v>321</v>
      </c>
      <c r="DB92" s="6">
        <v>1560</v>
      </c>
      <c r="DC92" s="6">
        <f t="shared" si="43"/>
        <v>373</v>
      </c>
      <c r="DD92" s="6">
        <v>708</v>
      </c>
      <c r="DE92" s="6"/>
      <c r="DF92" s="6">
        <f t="shared" si="44"/>
        <v>387</v>
      </c>
      <c r="DG92" s="6">
        <v>334</v>
      </c>
      <c r="DH92" s="6">
        <v>745</v>
      </c>
      <c r="DI92" s="6">
        <f t="shared" si="45"/>
        <v>371</v>
      </c>
      <c r="DJ92" s="6">
        <v>730</v>
      </c>
      <c r="DK92" s="6"/>
      <c r="DL92" s="6">
        <f t="shared" si="46"/>
        <v>396</v>
      </c>
      <c r="DM92" s="6">
        <v>1083</v>
      </c>
      <c r="DN92" s="6"/>
      <c r="DO92" s="6">
        <f t="shared" si="47"/>
        <v>353</v>
      </c>
    </row>
    <row r="93" spans="1:119">
      <c r="A93" s="6">
        <v>89</v>
      </c>
      <c r="B93" s="6">
        <v>1267</v>
      </c>
      <c r="C93" s="6"/>
      <c r="D93" s="6">
        <v>204</v>
      </c>
      <c r="E93" s="33" t="s">
        <v>307</v>
      </c>
      <c r="F93" s="33" t="s">
        <v>307</v>
      </c>
      <c r="G93" s="33" t="s">
        <v>307</v>
      </c>
      <c r="H93" s="33" t="s">
        <v>307</v>
      </c>
      <c r="I93" s="33" t="s">
        <v>307</v>
      </c>
      <c r="J93" s="33" t="s">
        <v>307</v>
      </c>
      <c r="K93" s="33" t="s">
        <v>307</v>
      </c>
      <c r="L93" s="33" t="s">
        <v>307</v>
      </c>
      <c r="M93" s="33" t="s">
        <v>307</v>
      </c>
      <c r="N93" s="33" t="s">
        <v>307</v>
      </c>
      <c r="O93" s="33" t="s">
        <v>307</v>
      </c>
      <c r="P93" s="33" t="s">
        <v>307</v>
      </c>
      <c r="Q93" s="33" t="s">
        <v>307</v>
      </c>
      <c r="R93" s="33" t="s">
        <v>307</v>
      </c>
      <c r="S93" s="33" t="s">
        <v>307</v>
      </c>
      <c r="T93" s="33" t="s">
        <v>307</v>
      </c>
      <c r="U93" s="33" t="s">
        <v>307</v>
      </c>
      <c r="V93" s="33" t="s">
        <v>307</v>
      </c>
      <c r="W93" s="148" t="s">
        <v>307</v>
      </c>
      <c r="X93" s="33" t="s">
        <v>307</v>
      </c>
      <c r="Y93" s="33" t="s">
        <v>307</v>
      </c>
      <c r="Z93" s="33" t="s">
        <v>307</v>
      </c>
      <c r="AA93" s="33" t="s">
        <v>307</v>
      </c>
      <c r="AB93" s="33" t="s">
        <v>307</v>
      </c>
      <c r="AC93" s="33" t="s">
        <v>307</v>
      </c>
      <c r="AD93" s="6"/>
      <c r="AE93" s="6"/>
      <c r="AF93" s="35"/>
      <c r="AG93" s="6"/>
      <c r="AH93" s="6"/>
      <c r="AI93" s="35"/>
      <c r="AJ93" s="35"/>
      <c r="AK93" s="35"/>
      <c r="AL93" s="35"/>
      <c r="AM93" s="6">
        <v>90</v>
      </c>
      <c r="AN93" s="6">
        <v>1560</v>
      </c>
      <c r="AO93" s="35">
        <f t="shared" si="24"/>
        <v>383</v>
      </c>
      <c r="AP93" s="6">
        <v>477</v>
      </c>
      <c r="AQ93" s="6"/>
      <c r="AR93" s="34">
        <f t="shared" si="25"/>
        <v>387</v>
      </c>
      <c r="AS93" s="35">
        <v>873</v>
      </c>
      <c r="AT93" s="35"/>
      <c r="AU93" s="35">
        <f t="shared" si="26"/>
        <v>396</v>
      </c>
      <c r="AV93" s="6">
        <v>1268</v>
      </c>
      <c r="AW93" s="6"/>
      <c r="AX93" s="35">
        <f t="shared" si="27"/>
        <v>395</v>
      </c>
      <c r="AY93" s="6">
        <v>92</v>
      </c>
      <c r="AZ93" s="6">
        <v>1560</v>
      </c>
      <c r="BA93" s="35">
        <f t="shared" si="28"/>
        <v>384</v>
      </c>
      <c r="BB93" s="35">
        <v>10</v>
      </c>
      <c r="BC93" s="35">
        <v>453</v>
      </c>
      <c r="BD93" s="35">
        <f t="shared" si="29"/>
        <v>371</v>
      </c>
      <c r="BE93" s="6"/>
      <c r="BF93" s="6"/>
      <c r="BG93" s="35"/>
      <c r="BH93" s="6">
        <v>393</v>
      </c>
      <c r="BI93" s="6"/>
      <c r="BJ93" s="35">
        <f t="shared" si="30"/>
        <v>383</v>
      </c>
      <c r="BK93" s="6">
        <v>786</v>
      </c>
      <c r="BL93" s="6"/>
      <c r="BM93" s="6">
        <f t="shared" si="31"/>
        <v>393</v>
      </c>
      <c r="BN93" s="6">
        <v>1186</v>
      </c>
      <c r="BO93" s="6"/>
      <c r="BP93" s="6">
        <f t="shared" si="32"/>
        <v>400</v>
      </c>
      <c r="BQ93" s="6">
        <v>21</v>
      </c>
      <c r="BR93" s="6">
        <v>1560</v>
      </c>
      <c r="BS93" s="35">
        <f t="shared" si="33"/>
        <v>395</v>
      </c>
      <c r="BT93" s="6">
        <v>406</v>
      </c>
      <c r="BU93" s="6"/>
      <c r="BV93" s="6">
        <f t="shared" si="34"/>
        <v>385</v>
      </c>
      <c r="BW93" s="6">
        <v>781</v>
      </c>
      <c r="BX93" s="6"/>
      <c r="BY93" s="35">
        <f t="shared" si="35"/>
        <v>375</v>
      </c>
      <c r="BZ93" s="6"/>
      <c r="CA93" s="6"/>
      <c r="CB93" s="6"/>
      <c r="CC93" s="6">
        <v>1177</v>
      </c>
      <c r="CD93" s="6"/>
      <c r="CE93" s="6">
        <f t="shared" si="36"/>
        <v>396</v>
      </c>
      <c r="CF93" s="6">
        <v>11</v>
      </c>
      <c r="CG93" s="6">
        <v>1560</v>
      </c>
      <c r="CH93" s="6">
        <f t="shared" si="37"/>
        <v>394</v>
      </c>
      <c r="CI93" s="6">
        <v>410</v>
      </c>
      <c r="CJ93" s="6"/>
      <c r="CK93" s="6">
        <f t="shared" si="38"/>
        <v>399</v>
      </c>
      <c r="CL93" s="6">
        <v>793</v>
      </c>
      <c r="CM93" s="6"/>
      <c r="CN93" s="6">
        <f t="shared" si="39"/>
        <v>383</v>
      </c>
      <c r="CO93" s="6">
        <v>0</v>
      </c>
      <c r="CP93" s="6">
        <v>1159</v>
      </c>
      <c r="CQ93" s="6">
        <f t="shared" si="40"/>
        <v>366</v>
      </c>
      <c r="CR93" s="6">
        <v>347</v>
      </c>
      <c r="CS93" s="6"/>
      <c r="CT93" s="6">
        <f t="shared" si="41"/>
        <v>347</v>
      </c>
      <c r="CU93" s="6"/>
      <c r="CV93" s="6"/>
      <c r="CW93" s="6"/>
      <c r="CX93" s="6">
        <v>730</v>
      </c>
      <c r="CY93" s="6"/>
      <c r="CZ93" s="6">
        <f t="shared" si="42"/>
        <v>383</v>
      </c>
      <c r="DA93" s="6">
        <v>1121</v>
      </c>
      <c r="DB93" s="6"/>
      <c r="DC93" s="6">
        <f t="shared" si="43"/>
        <v>391</v>
      </c>
      <c r="DD93" s="6">
        <v>1515</v>
      </c>
      <c r="DE93" s="6"/>
      <c r="DF93" s="6">
        <f t="shared" si="44"/>
        <v>394</v>
      </c>
      <c r="DG93" s="6">
        <v>347</v>
      </c>
      <c r="DH93" s="6">
        <v>1560</v>
      </c>
      <c r="DI93" s="6">
        <f t="shared" si="45"/>
        <v>392</v>
      </c>
      <c r="DJ93" s="6">
        <v>741</v>
      </c>
      <c r="DK93" s="6"/>
      <c r="DL93" s="6">
        <f t="shared" si="46"/>
        <v>394</v>
      </c>
      <c r="DM93" s="6">
        <v>1095</v>
      </c>
      <c r="DN93" s="6"/>
      <c r="DO93" s="6">
        <f t="shared" si="47"/>
        <v>354</v>
      </c>
    </row>
    <row r="94" spans="1:119">
      <c r="A94" s="6">
        <v>90</v>
      </c>
      <c r="B94" s="6">
        <v>1327</v>
      </c>
      <c r="C94" s="6"/>
      <c r="D94" s="6">
        <v>205</v>
      </c>
      <c r="E94" s="33" t="s">
        <v>37</v>
      </c>
      <c r="F94" s="33" t="s">
        <v>37</v>
      </c>
      <c r="G94" s="33" t="s">
        <v>37</v>
      </c>
      <c r="H94" s="33" t="s">
        <v>37</v>
      </c>
      <c r="I94" s="33" t="s">
        <v>37</v>
      </c>
      <c r="J94" s="33" t="s">
        <v>37</v>
      </c>
      <c r="K94" s="33" t="s">
        <v>37</v>
      </c>
      <c r="L94" s="33" t="s">
        <v>37</v>
      </c>
      <c r="M94" s="33" t="s">
        <v>37</v>
      </c>
      <c r="N94" s="33" t="s">
        <v>37</v>
      </c>
      <c r="O94" s="33" t="s">
        <v>37</v>
      </c>
      <c r="P94" s="33" t="s">
        <v>37</v>
      </c>
      <c r="Q94" s="33" t="s">
        <v>37</v>
      </c>
      <c r="R94" s="33" t="s">
        <v>37</v>
      </c>
      <c r="S94" s="33" t="s">
        <v>37</v>
      </c>
      <c r="T94" s="148" t="s">
        <v>37</v>
      </c>
      <c r="U94" s="33" t="s">
        <v>37</v>
      </c>
      <c r="V94" s="33" t="s">
        <v>37</v>
      </c>
      <c r="W94" s="33" t="s">
        <v>37</v>
      </c>
      <c r="X94" s="33" t="s">
        <v>37</v>
      </c>
      <c r="Y94" s="33" t="s">
        <v>37</v>
      </c>
      <c r="Z94" s="33" t="s">
        <v>37</v>
      </c>
      <c r="AA94" s="33" t="s">
        <v>37</v>
      </c>
      <c r="AB94" s="33" t="s">
        <v>37</v>
      </c>
      <c r="AC94" s="33" t="s">
        <v>37</v>
      </c>
      <c r="AD94" s="6"/>
      <c r="AE94" s="6"/>
      <c r="AF94" s="35"/>
      <c r="AG94" s="6"/>
      <c r="AH94" s="6"/>
      <c r="AI94" s="35"/>
      <c r="AJ94" s="35"/>
      <c r="AK94" s="35"/>
      <c r="AL94" s="35"/>
      <c r="AM94" s="6">
        <v>159</v>
      </c>
      <c r="AN94" s="6">
        <v>1560</v>
      </c>
      <c r="AO94" s="35">
        <f t="shared" si="24"/>
        <v>392</v>
      </c>
      <c r="AP94" s="6">
        <v>531</v>
      </c>
      <c r="AQ94" s="6"/>
      <c r="AR94" s="34">
        <f t="shared" si="25"/>
        <v>372</v>
      </c>
      <c r="AS94" s="35">
        <v>912</v>
      </c>
      <c r="AT94" s="35"/>
      <c r="AU94" s="35">
        <f t="shared" si="26"/>
        <v>381</v>
      </c>
      <c r="AV94" s="6">
        <v>1293</v>
      </c>
      <c r="AW94" s="6"/>
      <c r="AX94" s="35">
        <f t="shared" si="27"/>
        <v>381</v>
      </c>
      <c r="AY94" s="6">
        <v>113</v>
      </c>
      <c r="AZ94" s="6">
        <v>1560</v>
      </c>
      <c r="BA94" s="35">
        <f t="shared" si="28"/>
        <v>380</v>
      </c>
      <c r="BB94" s="35">
        <v>460</v>
      </c>
      <c r="BC94" s="35"/>
      <c r="BD94" s="35">
        <f t="shared" si="29"/>
        <v>347</v>
      </c>
      <c r="BE94" s="6"/>
      <c r="BF94" s="6"/>
      <c r="BG94" s="35"/>
      <c r="BH94" s="6">
        <v>827</v>
      </c>
      <c r="BI94" s="6"/>
      <c r="BJ94" s="35">
        <f t="shared" si="30"/>
        <v>367</v>
      </c>
      <c r="BK94" s="6">
        <v>1190</v>
      </c>
      <c r="BL94" s="6"/>
      <c r="BM94" s="6">
        <f t="shared" si="31"/>
        <v>363</v>
      </c>
      <c r="BN94" s="6">
        <v>1562</v>
      </c>
      <c r="BO94" s="6"/>
      <c r="BP94" s="6">
        <f t="shared" si="32"/>
        <v>372</v>
      </c>
      <c r="BQ94" s="6">
        <v>348</v>
      </c>
      <c r="BR94" s="6">
        <v>1565</v>
      </c>
      <c r="BS94" s="35">
        <f t="shared" si="33"/>
        <v>351</v>
      </c>
      <c r="BT94" s="6">
        <v>701</v>
      </c>
      <c r="BU94" s="6"/>
      <c r="BV94" s="6">
        <f t="shared" si="34"/>
        <v>353</v>
      </c>
      <c r="BW94" s="6">
        <v>1044</v>
      </c>
      <c r="BX94" s="6"/>
      <c r="BY94" s="35">
        <f t="shared" si="35"/>
        <v>343</v>
      </c>
      <c r="BZ94" s="6"/>
      <c r="CA94" s="6"/>
      <c r="CB94" s="6"/>
      <c r="CC94" s="6">
        <v>1419</v>
      </c>
      <c r="CD94" s="6"/>
      <c r="CE94" s="6">
        <f t="shared" si="36"/>
        <v>375</v>
      </c>
      <c r="CF94" s="6">
        <v>0</v>
      </c>
      <c r="CG94" s="6">
        <v>1591</v>
      </c>
      <c r="CH94" s="6">
        <f t="shared" si="37"/>
        <v>172</v>
      </c>
      <c r="CI94" s="6">
        <v>369</v>
      </c>
      <c r="CJ94" s="6"/>
      <c r="CK94" s="6">
        <f t="shared" si="38"/>
        <v>369</v>
      </c>
      <c r="CL94" s="6">
        <v>739</v>
      </c>
      <c r="CM94" s="6"/>
      <c r="CN94" s="6">
        <f t="shared" si="39"/>
        <v>370</v>
      </c>
      <c r="CO94" s="6">
        <v>1117</v>
      </c>
      <c r="CP94" s="6"/>
      <c r="CQ94" s="6">
        <f t="shared" si="40"/>
        <v>378</v>
      </c>
      <c r="CR94" s="6">
        <v>1474</v>
      </c>
      <c r="CS94" s="6"/>
      <c r="CT94" s="6">
        <f t="shared" si="41"/>
        <v>357</v>
      </c>
      <c r="CU94" s="6"/>
      <c r="CV94" s="6"/>
      <c r="CW94" s="6"/>
      <c r="CX94" s="6">
        <v>285</v>
      </c>
      <c r="CY94" s="6">
        <v>1560</v>
      </c>
      <c r="CZ94" s="6">
        <f t="shared" si="42"/>
        <v>371</v>
      </c>
      <c r="DA94" s="6">
        <v>662</v>
      </c>
      <c r="DB94" s="6"/>
      <c r="DC94" s="6">
        <f t="shared" si="43"/>
        <v>377</v>
      </c>
      <c r="DD94" s="6">
        <v>810</v>
      </c>
      <c r="DE94" s="6"/>
      <c r="DF94" s="6">
        <f t="shared" si="44"/>
        <v>148</v>
      </c>
      <c r="DG94" s="6">
        <v>279</v>
      </c>
      <c r="DH94" s="6">
        <v>810</v>
      </c>
      <c r="DI94" s="6">
        <f t="shared" si="45"/>
        <v>279</v>
      </c>
      <c r="DJ94" s="6">
        <v>658</v>
      </c>
      <c r="DK94" s="6"/>
      <c r="DL94" s="6">
        <f t="shared" si="46"/>
        <v>379</v>
      </c>
      <c r="DM94" s="6">
        <v>1005</v>
      </c>
      <c r="DN94" s="6"/>
      <c r="DO94" s="6">
        <f t="shared" si="47"/>
        <v>347</v>
      </c>
    </row>
    <row r="95" spans="1:119">
      <c r="A95" s="6">
        <v>91</v>
      </c>
      <c r="B95" s="6">
        <v>1347</v>
      </c>
      <c r="C95" s="6"/>
      <c r="D95" s="6">
        <v>203</v>
      </c>
      <c r="E95" s="33" t="s">
        <v>37</v>
      </c>
      <c r="F95" s="33" t="s">
        <v>37</v>
      </c>
      <c r="G95" s="33" t="s">
        <v>37</v>
      </c>
      <c r="H95" s="33" t="s">
        <v>37</v>
      </c>
      <c r="I95" s="33" t="s">
        <v>37</v>
      </c>
      <c r="J95" s="33" t="s">
        <v>37</v>
      </c>
      <c r="K95" s="33" t="s">
        <v>37</v>
      </c>
      <c r="L95" s="33" t="s">
        <v>37</v>
      </c>
      <c r="M95" s="33" t="s">
        <v>37</v>
      </c>
      <c r="N95" s="33" t="s">
        <v>37</v>
      </c>
      <c r="O95" s="33" t="s">
        <v>37</v>
      </c>
      <c r="P95" s="33" t="s">
        <v>37</v>
      </c>
      <c r="Q95" s="33" t="s">
        <v>37</v>
      </c>
      <c r="R95" s="33" t="s">
        <v>37</v>
      </c>
      <c r="S95" s="33" t="s">
        <v>37</v>
      </c>
      <c r="T95" s="33" t="s">
        <v>37</v>
      </c>
      <c r="U95" s="33" t="s">
        <v>37</v>
      </c>
      <c r="V95" s="33" t="s">
        <v>37</v>
      </c>
      <c r="W95" s="148" t="s">
        <v>307</v>
      </c>
      <c r="X95" s="33" t="s">
        <v>307</v>
      </c>
      <c r="Y95" s="33" t="s">
        <v>307</v>
      </c>
      <c r="Z95" s="33" t="s">
        <v>307</v>
      </c>
      <c r="AA95" s="33" t="s">
        <v>307</v>
      </c>
      <c r="AB95" s="33" t="s">
        <v>307</v>
      </c>
      <c r="AC95" s="33" t="s">
        <v>307</v>
      </c>
      <c r="AD95" s="6"/>
      <c r="AE95" s="6"/>
      <c r="AF95" s="35"/>
      <c r="AG95" s="6"/>
      <c r="AH95" s="6"/>
      <c r="AI95" s="35"/>
      <c r="AJ95" s="35"/>
      <c r="AK95" s="35"/>
      <c r="AL95" s="35"/>
      <c r="AM95" s="6">
        <v>196</v>
      </c>
      <c r="AN95" s="6">
        <v>1560</v>
      </c>
      <c r="AO95" s="35">
        <f t="shared" si="24"/>
        <v>409</v>
      </c>
      <c r="AP95" s="6">
        <v>567</v>
      </c>
      <c r="AQ95" s="6"/>
      <c r="AR95" s="34">
        <f t="shared" si="25"/>
        <v>371</v>
      </c>
      <c r="AS95" s="35">
        <v>950</v>
      </c>
      <c r="AT95" s="35"/>
      <c r="AU95" s="35">
        <f t="shared" si="26"/>
        <v>383</v>
      </c>
      <c r="AV95" s="6">
        <v>1331</v>
      </c>
      <c r="AW95" s="6"/>
      <c r="AX95" s="35">
        <f t="shared" si="27"/>
        <v>381</v>
      </c>
      <c r="AY95" s="6">
        <v>153</v>
      </c>
      <c r="AZ95" s="6">
        <v>1560</v>
      </c>
      <c r="BA95" s="35">
        <f t="shared" si="28"/>
        <v>382</v>
      </c>
      <c r="BB95" s="35">
        <v>521</v>
      </c>
      <c r="BC95" s="35"/>
      <c r="BD95" s="35">
        <f t="shared" si="29"/>
        <v>368</v>
      </c>
      <c r="BE95" s="6"/>
      <c r="BF95" s="6"/>
      <c r="BG95" s="35"/>
      <c r="BH95" s="6">
        <v>905</v>
      </c>
      <c r="BI95" s="6"/>
      <c r="BJ95" s="35">
        <f t="shared" si="30"/>
        <v>384</v>
      </c>
      <c r="BK95" s="6">
        <v>1281</v>
      </c>
      <c r="BL95" s="6"/>
      <c r="BM95" s="6">
        <f t="shared" si="31"/>
        <v>376</v>
      </c>
      <c r="BN95" s="6">
        <v>99</v>
      </c>
      <c r="BO95" s="6">
        <v>1560</v>
      </c>
      <c r="BP95" s="6">
        <f t="shared" si="32"/>
        <v>378</v>
      </c>
      <c r="BQ95" s="6">
        <v>480</v>
      </c>
      <c r="BR95" s="6"/>
      <c r="BS95" s="35">
        <f t="shared" si="33"/>
        <v>381</v>
      </c>
      <c r="BT95" s="6">
        <v>860</v>
      </c>
      <c r="BU95" s="6"/>
      <c r="BV95" s="6">
        <f t="shared" si="34"/>
        <v>380</v>
      </c>
      <c r="BW95" s="6">
        <v>1213</v>
      </c>
      <c r="BX95" s="6"/>
      <c r="BY95" s="35">
        <f t="shared" si="35"/>
        <v>353</v>
      </c>
      <c r="BZ95" s="6"/>
      <c r="CA95" s="6"/>
      <c r="CB95" s="6"/>
      <c r="CC95" s="6">
        <v>30</v>
      </c>
      <c r="CD95" s="6">
        <v>1560</v>
      </c>
      <c r="CE95" s="6">
        <f t="shared" si="36"/>
        <v>377</v>
      </c>
      <c r="CF95" s="6">
        <v>401</v>
      </c>
      <c r="CG95" s="6"/>
      <c r="CH95" s="6">
        <f t="shared" si="37"/>
        <v>371</v>
      </c>
      <c r="CI95" s="6">
        <v>774</v>
      </c>
      <c r="CJ95" s="6"/>
      <c r="CK95" s="6">
        <f t="shared" si="38"/>
        <v>373</v>
      </c>
      <c r="CL95" s="6">
        <v>1154</v>
      </c>
      <c r="CM95" s="6"/>
      <c r="CN95" s="6">
        <f t="shared" si="39"/>
        <v>380</v>
      </c>
      <c r="CO95" s="6">
        <v>1528</v>
      </c>
      <c r="CP95" s="6"/>
      <c r="CQ95" s="6">
        <f t="shared" si="40"/>
        <v>374</v>
      </c>
      <c r="CR95" s="6">
        <v>240</v>
      </c>
      <c r="CS95" s="6">
        <v>1624</v>
      </c>
      <c r="CT95" s="6">
        <f t="shared" si="41"/>
        <v>336</v>
      </c>
      <c r="CU95" s="6"/>
      <c r="CV95" s="6"/>
      <c r="CW95" s="6"/>
      <c r="CX95" s="6">
        <v>634</v>
      </c>
      <c r="CY95" s="6"/>
      <c r="CZ95" s="6">
        <f t="shared" si="42"/>
        <v>394</v>
      </c>
      <c r="DA95" s="6">
        <v>271</v>
      </c>
      <c r="DB95" s="6">
        <v>705</v>
      </c>
      <c r="DC95" s="6">
        <f t="shared" si="43"/>
        <v>342</v>
      </c>
      <c r="DD95" s="6">
        <v>656</v>
      </c>
      <c r="DE95" s="6"/>
      <c r="DF95" s="6">
        <f t="shared" si="44"/>
        <v>385</v>
      </c>
      <c r="DG95" s="6">
        <v>1049</v>
      </c>
      <c r="DH95" s="6"/>
      <c r="DI95" s="6">
        <f t="shared" si="45"/>
        <v>393</v>
      </c>
      <c r="DJ95" s="6">
        <v>1440</v>
      </c>
      <c r="DK95" s="6"/>
      <c r="DL95" s="6">
        <f t="shared" si="46"/>
        <v>391</v>
      </c>
      <c r="DM95" s="6">
        <v>287</v>
      </c>
      <c r="DN95" s="6">
        <v>1485</v>
      </c>
      <c r="DO95" s="6">
        <f t="shared" si="47"/>
        <v>332</v>
      </c>
    </row>
    <row r="96" spans="1:119" ht="15.75" customHeight="1">
      <c r="A96" s="6">
        <v>92</v>
      </c>
      <c r="B96" s="6">
        <v>172</v>
      </c>
      <c r="C96" s="6"/>
      <c r="D96" s="6">
        <v>172</v>
      </c>
      <c r="E96" s="198" t="s">
        <v>37</v>
      </c>
      <c r="F96" s="199" t="s">
        <v>37</v>
      </c>
      <c r="G96" s="199" t="s">
        <v>37</v>
      </c>
      <c r="H96" s="199" t="s">
        <v>37</v>
      </c>
      <c r="I96" s="199" t="s">
        <v>37</v>
      </c>
      <c r="J96" s="199" t="s">
        <v>37</v>
      </c>
      <c r="K96" s="199" t="s">
        <v>37</v>
      </c>
      <c r="L96" s="199" t="s">
        <v>37</v>
      </c>
      <c r="M96" s="199" t="s">
        <v>37</v>
      </c>
      <c r="N96" s="199" t="s">
        <v>37</v>
      </c>
      <c r="O96" s="199" t="s">
        <v>37</v>
      </c>
      <c r="P96" s="199" t="s">
        <v>37</v>
      </c>
      <c r="Q96" s="199" t="s">
        <v>37</v>
      </c>
      <c r="R96" s="199" t="s">
        <v>37</v>
      </c>
      <c r="S96" s="199" t="s">
        <v>37</v>
      </c>
      <c r="T96" s="199" t="s">
        <v>37</v>
      </c>
      <c r="U96" s="199" t="s">
        <v>37</v>
      </c>
      <c r="V96" s="199" t="s">
        <v>37</v>
      </c>
      <c r="W96" s="199" t="s">
        <v>37</v>
      </c>
      <c r="X96" s="199" t="s">
        <v>37</v>
      </c>
      <c r="Y96" s="199" t="s">
        <v>37</v>
      </c>
      <c r="Z96" s="199" t="s">
        <v>37</v>
      </c>
      <c r="AA96" s="198" t="s">
        <v>37</v>
      </c>
      <c r="AB96" s="199" t="s">
        <v>37</v>
      </c>
      <c r="AC96" s="199" t="s">
        <v>37</v>
      </c>
      <c r="AD96" s="6"/>
      <c r="AE96" s="6"/>
      <c r="AF96" s="35"/>
      <c r="AG96" s="6"/>
      <c r="AH96" s="6"/>
      <c r="AI96" s="35"/>
      <c r="AJ96" s="35"/>
      <c r="AK96" s="35"/>
      <c r="AL96" s="35"/>
      <c r="AM96" s="6">
        <v>567</v>
      </c>
      <c r="AN96" s="6"/>
      <c r="AO96" s="35">
        <f t="shared" si="24"/>
        <v>395</v>
      </c>
      <c r="AP96" s="6">
        <v>943</v>
      </c>
      <c r="AQ96" s="6"/>
      <c r="AR96" s="34">
        <f t="shared" si="25"/>
        <v>376</v>
      </c>
      <c r="AS96" s="35">
        <v>1325</v>
      </c>
      <c r="AT96" s="35"/>
      <c r="AU96" s="35">
        <f t="shared" si="26"/>
        <v>382</v>
      </c>
      <c r="AV96" s="6">
        <v>142</v>
      </c>
      <c r="AW96" s="6">
        <v>1560</v>
      </c>
      <c r="AX96" s="35">
        <f t="shared" si="27"/>
        <v>377</v>
      </c>
      <c r="AY96" s="6">
        <v>520</v>
      </c>
      <c r="AZ96" s="6"/>
      <c r="BA96" s="35">
        <f t="shared" si="28"/>
        <v>378</v>
      </c>
      <c r="BB96" s="35">
        <v>881</v>
      </c>
      <c r="BC96" s="35"/>
      <c r="BD96" s="35">
        <f t="shared" si="29"/>
        <v>361</v>
      </c>
      <c r="BE96" s="6"/>
      <c r="BF96" s="6"/>
      <c r="BG96" s="35"/>
      <c r="BH96" s="6">
        <v>1261</v>
      </c>
      <c r="BI96" s="6"/>
      <c r="BJ96" s="35">
        <f t="shared" si="30"/>
        <v>380</v>
      </c>
      <c r="BK96" s="6">
        <v>74</v>
      </c>
      <c r="BL96" s="6">
        <v>1560</v>
      </c>
      <c r="BM96" s="6">
        <f t="shared" si="31"/>
        <v>373</v>
      </c>
      <c r="BN96" s="6">
        <v>454</v>
      </c>
      <c r="BO96" s="6"/>
      <c r="BP96" s="6">
        <f t="shared" si="32"/>
        <v>380</v>
      </c>
      <c r="BQ96" s="6">
        <v>832</v>
      </c>
      <c r="BR96" s="6"/>
      <c r="BS96" s="35">
        <f t="shared" si="33"/>
        <v>378</v>
      </c>
      <c r="BT96" s="6">
        <v>1204</v>
      </c>
      <c r="BU96" s="6"/>
      <c r="BV96" s="6">
        <f t="shared" si="34"/>
        <v>372</v>
      </c>
      <c r="BW96" s="6">
        <v>1560</v>
      </c>
      <c r="BX96" s="6"/>
      <c r="BY96" s="35">
        <f t="shared" si="35"/>
        <v>356</v>
      </c>
      <c r="BZ96" s="6"/>
      <c r="CA96" s="6"/>
      <c r="CB96" s="6"/>
      <c r="CC96" s="6">
        <v>379</v>
      </c>
      <c r="CD96" s="6">
        <v>1560</v>
      </c>
      <c r="CE96" s="6">
        <f t="shared" si="36"/>
        <v>379</v>
      </c>
      <c r="CF96" s="6">
        <v>750</v>
      </c>
      <c r="CG96" s="6"/>
      <c r="CH96" s="6">
        <f t="shared" si="37"/>
        <v>371</v>
      </c>
      <c r="CI96" s="6">
        <v>1128</v>
      </c>
      <c r="CJ96" s="6"/>
      <c r="CK96" s="6">
        <f t="shared" si="38"/>
        <v>378</v>
      </c>
      <c r="CL96" s="6">
        <v>1502</v>
      </c>
      <c r="CM96" s="6"/>
      <c r="CN96" s="6">
        <f t="shared" si="39"/>
        <v>374</v>
      </c>
      <c r="CO96" s="6">
        <v>299</v>
      </c>
      <c r="CP96" s="6">
        <v>1562</v>
      </c>
      <c r="CQ96" s="6">
        <f t="shared" si="40"/>
        <v>359</v>
      </c>
      <c r="CR96" s="6">
        <v>628</v>
      </c>
      <c r="CS96" s="6"/>
      <c r="CT96" s="6">
        <f t="shared" si="41"/>
        <v>329</v>
      </c>
      <c r="CU96" s="6"/>
      <c r="CV96" s="6"/>
      <c r="CW96" s="6"/>
      <c r="CX96" s="6">
        <v>1002</v>
      </c>
      <c r="CY96" s="6"/>
      <c r="CZ96" s="6">
        <f t="shared" si="42"/>
        <v>374</v>
      </c>
      <c r="DA96" s="6">
        <v>1344</v>
      </c>
      <c r="DB96" s="6"/>
      <c r="DC96" s="6">
        <f t="shared" si="43"/>
        <v>342</v>
      </c>
      <c r="DD96" s="6">
        <v>0</v>
      </c>
      <c r="DE96" s="6">
        <v>1637</v>
      </c>
      <c r="DF96" s="6">
        <f t="shared" si="44"/>
        <v>293</v>
      </c>
      <c r="DG96" s="6">
        <v>343</v>
      </c>
      <c r="DH96" s="6"/>
      <c r="DI96" s="6">
        <f t="shared" si="45"/>
        <v>343</v>
      </c>
      <c r="DJ96" s="6">
        <v>723</v>
      </c>
      <c r="DK96" s="6"/>
      <c r="DL96" s="6">
        <f t="shared" si="46"/>
        <v>380</v>
      </c>
      <c r="DM96" s="6">
        <v>1069</v>
      </c>
      <c r="DN96" s="6"/>
      <c r="DO96" s="6">
        <f t="shared" si="47"/>
        <v>346</v>
      </c>
    </row>
    <row r="97" spans="1:119">
      <c r="A97" s="6">
        <v>93</v>
      </c>
      <c r="B97" s="6">
        <v>1215</v>
      </c>
      <c r="C97" s="6"/>
      <c r="D97" s="6">
        <v>135</v>
      </c>
      <c r="E97" s="33" t="s">
        <v>99</v>
      </c>
      <c r="F97" s="33" t="s">
        <v>99</v>
      </c>
      <c r="G97" s="33" t="s">
        <v>99</v>
      </c>
      <c r="H97" s="33" t="s">
        <v>99</v>
      </c>
      <c r="I97" s="33" t="s">
        <v>99</v>
      </c>
      <c r="J97" s="33" t="s">
        <v>99</v>
      </c>
      <c r="K97" s="33" t="s">
        <v>99</v>
      </c>
      <c r="L97" s="33" t="s">
        <v>99</v>
      </c>
      <c r="M97" s="33" t="s">
        <v>99</v>
      </c>
      <c r="N97" s="33" t="s">
        <v>99</v>
      </c>
      <c r="O97" s="33" t="s">
        <v>99</v>
      </c>
      <c r="P97" s="33" t="s">
        <v>99</v>
      </c>
      <c r="Q97" s="33" t="s">
        <v>99</v>
      </c>
      <c r="R97" s="33" t="s">
        <v>99</v>
      </c>
      <c r="S97" s="33" t="s">
        <v>99</v>
      </c>
      <c r="T97" s="33" t="s">
        <v>99</v>
      </c>
      <c r="U97" s="33" t="s">
        <v>99</v>
      </c>
      <c r="V97" s="33" t="s">
        <v>99</v>
      </c>
      <c r="W97" s="148" t="s">
        <v>307</v>
      </c>
      <c r="X97" s="33" t="s">
        <v>307</v>
      </c>
      <c r="Y97" s="33" t="s">
        <v>307</v>
      </c>
      <c r="Z97" s="33" t="s">
        <v>307</v>
      </c>
      <c r="AA97" s="33" t="s">
        <v>307</v>
      </c>
      <c r="AB97" s="33" t="s">
        <v>307</v>
      </c>
      <c r="AC97" s="33" t="s">
        <v>307</v>
      </c>
      <c r="AD97" s="6"/>
      <c r="AE97" s="6"/>
      <c r="AF97" s="35"/>
      <c r="AG97" s="6"/>
      <c r="AH97" s="6"/>
      <c r="AI97" s="35"/>
      <c r="AJ97" s="35"/>
      <c r="AK97" s="35"/>
      <c r="AL97" s="35"/>
      <c r="AM97" s="6">
        <v>1493</v>
      </c>
      <c r="AN97" s="6"/>
      <c r="AO97" s="35">
        <f t="shared" si="24"/>
        <v>278</v>
      </c>
      <c r="AP97" s="6">
        <v>261</v>
      </c>
      <c r="AQ97" s="6">
        <v>1500</v>
      </c>
      <c r="AR97" s="34">
        <f t="shared" si="25"/>
        <v>268</v>
      </c>
      <c r="AS97" s="35">
        <v>524</v>
      </c>
      <c r="AT97" s="35"/>
      <c r="AU97" s="35">
        <f t="shared" si="26"/>
        <v>263</v>
      </c>
      <c r="AV97" s="6">
        <v>791</v>
      </c>
      <c r="AW97" s="6"/>
      <c r="AX97" s="35">
        <f t="shared" si="27"/>
        <v>267</v>
      </c>
      <c r="AY97" s="35">
        <v>1059</v>
      </c>
      <c r="AZ97" s="6"/>
      <c r="BA97" s="35">
        <f t="shared" si="28"/>
        <v>268</v>
      </c>
      <c r="BB97" s="35">
        <v>1324</v>
      </c>
      <c r="BC97" s="35"/>
      <c r="BD97" s="35">
        <f t="shared" si="29"/>
        <v>265</v>
      </c>
      <c r="BE97" s="6"/>
      <c r="BF97" s="6"/>
      <c r="BG97" s="35"/>
      <c r="BH97" s="6">
        <v>100</v>
      </c>
      <c r="BI97" s="6">
        <v>1500</v>
      </c>
      <c r="BJ97" s="35">
        <f t="shared" si="30"/>
        <v>276</v>
      </c>
      <c r="BK97" s="6">
        <v>349</v>
      </c>
      <c r="BL97" s="6"/>
      <c r="BM97" s="6">
        <f t="shared" si="31"/>
        <v>249</v>
      </c>
      <c r="BN97" s="6">
        <v>606</v>
      </c>
      <c r="BO97" s="6"/>
      <c r="BP97" s="6">
        <f t="shared" si="32"/>
        <v>257</v>
      </c>
      <c r="BQ97" s="6">
        <v>878</v>
      </c>
      <c r="BR97" s="6"/>
      <c r="BS97" s="35">
        <f t="shared" si="33"/>
        <v>272</v>
      </c>
      <c r="BT97" s="6">
        <v>1149</v>
      </c>
      <c r="BU97" s="6"/>
      <c r="BV97" s="6">
        <f t="shared" si="34"/>
        <v>271</v>
      </c>
      <c r="BW97" s="6">
        <v>1411</v>
      </c>
      <c r="BX97" s="6"/>
      <c r="BY97" s="35">
        <f t="shared" si="35"/>
        <v>262</v>
      </c>
      <c r="BZ97" s="6"/>
      <c r="CA97" s="6"/>
      <c r="CB97" s="6"/>
      <c r="CC97" s="6">
        <v>187</v>
      </c>
      <c r="CD97" s="6">
        <v>1500</v>
      </c>
      <c r="CE97" s="6">
        <f t="shared" si="36"/>
        <v>276</v>
      </c>
      <c r="CF97" s="6">
        <v>457</v>
      </c>
      <c r="CG97" s="6"/>
      <c r="CH97" s="6">
        <f t="shared" si="37"/>
        <v>270</v>
      </c>
      <c r="CI97" s="6">
        <v>732</v>
      </c>
      <c r="CJ97" s="6"/>
      <c r="CK97" s="6">
        <f t="shared" si="38"/>
        <v>275</v>
      </c>
      <c r="CL97" s="6">
        <v>1004</v>
      </c>
      <c r="CM97" s="6"/>
      <c r="CN97" s="6">
        <f t="shared" si="39"/>
        <v>272</v>
      </c>
      <c r="CO97" s="6">
        <v>1278</v>
      </c>
      <c r="CP97" s="6"/>
      <c r="CQ97" s="6">
        <f t="shared" si="40"/>
        <v>274</v>
      </c>
      <c r="CR97" s="6">
        <v>233</v>
      </c>
      <c r="CS97" s="6">
        <v>1331</v>
      </c>
      <c r="CT97" s="6">
        <f t="shared" si="41"/>
        <v>286</v>
      </c>
      <c r="CU97" s="6"/>
      <c r="CV97" s="6"/>
      <c r="CW97" s="6"/>
      <c r="CX97" s="6">
        <v>627</v>
      </c>
      <c r="CY97" s="6"/>
      <c r="CZ97" s="6">
        <f t="shared" si="42"/>
        <v>394</v>
      </c>
      <c r="DA97" s="6">
        <v>161</v>
      </c>
      <c r="DB97" s="6">
        <v>817</v>
      </c>
      <c r="DC97" s="6">
        <f t="shared" si="43"/>
        <v>351</v>
      </c>
      <c r="DD97" s="6">
        <v>535</v>
      </c>
      <c r="DE97" s="6"/>
      <c r="DF97" s="6">
        <f t="shared" si="44"/>
        <v>374</v>
      </c>
      <c r="DG97" s="6">
        <v>909</v>
      </c>
      <c r="DH97" s="6"/>
      <c r="DI97" s="6">
        <f t="shared" si="45"/>
        <v>374</v>
      </c>
      <c r="DJ97" s="6">
        <v>1288</v>
      </c>
      <c r="DK97" s="6"/>
      <c r="DL97" s="6">
        <f t="shared" si="46"/>
        <v>379</v>
      </c>
      <c r="DM97" s="6">
        <v>245</v>
      </c>
      <c r="DN97" s="6">
        <v>1389</v>
      </c>
      <c r="DO97" s="6">
        <f t="shared" si="47"/>
        <v>346</v>
      </c>
    </row>
    <row r="98" spans="1:119">
      <c r="A98" s="6">
        <v>94</v>
      </c>
      <c r="B98" s="6">
        <v>875</v>
      </c>
      <c r="C98" s="6"/>
      <c r="D98" s="6">
        <v>213</v>
      </c>
      <c r="E98" s="33" t="s">
        <v>128</v>
      </c>
      <c r="F98" s="33" t="s">
        <v>128</v>
      </c>
      <c r="G98" s="33" t="s">
        <v>128</v>
      </c>
      <c r="H98" s="33" t="s">
        <v>128</v>
      </c>
      <c r="I98" s="33" t="s">
        <v>128</v>
      </c>
      <c r="J98" s="33" t="s">
        <v>128</v>
      </c>
      <c r="K98" s="33" t="s">
        <v>128</v>
      </c>
      <c r="L98" s="148" t="s">
        <v>37</v>
      </c>
      <c r="M98" s="33" t="s">
        <v>37</v>
      </c>
      <c r="N98" s="33" t="s">
        <v>37</v>
      </c>
      <c r="O98" s="33" t="s">
        <v>37</v>
      </c>
      <c r="P98" s="33" t="s">
        <v>37</v>
      </c>
      <c r="Q98" s="33" t="s">
        <v>37</v>
      </c>
      <c r="R98" s="33" t="s">
        <v>37</v>
      </c>
      <c r="S98" s="33" t="s">
        <v>37</v>
      </c>
      <c r="T98" s="33" t="s">
        <v>37</v>
      </c>
      <c r="U98" s="33" t="s">
        <v>37</v>
      </c>
      <c r="V98" s="33" t="s">
        <v>37</v>
      </c>
      <c r="W98" s="33" t="s">
        <v>37</v>
      </c>
      <c r="X98" s="33" t="s">
        <v>37</v>
      </c>
      <c r="Y98" s="33" t="s">
        <v>37</v>
      </c>
      <c r="Z98" s="33" t="s">
        <v>37</v>
      </c>
      <c r="AA98" s="33" t="s">
        <v>37</v>
      </c>
      <c r="AB98" s="33" t="s">
        <v>37</v>
      </c>
      <c r="AC98" s="33" t="s">
        <v>37</v>
      </c>
      <c r="AD98" s="6"/>
      <c r="AE98" s="6"/>
      <c r="AF98" s="35"/>
      <c r="AG98" s="6"/>
      <c r="AH98" s="6"/>
      <c r="AI98" s="35"/>
      <c r="AJ98" s="35"/>
      <c r="AK98" s="35"/>
      <c r="AL98" s="35"/>
      <c r="AM98" s="6">
        <v>1284</v>
      </c>
      <c r="AN98" s="6"/>
      <c r="AO98" s="35">
        <f t="shared" si="24"/>
        <v>409</v>
      </c>
      <c r="AP98" s="6">
        <v>118</v>
      </c>
      <c r="AQ98" s="6">
        <v>1560</v>
      </c>
      <c r="AR98" s="34">
        <f t="shared" si="25"/>
        <v>394</v>
      </c>
      <c r="AS98" s="35">
        <v>518</v>
      </c>
      <c r="AT98" s="35"/>
      <c r="AU98" s="35">
        <f t="shared" si="26"/>
        <v>400</v>
      </c>
      <c r="AV98" s="6">
        <v>917</v>
      </c>
      <c r="AW98" s="6"/>
      <c r="AX98" s="35">
        <f t="shared" si="27"/>
        <v>399</v>
      </c>
      <c r="AY98" s="35">
        <v>1302</v>
      </c>
      <c r="AZ98" s="35"/>
      <c r="BA98" s="35">
        <f t="shared" si="28"/>
        <v>385</v>
      </c>
      <c r="BB98" s="6">
        <v>0</v>
      </c>
      <c r="BC98" s="6">
        <v>1568</v>
      </c>
      <c r="BD98" s="35">
        <f t="shared" si="29"/>
        <v>266</v>
      </c>
      <c r="BE98" s="6"/>
      <c r="BF98" s="6"/>
      <c r="BG98" s="35"/>
      <c r="BH98" s="6">
        <v>386</v>
      </c>
      <c r="BI98" s="6"/>
      <c r="BJ98" s="35">
        <f t="shared" si="30"/>
        <v>386</v>
      </c>
      <c r="BK98" s="6">
        <v>783</v>
      </c>
      <c r="BL98" s="35"/>
      <c r="BM98" s="6">
        <f t="shared" si="31"/>
        <v>397</v>
      </c>
      <c r="BN98" s="6">
        <v>1164</v>
      </c>
      <c r="BO98" s="6"/>
      <c r="BP98" s="6">
        <f t="shared" si="32"/>
        <v>381</v>
      </c>
      <c r="BQ98" s="6">
        <v>265</v>
      </c>
      <c r="BR98" s="6">
        <v>1272</v>
      </c>
      <c r="BS98" s="35">
        <f t="shared" si="33"/>
        <v>373</v>
      </c>
      <c r="BT98" s="6">
        <v>647</v>
      </c>
      <c r="BU98" s="6"/>
      <c r="BV98" s="6">
        <f t="shared" si="34"/>
        <v>382</v>
      </c>
      <c r="BW98" s="6">
        <v>1003</v>
      </c>
      <c r="BX98" s="6"/>
      <c r="BY98" s="35">
        <f t="shared" si="35"/>
        <v>356</v>
      </c>
      <c r="BZ98" s="6"/>
      <c r="CA98" s="35"/>
      <c r="CB98" s="6"/>
      <c r="CC98" s="6">
        <v>1388</v>
      </c>
      <c r="CD98" s="6"/>
      <c r="CE98" s="6">
        <f t="shared" si="36"/>
        <v>385</v>
      </c>
      <c r="CF98" s="6">
        <v>207</v>
      </c>
      <c r="CG98" s="35">
        <v>1560</v>
      </c>
      <c r="CH98" s="6">
        <f t="shared" si="37"/>
        <v>379</v>
      </c>
      <c r="CI98" s="6">
        <v>588</v>
      </c>
      <c r="CJ98" s="6"/>
      <c r="CK98" s="6">
        <f t="shared" si="38"/>
        <v>381</v>
      </c>
      <c r="CL98" s="6">
        <v>968</v>
      </c>
      <c r="CM98" s="6"/>
      <c r="CN98" s="6">
        <f t="shared" si="39"/>
        <v>380</v>
      </c>
      <c r="CO98" s="6">
        <v>1350</v>
      </c>
      <c r="CP98" s="6"/>
      <c r="CQ98" s="6">
        <f t="shared" si="40"/>
        <v>382</v>
      </c>
      <c r="CR98" s="6">
        <v>141</v>
      </c>
      <c r="CS98" s="6">
        <v>1561</v>
      </c>
      <c r="CT98" s="6">
        <f t="shared" si="41"/>
        <v>352</v>
      </c>
      <c r="CU98" s="6"/>
      <c r="CV98" s="6"/>
      <c r="CW98" s="6"/>
      <c r="CX98" s="6">
        <v>523</v>
      </c>
      <c r="CY98" s="6"/>
      <c r="CZ98" s="6">
        <f t="shared" si="42"/>
        <v>382</v>
      </c>
      <c r="DA98" s="6">
        <v>895</v>
      </c>
      <c r="DB98" s="6"/>
      <c r="DC98" s="6">
        <f t="shared" si="43"/>
        <v>372</v>
      </c>
      <c r="DD98" s="6">
        <v>1270</v>
      </c>
      <c r="DE98" s="6"/>
      <c r="DF98" s="6">
        <f t="shared" si="44"/>
        <v>375</v>
      </c>
      <c r="DG98" s="6">
        <v>91</v>
      </c>
      <c r="DH98" s="6">
        <v>1560</v>
      </c>
      <c r="DI98" s="6">
        <f t="shared" si="45"/>
        <v>381</v>
      </c>
      <c r="DJ98" s="6">
        <v>471</v>
      </c>
      <c r="DK98" s="6"/>
      <c r="DL98" s="6">
        <f t="shared" si="46"/>
        <v>380</v>
      </c>
      <c r="DM98" s="6">
        <v>802</v>
      </c>
      <c r="DN98" s="6"/>
      <c r="DO98" s="6">
        <f t="shared" si="47"/>
        <v>331</v>
      </c>
    </row>
    <row r="99" spans="1:119">
      <c r="A99" s="6">
        <v>95</v>
      </c>
      <c r="B99" s="6">
        <v>126</v>
      </c>
      <c r="C99" s="6">
        <v>1560</v>
      </c>
      <c r="D99" s="6">
        <v>191</v>
      </c>
      <c r="E99" s="33" t="s">
        <v>128</v>
      </c>
      <c r="F99" s="33" t="s">
        <v>128</v>
      </c>
      <c r="G99" s="33" t="s">
        <v>128</v>
      </c>
      <c r="H99" s="33" t="s">
        <v>128</v>
      </c>
      <c r="I99" s="33" t="s">
        <v>128</v>
      </c>
      <c r="J99" s="33" t="s">
        <v>128</v>
      </c>
      <c r="K99" s="33" t="s">
        <v>128</v>
      </c>
      <c r="L99" s="33" t="s">
        <v>128</v>
      </c>
      <c r="M99" s="33" t="s">
        <v>128</v>
      </c>
      <c r="N99" s="33" t="s">
        <v>128</v>
      </c>
      <c r="O99" s="33" t="s">
        <v>128</v>
      </c>
      <c r="P99" s="33" t="s">
        <v>128</v>
      </c>
      <c r="Q99" s="33" t="s">
        <v>128</v>
      </c>
      <c r="R99" s="33" t="s">
        <v>128</v>
      </c>
      <c r="S99" s="148" t="s">
        <v>307</v>
      </c>
      <c r="T99" s="33" t="s">
        <v>307</v>
      </c>
      <c r="U99" s="33" t="s">
        <v>307</v>
      </c>
      <c r="V99" s="33" t="s">
        <v>307</v>
      </c>
      <c r="W99" s="33" t="s">
        <v>307</v>
      </c>
      <c r="X99" s="33" t="s">
        <v>307</v>
      </c>
      <c r="Y99" s="33" t="s">
        <v>307</v>
      </c>
      <c r="Z99" s="33" t="s">
        <v>307</v>
      </c>
      <c r="AA99" s="33" t="s">
        <v>307</v>
      </c>
      <c r="AB99" s="33" t="s">
        <v>307</v>
      </c>
      <c r="AC99" s="33" t="s">
        <v>307</v>
      </c>
      <c r="AD99" s="6"/>
      <c r="AE99" s="6"/>
      <c r="AF99" s="35"/>
      <c r="AG99" s="6"/>
      <c r="AH99" s="6"/>
      <c r="AI99" s="35"/>
      <c r="AJ99" s="35"/>
      <c r="AK99" s="35"/>
      <c r="AL99" s="35"/>
      <c r="AM99" s="6">
        <v>545</v>
      </c>
      <c r="AN99" s="6"/>
      <c r="AO99" s="35">
        <f t="shared" si="24"/>
        <v>419</v>
      </c>
      <c r="AP99" s="6">
        <v>932</v>
      </c>
      <c r="AQ99" s="6"/>
      <c r="AR99" s="34">
        <f t="shared" si="25"/>
        <v>387</v>
      </c>
      <c r="AS99" s="35">
        <v>1321</v>
      </c>
      <c r="AT99" s="35"/>
      <c r="AU99" s="35">
        <f t="shared" si="26"/>
        <v>389</v>
      </c>
      <c r="AV99" s="6">
        <v>152</v>
      </c>
      <c r="AW99" s="6">
        <v>1560</v>
      </c>
      <c r="AX99" s="35">
        <f t="shared" si="27"/>
        <v>391</v>
      </c>
      <c r="AY99" s="6">
        <v>132</v>
      </c>
      <c r="AZ99" s="6">
        <v>399</v>
      </c>
      <c r="BA99" s="35">
        <f t="shared" si="28"/>
        <v>379</v>
      </c>
      <c r="BB99" s="35">
        <v>514</v>
      </c>
      <c r="BC99" s="35"/>
      <c r="BD99" s="35">
        <f t="shared" si="29"/>
        <v>382</v>
      </c>
      <c r="BE99" s="6"/>
      <c r="BF99" s="6"/>
      <c r="BG99" s="35"/>
      <c r="BH99" s="6">
        <v>908</v>
      </c>
      <c r="BI99" s="6"/>
      <c r="BJ99" s="35">
        <f t="shared" si="30"/>
        <v>394</v>
      </c>
      <c r="BK99" s="6">
        <v>1295</v>
      </c>
      <c r="BL99" s="6"/>
      <c r="BM99" s="6">
        <f t="shared" si="31"/>
        <v>387</v>
      </c>
      <c r="BN99" s="6">
        <v>135</v>
      </c>
      <c r="BO99" s="6">
        <v>1560</v>
      </c>
      <c r="BP99" s="6">
        <f t="shared" si="32"/>
        <v>400</v>
      </c>
      <c r="BQ99" s="6">
        <v>534</v>
      </c>
      <c r="BR99" s="6"/>
      <c r="BS99" s="35">
        <f t="shared" si="33"/>
        <v>399</v>
      </c>
      <c r="BT99" s="6">
        <v>933</v>
      </c>
      <c r="BU99" s="6"/>
      <c r="BV99" s="6">
        <f t="shared" si="34"/>
        <v>399</v>
      </c>
      <c r="BW99" s="6">
        <v>1313</v>
      </c>
      <c r="BX99" s="6"/>
      <c r="BY99" s="35">
        <f t="shared" si="35"/>
        <v>380</v>
      </c>
      <c r="BZ99" s="6"/>
      <c r="CA99" s="6"/>
      <c r="CB99" s="6"/>
      <c r="CC99" s="6">
        <v>0</v>
      </c>
      <c r="CD99" s="6">
        <v>1642</v>
      </c>
      <c r="CE99" s="6">
        <f t="shared" si="36"/>
        <v>329</v>
      </c>
      <c r="CF99" s="6">
        <v>367</v>
      </c>
      <c r="CG99" s="6"/>
      <c r="CH99" s="6">
        <f t="shared" si="37"/>
        <v>367</v>
      </c>
      <c r="CI99" s="6">
        <v>764</v>
      </c>
      <c r="CJ99" s="6"/>
      <c r="CK99" s="6">
        <f t="shared" si="38"/>
        <v>397</v>
      </c>
      <c r="CL99" s="6">
        <v>1145</v>
      </c>
      <c r="CM99" s="6"/>
      <c r="CN99" s="6">
        <f t="shared" si="39"/>
        <v>381</v>
      </c>
      <c r="CO99" s="6">
        <v>1520</v>
      </c>
      <c r="CP99" s="6"/>
      <c r="CQ99" s="6">
        <f t="shared" si="40"/>
        <v>375</v>
      </c>
      <c r="CR99" s="6">
        <v>306</v>
      </c>
      <c r="CS99" s="6">
        <v>1562</v>
      </c>
      <c r="CT99" s="6">
        <f t="shared" si="41"/>
        <v>348</v>
      </c>
      <c r="CU99" s="6"/>
      <c r="CV99" s="6"/>
      <c r="CW99" s="6"/>
      <c r="CX99" s="6">
        <v>703</v>
      </c>
      <c r="CY99" s="6"/>
      <c r="CZ99" s="6">
        <f t="shared" si="42"/>
        <v>397</v>
      </c>
      <c r="DA99" s="6">
        <v>1090</v>
      </c>
      <c r="DB99" s="6"/>
      <c r="DC99" s="6">
        <f t="shared" si="43"/>
        <v>387</v>
      </c>
      <c r="DD99" s="6">
        <v>1432</v>
      </c>
      <c r="DE99" s="6"/>
      <c r="DF99" s="6">
        <f t="shared" si="44"/>
        <v>342</v>
      </c>
      <c r="DG99" s="6">
        <f>256+173</f>
        <v>429</v>
      </c>
      <c r="DH99" s="6">
        <v>1387</v>
      </c>
      <c r="DI99" s="6">
        <f t="shared" si="45"/>
        <v>384</v>
      </c>
      <c r="DJ99" s="6">
        <f>639+173</f>
        <v>812</v>
      </c>
      <c r="DK99" s="6"/>
      <c r="DL99" s="6">
        <f t="shared" si="46"/>
        <v>383</v>
      </c>
      <c r="DM99" s="6">
        <f>992+173</f>
        <v>1165</v>
      </c>
      <c r="DN99" s="6"/>
      <c r="DO99" s="6">
        <f t="shared" si="47"/>
        <v>353</v>
      </c>
    </row>
    <row r="100" spans="1:119">
      <c r="A100" s="6">
        <v>96</v>
      </c>
      <c r="B100" s="6">
        <v>1237</v>
      </c>
      <c r="C100" s="6"/>
      <c r="D100" s="6">
        <v>214</v>
      </c>
      <c r="E100" s="33" t="s">
        <v>128</v>
      </c>
      <c r="F100" s="33" t="s">
        <v>128</v>
      </c>
      <c r="G100" s="33" t="s">
        <v>128</v>
      </c>
      <c r="H100" s="33" t="s">
        <v>128</v>
      </c>
      <c r="I100" s="148" t="s">
        <v>37</v>
      </c>
      <c r="J100" s="33" t="s">
        <v>37</v>
      </c>
      <c r="K100" s="33" t="s">
        <v>37</v>
      </c>
      <c r="L100" s="33" t="s">
        <v>37</v>
      </c>
      <c r="M100" s="33" t="s">
        <v>37</v>
      </c>
      <c r="N100" s="33" t="s">
        <v>37</v>
      </c>
      <c r="O100" s="33" t="s">
        <v>37</v>
      </c>
      <c r="P100" s="33" t="s">
        <v>37</v>
      </c>
      <c r="Q100" s="33" t="s">
        <v>37</v>
      </c>
      <c r="R100" s="33" t="s">
        <v>37</v>
      </c>
      <c r="S100" s="33" t="s">
        <v>37</v>
      </c>
      <c r="T100" s="33" t="s">
        <v>37</v>
      </c>
      <c r="U100" s="33" t="s">
        <v>37</v>
      </c>
      <c r="V100" s="33" t="s">
        <v>37</v>
      </c>
      <c r="W100" s="33" t="s">
        <v>37</v>
      </c>
      <c r="X100" s="33" t="s">
        <v>37</v>
      </c>
      <c r="Y100" s="33" t="s">
        <v>37</v>
      </c>
      <c r="Z100" s="33" t="s">
        <v>37</v>
      </c>
      <c r="AA100" s="33" t="s">
        <v>37</v>
      </c>
      <c r="AB100" s="33" t="s">
        <v>37</v>
      </c>
      <c r="AC100" s="33" t="s">
        <v>37</v>
      </c>
      <c r="AD100" s="6"/>
      <c r="AE100" s="6"/>
      <c r="AF100" s="35"/>
      <c r="AG100" s="6"/>
      <c r="AH100" s="6"/>
      <c r="AI100" s="35"/>
      <c r="AJ100" s="35"/>
      <c r="AK100" s="35"/>
      <c r="AL100" s="35"/>
      <c r="AM100" s="6">
        <v>94</v>
      </c>
      <c r="AN100" s="6">
        <v>1560</v>
      </c>
      <c r="AO100" s="35">
        <f t="shared" si="24"/>
        <v>417</v>
      </c>
      <c r="AP100" s="6">
        <v>479</v>
      </c>
      <c r="AQ100" s="6"/>
      <c r="AR100" s="34">
        <f t="shared" si="25"/>
        <v>385</v>
      </c>
      <c r="AS100" s="35">
        <v>871</v>
      </c>
      <c r="AT100" s="35"/>
      <c r="AU100" s="35">
        <f t="shared" si="26"/>
        <v>392</v>
      </c>
      <c r="AV100" s="6">
        <v>365</v>
      </c>
      <c r="AW100" s="6">
        <v>883</v>
      </c>
      <c r="AX100" s="35">
        <f t="shared" si="27"/>
        <v>377</v>
      </c>
      <c r="AY100" s="35">
        <v>742</v>
      </c>
      <c r="AZ100" s="6"/>
      <c r="BA100" s="35">
        <f t="shared" si="28"/>
        <v>377</v>
      </c>
      <c r="BB100" s="35">
        <v>1109</v>
      </c>
      <c r="BC100" s="35"/>
      <c r="BD100" s="35">
        <f t="shared" si="29"/>
        <v>367</v>
      </c>
      <c r="BE100" s="6"/>
      <c r="BF100" s="6"/>
      <c r="BG100" s="35"/>
      <c r="BH100" s="6">
        <v>1493</v>
      </c>
      <c r="BI100" s="6"/>
      <c r="BJ100" s="35">
        <f t="shared" si="30"/>
        <v>384</v>
      </c>
      <c r="BK100" s="6">
        <v>310</v>
      </c>
      <c r="BL100" s="6">
        <v>1560</v>
      </c>
      <c r="BM100" s="6">
        <f t="shared" si="31"/>
        <v>377</v>
      </c>
      <c r="BN100" s="6">
        <v>691</v>
      </c>
      <c r="BO100" s="6"/>
      <c r="BP100" s="6">
        <f t="shared" si="32"/>
        <v>381</v>
      </c>
      <c r="BQ100" s="6">
        <v>1060</v>
      </c>
      <c r="BR100" s="6"/>
      <c r="BS100" s="35">
        <f t="shared" si="33"/>
        <v>369</v>
      </c>
      <c r="BT100" s="6">
        <v>1443</v>
      </c>
      <c r="BU100" s="6"/>
      <c r="BV100" s="6">
        <f t="shared" si="34"/>
        <v>383</v>
      </c>
      <c r="BW100" s="6">
        <v>242</v>
      </c>
      <c r="BX100" s="6">
        <v>1560</v>
      </c>
      <c r="BY100" s="35">
        <f t="shared" si="35"/>
        <v>359</v>
      </c>
      <c r="BZ100" s="6"/>
      <c r="CA100" s="6"/>
      <c r="CB100" s="6"/>
      <c r="CC100" s="6">
        <v>626</v>
      </c>
      <c r="CD100" s="6"/>
      <c r="CE100" s="6">
        <f t="shared" si="36"/>
        <v>384</v>
      </c>
      <c r="CF100" s="6">
        <v>1004</v>
      </c>
      <c r="CG100" s="6"/>
      <c r="CH100" s="6">
        <f t="shared" si="37"/>
        <v>378</v>
      </c>
      <c r="CI100" s="6">
        <v>1384</v>
      </c>
      <c r="CJ100" s="6"/>
      <c r="CK100" s="6">
        <f t="shared" si="38"/>
        <v>380</v>
      </c>
      <c r="CL100" s="6">
        <v>199</v>
      </c>
      <c r="CM100" s="6">
        <v>1560</v>
      </c>
      <c r="CN100" s="6">
        <f t="shared" si="39"/>
        <v>375</v>
      </c>
      <c r="CO100" s="6">
        <v>579</v>
      </c>
      <c r="CP100" s="6"/>
      <c r="CQ100" s="6">
        <f t="shared" si="40"/>
        <v>380</v>
      </c>
      <c r="CR100" s="6">
        <v>942</v>
      </c>
      <c r="CS100" s="6"/>
      <c r="CT100" s="6">
        <f t="shared" si="41"/>
        <v>363</v>
      </c>
      <c r="CU100" s="6"/>
      <c r="CV100" s="6"/>
      <c r="CW100" s="6"/>
      <c r="CX100" s="6">
        <v>334</v>
      </c>
      <c r="CY100" s="6">
        <v>985</v>
      </c>
      <c r="CZ100" s="6">
        <f t="shared" si="42"/>
        <v>377</v>
      </c>
      <c r="DA100" s="6">
        <v>268</v>
      </c>
      <c r="DB100" s="6">
        <v>436</v>
      </c>
      <c r="DC100" s="6">
        <f t="shared" si="43"/>
        <v>370</v>
      </c>
      <c r="DD100" s="6">
        <v>637</v>
      </c>
      <c r="DE100" s="6"/>
      <c r="DF100" s="6">
        <f t="shared" si="44"/>
        <v>369</v>
      </c>
      <c r="DG100" s="6">
        <v>205</v>
      </c>
      <c r="DH100" s="6">
        <v>809</v>
      </c>
      <c r="DI100" s="6">
        <f t="shared" si="45"/>
        <v>377</v>
      </c>
      <c r="DJ100" s="6">
        <v>581</v>
      </c>
      <c r="DK100" s="6"/>
      <c r="DL100" s="6">
        <f t="shared" si="46"/>
        <v>376</v>
      </c>
      <c r="DM100" s="6">
        <v>927</v>
      </c>
      <c r="DN100" s="6"/>
      <c r="DO100" s="6">
        <f t="shared" si="47"/>
        <v>346</v>
      </c>
    </row>
    <row r="101" spans="1:119">
      <c r="A101" s="6">
        <v>97</v>
      </c>
      <c r="B101" s="6">
        <v>447</v>
      </c>
      <c r="C101" s="6"/>
      <c r="D101" s="6">
        <v>203</v>
      </c>
      <c r="E101" s="33" t="s">
        <v>37</v>
      </c>
      <c r="F101" s="33" t="s">
        <v>37</v>
      </c>
      <c r="G101" s="33" t="s">
        <v>37</v>
      </c>
      <c r="H101" s="33" t="s">
        <v>37</v>
      </c>
      <c r="I101" s="33" t="s">
        <v>37</v>
      </c>
      <c r="J101" s="33" t="s">
        <v>37</v>
      </c>
      <c r="K101" s="33" t="s">
        <v>37</v>
      </c>
      <c r="L101" s="33" t="s">
        <v>37</v>
      </c>
      <c r="M101" s="33" t="s">
        <v>37</v>
      </c>
      <c r="N101" s="33" t="s">
        <v>37</v>
      </c>
      <c r="O101" s="33" t="s">
        <v>37</v>
      </c>
      <c r="P101" s="33" t="s">
        <v>37</v>
      </c>
      <c r="Q101" s="33" t="s">
        <v>37</v>
      </c>
      <c r="R101" s="33" t="s">
        <v>37</v>
      </c>
      <c r="S101" s="33" t="s">
        <v>37</v>
      </c>
      <c r="T101" s="33" t="s">
        <v>37</v>
      </c>
      <c r="U101" s="33" t="s">
        <v>37</v>
      </c>
      <c r="V101" s="148" t="s">
        <v>37</v>
      </c>
      <c r="W101" s="33" t="s">
        <v>37</v>
      </c>
      <c r="X101" s="33" t="s">
        <v>37</v>
      </c>
      <c r="Y101" s="33" t="s">
        <v>37</v>
      </c>
      <c r="Z101" s="33" t="s">
        <v>37</v>
      </c>
      <c r="AA101" s="33" t="s">
        <v>37</v>
      </c>
      <c r="AB101" s="33" t="s">
        <v>37</v>
      </c>
      <c r="AC101" s="33" t="s">
        <v>37</v>
      </c>
      <c r="AD101" s="6"/>
      <c r="AE101" s="6"/>
      <c r="AF101" s="35"/>
      <c r="AG101" s="6"/>
      <c r="AH101" s="6"/>
      <c r="AI101" s="35"/>
      <c r="AJ101" s="35"/>
      <c r="AK101" s="35"/>
      <c r="AL101" s="35"/>
      <c r="AM101" s="6">
        <v>846</v>
      </c>
      <c r="AN101" s="6"/>
      <c r="AO101" s="35">
        <f t="shared" si="24"/>
        <v>399</v>
      </c>
      <c r="AP101" s="6">
        <v>1214</v>
      </c>
      <c r="AQ101" s="6"/>
      <c r="AR101" s="34">
        <f t="shared" si="25"/>
        <v>368</v>
      </c>
      <c r="AS101" s="35">
        <v>19</v>
      </c>
      <c r="AT101" s="35">
        <v>1560</v>
      </c>
      <c r="AU101" s="35">
        <f t="shared" si="26"/>
        <v>365</v>
      </c>
      <c r="AV101" s="6">
        <v>387</v>
      </c>
      <c r="AW101" s="6"/>
      <c r="AX101" s="35">
        <f t="shared" si="27"/>
        <v>368</v>
      </c>
      <c r="AY101" s="6">
        <v>750</v>
      </c>
      <c r="AZ101" s="6"/>
      <c r="BA101" s="35">
        <f t="shared" si="28"/>
        <v>363</v>
      </c>
      <c r="BB101" s="35">
        <v>1107</v>
      </c>
      <c r="BC101" s="35"/>
      <c r="BD101" s="35">
        <f t="shared" si="29"/>
        <v>357</v>
      </c>
      <c r="BE101" s="6"/>
      <c r="BF101" s="6"/>
      <c r="BG101" s="35"/>
      <c r="BH101" s="6">
        <v>1482</v>
      </c>
      <c r="BI101" s="6"/>
      <c r="BJ101" s="35">
        <f t="shared" si="30"/>
        <v>375</v>
      </c>
      <c r="BK101" s="6">
        <v>282</v>
      </c>
      <c r="BL101" s="6">
        <v>1560</v>
      </c>
      <c r="BM101" s="6">
        <f t="shared" si="31"/>
        <v>360</v>
      </c>
      <c r="BN101" s="6">
        <v>662</v>
      </c>
      <c r="BO101" s="6"/>
      <c r="BP101" s="6">
        <f t="shared" si="32"/>
        <v>380</v>
      </c>
      <c r="BQ101" s="6">
        <v>185</v>
      </c>
      <c r="BR101" s="6">
        <v>857</v>
      </c>
      <c r="BS101" s="35">
        <f t="shared" si="33"/>
        <v>380</v>
      </c>
      <c r="BT101" s="6">
        <v>566</v>
      </c>
      <c r="BU101" s="6"/>
      <c r="BV101" s="6">
        <f t="shared" si="34"/>
        <v>381</v>
      </c>
      <c r="BW101" s="6">
        <v>917</v>
      </c>
      <c r="BX101" s="6"/>
      <c r="BY101" s="35">
        <f t="shared" si="35"/>
        <v>351</v>
      </c>
      <c r="BZ101" s="6"/>
      <c r="CA101" s="6"/>
      <c r="CB101" s="6"/>
      <c r="CC101" s="6">
        <v>1301</v>
      </c>
      <c r="CD101" s="6"/>
      <c r="CE101" s="6">
        <f t="shared" si="36"/>
        <v>384</v>
      </c>
      <c r="CF101" s="6">
        <v>115</v>
      </c>
      <c r="CG101" s="6">
        <v>1561</v>
      </c>
      <c r="CH101" s="6">
        <f t="shared" si="37"/>
        <v>375</v>
      </c>
      <c r="CI101" s="6">
        <v>494</v>
      </c>
      <c r="CJ101" s="6"/>
      <c r="CK101" s="6">
        <f t="shared" si="38"/>
        <v>379</v>
      </c>
      <c r="CL101" s="6">
        <v>0</v>
      </c>
      <c r="CM101" s="6">
        <v>731</v>
      </c>
      <c r="CN101" s="6">
        <f t="shared" si="39"/>
        <v>237</v>
      </c>
      <c r="CO101" s="6">
        <v>324</v>
      </c>
      <c r="CP101" s="6"/>
      <c r="CQ101" s="6">
        <f t="shared" si="40"/>
        <v>324</v>
      </c>
      <c r="CR101" s="6">
        <v>674</v>
      </c>
      <c r="CS101" s="6"/>
      <c r="CT101" s="6">
        <f t="shared" si="41"/>
        <v>350</v>
      </c>
      <c r="CU101" s="6"/>
      <c r="CV101" s="6"/>
      <c r="CW101" s="6"/>
      <c r="CX101" s="6">
        <v>1057</v>
      </c>
      <c r="CY101" s="6"/>
      <c r="CZ101" s="6">
        <f t="shared" si="42"/>
        <v>383</v>
      </c>
      <c r="DA101" s="6">
        <v>1417</v>
      </c>
      <c r="DB101" s="6"/>
      <c r="DC101" s="6">
        <f t="shared" si="43"/>
        <v>360</v>
      </c>
      <c r="DD101" s="6">
        <v>226</v>
      </c>
      <c r="DE101" s="6">
        <v>1560</v>
      </c>
      <c r="DF101" s="6">
        <f t="shared" si="44"/>
        <v>369</v>
      </c>
      <c r="DG101" s="6">
        <v>599</v>
      </c>
      <c r="DH101" s="6"/>
      <c r="DI101" s="6">
        <f t="shared" si="45"/>
        <v>373</v>
      </c>
      <c r="DJ101" s="6">
        <v>975</v>
      </c>
      <c r="DK101" s="6"/>
      <c r="DL101" s="6">
        <f t="shared" si="46"/>
        <v>376</v>
      </c>
      <c r="DM101" s="6">
        <v>1320</v>
      </c>
      <c r="DN101" s="6"/>
      <c r="DO101" s="6">
        <f t="shared" si="47"/>
        <v>345</v>
      </c>
    </row>
    <row r="102" spans="1:119">
      <c r="A102" s="6">
        <v>98</v>
      </c>
      <c r="B102" s="6">
        <v>748</v>
      </c>
      <c r="C102" s="6"/>
      <c r="D102" s="6">
        <v>209</v>
      </c>
      <c r="E102" s="33" t="s">
        <v>128</v>
      </c>
      <c r="F102" s="33" t="s">
        <v>128</v>
      </c>
      <c r="G102" s="33" t="s">
        <v>128</v>
      </c>
      <c r="H102" s="33" t="s">
        <v>128</v>
      </c>
      <c r="I102" s="33" t="s">
        <v>128</v>
      </c>
      <c r="J102" s="33" t="s">
        <v>128</v>
      </c>
      <c r="K102" s="33" t="s">
        <v>128</v>
      </c>
      <c r="L102" s="148" t="s">
        <v>37</v>
      </c>
      <c r="M102" s="33" t="s">
        <v>37</v>
      </c>
      <c r="N102" s="33" t="s">
        <v>37</v>
      </c>
      <c r="O102" s="33" t="s">
        <v>37</v>
      </c>
      <c r="P102" s="33" t="s">
        <v>37</v>
      </c>
      <c r="Q102" s="33" t="s">
        <v>37</v>
      </c>
      <c r="R102" s="33" t="s">
        <v>37</v>
      </c>
      <c r="S102" s="33" t="s">
        <v>37</v>
      </c>
      <c r="T102" s="33" t="s">
        <v>37</v>
      </c>
      <c r="U102" s="33" t="s">
        <v>37</v>
      </c>
      <c r="V102" s="33" t="s">
        <v>37</v>
      </c>
      <c r="W102" s="33" t="s">
        <v>37</v>
      </c>
      <c r="X102" s="33" t="s">
        <v>37</v>
      </c>
      <c r="Y102" s="33" t="s">
        <v>37</v>
      </c>
      <c r="Z102" s="33" t="s">
        <v>37</v>
      </c>
      <c r="AA102" s="33" t="s">
        <v>37</v>
      </c>
      <c r="AB102" s="33" t="s">
        <v>37</v>
      </c>
      <c r="AC102" s="33" t="s">
        <v>37</v>
      </c>
      <c r="AD102" s="35"/>
      <c r="AE102" s="35"/>
      <c r="AF102" s="35"/>
      <c r="AG102" s="35"/>
      <c r="AH102" s="35"/>
      <c r="AI102" s="35"/>
      <c r="AJ102" s="35"/>
      <c r="AK102" s="35"/>
      <c r="AL102" s="35"/>
      <c r="AM102" s="35">
        <v>1165</v>
      </c>
      <c r="AN102" s="35"/>
      <c r="AO102" s="35">
        <f t="shared" si="24"/>
        <v>417</v>
      </c>
      <c r="AP102" s="35">
        <v>1557</v>
      </c>
      <c r="AQ102" s="35"/>
      <c r="AR102" s="34">
        <f t="shared" si="25"/>
        <v>392</v>
      </c>
      <c r="AS102" s="35">
        <v>391</v>
      </c>
      <c r="AT102" s="35">
        <v>1560</v>
      </c>
      <c r="AU102" s="35">
        <f t="shared" si="26"/>
        <v>394</v>
      </c>
      <c r="AV102" s="6">
        <v>764</v>
      </c>
      <c r="AW102" s="6"/>
      <c r="AX102" s="35">
        <f t="shared" si="27"/>
        <v>373</v>
      </c>
      <c r="AY102" s="35">
        <v>175</v>
      </c>
      <c r="AZ102" s="35">
        <v>937</v>
      </c>
      <c r="BA102" s="35">
        <f t="shared" si="28"/>
        <v>348</v>
      </c>
      <c r="BB102" s="6">
        <v>515</v>
      </c>
      <c r="BC102" s="6"/>
      <c r="BD102" s="35">
        <f t="shared" si="29"/>
        <v>340</v>
      </c>
      <c r="BE102" s="35"/>
      <c r="BF102" s="6"/>
      <c r="BG102" s="35"/>
      <c r="BH102" s="6">
        <v>315</v>
      </c>
      <c r="BI102" s="6">
        <v>548</v>
      </c>
      <c r="BJ102" s="35">
        <f t="shared" si="30"/>
        <v>348</v>
      </c>
      <c r="BK102" s="35">
        <v>282</v>
      </c>
      <c r="BL102" s="35">
        <v>395</v>
      </c>
      <c r="BM102" s="6">
        <f t="shared" si="31"/>
        <v>362</v>
      </c>
      <c r="BN102" s="6">
        <v>663</v>
      </c>
      <c r="BO102" s="6"/>
      <c r="BP102" s="6">
        <f t="shared" si="32"/>
        <v>381</v>
      </c>
      <c r="BQ102" s="6">
        <v>1041</v>
      </c>
      <c r="BR102" s="6"/>
      <c r="BS102" s="35">
        <f t="shared" si="33"/>
        <v>378</v>
      </c>
      <c r="BT102" s="6">
        <v>1420</v>
      </c>
      <c r="BU102" s="6"/>
      <c r="BV102" s="6">
        <f t="shared" si="34"/>
        <v>379</v>
      </c>
      <c r="BW102" s="6">
        <v>209</v>
      </c>
      <c r="BX102" s="6">
        <v>1560</v>
      </c>
      <c r="BY102" s="35">
        <f t="shared" si="35"/>
        <v>349</v>
      </c>
      <c r="BZ102" s="6"/>
      <c r="CA102" s="35"/>
      <c r="CB102" s="6"/>
      <c r="CC102" s="6">
        <v>592</v>
      </c>
      <c r="CD102" s="6"/>
      <c r="CE102" s="6">
        <f t="shared" si="36"/>
        <v>383</v>
      </c>
      <c r="CF102" s="6">
        <v>972</v>
      </c>
      <c r="CG102" s="35"/>
      <c r="CH102" s="6">
        <f t="shared" si="37"/>
        <v>380</v>
      </c>
      <c r="CI102" s="6">
        <v>1355</v>
      </c>
      <c r="CJ102" s="6"/>
      <c r="CK102" s="6">
        <f t="shared" si="38"/>
        <v>383</v>
      </c>
      <c r="CL102" s="6">
        <v>176</v>
      </c>
      <c r="CM102" s="6">
        <v>1560</v>
      </c>
      <c r="CN102" s="6">
        <f t="shared" si="39"/>
        <v>381</v>
      </c>
      <c r="CO102" s="6">
        <v>550</v>
      </c>
      <c r="CP102" s="6"/>
      <c r="CQ102" s="6">
        <f t="shared" si="40"/>
        <v>374</v>
      </c>
      <c r="CR102" s="6">
        <v>912</v>
      </c>
      <c r="CS102" s="6"/>
      <c r="CT102" s="6">
        <f t="shared" si="41"/>
        <v>362</v>
      </c>
      <c r="CU102" s="6"/>
      <c r="CV102" s="6"/>
      <c r="CW102" s="6"/>
      <c r="CX102" s="6">
        <v>1289</v>
      </c>
      <c r="CY102" s="6"/>
      <c r="CZ102" s="6">
        <f t="shared" si="42"/>
        <v>377</v>
      </c>
      <c r="DA102" s="6">
        <v>62</v>
      </c>
      <c r="DB102" s="6">
        <v>1560</v>
      </c>
      <c r="DC102" s="6">
        <f t="shared" si="43"/>
        <v>333</v>
      </c>
      <c r="DD102" s="6">
        <v>439</v>
      </c>
      <c r="DE102" s="6"/>
      <c r="DF102" s="6">
        <f t="shared" si="44"/>
        <v>377</v>
      </c>
      <c r="DG102" s="6">
        <v>800</v>
      </c>
      <c r="DH102" s="6"/>
      <c r="DI102" s="6">
        <f t="shared" si="45"/>
        <v>361</v>
      </c>
      <c r="DJ102" s="6">
        <v>343</v>
      </c>
      <c r="DK102" s="6">
        <v>800</v>
      </c>
      <c r="DL102" s="6">
        <f t="shared" si="46"/>
        <v>343</v>
      </c>
      <c r="DM102" s="6">
        <v>687</v>
      </c>
      <c r="DN102" s="6"/>
      <c r="DO102" s="6">
        <f t="shared" si="47"/>
        <v>344</v>
      </c>
    </row>
    <row r="103" spans="1:119">
      <c r="A103" s="6">
        <v>99</v>
      </c>
      <c r="B103" s="6">
        <v>152</v>
      </c>
      <c r="C103" s="6">
        <v>1560</v>
      </c>
      <c r="D103" s="6">
        <v>200</v>
      </c>
      <c r="E103" s="33" t="s">
        <v>37</v>
      </c>
      <c r="F103" s="33" t="s">
        <v>37</v>
      </c>
      <c r="G103" s="33" t="s">
        <v>37</v>
      </c>
      <c r="H103" s="33" t="s">
        <v>37</v>
      </c>
      <c r="I103" s="33" t="s">
        <v>37</v>
      </c>
      <c r="J103" s="33" t="s">
        <v>37</v>
      </c>
      <c r="K103" s="33" t="s">
        <v>37</v>
      </c>
      <c r="L103" s="33" t="s">
        <v>37</v>
      </c>
      <c r="M103" s="33" t="s">
        <v>37</v>
      </c>
      <c r="N103" s="33" t="s">
        <v>37</v>
      </c>
      <c r="O103" s="33" t="s">
        <v>37</v>
      </c>
      <c r="P103" s="33" t="s">
        <v>37</v>
      </c>
      <c r="Q103" s="33" t="s">
        <v>37</v>
      </c>
      <c r="R103" s="33" t="s">
        <v>37</v>
      </c>
      <c r="S103" s="148" t="s">
        <v>307</v>
      </c>
      <c r="T103" s="33" t="s">
        <v>307</v>
      </c>
      <c r="U103" s="33" t="s">
        <v>307</v>
      </c>
      <c r="V103" s="33" t="s">
        <v>307</v>
      </c>
      <c r="W103" s="33" t="s">
        <v>307</v>
      </c>
      <c r="X103" s="33" t="s">
        <v>307</v>
      </c>
      <c r="Y103" s="33" t="s">
        <v>307</v>
      </c>
      <c r="Z103" s="33" t="s">
        <v>307</v>
      </c>
      <c r="AA103" s="33" t="s">
        <v>307</v>
      </c>
      <c r="AB103" s="33" t="s">
        <v>307</v>
      </c>
      <c r="AC103" s="33" t="s">
        <v>307</v>
      </c>
      <c r="AD103" s="6"/>
      <c r="AE103" s="6"/>
      <c r="AF103" s="35"/>
      <c r="AG103" s="6"/>
      <c r="AH103" s="6"/>
      <c r="AI103" s="35"/>
      <c r="AJ103" s="35"/>
      <c r="AK103" s="35"/>
      <c r="AL103" s="35"/>
      <c r="AM103" s="6">
        <v>555</v>
      </c>
      <c r="AN103" s="6"/>
      <c r="AO103" s="35">
        <f t="shared" si="24"/>
        <v>403</v>
      </c>
      <c r="AP103" s="6">
        <v>926</v>
      </c>
      <c r="AQ103" s="6"/>
      <c r="AR103" s="34">
        <f t="shared" si="25"/>
        <v>371</v>
      </c>
      <c r="AS103" s="35">
        <v>1301</v>
      </c>
      <c r="AT103" s="35"/>
      <c r="AU103" s="35">
        <f t="shared" si="26"/>
        <v>375</v>
      </c>
      <c r="AV103" s="6">
        <v>120</v>
      </c>
      <c r="AW103" s="6">
        <v>1560</v>
      </c>
      <c r="AX103" s="35">
        <f t="shared" si="27"/>
        <v>379</v>
      </c>
      <c r="AY103" s="6">
        <v>498</v>
      </c>
      <c r="AZ103" s="6"/>
      <c r="BA103" s="35">
        <f t="shared" si="28"/>
        <v>378</v>
      </c>
      <c r="BB103" s="35">
        <v>868</v>
      </c>
      <c r="BC103" s="35"/>
      <c r="BD103" s="35">
        <f t="shared" si="29"/>
        <v>370</v>
      </c>
      <c r="BE103" s="6"/>
      <c r="BF103" s="6"/>
      <c r="BG103" s="35"/>
      <c r="BH103" s="6">
        <v>1252</v>
      </c>
      <c r="BI103" s="6"/>
      <c r="BJ103" s="35">
        <f t="shared" si="30"/>
        <v>384</v>
      </c>
      <c r="BK103" s="6">
        <v>63</v>
      </c>
      <c r="BL103" s="6">
        <v>1560</v>
      </c>
      <c r="BM103" s="6">
        <f t="shared" si="31"/>
        <v>371</v>
      </c>
      <c r="BN103" s="6">
        <v>439</v>
      </c>
      <c r="BO103" s="6"/>
      <c r="BP103" s="6">
        <f t="shared" si="32"/>
        <v>376</v>
      </c>
      <c r="BQ103" s="6">
        <v>818</v>
      </c>
      <c r="BR103" s="6"/>
      <c r="BS103" s="35">
        <f t="shared" si="33"/>
        <v>379</v>
      </c>
      <c r="BT103" s="6">
        <v>1194</v>
      </c>
      <c r="BU103" s="6"/>
      <c r="BV103" s="6">
        <f t="shared" si="34"/>
        <v>376</v>
      </c>
      <c r="BW103" s="6">
        <v>1553</v>
      </c>
      <c r="BX103" s="6"/>
      <c r="BY103" s="35">
        <f t="shared" si="35"/>
        <v>359</v>
      </c>
      <c r="BZ103" s="6"/>
      <c r="CA103" s="6"/>
      <c r="CB103" s="6"/>
      <c r="CC103" s="6">
        <v>378</v>
      </c>
      <c r="CD103" s="6">
        <v>1560</v>
      </c>
      <c r="CE103" s="6">
        <f t="shared" si="36"/>
        <v>385</v>
      </c>
      <c r="CF103" s="6">
        <v>295</v>
      </c>
      <c r="CG103" s="6">
        <v>426</v>
      </c>
      <c r="CH103" s="6">
        <f t="shared" si="37"/>
        <v>343</v>
      </c>
      <c r="CI103" s="6">
        <v>673</v>
      </c>
      <c r="CJ103" s="6"/>
      <c r="CK103" s="6">
        <f t="shared" si="38"/>
        <v>378</v>
      </c>
      <c r="CL103" s="6">
        <v>1050</v>
      </c>
      <c r="CM103" s="6"/>
      <c r="CN103" s="6">
        <f t="shared" si="39"/>
        <v>377</v>
      </c>
      <c r="CO103" s="6">
        <v>1409</v>
      </c>
      <c r="CP103" s="6"/>
      <c r="CQ103" s="6">
        <f t="shared" si="40"/>
        <v>359</v>
      </c>
      <c r="CR103" s="6">
        <v>235</v>
      </c>
      <c r="CS103" s="6">
        <v>1519</v>
      </c>
      <c r="CT103" s="6">
        <f t="shared" si="41"/>
        <v>345</v>
      </c>
      <c r="CU103" s="6"/>
      <c r="CV103" s="6"/>
      <c r="CW103" s="6"/>
      <c r="CX103" s="6">
        <v>630</v>
      </c>
      <c r="CY103" s="6"/>
      <c r="CZ103" s="6">
        <f t="shared" si="42"/>
        <v>395</v>
      </c>
      <c r="DA103" s="6">
        <v>1013</v>
      </c>
      <c r="DB103" s="6"/>
      <c r="DC103" s="6">
        <f t="shared" si="43"/>
        <v>383</v>
      </c>
      <c r="DD103" s="6">
        <v>31</v>
      </c>
      <c r="DE103" s="6">
        <v>1354</v>
      </c>
      <c r="DF103" s="6">
        <f t="shared" si="44"/>
        <v>372</v>
      </c>
      <c r="DG103" s="6">
        <v>404</v>
      </c>
      <c r="DH103" s="6"/>
      <c r="DI103" s="6">
        <f t="shared" si="45"/>
        <v>373</v>
      </c>
      <c r="DJ103" s="6">
        <v>786</v>
      </c>
      <c r="DK103" s="6"/>
      <c r="DL103" s="6">
        <f t="shared" si="46"/>
        <v>382</v>
      </c>
      <c r="DM103" s="6">
        <v>1139</v>
      </c>
      <c r="DN103" s="6"/>
      <c r="DO103" s="6">
        <f t="shared" si="47"/>
        <v>353</v>
      </c>
    </row>
    <row r="104" spans="1:119">
      <c r="A104" s="6">
        <v>100</v>
      </c>
      <c r="B104" s="6">
        <v>1331</v>
      </c>
      <c r="C104" s="6"/>
      <c r="D104" s="6">
        <v>214</v>
      </c>
      <c r="E104" s="33" t="s">
        <v>307</v>
      </c>
      <c r="F104" s="33" t="s">
        <v>307</v>
      </c>
      <c r="G104" s="33" t="s">
        <v>307</v>
      </c>
      <c r="H104" s="33" t="s">
        <v>307</v>
      </c>
      <c r="I104" s="33" t="s">
        <v>307</v>
      </c>
      <c r="J104" s="33" t="s">
        <v>307</v>
      </c>
      <c r="K104" s="33" t="s">
        <v>307</v>
      </c>
      <c r="L104" s="33" t="s">
        <v>307</v>
      </c>
      <c r="M104" s="33" t="s">
        <v>307</v>
      </c>
      <c r="N104" s="33" t="s">
        <v>307</v>
      </c>
      <c r="O104" s="33" t="s">
        <v>307</v>
      </c>
      <c r="P104" s="33" t="s">
        <v>307</v>
      </c>
      <c r="Q104" s="33" t="s">
        <v>307</v>
      </c>
      <c r="R104" s="33" t="s">
        <v>307</v>
      </c>
      <c r="S104" s="33" t="s">
        <v>307</v>
      </c>
      <c r="T104" s="33" t="s">
        <v>307</v>
      </c>
      <c r="U104" s="33" t="s">
        <v>307</v>
      </c>
      <c r="V104" s="33" t="s">
        <v>307</v>
      </c>
      <c r="W104" s="148" t="s">
        <v>307</v>
      </c>
      <c r="X104" s="33" t="s">
        <v>307</v>
      </c>
      <c r="Y104" s="33" t="s">
        <v>307</v>
      </c>
      <c r="Z104" s="33" t="s">
        <v>307</v>
      </c>
      <c r="AA104" s="33" t="s">
        <v>307</v>
      </c>
      <c r="AB104" s="33" t="s">
        <v>307</v>
      </c>
      <c r="AC104" s="33" t="s">
        <v>307</v>
      </c>
      <c r="AD104" s="35"/>
      <c r="AE104" s="35"/>
      <c r="AF104" s="35"/>
      <c r="AG104" s="35"/>
      <c r="AH104" s="35"/>
      <c r="AI104" s="35"/>
      <c r="AJ104" s="35"/>
      <c r="AK104" s="35"/>
      <c r="AL104" s="35"/>
      <c r="AM104" s="6">
        <v>183</v>
      </c>
      <c r="AN104" s="6">
        <v>1560</v>
      </c>
      <c r="AO104" s="35">
        <f t="shared" si="24"/>
        <v>412</v>
      </c>
      <c r="AP104" s="6">
        <v>576</v>
      </c>
      <c r="AQ104" s="6"/>
      <c r="AR104" s="34">
        <f t="shared" si="25"/>
        <v>393</v>
      </c>
      <c r="AS104" s="35">
        <v>974</v>
      </c>
      <c r="AT104" s="35"/>
      <c r="AU104" s="35">
        <f t="shared" si="26"/>
        <v>398</v>
      </c>
      <c r="AV104" s="6">
        <v>1358</v>
      </c>
      <c r="AW104" s="6"/>
      <c r="AX104" s="35">
        <f t="shared" si="27"/>
        <v>384</v>
      </c>
      <c r="AY104" s="6">
        <v>193</v>
      </c>
      <c r="AZ104" s="6">
        <v>1560</v>
      </c>
      <c r="BA104" s="35">
        <f t="shared" si="28"/>
        <v>395</v>
      </c>
      <c r="BB104" s="35">
        <v>573</v>
      </c>
      <c r="BC104" s="35"/>
      <c r="BD104" s="35">
        <f t="shared" si="29"/>
        <v>380</v>
      </c>
      <c r="BE104" s="6"/>
      <c r="BF104" s="6"/>
      <c r="BG104" s="35"/>
      <c r="BH104" s="6">
        <v>964</v>
      </c>
      <c r="BI104" s="6"/>
      <c r="BJ104" s="35">
        <f t="shared" si="30"/>
        <v>391</v>
      </c>
      <c r="BK104" s="6">
        <v>291</v>
      </c>
      <c r="BL104" s="6">
        <v>1049</v>
      </c>
      <c r="BM104" s="6">
        <f t="shared" si="31"/>
        <v>376</v>
      </c>
      <c r="BN104" s="6">
        <v>683</v>
      </c>
      <c r="BO104" s="6"/>
      <c r="BP104" s="6">
        <f t="shared" si="32"/>
        <v>392</v>
      </c>
      <c r="BQ104" s="6">
        <v>1071</v>
      </c>
      <c r="BR104" s="6"/>
      <c r="BS104" s="35">
        <f t="shared" si="33"/>
        <v>388</v>
      </c>
      <c r="BT104" s="6">
        <v>1470</v>
      </c>
      <c r="BU104" s="6"/>
      <c r="BV104" s="6">
        <f t="shared" si="34"/>
        <v>399</v>
      </c>
      <c r="BW104" s="6">
        <v>289</v>
      </c>
      <c r="BX104" s="6">
        <v>1560</v>
      </c>
      <c r="BY104" s="35">
        <f t="shared" si="35"/>
        <v>379</v>
      </c>
      <c r="BZ104" s="6"/>
      <c r="CA104" s="6"/>
      <c r="CB104" s="6"/>
      <c r="CC104" s="6">
        <v>689</v>
      </c>
      <c r="CD104" s="6"/>
      <c r="CE104" s="6">
        <f t="shared" si="36"/>
        <v>400</v>
      </c>
      <c r="CF104" s="6">
        <v>1068</v>
      </c>
      <c r="CG104" s="6"/>
      <c r="CH104" s="6">
        <f t="shared" si="37"/>
        <v>379</v>
      </c>
      <c r="CI104" s="6">
        <v>1456</v>
      </c>
      <c r="CJ104" s="6"/>
      <c r="CK104" s="6">
        <f t="shared" si="38"/>
        <v>388</v>
      </c>
      <c r="CL104" s="6">
        <v>1839</v>
      </c>
      <c r="CM104" s="6"/>
      <c r="CN104" s="6">
        <f t="shared" si="39"/>
        <v>383</v>
      </c>
      <c r="CO104" s="6">
        <v>0</v>
      </c>
      <c r="CP104" s="6">
        <v>2135</v>
      </c>
      <c r="CQ104" s="6">
        <f t="shared" si="40"/>
        <v>296</v>
      </c>
      <c r="CR104" s="6">
        <v>348</v>
      </c>
      <c r="CS104" s="6"/>
      <c r="CT104" s="6">
        <f t="shared" si="41"/>
        <v>348</v>
      </c>
      <c r="CU104" s="6"/>
      <c r="CV104" s="6"/>
      <c r="CW104" s="6"/>
      <c r="CX104" s="6">
        <v>736</v>
      </c>
      <c r="CY104" s="6"/>
      <c r="CZ104" s="6">
        <f t="shared" si="42"/>
        <v>388</v>
      </c>
      <c r="DA104" s="6">
        <v>1102</v>
      </c>
      <c r="DB104" s="6"/>
      <c r="DC104" s="6">
        <f t="shared" si="43"/>
        <v>366</v>
      </c>
      <c r="DD104" s="6">
        <v>1492</v>
      </c>
      <c r="DE104" s="6"/>
      <c r="DF104" s="6">
        <f t="shared" si="44"/>
        <v>390</v>
      </c>
      <c r="DG104" s="6">
        <v>323</v>
      </c>
      <c r="DH104" s="6">
        <v>1560</v>
      </c>
      <c r="DI104" s="6">
        <f t="shared" si="45"/>
        <v>391</v>
      </c>
      <c r="DJ104" s="6">
        <v>710</v>
      </c>
      <c r="DK104" s="6"/>
      <c r="DL104" s="6">
        <f t="shared" si="46"/>
        <v>387</v>
      </c>
      <c r="DM104" s="6">
        <v>1063</v>
      </c>
      <c r="DN104" s="6"/>
      <c r="DO104" s="6">
        <f t="shared" si="47"/>
        <v>353</v>
      </c>
    </row>
    <row r="105" spans="1:119">
      <c r="A105" s="6">
        <v>101</v>
      </c>
      <c r="B105" s="6">
        <v>347</v>
      </c>
      <c r="C105" s="6"/>
      <c r="D105" s="6">
        <v>207</v>
      </c>
      <c r="E105" s="33" t="s">
        <v>307</v>
      </c>
      <c r="F105" s="33" t="s">
        <v>307</v>
      </c>
      <c r="G105" s="33" t="s">
        <v>307</v>
      </c>
      <c r="H105" s="33" t="s">
        <v>307</v>
      </c>
      <c r="I105" s="33" t="s">
        <v>307</v>
      </c>
      <c r="J105" s="33" t="s">
        <v>307</v>
      </c>
      <c r="K105" s="33" t="s">
        <v>307</v>
      </c>
      <c r="L105" s="33" t="s">
        <v>307</v>
      </c>
      <c r="M105" s="33" t="s">
        <v>307</v>
      </c>
      <c r="N105" s="33" t="s">
        <v>307</v>
      </c>
      <c r="O105" s="33" t="s">
        <v>307</v>
      </c>
      <c r="P105" s="33" t="s">
        <v>307</v>
      </c>
      <c r="Q105" s="33" t="s">
        <v>307</v>
      </c>
      <c r="R105" s="33" t="s">
        <v>307</v>
      </c>
      <c r="S105" s="33" t="s">
        <v>307</v>
      </c>
      <c r="T105" s="33" t="s">
        <v>307</v>
      </c>
      <c r="U105" s="148" t="s">
        <v>307</v>
      </c>
      <c r="V105" s="33" t="s">
        <v>307</v>
      </c>
      <c r="W105" s="33" t="s">
        <v>307</v>
      </c>
      <c r="X105" s="33" t="s">
        <v>307</v>
      </c>
      <c r="Y105" s="33" t="s">
        <v>307</v>
      </c>
      <c r="Z105" s="33" t="s">
        <v>307</v>
      </c>
      <c r="AA105" s="33" t="s">
        <v>307</v>
      </c>
      <c r="AB105" s="33" t="s">
        <v>307</v>
      </c>
      <c r="AC105" s="33" t="s">
        <v>307</v>
      </c>
      <c r="AD105" s="6"/>
      <c r="AE105" s="6"/>
      <c r="AF105" s="35"/>
      <c r="AG105" s="6"/>
      <c r="AH105" s="6"/>
      <c r="AI105" s="35"/>
      <c r="AJ105" s="35"/>
      <c r="AK105" s="35"/>
      <c r="AL105" s="35"/>
      <c r="AM105" s="6">
        <v>757</v>
      </c>
      <c r="AN105" s="6"/>
      <c r="AO105" s="35">
        <f t="shared" si="24"/>
        <v>410</v>
      </c>
      <c r="AP105" s="6">
        <v>1139</v>
      </c>
      <c r="AQ105" s="6"/>
      <c r="AR105" s="34">
        <f t="shared" si="25"/>
        <v>382</v>
      </c>
      <c r="AS105" s="35">
        <v>1518</v>
      </c>
      <c r="AT105" s="35"/>
      <c r="AU105" s="35">
        <f t="shared" si="26"/>
        <v>379</v>
      </c>
      <c r="AV105" s="6">
        <v>334</v>
      </c>
      <c r="AW105" s="6">
        <v>1560</v>
      </c>
      <c r="AX105" s="35">
        <f t="shared" si="27"/>
        <v>376</v>
      </c>
      <c r="AY105" s="6">
        <v>720</v>
      </c>
      <c r="AZ105" s="6"/>
      <c r="BA105" s="35">
        <f t="shared" si="28"/>
        <v>386</v>
      </c>
      <c r="BB105" s="35">
        <v>1077</v>
      </c>
      <c r="BC105" s="35"/>
      <c r="BD105" s="35">
        <f t="shared" si="29"/>
        <v>357</v>
      </c>
      <c r="BE105" s="6"/>
      <c r="BF105" s="6"/>
      <c r="BG105" s="35"/>
      <c r="BH105" s="35">
        <v>378</v>
      </c>
      <c r="BI105" s="6">
        <v>1080</v>
      </c>
      <c r="BJ105" s="35">
        <f t="shared" si="30"/>
        <v>381</v>
      </c>
      <c r="BK105" s="6">
        <v>46</v>
      </c>
      <c r="BL105" s="6">
        <v>716</v>
      </c>
      <c r="BM105" s="6">
        <f t="shared" si="31"/>
        <v>384</v>
      </c>
      <c r="BN105" s="6">
        <v>441</v>
      </c>
      <c r="BO105" s="6"/>
      <c r="BP105" s="6">
        <f t="shared" si="32"/>
        <v>395</v>
      </c>
      <c r="BQ105" s="6">
        <v>827</v>
      </c>
      <c r="BR105" s="6"/>
      <c r="BS105" s="35">
        <f t="shared" si="33"/>
        <v>386</v>
      </c>
      <c r="BT105" s="6">
        <v>1215</v>
      </c>
      <c r="BU105" s="6"/>
      <c r="BV105" s="6">
        <f t="shared" si="34"/>
        <v>388</v>
      </c>
      <c r="BW105" s="6">
        <v>19</v>
      </c>
      <c r="BX105" s="6">
        <v>1554</v>
      </c>
      <c r="BY105" s="35">
        <f t="shared" si="35"/>
        <v>358</v>
      </c>
      <c r="BZ105" s="6"/>
      <c r="CA105" s="6"/>
      <c r="CB105" s="6"/>
      <c r="CC105" s="6">
        <v>422</v>
      </c>
      <c r="CD105" s="6"/>
      <c r="CE105" s="6">
        <f t="shared" si="36"/>
        <v>403</v>
      </c>
      <c r="CF105" s="6">
        <v>815</v>
      </c>
      <c r="CG105" s="6"/>
      <c r="CH105" s="6">
        <f t="shared" si="37"/>
        <v>393</v>
      </c>
      <c r="CI105" s="6">
        <v>0</v>
      </c>
      <c r="CJ105" s="6">
        <v>1204</v>
      </c>
      <c r="CK105" s="6">
        <f t="shared" si="38"/>
        <v>389</v>
      </c>
      <c r="CL105" s="6">
        <v>357</v>
      </c>
      <c r="CM105" s="6"/>
      <c r="CN105" s="6">
        <f t="shared" si="39"/>
        <v>357</v>
      </c>
      <c r="CO105" s="6">
        <v>730</v>
      </c>
      <c r="CP105" s="6"/>
      <c r="CQ105" s="6">
        <f t="shared" si="40"/>
        <v>373</v>
      </c>
      <c r="CR105" s="6">
        <v>1095</v>
      </c>
      <c r="CS105" s="6"/>
      <c r="CT105" s="6">
        <f t="shared" si="41"/>
        <v>365</v>
      </c>
      <c r="CU105" s="6"/>
      <c r="CV105" s="6"/>
      <c r="CW105" s="6"/>
      <c r="CX105" s="6">
        <v>1490</v>
      </c>
      <c r="CY105" s="6"/>
      <c r="CZ105" s="6">
        <f t="shared" si="42"/>
        <v>395</v>
      </c>
      <c r="DA105" s="6">
        <v>315</v>
      </c>
      <c r="DB105" s="6">
        <v>1560</v>
      </c>
      <c r="DC105" s="6">
        <f t="shared" si="43"/>
        <v>385</v>
      </c>
      <c r="DD105" s="6">
        <v>706</v>
      </c>
      <c r="DE105" s="6"/>
      <c r="DF105" s="6">
        <f t="shared" si="44"/>
        <v>391</v>
      </c>
      <c r="DG105" s="6">
        <v>1097</v>
      </c>
      <c r="DH105" s="6"/>
      <c r="DI105" s="6">
        <f t="shared" si="45"/>
        <v>391</v>
      </c>
      <c r="DJ105" s="6">
        <v>1492</v>
      </c>
      <c r="DK105" s="6"/>
      <c r="DL105" s="6">
        <f t="shared" si="46"/>
        <v>395</v>
      </c>
      <c r="DM105" s="6">
        <v>281</v>
      </c>
      <c r="DN105" s="6">
        <v>1560</v>
      </c>
      <c r="DO105" s="6">
        <f t="shared" si="47"/>
        <v>349</v>
      </c>
    </row>
    <row r="106" spans="1:119">
      <c r="A106" s="6">
        <v>102</v>
      </c>
      <c r="B106" s="6">
        <v>627</v>
      </c>
      <c r="C106" s="6"/>
      <c r="D106" s="6">
        <v>215</v>
      </c>
      <c r="E106" s="33" t="s">
        <v>128</v>
      </c>
      <c r="F106" s="33" t="s">
        <v>128</v>
      </c>
      <c r="G106" s="33" t="s">
        <v>128</v>
      </c>
      <c r="H106" s="33" t="s">
        <v>128</v>
      </c>
      <c r="I106" s="33" t="s">
        <v>128</v>
      </c>
      <c r="J106" s="33" t="s">
        <v>128</v>
      </c>
      <c r="K106" s="33" t="s">
        <v>128</v>
      </c>
      <c r="L106" s="148" t="s">
        <v>37</v>
      </c>
      <c r="M106" s="33" t="s">
        <v>37</v>
      </c>
      <c r="N106" s="33" t="s">
        <v>37</v>
      </c>
      <c r="O106" s="33" t="s">
        <v>37</v>
      </c>
      <c r="P106" s="33" t="s">
        <v>37</v>
      </c>
      <c r="Q106" s="33" t="s">
        <v>37</v>
      </c>
      <c r="R106" s="33" t="s">
        <v>37</v>
      </c>
      <c r="S106" s="33" t="s">
        <v>37</v>
      </c>
      <c r="T106" s="33" t="s">
        <v>37</v>
      </c>
      <c r="U106" s="33" t="s">
        <v>37</v>
      </c>
      <c r="V106" s="33" t="s">
        <v>37</v>
      </c>
      <c r="W106" s="33" t="s">
        <v>37</v>
      </c>
      <c r="X106" s="33" t="s">
        <v>37</v>
      </c>
      <c r="Y106" s="33" t="s">
        <v>37</v>
      </c>
      <c r="Z106" s="33" t="s">
        <v>37</v>
      </c>
      <c r="AA106" s="33" t="s">
        <v>37</v>
      </c>
      <c r="AB106" s="33" t="s">
        <v>37</v>
      </c>
      <c r="AC106" s="33" t="s">
        <v>37</v>
      </c>
      <c r="AD106" s="6"/>
      <c r="AE106" s="6"/>
      <c r="AF106" s="35"/>
      <c r="AG106" s="6"/>
      <c r="AH106" s="6"/>
      <c r="AI106" s="35"/>
      <c r="AJ106" s="35"/>
      <c r="AK106" s="35"/>
      <c r="AL106" s="35"/>
      <c r="AM106" s="6">
        <v>1040</v>
      </c>
      <c r="AN106" s="6"/>
      <c r="AO106" s="35">
        <f t="shared" si="24"/>
        <v>413</v>
      </c>
      <c r="AP106" s="6">
        <v>1434</v>
      </c>
      <c r="AQ106" s="6"/>
      <c r="AR106" s="34">
        <f t="shared" si="25"/>
        <v>394</v>
      </c>
      <c r="AS106" s="35">
        <v>271</v>
      </c>
      <c r="AT106" s="35">
        <v>1560</v>
      </c>
      <c r="AU106" s="35">
        <f t="shared" si="26"/>
        <v>397</v>
      </c>
      <c r="AV106" s="6">
        <v>671</v>
      </c>
      <c r="AW106" s="6"/>
      <c r="AX106" s="35">
        <f t="shared" si="27"/>
        <v>400</v>
      </c>
      <c r="AY106" s="6">
        <v>1071</v>
      </c>
      <c r="AZ106" s="6"/>
      <c r="BA106" s="35">
        <f t="shared" si="28"/>
        <v>400</v>
      </c>
      <c r="BB106" s="35">
        <v>65</v>
      </c>
      <c r="BC106" s="35">
        <v>1390</v>
      </c>
      <c r="BD106" s="35">
        <f t="shared" si="29"/>
        <v>384</v>
      </c>
      <c r="BE106" s="35"/>
      <c r="BF106" s="6"/>
      <c r="BG106" s="35"/>
      <c r="BH106" s="6">
        <f>135</f>
        <v>135</v>
      </c>
      <c r="BI106" s="6">
        <f>178+127</f>
        <v>305</v>
      </c>
      <c r="BJ106" s="35">
        <f t="shared" si="30"/>
        <v>375</v>
      </c>
      <c r="BK106" s="35">
        <v>527</v>
      </c>
      <c r="BL106" s="6"/>
      <c r="BM106" s="6">
        <f t="shared" si="31"/>
        <v>392</v>
      </c>
      <c r="BN106" s="6">
        <v>897</v>
      </c>
      <c r="BO106" s="6"/>
      <c r="BP106" s="6">
        <f t="shared" si="32"/>
        <v>370</v>
      </c>
      <c r="BQ106" s="6">
        <v>1279</v>
      </c>
      <c r="BR106" s="6"/>
      <c r="BS106" s="35">
        <f t="shared" si="33"/>
        <v>382</v>
      </c>
      <c r="BT106" s="6">
        <v>99</v>
      </c>
      <c r="BU106" s="6">
        <v>1560</v>
      </c>
      <c r="BV106" s="6">
        <f t="shared" si="34"/>
        <v>380</v>
      </c>
      <c r="BW106" s="6">
        <v>460</v>
      </c>
      <c r="BX106" s="6"/>
      <c r="BY106" s="35">
        <f t="shared" si="35"/>
        <v>361</v>
      </c>
      <c r="BZ106" s="6"/>
      <c r="CA106" s="6"/>
      <c r="CB106" s="6"/>
      <c r="CC106" s="6">
        <v>839</v>
      </c>
      <c r="CD106" s="6"/>
      <c r="CE106" s="6">
        <f t="shared" si="36"/>
        <v>379</v>
      </c>
      <c r="CF106" s="6">
        <v>1201</v>
      </c>
      <c r="CG106" s="6"/>
      <c r="CH106" s="6">
        <f t="shared" si="37"/>
        <v>362</v>
      </c>
      <c r="CI106" s="6">
        <v>11</v>
      </c>
      <c r="CJ106" s="6">
        <v>1560</v>
      </c>
      <c r="CK106" s="6">
        <f t="shared" si="38"/>
        <v>370</v>
      </c>
      <c r="CL106" s="6">
        <v>390</v>
      </c>
      <c r="CM106" s="6"/>
      <c r="CN106" s="6">
        <f t="shared" si="39"/>
        <v>379</v>
      </c>
      <c r="CO106" s="6">
        <v>769</v>
      </c>
      <c r="CP106" s="6"/>
      <c r="CQ106" s="6">
        <f t="shared" si="40"/>
        <v>379</v>
      </c>
      <c r="CR106" s="6">
        <v>1136</v>
      </c>
      <c r="CS106" s="6"/>
      <c r="CT106" s="6">
        <f t="shared" si="41"/>
        <v>367</v>
      </c>
      <c r="CU106" s="6"/>
      <c r="CV106" s="6"/>
      <c r="CW106" s="6"/>
      <c r="CX106" s="6">
        <v>1516</v>
      </c>
      <c r="CY106" s="6"/>
      <c r="CZ106" s="6">
        <f t="shared" si="42"/>
        <v>380</v>
      </c>
      <c r="DA106" s="6">
        <v>334</v>
      </c>
      <c r="DB106" s="6">
        <v>1560</v>
      </c>
      <c r="DC106" s="6">
        <f t="shared" si="43"/>
        <v>378</v>
      </c>
      <c r="DD106" s="6">
        <v>715</v>
      </c>
      <c r="DE106" s="6"/>
      <c r="DF106" s="6">
        <f t="shared" si="44"/>
        <v>381</v>
      </c>
      <c r="DG106" s="6">
        <v>1050</v>
      </c>
      <c r="DH106" s="6"/>
      <c r="DI106" s="6">
        <f t="shared" si="45"/>
        <v>335</v>
      </c>
      <c r="DJ106" s="6">
        <v>1431</v>
      </c>
      <c r="DK106" s="6"/>
      <c r="DL106" s="6">
        <f t="shared" si="46"/>
        <v>381</v>
      </c>
      <c r="DM106" s="6">
        <v>216</v>
      </c>
      <c r="DN106" s="6">
        <v>1560</v>
      </c>
      <c r="DO106" s="6">
        <f t="shared" si="47"/>
        <v>345</v>
      </c>
    </row>
    <row r="107" spans="1:119">
      <c r="A107" s="6">
        <v>103</v>
      </c>
      <c r="B107" s="6">
        <v>85</v>
      </c>
      <c r="C107" s="6">
        <v>1163</v>
      </c>
      <c r="D107" s="6">
        <v>172</v>
      </c>
      <c r="E107" s="33" t="s">
        <v>37</v>
      </c>
      <c r="F107" s="33" t="s">
        <v>37</v>
      </c>
      <c r="G107" s="33" t="s">
        <v>37</v>
      </c>
      <c r="H107" s="33" t="s">
        <v>37</v>
      </c>
      <c r="I107" s="33" t="s">
        <v>37</v>
      </c>
      <c r="J107" s="33" t="s">
        <v>37</v>
      </c>
      <c r="K107" s="33" t="s">
        <v>37</v>
      </c>
      <c r="L107" s="33" t="s">
        <v>37</v>
      </c>
      <c r="M107" s="33" t="s">
        <v>37</v>
      </c>
      <c r="N107" s="33" t="s">
        <v>37</v>
      </c>
      <c r="O107" s="33" t="s">
        <v>37</v>
      </c>
      <c r="P107" s="33" t="s">
        <v>37</v>
      </c>
      <c r="Q107" s="33" t="s">
        <v>37</v>
      </c>
      <c r="R107" s="33" t="s">
        <v>37</v>
      </c>
      <c r="S107" s="33" t="s">
        <v>37</v>
      </c>
      <c r="T107" s="148" t="s">
        <v>37</v>
      </c>
      <c r="U107" s="33" t="s">
        <v>37</v>
      </c>
      <c r="V107" s="33" t="s">
        <v>37</v>
      </c>
      <c r="W107" s="33" t="s">
        <v>37</v>
      </c>
      <c r="X107" s="33" t="s">
        <v>37</v>
      </c>
      <c r="Y107" s="33" t="s">
        <v>37</v>
      </c>
      <c r="Z107" s="33" t="s">
        <v>37</v>
      </c>
      <c r="AA107" s="33" t="s">
        <v>37</v>
      </c>
      <c r="AB107" s="33" t="s">
        <v>37</v>
      </c>
      <c r="AC107" s="33" t="s">
        <v>37</v>
      </c>
      <c r="AD107" s="6"/>
      <c r="AE107" s="6"/>
      <c r="AF107" s="35"/>
      <c r="AG107" s="6"/>
      <c r="AH107" s="6"/>
      <c r="AI107" s="35"/>
      <c r="AJ107" s="35"/>
      <c r="AK107" s="35"/>
      <c r="AL107" s="35"/>
      <c r="AM107" s="6">
        <v>458</v>
      </c>
      <c r="AN107" s="6"/>
      <c r="AO107" s="35">
        <f t="shared" si="24"/>
        <v>373</v>
      </c>
      <c r="AP107" s="6">
        <v>820</v>
      </c>
      <c r="AQ107" s="6"/>
      <c r="AR107" s="34">
        <f t="shared" si="25"/>
        <v>362</v>
      </c>
      <c r="AS107" s="35">
        <v>33</v>
      </c>
      <c r="AT107" s="35">
        <v>1147</v>
      </c>
      <c r="AU107" s="35">
        <f t="shared" si="26"/>
        <v>360</v>
      </c>
      <c r="AV107" s="6">
        <v>400</v>
      </c>
      <c r="AW107" s="6"/>
      <c r="AX107" s="35">
        <f t="shared" si="27"/>
        <v>367</v>
      </c>
      <c r="AY107" s="6">
        <v>97</v>
      </c>
      <c r="AZ107" s="6">
        <v>678</v>
      </c>
      <c r="BA107" s="35">
        <f t="shared" si="28"/>
        <v>375</v>
      </c>
      <c r="BB107" s="35">
        <v>51</v>
      </c>
      <c r="BC107" s="35">
        <v>413</v>
      </c>
      <c r="BD107" s="35">
        <f t="shared" si="29"/>
        <v>367</v>
      </c>
      <c r="BE107" s="6"/>
      <c r="BF107" s="6"/>
      <c r="BG107" s="35"/>
      <c r="BH107" s="6">
        <v>425</v>
      </c>
      <c r="BI107" s="6"/>
      <c r="BJ107" s="35">
        <f t="shared" si="30"/>
        <v>374</v>
      </c>
      <c r="BK107" s="6">
        <v>74</v>
      </c>
      <c r="BL107" s="6">
        <v>729</v>
      </c>
      <c r="BM107" s="6">
        <f t="shared" si="31"/>
        <v>378</v>
      </c>
      <c r="BN107" s="6">
        <v>453</v>
      </c>
      <c r="BO107" s="6"/>
      <c r="BP107" s="6">
        <f t="shared" si="32"/>
        <v>379</v>
      </c>
      <c r="BQ107" s="6">
        <v>836</v>
      </c>
      <c r="BR107" s="6"/>
      <c r="BS107" s="35">
        <f t="shared" si="33"/>
        <v>383</v>
      </c>
      <c r="BT107" s="6">
        <v>1194</v>
      </c>
      <c r="BU107" s="6"/>
      <c r="BV107" s="6">
        <f t="shared" si="34"/>
        <v>358</v>
      </c>
      <c r="BW107" s="6">
        <v>219</v>
      </c>
      <c r="BX107" s="6">
        <v>1318</v>
      </c>
      <c r="BY107" s="35">
        <f t="shared" si="35"/>
        <v>343</v>
      </c>
      <c r="BZ107" s="6"/>
      <c r="CA107" s="6"/>
      <c r="CB107" s="6"/>
      <c r="CC107" s="6">
        <v>598</v>
      </c>
      <c r="CD107" s="6"/>
      <c r="CE107" s="6">
        <f t="shared" si="36"/>
        <v>379</v>
      </c>
      <c r="CF107" s="6">
        <v>0</v>
      </c>
      <c r="CG107" s="6">
        <v>841</v>
      </c>
      <c r="CH107" s="6">
        <f t="shared" si="37"/>
        <v>243</v>
      </c>
      <c r="CI107" s="6">
        <v>349</v>
      </c>
      <c r="CJ107" s="6"/>
      <c r="CK107" s="6">
        <f t="shared" si="38"/>
        <v>349</v>
      </c>
      <c r="CL107" s="6">
        <v>730</v>
      </c>
      <c r="CM107" s="6"/>
      <c r="CN107" s="6">
        <f t="shared" si="39"/>
        <v>381</v>
      </c>
      <c r="CO107" s="6">
        <v>1113</v>
      </c>
      <c r="CP107" s="6"/>
      <c r="CQ107" s="6">
        <f t="shared" si="40"/>
        <v>383</v>
      </c>
      <c r="CR107" s="6">
        <v>1479</v>
      </c>
      <c r="CS107" s="6"/>
      <c r="CT107" s="6">
        <f t="shared" si="41"/>
        <v>366</v>
      </c>
      <c r="CU107" s="6"/>
      <c r="CV107" s="6"/>
      <c r="CW107" s="6"/>
      <c r="CX107" s="6">
        <v>297</v>
      </c>
      <c r="CY107" s="6">
        <v>1560</v>
      </c>
      <c r="CZ107" s="6">
        <f t="shared" si="42"/>
        <v>378</v>
      </c>
      <c r="DA107" s="6">
        <v>663</v>
      </c>
      <c r="DB107" s="6"/>
      <c r="DC107" s="6">
        <f t="shared" si="43"/>
        <v>366</v>
      </c>
      <c r="DD107" s="6">
        <v>1021</v>
      </c>
      <c r="DE107" s="6"/>
      <c r="DF107" s="6">
        <f t="shared" si="44"/>
        <v>358</v>
      </c>
      <c r="DG107" s="6">
        <v>155</v>
      </c>
      <c r="DH107" s="6">
        <v>1238</v>
      </c>
      <c r="DI107" s="6">
        <f t="shared" si="45"/>
        <v>372</v>
      </c>
      <c r="DJ107" s="6">
        <v>535</v>
      </c>
      <c r="DK107" s="6"/>
      <c r="DL107" s="6">
        <f t="shared" si="46"/>
        <v>380</v>
      </c>
      <c r="DM107" s="6">
        <v>881</v>
      </c>
      <c r="DN107" s="6"/>
      <c r="DO107" s="6">
        <f t="shared" si="47"/>
        <v>346</v>
      </c>
    </row>
    <row r="108" spans="1:119">
      <c r="A108" s="6">
        <v>104</v>
      </c>
      <c r="B108" s="6">
        <v>309</v>
      </c>
      <c r="C108" s="6"/>
      <c r="D108" s="6">
        <v>209</v>
      </c>
      <c r="E108" s="33" t="s">
        <v>128</v>
      </c>
      <c r="F108" s="33" t="s">
        <v>128</v>
      </c>
      <c r="G108" s="33" t="s">
        <v>128</v>
      </c>
      <c r="H108" s="33" t="s">
        <v>128</v>
      </c>
      <c r="I108" s="33" t="s">
        <v>128</v>
      </c>
      <c r="J108" s="33" t="s">
        <v>128</v>
      </c>
      <c r="K108" s="33" t="s">
        <v>128</v>
      </c>
      <c r="L108" s="33" t="s">
        <v>128</v>
      </c>
      <c r="M108" s="33" t="s">
        <v>128</v>
      </c>
      <c r="N108" s="33" t="s">
        <v>128</v>
      </c>
      <c r="O108" s="33" t="s">
        <v>128</v>
      </c>
      <c r="P108" s="33" t="s">
        <v>128</v>
      </c>
      <c r="Q108" s="148" t="s">
        <v>307</v>
      </c>
      <c r="R108" s="33" t="s">
        <v>307</v>
      </c>
      <c r="S108" s="33" t="s">
        <v>307</v>
      </c>
      <c r="T108" s="33" t="s">
        <v>307</v>
      </c>
      <c r="U108" s="33" t="s">
        <v>307</v>
      </c>
      <c r="V108" s="33" t="s">
        <v>307</v>
      </c>
      <c r="W108" s="33" t="s">
        <v>307</v>
      </c>
      <c r="X108" s="33" t="s">
        <v>307</v>
      </c>
      <c r="Y108" s="33" t="s">
        <v>307</v>
      </c>
      <c r="Z108" s="33" t="s">
        <v>307</v>
      </c>
      <c r="AA108" s="33" t="s">
        <v>307</v>
      </c>
      <c r="AB108" s="33" t="s">
        <v>307</v>
      </c>
      <c r="AC108" s="33" t="s">
        <v>307</v>
      </c>
      <c r="AD108" s="6"/>
      <c r="AE108" s="6"/>
      <c r="AF108" s="35"/>
      <c r="AG108" s="6"/>
      <c r="AH108" s="6"/>
      <c r="AI108" s="35"/>
      <c r="AJ108" s="35"/>
      <c r="AK108" s="35"/>
      <c r="AL108" s="35"/>
      <c r="AM108" s="6">
        <v>720</v>
      </c>
      <c r="AN108" s="6"/>
      <c r="AO108" s="35">
        <f t="shared" si="24"/>
        <v>411</v>
      </c>
      <c r="AP108" s="6">
        <v>1110</v>
      </c>
      <c r="AQ108" s="6"/>
      <c r="AR108" s="34">
        <f t="shared" si="25"/>
        <v>390</v>
      </c>
      <c r="AS108" s="35">
        <v>357</v>
      </c>
      <c r="AT108" s="35">
        <v>1140</v>
      </c>
      <c r="AU108" s="35">
        <f t="shared" si="26"/>
        <v>387</v>
      </c>
      <c r="AV108" s="6">
        <v>744</v>
      </c>
      <c r="AW108" s="6"/>
      <c r="AX108" s="35">
        <f t="shared" si="27"/>
        <v>387</v>
      </c>
      <c r="AY108" s="6">
        <v>1143</v>
      </c>
      <c r="AZ108" s="6"/>
      <c r="BA108" s="35">
        <f t="shared" si="28"/>
        <v>399</v>
      </c>
      <c r="BB108" s="35">
        <v>1530</v>
      </c>
      <c r="BC108" s="35"/>
      <c r="BD108" s="35">
        <f t="shared" si="29"/>
        <v>387</v>
      </c>
      <c r="BE108" s="6"/>
      <c r="BF108" s="6"/>
      <c r="BG108" s="35"/>
      <c r="BH108" s="6">
        <v>365</v>
      </c>
      <c r="BI108" s="6">
        <v>1560</v>
      </c>
      <c r="BJ108" s="35">
        <f t="shared" si="30"/>
        <v>395</v>
      </c>
      <c r="BK108" s="6">
        <v>758</v>
      </c>
      <c r="BL108" s="6"/>
      <c r="BM108" s="6">
        <f t="shared" si="31"/>
        <v>393</v>
      </c>
      <c r="BN108" s="6">
        <v>1149</v>
      </c>
      <c r="BO108" s="6"/>
      <c r="BP108" s="6">
        <f t="shared" si="32"/>
        <v>391</v>
      </c>
      <c r="BQ108" s="6">
        <v>1540</v>
      </c>
      <c r="BR108" s="6"/>
      <c r="BS108" s="35">
        <f t="shared" si="33"/>
        <v>391</v>
      </c>
      <c r="BT108" s="6">
        <v>0</v>
      </c>
      <c r="BU108" s="6">
        <v>1781</v>
      </c>
      <c r="BV108" s="6">
        <f t="shared" si="34"/>
        <v>241</v>
      </c>
      <c r="BW108" s="6">
        <v>352</v>
      </c>
      <c r="BX108" s="6"/>
      <c r="BY108" s="35">
        <f t="shared" si="35"/>
        <v>352</v>
      </c>
      <c r="BZ108" s="6"/>
      <c r="CA108" s="6"/>
      <c r="CB108" s="6"/>
      <c r="CC108" s="6">
        <v>755</v>
      </c>
      <c r="CD108" s="6"/>
      <c r="CE108" s="6">
        <f t="shared" si="36"/>
        <v>403</v>
      </c>
      <c r="CF108" s="6">
        <v>1143</v>
      </c>
      <c r="CG108" s="6"/>
      <c r="CH108" s="6">
        <f t="shared" si="37"/>
        <v>388</v>
      </c>
      <c r="CI108" s="6">
        <v>1544</v>
      </c>
      <c r="CJ108" s="6"/>
      <c r="CK108" s="6">
        <f t="shared" si="38"/>
        <v>401</v>
      </c>
      <c r="CL108" s="6">
        <v>365</v>
      </c>
      <c r="CM108" s="6">
        <v>1562</v>
      </c>
      <c r="CN108" s="6">
        <f t="shared" si="39"/>
        <v>383</v>
      </c>
      <c r="CO108" s="6">
        <v>743</v>
      </c>
      <c r="CP108" s="6"/>
      <c r="CQ108" s="6">
        <f t="shared" si="40"/>
        <v>378</v>
      </c>
      <c r="CR108" s="6">
        <v>1105</v>
      </c>
      <c r="CS108" s="6"/>
      <c r="CT108" s="6">
        <f t="shared" si="41"/>
        <v>362</v>
      </c>
      <c r="CU108" s="6"/>
      <c r="CV108" s="6"/>
      <c r="CW108" s="6"/>
      <c r="CX108" s="6">
        <v>1497</v>
      </c>
      <c r="CY108" s="6"/>
      <c r="CZ108" s="6">
        <f t="shared" si="42"/>
        <v>392</v>
      </c>
      <c r="DA108" s="6">
        <v>322</v>
      </c>
      <c r="DB108" s="6">
        <v>1560</v>
      </c>
      <c r="DC108" s="6">
        <f t="shared" si="43"/>
        <v>385</v>
      </c>
      <c r="DD108" s="6">
        <v>710</v>
      </c>
      <c r="DE108" s="6"/>
      <c r="DF108" s="6">
        <f t="shared" si="44"/>
        <v>388</v>
      </c>
      <c r="DG108" s="6">
        <v>1090</v>
      </c>
      <c r="DH108" s="6"/>
      <c r="DI108" s="6">
        <f t="shared" si="45"/>
        <v>380</v>
      </c>
      <c r="DJ108" s="6">
        <v>1481</v>
      </c>
      <c r="DK108" s="6"/>
      <c r="DL108" s="6">
        <f t="shared" si="46"/>
        <v>391</v>
      </c>
      <c r="DM108" s="6">
        <v>268</v>
      </c>
      <c r="DN108" s="6">
        <v>1560</v>
      </c>
      <c r="DO108" s="6">
        <f t="shared" si="47"/>
        <v>347</v>
      </c>
    </row>
    <row r="109" spans="1:119">
      <c r="A109" s="6">
        <v>105</v>
      </c>
      <c r="B109" s="6">
        <v>1309</v>
      </c>
      <c r="C109" s="6"/>
      <c r="D109" s="6">
        <v>201</v>
      </c>
      <c r="E109" s="33" t="s">
        <v>37</v>
      </c>
      <c r="F109" s="33" t="s">
        <v>37</v>
      </c>
      <c r="G109" s="33" t="s">
        <v>37</v>
      </c>
      <c r="H109" s="33" t="s">
        <v>37</v>
      </c>
      <c r="I109" s="33" t="s">
        <v>37</v>
      </c>
      <c r="J109" s="33" t="s">
        <v>37</v>
      </c>
      <c r="K109" s="33" t="s">
        <v>37</v>
      </c>
      <c r="L109" s="33" t="s">
        <v>37</v>
      </c>
      <c r="M109" s="33" t="s">
        <v>37</v>
      </c>
      <c r="N109" s="33" t="s">
        <v>37</v>
      </c>
      <c r="O109" s="33" t="s">
        <v>37</v>
      </c>
      <c r="P109" s="33" t="s">
        <v>37</v>
      </c>
      <c r="Q109" s="33" t="s">
        <v>37</v>
      </c>
      <c r="R109" s="33" t="s">
        <v>37</v>
      </c>
      <c r="S109" s="148" t="s">
        <v>37</v>
      </c>
      <c r="T109" s="33" t="s">
        <v>37</v>
      </c>
      <c r="U109" s="33" t="s">
        <v>37</v>
      </c>
      <c r="V109" s="33" t="s">
        <v>37</v>
      </c>
      <c r="W109" s="33" t="s">
        <v>37</v>
      </c>
      <c r="X109" s="33" t="s">
        <v>37</v>
      </c>
      <c r="Y109" s="33" t="s">
        <v>37</v>
      </c>
      <c r="Z109" s="33" t="s">
        <v>37</v>
      </c>
      <c r="AA109" s="33" t="s">
        <v>37</v>
      </c>
      <c r="AB109" s="33" t="s">
        <v>37</v>
      </c>
      <c r="AC109" s="33" t="s">
        <v>37</v>
      </c>
      <c r="AD109" s="6"/>
      <c r="AE109" s="6"/>
      <c r="AF109" s="35"/>
      <c r="AG109" s="6"/>
      <c r="AH109" s="6"/>
      <c r="AI109" s="35"/>
      <c r="AJ109" s="35"/>
      <c r="AK109" s="35"/>
      <c r="AL109" s="35"/>
      <c r="AM109" s="6">
        <v>145</v>
      </c>
      <c r="AN109" s="6">
        <v>1560</v>
      </c>
      <c r="AO109" s="35">
        <f t="shared" si="24"/>
        <v>396</v>
      </c>
      <c r="AP109" s="6">
        <v>525</v>
      </c>
      <c r="AQ109" s="6"/>
      <c r="AR109" s="34">
        <f t="shared" si="25"/>
        <v>380</v>
      </c>
      <c r="AS109" s="35">
        <v>908</v>
      </c>
      <c r="AT109" s="35"/>
      <c r="AU109" s="35">
        <f t="shared" si="26"/>
        <v>383</v>
      </c>
      <c r="AV109" s="6">
        <v>1289</v>
      </c>
      <c r="AW109" s="6"/>
      <c r="AX109" s="35">
        <f t="shared" si="27"/>
        <v>381</v>
      </c>
      <c r="AY109" s="6">
        <v>110</v>
      </c>
      <c r="AZ109" s="6">
        <v>1560</v>
      </c>
      <c r="BA109" s="35">
        <f t="shared" si="28"/>
        <v>381</v>
      </c>
      <c r="BB109" s="35">
        <v>480</v>
      </c>
      <c r="BC109" s="35"/>
      <c r="BD109" s="35">
        <f t="shared" si="29"/>
        <v>370</v>
      </c>
      <c r="BE109" s="6"/>
      <c r="BF109" s="6"/>
      <c r="BG109" s="35"/>
      <c r="BH109" s="6">
        <v>867</v>
      </c>
      <c r="BI109" s="6"/>
      <c r="BJ109" s="35">
        <f t="shared" si="30"/>
        <v>387</v>
      </c>
      <c r="BK109" s="6">
        <v>1245</v>
      </c>
      <c r="BL109" s="6"/>
      <c r="BM109" s="6">
        <f t="shared" si="31"/>
        <v>378</v>
      </c>
      <c r="BN109" s="6">
        <v>68</v>
      </c>
      <c r="BO109" s="6">
        <v>1560</v>
      </c>
      <c r="BP109" s="6">
        <f t="shared" si="32"/>
        <v>383</v>
      </c>
      <c r="BQ109" s="6">
        <v>450</v>
      </c>
      <c r="BR109" s="6"/>
      <c r="BS109" s="35">
        <f t="shared" si="33"/>
        <v>382</v>
      </c>
      <c r="BT109" s="6">
        <v>826</v>
      </c>
      <c r="BU109" s="6"/>
      <c r="BV109" s="6">
        <f t="shared" si="34"/>
        <v>376</v>
      </c>
      <c r="BW109" s="6">
        <v>1191</v>
      </c>
      <c r="BX109" s="6"/>
      <c r="BY109" s="35">
        <f t="shared" si="35"/>
        <v>365</v>
      </c>
      <c r="BZ109" s="6"/>
      <c r="CA109" s="6"/>
      <c r="CB109" s="6"/>
      <c r="CC109" s="6">
        <v>1583</v>
      </c>
      <c r="CD109" s="6"/>
      <c r="CE109" s="6">
        <f t="shared" si="36"/>
        <v>392</v>
      </c>
      <c r="CF109" s="6">
        <v>301</v>
      </c>
      <c r="CG109" s="6">
        <v>1645</v>
      </c>
      <c r="CH109" s="6">
        <f t="shared" si="37"/>
        <v>363</v>
      </c>
      <c r="CI109" s="6">
        <v>687</v>
      </c>
      <c r="CJ109" s="6"/>
      <c r="CK109" s="6">
        <f t="shared" si="38"/>
        <v>386</v>
      </c>
      <c r="CL109" s="6">
        <v>1069</v>
      </c>
      <c r="CM109" s="6"/>
      <c r="CN109" s="6">
        <f t="shared" si="39"/>
        <v>382</v>
      </c>
      <c r="CO109" s="6">
        <v>1444</v>
      </c>
      <c r="CP109" s="6"/>
      <c r="CQ109" s="6">
        <f t="shared" si="40"/>
        <v>375</v>
      </c>
      <c r="CR109" s="6">
        <v>231</v>
      </c>
      <c r="CS109" s="6">
        <v>1560</v>
      </c>
      <c r="CT109" s="6">
        <f t="shared" si="41"/>
        <v>347</v>
      </c>
      <c r="CU109" s="6"/>
      <c r="CV109" s="6"/>
      <c r="CW109" s="6"/>
      <c r="CX109" s="6">
        <v>611</v>
      </c>
      <c r="CY109" s="6"/>
      <c r="CZ109" s="6">
        <f t="shared" si="42"/>
        <v>380</v>
      </c>
      <c r="DA109" s="6">
        <v>983</v>
      </c>
      <c r="DB109" s="6"/>
      <c r="DC109" s="6">
        <f t="shared" si="43"/>
        <v>372</v>
      </c>
      <c r="DD109" s="6">
        <v>1366</v>
      </c>
      <c r="DE109" s="6"/>
      <c r="DF109" s="6">
        <f t="shared" si="44"/>
        <v>383</v>
      </c>
      <c r="DG109" s="6">
        <v>188</v>
      </c>
      <c r="DH109" s="6">
        <v>1560</v>
      </c>
      <c r="DI109" s="6">
        <f t="shared" si="45"/>
        <v>382</v>
      </c>
      <c r="DJ109" s="6">
        <v>563</v>
      </c>
      <c r="DK109" s="6"/>
      <c r="DL109" s="6">
        <f t="shared" si="46"/>
        <v>375</v>
      </c>
      <c r="DM109" s="6">
        <v>900</v>
      </c>
      <c r="DN109" s="6"/>
      <c r="DO109" s="6">
        <f t="shared" si="47"/>
        <v>337</v>
      </c>
    </row>
    <row r="110" spans="1:119">
      <c r="A110" s="6">
        <v>106</v>
      </c>
      <c r="B110" s="6">
        <v>449</v>
      </c>
      <c r="C110" s="6"/>
      <c r="D110" s="6">
        <v>214</v>
      </c>
      <c r="E110" s="33" t="s">
        <v>128</v>
      </c>
      <c r="F110" s="33" t="s">
        <v>128</v>
      </c>
      <c r="G110" s="33" t="s">
        <v>128</v>
      </c>
      <c r="H110" s="33" t="s">
        <v>128</v>
      </c>
      <c r="I110" s="33" t="s">
        <v>128</v>
      </c>
      <c r="J110" s="33" t="s">
        <v>128</v>
      </c>
      <c r="K110" s="148" t="s">
        <v>37</v>
      </c>
      <c r="L110" s="33" t="s">
        <v>37</v>
      </c>
      <c r="M110" s="33" t="s">
        <v>37</v>
      </c>
      <c r="N110" s="33" t="s">
        <v>37</v>
      </c>
      <c r="O110" s="33" t="s">
        <v>37</v>
      </c>
      <c r="P110" s="33" t="s">
        <v>37</v>
      </c>
      <c r="Q110" s="33" t="s">
        <v>37</v>
      </c>
      <c r="R110" s="33" t="s">
        <v>37</v>
      </c>
      <c r="S110" s="33" t="s">
        <v>37</v>
      </c>
      <c r="T110" s="33" t="s">
        <v>37</v>
      </c>
      <c r="U110" s="33" t="s">
        <v>37</v>
      </c>
      <c r="V110" s="33" t="s">
        <v>37</v>
      </c>
      <c r="W110" s="33" t="s">
        <v>37</v>
      </c>
      <c r="X110" s="33" t="s">
        <v>37</v>
      </c>
      <c r="Y110" s="33" t="s">
        <v>37</v>
      </c>
      <c r="Z110" s="33" t="s">
        <v>37</v>
      </c>
      <c r="AA110" s="33" t="s">
        <v>37</v>
      </c>
      <c r="AB110" s="33" t="s">
        <v>37</v>
      </c>
      <c r="AC110" s="33" t="s">
        <v>37</v>
      </c>
      <c r="AD110" s="6"/>
      <c r="AE110" s="6"/>
      <c r="AF110" s="35"/>
      <c r="AG110" s="6"/>
      <c r="AH110" s="6"/>
      <c r="AI110" s="35"/>
      <c r="AJ110" s="35"/>
      <c r="AK110" s="35"/>
      <c r="AL110" s="35"/>
      <c r="AM110" s="6">
        <v>861</v>
      </c>
      <c r="AN110" s="6"/>
      <c r="AO110" s="35">
        <f t="shared" si="24"/>
        <v>412</v>
      </c>
      <c r="AP110" s="6">
        <v>1250</v>
      </c>
      <c r="AQ110" s="6"/>
      <c r="AR110" s="34">
        <f t="shared" si="25"/>
        <v>389</v>
      </c>
      <c r="AS110" s="35">
        <v>81</v>
      </c>
      <c r="AT110" s="35">
        <v>1560</v>
      </c>
      <c r="AU110" s="35">
        <f t="shared" si="26"/>
        <v>391</v>
      </c>
      <c r="AV110" s="6">
        <v>484</v>
      </c>
      <c r="AW110" s="6"/>
      <c r="AX110" s="35">
        <f t="shared" si="27"/>
        <v>403</v>
      </c>
      <c r="AY110" s="6">
        <v>0</v>
      </c>
      <c r="AZ110" s="6">
        <v>722</v>
      </c>
      <c r="BA110" s="35">
        <f t="shared" si="28"/>
        <v>238</v>
      </c>
      <c r="BB110" s="35">
        <v>355</v>
      </c>
      <c r="BC110" s="35"/>
      <c r="BD110" s="35">
        <f t="shared" si="29"/>
        <v>355</v>
      </c>
      <c r="BE110" s="6"/>
      <c r="BF110" s="6"/>
      <c r="BG110" s="35"/>
      <c r="BH110" s="6">
        <v>754</v>
      </c>
      <c r="BI110" s="6"/>
      <c r="BJ110" s="35">
        <f t="shared" si="30"/>
        <v>399</v>
      </c>
      <c r="BK110" s="6">
        <v>1148</v>
      </c>
      <c r="BL110" s="6"/>
      <c r="BM110" s="6">
        <f t="shared" si="31"/>
        <v>394</v>
      </c>
      <c r="BN110" s="6">
        <v>1528</v>
      </c>
      <c r="BO110" s="6"/>
      <c r="BP110" s="6">
        <f t="shared" si="32"/>
        <v>380</v>
      </c>
      <c r="BQ110" s="6">
        <v>336</v>
      </c>
      <c r="BR110" s="6">
        <v>1560</v>
      </c>
      <c r="BS110" s="35">
        <f t="shared" si="33"/>
        <v>368</v>
      </c>
      <c r="BT110" s="6">
        <v>717</v>
      </c>
      <c r="BU110" s="6"/>
      <c r="BV110" s="6">
        <f t="shared" si="34"/>
        <v>381</v>
      </c>
      <c r="BW110" s="6">
        <v>1076</v>
      </c>
      <c r="BX110" s="6"/>
      <c r="BY110" s="35">
        <f t="shared" si="35"/>
        <v>359</v>
      </c>
      <c r="BZ110" s="6"/>
      <c r="CA110" s="6"/>
      <c r="CB110" s="6"/>
      <c r="CC110" s="6">
        <v>1454</v>
      </c>
      <c r="CD110" s="6"/>
      <c r="CE110" s="6">
        <f t="shared" si="36"/>
        <v>378</v>
      </c>
      <c r="CF110" s="6">
        <v>266</v>
      </c>
      <c r="CG110" s="6">
        <v>1560</v>
      </c>
      <c r="CH110" s="6">
        <f t="shared" si="37"/>
        <v>372</v>
      </c>
      <c r="CI110" s="6">
        <v>647</v>
      </c>
      <c r="CJ110" s="6"/>
      <c r="CK110" s="6">
        <f t="shared" si="38"/>
        <v>381</v>
      </c>
      <c r="CL110" s="6">
        <v>1027</v>
      </c>
      <c r="CM110" s="6"/>
      <c r="CN110" s="6">
        <f t="shared" si="39"/>
        <v>380</v>
      </c>
      <c r="CO110" s="6">
        <v>1405</v>
      </c>
      <c r="CP110" s="6"/>
      <c r="CQ110" s="6">
        <f t="shared" si="40"/>
        <v>378</v>
      </c>
      <c r="CR110" s="6">
        <v>205</v>
      </c>
      <c r="CS110" s="6">
        <v>1560</v>
      </c>
      <c r="CT110" s="6">
        <f t="shared" si="41"/>
        <v>360</v>
      </c>
      <c r="CU110" s="6"/>
      <c r="CV110" s="6"/>
      <c r="CW110" s="6"/>
      <c r="CX110" s="6">
        <v>587</v>
      </c>
      <c r="CY110" s="6"/>
      <c r="CZ110" s="6">
        <f t="shared" si="42"/>
        <v>382</v>
      </c>
      <c r="DA110" s="6">
        <v>959</v>
      </c>
      <c r="DB110" s="6"/>
      <c r="DC110" s="6">
        <f t="shared" si="43"/>
        <v>372</v>
      </c>
      <c r="DD110" s="6">
        <v>1335</v>
      </c>
      <c r="DE110" s="6"/>
      <c r="DF110" s="6">
        <f t="shared" si="44"/>
        <v>376</v>
      </c>
      <c r="DG110" s="6">
        <v>156</v>
      </c>
      <c r="DH110" s="6">
        <v>1560</v>
      </c>
      <c r="DI110" s="6">
        <f t="shared" si="45"/>
        <v>381</v>
      </c>
      <c r="DJ110" s="6">
        <v>537</v>
      </c>
      <c r="DK110" s="6"/>
      <c r="DL110" s="6">
        <f t="shared" si="46"/>
        <v>381</v>
      </c>
      <c r="DM110" s="6">
        <v>884</v>
      </c>
      <c r="DN110" s="6"/>
      <c r="DO110" s="6">
        <f t="shared" si="47"/>
        <v>347</v>
      </c>
    </row>
    <row r="111" spans="1:119">
      <c r="A111" s="6">
        <v>107</v>
      </c>
      <c r="B111" s="6">
        <v>741</v>
      </c>
      <c r="C111" s="6"/>
      <c r="D111" s="6">
        <v>194</v>
      </c>
      <c r="E111" s="33" t="s">
        <v>128</v>
      </c>
      <c r="F111" s="33" t="s">
        <v>128</v>
      </c>
      <c r="G111" s="33" t="s">
        <v>128</v>
      </c>
      <c r="H111" s="33" t="s">
        <v>128</v>
      </c>
      <c r="I111" s="33" t="s">
        <v>128</v>
      </c>
      <c r="J111" s="33" t="s">
        <v>128</v>
      </c>
      <c r="K111" s="33" t="s">
        <v>128</v>
      </c>
      <c r="L111" s="33" t="s">
        <v>128</v>
      </c>
      <c r="M111" s="33" t="s">
        <v>128</v>
      </c>
      <c r="N111" s="33" t="s">
        <v>128</v>
      </c>
      <c r="O111" s="33" t="s">
        <v>128</v>
      </c>
      <c r="P111" s="33" t="s">
        <v>128</v>
      </c>
      <c r="Q111" s="33" t="s">
        <v>128</v>
      </c>
      <c r="R111" s="33" t="s">
        <v>128</v>
      </c>
      <c r="S111" s="148" t="s">
        <v>307</v>
      </c>
      <c r="T111" s="33" t="s">
        <v>307</v>
      </c>
      <c r="U111" s="33" t="s">
        <v>307</v>
      </c>
      <c r="V111" s="148" t="s">
        <v>307</v>
      </c>
      <c r="W111" s="33" t="s">
        <v>307</v>
      </c>
      <c r="X111" s="33" t="s">
        <v>307</v>
      </c>
      <c r="Y111" s="33" t="s">
        <v>307</v>
      </c>
      <c r="Z111" s="33" t="s">
        <v>307</v>
      </c>
      <c r="AA111" s="33" t="s">
        <v>307</v>
      </c>
      <c r="AB111" s="33" t="s">
        <v>307</v>
      </c>
      <c r="AC111" s="33" t="s">
        <v>307</v>
      </c>
      <c r="AD111" s="6"/>
      <c r="AE111" s="6"/>
      <c r="AF111" s="35"/>
      <c r="AG111" s="6"/>
      <c r="AH111" s="6"/>
      <c r="AI111" s="35"/>
      <c r="AJ111" s="35"/>
      <c r="AK111" s="35"/>
      <c r="AL111" s="35"/>
      <c r="AM111" s="6">
        <v>1134</v>
      </c>
      <c r="AN111" s="6"/>
      <c r="AO111" s="35">
        <f t="shared" si="24"/>
        <v>393</v>
      </c>
      <c r="AP111" s="6">
        <v>1486</v>
      </c>
      <c r="AQ111" s="6"/>
      <c r="AR111" s="34">
        <f t="shared" si="25"/>
        <v>352</v>
      </c>
      <c r="AS111" s="35">
        <v>293</v>
      </c>
      <c r="AT111" s="35">
        <v>1560</v>
      </c>
      <c r="AU111" s="35">
        <f t="shared" si="26"/>
        <v>367</v>
      </c>
      <c r="AV111" s="6">
        <v>664</v>
      </c>
      <c r="AW111" s="6"/>
      <c r="AX111" s="35">
        <f t="shared" si="27"/>
        <v>371</v>
      </c>
      <c r="AY111" s="6">
        <v>1018</v>
      </c>
      <c r="AZ111" s="6"/>
      <c r="BA111" s="35">
        <f t="shared" si="28"/>
        <v>354</v>
      </c>
      <c r="BB111" s="35">
        <v>1373</v>
      </c>
      <c r="BC111" s="35"/>
      <c r="BD111" s="35">
        <f t="shared" si="29"/>
        <v>355</v>
      </c>
      <c r="BE111" s="6"/>
      <c r="BF111" s="6"/>
      <c r="BG111" s="35"/>
      <c r="BH111" s="6">
        <v>180</v>
      </c>
      <c r="BI111" s="6">
        <v>1560</v>
      </c>
      <c r="BJ111" s="35">
        <f t="shared" si="30"/>
        <v>367</v>
      </c>
      <c r="BK111" s="6">
        <v>547</v>
      </c>
      <c r="BL111" s="6"/>
      <c r="BM111" s="6">
        <f t="shared" si="31"/>
        <v>367</v>
      </c>
      <c r="BN111" s="6">
        <v>905</v>
      </c>
      <c r="BO111" s="6"/>
      <c r="BP111" s="6">
        <f t="shared" si="32"/>
        <v>358</v>
      </c>
      <c r="BQ111" s="6">
        <v>1295</v>
      </c>
      <c r="BR111" s="6"/>
      <c r="BS111" s="35">
        <f t="shared" si="33"/>
        <v>390</v>
      </c>
      <c r="BT111" s="6">
        <v>118</v>
      </c>
      <c r="BU111" s="6">
        <v>1562</v>
      </c>
      <c r="BV111" s="6">
        <f t="shared" si="34"/>
        <v>385</v>
      </c>
      <c r="BW111" s="6">
        <v>482</v>
      </c>
      <c r="BX111" s="6"/>
      <c r="BY111" s="35">
        <f t="shared" si="35"/>
        <v>364</v>
      </c>
      <c r="BZ111" s="35"/>
      <c r="CA111" s="6"/>
      <c r="CB111" s="6"/>
      <c r="CC111" s="6">
        <v>844</v>
      </c>
      <c r="CD111" s="6"/>
      <c r="CE111" s="6">
        <f t="shared" si="36"/>
        <v>362</v>
      </c>
      <c r="CF111" s="6">
        <v>250</v>
      </c>
      <c r="CG111" s="6">
        <v>961</v>
      </c>
      <c r="CH111" s="6">
        <f t="shared" si="37"/>
        <v>367</v>
      </c>
      <c r="CI111" s="6">
        <v>635</v>
      </c>
      <c r="CJ111" s="6"/>
      <c r="CK111" s="6">
        <f t="shared" si="38"/>
        <v>385</v>
      </c>
      <c r="CL111" s="6">
        <v>1013</v>
      </c>
      <c r="CM111" s="6"/>
      <c r="CN111" s="6">
        <f t="shared" si="39"/>
        <v>378</v>
      </c>
      <c r="CO111" s="6">
        <v>249</v>
      </c>
      <c r="CP111" s="6">
        <v>1088</v>
      </c>
      <c r="CQ111" s="6">
        <f t="shared" si="40"/>
        <v>324</v>
      </c>
      <c r="CR111" s="6">
        <v>605</v>
      </c>
      <c r="CS111" s="6"/>
      <c r="CT111" s="6">
        <f t="shared" si="41"/>
        <v>356</v>
      </c>
      <c r="CU111" s="6"/>
      <c r="CV111" s="6"/>
      <c r="CW111" s="6"/>
      <c r="CX111" s="6">
        <v>994</v>
      </c>
      <c r="CY111" s="6"/>
      <c r="CZ111" s="6">
        <f t="shared" si="42"/>
        <v>389</v>
      </c>
      <c r="DA111" s="6">
        <v>1376</v>
      </c>
      <c r="DB111" s="6"/>
      <c r="DC111" s="6">
        <f t="shared" si="43"/>
        <v>382</v>
      </c>
      <c r="DD111" s="6">
        <v>196</v>
      </c>
      <c r="DE111" s="6">
        <v>1560</v>
      </c>
      <c r="DF111" s="6">
        <f t="shared" si="44"/>
        <v>380</v>
      </c>
      <c r="DG111" s="6">
        <v>584</v>
      </c>
      <c r="DH111" s="6"/>
      <c r="DI111" s="6">
        <f t="shared" si="45"/>
        <v>388</v>
      </c>
      <c r="DJ111" s="6">
        <v>967</v>
      </c>
      <c r="DK111" s="6"/>
      <c r="DL111" s="6">
        <f t="shared" si="46"/>
        <v>383</v>
      </c>
      <c r="DM111" s="6">
        <v>1313</v>
      </c>
      <c r="DN111" s="6"/>
      <c r="DO111" s="6">
        <f t="shared" si="47"/>
        <v>346</v>
      </c>
    </row>
    <row r="112" spans="1:119">
      <c r="A112" s="6">
        <v>108</v>
      </c>
      <c r="B112" s="6">
        <v>1207</v>
      </c>
      <c r="C112" s="6"/>
      <c r="D112" s="6">
        <v>200</v>
      </c>
      <c r="E112" s="33" t="s">
        <v>37</v>
      </c>
      <c r="F112" s="33" t="s">
        <v>37</v>
      </c>
      <c r="G112" s="33" t="s">
        <v>37</v>
      </c>
      <c r="H112" s="33" t="s">
        <v>37</v>
      </c>
      <c r="I112" s="33" t="s">
        <v>37</v>
      </c>
      <c r="J112" s="33" t="s">
        <v>37</v>
      </c>
      <c r="K112" s="33" t="s">
        <v>37</v>
      </c>
      <c r="L112" s="33" t="s">
        <v>37</v>
      </c>
      <c r="M112" s="148" t="s">
        <v>37</v>
      </c>
      <c r="N112" s="33" t="s">
        <v>37</v>
      </c>
      <c r="O112" s="33" t="s">
        <v>37</v>
      </c>
      <c r="P112" s="33" t="s">
        <v>37</v>
      </c>
      <c r="Q112" s="33" t="s">
        <v>37</v>
      </c>
      <c r="R112" s="33" t="s">
        <v>37</v>
      </c>
      <c r="S112" s="33" t="s">
        <v>37</v>
      </c>
      <c r="T112" s="33" t="s">
        <v>37</v>
      </c>
      <c r="U112" s="33" t="s">
        <v>37</v>
      </c>
      <c r="V112" s="33" t="s">
        <v>37</v>
      </c>
      <c r="W112" s="33" t="s">
        <v>37</v>
      </c>
      <c r="X112" s="33" t="s">
        <v>37</v>
      </c>
      <c r="Y112" s="33" t="s">
        <v>37</v>
      </c>
      <c r="Z112" s="33" t="s">
        <v>37</v>
      </c>
      <c r="AA112" s="33" t="s">
        <v>37</v>
      </c>
      <c r="AB112" s="33" t="s">
        <v>37</v>
      </c>
      <c r="AC112" s="33" t="s">
        <v>37</v>
      </c>
      <c r="AD112" s="6"/>
      <c r="AE112" s="6"/>
      <c r="AF112" s="35"/>
      <c r="AG112" s="6"/>
      <c r="AH112" s="6"/>
      <c r="AI112" s="35"/>
      <c r="AJ112" s="35"/>
      <c r="AK112" s="35"/>
      <c r="AL112" s="35"/>
      <c r="AM112" s="6">
        <v>46</v>
      </c>
      <c r="AN112" s="6">
        <v>1560</v>
      </c>
      <c r="AO112" s="35">
        <f t="shared" si="24"/>
        <v>399</v>
      </c>
      <c r="AP112" s="6">
        <v>418</v>
      </c>
      <c r="AQ112" s="6"/>
      <c r="AR112" s="34">
        <f t="shared" si="25"/>
        <v>372</v>
      </c>
      <c r="AS112" s="35">
        <v>790</v>
      </c>
      <c r="AT112" s="35"/>
      <c r="AU112" s="35">
        <f t="shared" si="26"/>
        <v>372</v>
      </c>
      <c r="AV112" s="6">
        <v>1156</v>
      </c>
      <c r="AW112" s="6"/>
      <c r="AX112" s="35">
        <f t="shared" si="27"/>
        <v>366</v>
      </c>
      <c r="AY112" s="6">
        <v>236</v>
      </c>
      <c r="AZ112" s="6">
        <v>1285</v>
      </c>
      <c r="BA112" s="35">
        <f t="shared" si="28"/>
        <v>365</v>
      </c>
      <c r="BB112" s="35">
        <v>604</v>
      </c>
      <c r="BC112" s="35"/>
      <c r="BD112" s="35">
        <f t="shared" si="29"/>
        <v>368</v>
      </c>
      <c r="BE112" s="6"/>
      <c r="BF112" s="6"/>
      <c r="BG112" s="35"/>
      <c r="BH112" s="6">
        <v>0</v>
      </c>
      <c r="BI112" s="6">
        <v>973</v>
      </c>
      <c r="BJ112" s="35">
        <f t="shared" si="30"/>
        <v>369</v>
      </c>
      <c r="BK112" s="6">
        <v>321</v>
      </c>
      <c r="BL112" s="6"/>
      <c r="BM112" s="6">
        <f t="shared" si="31"/>
        <v>321</v>
      </c>
      <c r="BN112" s="6">
        <v>675</v>
      </c>
      <c r="BO112" s="6"/>
      <c r="BP112" s="6">
        <f t="shared" si="32"/>
        <v>354</v>
      </c>
      <c r="BQ112" s="6">
        <v>1032</v>
      </c>
      <c r="BR112" s="6"/>
      <c r="BS112" s="35">
        <f t="shared" si="33"/>
        <v>357</v>
      </c>
      <c r="BT112" s="6">
        <v>1386</v>
      </c>
      <c r="BU112" s="6"/>
      <c r="BV112" s="6">
        <f t="shared" si="34"/>
        <v>354</v>
      </c>
      <c r="BW112" s="6">
        <v>166</v>
      </c>
      <c r="BX112" s="6">
        <v>1560</v>
      </c>
      <c r="BY112" s="35">
        <f t="shared" si="35"/>
        <v>340</v>
      </c>
      <c r="BZ112" s="6"/>
      <c r="CA112" s="6"/>
      <c r="CB112" s="6"/>
      <c r="CC112" s="6">
        <v>526</v>
      </c>
      <c r="CD112" s="6"/>
      <c r="CE112" s="6">
        <f t="shared" si="36"/>
        <v>360</v>
      </c>
      <c r="CF112" s="6">
        <v>880</v>
      </c>
      <c r="CG112" s="6"/>
      <c r="CH112" s="6">
        <f t="shared" si="37"/>
        <v>354</v>
      </c>
      <c r="CI112" s="6">
        <v>1234</v>
      </c>
      <c r="CJ112" s="6"/>
      <c r="CK112" s="6">
        <f t="shared" si="38"/>
        <v>354</v>
      </c>
      <c r="CL112" s="6">
        <v>6</v>
      </c>
      <c r="CM112" s="6">
        <v>1560</v>
      </c>
      <c r="CN112" s="6">
        <f t="shared" si="39"/>
        <v>332</v>
      </c>
      <c r="CO112" s="6">
        <v>331</v>
      </c>
      <c r="CP112" s="6"/>
      <c r="CQ112" s="6">
        <f t="shared" si="40"/>
        <v>325</v>
      </c>
      <c r="CR112" s="6">
        <v>627</v>
      </c>
      <c r="CS112" s="6"/>
      <c r="CT112" s="6">
        <f t="shared" si="41"/>
        <v>296</v>
      </c>
      <c r="CU112" s="6"/>
      <c r="CV112" s="6"/>
      <c r="CW112" s="6"/>
      <c r="CX112" s="6">
        <v>963</v>
      </c>
      <c r="CY112" s="6"/>
      <c r="CZ112" s="6">
        <f t="shared" si="42"/>
        <v>336</v>
      </c>
      <c r="DA112" s="6">
        <v>1293</v>
      </c>
      <c r="DB112" s="6"/>
      <c r="DC112" s="6">
        <f t="shared" si="43"/>
        <v>330</v>
      </c>
      <c r="DD112" s="6">
        <v>94</v>
      </c>
      <c r="DE112" s="6">
        <v>1560</v>
      </c>
      <c r="DF112" s="6">
        <f t="shared" si="44"/>
        <v>361</v>
      </c>
      <c r="DG112" s="6">
        <v>462</v>
      </c>
      <c r="DH112" s="6"/>
      <c r="DI112" s="6">
        <f t="shared" si="45"/>
        <v>368</v>
      </c>
      <c r="DJ112" s="6">
        <v>834</v>
      </c>
      <c r="DK112" s="6"/>
      <c r="DL112" s="6">
        <f t="shared" si="46"/>
        <v>372</v>
      </c>
      <c r="DM112" s="6">
        <v>1178</v>
      </c>
      <c r="DN112" s="6"/>
      <c r="DO112" s="6">
        <f t="shared" si="47"/>
        <v>344</v>
      </c>
    </row>
    <row r="113" spans="1:119">
      <c r="A113" s="6">
        <v>109</v>
      </c>
      <c r="B113" s="6">
        <v>156</v>
      </c>
      <c r="C113" s="6">
        <v>1560</v>
      </c>
      <c r="D113" s="6">
        <v>206</v>
      </c>
      <c r="E113" s="33" t="s">
        <v>128</v>
      </c>
      <c r="F113" s="33" t="s">
        <v>128</v>
      </c>
      <c r="G113" s="33" t="s">
        <v>128</v>
      </c>
      <c r="H113" s="33" t="s">
        <v>128</v>
      </c>
      <c r="I113" s="33" t="s">
        <v>128</v>
      </c>
      <c r="J113" s="33" t="s">
        <v>128</v>
      </c>
      <c r="K113" s="33" t="s">
        <v>128</v>
      </c>
      <c r="L113" s="33" t="s">
        <v>128</v>
      </c>
      <c r="M113" s="33" t="s">
        <v>128</v>
      </c>
      <c r="N113" s="33" t="s">
        <v>128</v>
      </c>
      <c r="O113" s="33" t="s">
        <v>128</v>
      </c>
      <c r="P113" s="33" t="s">
        <v>128</v>
      </c>
      <c r="Q113" s="33" t="s">
        <v>128</v>
      </c>
      <c r="R113" s="148" t="s">
        <v>37</v>
      </c>
      <c r="S113" s="33" t="s">
        <v>37</v>
      </c>
      <c r="T113" s="33" t="s">
        <v>37</v>
      </c>
      <c r="U113" s="33" t="s">
        <v>37</v>
      </c>
      <c r="V113" s="33" t="s">
        <v>37</v>
      </c>
      <c r="W113" s="33" t="s">
        <v>37</v>
      </c>
      <c r="X113" s="33" t="s">
        <v>37</v>
      </c>
      <c r="Y113" s="33" t="s">
        <v>37</v>
      </c>
      <c r="Z113" s="33" t="s">
        <v>37</v>
      </c>
      <c r="AA113" s="33" t="s">
        <v>37</v>
      </c>
      <c r="AB113" s="33" t="s">
        <v>37</v>
      </c>
      <c r="AC113" s="33" t="s">
        <v>37</v>
      </c>
      <c r="AD113" s="6"/>
      <c r="AE113" s="6"/>
      <c r="AF113" s="35"/>
      <c r="AG113" s="6"/>
      <c r="AH113" s="6"/>
      <c r="AI113" s="35"/>
      <c r="AJ113" s="35"/>
      <c r="AK113" s="35"/>
      <c r="AL113" s="35"/>
      <c r="AM113" s="6">
        <v>570</v>
      </c>
      <c r="AN113" s="35"/>
      <c r="AO113" s="35">
        <f t="shared" si="24"/>
        <v>414</v>
      </c>
      <c r="AP113" s="6">
        <v>954</v>
      </c>
      <c r="AQ113" s="6"/>
      <c r="AR113" s="34">
        <f t="shared" si="25"/>
        <v>384</v>
      </c>
      <c r="AS113" s="35">
        <v>1347</v>
      </c>
      <c r="AT113" s="35"/>
      <c r="AU113" s="35">
        <f t="shared" si="26"/>
        <v>393</v>
      </c>
      <c r="AV113" s="6">
        <v>184</v>
      </c>
      <c r="AW113" s="6">
        <v>1560</v>
      </c>
      <c r="AX113" s="35">
        <f t="shared" si="27"/>
        <v>397</v>
      </c>
      <c r="AY113" s="6">
        <v>578</v>
      </c>
      <c r="AZ113" s="6"/>
      <c r="BA113" s="35">
        <f t="shared" si="28"/>
        <v>394</v>
      </c>
      <c r="BB113" s="35">
        <v>957</v>
      </c>
      <c r="BC113" s="35"/>
      <c r="BD113" s="35">
        <f t="shared" si="29"/>
        <v>379</v>
      </c>
      <c r="BE113" s="6"/>
      <c r="BF113" s="6"/>
      <c r="BG113" s="35"/>
      <c r="BH113" s="6">
        <v>1346</v>
      </c>
      <c r="BI113" s="6"/>
      <c r="BJ113" s="35">
        <f t="shared" si="30"/>
        <v>389</v>
      </c>
      <c r="BK113" s="6">
        <v>171</v>
      </c>
      <c r="BL113" s="6">
        <v>1560</v>
      </c>
      <c r="BM113" s="6">
        <f t="shared" si="31"/>
        <v>385</v>
      </c>
      <c r="BN113" s="6">
        <v>568</v>
      </c>
      <c r="BO113" s="6"/>
      <c r="BP113" s="6">
        <f t="shared" si="32"/>
        <v>397</v>
      </c>
      <c r="BQ113" s="6">
        <v>960</v>
      </c>
      <c r="BR113" s="6"/>
      <c r="BS113" s="35">
        <f t="shared" si="33"/>
        <v>392</v>
      </c>
      <c r="BT113" s="6">
        <v>1335</v>
      </c>
      <c r="BU113" s="6"/>
      <c r="BV113" s="6">
        <f t="shared" si="34"/>
        <v>375</v>
      </c>
      <c r="BW113" s="6">
        <v>0</v>
      </c>
      <c r="BX113" s="6">
        <v>1606</v>
      </c>
      <c r="BY113" s="35">
        <f t="shared" si="35"/>
        <v>271</v>
      </c>
      <c r="BZ113" s="6"/>
      <c r="CA113" s="6"/>
      <c r="CB113" s="6"/>
      <c r="CC113" s="6">
        <v>362</v>
      </c>
      <c r="CD113" s="6"/>
      <c r="CE113" s="6">
        <f t="shared" si="36"/>
        <v>362</v>
      </c>
      <c r="CF113" s="6">
        <v>756</v>
      </c>
      <c r="CG113" s="6"/>
      <c r="CH113" s="6">
        <f t="shared" si="37"/>
        <v>394</v>
      </c>
      <c r="CI113" s="6">
        <v>1153</v>
      </c>
      <c r="CJ113" s="6"/>
      <c r="CK113" s="6">
        <f t="shared" si="38"/>
        <v>397</v>
      </c>
      <c r="CL113" s="6">
        <v>1540</v>
      </c>
      <c r="CM113" s="6"/>
      <c r="CN113" s="6">
        <f t="shared" si="39"/>
        <v>387</v>
      </c>
      <c r="CO113" s="6">
        <v>359</v>
      </c>
      <c r="CP113" s="6">
        <v>1560</v>
      </c>
      <c r="CQ113" s="6">
        <f t="shared" si="40"/>
        <v>379</v>
      </c>
      <c r="CR113" s="6">
        <v>706</v>
      </c>
      <c r="CS113" s="6"/>
      <c r="CT113" s="6">
        <f t="shared" si="41"/>
        <v>347</v>
      </c>
      <c r="CU113" s="6"/>
      <c r="CV113" s="6"/>
      <c r="CW113" s="6"/>
      <c r="CX113" s="6">
        <v>1077</v>
      </c>
      <c r="CY113" s="6"/>
      <c r="CZ113" s="6">
        <f t="shared" si="42"/>
        <v>371</v>
      </c>
      <c r="DA113" s="6">
        <v>268</v>
      </c>
      <c r="DB113" s="6">
        <v>1180</v>
      </c>
      <c r="DC113" s="6">
        <f t="shared" si="43"/>
        <v>371</v>
      </c>
      <c r="DD113" s="6">
        <v>647</v>
      </c>
      <c r="DE113" s="6"/>
      <c r="DF113" s="6">
        <f t="shared" si="44"/>
        <v>379</v>
      </c>
      <c r="DG113" s="6">
        <v>7</v>
      </c>
      <c r="DH113" s="6">
        <v>1015</v>
      </c>
      <c r="DI113" s="6">
        <f t="shared" si="45"/>
        <v>375</v>
      </c>
      <c r="DJ113" s="6">
        <v>388</v>
      </c>
      <c r="DK113" s="6"/>
      <c r="DL113" s="6">
        <f t="shared" si="46"/>
        <v>381</v>
      </c>
      <c r="DM113" s="6">
        <v>270</v>
      </c>
      <c r="DN113" s="6">
        <v>459</v>
      </c>
      <c r="DO113" s="6">
        <f t="shared" si="47"/>
        <v>341</v>
      </c>
    </row>
    <row r="114" spans="1:119">
      <c r="A114" s="6">
        <v>110</v>
      </c>
      <c r="B114" s="6">
        <v>519</v>
      </c>
      <c r="C114" s="6"/>
      <c r="D114" s="6">
        <v>208</v>
      </c>
      <c r="E114" s="33" t="s">
        <v>128</v>
      </c>
      <c r="F114" s="33" t="s">
        <v>128</v>
      </c>
      <c r="G114" s="33" t="s">
        <v>128</v>
      </c>
      <c r="H114" s="33" t="s">
        <v>128</v>
      </c>
      <c r="I114" s="33" t="s">
        <v>128</v>
      </c>
      <c r="J114" s="33" t="s">
        <v>128</v>
      </c>
      <c r="K114" s="33" t="s">
        <v>128</v>
      </c>
      <c r="L114" s="33" t="s">
        <v>128</v>
      </c>
      <c r="M114" s="33" t="s">
        <v>128</v>
      </c>
      <c r="N114" s="33" t="s">
        <v>128</v>
      </c>
      <c r="O114" s="33" t="s">
        <v>128</v>
      </c>
      <c r="P114" s="148" t="s">
        <v>307</v>
      </c>
      <c r="Q114" s="33" t="s">
        <v>307</v>
      </c>
      <c r="R114" s="33" t="s">
        <v>307</v>
      </c>
      <c r="S114" s="33" t="s">
        <v>307</v>
      </c>
      <c r="T114" s="33" t="s">
        <v>307</v>
      </c>
      <c r="U114" s="33" t="s">
        <v>307</v>
      </c>
      <c r="V114" s="33" t="s">
        <v>307</v>
      </c>
      <c r="W114" s="33" t="s">
        <v>307</v>
      </c>
      <c r="X114" s="33" t="s">
        <v>307</v>
      </c>
      <c r="Y114" s="33" t="s">
        <v>307</v>
      </c>
      <c r="Z114" s="33" t="s">
        <v>307</v>
      </c>
      <c r="AA114" s="33" t="s">
        <v>307</v>
      </c>
      <c r="AB114" s="33" t="s">
        <v>307</v>
      </c>
      <c r="AC114" s="33" t="s">
        <v>307</v>
      </c>
      <c r="AD114" s="6"/>
      <c r="AE114" s="6"/>
      <c r="AF114" s="35"/>
      <c r="AG114" s="6"/>
      <c r="AH114" s="6"/>
      <c r="AI114" s="35"/>
      <c r="AJ114" s="35"/>
      <c r="AK114" s="35"/>
      <c r="AL114" s="35"/>
      <c r="AM114" s="35">
        <v>935</v>
      </c>
      <c r="AN114" s="6"/>
      <c r="AO114" s="35">
        <f t="shared" si="24"/>
        <v>416</v>
      </c>
      <c r="AP114" s="6">
        <v>1329</v>
      </c>
      <c r="AQ114" s="6"/>
      <c r="AR114" s="34">
        <f t="shared" si="25"/>
        <v>394</v>
      </c>
      <c r="AS114" s="35">
        <v>166</v>
      </c>
      <c r="AT114" s="35">
        <v>1560</v>
      </c>
      <c r="AU114" s="35">
        <f t="shared" si="26"/>
        <v>397</v>
      </c>
      <c r="AV114" s="6">
        <v>561</v>
      </c>
      <c r="AW114" s="6"/>
      <c r="AX114" s="35">
        <f t="shared" si="27"/>
        <v>395</v>
      </c>
      <c r="AY114" s="6">
        <v>954</v>
      </c>
      <c r="AZ114" s="6"/>
      <c r="BA114" s="35">
        <f t="shared" si="28"/>
        <v>393</v>
      </c>
      <c r="BB114" s="35">
        <v>1339</v>
      </c>
      <c r="BC114" s="35"/>
      <c r="BD114" s="35">
        <f t="shared" si="29"/>
        <v>385</v>
      </c>
      <c r="BE114" s="6"/>
      <c r="BF114" s="6"/>
      <c r="BG114" s="35"/>
      <c r="BH114" s="6">
        <v>180</v>
      </c>
      <c r="BI114" s="6">
        <v>1560</v>
      </c>
      <c r="BJ114" s="35">
        <f t="shared" si="30"/>
        <v>401</v>
      </c>
      <c r="BK114" s="6">
        <v>568</v>
      </c>
      <c r="BL114" s="6"/>
      <c r="BM114" s="6">
        <f t="shared" si="31"/>
        <v>388</v>
      </c>
      <c r="BN114" s="6">
        <v>965</v>
      </c>
      <c r="BO114" s="6"/>
      <c r="BP114" s="6">
        <f t="shared" si="32"/>
        <v>397</v>
      </c>
      <c r="BQ114" s="6">
        <v>0</v>
      </c>
      <c r="BR114" s="6">
        <v>1323</v>
      </c>
      <c r="BS114" s="35">
        <f t="shared" si="33"/>
        <v>358</v>
      </c>
      <c r="BT114" s="6">
        <v>374</v>
      </c>
      <c r="BU114" s="6"/>
      <c r="BV114" s="6">
        <f t="shared" si="34"/>
        <v>374</v>
      </c>
      <c r="BW114" s="6">
        <v>745</v>
      </c>
      <c r="BX114" s="6"/>
      <c r="BY114" s="35">
        <f t="shared" si="35"/>
        <v>371</v>
      </c>
      <c r="BZ114" s="6"/>
      <c r="CA114" s="6"/>
      <c r="CB114" s="6"/>
      <c r="CC114" s="6">
        <v>1140</v>
      </c>
      <c r="CD114" s="6"/>
      <c r="CE114" s="6">
        <f t="shared" si="36"/>
        <v>395</v>
      </c>
      <c r="CF114" s="7">
        <v>1506</v>
      </c>
      <c r="CG114" s="6"/>
      <c r="CH114" s="6">
        <f t="shared" si="37"/>
        <v>366</v>
      </c>
      <c r="CI114" s="6">
        <v>338</v>
      </c>
      <c r="CJ114" s="6">
        <v>1560</v>
      </c>
      <c r="CK114" s="6">
        <f t="shared" si="38"/>
        <v>392</v>
      </c>
      <c r="CL114" s="6">
        <v>722</v>
      </c>
      <c r="CM114" s="6"/>
      <c r="CN114" s="6">
        <f t="shared" si="39"/>
        <v>384</v>
      </c>
      <c r="CO114" s="6">
        <v>1097</v>
      </c>
      <c r="CP114" s="6"/>
      <c r="CQ114" s="6">
        <f t="shared" si="40"/>
        <v>375</v>
      </c>
      <c r="CR114" s="6">
        <v>1413</v>
      </c>
      <c r="CS114" s="6"/>
      <c r="CT114" s="6">
        <f t="shared" si="41"/>
        <v>316</v>
      </c>
      <c r="CU114" s="6"/>
      <c r="CV114" s="6"/>
      <c r="CW114" s="6"/>
      <c r="CX114" s="6">
        <v>238</v>
      </c>
      <c r="CY114" s="6">
        <v>1560</v>
      </c>
      <c r="CZ114" s="6">
        <f t="shared" si="42"/>
        <v>385</v>
      </c>
      <c r="DA114" s="6">
        <v>608</v>
      </c>
      <c r="DB114" s="6"/>
      <c r="DC114" s="6">
        <f t="shared" si="43"/>
        <v>370</v>
      </c>
      <c r="DD114" s="6">
        <v>997</v>
      </c>
      <c r="DE114" s="6"/>
      <c r="DF114" s="6">
        <f t="shared" si="44"/>
        <v>389</v>
      </c>
      <c r="DG114" s="6">
        <v>1386</v>
      </c>
      <c r="DH114" s="6"/>
      <c r="DI114" s="6">
        <f t="shared" si="45"/>
        <v>389</v>
      </c>
      <c r="DJ114" s="6">
        <v>219</v>
      </c>
      <c r="DK114" s="6">
        <v>1560</v>
      </c>
      <c r="DL114" s="6">
        <f t="shared" si="46"/>
        <v>393</v>
      </c>
      <c r="DM114" s="6">
        <v>567</v>
      </c>
      <c r="DN114" s="6"/>
      <c r="DO114" s="6">
        <f t="shared" si="47"/>
        <v>348</v>
      </c>
    </row>
    <row r="115" spans="1:119">
      <c r="A115" s="6">
        <v>111</v>
      </c>
      <c r="B115" s="6">
        <v>10</v>
      </c>
      <c r="C115" s="6">
        <v>1500</v>
      </c>
      <c r="D115" s="6">
        <v>148</v>
      </c>
      <c r="E115" s="33" t="s">
        <v>99</v>
      </c>
      <c r="F115" s="33" t="s">
        <v>99</v>
      </c>
      <c r="G115" s="33" t="s">
        <v>99</v>
      </c>
      <c r="H115" s="33" t="s">
        <v>99</v>
      </c>
      <c r="I115" s="33" t="s">
        <v>99</v>
      </c>
      <c r="J115" s="33" t="s">
        <v>99</v>
      </c>
      <c r="K115" s="148" t="s">
        <v>99</v>
      </c>
      <c r="L115" s="33" t="s">
        <v>99</v>
      </c>
      <c r="M115" s="33" t="s">
        <v>99</v>
      </c>
      <c r="N115" s="33" t="s">
        <v>99</v>
      </c>
      <c r="O115" s="33" t="s">
        <v>99</v>
      </c>
      <c r="P115" s="33" t="s">
        <v>99</v>
      </c>
      <c r="Q115" s="33" t="s">
        <v>99</v>
      </c>
      <c r="R115" s="33" t="s">
        <v>99</v>
      </c>
      <c r="S115" s="33" t="s">
        <v>99</v>
      </c>
      <c r="T115" s="33" t="s">
        <v>99</v>
      </c>
      <c r="U115" s="33" t="s">
        <v>99</v>
      </c>
      <c r="V115" s="33" t="s">
        <v>99</v>
      </c>
      <c r="W115" s="33" t="s">
        <v>99</v>
      </c>
      <c r="X115" s="33" t="s">
        <v>99</v>
      </c>
      <c r="Y115" s="33" t="s">
        <v>99</v>
      </c>
      <c r="Z115" s="33" t="s">
        <v>99</v>
      </c>
      <c r="AA115" s="33" t="s">
        <v>99</v>
      </c>
      <c r="AB115" s="33" t="s">
        <v>99</v>
      </c>
      <c r="AC115" s="33" t="s">
        <v>99</v>
      </c>
      <c r="AD115" s="35"/>
      <c r="AE115" s="35"/>
      <c r="AF115" s="35"/>
      <c r="AG115" s="35"/>
      <c r="AH115" s="35"/>
      <c r="AI115" s="35"/>
      <c r="AJ115" s="35"/>
      <c r="AK115" s="35"/>
      <c r="AL115" s="35"/>
      <c r="AM115" s="6">
        <v>304</v>
      </c>
      <c r="AN115" s="6"/>
      <c r="AO115" s="35">
        <f t="shared" si="24"/>
        <v>294</v>
      </c>
      <c r="AP115" s="6">
        <v>579</v>
      </c>
      <c r="AQ115" s="6"/>
      <c r="AR115" s="34">
        <f t="shared" si="25"/>
        <v>275</v>
      </c>
      <c r="AS115" s="35">
        <v>856</v>
      </c>
      <c r="AT115" s="35"/>
      <c r="AU115" s="35">
        <f t="shared" si="26"/>
        <v>277</v>
      </c>
      <c r="AV115" s="6">
        <v>1134</v>
      </c>
      <c r="AW115" s="6"/>
      <c r="AX115" s="35">
        <f t="shared" si="27"/>
        <v>278</v>
      </c>
      <c r="AY115" s="6">
        <v>0</v>
      </c>
      <c r="AZ115" s="6">
        <v>1335</v>
      </c>
      <c r="BA115" s="35">
        <f t="shared" si="28"/>
        <v>201</v>
      </c>
      <c r="BB115" s="35">
        <v>251</v>
      </c>
      <c r="BC115" s="35"/>
      <c r="BD115" s="35">
        <f t="shared" si="29"/>
        <v>251</v>
      </c>
      <c r="BE115" s="6"/>
      <c r="BF115" s="6"/>
      <c r="BG115" s="35"/>
      <c r="BH115" s="6">
        <v>528</v>
      </c>
      <c r="BI115" s="6"/>
      <c r="BJ115" s="35">
        <f t="shared" si="30"/>
        <v>277</v>
      </c>
      <c r="BK115" s="6">
        <v>805</v>
      </c>
      <c r="BL115" s="6"/>
      <c r="BM115" s="6">
        <f t="shared" si="31"/>
        <v>277</v>
      </c>
      <c r="BN115" s="6">
        <v>1102</v>
      </c>
      <c r="BO115" s="6"/>
      <c r="BP115" s="6">
        <f t="shared" si="32"/>
        <v>297</v>
      </c>
      <c r="BQ115" s="6">
        <v>1400</v>
      </c>
      <c r="BR115" s="6"/>
      <c r="BS115" s="35">
        <f t="shared" si="33"/>
        <v>298</v>
      </c>
      <c r="BT115" s="6">
        <v>201</v>
      </c>
      <c r="BU115" s="6">
        <v>1500</v>
      </c>
      <c r="BV115" s="6">
        <f t="shared" si="34"/>
        <v>301</v>
      </c>
      <c r="BW115" s="6">
        <v>485</v>
      </c>
      <c r="BX115" s="6"/>
      <c r="BY115" s="35">
        <f t="shared" si="35"/>
        <v>284</v>
      </c>
      <c r="BZ115" s="6"/>
      <c r="CA115" s="6"/>
      <c r="CB115" s="6"/>
      <c r="CC115" s="6">
        <v>777</v>
      </c>
      <c r="CD115" s="6"/>
      <c r="CE115" s="6">
        <f t="shared" si="36"/>
        <v>292</v>
      </c>
      <c r="CF115" s="7">
        <v>1074</v>
      </c>
      <c r="CG115" s="6"/>
      <c r="CH115" s="6">
        <f t="shared" si="37"/>
        <v>297</v>
      </c>
      <c r="CI115" s="6">
        <v>1368</v>
      </c>
      <c r="CJ115" s="6"/>
      <c r="CK115" s="6">
        <f t="shared" si="38"/>
        <v>294</v>
      </c>
      <c r="CL115" s="6">
        <v>165</v>
      </c>
      <c r="CM115" s="6">
        <v>1500</v>
      </c>
      <c r="CN115" s="6">
        <f t="shared" si="39"/>
        <v>297</v>
      </c>
      <c r="CO115" s="6">
        <v>461</v>
      </c>
      <c r="CP115" s="6"/>
      <c r="CQ115" s="6">
        <f t="shared" si="40"/>
        <v>296</v>
      </c>
      <c r="CR115" s="6">
        <v>743</v>
      </c>
      <c r="CS115" s="6"/>
      <c r="CT115" s="6">
        <f t="shared" si="41"/>
        <v>282</v>
      </c>
      <c r="CU115" s="6"/>
      <c r="CV115" s="6"/>
      <c r="CW115" s="6"/>
      <c r="CX115" s="6">
        <v>1032</v>
      </c>
      <c r="CY115" s="6"/>
      <c r="CZ115" s="6">
        <f t="shared" si="42"/>
        <v>289</v>
      </c>
      <c r="DA115" s="6">
        <v>1322</v>
      </c>
      <c r="DB115" s="6"/>
      <c r="DC115" s="6">
        <f t="shared" si="43"/>
        <v>290</v>
      </c>
      <c r="DD115" s="6">
        <v>115</v>
      </c>
      <c r="DE115" s="6">
        <v>1500</v>
      </c>
      <c r="DF115" s="6">
        <f t="shared" si="44"/>
        <v>293</v>
      </c>
      <c r="DG115" s="6">
        <v>411</v>
      </c>
      <c r="DH115" s="6"/>
      <c r="DI115" s="6">
        <f t="shared" si="45"/>
        <v>296</v>
      </c>
      <c r="DJ115" s="6">
        <v>708</v>
      </c>
      <c r="DK115" s="6"/>
      <c r="DL115" s="6">
        <f t="shared" si="46"/>
        <v>297</v>
      </c>
      <c r="DM115" s="6">
        <v>977</v>
      </c>
      <c r="DN115" s="6"/>
      <c r="DO115" s="6">
        <f t="shared" si="47"/>
        <v>269</v>
      </c>
    </row>
    <row r="116" spans="1:119">
      <c r="A116" s="6">
        <v>112</v>
      </c>
      <c r="B116" s="6">
        <v>1234</v>
      </c>
      <c r="C116" s="6"/>
      <c r="D116" s="6">
        <v>191</v>
      </c>
      <c r="E116" s="33" t="s">
        <v>307</v>
      </c>
      <c r="F116" s="33" t="s">
        <v>307</v>
      </c>
      <c r="G116" s="33" t="s">
        <v>307</v>
      </c>
      <c r="H116" s="33" t="s">
        <v>307</v>
      </c>
      <c r="I116" s="33" t="s">
        <v>307</v>
      </c>
      <c r="J116" s="33" t="s">
        <v>307</v>
      </c>
      <c r="K116" s="33" t="s">
        <v>307</v>
      </c>
      <c r="L116" s="33" t="s">
        <v>307</v>
      </c>
      <c r="M116" s="33" t="s">
        <v>307</v>
      </c>
      <c r="N116" s="33" t="s">
        <v>307</v>
      </c>
      <c r="O116" s="33" t="s">
        <v>307</v>
      </c>
      <c r="P116" s="33" t="s">
        <v>307</v>
      </c>
      <c r="Q116" s="33" t="s">
        <v>307</v>
      </c>
      <c r="R116" s="33" t="s">
        <v>307</v>
      </c>
      <c r="S116" s="148" t="s">
        <v>307</v>
      </c>
      <c r="T116" s="33" t="s">
        <v>307</v>
      </c>
      <c r="U116" s="33" t="s">
        <v>307</v>
      </c>
      <c r="V116" s="33" t="s">
        <v>307</v>
      </c>
      <c r="W116" s="33" t="s">
        <v>307</v>
      </c>
      <c r="X116" s="33" t="s">
        <v>307</v>
      </c>
      <c r="Y116" s="33" t="s">
        <v>307</v>
      </c>
      <c r="Z116" s="33" t="s">
        <v>307</v>
      </c>
      <c r="AA116" s="33" t="s">
        <v>307</v>
      </c>
      <c r="AB116" s="33" t="s">
        <v>307</v>
      </c>
      <c r="AC116" s="33" t="s">
        <v>307</v>
      </c>
      <c r="AD116" s="6"/>
      <c r="AE116" s="6"/>
      <c r="AF116" s="35"/>
      <c r="AG116" s="6"/>
      <c r="AH116" s="6"/>
      <c r="AI116" s="35"/>
      <c r="AJ116" s="35"/>
      <c r="AK116" s="35"/>
      <c r="AL116" s="35"/>
      <c r="AM116" s="6">
        <v>44</v>
      </c>
      <c r="AN116" s="6">
        <v>1560</v>
      </c>
      <c r="AO116" s="35">
        <f t="shared" si="24"/>
        <v>370</v>
      </c>
      <c r="AP116" s="6">
        <v>421</v>
      </c>
      <c r="AQ116" s="6"/>
      <c r="AR116" s="34">
        <f t="shared" si="25"/>
        <v>377</v>
      </c>
      <c r="AS116" s="35">
        <v>815</v>
      </c>
      <c r="AT116" s="35"/>
      <c r="AU116" s="35">
        <f t="shared" si="26"/>
        <v>394</v>
      </c>
      <c r="AV116" s="6">
        <v>1204</v>
      </c>
      <c r="AW116" s="6"/>
      <c r="AX116" s="35">
        <f t="shared" si="27"/>
        <v>389</v>
      </c>
      <c r="AY116" s="6">
        <v>23</v>
      </c>
      <c r="AZ116" s="6">
        <v>1560</v>
      </c>
      <c r="BA116" s="35">
        <f t="shared" si="28"/>
        <v>379</v>
      </c>
      <c r="BB116" s="35">
        <v>389</v>
      </c>
      <c r="BC116" s="35"/>
      <c r="BD116" s="35">
        <f t="shared" si="29"/>
        <v>366</v>
      </c>
      <c r="BE116" s="6"/>
      <c r="BF116" s="6"/>
      <c r="BG116" s="35"/>
      <c r="BH116" s="6">
        <v>786</v>
      </c>
      <c r="BI116" s="6"/>
      <c r="BJ116" s="35">
        <f t="shared" si="30"/>
        <v>397</v>
      </c>
      <c r="BK116" s="6">
        <v>1172</v>
      </c>
      <c r="BL116" s="6"/>
      <c r="BM116" s="6">
        <f t="shared" si="31"/>
        <v>386</v>
      </c>
      <c r="BN116" s="6">
        <v>1562</v>
      </c>
      <c r="BO116" s="6"/>
      <c r="BP116" s="6">
        <f t="shared" si="32"/>
        <v>390</v>
      </c>
      <c r="BQ116" s="6">
        <v>365</v>
      </c>
      <c r="BR116" s="6">
        <v>1568</v>
      </c>
      <c r="BS116" s="35">
        <f t="shared" si="33"/>
        <v>371</v>
      </c>
      <c r="BT116" s="6">
        <v>750</v>
      </c>
      <c r="BU116" s="6"/>
      <c r="BV116" s="6">
        <f t="shared" si="34"/>
        <v>385</v>
      </c>
      <c r="BW116" s="6">
        <v>1124</v>
      </c>
      <c r="BX116" s="6"/>
      <c r="BY116" s="35">
        <f t="shared" si="35"/>
        <v>374</v>
      </c>
      <c r="BZ116" s="6"/>
      <c r="CA116" s="6"/>
      <c r="CB116" s="6"/>
      <c r="CC116" s="6">
        <v>1508</v>
      </c>
      <c r="CD116" s="6"/>
      <c r="CE116" s="6">
        <f t="shared" si="36"/>
        <v>384</v>
      </c>
      <c r="CF116" s="7">
        <v>262</v>
      </c>
      <c r="CG116" s="6">
        <v>1624</v>
      </c>
      <c r="CH116" s="6">
        <f t="shared" si="37"/>
        <v>378</v>
      </c>
      <c r="CI116" s="6">
        <v>654</v>
      </c>
      <c r="CJ116" s="6"/>
      <c r="CK116" s="6">
        <f t="shared" si="38"/>
        <v>392</v>
      </c>
      <c r="CL116" s="6">
        <v>1039</v>
      </c>
      <c r="CM116" s="6"/>
      <c r="CN116" s="6">
        <f t="shared" si="39"/>
        <v>385</v>
      </c>
      <c r="CO116" s="6">
        <v>1410</v>
      </c>
      <c r="CP116" s="6"/>
      <c r="CQ116" s="6">
        <f t="shared" si="40"/>
        <v>371</v>
      </c>
      <c r="CR116" s="6">
        <v>190</v>
      </c>
      <c r="CS116" s="6">
        <v>1572</v>
      </c>
      <c r="CT116" s="6">
        <f t="shared" si="41"/>
        <v>352</v>
      </c>
      <c r="CU116" s="6"/>
      <c r="CV116" s="6"/>
      <c r="CW116" s="6"/>
      <c r="CX116" s="6">
        <v>583</v>
      </c>
      <c r="CY116" s="6"/>
      <c r="CZ116" s="6">
        <f t="shared" si="42"/>
        <v>393</v>
      </c>
      <c r="DA116" s="6">
        <v>951</v>
      </c>
      <c r="DB116" s="6"/>
      <c r="DC116" s="6">
        <f t="shared" si="43"/>
        <v>368</v>
      </c>
      <c r="DD116" s="6">
        <v>1341</v>
      </c>
      <c r="DE116" s="6"/>
      <c r="DF116" s="6">
        <f t="shared" si="44"/>
        <v>390</v>
      </c>
      <c r="DG116" s="6">
        <v>171</v>
      </c>
      <c r="DH116" s="6">
        <v>1560</v>
      </c>
      <c r="DI116" s="6">
        <f t="shared" si="45"/>
        <v>390</v>
      </c>
      <c r="DJ116" s="6">
        <v>554</v>
      </c>
      <c r="DK116" s="6"/>
      <c r="DL116" s="6">
        <f t="shared" si="46"/>
        <v>383</v>
      </c>
      <c r="DM116" s="6">
        <v>906</v>
      </c>
      <c r="DN116" s="6"/>
      <c r="DO116" s="6">
        <f t="shared" si="47"/>
        <v>352</v>
      </c>
    </row>
    <row r="117" spans="1:119">
      <c r="A117" s="6">
        <v>113</v>
      </c>
      <c r="B117" s="6">
        <v>1485</v>
      </c>
      <c r="C117" s="6"/>
      <c r="D117" s="6">
        <v>146</v>
      </c>
      <c r="E117" s="33" t="s">
        <v>99</v>
      </c>
      <c r="F117" s="33" t="s">
        <v>99</v>
      </c>
      <c r="G117" s="33" t="s">
        <v>99</v>
      </c>
      <c r="H117" s="33" t="s">
        <v>99</v>
      </c>
      <c r="I117" s="33" t="s">
        <v>99</v>
      </c>
      <c r="J117" s="33" t="s">
        <v>99</v>
      </c>
      <c r="K117" s="33" t="s">
        <v>99</v>
      </c>
      <c r="L117" s="33" t="s">
        <v>99</v>
      </c>
      <c r="M117" s="33" t="s">
        <v>99</v>
      </c>
      <c r="N117" s="33" t="s">
        <v>99</v>
      </c>
      <c r="O117" s="33" t="s">
        <v>99</v>
      </c>
      <c r="P117" s="33" t="s">
        <v>99</v>
      </c>
      <c r="Q117" s="33" t="s">
        <v>99</v>
      </c>
      <c r="R117" s="33" t="s">
        <v>99</v>
      </c>
      <c r="S117" s="33" t="s">
        <v>99</v>
      </c>
      <c r="T117" s="148" t="s">
        <v>99</v>
      </c>
      <c r="U117" s="33" t="s">
        <v>99</v>
      </c>
      <c r="V117" s="33" t="s">
        <v>99</v>
      </c>
      <c r="W117" s="33" t="s">
        <v>99</v>
      </c>
      <c r="X117" s="33" t="s">
        <v>99</v>
      </c>
      <c r="Y117" s="33" t="s">
        <v>99</v>
      </c>
      <c r="Z117" s="33" t="s">
        <v>99</v>
      </c>
      <c r="AA117" s="33" t="s">
        <v>99</v>
      </c>
      <c r="AB117" s="33" t="s">
        <v>99</v>
      </c>
      <c r="AC117" s="33" t="s">
        <v>99</v>
      </c>
      <c r="AD117" s="35"/>
      <c r="AE117" s="35"/>
      <c r="AF117" s="35"/>
      <c r="AG117" s="35"/>
      <c r="AH117" s="35"/>
      <c r="AI117" s="35"/>
      <c r="AJ117" s="35"/>
      <c r="AK117" s="35"/>
      <c r="AL117" s="35"/>
      <c r="AM117" s="6">
        <v>273</v>
      </c>
      <c r="AN117" s="6">
        <v>1505</v>
      </c>
      <c r="AO117" s="35">
        <f t="shared" si="24"/>
        <v>293</v>
      </c>
      <c r="AP117" s="6">
        <v>543</v>
      </c>
      <c r="AQ117" s="6"/>
      <c r="AR117" s="34">
        <f t="shared" si="25"/>
        <v>270</v>
      </c>
      <c r="AS117" s="35">
        <v>815</v>
      </c>
      <c r="AT117" s="35"/>
      <c r="AU117" s="35">
        <f t="shared" si="26"/>
        <v>272</v>
      </c>
      <c r="AV117" s="6">
        <v>1088</v>
      </c>
      <c r="AW117" s="6"/>
      <c r="AX117" s="35">
        <f t="shared" si="27"/>
        <v>273</v>
      </c>
      <c r="AY117" s="6">
        <v>1363</v>
      </c>
      <c r="AZ117" s="6"/>
      <c r="BA117" s="35">
        <f t="shared" si="28"/>
        <v>275</v>
      </c>
      <c r="BB117" s="6">
        <v>125</v>
      </c>
      <c r="BC117" s="6">
        <v>1500</v>
      </c>
      <c r="BD117" s="35">
        <f t="shared" si="29"/>
        <v>262</v>
      </c>
      <c r="BE117" s="6"/>
      <c r="BF117" s="6"/>
      <c r="BG117" s="35"/>
      <c r="BH117" s="6">
        <v>401</v>
      </c>
      <c r="BI117" s="6"/>
      <c r="BJ117" s="35">
        <f t="shared" si="30"/>
        <v>276</v>
      </c>
      <c r="BK117" s="6">
        <v>671</v>
      </c>
      <c r="BL117" s="35"/>
      <c r="BM117" s="6">
        <f t="shared" si="31"/>
        <v>270</v>
      </c>
      <c r="BN117" s="6">
        <v>936</v>
      </c>
      <c r="BO117" s="6"/>
      <c r="BP117" s="6">
        <f t="shared" si="32"/>
        <v>265</v>
      </c>
      <c r="BQ117" s="6">
        <v>1230</v>
      </c>
      <c r="BR117" s="6"/>
      <c r="BS117" s="35">
        <f t="shared" si="33"/>
        <v>294</v>
      </c>
      <c r="BT117" s="6">
        <v>29</v>
      </c>
      <c r="BU117" s="6">
        <v>1500</v>
      </c>
      <c r="BV117" s="6">
        <f t="shared" si="34"/>
        <v>299</v>
      </c>
      <c r="BW117" s="6">
        <v>314</v>
      </c>
      <c r="BX117" s="6"/>
      <c r="BY117" s="35">
        <f t="shared" si="35"/>
        <v>285</v>
      </c>
      <c r="BZ117" s="6"/>
      <c r="CA117" s="35"/>
      <c r="CB117" s="6"/>
      <c r="CC117" s="6">
        <v>613</v>
      </c>
      <c r="CD117" s="6"/>
      <c r="CE117" s="6">
        <f t="shared" si="36"/>
        <v>299</v>
      </c>
      <c r="CF117" s="7">
        <v>0</v>
      </c>
      <c r="CG117" s="35">
        <v>798</v>
      </c>
      <c r="CH117" s="6">
        <f t="shared" si="37"/>
        <v>185</v>
      </c>
      <c r="CI117" s="6">
        <v>270</v>
      </c>
      <c r="CJ117" s="6"/>
      <c r="CK117" s="6">
        <f t="shared" si="38"/>
        <v>270</v>
      </c>
      <c r="CL117" s="6">
        <v>563</v>
      </c>
      <c r="CM117" s="6"/>
      <c r="CN117" s="6">
        <f t="shared" si="39"/>
        <v>293</v>
      </c>
      <c r="CO117" s="6">
        <v>852</v>
      </c>
      <c r="CP117" s="6"/>
      <c r="CQ117" s="6">
        <f t="shared" si="40"/>
        <v>289</v>
      </c>
      <c r="CR117" s="6">
        <v>1129</v>
      </c>
      <c r="CS117" s="6"/>
      <c r="CT117" s="6">
        <f t="shared" si="41"/>
        <v>277</v>
      </c>
      <c r="CU117" s="6"/>
      <c r="CV117" s="6"/>
      <c r="CW117" s="6"/>
      <c r="CX117" s="6">
        <v>1423</v>
      </c>
      <c r="CY117" s="6"/>
      <c r="CZ117" s="6">
        <f t="shared" si="42"/>
        <v>294</v>
      </c>
      <c r="DA117" s="6">
        <v>217</v>
      </c>
      <c r="DB117" s="6">
        <v>1500</v>
      </c>
      <c r="DC117" s="6">
        <f t="shared" si="43"/>
        <v>294</v>
      </c>
      <c r="DD117" s="6">
        <v>506</v>
      </c>
      <c r="DE117" s="6"/>
      <c r="DF117" s="6">
        <f t="shared" si="44"/>
        <v>289</v>
      </c>
      <c r="DG117" s="6">
        <v>805</v>
      </c>
      <c r="DH117" s="6"/>
      <c r="DI117" s="6">
        <f t="shared" si="45"/>
        <v>299</v>
      </c>
      <c r="DJ117" s="6">
        <v>1105</v>
      </c>
      <c r="DK117" s="6"/>
      <c r="DL117" s="6">
        <f t="shared" si="46"/>
        <v>300</v>
      </c>
      <c r="DM117" s="6">
        <v>199</v>
      </c>
      <c r="DN117" s="6">
        <v>1170</v>
      </c>
      <c r="DO117" s="6">
        <f t="shared" si="47"/>
        <v>264</v>
      </c>
    </row>
    <row r="118" spans="1:119">
      <c r="A118" s="6">
        <v>114</v>
      </c>
      <c r="B118" s="6">
        <v>97</v>
      </c>
      <c r="C118" s="6">
        <v>1480</v>
      </c>
      <c r="D118" s="6">
        <v>201</v>
      </c>
      <c r="E118" s="33" t="s">
        <v>128</v>
      </c>
      <c r="F118" s="33" t="s">
        <v>128</v>
      </c>
      <c r="G118" s="33" t="s">
        <v>128</v>
      </c>
      <c r="H118" s="33" t="s">
        <v>128</v>
      </c>
      <c r="I118" s="33" t="s">
        <v>128</v>
      </c>
      <c r="J118" s="33" t="s">
        <v>128</v>
      </c>
      <c r="K118" s="33" t="s">
        <v>128</v>
      </c>
      <c r="L118" s="33" t="s">
        <v>128</v>
      </c>
      <c r="M118" s="33" t="s">
        <v>128</v>
      </c>
      <c r="N118" s="33" t="s">
        <v>128</v>
      </c>
      <c r="O118" s="33" t="s">
        <v>128</v>
      </c>
      <c r="P118" s="33" t="s">
        <v>128</v>
      </c>
      <c r="Q118" s="33" t="s">
        <v>128</v>
      </c>
      <c r="R118" s="148" t="s">
        <v>37</v>
      </c>
      <c r="S118" s="33" t="s">
        <v>37</v>
      </c>
      <c r="T118" s="33" t="s">
        <v>37</v>
      </c>
      <c r="U118" s="33" t="s">
        <v>37</v>
      </c>
      <c r="V118" s="33" t="s">
        <v>37</v>
      </c>
      <c r="W118" s="33" t="s">
        <v>37</v>
      </c>
      <c r="X118" s="33" t="s">
        <v>37</v>
      </c>
      <c r="Y118" s="33" t="s">
        <v>37</v>
      </c>
      <c r="Z118" s="33" t="s">
        <v>37</v>
      </c>
      <c r="AA118" s="33" t="s">
        <v>37</v>
      </c>
      <c r="AB118" s="33" t="s">
        <v>37</v>
      </c>
      <c r="AC118" s="33" t="s">
        <v>37</v>
      </c>
      <c r="AD118" s="6"/>
      <c r="AE118" s="6"/>
      <c r="AF118" s="35"/>
      <c r="AG118" s="6"/>
      <c r="AH118" s="6"/>
      <c r="AI118" s="35"/>
      <c r="AJ118" s="35"/>
      <c r="AK118" s="35"/>
      <c r="AL118" s="35"/>
      <c r="AM118" s="6">
        <v>510</v>
      </c>
      <c r="AN118" s="6"/>
      <c r="AO118" s="35">
        <f t="shared" si="24"/>
        <v>413</v>
      </c>
      <c r="AP118" s="6">
        <v>895</v>
      </c>
      <c r="AQ118" s="6"/>
      <c r="AR118" s="34">
        <f t="shared" si="25"/>
        <v>385</v>
      </c>
      <c r="AS118" s="35">
        <v>1288</v>
      </c>
      <c r="AT118" s="35"/>
      <c r="AU118" s="35">
        <f t="shared" si="26"/>
        <v>393</v>
      </c>
      <c r="AV118" s="6">
        <v>122</v>
      </c>
      <c r="AW118" s="6">
        <v>1560</v>
      </c>
      <c r="AX118" s="35">
        <f t="shared" si="27"/>
        <v>394</v>
      </c>
      <c r="AY118" s="6">
        <v>514</v>
      </c>
      <c r="AZ118" s="6"/>
      <c r="BA118" s="35">
        <f t="shared" si="28"/>
        <v>392</v>
      </c>
      <c r="BB118" s="35">
        <v>891</v>
      </c>
      <c r="BC118" s="35"/>
      <c r="BD118" s="35">
        <f t="shared" si="29"/>
        <v>377</v>
      </c>
      <c r="BE118" s="6"/>
      <c r="BF118" s="6"/>
      <c r="BG118" s="35"/>
      <c r="BH118" s="6">
        <v>1287</v>
      </c>
      <c r="BI118" s="6"/>
      <c r="BJ118" s="35">
        <f t="shared" si="30"/>
        <v>396</v>
      </c>
      <c r="BK118" s="6">
        <v>275</v>
      </c>
      <c r="BL118" s="6">
        <v>1354</v>
      </c>
      <c r="BM118" s="6">
        <f t="shared" si="31"/>
        <v>342</v>
      </c>
      <c r="BN118" s="6">
        <v>675</v>
      </c>
      <c r="BO118" s="6"/>
      <c r="BP118" s="6">
        <f t="shared" si="32"/>
        <v>400</v>
      </c>
      <c r="BQ118" s="6">
        <v>1067</v>
      </c>
      <c r="BR118" s="6"/>
      <c r="BS118" s="35">
        <f t="shared" si="33"/>
        <v>392</v>
      </c>
      <c r="BT118" s="6">
        <v>1463</v>
      </c>
      <c r="BU118" s="6"/>
      <c r="BV118" s="6">
        <f t="shared" si="34"/>
        <v>396</v>
      </c>
      <c r="BW118" s="6">
        <v>1844</v>
      </c>
      <c r="BX118" s="6"/>
      <c r="BY118" s="35">
        <f t="shared" si="35"/>
        <v>381</v>
      </c>
      <c r="BZ118" s="6"/>
      <c r="CA118" s="6"/>
      <c r="CB118" s="6"/>
      <c r="CC118" s="6">
        <v>305</v>
      </c>
      <c r="CD118" s="6">
        <v>1897</v>
      </c>
      <c r="CE118" s="6">
        <f t="shared" si="36"/>
        <v>358</v>
      </c>
      <c r="CF118" s="7">
        <v>702</v>
      </c>
      <c r="CG118" s="6"/>
      <c r="CH118" s="6">
        <f t="shared" si="37"/>
        <v>397</v>
      </c>
      <c r="CI118" s="6">
        <v>1102</v>
      </c>
      <c r="CJ118" s="6"/>
      <c r="CK118" s="6">
        <f t="shared" si="38"/>
        <v>400</v>
      </c>
      <c r="CL118" s="6">
        <v>1486</v>
      </c>
      <c r="CM118" s="6"/>
      <c r="CN118" s="6">
        <f t="shared" si="39"/>
        <v>384</v>
      </c>
      <c r="CO118" s="6">
        <v>297</v>
      </c>
      <c r="CP118" s="6">
        <v>1560</v>
      </c>
      <c r="CQ118" s="6">
        <f t="shared" si="40"/>
        <v>371</v>
      </c>
      <c r="CR118" s="6">
        <v>657</v>
      </c>
      <c r="CS118" s="6"/>
      <c r="CT118" s="6">
        <f t="shared" si="41"/>
        <v>360</v>
      </c>
      <c r="CU118" s="6"/>
      <c r="CV118" s="6"/>
      <c r="CW118" s="6"/>
      <c r="CX118" s="6">
        <v>1038</v>
      </c>
      <c r="CY118" s="6"/>
      <c r="CZ118" s="6">
        <f t="shared" si="42"/>
        <v>381</v>
      </c>
      <c r="DA118" s="6">
        <v>1416</v>
      </c>
      <c r="DB118" s="6"/>
      <c r="DC118" s="6">
        <f t="shared" si="43"/>
        <v>378</v>
      </c>
      <c r="DD118" s="6">
        <v>232</v>
      </c>
      <c r="DE118" s="6">
        <v>1560</v>
      </c>
      <c r="DF118" s="6">
        <f t="shared" si="44"/>
        <v>376</v>
      </c>
      <c r="DG118" s="6">
        <v>601</v>
      </c>
      <c r="DH118" s="6"/>
      <c r="DI118" s="6">
        <f t="shared" si="45"/>
        <v>369</v>
      </c>
      <c r="DJ118" s="6">
        <v>970</v>
      </c>
      <c r="DK118" s="6"/>
      <c r="DL118" s="6">
        <f t="shared" si="46"/>
        <v>369</v>
      </c>
      <c r="DM118" s="6">
        <v>1308</v>
      </c>
      <c r="DN118" s="6"/>
      <c r="DO118" s="6">
        <f t="shared" si="47"/>
        <v>338</v>
      </c>
    </row>
    <row r="119" spans="1:119">
      <c r="A119" s="6">
        <v>115</v>
      </c>
      <c r="B119" s="6">
        <v>0</v>
      </c>
      <c r="C119" s="6">
        <v>1500</v>
      </c>
      <c r="D119" s="6">
        <v>147</v>
      </c>
      <c r="E119" s="33" t="s">
        <v>99</v>
      </c>
      <c r="F119" s="33" t="s">
        <v>99</v>
      </c>
      <c r="G119" s="33" t="s">
        <v>99</v>
      </c>
      <c r="H119" s="33" t="s">
        <v>99</v>
      </c>
      <c r="I119" s="33" t="s">
        <v>99</v>
      </c>
      <c r="J119" s="148" t="s">
        <v>99</v>
      </c>
      <c r="K119" s="33" t="s">
        <v>99</v>
      </c>
      <c r="L119" s="33" t="s">
        <v>99</v>
      </c>
      <c r="M119" s="33" t="s">
        <v>99</v>
      </c>
      <c r="N119" s="33" t="s">
        <v>99</v>
      </c>
      <c r="O119" s="33" t="s">
        <v>99</v>
      </c>
      <c r="P119" s="33" t="s">
        <v>99</v>
      </c>
      <c r="Q119" s="33" t="s">
        <v>99</v>
      </c>
      <c r="R119" s="33" t="s">
        <v>99</v>
      </c>
      <c r="S119" s="33" t="s">
        <v>99</v>
      </c>
      <c r="T119" s="33" t="s">
        <v>99</v>
      </c>
      <c r="U119" s="33" t="s">
        <v>99</v>
      </c>
      <c r="V119" s="33" t="s">
        <v>99</v>
      </c>
      <c r="W119" s="33" t="s">
        <v>99</v>
      </c>
      <c r="X119" s="33" t="s">
        <v>99</v>
      </c>
      <c r="Y119" s="33" t="s">
        <v>99</v>
      </c>
      <c r="Z119" s="33" t="s">
        <v>99</v>
      </c>
      <c r="AA119" s="33" t="s">
        <v>99</v>
      </c>
      <c r="AB119" s="33" t="s">
        <v>99</v>
      </c>
      <c r="AC119" s="33" t="s">
        <v>99</v>
      </c>
      <c r="AD119" s="6"/>
      <c r="AE119" s="6"/>
      <c r="AF119" s="35"/>
      <c r="AG119" s="6"/>
      <c r="AH119" s="6"/>
      <c r="AI119" s="35"/>
      <c r="AJ119" s="35"/>
      <c r="AK119" s="35"/>
      <c r="AL119" s="35"/>
      <c r="AM119" s="6">
        <v>294</v>
      </c>
      <c r="AN119" s="6"/>
      <c r="AO119" s="35">
        <f t="shared" si="24"/>
        <v>294</v>
      </c>
      <c r="AP119" s="6">
        <v>564</v>
      </c>
      <c r="AQ119" s="6"/>
      <c r="AR119" s="34">
        <f t="shared" si="25"/>
        <v>270</v>
      </c>
      <c r="AS119" s="35">
        <v>838</v>
      </c>
      <c r="AT119" s="35"/>
      <c r="AU119" s="35">
        <f t="shared" si="26"/>
        <v>274</v>
      </c>
      <c r="AV119" s="6">
        <v>0</v>
      </c>
      <c r="AW119" s="6">
        <v>1007</v>
      </c>
      <c r="AX119" s="35">
        <f t="shared" si="27"/>
        <v>169</v>
      </c>
      <c r="AY119" s="6">
        <v>243</v>
      </c>
      <c r="AZ119" s="6"/>
      <c r="BA119" s="35">
        <f t="shared" si="28"/>
        <v>243</v>
      </c>
      <c r="BB119" s="35">
        <v>509</v>
      </c>
      <c r="BC119" s="35"/>
      <c r="BD119" s="35">
        <f t="shared" si="29"/>
        <v>266</v>
      </c>
      <c r="BE119" s="6"/>
      <c r="BF119" s="6"/>
      <c r="BG119" s="35"/>
      <c r="BH119" s="6">
        <v>783</v>
      </c>
      <c r="BI119" s="6"/>
      <c r="BJ119" s="35">
        <f t="shared" si="30"/>
        <v>274</v>
      </c>
      <c r="BK119" s="6">
        <v>1055</v>
      </c>
      <c r="BL119" s="6"/>
      <c r="BM119" s="6">
        <f t="shared" si="31"/>
        <v>272</v>
      </c>
      <c r="BN119" s="6">
        <v>1350</v>
      </c>
      <c r="BO119" s="6"/>
      <c r="BP119" s="6">
        <f t="shared" si="32"/>
        <v>295</v>
      </c>
      <c r="BQ119" s="6">
        <v>147</v>
      </c>
      <c r="BR119" s="6">
        <v>1500</v>
      </c>
      <c r="BS119" s="35">
        <f t="shared" si="33"/>
        <v>297</v>
      </c>
      <c r="BT119" s="6">
        <v>446</v>
      </c>
      <c r="BU119" s="6"/>
      <c r="BV119" s="6">
        <f t="shared" si="34"/>
        <v>299</v>
      </c>
      <c r="BW119" s="6">
        <v>729</v>
      </c>
      <c r="BX119" s="6"/>
      <c r="BY119" s="35">
        <f t="shared" si="35"/>
        <v>283</v>
      </c>
      <c r="BZ119" s="6"/>
      <c r="CA119" s="6"/>
      <c r="CB119" s="6"/>
      <c r="CC119" s="6">
        <v>1026</v>
      </c>
      <c r="CD119" s="6"/>
      <c r="CE119" s="6">
        <f t="shared" si="36"/>
        <v>297</v>
      </c>
      <c r="CF119" s="7">
        <v>1316</v>
      </c>
      <c r="CG119" s="6"/>
      <c r="CH119" s="6">
        <f t="shared" si="37"/>
        <v>290</v>
      </c>
      <c r="CI119" s="6">
        <v>115</v>
      </c>
      <c r="CJ119" s="6">
        <v>1500</v>
      </c>
      <c r="CK119" s="6">
        <f t="shared" si="38"/>
        <v>299</v>
      </c>
      <c r="CL119" s="6">
        <v>410</v>
      </c>
      <c r="CM119" s="6"/>
      <c r="CN119" s="6">
        <f t="shared" si="39"/>
        <v>295</v>
      </c>
      <c r="CO119" s="6">
        <v>708</v>
      </c>
      <c r="CP119" s="6"/>
      <c r="CQ119" s="6">
        <f t="shared" si="40"/>
        <v>298</v>
      </c>
      <c r="CR119" s="6">
        <v>992</v>
      </c>
      <c r="CS119" s="6"/>
      <c r="CT119" s="6">
        <f t="shared" si="41"/>
        <v>284</v>
      </c>
      <c r="CU119" s="6"/>
      <c r="CV119" s="6"/>
      <c r="CW119" s="6"/>
      <c r="CX119" s="6">
        <v>1292</v>
      </c>
      <c r="CY119" s="6"/>
      <c r="CZ119" s="6">
        <f t="shared" si="42"/>
        <v>300</v>
      </c>
      <c r="DA119" s="6">
        <v>89</v>
      </c>
      <c r="DB119" s="6">
        <v>1500</v>
      </c>
      <c r="DC119" s="6">
        <f t="shared" si="43"/>
        <v>297</v>
      </c>
      <c r="DD119" s="6">
        <v>388</v>
      </c>
      <c r="DE119" s="6"/>
      <c r="DF119" s="6">
        <f t="shared" si="44"/>
        <v>299</v>
      </c>
      <c r="DG119" s="6">
        <v>684</v>
      </c>
      <c r="DH119" s="6"/>
      <c r="DI119" s="6">
        <f t="shared" si="45"/>
        <v>296</v>
      </c>
      <c r="DJ119" s="6">
        <v>985</v>
      </c>
      <c r="DK119" s="6"/>
      <c r="DL119" s="6">
        <f t="shared" si="46"/>
        <v>301</v>
      </c>
      <c r="DM119" s="6">
        <v>1256</v>
      </c>
      <c r="DN119" s="6"/>
      <c r="DO119" s="6">
        <f t="shared" si="47"/>
        <v>271</v>
      </c>
    </row>
    <row r="120" spans="1:119">
      <c r="A120" s="6">
        <v>116</v>
      </c>
      <c r="B120" s="6">
        <v>0</v>
      </c>
      <c r="C120" s="6">
        <v>1736</v>
      </c>
      <c r="D120" s="6">
        <v>175</v>
      </c>
      <c r="E120" s="33" t="s">
        <v>37</v>
      </c>
      <c r="F120" s="148" t="s">
        <v>37</v>
      </c>
      <c r="G120" s="33" t="s">
        <v>37</v>
      </c>
      <c r="H120" s="33" t="s">
        <v>37</v>
      </c>
      <c r="I120" s="33" t="s">
        <v>37</v>
      </c>
      <c r="J120" s="33" t="s">
        <v>37</v>
      </c>
      <c r="K120" s="33" t="s">
        <v>37</v>
      </c>
      <c r="L120" s="33" t="s">
        <v>37</v>
      </c>
      <c r="M120" s="33" t="s">
        <v>37</v>
      </c>
      <c r="N120" s="33" t="s">
        <v>37</v>
      </c>
      <c r="O120" s="33" t="s">
        <v>37</v>
      </c>
      <c r="P120" s="33" t="s">
        <v>37</v>
      </c>
      <c r="Q120" s="33" t="s">
        <v>37</v>
      </c>
      <c r="R120" s="33" t="s">
        <v>37</v>
      </c>
      <c r="S120" s="33" t="s">
        <v>37</v>
      </c>
      <c r="T120" s="33" t="s">
        <v>37</v>
      </c>
      <c r="U120" s="33" t="s">
        <v>37</v>
      </c>
      <c r="V120" s="33" t="s">
        <v>37</v>
      </c>
      <c r="W120" s="33" t="s">
        <v>37</v>
      </c>
      <c r="X120" s="33" t="s">
        <v>37</v>
      </c>
      <c r="Y120" s="33" t="s">
        <v>37</v>
      </c>
      <c r="Z120" s="33" t="s">
        <v>37</v>
      </c>
      <c r="AA120" s="148" t="s">
        <v>37</v>
      </c>
      <c r="AB120" s="33" t="s">
        <v>37</v>
      </c>
      <c r="AC120" s="33" t="s">
        <v>37</v>
      </c>
      <c r="AD120" s="6"/>
      <c r="AE120" s="6"/>
      <c r="AF120" s="35"/>
      <c r="AG120" s="6"/>
      <c r="AH120" s="6"/>
      <c r="AI120" s="35"/>
      <c r="AJ120" s="35"/>
      <c r="AK120" s="35"/>
      <c r="AL120" s="35"/>
      <c r="AM120" s="6">
        <v>349</v>
      </c>
      <c r="AN120" s="6"/>
      <c r="AO120" s="35">
        <f t="shared" si="24"/>
        <v>349</v>
      </c>
      <c r="AP120" s="6">
        <v>721</v>
      </c>
      <c r="AQ120" s="6"/>
      <c r="AR120" s="34">
        <f t="shared" si="25"/>
        <v>372</v>
      </c>
      <c r="AS120" s="35">
        <v>1103</v>
      </c>
      <c r="AT120" s="35"/>
      <c r="AU120" s="35">
        <f t="shared" si="26"/>
        <v>382</v>
      </c>
      <c r="AV120" s="6">
        <v>1483</v>
      </c>
      <c r="AW120" s="6"/>
      <c r="AX120" s="35">
        <f t="shared" si="27"/>
        <v>380</v>
      </c>
      <c r="AY120" s="6">
        <v>303</v>
      </c>
      <c r="AZ120" s="6">
        <v>1560</v>
      </c>
      <c r="BA120" s="35">
        <f t="shared" si="28"/>
        <v>380</v>
      </c>
      <c r="BB120" s="35">
        <v>668</v>
      </c>
      <c r="BC120" s="35"/>
      <c r="BD120" s="35">
        <f t="shared" si="29"/>
        <v>365</v>
      </c>
      <c r="BE120" s="6"/>
      <c r="BF120" s="6"/>
      <c r="BG120" s="35"/>
      <c r="BH120" s="6">
        <v>273</v>
      </c>
      <c r="BI120" s="6">
        <v>746</v>
      </c>
      <c r="BJ120" s="35">
        <f t="shared" si="30"/>
        <v>351</v>
      </c>
      <c r="BK120" s="6">
        <v>648</v>
      </c>
      <c r="BL120" s="6"/>
      <c r="BM120" s="6">
        <f t="shared" si="31"/>
        <v>375</v>
      </c>
      <c r="BN120" s="6">
        <v>1030</v>
      </c>
      <c r="BO120" s="6"/>
      <c r="BP120" s="6">
        <f t="shared" si="32"/>
        <v>382</v>
      </c>
      <c r="BQ120" s="6">
        <v>1412</v>
      </c>
      <c r="BR120" s="6"/>
      <c r="BS120" s="35">
        <f t="shared" si="33"/>
        <v>382</v>
      </c>
      <c r="BT120" s="6">
        <v>233</v>
      </c>
      <c r="BU120" s="6">
        <v>1560</v>
      </c>
      <c r="BV120" s="6">
        <f t="shared" si="34"/>
        <v>381</v>
      </c>
      <c r="BW120" s="6">
        <v>596</v>
      </c>
      <c r="BX120" s="6"/>
      <c r="BY120" s="35">
        <f t="shared" si="35"/>
        <v>363</v>
      </c>
      <c r="BZ120" s="6"/>
      <c r="CA120" s="6"/>
      <c r="CB120" s="6"/>
      <c r="CC120" s="6">
        <v>980</v>
      </c>
      <c r="CD120" s="6"/>
      <c r="CE120" s="6">
        <f t="shared" si="36"/>
        <v>384</v>
      </c>
      <c r="CF120" s="7">
        <v>1355</v>
      </c>
      <c r="CG120" s="6"/>
      <c r="CH120" s="6">
        <f t="shared" si="37"/>
        <v>375</v>
      </c>
      <c r="CI120" s="6">
        <v>171</v>
      </c>
      <c r="CJ120" s="6">
        <v>1560</v>
      </c>
      <c r="CK120" s="6">
        <f t="shared" si="38"/>
        <v>376</v>
      </c>
      <c r="CL120" s="6">
        <v>533</v>
      </c>
      <c r="CM120" s="6"/>
      <c r="CN120" s="6">
        <f t="shared" si="39"/>
        <v>362</v>
      </c>
      <c r="CO120" s="6">
        <v>901</v>
      </c>
      <c r="CP120" s="6"/>
      <c r="CQ120" s="6">
        <f t="shared" si="40"/>
        <v>368</v>
      </c>
      <c r="CR120" s="6">
        <v>1264</v>
      </c>
      <c r="CS120" s="6"/>
      <c r="CT120" s="6">
        <f t="shared" si="41"/>
        <v>363</v>
      </c>
      <c r="CU120" s="6"/>
      <c r="CV120" s="6"/>
      <c r="CW120" s="6"/>
      <c r="CX120" s="6">
        <v>80</v>
      </c>
      <c r="CY120" s="6">
        <v>1560</v>
      </c>
      <c r="CZ120" s="6">
        <f t="shared" si="42"/>
        <v>376</v>
      </c>
      <c r="DA120" s="6">
        <v>455</v>
      </c>
      <c r="DB120" s="6"/>
      <c r="DC120" s="6">
        <f t="shared" si="43"/>
        <v>375</v>
      </c>
      <c r="DD120" s="6">
        <v>827</v>
      </c>
      <c r="DE120" s="6"/>
      <c r="DF120" s="6">
        <f t="shared" si="44"/>
        <v>372</v>
      </c>
      <c r="DG120" s="35">
        <v>293</v>
      </c>
      <c r="DH120" s="6">
        <v>880</v>
      </c>
      <c r="DI120" s="6">
        <f t="shared" si="45"/>
        <v>346</v>
      </c>
      <c r="DJ120" s="35">
        <v>672</v>
      </c>
      <c r="DK120" s="6"/>
      <c r="DL120" s="6">
        <f t="shared" si="46"/>
        <v>379</v>
      </c>
      <c r="DM120" s="35">
        <v>1015</v>
      </c>
      <c r="DN120" s="6"/>
      <c r="DO120" s="6">
        <f t="shared" si="47"/>
        <v>343</v>
      </c>
    </row>
    <row r="121" spans="1:119">
      <c r="A121" s="6">
        <v>117</v>
      </c>
      <c r="B121" s="6">
        <v>950</v>
      </c>
      <c r="C121" s="6"/>
      <c r="D121" s="6">
        <v>206</v>
      </c>
      <c r="E121" s="33" t="s">
        <v>307</v>
      </c>
      <c r="F121" s="33" t="s">
        <v>307</v>
      </c>
      <c r="G121" s="33" t="s">
        <v>307</v>
      </c>
      <c r="H121" s="33" t="s">
        <v>307</v>
      </c>
      <c r="I121" s="33" t="s">
        <v>307</v>
      </c>
      <c r="J121" s="33" t="s">
        <v>307</v>
      </c>
      <c r="K121" s="33" t="s">
        <v>307</v>
      </c>
      <c r="L121" s="33" t="s">
        <v>307</v>
      </c>
      <c r="M121" s="33" t="s">
        <v>307</v>
      </c>
      <c r="N121" s="33" t="s">
        <v>307</v>
      </c>
      <c r="O121" s="33" t="s">
        <v>307</v>
      </c>
      <c r="P121" s="33" t="s">
        <v>307</v>
      </c>
      <c r="Q121" s="148" t="s">
        <v>307</v>
      </c>
      <c r="R121" s="33" t="s">
        <v>307</v>
      </c>
      <c r="S121" s="33" t="s">
        <v>307</v>
      </c>
      <c r="T121" s="33" t="s">
        <v>307</v>
      </c>
      <c r="U121" s="33" t="s">
        <v>307</v>
      </c>
      <c r="V121" s="33" t="s">
        <v>307</v>
      </c>
      <c r="W121" s="33" t="s">
        <v>307</v>
      </c>
      <c r="X121" s="33" t="s">
        <v>307</v>
      </c>
      <c r="Y121" s="33" t="s">
        <v>307</v>
      </c>
      <c r="Z121" s="33" t="s">
        <v>307</v>
      </c>
      <c r="AA121" s="33" t="s">
        <v>307</v>
      </c>
      <c r="AB121" s="33" t="s">
        <v>307</v>
      </c>
      <c r="AC121" s="33" t="s">
        <v>307</v>
      </c>
      <c r="AD121" s="6"/>
      <c r="AE121" s="6"/>
      <c r="AF121" s="35"/>
      <c r="AG121" s="6"/>
      <c r="AH121" s="6"/>
      <c r="AI121" s="35"/>
      <c r="AJ121" s="35"/>
      <c r="AK121" s="35"/>
      <c r="AL121" s="35"/>
      <c r="AM121" s="6">
        <v>1353</v>
      </c>
      <c r="AN121" s="6"/>
      <c r="AO121" s="35">
        <f t="shared" si="24"/>
        <v>403</v>
      </c>
      <c r="AP121" s="6">
        <v>173</v>
      </c>
      <c r="AQ121" s="6">
        <v>1560</v>
      </c>
      <c r="AR121" s="34">
        <f t="shared" si="25"/>
        <v>380</v>
      </c>
      <c r="AS121" s="35">
        <v>565</v>
      </c>
      <c r="AT121" s="35"/>
      <c r="AU121" s="35">
        <f t="shared" si="26"/>
        <v>392</v>
      </c>
      <c r="AV121" s="6">
        <v>960</v>
      </c>
      <c r="AW121" s="6"/>
      <c r="AX121" s="35">
        <f t="shared" si="27"/>
        <v>395</v>
      </c>
      <c r="AY121" s="6">
        <v>1355</v>
      </c>
      <c r="AZ121" s="6"/>
      <c r="BA121" s="35">
        <f t="shared" si="28"/>
        <v>395</v>
      </c>
      <c r="BB121" s="35">
        <v>160</v>
      </c>
      <c r="BC121" s="35">
        <v>1560</v>
      </c>
      <c r="BD121" s="35">
        <f t="shared" si="29"/>
        <v>365</v>
      </c>
      <c r="BE121" s="6"/>
      <c r="BF121" s="6"/>
      <c r="BG121" s="35"/>
      <c r="BH121" s="6">
        <v>512</v>
      </c>
      <c r="BI121" s="6"/>
      <c r="BJ121" s="35">
        <f t="shared" si="30"/>
        <v>352</v>
      </c>
      <c r="BK121" s="6">
        <v>895</v>
      </c>
      <c r="BL121" s="6"/>
      <c r="BM121" s="6">
        <f t="shared" si="31"/>
        <v>383</v>
      </c>
      <c r="BN121" s="6">
        <v>1280</v>
      </c>
      <c r="BO121" s="6"/>
      <c r="BP121" s="6">
        <f t="shared" si="32"/>
        <v>385</v>
      </c>
      <c r="BQ121" s="6">
        <v>105</v>
      </c>
      <c r="BR121" s="6">
        <v>1560</v>
      </c>
      <c r="BS121" s="35">
        <f t="shared" si="33"/>
        <v>385</v>
      </c>
      <c r="BT121" s="6">
        <v>495</v>
      </c>
      <c r="BU121" s="6"/>
      <c r="BV121" s="6">
        <f t="shared" si="34"/>
        <v>390</v>
      </c>
      <c r="BW121" s="6">
        <v>265</v>
      </c>
      <c r="BX121" s="6">
        <v>523</v>
      </c>
      <c r="BY121" s="35">
        <f t="shared" si="35"/>
        <v>293</v>
      </c>
      <c r="BZ121" s="6"/>
      <c r="CA121" s="6"/>
      <c r="CB121" s="6"/>
      <c r="CC121" s="6">
        <v>649</v>
      </c>
      <c r="CD121" s="6"/>
      <c r="CE121" s="6">
        <f t="shared" si="36"/>
        <v>384</v>
      </c>
      <c r="CF121" s="6">
        <v>1044</v>
      </c>
      <c r="CG121" s="6"/>
      <c r="CH121" s="6">
        <f t="shared" si="37"/>
        <v>395</v>
      </c>
      <c r="CI121" s="6">
        <v>1441</v>
      </c>
      <c r="CJ121" s="6"/>
      <c r="CK121" s="6">
        <f t="shared" si="38"/>
        <v>397</v>
      </c>
      <c r="CL121" s="6">
        <v>261</v>
      </c>
      <c r="CM121" s="6">
        <v>1560</v>
      </c>
      <c r="CN121" s="6">
        <f t="shared" si="39"/>
        <v>380</v>
      </c>
      <c r="CO121" s="6">
        <v>640</v>
      </c>
      <c r="CP121" s="6"/>
      <c r="CQ121" s="6">
        <f t="shared" si="40"/>
        <v>379</v>
      </c>
      <c r="CR121" s="6">
        <v>1004</v>
      </c>
      <c r="CS121" s="6"/>
      <c r="CT121" s="6">
        <f t="shared" si="41"/>
        <v>364</v>
      </c>
      <c r="CU121" s="6"/>
      <c r="CV121" s="6"/>
      <c r="CW121" s="6"/>
      <c r="CX121" s="6">
        <v>1392</v>
      </c>
      <c r="CY121" s="6"/>
      <c r="CZ121" s="6">
        <f t="shared" si="42"/>
        <v>388</v>
      </c>
      <c r="DA121" s="6">
        <v>276</v>
      </c>
      <c r="DB121" s="6">
        <v>1497</v>
      </c>
      <c r="DC121" s="6">
        <f t="shared" si="43"/>
        <v>381</v>
      </c>
      <c r="DD121" s="6">
        <v>668</v>
      </c>
      <c r="DE121" s="6"/>
      <c r="DF121" s="6">
        <f t="shared" si="44"/>
        <v>392</v>
      </c>
      <c r="DG121" s="6">
        <v>1052</v>
      </c>
      <c r="DH121" s="6"/>
      <c r="DI121" s="6">
        <f t="shared" si="45"/>
        <v>384</v>
      </c>
      <c r="DJ121" s="6">
        <v>1443</v>
      </c>
      <c r="DK121" s="6"/>
      <c r="DL121" s="6">
        <f t="shared" si="46"/>
        <v>391</v>
      </c>
      <c r="DM121" s="6">
        <v>234</v>
      </c>
      <c r="DN121" s="6">
        <v>1560</v>
      </c>
      <c r="DO121" s="6">
        <f t="shared" si="47"/>
        <v>351</v>
      </c>
    </row>
    <row r="122" spans="1:119">
      <c r="A122" s="6">
        <v>118</v>
      </c>
      <c r="B122" s="6">
        <v>1484</v>
      </c>
      <c r="C122" s="6"/>
      <c r="D122" s="6">
        <v>147</v>
      </c>
      <c r="E122" s="33" t="s">
        <v>99</v>
      </c>
      <c r="F122" s="33" t="s">
        <v>99</v>
      </c>
      <c r="G122" s="33" t="s">
        <v>99</v>
      </c>
      <c r="H122" s="33" t="s">
        <v>99</v>
      </c>
      <c r="I122" s="33" t="s">
        <v>99</v>
      </c>
      <c r="J122" s="33" t="s">
        <v>99</v>
      </c>
      <c r="K122" s="33" t="s">
        <v>99</v>
      </c>
      <c r="L122" s="33" t="s">
        <v>99</v>
      </c>
      <c r="M122" s="33" t="s">
        <v>99</v>
      </c>
      <c r="N122" s="33" t="s">
        <v>99</v>
      </c>
      <c r="O122" s="33" t="s">
        <v>99</v>
      </c>
      <c r="P122" s="33" t="s">
        <v>99</v>
      </c>
      <c r="Q122" s="33" t="s">
        <v>99</v>
      </c>
      <c r="R122" s="33" t="s">
        <v>99</v>
      </c>
      <c r="S122" s="148" t="s">
        <v>99</v>
      </c>
      <c r="T122" s="33" t="s">
        <v>99</v>
      </c>
      <c r="U122" s="33" t="s">
        <v>99</v>
      </c>
      <c r="V122" s="33" t="s">
        <v>99</v>
      </c>
      <c r="W122" s="33" t="s">
        <v>99</v>
      </c>
      <c r="X122" s="33" t="s">
        <v>99</v>
      </c>
      <c r="Y122" s="33" t="s">
        <v>99</v>
      </c>
      <c r="Z122" s="33" t="s">
        <v>99</v>
      </c>
      <c r="AA122" s="33" t="s">
        <v>99</v>
      </c>
      <c r="AB122" s="33" t="s">
        <v>99</v>
      </c>
      <c r="AC122" s="33" t="s">
        <v>99</v>
      </c>
      <c r="AD122" s="6"/>
      <c r="AE122" s="6"/>
      <c r="AF122" s="35"/>
      <c r="AG122" s="6"/>
      <c r="AH122" s="6"/>
      <c r="AI122" s="35"/>
      <c r="AJ122" s="35"/>
      <c r="AK122" s="35"/>
      <c r="AL122" s="35"/>
      <c r="AM122" s="6">
        <v>278</v>
      </c>
      <c r="AN122" s="6">
        <v>1500</v>
      </c>
      <c r="AO122" s="35">
        <f t="shared" si="24"/>
        <v>294</v>
      </c>
      <c r="AP122" s="6">
        <v>231</v>
      </c>
      <c r="AQ122" s="6">
        <v>313</v>
      </c>
      <c r="AR122" s="34">
        <f t="shared" si="25"/>
        <v>266</v>
      </c>
      <c r="AS122" s="35">
        <v>506</v>
      </c>
      <c r="AT122" s="35"/>
      <c r="AU122" s="35">
        <f t="shared" si="26"/>
        <v>275</v>
      </c>
      <c r="AV122" s="6">
        <v>780</v>
      </c>
      <c r="AW122" s="6"/>
      <c r="AX122" s="35">
        <f t="shared" si="27"/>
        <v>274</v>
      </c>
      <c r="AY122" s="6">
        <v>1056</v>
      </c>
      <c r="AZ122" s="6"/>
      <c r="BA122" s="35">
        <f t="shared" si="28"/>
        <v>276</v>
      </c>
      <c r="BB122" s="35">
        <v>12</v>
      </c>
      <c r="BC122" s="35">
        <v>1309</v>
      </c>
      <c r="BD122" s="35">
        <f t="shared" si="29"/>
        <v>265</v>
      </c>
      <c r="BE122" s="6"/>
      <c r="BF122" s="6"/>
      <c r="BG122" s="35"/>
      <c r="BH122" s="6">
        <v>290</v>
      </c>
      <c r="BI122" s="6"/>
      <c r="BJ122" s="35">
        <f t="shared" si="30"/>
        <v>278</v>
      </c>
      <c r="BK122" s="6">
        <v>562</v>
      </c>
      <c r="BL122" s="6"/>
      <c r="BM122" s="6">
        <f t="shared" si="31"/>
        <v>272</v>
      </c>
      <c r="BN122" s="6">
        <v>860</v>
      </c>
      <c r="BO122" s="6"/>
      <c r="BP122" s="6">
        <f t="shared" si="32"/>
        <v>298</v>
      </c>
      <c r="BQ122" s="6">
        <v>1158</v>
      </c>
      <c r="BR122" s="6"/>
      <c r="BS122" s="35">
        <f t="shared" si="33"/>
        <v>298</v>
      </c>
      <c r="BT122" s="6">
        <v>1458</v>
      </c>
      <c r="BU122" s="6"/>
      <c r="BV122" s="6">
        <f t="shared" si="34"/>
        <v>300</v>
      </c>
      <c r="BW122" s="6">
        <v>239</v>
      </c>
      <c r="BX122" s="6">
        <v>1500</v>
      </c>
      <c r="BY122" s="35">
        <f t="shared" si="35"/>
        <v>281</v>
      </c>
      <c r="BZ122" s="6"/>
      <c r="CA122" s="6"/>
      <c r="CB122" s="6"/>
      <c r="CC122" s="6">
        <v>0</v>
      </c>
      <c r="CD122" s="6">
        <v>509</v>
      </c>
      <c r="CE122" s="6">
        <f t="shared" si="36"/>
        <v>270</v>
      </c>
      <c r="CF122" s="6">
        <v>264</v>
      </c>
      <c r="CG122" s="6"/>
      <c r="CH122" s="6">
        <f t="shared" si="37"/>
        <v>264</v>
      </c>
      <c r="CI122" s="6">
        <v>562</v>
      </c>
      <c r="CJ122" s="6"/>
      <c r="CK122" s="6">
        <f t="shared" si="38"/>
        <v>298</v>
      </c>
      <c r="CL122" s="6">
        <v>862</v>
      </c>
      <c r="CM122" s="6"/>
      <c r="CN122" s="6">
        <f t="shared" si="39"/>
        <v>300</v>
      </c>
      <c r="CO122" s="6">
        <v>1161</v>
      </c>
      <c r="CP122" s="6"/>
      <c r="CQ122" s="6">
        <f t="shared" si="40"/>
        <v>299</v>
      </c>
      <c r="CR122" s="6">
        <v>1442</v>
      </c>
      <c r="CS122" s="6"/>
      <c r="CT122" s="6">
        <f t="shared" si="41"/>
        <v>281</v>
      </c>
      <c r="CU122" s="6"/>
      <c r="CV122" s="6"/>
      <c r="CW122" s="6"/>
      <c r="CX122" s="6">
        <v>243</v>
      </c>
      <c r="CY122" s="6">
        <v>1500</v>
      </c>
      <c r="CZ122" s="6">
        <f t="shared" si="42"/>
        <v>301</v>
      </c>
      <c r="DA122" s="6">
        <v>537</v>
      </c>
      <c r="DB122" s="6"/>
      <c r="DC122" s="6">
        <f t="shared" si="43"/>
        <v>294</v>
      </c>
      <c r="DD122" s="6">
        <v>837</v>
      </c>
      <c r="DE122" s="6"/>
      <c r="DF122" s="6">
        <f t="shared" si="44"/>
        <v>300</v>
      </c>
      <c r="DG122" s="6">
        <v>1137</v>
      </c>
      <c r="DH122" s="6"/>
      <c r="DI122" s="6">
        <f t="shared" si="45"/>
        <v>300</v>
      </c>
      <c r="DJ122" s="6">
        <v>1436</v>
      </c>
      <c r="DK122" s="6"/>
      <c r="DL122" s="6">
        <f t="shared" si="46"/>
        <v>299</v>
      </c>
      <c r="DM122" s="6">
        <v>204</v>
      </c>
      <c r="DN122" s="6">
        <v>1500</v>
      </c>
      <c r="DO122" s="6">
        <f t="shared" si="47"/>
        <v>268</v>
      </c>
    </row>
    <row r="123" spans="1:119">
      <c r="A123" s="6">
        <v>119</v>
      </c>
      <c r="B123" s="6">
        <v>184</v>
      </c>
      <c r="C123" s="6"/>
      <c r="D123" s="6">
        <v>184</v>
      </c>
      <c r="E123" s="148" t="s">
        <v>307</v>
      </c>
      <c r="F123" s="33" t="s">
        <v>307</v>
      </c>
      <c r="G123" s="33" t="s">
        <v>307</v>
      </c>
      <c r="H123" s="33" t="s">
        <v>307</v>
      </c>
      <c r="I123" s="33" t="s">
        <v>307</v>
      </c>
      <c r="J123" s="33" t="s">
        <v>307</v>
      </c>
      <c r="K123" s="33" t="s">
        <v>307</v>
      </c>
      <c r="L123" s="33" t="s">
        <v>307</v>
      </c>
      <c r="M123" s="33" t="s">
        <v>307</v>
      </c>
      <c r="N123" s="33" t="s">
        <v>307</v>
      </c>
      <c r="O123" s="33" t="s">
        <v>307</v>
      </c>
      <c r="P123" s="33" t="s">
        <v>307</v>
      </c>
      <c r="Q123" s="33" t="s">
        <v>307</v>
      </c>
      <c r="R123" s="33" t="s">
        <v>307</v>
      </c>
      <c r="S123" s="33" t="s">
        <v>307</v>
      </c>
      <c r="T123" s="33" t="s">
        <v>307</v>
      </c>
      <c r="U123" s="33" t="s">
        <v>307</v>
      </c>
      <c r="V123" s="33" t="s">
        <v>307</v>
      </c>
      <c r="W123" s="33" t="s">
        <v>307</v>
      </c>
      <c r="X123" s="33" t="s">
        <v>307</v>
      </c>
      <c r="Y123" s="33" t="s">
        <v>307</v>
      </c>
      <c r="Z123" s="148" t="s">
        <v>307</v>
      </c>
      <c r="AA123" s="33" t="s">
        <v>307</v>
      </c>
      <c r="AB123" s="33" t="s">
        <v>307</v>
      </c>
      <c r="AC123" s="33" t="s">
        <v>307</v>
      </c>
      <c r="AD123" s="35"/>
      <c r="AE123" s="35"/>
      <c r="AF123" s="35"/>
      <c r="AG123" s="35"/>
      <c r="AH123" s="35"/>
      <c r="AI123" s="35"/>
      <c r="AJ123" s="35"/>
      <c r="AK123" s="35"/>
      <c r="AL123" s="35"/>
      <c r="AM123" s="35">
        <v>578</v>
      </c>
      <c r="AN123" s="35"/>
      <c r="AO123" s="35">
        <f t="shared" si="24"/>
        <v>394</v>
      </c>
      <c r="AP123" s="6">
        <v>183</v>
      </c>
      <c r="AQ123" s="35">
        <v>783</v>
      </c>
      <c r="AR123" s="34">
        <f t="shared" si="25"/>
        <v>388</v>
      </c>
      <c r="AS123" s="35">
        <v>581</v>
      </c>
      <c r="AT123" s="35"/>
      <c r="AU123" s="35">
        <f t="shared" si="26"/>
        <v>398</v>
      </c>
      <c r="AV123" s="6">
        <v>982</v>
      </c>
      <c r="AW123" s="6"/>
      <c r="AX123" s="35">
        <f t="shared" si="27"/>
        <v>401</v>
      </c>
      <c r="AY123" s="6">
        <v>1378</v>
      </c>
      <c r="AZ123" s="6"/>
      <c r="BA123" s="35">
        <f t="shared" si="28"/>
        <v>396</v>
      </c>
      <c r="BB123" s="6">
        <v>205</v>
      </c>
      <c r="BC123" s="6">
        <v>1560</v>
      </c>
      <c r="BD123" s="35">
        <f t="shared" si="29"/>
        <v>387</v>
      </c>
      <c r="BE123" s="6"/>
      <c r="BF123" s="6"/>
      <c r="BG123" s="35"/>
      <c r="BH123" s="6">
        <v>606</v>
      </c>
      <c r="BI123" s="6"/>
      <c r="BJ123" s="35">
        <f t="shared" si="30"/>
        <v>401</v>
      </c>
      <c r="BK123" s="6">
        <v>996</v>
      </c>
      <c r="BL123" s="35"/>
      <c r="BM123" s="6">
        <f t="shared" si="31"/>
        <v>390</v>
      </c>
      <c r="BN123" s="6">
        <v>1397</v>
      </c>
      <c r="BO123" s="6"/>
      <c r="BP123" s="6">
        <f t="shared" si="32"/>
        <v>401</v>
      </c>
      <c r="BQ123" s="6">
        <v>233</v>
      </c>
      <c r="BR123" s="6">
        <v>1560</v>
      </c>
      <c r="BS123" s="35">
        <f t="shared" si="33"/>
        <v>396</v>
      </c>
      <c r="BT123" s="6">
        <v>632</v>
      </c>
      <c r="BU123" s="6"/>
      <c r="BV123" s="6">
        <f t="shared" si="34"/>
        <v>399</v>
      </c>
      <c r="BW123" s="6">
        <v>1005</v>
      </c>
      <c r="BX123" s="6"/>
      <c r="BY123" s="35">
        <f t="shared" si="35"/>
        <v>373</v>
      </c>
      <c r="BZ123" s="6"/>
      <c r="CA123" s="35"/>
      <c r="CB123" s="6"/>
      <c r="CC123" s="6">
        <v>1407</v>
      </c>
      <c r="CD123" s="6"/>
      <c r="CE123" s="6">
        <f t="shared" si="36"/>
        <v>402</v>
      </c>
      <c r="CF123" s="6">
        <v>244</v>
      </c>
      <c r="CG123" s="35">
        <v>1560</v>
      </c>
      <c r="CH123" s="6">
        <f t="shared" si="37"/>
        <v>397</v>
      </c>
      <c r="CI123" s="6">
        <v>644</v>
      </c>
      <c r="CJ123" s="6"/>
      <c r="CK123" s="6">
        <f t="shared" si="38"/>
        <v>400</v>
      </c>
      <c r="CL123" s="6">
        <v>1034</v>
      </c>
      <c r="CM123" s="6"/>
      <c r="CN123" s="6">
        <f t="shared" si="39"/>
        <v>390</v>
      </c>
      <c r="CO123" s="6">
        <v>1416</v>
      </c>
      <c r="CP123" s="6"/>
      <c r="CQ123" s="6">
        <f t="shared" si="40"/>
        <v>382</v>
      </c>
      <c r="CR123" s="6">
        <v>218</v>
      </c>
      <c r="CS123" s="6">
        <v>1558</v>
      </c>
      <c r="CT123" s="6">
        <f t="shared" si="41"/>
        <v>360</v>
      </c>
      <c r="CU123" s="6"/>
      <c r="CV123" s="6"/>
      <c r="CW123" s="6"/>
      <c r="CX123" s="6">
        <v>611</v>
      </c>
      <c r="CY123" s="6"/>
      <c r="CZ123" s="6">
        <f t="shared" si="42"/>
        <v>393</v>
      </c>
      <c r="DA123" s="6">
        <v>0</v>
      </c>
      <c r="DB123" s="6">
        <v>801</v>
      </c>
      <c r="DC123" s="6">
        <f t="shared" si="43"/>
        <v>190</v>
      </c>
      <c r="DD123" s="6">
        <v>363</v>
      </c>
      <c r="DE123" s="6"/>
      <c r="DF123" s="6">
        <f t="shared" si="44"/>
        <v>363</v>
      </c>
      <c r="DG123" s="6">
        <v>294</v>
      </c>
      <c r="DH123" s="6">
        <v>401</v>
      </c>
      <c r="DI123" s="6">
        <f t="shared" si="45"/>
        <v>332</v>
      </c>
      <c r="DJ123" s="6">
        <v>683</v>
      </c>
      <c r="DK123" s="6"/>
      <c r="DL123" s="6">
        <f t="shared" si="46"/>
        <v>389</v>
      </c>
      <c r="DM123" s="6">
        <v>1030</v>
      </c>
      <c r="DN123" s="6"/>
      <c r="DO123" s="6">
        <f t="shared" si="47"/>
        <v>347</v>
      </c>
    </row>
    <row r="124" spans="1:119">
      <c r="A124" s="6">
        <v>120</v>
      </c>
      <c r="B124" s="6">
        <v>1448</v>
      </c>
      <c r="C124" s="6"/>
      <c r="D124" s="6">
        <v>143</v>
      </c>
      <c r="E124" s="33" t="s">
        <v>99</v>
      </c>
      <c r="F124" s="33" t="s">
        <v>99</v>
      </c>
      <c r="G124" s="33" t="s">
        <v>99</v>
      </c>
      <c r="H124" s="33" t="s">
        <v>99</v>
      </c>
      <c r="I124" s="33" t="s">
        <v>99</v>
      </c>
      <c r="J124" s="33" t="s">
        <v>99</v>
      </c>
      <c r="K124" s="33" t="s">
        <v>99</v>
      </c>
      <c r="L124" s="33" t="s">
        <v>99</v>
      </c>
      <c r="M124" s="33" t="s">
        <v>99</v>
      </c>
      <c r="N124" s="33" t="s">
        <v>99</v>
      </c>
      <c r="O124" s="33" t="s">
        <v>99</v>
      </c>
      <c r="P124" s="33" t="s">
        <v>99</v>
      </c>
      <c r="Q124" s="33" t="s">
        <v>99</v>
      </c>
      <c r="R124" s="33" t="s">
        <v>99</v>
      </c>
      <c r="S124" s="33" t="s">
        <v>99</v>
      </c>
      <c r="T124" s="33" t="s">
        <v>99</v>
      </c>
      <c r="U124" s="33" t="s">
        <v>99</v>
      </c>
      <c r="V124" s="148" t="s">
        <v>307</v>
      </c>
      <c r="W124" s="33" t="s">
        <v>307</v>
      </c>
      <c r="X124" s="33" t="s">
        <v>307</v>
      </c>
      <c r="Y124" s="33" t="s">
        <v>307</v>
      </c>
      <c r="Z124" s="33" t="s">
        <v>307</v>
      </c>
      <c r="AA124" s="33" t="s">
        <v>307</v>
      </c>
      <c r="AB124" s="33" t="s">
        <v>307</v>
      </c>
      <c r="AC124" s="33" t="s">
        <v>307</v>
      </c>
      <c r="AD124" s="6"/>
      <c r="AE124" s="6"/>
      <c r="AF124" s="35"/>
      <c r="AG124" s="6"/>
      <c r="AH124" s="6"/>
      <c r="AI124" s="35"/>
      <c r="AJ124" s="35"/>
      <c r="AK124" s="35"/>
      <c r="AL124" s="35"/>
      <c r="AM124" s="6">
        <v>232</v>
      </c>
      <c r="AN124" s="6">
        <v>1500</v>
      </c>
      <c r="AO124" s="35">
        <f t="shared" si="24"/>
        <v>284</v>
      </c>
      <c r="AP124" s="6">
        <v>361</v>
      </c>
      <c r="AQ124" s="6"/>
      <c r="AR124" s="34">
        <f t="shared" si="25"/>
        <v>129</v>
      </c>
      <c r="AS124" s="35">
        <v>633</v>
      </c>
      <c r="AT124" s="35"/>
      <c r="AU124" s="35">
        <f t="shared" si="26"/>
        <v>272</v>
      </c>
      <c r="AV124" s="6">
        <v>909</v>
      </c>
      <c r="AW124" s="6"/>
      <c r="AX124" s="35">
        <f t="shared" si="27"/>
        <v>276</v>
      </c>
      <c r="AY124" s="6">
        <v>1183</v>
      </c>
      <c r="AZ124" s="6"/>
      <c r="BA124" s="35">
        <f t="shared" si="28"/>
        <v>274</v>
      </c>
      <c r="BB124" s="35">
        <v>14</v>
      </c>
      <c r="BC124" s="35">
        <v>1434</v>
      </c>
      <c r="BD124" s="35">
        <f t="shared" si="29"/>
        <v>265</v>
      </c>
      <c r="BE124" s="6"/>
      <c r="BF124" s="6"/>
      <c r="BG124" s="35"/>
      <c r="BH124" s="6">
        <v>292</v>
      </c>
      <c r="BI124" s="6"/>
      <c r="BJ124" s="35">
        <f t="shared" si="30"/>
        <v>278</v>
      </c>
      <c r="BK124" s="6">
        <v>563</v>
      </c>
      <c r="BL124" s="6"/>
      <c r="BM124" s="6">
        <f t="shared" si="31"/>
        <v>271</v>
      </c>
      <c r="BN124" s="6">
        <v>848</v>
      </c>
      <c r="BO124" s="6"/>
      <c r="BP124" s="6">
        <f t="shared" si="32"/>
        <v>285</v>
      </c>
      <c r="BQ124" s="6">
        <v>1147</v>
      </c>
      <c r="BR124" s="6"/>
      <c r="BS124" s="35">
        <f t="shared" si="33"/>
        <v>299</v>
      </c>
      <c r="BT124" s="6">
        <v>1441</v>
      </c>
      <c r="BU124" s="6"/>
      <c r="BV124" s="6">
        <f t="shared" si="34"/>
        <v>294</v>
      </c>
      <c r="BW124" s="6">
        <v>221</v>
      </c>
      <c r="BX124" s="6">
        <v>1500</v>
      </c>
      <c r="BY124" s="35">
        <f t="shared" si="35"/>
        <v>280</v>
      </c>
      <c r="BZ124" s="6"/>
      <c r="CA124" s="6"/>
      <c r="CB124" s="6"/>
      <c r="CC124" s="6">
        <v>517</v>
      </c>
      <c r="CD124" s="6"/>
      <c r="CE124" s="6">
        <f t="shared" si="36"/>
        <v>296</v>
      </c>
      <c r="CF124" s="6">
        <v>798</v>
      </c>
      <c r="CG124" s="6"/>
      <c r="CH124" s="6">
        <f t="shared" si="37"/>
        <v>281</v>
      </c>
      <c r="CI124" s="6">
        <v>1095</v>
      </c>
      <c r="CJ124" s="6"/>
      <c r="CK124" s="6">
        <f t="shared" si="38"/>
        <v>297</v>
      </c>
      <c r="CL124" s="6">
        <v>1391</v>
      </c>
      <c r="CM124" s="6"/>
      <c r="CN124" s="6">
        <f t="shared" si="39"/>
        <v>296</v>
      </c>
      <c r="CO124" s="6">
        <v>280</v>
      </c>
      <c r="CP124" s="6">
        <v>1410</v>
      </c>
      <c r="CQ124" s="6">
        <f t="shared" si="40"/>
        <v>299</v>
      </c>
      <c r="CR124" s="6">
        <v>628</v>
      </c>
      <c r="CS124" s="6"/>
      <c r="CT124" s="6">
        <f t="shared" si="41"/>
        <v>348</v>
      </c>
      <c r="CU124" s="6"/>
      <c r="CV124" s="6"/>
      <c r="CW124" s="6"/>
      <c r="CX124" s="6">
        <v>1002</v>
      </c>
      <c r="CY124" s="6"/>
      <c r="CZ124" s="6">
        <f t="shared" si="42"/>
        <v>374</v>
      </c>
      <c r="DA124" s="6">
        <v>1389</v>
      </c>
      <c r="DB124" s="6"/>
      <c r="DC124" s="6">
        <f t="shared" si="43"/>
        <v>387</v>
      </c>
      <c r="DD124" s="6">
        <v>281</v>
      </c>
      <c r="DE124" s="6">
        <v>1498</v>
      </c>
      <c r="DF124" s="6">
        <f t="shared" si="44"/>
        <v>390</v>
      </c>
      <c r="DG124" s="6">
        <v>673</v>
      </c>
      <c r="DH124" s="6"/>
      <c r="DI124" s="6">
        <f t="shared" si="45"/>
        <v>392</v>
      </c>
      <c r="DJ124" s="6">
        <v>1066</v>
      </c>
      <c r="DK124" s="6"/>
      <c r="DL124" s="6">
        <f t="shared" si="46"/>
        <v>393</v>
      </c>
      <c r="DM124" s="6">
        <v>1414</v>
      </c>
      <c r="DN124" s="6"/>
      <c r="DO124" s="6">
        <f t="shared" si="47"/>
        <v>348</v>
      </c>
    </row>
    <row r="125" spans="1:119">
      <c r="A125" s="6">
        <v>121</v>
      </c>
      <c r="B125" s="6">
        <v>811</v>
      </c>
      <c r="C125" s="6"/>
      <c r="D125" s="6">
        <v>203</v>
      </c>
      <c r="E125" s="33" t="s">
        <v>37</v>
      </c>
      <c r="F125" s="33" t="s">
        <v>37</v>
      </c>
      <c r="G125" s="33" t="s">
        <v>37</v>
      </c>
      <c r="H125" s="148" t="s">
        <v>37</v>
      </c>
      <c r="I125" s="33" t="s">
        <v>37</v>
      </c>
      <c r="J125" s="33" t="s">
        <v>37</v>
      </c>
      <c r="K125" s="33" t="s">
        <v>37</v>
      </c>
      <c r="L125" s="33" t="s">
        <v>37</v>
      </c>
      <c r="M125" s="33" t="s">
        <v>37</v>
      </c>
      <c r="N125" s="33" t="s">
        <v>37</v>
      </c>
      <c r="O125" s="33" t="s">
        <v>37</v>
      </c>
      <c r="P125" s="33" t="s">
        <v>37</v>
      </c>
      <c r="Q125" s="33" t="s">
        <v>37</v>
      </c>
      <c r="R125" s="33" t="s">
        <v>37</v>
      </c>
      <c r="S125" s="33" t="s">
        <v>37</v>
      </c>
      <c r="T125" s="33" t="s">
        <v>37</v>
      </c>
      <c r="U125" s="33" t="s">
        <v>37</v>
      </c>
      <c r="V125" s="33" t="s">
        <v>37</v>
      </c>
      <c r="W125" s="33" t="s">
        <v>37</v>
      </c>
      <c r="X125" s="33" t="s">
        <v>37</v>
      </c>
      <c r="Y125" s="33" t="s">
        <v>37</v>
      </c>
      <c r="Z125" s="33" t="s">
        <v>37</v>
      </c>
      <c r="AA125" s="33" t="s">
        <v>37</v>
      </c>
      <c r="AB125" s="33" t="s">
        <v>37</v>
      </c>
      <c r="AC125" s="148" t="s">
        <v>37</v>
      </c>
      <c r="AD125" s="6"/>
      <c r="AE125" s="6"/>
      <c r="AF125" s="35"/>
      <c r="AG125" s="6"/>
      <c r="AH125" s="6"/>
      <c r="AI125" s="35"/>
      <c r="AJ125" s="35"/>
      <c r="AK125" s="35"/>
      <c r="AL125" s="35"/>
      <c r="AM125" s="6">
        <v>1221</v>
      </c>
      <c r="AN125" s="6"/>
      <c r="AO125" s="35">
        <f t="shared" si="24"/>
        <v>410</v>
      </c>
      <c r="AP125" s="6">
        <v>1595</v>
      </c>
      <c r="AQ125" s="6"/>
      <c r="AR125" s="34">
        <f t="shared" si="25"/>
        <v>374</v>
      </c>
      <c r="AS125" s="35">
        <v>338</v>
      </c>
      <c r="AT125" s="35">
        <v>1606</v>
      </c>
      <c r="AU125" s="35">
        <f t="shared" si="26"/>
        <v>349</v>
      </c>
      <c r="AV125" s="6">
        <v>716</v>
      </c>
      <c r="AW125" s="6"/>
      <c r="AX125" s="35">
        <f t="shared" si="27"/>
        <v>378</v>
      </c>
      <c r="AY125" s="6">
        <v>1098</v>
      </c>
      <c r="AZ125" s="6"/>
      <c r="BA125" s="35">
        <f t="shared" si="28"/>
        <v>382</v>
      </c>
      <c r="BB125" s="35">
        <v>23</v>
      </c>
      <c r="BC125" s="35">
        <v>1444</v>
      </c>
      <c r="BD125" s="35">
        <f t="shared" si="29"/>
        <v>369</v>
      </c>
      <c r="BE125" s="6"/>
      <c r="BF125" s="6"/>
      <c r="BG125" s="35"/>
      <c r="BH125" s="6">
        <v>400</v>
      </c>
      <c r="BI125" s="6"/>
      <c r="BJ125" s="35">
        <f t="shared" si="30"/>
        <v>377</v>
      </c>
      <c r="BK125" s="6">
        <v>761</v>
      </c>
      <c r="BL125" s="6"/>
      <c r="BM125" s="6">
        <f t="shared" si="31"/>
        <v>361</v>
      </c>
      <c r="BN125" s="6">
        <v>1143</v>
      </c>
      <c r="BO125" s="6"/>
      <c r="BP125" s="6">
        <f t="shared" si="32"/>
        <v>382</v>
      </c>
      <c r="BQ125" s="6">
        <v>1523</v>
      </c>
      <c r="BR125" s="6"/>
      <c r="BS125" s="35">
        <f t="shared" si="33"/>
        <v>380</v>
      </c>
      <c r="BT125" s="6">
        <v>340</v>
      </c>
      <c r="BU125" s="6">
        <v>1560</v>
      </c>
      <c r="BV125" s="6">
        <f t="shared" si="34"/>
        <v>377</v>
      </c>
      <c r="BW125" s="6">
        <v>700</v>
      </c>
      <c r="BX125" s="6"/>
      <c r="BY125" s="35">
        <f t="shared" si="35"/>
        <v>360</v>
      </c>
      <c r="BZ125" s="6"/>
      <c r="CA125" s="6"/>
      <c r="CB125" s="6"/>
      <c r="CC125" s="6">
        <v>1081</v>
      </c>
      <c r="CD125" s="6"/>
      <c r="CE125" s="6">
        <f t="shared" si="36"/>
        <v>381</v>
      </c>
      <c r="CF125" s="6">
        <v>1456</v>
      </c>
      <c r="CG125" s="6"/>
      <c r="CH125" s="6">
        <f t="shared" si="37"/>
        <v>375</v>
      </c>
      <c r="CI125" s="6">
        <v>274</v>
      </c>
      <c r="CJ125" s="6">
        <v>1560</v>
      </c>
      <c r="CK125" s="6">
        <f t="shared" si="38"/>
        <v>378</v>
      </c>
      <c r="CL125" s="6">
        <v>637</v>
      </c>
      <c r="CM125" s="6"/>
      <c r="CN125" s="6">
        <f t="shared" si="39"/>
        <v>363</v>
      </c>
      <c r="CO125" s="6">
        <v>1017</v>
      </c>
      <c r="CP125" s="6"/>
      <c r="CQ125" s="6">
        <f t="shared" si="40"/>
        <v>380</v>
      </c>
      <c r="CR125" s="6">
        <v>1379</v>
      </c>
      <c r="CS125" s="6"/>
      <c r="CT125" s="6">
        <f t="shared" si="41"/>
        <v>362</v>
      </c>
      <c r="CU125" s="6"/>
      <c r="CV125" s="6"/>
      <c r="CW125" s="6"/>
      <c r="CX125" s="6">
        <v>198</v>
      </c>
      <c r="CY125" s="6">
        <v>1560</v>
      </c>
      <c r="CZ125" s="6">
        <f t="shared" si="42"/>
        <v>379</v>
      </c>
      <c r="DA125" s="6">
        <v>570</v>
      </c>
      <c r="DB125" s="6"/>
      <c r="DC125" s="6">
        <f t="shared" si="43"/>
        <v>372</v>
      </c>
      <c r="DD125" s="6">
        <v>933</v>
      </c>
      <c r="DE125" s="6"/>
      <c r="DF125" s="6">
        <f t="shared" si="44"/>
        <v>363</v>
      </c>
      <c r="DG125" s="6">
        <v>1306</v>
      </c>
      <c r="DH125" s="6"/>
      <c r="DI125" s="6">
        <f t="shared" si="45"/>
        <v>373</v>
      </c>
      <c r="DJ125" s="6">
        <v>126</v>
      </c>
      <c r="DK125" s="6">
        <v>1560</v>
      </c>
      <c r="DL125" s="6">
        <f t="shared" si="46"/>
        <v>380</v>
      </c>
      <c r="DM125" s="6">
        <v>296</v>
      </c>
      <c r="DN125" s="6">
        <v>154</v>
      </c>
      <c r="DO125" s="6">
        <f t="shared" si="47"/>
        <v>324</v>
      </c>
    </row>
    <row r="126" spans="1:119">
      <c r="A126" s="6">
        <v>122</v>
      </c>
      <c r="B126" s="6">
        <v>1329</v>
      </c>
      <c r="C126" s="6"/>
      <c r="D126" s="6">
        <v>202</v>
      </c>
      <c r="E126" s="33" t="s">
        <v>37</v>
      </c>
      <c r="F126" s="33" t="s">
        <v>37</v>
      </c>
      <c r="G126" s="33" t="s">
        <v>37</v>
      </c>
      <c r="H126" s="33" t="s">
        <v>37</v>
      </c>
      <c r="I126" s="33" t="s">
        <v>37</v>
      </c>
      <c r="J126" s="33" t="s">
        <v>37</v>
      </c>
      <c r="K126" s="33" t="s">
        <v>37</v>
      </c>
      <c r="L126" s="33" t="s">
        <v>37</v>
      </c>
      <c r="M126" s="33" t="s">
        <v>37</v>
      </c>
      <c r="N126" s="33" t="s">
        <v>37</v>
      </c>
      <c r="O126" s="33" t="s">
        <v>37</v>
      </c>
      <c r="P126" s="33" t="s">
        <v>37</v>
      </c>
      <c r="Q126" s="33" t="s">
        <v>37</v>
      </c>
      <c r="R126" s="33" t="s">
        <v>37</v>
      </c>
      <c r="S126" s="148" t="s">
        <v>37</v>
      </c>
      <c r="T126" s="33" t="s">
        <v>37</v>
      </c>
      <c r="U126" s="33" t="s">
        <v>37</v>
      </c>
      <c r="V126" s="33" t="s">
        <v>37</v>
      </c>
      <c r="W126" s="33" t="s">
        <v>37</v>
      </c>
      <c r="X126" s="33" t="s">
        <v>37</v>
      </c>
      <c r="Y126" s="33" t="s">
        <v>37</v>
      </c>
      <c r="Z126" s="33" t="s">
        <v>37</v>
      </c>
      <c r="AA126" s="33" t="s">
        <v>37</v>
      </c>
      <c r="AB126" s="33" t="s">
        <v>37</v>
      </c>
      <c r="AC126" s="33" t="s">
        <v>37</v>
      </c>
      <c r="AD126" s="6"/>
      <c r="AE126" s="6"/>
      <c r="AF126" s="35"/>
      <c r="AG126" s="6"/>
      <c r="AH126" s="6"/>
      <c r="AI126" s="35"/>
      <c r="AJ126" s="35"/>
      <c r="AK126" s="35"/>
      <c r="AL126" s="35"/>
      <c r="AM126" s="6">
        <v>178</v>
      </c>
      <c r="AN126" s="6">
        <v>1560</v>
      </c>
      <c r="AO126" s="35">
        <f t="shared" si="24"/>
        <v>409</v>
      </c>
      <c r="AP126" s="6">
        <v>552</v>
      </c>
      <c r="AQ126" s="6"/>
      <c r="AR126" s="34">
        <f t="shared" si="25"/>
        <v>374</v>
      </c>
      <c r="AS126" s="35">
        <v>932</v>
      </c>
      <c r="AT126" s="35"/>
      <c r="AU126" s="35">
        <f t="shared" si="26"/>
        <v>380</v>
      </c>
      <c r="AV126" s="6">
        <v>1313</v>
      </c>
      <c r="AW126" s="6"/>
      <c r="AX126" s="35">
        <f t="shared" si="27"/>
        <v>381</v>
      </c>
      <c r="AY126" s="6">
        <v>135</v>
      </c>
      <c r="AZ126" s="6">
        <v>1560</v>
      </c>
      <c r="BA126" s="35">
        <f t="shared" si="28"/>
        <v>382</v>
      </c>
      <c r="BB126" s="35">
        <v>504</v>
      </c>
      <c r="BC126" s="35"/>
      <c r="BD126" s="35">
        <f t="shared" si="29"/>
        <v>369</v>
      </c>
      <c r="BE126" s="6"/>
      <c r="BF126" s="6"/>
      <c r="BG126" s="35"/>
      <c r="BH126" s="6">
        <v>886</v>
      </c>
      <c r="BI126" s="6"/>
      <c r="BJ126" s="35">
        <f t="shared" si="30"/>
        <v>382</v>
      </c>
      <c r="BK126" s="6">
        <v>1260</v>
      </c>
      <c r="BL126" s="6"/>
      <c r="BM126" s="6">
        <f t="shared" si="31"/>
        <v>374</v>
      </c>
      <c r="BN126" s="6">
        <v>78</v>
      </c>
      <c r="BO126" s="6">
        <v>1560</v>
      </c>
      <c r="BP126" s="6">
        <f t="shared" si="32"/>
        <v>378</v>
      </c>
      <c r="BQ126" s="6">
        <v>448</v>
      </c>
      <c r="BR126" s="6"/>
      <c r="BS126" s="35">
        <f t="shared" si="33"/>
        <v>370</v>
      </c>
      <c r="BT126" s="6">
        <v>829</v>
      </c>
      <c r="BU126" s="6"/>
      <c r="BV126" s="6">
        <f t="shared" si="34"/>
        <v>381</v>
      </c>
      <c r="BW126" s="6">
        <v>1192</v>
      </c>
      <c r="BX126" s="6"/>
      <c r="BY126" s="35">
        <f t="shared" si="35"/>
        <v>363</v>
      </c>
      <c r="BZ126" s="6"/>
      <c r="CA126" s="6"/>
      <c r="CB126" s="6"/>
      <c r="CC126" s="6">
        <v>1571</v>
      </c>
      <c r="CD126" s="6"/>
      <c r="CE126" s="6">
        <f t="shared" si="36"/>
        <v>379</v>
      </c>
      <c r="CF126" s="6">
        <v>289</v>
      </c>
      <c r="CG126" s="6">
        <v>1631</v>
      </c>
      <c r="CH126" s="6">
        <f t="shared" si="37"/>
        <v>349</v>
      </c>
      <c r="CI126" s="6">
        <v>670</v>
      </c>
      <c r="CJ126" s="6"/>
      <c r="CK126" s="6">
        <f t="shared" si="38"/>
        <v>381</v>
      </c>
      <c r="CL126" s="6">
        <v>1052</v>
      </c>
      <c r="CM126" s="6"/>
      <c r="CN126" s="6">
        <f t="shared" si="39"/>
        <v>382</v>
      </c>
      <c r="CO126" s="6">
        <v>1431</v>
      </c>
      <c r="CP126" s="6"/>
      <c r="CQ126" s="6">
        <f t="shared" si="40"/>
        <v>379</v>
      </c>
      <c r="CR126" s="6">
        <v>231</v>
      </c>
      <c r="CS126" s="6">
        <v>1560</v>
      </c>
      <c r="CT126" s="6">
        <f t="shared" si="41"/>
        <v>360</v>
      </c>
      <c r="CU126" s="6"/>
      <c r="CV126" s="6"/>
      <c r="CW126" s="6"/>
      <c r="CX126" s="6">
        <v>616</v>
      </c>
      <c r="CY126" s="6"/>
      <c r="CZ126" s="6">
        <f t="shared" si="42"/>
        <v>385</v>
      </c>
      <c r="DA126" s="6">
        <v>985</v>
      </c>
      <c r="DB126" s="6"/>
      <c r="DC126" s="6">
        <f t="shared" si="43"/>
        <v>369</v>
      </c>
      <c r="DD126" s="6">
        <v>1361</v>
      </c>
      <c r="DE126" s="6"/>
      <c r="DF126" s="6">
        <f t="shared" si="44"/>
        <v>376</v>
      </c>
      <c r="DG126" s="6">
        <v>227</v>
      </c>
      <c r="DH126" s="6">
        <v>1507</v>
      </c>
      <c r="DI126" s="6">
        <f t="shared" si="45"/>
        <v>373</v>
      </c>
      <c r="DJ126" s="6">
        <v>606</v>
      </c>
      <c r="DK126" s="6"/>
      <c r="DL126" s="6">
        <f t="shared" si="46"/>
        <v>379</v>
      </c>
      <c r="DM126" s="6">
        <v>952</v>
      </c>
      <c r="DN126" s="6"/>
      <c r="DO126" s="6">
        <f t="shared" si="47"/>
        <v>346</v>
      </c>
    </row>
    <row r="127" spans="1:119">
      <c r="A127" s="6">
        <v>123</v>
      </c>
      <c r="B127" s="6">
        <v>1117</v>
      </c>
      <c r="C127" s="6"/>
      <c r="D127" s="6">
        <v>199</v>
      </c>
      <c r="E127" s="33" t="s">
        <v>37</v>
      </c>
      <c r="F127" s="33" t="s">
        <v>37</v>
      </c>
      <c r="G127" s="33" t="s">
        <v>37</v>
      </c>
      <c r="H127" s="33" t="s">
        <v>37</v>
      </c>
      <c r="I127" s="33" t="s">
        <v>37</v>
      </c>
      <c r="J127" s="33" t="s">
        <v>37</v>
      </c>
      <c r="K127" s="33" t="s">
        <v>37</v>
      </c>
      <c r="L127" s="33" t="s">
        <v>37</v>
      </c>
      <c r="M127" s="148" t="s">
        <v>37</v>
      </c>
      <c r="N127" s="33" t="s">
        <v>37</v>
      </c>
      <c r="O127" s="33" t="s">
        <v>37</v>
      </c>
      <c r="P127" s="33" t="s">
        <v>37</v>
      </c>
      <c r="Q127" s="33" t="s">
        <v>37</v>
      </c>
      <c r="R127" s="33" t="s">
        <v>37</v>
      </c>
      <c r="S127" s="33" t="s">
        <v>37</v>
      </c>
      <c r="T127" s="33" t="s">
        <v>37</v>
      </c>
      <c r="U127" s="33" t="s">
        <v>37</v>
      </c>
      <c r="V127" s="33" t="s">
        <v>37</v>
      </c>
      <c r="W127" s="33" t="s">
        <v>37</v>
      </c>
      <c r="X127" s="33" t="s">
        <v>37</v>
      </c>
      <c r="Y127" s="33" t="s">
        <v>37</v>
      </c>
      <c r="Z127" s="33" t="s">
        <v>37</v>
      </c>
      <c r="AA127" s="33" t="s">
        <v>37</v>
      </c>
      <c r="AB127" s="33" t="s">
        <v>37</v>
      </c>
      <c r="AC127" s="33" t="s">
        <v>37</v>
      </c>
      <c r="AD127" s="6"/>
      <c r="AE127" s="6"/>
      <c r="AF127" s="35"/>
      <c r="AG127" s="6"/>
      <c r="AH127" s="6"/>
      <c r="AI127" s="35"/>
      <c r="AJ127" s="35"/>
      <c r="AK127" s="35"/>
      <c r="AL127" s="35"/>
      <c r="AM127" s="6">
        <v>1526</v>
      </c>
      <c r="AN127" s="6"/>
      <c r="AO127" s="35">
        <f t="shared" si="24"/>
        <v>409</v>
      </c>
      <c r="AP127" s="6">
        <v>333</v>
      </c>
      <c r="AQ127" s="6">
        <v>1560</v>
      </c>
      <c r="AR127" s="34">
        <f t="shared" si="25"/>
        <v>367</v>
      </c>
      <c r="AS127" s="35">
        <v>702</v>
      </c>
      <c r="AT127" s="35"/>
      <c r="AU127" s="35">
        <f t="shared" si="26"/>
        <v>369</v>
      </c>
      <c r="AV127" s="6">
        <v>326</v>
      </c>
      <c r="AW127" s="6">
        <v>744</v>
      </c>
      <c r="AX127" s="35">
        <f t="shared" si="27"/>
        <v>368</v>
      </c>
      <c r="AY127" s="6">
        <v>703</v>
      </c>
      <c r="AZ127" s="6"/>
      <c r="BA127" s="35">
        <f t="shared" si="28"/>
        <v>377</v>
      </c>
      <c r="BB127" s="35">
        <v>1061</v>
      </c>
      <c r="BC127" s="35"/>
      <c r="BD127" s="35">
        <f t="shared" si="29"/>
        <v>358</v>
      </c>
      <c r="BE127" s="6"/>
      <c r="BF127" s="6"/>
      <c r="BG127" s="35"/>
      <c r="BH127" s="6">
        <v>1429</v>
      </c>
      <c r="BI127" s="6"/>
      <c r="BJ127" s="35">
        <f t="shared" si="30"/>
        <v>368</v>
      </c>
      <c r="BK127" s="6">
        <v>301</v>
      </c>
      <c r="BL127" s="6">
        <v>1460</v>
      </c>
      <c r="BM127" s="6">
        <f t="shared" si="31"/>
        <v>332</v>
      </c>
      <c r="BN127" s="6">
        <v>679</v>
      </c>
      <c r="BO127" s="6"/>
      <c r="BP127" s="6">
        <f t="shared" si="32"/>
        <v>378</v>
      </c>
      <c r="BQ127" s="6">
        <v>1060</v>
      </c>
      <c r="BR127" s="6"/>
      <c r="BS127" s="35">
        <f t="shared" si="33"/>
        <v>381</v>
      </c>
      <c r="BT127" s="6">
        <v>1440</v>
      </c>
      <c r="BU127" s="6"/>
      <c r="BV127" s="6">
        <f t="shared" si="34"/>
        <v>380</v>
      </c>
      <c r="BW127" s="6">
        <v>240</v>
      </c>
      <c r="BX127" s="6">
        <v>1560</v>
      </c>
      <c r="BY127" s="35">
        <f t="shared" si="35"/>
        <v>360</v>
      </c>
      <c r="BZ127" s="6"/>
      <c r="CA127" s="6"/>
      <c r="CB127" s="6"/>
      <c r="CC127" s="6">
        <v>620</v>
      </c>
      <c r="CD127" s="6"/>
      <c r="CE127" s="6">
        <f t="shared" si="36"/>
        <v>380</v>
      </c>
      <c r="CF127" s="6">
        <v>998</v>
      </c>
      <c r="CG127" s="6"/>
      <c r="CH127" s="6">
        <f t="shared" si="37"/>
        <v>378</v>
      </c>
      <c r="CI127" s="6">
        <v>1376</v>
      </c>
      <c r="CJ127" s="6"/>
      <c r="CK127" s="6">
        <f t="shared" si="38"/>
        <v>378</v>
      </c>
      <c r="CL127" s="6">
        <v>192</v>
      </c>
      <c r="CM127" s="6">
        <v>1560</v>
      </c>
      <c r="CN127" s="6">
        <f t="shared" si="39"/>
        <v>376</v>
      </c>
      <c r="CO127" s="6">
        <v>564</v>
      </c>
      <c r="CP127" s="6"/>
      <c r="CQ127" s="6">
        <f t="shared" si="40"/>
        <v>372</v>
      </c>
      <c r="CR127" s="6">
        <v>924</v>
      </c>
      <c r="CS127" s="6"/>
      <c r="CT127" s="6">
        <f t="shared" si="41"/>
        <v>360</v>
      </c>
      <c r="CU127" s="6"/>
      <c r="CV127" s="6"/>
      <c r="CW127" s="6"/>
      <c r="CX127" s="6">
        <v>1304</v>
      </c>
      <c r="CY127" s="6"/>
      <c r="CZ127" s="6">
        <f t="shared" si="42"/>
        <v>380</v>
      </c>
      <c r="DA127" s="6">
        <v>104</v>
      </c>
      <c r="DB127" s="6">
        <v>1571</v>
      </c>
      <c r="DC127" s="6">
        <f t="shared" si="43"/>
        <v>371</v>
      </c>
      <c r="DD127" s="6">
        <v>480</v>
      </c>
      <c r="DE127" s="6"/>
      <c r="DF127" s="6">
        <f t="shared" si="44"/>
        <v>376</v>
      </c>
      <c r="DG127" s="6">
        <v>858</v>
      </c>
      <c r="DH127" s="6"/>
      <c r="DI127" s="6">
        <f t="shared" si="45"/>
        <v>378</v>
      </c>
      <c r="DJ127" s="6">
        <v>1206</v>
      </c>
      <c r="DK127" s="6"/>
      <c r="DL127" s="6">
        <f t="shared" si="46"/>
        <v>348</v>
      </c>
      <c r="DM127" s="6">
        <v>11</v>
      </c>
      <c r="DN127" s="6">
        <v>1532</v>
      </c>
      <c r="DO127" s="6">
        <f t="shared" si="47"/>
        <v>337</v>
      </c>
    </row>
    <row r="128" spans="1:119">
      <c r="A128" s="6">
        <v>124</v>
      </c>
      <c r="B128" s="6">
        <v>1310</v>
      </c>
      <c r="C128" s="6"/>
      <c r="D128" s="6">
        <v>208</v>
      </c>
      <c r="E128" s="33" t="s">
        <v>307</v>
      </c>
      <c r="F128" s="33" t="s">
        <v>307</v>
      </c>
      <c r="G128" s="33" t="s">
        <v>307</v>
      </c>
      <c r="H128" s="33" t="s">
        <v>307</v>
      </c>
      <c r="I128" s="33" t="s">
        <v>307</v>
      </c>
      <c r="J128" s="33" t="s">
        <v>307</v>
      </c>
      <c r="K128" s="33" t="s">
        <v>307</v>
      </c>
      <c r="L128" s="33" t="s">
        <v>307</v>
      </c>
      <c r="M128" s="33" t="s">
        <v>307</v>
      </c>
      <c r="N128" s="33" t="s">
        <v>307</v>
      </c>
      <c r="O128" s="33" t="s">
        <v>307</v>
      </c>
      <c r="P128" s="33" t="s">
        <v>307</v>
      </c>
      <c r="Q128" s="33" t="s">
        <v>307</v>
      </c>
      <c r="R128" s="33" t="s">
        <v>307</v>
      </c>
      <c r="S128" s="148" t="s">
        <v>307</v>
      </c>
      <c r="T128" s="33" t="s">
        <v>307</v>
      </c>
      <c r="U128" s="33" t="s">
        <v>307</v>
      </c>
      <c r="V128" s="33" t="s">
        <v>307</v>
      </c>
      <c r="W128" s="33" t="s">
        <v>307</v>
      </c>
      <c r="X128" s="33" t="s">
        <v>307</v>
      </c>
      <c r="Y128" s="33" t="s">
        <v>307</v>
      </c>
      <c r="Z128" s="33" t="s">
        <v>307</v>
      </c>
      <c r="AA128" s="33" t="s">
        <v>307</v>
      </c>
      <c r="AB128" s="33" t="s">
        <v>307</v>
      </c>
      <c r="AC128" s="33" t="s">
        <v>307</v>
      </c>
      <c r="AD128" s="6"/>
      <c r="AE128" s="6"/>
      <c r="AF128" s="35"/>
      <c r="AG128" s="6"/>
      <c r="AH128" s="6"/>
      <c r="AI128" s="35"/>
      <c r="AJ128" s="35"/>
      <c r="AK128" s="35"/>
      <c r="AL128" s="35"/>
      <c r="AM128" s="6">
        <v>158</v>
      </c>
      <c r="AN128" s="6">
        <v>1560</v>
      </c>
      <c r="AO128" s="35">
        <f t="shared" si="24"/>
        <v>408</v>
      </c>
      <c r="AP128" s="6">
        <v>546</v>
      </c>
      <c r="AQ128" s="6"/>
      <c r="AR128" s="34">
        <f t="shared" si="25"/>
        <v>388</v>
      </c>
      <c r="AS128" s="35">
        <v>932</v>
      </c>
      <c r="AT128" s="35"/>
      <c r="AU128" s="35">
        <f t="shared" si="26"/>
        <v>386</v>
      </c>
      <c r="AV128" s="6">
        <v>282</v>
      </c>
      <c r="AW128" s="6">
        <v>1036</v>
      </c>
      <c r="AX128" s="35">
        <f t="shared" si="27"/>
        <v>386</v>
      </c>
      <c r="AY128" s="6">
        <v>673</v>
      </c>
      <c r="AZ128" s="6"/>
      <c r="BA128" s="35">
        <f t="shared" si="28"/>
        <v>391</v>
      </c>
      <c r="BB128" s="35">
        <v>1051</v>
      </c>
      <c r="BC128" s="35"/>
      <c r="BD128" s="35">
        <f t="shared" si="29"/>
        <v>378</v>
      </c>
      <c r="BE128" s="6"/>
      <c r="BF128" s="6"/>
      <c r="BG128" s="35"/>
      <c r="BH128" s="6">
        <v>229</v>
      </c>
      <c r="BI128" s="6">
        <v>1179</v>
      </c>
      <c r="BJ128" s="35">
        <f t="shared" si="30"/>
        <v>357</v>
      </c>
      <c r="BK128" s="6">
        <v>589</v>
      </c>
      <c r="BL128" s="6"/>
      <c r="BM128" s="6">
        <f t="shared" si="31"/>
        <v>360</v>
      </c>
      <c r="BN128" s="6">
        <v>321</v>
      </c>
      <c r="BO128" s="6">
        <v>642</v>
      </c>
      <c r="BP128" s="6">
        <f t="shared" si="32"/>
        <v>374</v>
      </c>
      <c r="BQ128" s="6">
        <v>697</v>
      </c>
      <c r="BR128" s="6"/>
      <c r="BS128" s="35">
        <f t="shared" si="33"/>
        <v>376</v>
      </c>
      <c r="BT128" s="6">
        <v>1077</v>
      </c>
      <c r="BU128" s="6"/>
      <c r="BV128" s="6">
        <f t="shared" si="34"/>
        <v>380</v>
      </c>
      <c r="BW128" s="6">
        <v>1438</v>
      </c>
      <c r="BX128" s="6"/>
      <c r="BY128" s="35">
        <f t="shared" si="35"/>
        <v>361</v>
      </c>
      <c r="BZ128" s="6"/>
      <c r="CA128" s="6"/>
      <c r="CB128" s="6"/>
      <c r="CC128" s="6">
        <v>260</v>
      </c>
      <c r="CD128" s="6">
        <v>1560</v>
      </c>
      <c r="CE128" s="6">
        <f t="shared" si="36"/>
        <v>382</v>
      </c>
      <c r="CF128" s="6">
        <v>233</v>
      </c>
      <c r="CG128" s="6">
        <v>322</v>
      </c>
      <c r="CH128" s="6">
        <f t="shared" si="37"/>
        <v>295</v>
      </c>
      <c r="CI128" s="6">
        <v>599</v>
      </c>
      <c r="CJ128" s="6"/>
      <c r="CK128" s="6">
        <f t="shared" si="38"/>
        <v>366</v>
      </c>
      <c r="CL128" s="6">
        <v>973</v>
      </c>
      <c r="CM128" s="6"/>
      <c r="CN128" s="6">
        <f t="shared" si="39"/>
        <v>374</v>
      </c>
      <c r="CO128" s="6">
        <v>1290</v>
      </c>
      <c r="CP128" s="6"/>
      <c r="CQ128" s="6">
        <f t="shared" si="40"/>
        <v>317</v>
      </c>
      <c r="CR128" s="6">
        <v>88</v>
      </c>
      <c r="CS128" s="6">
        <v>1563</v>
      </c>
      <c r="CT128" s="6">
        <f t="shared" si="41"/>
        <v>361</v>
      </c>
      <c r="CU128" s="6"/>
      <c r="CV128" s="6"/>
      <c r="CW128" s="6"/>
      <c r="CX128" s="6">
        <v>483</v>
      </c>
      <c r="CY128" s="6"/>
      <c r="CZ128" s="6">
        <f t="shared" si="42"/>
        <v>395</v>
      </c>
      <c r="DA128" s="6">
        <v>852</v>
      </c>
      <c r="DB128" s="6"/>
      <c r="DC128" s="6">
        <f t="shared" si="43"/>
        <v>369</v>
      </c>
      <c r="DD128" s="6">
        <v>1242</v>
      </c>
      <c r="DE128" s="6"/>
      <c r="DF128" s="6">
        <f t="shared" si="44"/>
        <v>390</v>
      </c>
      <c r="DG128" s="6">
        <v>69</v>
      </c>
      <c r="DH128" s="6">
        <v>1560</v>
      </c>
      <c r="DI128" s="6">
        <f t="shared" si="45"/>
        <v>387</v>
      </c>
      <c r="DJ128" s="6">
        <v>458</v>
      </c>
      <c r="DK128" s="6"/>
      <c r="DL128" s="6">
        <f t="shared" si="46"/>
        <v>389</v>
      </c>
      <c r="DM128" s="6">
        <v>810</v>
      </c>
      <c r="DN128" s="6"/>
      <c r="DO128" s="6">
        <f t="shared" si="47"/>
        <v>352</v>
      </c>
    </row>
    <row r="129" spans="1:119">
      <c r="A129" s="6">
        <v>125</v>
      </c>
      <c r="B129" s="6">
        <v>406</v>
      </c>
      <c r="C129" s="6"/>
      <c r="D129" s="6">
        <v>209</v>
      </c>
      <c r="E129" s="33" t="s">
        <v>307</v>
      </c>
      <c r="F129" s="33" t="s">
        <v>307</v>
      </c>
      <c r="G129" s="33" t="s">
        <v>307</v>
      </c>
      <c r="H129" s="33" t="s">
        <v>307</v>
      </c>
      <c r="I129" s="33" t="s">
        <v>307</v>
      </c>
      <c r="J129" s="33" t="s">
        <v>307</v>
      </c>
      <c r="K129" s="33" t="s">
        <v>307</v>
      </c>
      <c r="L129" s="33" t="s">
        <v>307</v>
      </c>
      <c r="M129" s="33" t="s">
        <v>307</v>
      </c>
      <c r="N129" s="33" t="s">
        <v>307</v>
      </c>
      <c r="O129" s="33" t="s">
        <v>307</v>
      </c>
      <c r="P129" s="33" t="s">
        <v>307</v>
      </c>
      <c r="Q129" s="33" t="s">
        <v>307</v>
      </c>
      <c r="R129" s="33" t="s">
        <v>307</v>
      </c>
      <c r="S129" s="148" t="s">
        <v>37</v>
      </c>
      <c r="T129" s="33" t="s">
        <v>37</v>
      </c>
      <c r="U129" s="33" t="s">
        <v>37</v>
      </c>
      <c r="V129" s="33" t="s">
        <v>37</v>
      </c>
      <c r="W129" s="33" t="s">
        <v>37</v>
      </c>
      <c r="X129" s="33" t="s">
        <v>37</v>
      </c>
      <c r="Y129" s="33" t="s">
        <v>37</v>
      </c>
      <c r="Z129" s="33" t="s">
        <v>37</v>
      </c>
      <c r="AA129" s="33" t="s">
        <v>37</v>
      </c>
      <c r="AB129" s="33" t="s">
        <v>37</v>
      </c>
      <c r="AC129" s="33" t="s">
        <v>37</v>
      </c>
      <c r="AD129" s="6"/>
      <c r="AE129" s="6"/>
      <c r="AF129" s="35"/>
      <c r="AG129" s="6"/>
      <c r="AH129" s="6"/>
      <c r="AI129" s="35"/>
      <c r="AJ129" s="35"/>
      <c r="AK129" s="35"/>
      <c r="AL129" s="35"/>
      <c r="AM129" s="6">
        <v>829</v>
      </c>
      <c r="AN129" s="6"/>
      <c r="AO129" s="35">
        <f t="shared" si="24"/>
        <v>423</v>
      </c>
      <c r="AP129" s="6">
        <v>1218</v>
      </c>
      <c r="AQ129" s="6"/>
      <c r="AR129" s="34">
        <f t="shared" si="25"/>
        <v>389</v>
      </c>
      <c r="AS129" s="35">
        <v>61</v>
      </c>
      <c r="AT129" s="35">
        <v>1560</v>
      </c>
      <c r="AU129" s="35">
        <f t="shared" si="26"/>
        <v>403</v>
      </c>
      <c r="AV129" s="6">
        <v>461</v>
      </c>
      <c r="AW129" s="6"/>
      <c r="AX129" s="35">
        <f t="shared" si="27"/>
        <v>400</v>
      </c>
      <c r="AY129" s="6">
        <v>866</v>
      </c>
      <c r="AZ129" s="6"/>
      <c r="BA129" s="35">
        <f t="shared" si="28"/>
        <v>405</v>
      </c>
      <c r="BB129" s="6">
        <v>1258</v>
      </c>
      <c r="BC129" s="6"/>
      <c r="BD129" s="35">
        <f t="shared" si="29"/>
        <v>392</v>
      </c>
      <c r="BE129" s="6"/>
      <c r="BF129" s="6"/>
      <c r="BG129" s="35"/>
      <c r="BH129" s="6">
        <v>105</v>
      </c>
      <c r="BI129" s="6">
        <v>1560</v>
      </c>
      <c r="BJ129" s="35">
        <f t="shared" si="30"/>
        <v>407</v>
      </c>
      <c r="BK129" s="6">
        <v>488</v>
      </c>
      <c r="BL129" s="35"/>
      <c r="BM129" s="6">
        <f t="shared" si="31"/>
        <v>383</v>
      </c>
      <c r="BN129" s="6">
        <v>879</v>
      </c>
      <c r="BO129" s="6"/>
      <c r="BP129" s="6">
        <f t="shared" si="32"/>
        <v>391</v>
      </c>
      <c r="BQ129" s="6">
        <v>1277</v>
      </c>
      <c r="BR129" s="6"/>
      <c r="BS129" s="35">
        <f t="shared" si="33"/>
        <v>398</v>
      </c>
      <c r="BT129" s="6">
        <v>1674</v>
      </c>
      <c r="BU129" s="6"/>
      <c r="BV129" s="6">
        <f t="shared" si="34"/>
        <v>397</v>
      </c>
      <c r="BW129" s="6">
        <v>233</v>
      </c>
      <c r="BX129" s="6">
        <v>1820</v>
      </c>
      <c r="BY129" s="35">
        <f t="shared" si="35"/>
        <v>379</v>
      </c>
      <c r="BZ129" s="6"/>
      <c r="CA129" s="35"/>
      <c r="CB129" s="6"/>
      <c r="CC129" s="6">
        <v>0</v>
      </c>
      <c r="CD129" s="6">
        <v>407</v>
      </c>
      <c r="CE129" s="6">
        <f t="shared" si="36"/>
        <v>174</v>
      </c>
      <c r="CF129" s="6">
        <v>358</v>
      </c>
      <c r="CG129" s="35"/>
      <c r="CH129" s="6">
        <f t="shared" si="37"/>
        <v>358</v>
      </c>
      <c r="CI129" s="6">
        <v>757</v>
      </c>
      <c r="CJ129" s="6"/>
      <c r="CK129" s="6">
        <f t="shared" si="38"/>
        <v>399</v>
      </c>
      <c r="CL129" s="6">
        <v>1137</v>
      </c>
      <c r="CM129" s="6"/>
      <c r="CN129" s="6">
        <f t="shared" si="39"/>
        <v>380</v>
      </c>
      <c r="CO129" s="6">
        <v>1520</v>
      </c>
      <c r="CP129" s="6"/>
      <c r="CQ129" s="6">
        <f t="shared" si="40"/>
        <v>383</v>
      </c>
      <c r="CR129" s="6">
        <v>322</v>
      </c>
      <c r="CS129" s="6">
        <v>1560</v>
      </c>
      <c r="CT129" s="6">
        <f t="shared" si="41"/>
        <v>362</v>
      </c>
      <c r="CU129" s="6"/>
      <c r="CV129" s="6"/>
      <c r="CW129" s="6"/>
      <c r="CX129" s="6">
        <v>704</v>
      </c>
      <c r="CY129" s="6"/>
      <c r="CZ129" s="6">
        <f t="shared" si="42"/>
        <v>382</v>
      </c>
      <c r="DA129" s="6">
        <v>1080</v>
      </c>
      <c r="DB129" s="6"/>
      <c r="DC129" s="6">
        <f t="shared" si="43"/>
        <v>376</v>
      </c>
      <c r="DD129" s="6">
        <v>1458</v>
      </c>
      <c r="DE129" s="6"/>
      <c r="DF129" s="6">
        <f t="shared" si="44"/>
        <v>378</v>
      </c>
      <c r="DG129" s="6">
        <v>277</v>
      </c>
      <c r="DH129" s="6">
        <v>1560</v>
      </c>
      <c r="DI129" s="6">
        <f t="shared" si="45"/>
        <v>379</v>
      </c>
      <c r="DJ129" s="6">
        <v>644</v>
      </c>
      <c r="DK129" s="6"/>
      <c r="DL129" s="6">
        <f t="shared" si="46"/>
        <v>367</v>
      </c>
      <c r="DM129" s="6">
        <v>990</v>
      </c>
      <c r="DN129" s="6"/>
      <c r="DO129" s="6">
        <f t="shared" si="47"/>
        <v>346</v>
      </c>
    </row>
    <row r="130" spans="1:119">
      <c r="A130" s="6">
        <v>126</v>
      </c>
      <c r="B130" s="6">
        <v>478</v>
      </c>
      <c r="C130" s="6"/>
      <c r="D130" s="6">
        <v>193</v>
      </c>
      <c r="E130" s="33" t="s">
        <v>307</v>
      </c>
      <c r="F130" s="33" t="s">
        <v>307</v>
      </c>
      <c r="G130" s="33" t="s">
        <v>307</v>
      </c>
      <c r="H130" s="33" t="s">
        <v>307</v>
      </c>
      <c r="I130" s="33" t="s">
        <v>307</v>
      </c>
      <c r="J130" s="33" t="s">
        <v>307</v>
      </c>
      <c r="K130" s="33" t="s">
        <v>307</v>
      </c>
      <c r="L130" s="33" t="s">
        <v>307</v>
      </c>
      <c r="M130" s="33" t="s">
        <v>307</v>
      </c>
      <c r="N130" s="33" t="s">
        <v>307</v>
      </c>
      <c r="O130" s="33" t="s">
        <v>307</v>
      </c>
      <c r="P130" s="33" t="s">
        <v>307</v>
      </c>
      <c r="Q130" s="33" t="s">
        <v>307</v>
      </c>
      <c r="R130" s="33" t="s">
        <v>307</v>
      </c>
      <c r="S130" s="33" t="s">
        <v>307</v>
      </c>
      <c r="T130" s="33" t="s">
        <v>307</v>
      </c>
      <c r="U130" s="33" t="s">
        <v>307</v>
      </c>
      <c r="V130" s="33" t="s">
        <v>307</v>
      </c>
      <c r="W130" s="148" t="s">
        <v>307</v>
      </c>
      <c r="X130" s="33" t="s">
        <v>307</v>
      </c>
      <c r="Y130" s="33" t="s">
        <v>307</v>
      </c>
      <c r="Z130" s="33" t="s">
        <v>307</v>
      </c>
      <c r="AA130" s="33" t="s">
        <v>307</v>
      </c>
      <c r="AB130" s="33" t="s">
        <v>307</v>
      </c>
      <c r="AC130" s="33" t="s">
        <v>307</v>
      </c>
      <c r="AD130" s="35"/>
      <c r="AE130" s="35"/>
      <c r="AF130" s="35"/>
      <c r="AG130" s="35"/>
      <c r="AH130" s="35"/>
      <c r="AI130" s="35"/>
      <c r="AJ130" s="35"/>
      <c r="AK130" s="35"/>
      <c r="AL130" s="35"/>
      <c r="AM130" s="35">
        <v>870</v>
      </c>
      <c r="AN130" s="35"/>
      <c r="AO130" s="35">
        <f t="shared" si="24"/>
        <v>392</v>
      </c>
      <c r="AP130" s="35">
        <v>1246</v>
      </c>
      <c r="AQ130" s="35"/>
      <c r="AR130" s="34">
        <f t="shared" si="25"/>
        <v>376</v>
      </c>
      <c r="AS130" s="35">
        <v>67</v>
      </c>
      <c r="AT130" s="35">
        <v>1560</v>
      </c>
      <c r="AU130" s="35">
        <f t="shared" si="26"/>
        <v>381</v>
      </c>
      <c r="AV130" s="6">
        <v>457</v>
      </c>
      <c r="AW130" s="6"/>
      <c r="AX130" s="35">
        <f t="shared" si="27"/>
        <v>390</v>
      </c>
      <c r="AY130" s="35">
        <v>280</v>
      </c>
      <c r="AZ130" s="35">
        <v>567</v>
      </c>
      <c r="BA130" s="35">
        <f t="shared" si="28"/>
        <v>390</v>
      </c>
      <c r="BB130" s="35">
        <v>14</v>
      </c>
      <c r="BC130" s="35">
        <v>633</v>
      </c>
      <c r="BD130" s="35">
        <f t="shared" si="29"/>
        <v>367</v>
      </c>
      <c r="BE130" s="35"/>
      <c r="BF130" s="35"/>
      <c r="BG130" s="35"/>
      <c r="BH130" s="35">
        <v>375</v>
      </c>
      <c r="BI130" s="35"/>
      <c r="BJ130" s="35">
        <f t="shared" si="30"/>
        <v>361</v>
      </c>
      <c r="BK130" s="35">
        <v>761</v>
      </c>
      <c r="BL130" s="35"/>
      <c r="BM130" s="6">
        <f t="shared" si="31"/>
        <v>386</v>
      </c>
      <c r="BN130" s="35">
        <v>1160</v>
      </c>
      <c r="BO130" s="6"/>
      <c r="BP130" s="6">
        <f t="shared" si="32"/>
        <v>399</v>
      </c>
      <c r="BQ130" s="6">
        <v>1539</v>
      </c>
      <c r="BR130" s="6"/>
      <c r="BS130" s="35">
        <f t="shared" si="33"/>
        <v>379</v>
      </c>
      <c r="BT130" s="6">
        <v>371</v>
      </c>
      <c r="BU130" s="6">
        <v>1560</v>
      </c>
      <c r="BV130" s="6">
        <f t="shared" si="34"/>
        <v>392</v>
      </c>
      <c r="BW130" s="6">
        <v>745</v>
      </c>
      <c r="BX130" s="6"/>
      <c r="BY130" s="35">
        <f t="shared" si="35"/>
        <v>374</v>
      </c>
      <c r="BZ130" s="6"/>
      <c r="CA130" s="6"/>
      <c r="CB130" s="6"/>
      <c r="CC130" s="6">
        <v>1139</v>
      </c>
      <c r="CD130" s="6"/>
      <c r="CE130" s="6">
        <f t="shared" si="36"/>
        <v>394</v>
      </c>
      <c r="CF130" s="6">
        <v>77</v>
      </c>
      <c r="CG130" s="6">
        <v>1449</v>
      </c>
      <c r="CH130" s="6">
        <f t="shared" si="37"/>
        <v>387</v>
      </c>
      <c r="CI130" s="6">
        <v>461</v>
      </c>
      <c r="CJ130" s="6"/>
      <c r="CK130" s="6">
        <f t="shared" si="38"/>
        <v>384</v>
      </c>
      <c r="CL130" s="6">
        <v>832</v>
      </c>
      <c r="CM130" s="6"/>
      <c r="CN130" s="6">
        <f t="shared" si="39"/>
        <v>371</v>
      </c>
      <c r="CO130" s="6">
        <v>0</v>
      </c>
      <c r="CP130" s="6">
        <v>1203</v>
      </c>
      <c r="CQ130" s="6">
        <f t="shared" si="40"/>
        <v>371</v>
      </c>
      <c r="CR130" s="6">
        <v>333</v>
      </c>
      <c r="CS130" s="6"/>
      <c r="CT130" s="6">
        <f t="shared" si="41"/>
        <v>333</v>
      </c>
      <c r="CU130" s="6"/>
      <c r="CV130" s="6"/>
      <c r="CW130" s="6"/>
      <c r="CX130" s="6">
        <v>724</v>
      </c>
      <c r="CY130" s="6"/>
      <c r="CZ130" s="6">
        <f t="shared" si="42"/>
        <v>391</v>
      </c>
      <c r="DA130" s="6">
        <v>1106</v>
      </c>
      <c r="DB130" s="6"/>
      <c r="DC130" s="6">
        <f t="shared" si="43"/>
        <v>382</v>
      </c>
      <c r="DD130" s="6">
        <v>1498</v>
      </c>
      <c r="DE130" s="6"/>
      <c r="DF130" s="6">
        <f t="shared" si="44"/>
        <v>392</v>
      </c>
      <c r="DG130" s="6">
        <v>328</v>
      </c>
      <c r="DH130" s="6">
        <v>1560</v>
      </c>
      <c r="DI130" s="6">
        <f t="shared" si="45"/>
        <v>390</v>
      </c>
      <c r="DJ130" s="6">
        <v>718</v>
      </c>
      <c r="DK130" s="6"/>
      <c r="DL130" s="6">
        <f t="shared" si="46"/>
        <v>390</v>
      </c>
      <c r="DM130" s="6">
        <v>1073</v>
      </c>
      <c r="DN130" s="6"/>
      <c r="DO130" s="6">
        <f t="shared" si="47"/>
        <v>355</v>
      </c>
    </row>
    <row r="131" spans="1:119">
      <c r="A131" s="6">
        <v>127</v>
      </c>
      <c r="B131" s="6">
        <v>477</v>
      </c>
      <c r="C131" s="6"/>
      <c r="D131" s="6">
        <v>210</v>
      </c>
      <c r="E131" s="33" t="s">
        <v>307</v>
      </c>
      <c r="F131" s="33" t="s">
        <v>307</v>
      </c>
      <c r="G131" s="33" t="s">
        <v>307</v>
      </c>
      <c r="H131" s="33" t="s">
        <v>307</v>
      </c>
      <c r="I131" s="33" t="s">
        <v>307</v>
      </c>
      <c r="J131" s="33" t="s">
        <v>307</v>
      </c>
      <c r="K131" s="33" t="s">
        <v>307</v>
      </c>
      <c r="L131" s="33" t="s">
        <v>307</v>
      </c>
      <c r="M131" s="33" t="s">
        <v>307</v>
      </c>
      <c r="N131" s="33" t="s">
        <v>307</v>
      </c>
      <c r="O131" s="33" t="s">
        <v>307</v>
      </c>
      <c r="P131" s="33" t="s">
        <v>307</v>
      </c>
      <c r="Q131" s="33" t="s">
        <v>307</v>
      </c>
      <c r="R131" s="33" t="s">
        <v>307</v>
      </c>
      <c r="S131" s="33" t="s">
        <v>307</v>
      </c>
      <c r="T131" s="33" t="s">
        <v>307</v>
      </c>
      <c r="U131" s="33" t="s">
        <v>307</v>
      </c>
      <c r="V131" s="33" t="s">
        <v>307</v>
      </c>
      <c r="W131" s="33" t="s">
        <v>307</v>
      </c>
      <c r="X131" s="33" t="s">
        <v>307</v>
      </c>
      <c r="Y131" s="148" t="s">
        <v>307</v>
      </c>
      <c r="Z131" s="33" t="s">
        <v>307</v>
      </c>
      <c r="AA131" s="33" t="s">
        <v>307</v>
      </c>
      <c r="AB131" s="33" t="s">
        <v>307</v>
      </c>
      <c r="AC131" s="33" t="s">
        <v>307</v>
      </c>
      <c r="AD131" s="6"/>
      <c r="AE131" s="6"/>
      <c r="AF131" s="35"/>
      <c r="AG131" s="6"/>
      <c r="AH131" s="6"/>
      <c r="AI131" s="35"/>
      <c r="AJ131" s="35"/>
      <c r="AK131" s="35"/>
      <c r="AL131" s="35"/>
      <c r="AM131" s="6">
        <v>894</v>
      </c>
      <c r="AN131" s="6"/>
      <c r="AO131" s="35">
        <f t="shared" si="24"/>
        <v>417</v>
      </c>
      <c r="AP131" s="6">
        <v>1288</v>
      </c>
      <c r="AQ131" s="6"/>
      <c r="AR131" s="34">
        <f t="shared" si="25"/>
        <v>394</v>
      </c>
      <c r="AS131" s="35">
        <v>124</v>
      </c>
      <c r="AT131" s="35">
        <v>1560</v>
      </c>
      <c r="AU131" s="35">
        <f t="shared" si="26"/>
        <v>396</v>
      </c>
      <c r="AV131" s="6">
        <v>523</v>
      </c>
      <c r="AW131" s="6"/>
      <c r="AX131" s="35">
        <f t="shared" si="27"/>
        <v>399</v>
      </c>
      <c r="AY131" s="6">
        <v>921</v>
      </c>
      <c r="AZ131" s="35"/>
      <c r="BA131" s="35">
        <f t="shared" si="28"/>
        <v>398</v>
      </c>
      <c r="BB131" s="35">
        <v>1310</v>
      </c>
      <c r="BC131" s="35"/>
      <c r="BD131" s="35">
        <f t="shared" si="29"/>
        <v>389</v>
      </c>
      <c r="BE131" s="6"/>
      <c r="BF131" s="6"/>
      <c r="BG131" s="35"/>
      <c r="BH131" s="6">
        <v>140</v>
      </c>
      <c r="BI131" s="6">
        <v>1560</v>
      </c>
      <c r="BJ131" s="35">
        <f t="shared" si="30"/>
        <v>390</v>
      </c>
      <c r="BK131" s="6">
        <v>535</v>
      </c>
      <c r="BL131" s="6"/>
      <c r="BM131" s="6">
        <f t="shared" si="31"/>
        <v>395</v>
      </c>
      <c r="BN131" s="6">
        <v>935</v>
      </c>
      <c r="BO131" s="6"/>
      <c r="BP131" s="6">
        <f t="shared" si="32"/>
        <v>400</v>
      </c>
      <c r="BQ131" s="6">
        <v>1334</v>
      </c>
      <c r="BR131" s="6"/>
      <c r="BS131" s="35">
        <f t="shared" si="33"/>
        <v>399</v>
      </c>
      <c r="BT131" s="6">
        <v>169</v>
      </c>
      <c r="BU131" s="6">
        <v>1560</v>
      </c>
      <c r="BV131" s="6">
        <f t="shared" si="34"/>
        <v>395</v>
      </c>
      <c r="BW131" s="6">
        <v>548</v>
      </c>
      <c r="BX131" s="6"/>
      <c r="BY131" s="35">
        <f t="shared" si="35"/>
        <v>379</v>
      </c>
      <c r="BZ131" s="6"/>
      <c r="CA131" s="6"/>
      <c r="CB131" s="6"/>
      <c r="CC131" s="6">
        <v>941</v>
      </c>
      <c r="CD131" s="6"/>
      <c r="CE131" s="6">
        <f t="shared" si="36"/>
        <v>393</v>
      </c>
      <c r="CF131" s="6">
        <v>1333</v>
      </c>
      <c r="CG131" s="6"/>
      <c r="CH131" s="6">
        <f t="shared" si="37"/>
        <v>392</v>
      </c>
      <c r="CI131" s="6">
        <v>173</v>
      </c>
      <c r="CJ131" s="6">
        <v>1560</v>
      </c>
      <c r="CK131" s="6">
        <f t="shared" si="38"/>
        <v>400</v>
      </c>
      <c r="CL131" s="6">
        <v>570</v>
      </c>
      <c r="CM131" s="6"/>
      <c r="CN131" s="6">
        <f t="shared" si="39"/>
        <v>397</v>
      </c>
      <c r="CO131" s="6">
        <v>967</v>
      </c>
      <c r="CP131" s="6"/>
      <c r="CQ131" s="6">
        <f t="shared" si="40"/>
        <v>397</v>
      </c>
      <c r="CR131" s="6">
        <v>1341</v>
      </c>
      <c r="CS131" s="6"/>
      <c r="CT131" s="6">
        <f t="shared" si="41"/>
        <v>374</v>
      </c>
      <c r="CU131" s="6"/>
      <c r="CV131" s="6"/>
      <c r="CW131" s="6"/>
      <c r="CX131" s="6">
        <v>0</v>
      </c>
      <c r="CY131" s="6">
        <v>1615</v>
      </c>
      <c r="CZ131" s="6">
        <f t="shared" si="42"/>
        <v>274</v>
      </c>
      <c r="DA131" s="6">
        <v>332</v>
      </c>
      <c r="DB131" s="6"/>
      <c r="DC131" s="6">
        <f t="shared" si="43"/>
        <v>332</v>
      </c>
      <c r="DD131" s="6">
        <v>712</v>
      </c>
      <c r="DE131" s="6"/>
      <c r="DF131" s="6">
        <f t="shared" si="44"/>
        <v>380</v>
      </c>
      <c r="DG131" s="6">
        <v>1111</v>
      </c>
      <c r="DH131" s="6"/>
      <c r="DI131" s="6">
        <f t="shared" si="45"/>
        <v>399</v>
      </c>
      <c r="DJ131" s="6">
        <v>1504</v>
      </c>
      <c r="DK131" s="6"/>
      <c r="DL131" s="6">
        <f t="shared" si="46"/>
        <v>393</v>
      </c>
      <c r="DM131" s="6">
        <v>295</v>
      </c>
      <c r="DN131" s="6">
        <v>1560</v>
      </c>
      <c r="DO131" s="6">
        <f t="shared" si="47"/>
        <v>351</v>
      </c>
    </row>
    <row r="132" spans="1:119">
      <c r="A132" s="6">
        <v>128</v>
      </c>
      <c r="B132" s="6">
        <v>176</v>
      </c>
      <c r="C132" s="6"/>
      <c r="D132" s="6">
        <v>176</v>
      </c>
      <c r="E132" s="148" t="s">
        <v>307</v>
      </c>
      <c r="F132" s="33" t="s">
        <v>307</v>
      </c>
      <c r="G132" s="33" t="s">
        <v>307</v>
      </c>
      <c r="H132" s="33" t="s">
        <v>307</v>
      </c>
      <c r="I132" s="33" t="s">
        <v>307</v>
      </c>
      <c r="J132" s="33" t="s">
        <v>307</v>
      </c>
      <c r="K132" s="33" t="s">
        <v>307</v>
      </c>
      <c r="L132" s="33" t="s">
        <v>307</v>
      </c>
      <c r="M132" s="33" t="s">
        <v>307</v>
      </c>
      <c r="N132" s="33" t="s">
        <v>307</v>
      </c>
      <c r="O132" s="33" t="s">
        <v>307</v>
      </c>
      <c r="P132" s="33" t="s">
        <v>307</v>
      </c>
      <c r="Q132" s="33" t="s">
        <v>307</v>
      </c>
      <c r="R132" s="33" t="s">
        <v>307</v>
      </c>
      <c r="S132" s="33" t="s">
        <v>307</v>
      </c>
      <c r="T132" s="33" t="s">
        <v>307</v>
      </c>
      <c r="U132" s="33" t="s">
        <v>307</v>
      </c>
      <c r="V132" s="33" t="s">
        <v>307</v>
      </c>
      <c r="W132" s="33" t="s">
        <v>307</v>
      </c>
      <c r="X132" s="33" t="s">
        <v>307</v>
      </c>
      <c r="Y132" s="33" t="s">
        <v>307</v>
      </c>
      <c r="Z132" s="148" t="s">
        <v>307</v>
      </c>
      <c r="AA132" s="33" t="s">
        <v>307</v>
      </c>
      <c r="AB132" s="33" t="s">
        <v>307</v>
      </c>
      <c r="AC132" s="33" t="s">
        <v>307</v>
      </c>
      <c r="AD132" s="6"/>
      <c r="AE132" s="6"/>
      <c r="AF132" s="35"/>
      <c r="AG132" s="6"/>
      <c r="AH132" s="6"/>
      <c r="AI132" s="35"/>
      <c r="AJ132" s="35"/>
      <c r="AK132" s="35"/>
      <c r="AL132" s="35"/>
      <c r="AM132" s="6">
        <v>592</v>
      </c>
      <c r="AN132" s="6"/>
      <c r="AO132" s="35">
        <f t="shared" si="24"/>
        <v>416</v>
      </c>
      <c r="AP132" s="6">
        <v>276</v>
      </c>
      <c r="AQ132" s="6">
        <v>668</v>
      </c>
      <c r="AR132" s="34">
        <f t="shared" si="25"/>
        <v>352</v>
      </c>
      <c r="AS132" s="35">
        <v>677</v>
      </c>
      <c r="AT132" s="35"/>
      <c r="AU132" s="35">
        <f t="shared" si="26"/>
        <v>401</v>
      </c>
      <c r="AV132" s="6">
        <v>1075</v>
      </c>
      <c r="AW132" s="6"/>
      <c r="AX132" s="35">
        <f t="shared" si="27"/>
        <v>398</v>
      </c>
      <c r="AY132" s="6">
        <v>1476</v>
      </c>
      <c r="AZ132" s="6"/>
      <c r="BA132" s="35">
        <f t="shared" si="28"/>
        <v>401</v>
      </c>
      <c r="BB132" s="6">
        <v>280</v>
      </c>
      <c r="BC132" s="6">
        <v>1560</v>
      </c>
      <c r="BD132" s="35">
        <f t="shared" si="29"/>
        <v>364</v>
      </c>
      <c r="BE132" s="6"/>
      <c r="BF132" s="6"/>
      <c r="BG132" s="35"/>
      <c r="BH132" s="6">
        <v>675</v>
      </c>
      <c r="BI132" s="6"/>
      <c r="BJ132" s="35">
        <f t="shared" si="30"/>
        <v>395</v>
      </c>
      <c r="BK132" s="6">
        <v>1067</v>
      </c>
      <c r="BL132" s="35"/>
      <c r="BM132" s="6">
        <f t="shared" si="31"/>
        <v>392</v>
      </c>
      <c r="BN132" s="6">
        <v>1464</v>
      </c>
      <c r="BO132" s="6"/>
      <c r="BP132" s="6">
        <f t="shared" si="32"/>
        <v>397</v>
      </c>
      <c r="BQ132" s="6">
        <v>298</v>
      </c>
      <c r="BR132" s="6">
        <v>1560</v>
      </c>
      <c r="BS132" s="35">
        <f t="shared" si="33"/>
        <v>394</v>
      </c>
      <c r="BT132" s="6">
        <v>700</v>
      </c>
      <c r="BU132" s="6"/>
      <c r="BV132" s="6">
        <f t="shared" si="34"/>
        <v>402</v>
      </c>
      <c r="BW132" s="6">
        <v>1077</v>
      </c>
      <c r="BX132" s="6"/>
      <c r="BY132" s="35">
        <f t="shared" si="35"/>
        <v>377</v>
      </c>
      <c r="BZ132" s="6"/>
      <c r="CA132" s="35"/>
      <c r="CB132" s="6"/>
      <c r="CC132" s="6">
        <v>1480</v>
      </c>
      <c r="CD132" s="6"/>
      <c r="CE132" s="6">
        <f t="shared" si="36"/>
        <v>403</v>
      </c>
      <c r="CF132" s="6">
        <v>316</v>
      </c>
      <c r="CG132" s="35">
        <v>1560</v>
      </c>
      <c r="CH132" s="6">
        <f t="shared" si="37"/>
        <v>396</v>
      </c>
      <c r="CI132" s="6">
        <v>715</v>
      </c>
      <c r="CJ132" s="6"/>
      <c r="CK132" s="6">
        <f t="shared" si="38"/>
        <v>399</v>
      </c>
      <c r="CL132" s="6">
        <v>1103</v>
      </c>
      <c r="CM132" s="6"/>
      <c r="CN132" s="6">
        <f t="shared" si="39"/>
        <v>388</v>
      </c>
      <c r="CO132" s="6">
        <v>1463</v>
      </c>
      <c r="CP132" s="6"/>
      <c r="CQ132" s="6">
        <f t="shared" si="40"/>
        <v>360</v>
      </c>
      <c r="CR132" s="6">
        <v>213</v>
      </c>
      <c r="CS132" s="6">
        <v>1565</v>
      </c>
      <c r="CT132" s="6">
        <f t="shared" si="41"/>
        <v>315</v>
      </c>
      <c r="CU132" s="6"/>
      <c r="CV132" s="6"/>
      <c r="CW132" s="6"/>
      <c r="CX132" s="6">
        <v>607</v>
      </c>
      <c r="CY132" s="6"/>
      <c r="CZ132" s="6">
        <f t="shared" si="42"/>
        <v>394</v>
      </c>
      <c r="DA132" s="6">
        <v>0</v>
      </c>
      <c r="DB132" s="6">
        <v>975</v>
      </c>
      <c r="DC132" s="6">
        <f t="shared" si="43"/>
        <v>368</v>
      </c>
      <c r="DD132" s="6">
        <v>358</v>
      </c>
      <c r="DE132" s="6"/>
      <c r="DF132" s="6">
        <f t="shared" si="44"/>
        <v>358</v>
      </c>
      <c r="DG132" s="6">
        <v>749</v>
      </c>
      <c r="DH132" s="6"/>
      <c r="DI132" s="6">
        <f t="shared" si="45"/>
        <v>391</v>
      </c>
      <c r="DJ132" s="6">
        <v>1142</v>
      </c>
      <c r="DK132" s="6"/>
      <c r="DL132" s="6">
        <f t="shared" si="46"/>
        <v>393</v>
      </c>
      <c r="DM132" s="6">
        <v>1494</v>
      </c>
      <c r="DN132" s="6"/>
      <c r="DO132" s="6">
        <f t="shared" si="47"/>
        <v>352</v>
      </c>
    </row>
    <row r="133" spans="1:119">
      <c r="A133" s="6">
        <v>129</v>
      </c>
      <c r="B133" s="6">
        <v>0</v>
      </c>
      <c r="C133" s="6">
        <v>415</v>
      </c>
      <c r="D133" s="6">
        <v>154</v>
      </c>
      <c r="E133" s="33" t="s">
        <v>307</v>
      </c>
      <c r="F133" s="33" t="s">
        <v>307</v>
      </c>
      <c r="G133" s="33" t="s">
        <v>307</v>
      </c>
      <c r="H133" s="33" t="s">
        <v>307</v>
      </c>
      <c r="I133" s="33" t="s">
        <v>307</v>
      </c>
      <c r="J133" s="33" t="s">
        <v>307</v>
      </c>
      <c r="K133" s="33" t="s">
        <v>307</v>
      </c>
      <c r="L133" s="33" t="s">
        <v>307</v>
      </c>
      <c r="M133" s="33" t="s">
        <v>307</v>
      </c>
      <c r="N133" s="33" t="s">
        <v>307</v>
      </c>
      <c r="O133" s="33" t="s">
        <v>307</v>
      </c>
      <c r="P133" s="33" t="s">
        <v>307</v>
      </c>
      <c r="Q133" s="33" t="s">
        <v>307</v>
      </c>
      <c r="R133" s="33" t="s">
        <v>307</v>
      </c>
      <c r="S133" s="33" t="s">
        <v>307</v>
      </c>
      <c r="T133" s="33" t="s">
        <v>307</v>
      </c>
      <c r="U133" s="33" t="s">
        <v>307</v>
      </c>
      <c r="V133" s="148" t="s">
        <v>37</v>
      </c>
      <c r="W133" s="33" t="s">
        <v>37</v>
      </c>
      <c r="X133" s="33" t="s">
        <v>37</v>
      </c>
      <c r="Y133" s="33" t="s">
        <v>37</v>
      </c>
      <c r="Z133" s="33" t="s">
        <v>37</v>
      </c>
      <c r="AA133" s="33" t="s">
        <v>37</v>
      </c>
      <c r="AB133" s="33" t="s">
        <v>37</v>
      </c>
      <c r="AC133" s="33" t="s">
        <v>37</v>
      </c>
      <c r="AD133" s="6"/>
      <c r="AE133" s="6"/>
      <c r="AF133" s="35"/>
      <c r="AG133" s="6"/>
      <c r="AH133" s="6"/>
      <c r="AI133" s="35"/>
      <c r="AJ133" s="35"/>
      <c r="AK133" s="35"/>
      <c r="AL133" s="35"/>
      <c r="AM133" s="6">
        <v>419</v>
      </c>
      <c r="AN133" s="6"/>
      <c r="AO133" s="35">
        <f t="shared" ref="AO133:AO196" si="48">AN133+AM133-B133</f>
        <v>419</v>
      </c>
      <c r="AP133" s="6">
        <v>807</v>
      </c>
      <c r="AQ133" s="6"/>
      <c r="AR133" s="34">
        <f t="shared" si="25"/>
        <v>388</v>
      </c>
      <c r="AS133" s="35">
        <v>1180</v>
      </c>
      <c r="AT133" s="35"/>
      <c r="AU133" s="35">
        <f t="shared" si="26"/>
        <v>373</v>
      </c>
      <c r="AV133" s="6">
        <v>376</v>
      </c>
      <c r="AW133" s="6">
        <v>1180</v>
      </c>
      <c r="AX133" s="35">
        <f t="shared" si="27"/>
        <v>376</v>
      </c>
      <c r="AY133" s="6">
        <v>127</v>
      </c>
      <c r="AZ133" s="35">
        <v>626</v>
      </c>
      <c r="BA133" s="35">
        <f t="shared" si="28"/>
        <v>377</v>
      </c>
      <c r="BB133" s="35">
        <v>499</v>
      </c>
      <c r="BC133" s="35"/>
      <c r="BD133" s="35">
        <f t="shared" si="29"/>
        <v>372</v>
      </c>
      <c r="BE133" s="6"/>
      <c r="BF133" s="6"/>
      <c r="BG133" s="35"/>
      <c r="BH133" s="6">
        <v>884</v>
      </c>
      <c r="BI133" s="6"/>
      <c r="BJ133" s="35">
        <f t="shared" si="30"/>
        <v>385</v>
      </c>
      <c r="BK133" s="6">
        <v>1258</v>
      </c>
      <c r="BL133" s="6"/>
      <c r="BM133" s="6">
        <f t="shared" si="31"/>
        <v>374</v>
      </c>
      <c r="BN133" s="6">
        <v>82</v>
      </c>
      <c r="BO133" s="6">
        <v>1560</v>
      </c>
      <c r="BP133" s="6">
        <f t="shared" si="32"/>
        <v>384</v>
      </c>
      <c r="BQ133" s="6">
        <v>481</v>
      </c>
      <c r="BR133" s="6"/>
      <c r="BS133" s="35">
        <f t="shared" si="33"/>
        <v>399</v>
      </c>
      <c r="BT133" s="6">
        <v>874</v>
      </c>
      <c r="BU133" s="6"/>
      <c r="BV133" s="6">
        <f t="shared" si="34"/>
        <v>393</v>
      </c>
      <c r="BW133" s="6">
        <v>47</v>
      </c>
      <c r="BX133" s="6">
        <v>1199</v>
      </c>
      <c r="BY133" s="35">
        <f t="shared" si="35"/>
        <v>372</v>
      </c>
      <c r="BZ133" s="6"/>
      <c r="CA133" s="6"/>
      <c r="CB133" s="6"/>
      <c r="CC133" s="6">
        <v>14</v>
      </c>
      <c r="CD133" s="6">
        <f>278+60</f>
        <v>338</v>
      </c>
      <c r="CE133" s="6">
        <f t="shared" si="36"/>
        <v>305</v>
      </c>
      <c r="CF133" s="6">
        <v>365</v>
      </c>
      <c r="CG133" s="6"/>
      <c r="CH133" s="6">
        <f t="shared" si="37"/>
        <v>351</v>
      </c>
      <c r="CI133" s="6">
        <v>744</v>
      </c>
      <c r="CJ133" s="6"/>
      <c r="CK133" s="6">
        <f t="shared" si="38"/>
        <v>379</v>
      </c>
      <c r="CL133" s="6">
        <v>0</v>
      </c>
      <c r="CM133" s="6">
        <v>976</v>
      </c>
      <c r="CN133" s="6">
        <f t="shared" si="39"/>
        <v>232</v>
      </c>
      <c r="CO133" s="6">
        <v>362</v>
      </c>
      <c r="CP133" s="6"/>
      <c r="CQ133" s="6">
        <f t="shared" si="40"/>
        <v>362</v>
      </c>
      <c r="CR133" s="6">
        <v>719</v>
      </c>
      <c r="CS133" s="6"/>
      <c r="CT133" s="6">
        <f t="shared" si="41"/>
        <v>357</v>
      </c>
      <c r="CU133" s="6"/>
      <c r="CV133" s="6"/>
      <c r="CW133" s="6"/>
      <c r="CX133" s="6">
        <v>1102</v>
      </c>
      <c r="CY133" s="6"/>
      <c r="CZ133" s="6">
        <f t="shared" si="42"/>
        <v>383</v>
      </c>
      <c r="DA133" s="6">
        <v>189</v>
      </c>
      <c r="DB133" s="6">
        <v>1281</v>
      </c>
      <c r="DC133" s="6">
        <f t="shared" si="43"/>
        <v>368</v>
      </c>
      <c r="DD133" s="6">
        <v>560</v>
      </c>
      <c r="DE133" s="6"/>
      <c r="DF133" s="6">
        <f t="shared" si="44"/>
        <v>371</v>
      </c>
      <c r="DG133" s="6">
        <v>33</v>
      </c>
      <c r="DH133" s="6">
        <v>903</v>
      </c>
      <c r="DI133" s="6">
        <f t="shared" si="45"/>
        <v>376</v>
      </c>
      <c r="DJ133" s="6">
        <v>410</v>
      </c>
      <c r="DK133" s="6"/>
      <c r="DL133" s="6">
        <f t="shared" si="46"/>
        <v>377</v>
      </c>
      <c r="DM133" s="6">
        <v>87</v>
      </c>
      <c r="DN133" s="6">
        <v>649</v>
      </c>
      <c r="DO133" s="6">
        <f t="shared" si="47"/>
        <v>326</v>
      </c>
    </row>
    <row r="134" spans="1:119">
      <c r="A134" s="6">
        <v>130</v>
      </c>
      <c r="B134" s="6">
        <v>1364</v>
      </c>
      <c r="C134" s="6"/>
      <c r="D134" s="6">
        <v>208</v>
      </c>
      <c r="E134" s="33" t="s">
        <v>307</v>
      </c>
      <c r="F134" s="33" t="s">
        <v>307</v>
      </c>
      <c r="G134" s="33" t="s">
        <v>307</v>
      </c>
      <c r="H134" s="33" t="s">
        <v>307</v>
      </c>
      <c r="I134" s="33" t="s">
        <v>307</v>
      </c>
      <c r="J134" s="33" t="s">
        <v>307</v>
      </c>
      <c r="K134" s="33" t="s">
        <v>307</v>
      </c>
      <c r="L134" s="33" t="s">
        <v>307</v>
      </c>
      <c r="M134" s="33" t="s">
        <v>307</v>
      </c>
      <c r="N134" s="33" t="s">
        <v>307</v>
      </c>
      <c r="O134" s="33" t="s">
        <v>307</v>
      </c>
      <c r="P134" s="33" t="s">
        <v>307</v>
      </c>
      <c r="Q134" s="33" t="s">
        <v>307</v>
      </c>
      <c r="R134" s="33" t="s">
        <v>307</v>
      </c>
      <c r="S134" s="33" t="s">
        <v>307</v>
      </c>
      <c r="T134" s="33" t="s">
        <v>307</v>
      </c>
      <c r="U134" s="33" t="s">
        <v>307</v>
      </c>
      <c r="V134" s="148" t="s">
        <v>37</v>
      </c>
      <c r="W134" s="33" t="s">
        <v>37</v>
      </c>
      <c r="X134" s="33" t="s">
        <v>37</v>
      </c>
      <c r="Y134" s="33" t="s">
        <v>37</v>
      </c>
      <c r="Z134" s="33" t="s">
        <v>37</v>
      </c>
      <c r="AA134" s="33" t="s">
        <v>37</v>
      </c>
      <c r="AB134" s="33" t="s">
        <v>37</v>
      </c>
      <c r="AC134" s="33" t="s">
        <v>37</v>
      </c>
      <c r="AD134" s="6"/>
      <c r="AE134" s="6"/>
      <c r="AF134" s="35"/>
      <c r="AG134" s="6"/>
      <c r="AH134" s="6"/>
      <c r="AI134" s="35"/>
      <c r="AJ134" s="35"/>
      <c r="AK134" s="35"/>
      <c r="AL134" s="35"/>
      <c r="AM134" s="6">
        <v>218</v>
      </c>
      <c r="AN134" s="6">
        <v>1560</v>
      </c>
      <c r="AO134" s="35">
        <f t="shared" si="48"/>
        <v>414</v>
      </c>
      <c r="AP134" s="6">
        <v>613</v>
      </c>
      <c r="AQ134" s="6"/>
      <c r="AR134" s="34">
        <f t="shared" ref="AR134:AR197" si="49">AQ134+AP134-AM134</f>
        <v>395</v>
      </c>
      <c r="AS134" s="35">
        <v>1008</v>
      </c>
      <c r="AT134" s="35"/>
      <c r="AU134" s="35">
        <f t="shared" ref="AU134:AU197" si="50">AT134+AS134-AP134</f>
        <v>395</v>
      </c>
      <c r="AV134" s="6">
        <v>1402</v>
      </c>
      <c r="AW134" s="6"/>
      <c r="AX134" s="35">
        <f t="shared" ref="AX134:AX197" si="51">AW134+AV134-AS134</f>
        <v>394</v>
      </c>
      <c r="AY134" s="6">
        <v>217</v>
      </c>
      <c r="AZ134" s="6">
        <v>1560</v>
      </c>
      <c r="BA134" s="35">
        <f t="shared" ref="BA134:BA197" si="52">AZ134+AY134-AV134</f>
        <v>375</v>
      </c>
      <c r="BB134" s="6">
        <v>591</v>
      </c>
      <c r="BC134" s="6"/>
      <c r="BD134" s="35">
        <f t="shared" ref="BD134:BD197" si="53">BC134+BB134-AY134</f>
        <v>374</v>
      </c>
      <c r="BE134" s="6"/>
      <c r="BF134" s="6"/>
      <c r="BG134" s="35"/>
      <c r="BH134" s="6">
        <v>987</v>
      </c>
      <c r="BI134" s="6"/>
      <c r="BJ134" s="35">
        <f t="shared" ref="BJ134:BJ197" si="54">BI134+BH134-BB134</f>
        <v>396</v>
      </c>
      <c r="BK134" s="6">
        <v>1361</v>
      </c>
      <c r="BL134" s="35"/>
      <c r="BM134" s="6">
        <f t="shared" ref="BM134:BM197" si="55">BL134+BK134-BH134</f>
        <v>374</v>
      </c>
      <c r="BN134" s="6">
        <v>194</v>
      </c>
      <c r="BO134" s="6">
        <v>1560</v>
      </c>
      <c r="BP134" s="6">
        <f t="shared" ref="BP134:BP197" si="56">BO134+BN134-BK134</f>
        <v>393</v>
      </c>
      <c r="BQ134" s="6">
        <v>591</v>
      </c>
      <c r="BR134" s="6"/>
      <c r="BS134" s="35">
        <f t="shared" ref="BS134:BS197" si="57">BR134+BQ134-BN134</f>
        <v>397</v>
      </c>
      <c r="BT134" s="6">
        <v>985</v>
      </c>
      <c r="BU134" s="6"/>
      <c r="BV134" s="6">
        <f t="shared" ref="BV134:BV197" si="58">BU134+BT134-BQ134</f>
        <v>394</v>
      </c>
      <c r="BW134" s="6">
        <v>1359</v>
      </c>
      <c r="BX134" s="6"/>
      <c r="BY134" s="35">
        <f t="shared" ref="BY134:BY197" si="59">BX134+BW134-BT134</f>
        <v>374</v>
      </c>
      <c r="BZ134" s="6"/>
      <c r="CA134" s="35"/>
      <c r="CB134" s="6"/>
      <c r="CC134" s="6">
        <v>194</v>
      </c>
      <c r="CD134" s="6">
        <v>1560</v>
      </c>
      <c r="CE134" s="6">
        <f t="shared" ref="CE134:CE197" si="60">CD134+CC134-BW134</f>
        <v>395</v>
      </c>
      <c r="CF134" s="6">
        <v>591</v>
      </c>
      <c r="CG134" s="35"/>
      <c r="CH134" s="6">
        <f t="shared" ref="CH134:CH197" si="61">CG134+CF134-CC134</f>
        <v>397</v>
      </c>
      <c r="CI134" s="6">
        <v>988</v>
      </c>
      <c r="CJ134" s="6"/>
      <c r="CK134" s="6">
        <f t="shared" ref="CK134:CK197" si="62">CJ134+CI134-CF134</f>
        <v>397</v>
      </c>
      <c r="CL134" s="6">
        <v>0</v>
      </c>
      <c r="CM134" s="6">
        <v>1341</v>
      </c>
      <c r="CN134" s="6">
        <f t="shared" ref="CN134:CN197" si="63">CM134+CL134-CI134</f>
        <v>353</v>
      </c>
      <c r="CO134" s="6">
        <v>331</v>
      </c>
      <c r="CP134" s="6"/>
      <c r="CQ134" s="6">
        <f t="shared" ref="CQ134:CQ197" si="64">CP134+CO134-CL134</f>
        <v>331</v>
      </c>
      <c r="CR134" s="6">
        <v>655</v>
      </c>
      <c r="CS134" s="6"/>
      <c r="CT134" s="6">
        <f t="shared" ref="CT134:CT197" si="65">CS134+CR134-CO134</f>
        <v>324</v>
      </c>
      <c r="CU134" s="6"/>
      <c r="CV134" s="6"/>
      <c r="CW134" s="6"/>
      <c r="CX134" s="6">
        <v>1030</v>
      </c>
      <c r="CY134" s="35"/>
      <c r="CZ134" s="6">
        <f t="shared" ref="CZ134:CZ197" si="66">CY134+CX134-CR134</f>
        <v>375</v>
      </c>
      <c r="DA134" s="6">
        <v>1398</v>
      </c>
      <c r="DB134" s="6"/>
      <c r="DC134" s="6">
        <f t="shared" ref="DC134:DC197" si="67">DB134+DA134-CX134</f>
        <v>368</v>
      </c>
      <c r="DD134" s="6">
        <v>242</v>
      </c>
      <c r="DE134" s="6">
        <v>1525</v>
      </c>
      <c r="DF134" s="6">
        <f t="shared" ref="DF134:DF197" si="68">DE134+DD134-DA134</f>
        <v>369</v>
      </c>
      <c r="DG134" s="6">
        <v>607</v>
      </c>
      <c r="DH134" s="6"/>
      <c r="DI134" s="6">
        <f t="shared" ref="DI134:DI197" si="69">DH134+DG134-DD134</f>
        <v>365</v>
      </c>
      <c r="DJ134" s="6">
        <v>981</v>
      </c>
      <c r="DK134" s="6"/>
      <c r="DL134" s="6">
        <f t="shared" ref="DL134:DL197" si="70">DK134+DJ134-DG134</f>
        <v>374</v>
      </c>
      <c r="DM134" s="6">
        <v>1322</v>
      </c>
      <c r="DN134" s="6"/>
      <c r="DO134" s="6">
        <f t="shared" ref="DO134:DO197" si="71">DN134+DM134-DJ134</f>
        <v>341</v>
      </c>
    </row>
    <row r="135" spans="1:119">
      <c r="A135" s="6">
        <v>131</v>
      </c>
      <c r="B135" s="6">
        <v>154</v>
      </c>
      <c r="C135" s="6"/>
      <c r="D135" s="6">
        <v>154</v>
      </c>
      <c r="E135" s="148" t="s">
        <v>307</v>
      </c>
      <c r="F135" s="33" t="s">
        <v>307</v>
      </c>
      <c r="G135" s="33" t="s">
        <v>307</v>
      </c>
      <c r="H135" s="33" t="s">
        <v>307</v>
      </c>
      <c r="I135" s="33" t="s">
        <v>307</v>
      </c>
      <c r="J135" s="33" t="s">
        <v>307</v>
      </c>
      <c r="K135" s="33" t="s">
        <v>307</v>
      </c>
      <c r="L135" s="33" t="s">
        <v>307</v>
      </c>
      <c r="M135" s="33" t="s">
        <v>307</v>
      </c>
      <c r="N135" s="33" t="s">
        <v>307</v>
      </c>
      <c r="O135" s="33" t="s">
        <v>307</v>
      </c>
      <c r="P135" s="33" t="s">
        <v>307</v>
      </c>
      <c r="Q135" s="33" t="s">
        <v>307</v>
      </c>
      <c r="R135" s="33" t="s">
        <v>307</v>
      </c>
      <c r="S135" s="33" t="s">
        <v>307</v>
      </c>
      <c r="T135" s="33" t="s">
        <v>307</v>
      </c>
      <c r="U135" s="33" t="s">
        <v>307</v>
      </c>
      <c r="V135" s="33" t="s">
        <v>307</v>
      </c>
      <c r="W135" s="33" t="s">
        <v>307</v>
      </c>
      <c r="X135" s="33" t="s">
        <v>307</v>
      </c>
      <c r="Y135" s="33" t="s">
        <v>307</v>
      </c>
      <c r="Z135" s="33" t="s">
        <v>307</v>
      </c>
      <c r="AA135" s="148" t="s">
        <v>307</v>
      </c>
      <c r="AB135" s="33" t="s">
        <v>307</v>
      </c>
      <c r="AC135" s="33" t="s">
        <v>307</v>
      </c>
      <c r="AD135" s="6"/>
      <c r="AE135" s="6"/>
      <c r="AF135" s="35"/>
      <c r="AG135" s="6"/>
      <c r="AH135" s="6"/>
      <c r="AI135" s="35"/>
      <c r="AJ135" s="35"/>
      <c r="AK135" s="35"/>
      <c r="AL135" s="35"/>
      <c r="AM135" s="6">
        <v>531</v>
      </c>
      <c r="AN135" s="6"/>
      <c r="AO135" s="35">
        <f t="shared" si="48"/>
        <v>377</v>
      </c>
      <c r="AP135" s="6">
        <v>900</v>
      </c>
      <c r="AQ135" s="6"/>
      <c r="AR135" s="34">
        <f t="shared" si="49"/>
        <v>369</v>
      </c>
      <c r="AS135" s="35">
        <v>194</v>
      </c>
      <c r="AT135" s="35">
        <v>1058</v>
      </c>
      <c r="AU135" s="35">
        <f t="shared" si="50"/>
        <v>352</v>
      </c>
      <c r="AV135" s="6">
        <v>557</v>
      </c>
      <c r="AW135" s="6"/>
      <c r="AX135" s="35">
        <f t="shared" si="51"/>
        <v>363</v>
      </c>
      <c r="AY135" s="6">
        <v>941</v>
      </c>
      <c r="AZ135" s="6"/>
      <c r="BA135" s="35">
        <f t="shared" si="52"/>
        <v>384</v>
      </c>
      <c r="BB135" s="35">
        <v>1311</v>
      </c>
      <c r="BC135" s="35"/>
      <c r="BD135" s="35">
        <f t="shared" si="53"/>
        <v>370</v>
      </c>
      <c r="BE135" s="35"/>
      <c r="BF135" s="6"/>
      <c r="BG135" s="35"/>
      <c r="BH135" s="6">
        <v>135</v>
      </c>
      <c r="BI135" s="6">
        <v>1560</v>
      </c>
      <c r="BJ135" s="35">
        <f t="shared" si="54"/>
        <v>384</v>
      </c>
      <c r="BK135" s="6">
        <v>514</v>
      </c>
      <c r="BL135" s="6"/>
      <c r="BM135" s="6">
        <f t="shared" si="55"/>
        <v>379</v>
      </c>
      <c r="BN135" s="6">
        <v>880</v>
      </c>
      <c r="BO135" s="6"/>
      <c r="BP135" s="6">
        <f t="shared" si="56"/>
        <v>366</v>
      </c>
      <c r="BQ135" s="6">
        <v>1269</v>
      </c>
      <c r="BR135" s="6"/>
      <c r="BS135" s="35">
        <f t="shared" si="57"/>
        <v>389</v>
      </c>
      <c r="BT135" s="6">
        <v>96</v>
      </c>
      <c r="BU135" s="6">
        <v>1560</v>
      </c>
      <c r="BV135" s="6">
        <f t="shared" si="58"/>
        <v>387</v>
      </c>
      <c r="BW135" s="6">
        <v>458</v>
      </c>
      <c r="BX135" s="6"/>
      <c r="BY135" s="35">
        <f t="shared" si="59"/>
        <v>362</v>
      </c>
      <c r="BZ135" s="6"/>
      <c r="CA135" s="6"/>
      <c r="CB135" s="6"/>
      <c r="CC135" s="6">
        <v>849</v>
      </c>
      <c r="CD135" s="6"/>
      <c r="CE135" s="6">
        <f t="shared" si="60"/>
        <v>391</v>
      </c>
      <c r="CF135" s="6">
        <v>1235</v>
      </c>
      <c r="CG135" s="6"/>
      <c r="CH135" s="6">
        <f t="shared" si="61"/>
        <v>386</v>
      </c>
      <c r="CI135" s="6">
        <v>61</v>
      </c>
      <c r="CJ135" s="6">
        <v>1560</v>
      </c>
      <c r="CK135" s="6">
        <f t="shared" si="62"/>
        <v>386</v>
      </c>
      <c r="CL135" s="6">
        <v>449</v>
      </c>
      <c r="CM135" s="6"/>
      <c r="CN135" s="6">
        <f t="shared" si="63"/>
        <v>388</v>
      </c>
      <c r="CO135" s="6">
        <v>835</v>
      </c>
      <c r="CP135" s="6"/>
      <c r="CQ135" s="6">
        <f t="shared" si="64"/>
        <v>386</v>
      </c>
      <c r="CR135" s="6">
        <v>1134</v>
      </c>
      <c r="CS135" s="6"/>
      <c r="CT135" s="6">
        <f t="shared" si="65"/>
        <v>299</v>
      </c>
      <c r="CU135" s="6"/>
      <c r="CV135" s="6"/>
      <c r="CW135" s="6"/>
      <c r="CX135" s="6">
        <v>1524</v>
      </c>
      <c r="CY135" s="6"/>
      <c r="CZ135" s="6">
        <f t="shared" si="66"/>
        <v>390</v>
      </c>
      <c r="DA135" s="6">
        <v>324</v>
      </c>
      <c r="DB135" s="6">
        <v>1558</v>
      </c>
      <c r="DC135" s="6">
        <f t="shared" si="67"/>
        <v>358</v>
      </c>
      <c r="DD135" s="6">
        <v>0</v>
      </c>
      <c r="DE135" s="6">
        <v>560</v>
      </c>
      <c r="DF135" s="6">
        <f t="shared" si="68"/>
        <v>236</v>
      </c>
      <c r="DG135" s="6">
        <v>337</v>
      </c>
      <c r="DH135" s="6"/>
      <c r="DI135" s="6">
        <f t="shared" si="69"/>
        <v>337</v>
      </c>
      <c r="DJ135" s="6">
        <v>726</v>
      </c>
      <c r="DK135" s="6"/>
      <c r="DL135" s="6">
        <f t="shared" si="70"/>
        <v>389</v>
      </c>
      <c r="DM135" s="6">
        <v>1069</v>
      </c>
      <c r="DN135" s="6"/>
      <c r="DO135" s="6">
        <f t="shared" si="71"/>
        <v>343</v>
      </c>
    </row>
    <row r="136" spans="1:119">
      <c r="A136" s="6">
        <v>132</v>
      </c>
      <c r="B136" s="6">
        <v>484</v>
      </c>
      <c r="C136" s="6"/>
      <c r="D136" s="6">
        <v>210</v>
      </c>
      <c r="E136" s="33" t="s">
        <v>307</v>
      </c>
      <c r="F136" s="33" t="s">
        <v>307</v>
      </c>
      <c r="G136" s="33" t="s">
        <v>307</v>
      </c>
      <c r="H136" s="33" t="s">
        <v>307</v>
      </c>
      <c r="I136" s="33" t="s">
        <v>307</v>
      </c>
      <c r="J136" s="33" t="s">
        <v>307</v>
      </c>
      <c r="K136" s="33" t="s">
        <v>307</v>
      </c>
      <c r="L136" s="33" t="s">
        <v>307</v>
      </c>
      <c r="M136" s="33" t="s">
        <v>307</v>
      </c>
      <c r="N136" s="33" t="s">
        <v>307</v>
      </c>
      <c r="O136" s="33" t="s">
        <v>307</v>
      </c>
      <c r="P136" s="33" t="s">
        <v>307</v>
      </c>
      <c r="Q136" s="33" t="s">
        <v>307</v>
      </c>
      <c r="R136" s="33" t="s">
        <v>307</v>
      </c>
      <c r="S136" s="33" t="s">
        <v>307</v>
      </c>
      <c r="T136" s="33" t="s">
        <v>307</v>
      </c>
      <c r="U136" s="33" t="s">
        <v>307</v>
      </c>
      <c r="V136" s="33" t="s">
        <v>307</v>
      </c>
      <c r="W136" s="33" t="s">
        <v>307</v>
      </c>
      <c r="X136" s="33" t="s">
        <v>307</v>
      </c>
      <c r="Y136" s="148" t="s">
        <v>307</v>
      </c>
      <c r="Z136" s="33" t="s">
        <v>307</v>
      </c>
      <c r="AA136" s="33" t="s">
        <v>307</v>
      </c>
      <c r="AB136" s="33" t="s">
        <v>307</v>
      </c>
      <c r="AC136" s="33" t="s">
        <v>307</v>
      </c>
      <c r="AD136" s="35"/>
      <c r="AE136" s="35"/>
      <c r="AF136" s="35"/>
      <c r="AG136" s="35"/>
      <c r="AH136" s="35"/>
      <c r="AI136" s="35"/>
      <c r="AJ136" s="35"/>
      <c r="AK136" s="35"/>
      <c r="AL136" s="35"/>
      <c r="AM136" s="35">
        <v>907</v>
      </c>
      <c r="AN136" s="35"/>
      <c r="AO136" s="35">
        <f t="shared" si="48"/>
        <v>423</v>
      </c>
      <c r="AP136" s="6">
        <v>191</v>
      </c>
      <c r="AQ136" s="35">
        <v>1090</v>
      </c>
      <c r="AR136" s="34">
        <f t="shared" si="49"/>
        <v>374</v>
      </c>
      <c r="AS136" s="35">
        <v>575</v>
      </c>
      <c r="AT136" s="35"/>
      <c r="AU136" s="35">
        <f t="shared" si="50"/>
        <v>384</v>
      </c>
      <c r="AV136" s="6">
        <v>966</v>
      </c>
      <c r="AW136" s="6"/>
      <c r="AX136" s="35">
        <f t="shared" si="51"/>
        <v>391</v>
      </c>
      <c r="AY136" s="6">
        <v>1351</v>
      </c>
      <c r="AZ136" s="6"/>
      <c r="BA136" s="35">
        <f t="shared" si="52"/>
        <v>385</v>
      </c>
      <c r="BB136" s="6">
        <v>155</v>
      </c>
      <c r="BC136" s="6">
        <v>1560</v>
      </c>
      <c r="BD136" s="35">
        <f t="shared" si="53"/>
        <v>364</v>
      </c>
      <c r="BE136" s="6"/>
      <c r="BF136" s="6"/>
      <c r="BG136" s="35"/>
      <c r="BH136" s="6">
        <v>547</v>
      </c>
      <c r="BI136" s="6"/>
      <c r="BJ136" s="35">
        <f t="shared" si="54"/>
        <v>392</v>
      </c>
      <c r="BK136" s="6">
        <v>934</v>
      </c>
      <c r="BL136" s="35"/>
      <c r="BM136" s="6">
        <f t="shared" si="55"/>
        <v>387</v>
      </c>
      <c r="BN136" s="6">
        <v>1332</v>
      </c>
      <c r="BO136" s="6"/>
      <c r="BP136" s="6">
        <f t="shared" si="56"/>
        <v>398</v>
      </c>
      <c r="BQ136" s="6">
        <v>136</v>
      </c>
      <c r="BR136" s="6">
        <v>1560</v>
      </c>
      <c r="BS136" s="35">
        <f t="shared" si="57"/>
        <v>364</v>
      </c>
      <c r="BT136" s="6">
        <v>517</v>
      </c>
      <c r="BU136" s="6"/>
      <c r="BV136" s="6">
        <f t="shared" si="58"/>
        <v>381</v>
      </c>
      <c r="BW136" s="6">
        <v>880</v>
      </c>
      <c r="BX136" s="6"/>
      <c r="BY136" s="35">
        <f t="shared" si="59"/>
        <v>363</v>
      </c>
      <c r="BZ136" s="6"/>
      <c r="CA136" s="35"/>
      <c r="CB136" s="6"/>
      <c r="CC136" s="6">
        <v>1264</v>
      </c>
      <c r="CD136" s="6"/>
      <c r="CE136" s="6">
        <f t="shared" si="60"/>
        <v>384</v>
      </c>
      <c r="CF136" s="6">
        <v>354</v>
      </c>
      <c r="CG136" s="35">
        <v>1284</v>
      </c>
      <c r="CH136" s="6">
        <f t="shared" si="61"/>
        <v>374</v>
      </c>
      <c r="CI136" s="6">
        <v>329</v>
      </c>
      <c r="CJ136" s="6">
        <v>403</v>
      </c>
      <c r="CK136" s="6">
        <f t="shared" si="62"/>
        <v>378</v>
      </c>
      <c r="CL136" s="6">
        <v>710</v>
      </c>
      <c r="CM136" s="6"/>
      <c r="CN136" s="6">
        <f t="shared" si="63"/>
        <v>381</v>
      </c>
      <c r="CO136" s="6">
        <v>1089</v>
      </c>
      <c r="CP136" s="6"/>
      <c r="CQ136" s="6">
        <f t="shared" si="64"/>
        <v>379</v>
      </c>
      <c r="CR136" s="6">
        <v>1447</v>
      </c>
      <c r="CS136" s="6"/>
      <c r="CT136" s="6">
        <f t="shared" si="65"/>
        <v>358</v>
      </c>
      <c r="CU136" s="6"/>
      <c r="CV136" s="6"/>
      <c r="CW136" s="6"/>
      <c r="CX136" s="6">
        <v>1837</v>
      </c>
      <c r="CY136" s="6"/>
      <c r="CZ136" s="6">
        <f t="shared" si="66"/>
        <v>390</v>
      </c>
      <c r="DA136" s="6">
        <v>240</v>
      </c>
      <c r="DB136" s="6">
        <v>1962</v>
      </c>
      <c r="DC136" s="6">
        <f t="shared" si="67"/>
        <v>365</v>
      </c>
      <c r="DD136" s="6">
        <v>616</v>
      </c>
      <c r="DE136" s="6"/>
      <c r="DF136" s="6">
        <f t="shared" si="68"/>
        <v>376</v>
      </c>
      <c r="DG136" s="6">
        <v>1006</v>
      </c>
      <c r="DH136" s="6"/>
      <c r="DI136" s="6">
        <f t="shared" si="69"/>
        <v>390</v>
      </c>
      <c r="DJ136" s="6">
        <v>1399</v>
      </c>
      <c r="DK136" s="6"/>
      <c r="DL136" s="6">
        <f t="shared" si="70"/>
        <v>393</v>
      </c>
      <c r="DM136" s="6">
        <v>178</v>
      </c>
      <c r="DN136" s="6">
        <v>1560</v>
      </c>
      <c r="DO136" s="6">
        <f t="shared" si="71"/>
        <v>339</v>
      </c>
    </row>
    <row r="137" spans="1:119">
      <c r="A137" s="6">
        <v>133</v>
      </c>
      <c r="B137" s="6">
        <v>1330</v>
      </c>
      <c r="C137" s="6"/>
      <c r="D137" s="6">
        <v>203</v>
      </c>
      <c r="E137" s="33" t="s">
        <v>37</v>
      </c>
      <c r="F137" s="33" t="s">
        <v>37</v>
      </c>
      <c r="G137" s="33" t="s">
        <v>37</v>
      </c>
      <c r="H137" s="33" t="s">
        <v>37</v>
      </c>
      <c r="I137" s="33" t="s">
        <v>37</v>
      </c>
      <c r="J137" s="33" t="s">
        <v>37</v>
      </c>
      <c r="K137" s="33" t="s">
        <v>37</v>
      </c>
      <c r="L137" s="33" t="s">
        <v>37</v>
      </c>
      <c r="M137" s="33" t="s">
        <v>37</v>
      </c>
      <c r="N137" s="33" t="s">
        <v>37</v>
      </c>
      <c r="O137" s="33" t="s">
        <v>37</v>
      </c>
      <c r="P137" s="33" t="s">
        <v>37</v>
      </c>
      <c r="Q137" s="33" t="s">
        <v>37</v>
      </c>
      <c r="R137" s="33" t="s">
        <v>37</v>
      </c>
      <c r="S137" s="148" t="s">
        <v>307</v>
      </c>
      <c r="T137" s="33" t="s">
        <v>307</v>
      </c>
      <c r="U137" s="33" t="s">
        <v>307</v>
      </c>
      <c r="V137" s="33" t="s">
        <v>307</v>
      </c>
      <c r="W137" s="33" t="s">
        <v>307</v>
      </c>
      <c r="X137" s="33" t="s">
        <v>307</v>
      </c>
      <c r="Y137" s="33" t="s">
        <v>307</v>
      </c>
      <c r="Z137" s="33" t="s">
        <v>307</v>
      </c>
      <c r="AA137" s="33" t="s">
        <v>307</v>
      </c>
      <c r="AB137" s="33" t="s">
        <v>307</v>
      </c>
      <c r="AC137" s="33" t="s">
        <v>307</v>
      </c>
      <c r="AD137" s="6"/>
      <c r="AE137" s="6"/>
      <c r="AF137" s="35"/>
      <c r="AG137" s="6"/>
      <c r="AH137" s="6"/>
      <c r="AI137" s="35"/>
      <c r="AJ137" s="35"/>
      <c r="AK137" s="35"/>
      <c r="AL137" s="35"/>
      <c r="AM137" s="6">
        <v>179</v>
      </c>
      <c r="AN137" s="6">
        <v>1560</v>
      </c>
      <c r="AO137" s="35">
        <f t="shared" si="48"/>
        <v>409</v>
      </c>
      <c r="AP137" s="6">
        <v>546</v>
      </c>
      <c r="AQ137" s="6"/>
      <c r="AR137" s="34">
        <f t="shared" si="49"/>
        <v>367</v>
      </c>
      <c r="AS137" s="35">
        <v>927</v>
      </c>
      <c r="AT137" s="35"/>
      <c r="AU137" s="35">
        <f t="shared" si="50"/>
        <v>381</v>
      </c>
      <c r="AV137" s="6">
        <v>1309</v>
      </c>
      <c r="AW137" s="6"/>
      <c r="AX137" s="35">
        <f t="shared" si="51"/>
        <v>382</v>
      </c>
      <c r="AY137" s="6">
        <v>133</v>
      </c>
      <c r="AZ137" s="6">
        <v>1560</v>
      </c>
      <c r="BA137" s="35">
        <f t="shared" si="52"/>
        <v>384</v>
      </c>
      <c r="BB137" s="6">
        <v>503</v>
      </c>
      <c r="BC137" s="6"/>
      <c r="BD137" s="35">
        <f t="shared" si="53"/>
        <v>370</v>
      </c>
      <c r="BE137" s="6"/>
      <c r="BF137" s="6"/>
      <c r="BG137" s="35"/>
      <c r="BH137" s="6">
        <v>876</v>
      </c>
      <c r="BI137" s="6"/>
      <c r="BJ137" s="35">
        <f t="shared" si="54"/>
        <v>373</v>
      </c>
      <c r="BK137" s="6">
        <v>1253</v>
      </c>
      <c r="BL137" s="35"/>
      <c r="BM137" s="6">
        <f t="shared" si="55"/>
        <v>377</v>
      </c>
      <c r="BN137" s="6">
        <v>68</v>
      </c>
      <c r="BO137" s="6">
        <v>1560</v>
      </c>
      <c r="BP137" s="6">
        <f t="shared" si="56"/>
        <v>375</v>
      </c>
      <c r="BQ137" s="6">
        <v>451</v>
      </c>
      <c r="BR137" s="6"/>
      <c r="BS137" s="35">
        <f t="shared" si="57"/>
        <v>383</v>
      </c>
      <c r="BT137" s="6">
        <v>831</v>
      </c>
      <c r="BU137" s="6"/>
      <c r="BV137" s="6">
        <f t="shared" si="58"/>
        <v>380</v>
      </c>
      <c r="BW137" s="6">
        <v>1190</v>
      </c>
      <c r="BX137" s="6"/>
      <c r="BY137" s="35">
        <f t="shared" si="59"/>
        <v>359</v>
      </c>
      <c r="BZ137" s="6"/>
      <c r="CA137" s="35"/>
      <c r="CB137" s="6"/>
      <c r="CC137" s="6">
        <v>1575</v>
      </c>
      <c r="CD137" s="6"/>
      <c r="CE137" s="6">
        <f t="shared" si="60"/>
        <v>385</v>
      </c>
      <c r="CF137" s="7">
        <v>322</v>
      </c>
      <c r="CG137" s="35">
        <v>1613</v>
      </c>
      <c r="CH137" s="6">
        <f t="shared" si="61"/>
        <v>360</v>
      </c>
      <c r="CI137" s="6">
        <v>699</v>
      </c>
      <c r="CJ137" s="6"/>
      <c r="CK137" s="6">
        <f t="shared" si="62"/>
        <v>377</v>
      </c>
      <c r="CL137" s="6">
        <v>1082</v>
      </c>
      <c r="CM137" s="6"/>
      <c r="CN137" s="6">
        <f t="shared" si="63"/>
        <v>383</v>
      </c>
      <c r="CO137" s="6">
        <v>1456</v>
      </c>
      <c r="CP137" s="6"/>
      <c r="CQ137" s="6">
        <f t="shared" si="64"/>
        <v>374</v>
      </c>
      <c r="CR137" s="35">
        <v>236</v>
      </c>
      <c r="CS137" s="6">
        <v>1560</v>
      </c>
      <c r="CT137" s="6">
        <f t="shared" si="65"/>
        <v>340</v>
      </c>
      <c r="CU137" s="6"/>
      <c r="CV137" s="6"/>
      <c r="CW137" s="6"/>
      <c r="CX137" s="6">
        <v>605</v>
      </c>
      <c r="CY137" s="6"/>
      <c r="CZ137" s="6">
        <f t="shared" si="66"/>
        <v>369</v>
      </c>
      <c r="DA137" s="6">
        <v>993</v>
      </c>
      <c r="DB137" s="6"/>
      <c r="DC137" s="6">
        <f t="shared" si="67"/>
        <v>388</v>
      </c>
      <c r="DD137" s="6">
        <v>1379</v>
      </c>
      <c r="DE137" s="6"/>
      <c r="DF137" s="6">
        <f t="shared" si="68"/>
        <v>386</v>
      </c>
      <c r="DG137" s="6">
        <v>211</v>
      </c>
      <c r="DH137" s="6">
        <v>1560</v>
      </c>
      <c r="DI137" s="6">
        <f t="shared" si="69"/>
        <v>392</v>
      </c>
      <c r="DJ137" s="6">
        <v>604</v>
      </c>
      <c r="DK137" s="6"/>
      <c r="DL137" s="6">
        <f t="shared" si="70"/>
        <v>393</v>
      </c>
      <c r="DM137" s="6">
        <v>948</v>
      </c>
      <c r="DN137" s="6"/>
      <c r="DO137" s="6">
        <f t="shared" si="71"/>
        <v>344</v>
      </c>
    </row>
    <row r="138" spans="1:119" ht="15.75" customHeight="1">
      <c r="A138" s="6">
        <v>134</v>
      </c>
      <c r="B138" s="6">
        <v>68</v>
      </c>
      <c r="C138" s="6"/>
      <c r="D138" s="6">
        <v>0</v>
      </c>
      <c r="E138" s="33" t="s">
        <v>199</v>
      </c>
      <c r="F138" s="33" t="s">
        <v>199</v>
      </c>
      <c r="G138" s="33" t="s">
        <v>199</v>
      </c>
      <c r="H138" s="33" t="s">
        <v>199</v>
      </c>
      <c r="I138" s="33" t="s">
        <v>199</v>
      </c>
      <c r="J138" s="33" t="s">
        <v>199</v>
      </c>
      <c r="K138" s="33" t="s">
        <v>199</v>
      </c>
      <c r="L138" s="33" t="s">
        <v>199</v>
      </c>
      <c r="M138" s="33" t="s">
        <v>199</v>
      </c>
      <c r="N138" s="33" t="s">
        <v>199</v>
      </c>
      <c r="O138" s="33" t="s">
        <v>199</v>
      </c>
      <c r="P138" s="33" t="s">
        <v>199</v>
      </c>
      <c r="Q138" s="148" t="s">
        <v>37</v>
      </c>
      <c r="R138" s="33" t="s">
        <v>37</v>
      </c>
      <c r="S138" s="33" t="s">
        <v>37</v>
      </c>
      <c r="T138" s="33" t="s">
        <v>37</v>
      </c>
      <c r="U138" s="33" t="s">
        <v>37</v>
      </c>
      <c r="V138" s="33" t="s">
        <v>37</v>
      </c>
      <c r="W138" s="33" t="s">
        <v>37</v>
      </c>
      <c r="X138" s="33" t="s">
        <v>37</v>
      </c>
      <c r="Y138" s="33" t="s">
        <v>37</v>
      </c>
      <c r="Z138" s="33" t="s">
        <v>37</v>
      </c>
      <c r="AA138" s="33" t="s">
        <v>37</v>
      </c>
      <c r="AB138" s="33" t="s">
        <v>37</v>
      </c>
      <c r="AC138" s="33" t="s">
        <v>37</v>
      </c>
      <c r="AD138" s="6"/>
      <c r="AE138" s="6"/>
      <c r="AF138" s="35"/>
      <c r="AG138" s="6"/>
      <c r="AH138" s="6"/>
      <c r="AI138" s="35"/>
      <c r="AJ138" s="35"/>
      <c r="AK138" s="35"/>
      <c r="AL138" s="35"/>
      <c r="AM138" s="6">
        <v>68</v>
      </c>
      <c r="AN138" s="6"/>
      <c r="AO138" s="35">
        <f t="shared" si="48"/>
        <v>0</v>
      </c>
      <c r="AP138" s="6">
        <v>68</v>
      </c>
      <c r="AQ138" s="6"/>
      <c r="AR138" s="34">
        <f t="shared" si="49"/>
        <v>0</v>
      </c>
      <c r="AS138" s="35">
        <v>68</v>
      </c>
      <c r="AT138" s="35"/>
      <c r="AU138" s="35">
        <f t="shared" si="50"/>
        <v>0</v>
      </c>
      <c r="AV138" s="6">
        <v>68</v>
      </c>
      <c r="AW138" s="6"/>
      <c r="AX138" s="35">
        <f t="shared" si="51"/>
        <v>0</v>
      </c>
      <c r="AY138" s="6">
        <v>68</v>
      </c>
      <c r="AZ138" s="6"/>
      <c r="BA138" s="35">
        <f t="shared" si="52"/>
        <v>0</v>
      </c>
      <c r="BB138" s="35">
        <v>68</v>
      </c>
      <c r="BC138" s="35"/>
      <c r="BD138" s="35">
        <f t="shared" si="53"/>
        <v>0</v>
      </c>
      <c r="BE138" s="6"/>
      <c r="BF138" s="6"/>
      <c r="BG138" s="35"/>
      <c r="BH138" s="6">
        <v>68</v>
      </c>
      <c r="BI138" s="6"/>
      <c r="BJ138" s="35">
        <f t="shared" si="54"/>
        <v>0</v>
      </c>
      <c r="BK138" s="6">
        <v>68</v>
      </c>
      <c r="BL138" s="6"/>
      <c r="BM138" s="6">
        <f t="shared" si="55"/>
        <v>0</v>
      </c>
      <c r="BN138" s="6">
        <v>68</v>
      </c>
      <c r="BO138" s="6"/>
      <c r="BP138" s="6">
        <f t="shared" si="56"/>
        <v>0</v>
      </c>
      <c r="BQ138" s="6">
        <v>68</v>
      </c>
      <c r="BR138" s="6"/>
      <c r="BS138" s="35">
        <f t="shared" si="57"/>
        <v>0</v>
      </c>
      <c r="BT138" s="6">
        <v>68</v>
      </c>
      <c r="BU138" s="6"/>
      <c r="BV138" s="6">
        <f t="shared" si="58"/>
        <v>0</v>
      </c>
      <c r="BW138" s="6">
        <v>223</v>
      </c>
      <c r="BX138" s="6">
        <v>68</v>
      </c>
      <c r="BY138" s="35">
        <f t="shared" si="59"/>
        <v>223</v>
      </c>
      <c r="BZ138" s="6"/>
      <c r="CA138" s="6"/>
      <c r="CB138" s="6"/>
      <c r="CC138" s="6">
        <v>603</v>
      </c>
      <c r="CD138" s="6"/>
      <c r="CE138" s="6">
        <f t="shared" si="60"/>
        <v>380</v>
      </c>
      <c r="CF138" s="7">
        <v>977</v>
      </c>
      <c r="CG138" s="6"/>
      <c r="CH138" s="6">
        <f t="shared" si="61"/>
        <v>374</v>
      </c>
      <c r="CI138" s="6">
        <v>1352</v>
      </c>
      <c r="CJ138" s="6"/>
      <c r="CK138" s="6">
        <f t="shared" si="62"/>
        <v>375</v>
      </c>
      <c r="CL138" s="6">
        <v>156</v>
      </c>
      <c r="CM138" s="6">
        <v>1560</v>
      </c>
      <c r="CN138" s="6">
        <f t="shared" si="63"/>
        <v>364</v>
      </c>
      <c r="CO138" s="6">
        <v>530</v>
      </c>
      <c r="CP138" s="6"/>
      <c r="CQ138" s="6">
        <f t="shared" si="64"/>
        <v>374</v>
      </c>
      <c r="CR138" s="6">
        <v>892</v>
      </c>
      <c r="CS138" s="6"/>
      <c r="CT138" s="6">
        <f t="shared" si="65"/>
        <v>362</v>
      </c>
      <c r="CU138" s="6"/>
      <c r="CV138" s="6"/>
      <c r="CW138" s="6"/>
      <c r="CX138" s="6">
        <v>1265</v>
      </c>
      <c r="CY138" s="6"/>
      <c r="CZ138" s="6">
        <f t="shared" si="66"/>
        <v>373</v>
      </c>
      <c r="DA138" s="6">
        <v>62</v>
      </c>
      <c r="DB138" s="6">
        <v>1560</v>
      </c>
      <c r="DC138" s="6">
        <f t="shared" si="67"/>
        <v>357</v>
      </c>
      <c r="DD138" s="6">
        <v>439</v>
      </c>
      <c r="DE138" s="6"/>
      <c r="DF138" s="6">
        <f t="shared" si="68"/>
        <v>377</v>
      </c>
      <c r="DG138" s="6">
        <v>813</v>
      </c>
      <c r="DH138" s="6"/>
      <c r="DI138" s="6">
        <f t="shared" si="69"/>
        <v>374</v>
      </c>
      <c r="DJ138" s="6">
        <v>1188</v>
      </c>
      <c r="DK138" s="6"/>
      <c r="DL138" s="6">
        <f t="shared" si="70"/>
        <v>375</v>
      </c>
      <c r="DM138" s="6">
        <v>1528</v>
      </c>
      <c r="DN138" s="6"/>
      <c r="DO138" s="6">
        <f t="shared" si="71"/>
        <v>340</v>
      </c>
    </row>
    <row r="139" spans="1:119">
      <c r="A139" s="6">
        <v>135</v>
      </c>
      <c r="B139" s="6">
        <v>936</v>
      </c>
      <c r="C139" s="6"/>
      <c r="D139" s="6">
        <v>206</v>
      </c>
      <c r="E139" s="33" t="s">
        <v>307</v>
      </c>
      <c r="F139" s="33" t="s">
        <v>307</v>
      </c>
      <c r="G139" s="33" t="s">
        <v>307</v>
      </c>
      <c r="H139" s="33" t="s">
        <v>307</v>
      </c>
      <c r="I139" s="33" t="s">
        <v>307</v>
      </c>
      <c r="J139" s="33" t="s">
        <v>307</v>
      </c>
      <c r="K139" s="33" t="s">
        <v>307</v>
      </c>
      <c r="L139" s="33" t="s">
        <v>307</v>
      </c>
      <c r="M139" s="33" t="s">
        <v>307</v>
      </c>
      <c r="N139" s="33" t="s">
        <v>307</v>
      </c>
      <c r="O139" s="33" t="s">
        <v>307</v>
      </c>
      <c r="P139" s="33" t="s">
        <v>307</v>
      </c>
      <c r="Q139" s="33" t="s">
        <v>307</v>
      </c>
      <c r="R139" s="33" t="s">
        <v>307</v>
      </c>
      <c r="S139" s="33" t="s">
        <v>307</v>
      </c>
      <c r="T139" s="148" t="s">
        <v>307</v>
      </c>
      <c r="U139" s="33" t="s">
        <v>307</v>
      </c>
      <c r="V139" s="33" t="s">
        <v>307</v>
      </c>
      <c r="W139" s="33" t="s">
        <v>307</v>
      </c>
      <c r="X139" s="33" t="s">
        <v>307</v>
      </c>
      <c r="Y139" s="33" t="s">
        <v>307</v>
      </c>
      <c r="Z139" s="33" t="s">
        <v>307</v>
      </c>
      <c r="AA139" s="33" t="s">
        <v>307</v>
      </c>
      <c r="AB139" s="33" t="s">
        <v>307</v>
      </c>
      <c r="AC139" s="33" t="s">
        <v>307</v>
      </c>
      <c r="AD139" s="35"/>
      <c r="AE139" s="35"/>
      <c r="AF139" s="35"/>
      <c r="AG139" s="35"/>
      <c r="AH139" s="35"/>
      <c r="AI139" s="35"/>
      <c r="AJ139" s="35"/>
      <c r="AK139" s="35"/>
      <c r="AL139" s="35"/>
      <c r="AM139" s="35">
        <v>1348</v>
      </c>
      <c r="AN139" s="35"/>
      <c r="AO139" s="35">
        <f t="shared" si="48"/>
        <v>412</v>
      </c>
      <c r="AP139" s="35">
        <v>176</v>
      </c>
      <c r="AQ139" s="35">
        <v>1560</v>
      </c>
      <c r="AR139" s="34">
        <f t="shared" si="49"/>
        <v>388</v>
      </c>
      <c r="AS139" s="35">
        <v>565</v>
      </c>
      <c r="AT139" s="35"/>
      <c r="AU139" s="35">
        <f t="shared" si="50"/>
        <v>389</v>
      </c>
      <c r="AV139" s="6">
        <v>947</v>
      </c>
      <c r="AW139" s="6"/>
      <c r="AX139" s="35">
        <f t="shared" si="51"/>
        <v>382</v>
      </c>
      <c r="AY139" s="6">
        <v>1326</v>
      </c>
      <c r="AZ139" s="6"/>
      <c r="BA139" s="35">
        <f t="shared" si="52"/>
        <v>379</v>
      </c>
      <c r="BB139" s="6">
        <v>147</v>
      </c>
      <c r="BC139" s="6">
        <v>1560</v>
      </c>
      <c r="BD139" s="35">
        <f t="shared" si="53"/>
        <v>381</v>
      </c>
      <c r="BE139" s="6"/>
      <c r="BF139" s="6"/>
      <c r="BG139" s="35"/>
      <c r="BH139" s="6">
        <v>538</v>
      </c>
      <c r="BI139" s="6"/>
      <c r="BJ139" s="35">
        <f t="shared" si="54"/>
        <v>391</v>
      </c>
      <c r="BK139" s="35">
        <v>922</v>
      </c>
      <c r="BL139" s="35"/>
      <c r="BM139" s="6">
        <f t="shared" si="55"/>
        <v>384</v>
      </c>
      <c r="BN139" s="6">
        <v>377</v>
      </c>
      <c r="BO139" s="6">
        <v>924</v>
      </c>
      <c r="BP139" s="6">
        <f t="shared" si="56"/>
        <v>379</v>
      </c>
      <c r="BQ139" s="6">
        <v>763</v>
      </c>
      <c r="BR139" s="6"/>
      <c r="BS139" s="35">
        <f t="shared" si="57"/>
        <v>386</v>
      </c>
      <c r="BT139" s="6">
        <v>1146</v>
      </c>
      <c r="BU139" s="6"/>
      <c r="BV139" s="6">
        <f t="shared" si="58"/>
        <v>383</v>
      </c>
      <c r="BW139" s="6">
        <v>2</v>
      </c>
      <c r="BX139" s="6">
        <v>1512</v>
      </c>
      <c r="BY139" s="35">
        <f t="shared" si="59"/>
        <v>368</v>
      </c>
      <c r="BZ139" s="6"/>
      <c r="CA139" s="35"/>
      <c r="CB139" s="6"/>
      <c r="CC139" s="6">
        <v>379</v>
      </c>
      <c r="CD139" s="6"/>
      <c r="CE139" s="6">
        <f t="shared" si="60"/>
        <v>377</v>
      </c>
      <c r="CF139" s="7">
        <v>754</v>
      </c>
      <c r="CG139" s="35"/>
      <c r="CH139" s="6">
        <f t="shared" si="61"/>
        <v>375</v>
      </c>
      <c r="CI139" s="6">
        <v>364</v>
      </c>
      <c r="CJ139" s="6">
        <v>760</v>
      </c>
      <c r="CK139" s="6">
        <f t="shared" si="62"/>
        <v>370</v>
      </c>
      <c r="CL139" s="6">
        <v>760</v>
      </c>
      <c r="CM139" s="6"/>
      <c r="CN139" s="6">
        <f t="shared" si="63"/>
        <v>396</v>
      </c>
      <c r="CO139" s="6">
        <v>1154</v>
      </c>
      <c r="CP139" s="6"/>
      <c r="CQ139" s="6">
        <f t="shared" si="64"/>
        <v>394</v>
      </c>
      <c r="CR139" s="6">
        <v>1537</v>
      </c>
      <c r="CS139" s="6"/>
      <c r="CT139" s="6">
        <f t="shared" si="65"/>
        <v>383</v>
      </c>
      <c r="CU139" s="6"/>
      <c r="CV139" s="6"/>
      <c r="CW139" s="6"/>
      <c r="CX139" s="6">
        <v>371</v>
      </c>
      <c r="CY139" s="6">
        <v>1560</v>
      </c>
      <c r="CZ139" s="6">
        <f t="shared" si="66"/>
        <v>394</v>
      </c>
      <c r="DA139" s="6">
        <v>757</v>
      </c>
      <c r="DB139" s="6"/>
      <c r="DC139" s="6">
        <f t="shared" si="67"/>
        <v>386</v>
      </c>
      <c r="DD139" s="6">
        <v>1145</v>
      </c>
      <c r="DE139" s="6"/>
      <c r="DF139" s="6">
        <f t="shared" si="68"/>
        <v>388</v>
      </c>
      <c r="DG139" s="6">
        <v>1534</v>
      </c>
      <c r="DH139" s="6"/>
      <c r="DI139" s="6">
        <f t="shared" si="69"/>
        <v>389</v>
      </c>
      <c r="DJ139" s="6">
        <v>369</v>
      </c>
      <c r="DK139" s="6">
        <v>1560</v>
      </c>
      <c r="DL139" s="6">
        <f t="shared" si="70"/>
        <v>395</v>
      </c>
      <c r="DM139" s="6">
        <v>712</v>
      </c>
      <c r="DN139" s="6"/>
      <c r="DO139" s="6">
        <f t="shared" si="71"/>
        <v>343</v>
      </c>
    </row>
    <row r="140" spans="1:119">
      <c r="A140" s="6">
        <v>136</v>
      </c>
      <c r="B140" s="6">
        <v>1160</v>
      </c>
      <c r="C140" s="6"/>
      <c r="D140" s="6">
        <v>192</v>
      </c>
      <c r="E140" s="33" t="s">
        <v>307</v>
      </c>
      <c r="F140" s="33" t="s">
        <v>307</v>
      </c>
      <c r="G140" s="33" t="s">
        <v>307</v>
      </c>
      <c r="H140" s="33" t="s">
        <v>307</v>
      </c>
      <c r="I140" s="33" t="s">
        <v>307</v>
      </c>
      <c r="J140" s="33" t="s">
        <v>307</v>
      </c>
      <c r="K140" s="33" t="s">
        <v>307</v>
      </c>
      <c r="L140" s="33" t="s">
        <v>307</v>
      </c>
      <c r="M140" s="33" t="s">
        <v>307</v>
      </c>
      <c r="N140" s="33" t="s">
        <v>307</v>
      </c>
      <c r="O140" s="33" t="s">
        <v>307</v>
      </c>
      <c r="P140" s="33" t="s">
        <v>307</v>
      </c>
      <c r="Q140" s="33" t="s">
        <v>307</v>
      </c>
      <c r="R140" s="148" t="s">
        <v>37</v>
      </c>
      <c r="S140" s="33" t="s">
        <v>37</v>
      </c>
      <c r="T140" s="33" t="s">
        <v>37</v>
      </c>
      <c r="U140" s="33" t="s">
        <v>37</v>
      </c>
      <c r="V140" s="33" t="s">
        <v>37</v>
      </c>
      <c r="W140" s="33" t="s">
        <v>37</v>
      </c>
      <c r="X140" s="33" t="s">
        <v>37</v>
      </c>
      <c r="Y140" s="33" t="s">
        <v>37</v>
      </c>
      <c r="Z140" s="33" t="s">
        <v>37</v>
      </c>
      <c r="AA140" s="33" t="s">
        <v>37</v>
      </c>
      <c r="AB140" s="33" t="s">
        <v>37</v>
      </c>
      <c r="AC140" s="33" t="s">
        <v>37</v>
      </c>
      <c r="AD140" s="6"/>
      <c r="AE140" s="6"/>
      <c r="AF140" s="35"/>
      <c r="AG140" s="6"/>
      <c r="AH140" s="6"/>
      <c r="AI140" s="35"/>
      <c r="AJ140" s="35"/>
      <c r="AK140" s="35"/>
      <c r="AL140" s="35"/>
      <c r="AM140" s="6">
        <v>388</v>
      </c>
      <c r="AN140" s="6">
        <v>1186</v>
      </c>
      <c r="AO140" s="35">
        <f t="shared" si="48"/>
        <v>414</v>
      </c>
      <c r="AP140" s="6">
        <v>776</v>
      </c>
      <c r="AQ140" s="6"/>
      <c r="AR140" s="34">
        <f t="shared" si="49"/>
        <v>388</v>
      </c>
      <c r="AS140" s="35">
        <v>1166</v>
      </c>
      <c r="AT140" s="35"/>
      <c r="AU140" s="35">
        <f t="shared" si="50"/>
        <v>390</v>
      </c>
      <c r="AV140" s="6">
        <v>353</v>
      </c>
      <c r="AW140" s="6">
        <v>1201</v>
      </c>
      <c r="AX140" s="35">
        <f t="shared" si="51"/>
        <v>388</v>
      </c>
      <c r="AY140" s="6">
        <v>750</v>
      </c>
      <c r="AZ140" s="6"/>
      <c r="BA140" s="35">
        <f t="shared" si="52"/>
        <v>397</v>
      </c>
      <c r="BB140" s="35">
        <v>1130</v>
      </c>
      <c r="BC140" s="35"/>
      <c r="BD140" s="35">
        <f t="shared" si="53"/>
        <v>380</v>
      </c>
      <c r="BE140" s="6"/>
      <c r="BF140" s="35"/>
      <c r="BG140" s="35"/>
      <c r="BH140" s="6">
        <v>1526</v>
      </c>
      <c r="BI140" s="6"/>
      <c r="BJ140" s="35">
        <f t="shared" si="54"/>
        <v>396</v>
      </c>
      <c r="BK140" s="35">
        <v>356</v>
      </c>
      <c r="BL140" s="6">
        <v>1560</v>
      </c>
      <c r="BM140" s="6">
        <f t="shared" si="55"/>
        <v>390</v>
      </c>
      <c r="BN140" s="6">
        <v>756</v>
      </c>
      <c r="BO140" s="6"/>
      <c r="BP140" s="6">
        <f t="shared" si="56"/>
        <v>400</v>
      </c>
      <c r="BQ140" s="6">
        <v>1152</v>
      </c>
      <c r="BR140" s="6"/>
      <c r="BS140" s="35">
        <f t="shared" si="57"/>
        <v>396</v>
      </c>
      <c r="BT140" s="6">
        <v>1552</v>
      </c>
      <c r="BU140" s="6"/>
      <c r="BV140" s="6">
        <f t="shared" si="58"/>
        <v>400</v>
      </c>
      <c r="BW140" s="6">
        <v>1930</v>
      </c>
      <c r="BX140" s="6"/>
      <c r="BY140" s="35">
        <f t="shared" si="59"/>
        <v>378</v>
      </c>
      <c r="BZ140" s="35"/>
      <c r="CA140" s="6"/>
      <c r="CB140" s="6"/>
      <c r="CC140" s="6">
        <v>309</v>
      </c>
      <c r="CD140" s="6">
        <v>2009</v>
      </c>
      <c r="CE140" s="6">
        <f t="shared" si="60"/>
        <v>388</v>
      </c>
      <c r="CF140" s="7">
        <v>701</v>
      </c>
      <c r="CG140" s="6"/>
      <c r="CH140" s="6">
        <f t="shared" si="61"/>
        <v>392</v>
      </c>
      <c r="CI140" s="6">
        <v>1099</v>
      </c>
      <c r="CJ140" s="6"/>
      <c r="CK140" s="6">
        <f t="shared" si="62"/>
        <v>398</v>
      </c>
      <c r="CL140" s="6">
        <v>1496</v>
      </c>
      <c r="CM140" s="6"/>
      <c r="CN140" s="6">
        <f t="shared" si="63"/>
        <v>397</v>
      </c>
      <c r="CO140" s="6">
        <v>315</v>
      </c>
      <c r="CP140" s="6">
        <v>1560</v>
      </c>
      <c r="CQ140" s="6">
        <f t="shared" si="64"/>
        <v>379</v>
      </c>
      <c r="CR140" s="6">
        <v>676</v>
      </c>
      <c r="CS140" s="6"/>
      <c r="CT140" s="6">
        <f t="shared" si="65"/>
        <v>361</v>
      </c>
      <c r="CU140" s="6"/>
      <c r="CV140" s="6"/>
      <c r="CW140" s="6"/>
      <c r="CX140" s="6">
        <v>1067</v>
      </c>
      <c r="CY140" s="6"/>
      <c r="CZ140" s="6">
        <f t="shared" si="66"/>
        <v>391</v>
      </c>
      <c r="DA140" s="6">
        <v>38</v>
      </c>
      <c r="DB140" s="35">
        <v>1409</v>
      </c>
      <c r="DC140" s="6">
        <f t="shared" si="67"/>
        <v>380</v>
      </c>
      <c r="DD140" s="6">
        <v>422</v>
      </c>
      <c r="DE140" s="6"/>
      <c r="DF140" s="6">
        <f t="shared" si="68"/>
        <v>384</v>
      </c>
      <c r="DG140" s="6">
        <v>808</v>
      </c>
      <c r="DH140" s="6"/>
      <c r="DI140" s="6">
        <f t="shared" si="69"/>
        <v>386</v>
      </c>
      <c r="DJ140" s="6">
        <v>1194</v>
      </c>
      <c r="DK140" s="6"/>
      <c r="DL140" s="6">
        <f t="shared" si="70"/>
        <v>386</v>
      </c>
      <c r="DM140" s="6">
        <v>1544</v>
      </c>
      <c r="DN140" s="6"/>
      <c r="DO140" s="6">
        <f t="shared" si="71"/>
        <v>350</v>
      </c>
    </row>
    <row r="141" spans="1:119">
      <c r="A141" s="6">
        <v>137</v>
      </c>
      <c r="B141" s="6">
        <v>1159</v>
      </c>
      <c r="C141" s="6"/>
      <c r="D141" s="6">
        <v>209</v>
      </c>
      <c r="E141" s="33" t="s">
        <v>128</v>
      </c>
      <c r="F141" s="33" t="s">
        <v>128</v>
      </c>
      <c r="G141" s="148" t="s">
        <v>37</v>
      </c>
      <c r="H141" s="33" t="s">
        <v>37</v>
      </c>
      <c r="I141" s="33" t="s">
        <v>37</v>
      </c>
      <c r="J141" s="33" t="s">
        <v>37</v>
      </c>
      <c r="K141" s="33" t="s">
        <v>37</v>
      </c>
      <c r="L141" s="33" t="s">
        <v>37</v>
      </c>
      <c r="M141" s="33" t="s">
        <v>37</v>
      </c>
      <c r="N141" s="33" t="s">
        <v>37</v>
      </c>
      <c r="O141" s="33" t="s">
        <v>37</v>
      </c>
      <c r="P141" s="33" t="s">
        <v>37</v>
      </c>
      <c r="Q141" s="33" t="s">
        <v>37</v>
      </c>
      <c r="R141" s="33" t="s">
        <v>37</v>
      </c>
      <c r="S141" s="33" t="s">
        <v>37</v>
      </c>
      <c r="T141" s="33" t="s">
        <v>37</v>
      </c>
      <c r="U141" s="33" t="s">
        <v>37</v>
      </c>
      <c r="V141" s="33" t="s">
        <v>37</v>
      </c>
      <c r="W141" s="33" t="s">
        <v>37</v>
      </c>
      <c r="X141" s="33" t="s">
        <v>37</v>
      </c>
      <c r="Y141" s="33" t="s">
        <v>37</v>
      </c>
      <c r="Z141" s="33" t="s">
        <v>37</v>
      </c>
      <c r="AA141" s="33" t="s">
        <v>37</v>
      </c>
      <c r="AB141" s="148" t="s">
        <v>37</v>
      </c>
      <c r="AC141" s="33" t="s">
        <v>37</v>
      </c>
      <c r="AD141" s="6"/>
      <c r="AE141" s="6"/>
      <c r="AF141" s="35"/>
      <c r="AG141" s="6"/>
      <c r="AH141" s="6"/>
      <c r="AI141" s="35"/>
      <c r="AJ141" s="35"/>
      <c r="AK141" s="35"/>
      <c r="AL141" s="35"/>
      <c r="AM141" s="6">
        <v>1580</v>
      </c>
      <c r="AN141" s="35"/>
      <c r="AO141" s="35">
        <f t="shared" si="48"/>
        <v>421</v>
      </c>
      <c r="AP141" s="6">
        <v>324</v>
      </c>
      <c r="AQ141" s="6">
        <v>1602</v>
      </c>
      <c r="AR141" s="34">
        <f t="shared" si="49"/>
        <v>346</v>
      </c>
      <c r="AS141" s="35">
        <v>711</v>
      </c>
      <c r="AT141" s="35"/>
      <c r="AU141" s="35">
        <f t="shared" si="50"/>
        <v>387</v>
      </c>
      <c r="AV141" s="6">
        <v>1104</v>
      </c>
      <c r="AW141" s="6"/>
      <c r="AX141" s="35">
        <f t="shared" si="51"/>
        <v>393</v>
      </c>
      <c r="AY141" s="6">
        <v>1488</v>
      </c>
      <c r="AZ141" s="6"/>
      <c r="BA141" s="35">
        <f t="shared" si="52"/>
        <v>384</v>
      </c>
      <c r="BB141" s="35">
        <v>290</v>
      </c>
      <c r="BC141" s="35">
        <v>1560</v>
      </c>
      <c r="BD141" s="35">
        <f t="shared" si="53"/>
        <v>362</v>
      </c>
      <c r="BE141" s="6"/>
      <c r="BF141" s="35"/>
      <c r="BG141" s="35"/>
      <c r="BH141" s="6">
        <v>669</v>
      </c>
      <c r="BI141" s="6"/>
      <c r="BJ141" s="35">
        <f t="shared" si="54"/>
        <v>379</v>
      </c>
      <c r="BK141" s="6">
        <v>1047</v>
      </c>
      <c r="BL141" s="6"/>
      <c r="BM141" s="6">
        <f t="shared" si="55"/>
        <v>378</v>
      </c>
      <c r="BN141" s="6">
        <v>1428</v>
      </c>
      <c r="BO141" s="6"/>
      <c r="BP141" s="6">
        <f t="shared" si="56"/>
        <v>381</v>
      </c>
      <c r="BQ141" s="6">
        <v>250</v>
      </c>
      <c r="BR141" s="6">
        <v>1560</v>
      </c>
      <c r="BS141" s="35">
        <f t="shared" si="57"/>
        <v>382</v>
      </c>
      <c r="BT141" s="6">
        <v>625</v>
      </c>
      <c r="BU141" s="6"/>
      <c r="BV141" s="6">
        <f t="shared" si="58"/>
        <v>375</v>
      </c>
      <c r="BW141" s="6">
        <v>981</v>
      </c>
      <c r="BX141" s="6"/>
      <c r="BY141" s="35">
        <f t="shared" si="59"/>
        <v>356</v>
      </c>
      <c r="BZ141" s="6"/>
      <c r="CA141" s="6"/>
      <c r="CB141" s="6"/>
      <c r="CC141" s="6">
        <v>1360</v>
      </c>
      <c r="CD141" s="6"/>
      <c r="CE141" s="6">
        <f t="shared" si="60"/>
        <v>379</v>
      </c>
      <c r="CF141" s="7">
        <v>180</v>
      </c>
      <c r="CG141" s="6">
        <v>1560</v>
      </c>
      <c r="CH141" s="6">
        <f t="shared" si="61"/>
        <v>380</v>
      </c>
      <c r="CI141" s="6">
        <v>564</v>
      </c>
      <c r="CJ141" s="6"/>
      <c r="CK141" s="6">
        <f t="shared" si="62"/>
        <v>384</v>
      </c>
      <c r="CL141" s="6">
        <v>944</v>
      </c>
      <c r="CM141" s="6"/>
      <c r="CN141" s="6">
        <f t="shared" si="63"/>
        <v>380</v>
      </c>
      <c r="CO141" s="6">
        <v>1324</v>
      </c>
      <c r="CP141" s="6"/>
      <c r="CQ141" s="6">
        <f t="shared" si="64"/>
        <v>380</v>
      </c>
      <c r="CR141" s="6">
        <v>129</v>
      </c>
      <c r="CS141" s="6">
        <v>1560</v>
      </c>
      <c r="CT141" s="6">
        <f t="shared" si="65"/>
        <v>365</v>
      </c>
      <c r="CU141" s="6"/>
      <c r="CV141" s="6"/>
      <c r="CW141" s="6"/>
      <c r="CX141" s="6">
        <v>191</v>
      </c>
      <c r="CY141" s="6">
        <v>310</v>
      </c>
      <c r="CZ141" s="6">
        <f t="shared" si="66"/>
        <v>372</v>
      </c>
      <c r="DA141" s="6">
        <v>569</v>
      </c>
      <c r="DB141" s="6"/>
      <c r="DC141" s="6">
        <f t="shared" si="67"/>
        <v>378</v>
      </c>
      <c r="DD141" s="6">
        <v>942</v>
      </c>
      <c r="DE141" s="6"/>
      <c r="DF141" s="6">
        <f t="shared" si="68"/>
        <v>373</v>
      </c>
      <c r="DG141" s="6">
        <v>0</v>
      </c>
      <c r="DH141" s="6">
        <v>1256</v>
      </c>
      <c r="DI141" s="6">
        <f t="shared" si="69"/>
        <v>314</v>
      </c>
      <c r="DJ141" s="6">
        <v>358</v>
      </c>
      <c r="DK141" s="6"/>
      <c r="DL141" s="6">
        <f t="shared" si="70"/>
        <v>358</v>
      </c>
      <c r="DM141" s="6">
        <v>702</v>
      </c>
      <c r="DN141" s="6"/>
      <c r="DO141" s="6">
        <f t="shared" si="71"/>
        <v>344</v>
      </c>
    </row>
    <row r="142" spans="1:119">
      <c r="A142" s="6">
        <v>138</v>
      </c>
      <c r="B142" s="6">
        <v>800</v>
      </c>
      <c r="C142" s="6"/>
      <c r="D142" s="6">
        <v>206</v>
      </c>
      <c r="E142" s="33" t="s">
        <v>307</v>
      </c>
      <c r="F142" s="33" t="s">
        <v>307</v>
      </c>
      <c r="G142" s="33" t="s">
        <v>307</v>
      </c>
      <c r="H142" s="33" t="s">
        <v>307</v>
      </c>
      <c r="I142" s="33" t="s">
        <v>307</v>
      </c>
      <c r="J142" s="33" t="s">
        <v>307</v>
      </c>
      <c r="K142" s="33" t="s">
        <v>307</v>
      </c>
      <c r="L142" s="33" t="s">
        <v>307</v>
      </c>
      <c r="M142" s="33" t="s">
        <v>307</v>
      </c>
      <c r="N142" s="33" t="s">
        <v>307</v>
      </c>
      <c r="O142" s="33" t="s">
        <v>307</v>
      </c>
      <c r="P142" s="33" t="s">
        <v>307</v>
      </c>
      <c r="Q142" s="33" t="s">
        <v>307</v>
      </c>
      <c r="R142" s="33" t="s">
        <v>307</v>
      </c>
      <c r="S142" s="148" t="s">
        <v>37</v>
      </c>
      <c r="T142" s="33" t="s">
        <v>37</v>
      </c>
      <c r="U142" s="33" t="s">
        <v>37</v>
      </c>
      <c r="V142" s="33" t="s">
        <v>37</v>
      </c>
      <c r="W142" s="33" t="s">
        <v>37</v>
      </c>
      <c r="X142" s="33" t="s">
        <v>37</v>
      </c>
      <c r="Y142" s="33" t="s">
        <v>37</v>
      </c>
      <c r="Z142" s="33" t="s">
        <v>37</v>
      </c>
      <c r="AA142" s="33" t="s">
        <v>37</v>
      </c>
      <c r="AB142" s="33" t="s">
        <v>37</v>
      </c>
      <c r="AC142" s="33" t="s">
        <v>37</v>
      </c>
      <c r="AD142" s="6"/>
      <c r="AE142" s="6"/>
      <c r="AF142" s="35"/>
      <c r="AG142" s="6"/>
      <c r="AH142" s="6"/>
      <c r="AI142" s="35"/>
      <c r="AJ142" s="35"/>
      <c r="AK142" s="35"/>
      <c r="AL142" s="35"/>
      <c r="AM142" s="6">
        <v>1205</v>
      </c>
      <c r="AN142" s="6"/>
      <c r="AO142" s="35">
        <f t="shared" si="48"/>
        <v>405</v>
      </c>
      <c r="AP142" s="6">
        <v>28</v>
      </c>
      <c r="AQ142" s="6">
        <v>1560</v>
      </c>
      <c r="AR142" s="34">
        <f t="shared" si="49"/>
        <v>383</v>
      </c>
      <c r="AS142" s="35">
        <v>407</v>
      </c>
      <c r="AT142" s="35"/>
      <c r="AU142" s="35">
        <f t="shared" si="50"/>
        <v>379</v>
      </c>
      <c r="AV142" s="6">
        <v>798</v>
      </c>
      <c r="AW142" s="6"/>
      <c r="AX142" s="35">
        <f t="shared" si="51"/>
        <v>391</v>
      </c>
      <c r="AY142" s="6">
        <v>1192</v>
      </c>
      <c r="AZ142" s="6"/>
      <c r="BA142" s="35">
        <f t="shared" si="52"/>
        <v>394</v>
      </c>
      <c r="BB142" s="6">
        <v>3</v>
      </c>
      <c r="BC142" s="6">
        <v>1561</v>
      </c>
      <c r="BD142" s="35">
        <f t="shared" si="53"/>
        <v>372</v>
      </c>
      <c r="BE142" s="6"/>
      <c r="BF142" s="6"/>
      <c r="BG142" s="35"/>
      <c r="BH142" s="6">
        <v>401</v>
      </c>
      <c r="BI142" s="6"/>
      <c r="BJ142" s="35">
        <f t="shared" si="54"/>
        <v>398</v>
      </c>
      <c r="BK142" s="6">
        <v>789</v>
      </c>
      <c r="BL142" s="35"/>
      <c r="BM142" s="6">
        <f t="shared" si="55"/>
        <v>388</v>
      </c>
      <c r="BN142" s="6">
        <v>1183</v>
      </c>
      <c r="BO142" s="6"/>
      <c r="BP142" s="6">
        <f t="shared" si="56"/>
        <v>394</v>
      </c>
      <c r="BQ142" s="6">
        <v>108</v>
      </c>
      <c r="BR142" s="6">
        <v>1457</v>
      </c>
      <c r="BS142" s="35">
        <f t="shared" si="57"/>
        <v>382</v>
      </c>
      <c r="BT142" s="6">
        <v>500</v>
      </c>
      <c r="BU142" s="6"/>
      <c r="BV142" s="6">
        <f t="shared" si="58"/>
        <v>392</v>
      </c>
      <c r="BW142" s="6">
        <v>877</v>
      </c>
      <c r="BX142" s="6"/>
      <c r="BY142" s="35">
        <f t="shared" si="59"/>
        <v>377</v>
      </c>
      <c r="BZ142" s="6"/>
      <c r="CA142" s="35"/>
      <c r="CB142" s="6"/>
      <c r="CC142" s="6">
        <v>1273</v>
      </c>
      <c r="CD142" s="6"/>
      <c r="CE142" s="6">
        <f t="shared" si="60"/>
        <v>396</v>
      </c>
      <c r="CF142" s="7">
        <v>343</v>
      </c>
      <c r="CG142" s="35">
        <v>1300</v>
      </c>
      <c r="CH142" s="6">
        <f t="shared" si="61"/>
        <v>370</v>
      </c>
      <c r="CI142" s="6">
        <v>738</v>
      </c>
      <c r="CJ142" s="6"/>
      <c r="CK142" s="6">
        <f t="shared" si="62"/>
        <v>395</v>
      </c>
      <c r="CL142" s="6">
        <v>1131</v>
      </c>
      <c r="CM142" s="6"/>
      <c r="CN142" s="6">
        <f t="shared" si="63"/>
        <v>393</v>
      </c>
      <c r="CO142" s="6">
        <v>130</v>
      </c>
      <c r="CP142" s="6">
        <v>1367</v>
      </c>
      <c r="CQ142" s="6">
        <f t="shared" si="64"/>
        <v>366</v>
      </c>
      <c r="CR142" s="6">
        <v>161</v>
      </c>
      <c r="CS142" s="6">
        <v>305</v>
      </c>
      <c r="CT142" s="6">
        <f t="shared" si="65"/>
        <v>336</v>
      </c>
      <c r="CU142" s="6"/>
      <c r="CV142" s="35"/>
      <c r="CW142" s="6"/>
      <c r="CX142" s="6">
        <v>539</v>
      </c>
      <c r="CY142" s="35"/>
      <c r="CZ142" s="6">
        <f t="shared" si="66"/>
        <v>378</v>
      </c>
      <c r="DA142" s="6">
        <v>911</v>
      </c>
      <c r="DB142" s="6"/>
      <c r="DC142" s="6">
        <f t="shared" si="67"/>
        <v>372</v>
      </c>
      <c r="DD142" s="6">
        <v>1293</v>
      </c>
      <c r="DE142" s="6"/>
      <c r="DF142" s="6">
        <f t="shared" si="68"/>
        <v>382</v>
      </c>
      <c r="DG142" s="6">
        <v>112</v>
      </c>
      <c r="DH142" s="6">
        <v>1560</v>
      </c>
      <c r="DI142" s="6">
        <f t="shared" si="69"/>
        <v>379</v>
      </c>
      <c r="DJ142" s="6">
        <v>480</v>
      </c>
      <c r="DK142" s="6"/>
      <c r="DL142" s="6">
        <f t="shared" si="70"/>
        <v>368</v>
      </c>
      <c r="DM142" s="6">
        <v>809</v>
      </c>
      <c r="DN142" s="6"/>
      <c r="DO142" s="6">
        <f t="shared" si="71"/>
        <v>329</v>
      </c>
    </row>
    <row r="143" spans="1:119">
      <c r="A143" s="7">
        <v>139</v>
      </c>
      <c r="B143" s="6">
        <v>516</v>
      </c>
      <c r="C143" s="6"/>
      <c r="D143" s="6">
        <v>209</v>
      </c>
      <c r="E143" s="33" t="s">
        <v>307</v>
      </c>
      <c r="F143" s="33" t="s">
        <v>307</v>
      </c>
      <c r="G143" s="33" t="s">
        <v>307</v>
      </c>
      <c r="H143" s="33" t="s">
        <v>307</v>
      </c>
      <c r="I143" s="33" t="s">
        <v>307</v>
      </c>
      <c r="J143" s="33" t="s">
        <v>307</v>
      </c>
      <c r="K143" s="33" t="s">
        <v>307</v>
      </c>
      <c r="L143" s="33" t="s">
        <v>307</v>
      </c>
      <c r="M143" s="33" t="s">
        <v>307</v>
      </c>
      <c r="N143" s="33" t="s">
        <v>307</v>
      </c>
      <c r="O143" s="33" t="s">
        <v>307</v>
      </c>
      <c r="P143" s="33" t="s">
        <v>307</v>
      </c>
      <c r="Q143" s="33" t="s">
        <v>307</v>
      </c>
      <c r="R143" s="33" t="s">
        <v>307</v>
      </c>
      <c r="S143" s="33" t="s">
        <v>307</v>
      </c>
      <c r="T143" s="33" t="s">
        <v>307</v>
      </c>
      <c r="U143" s="148" t="s">
        <v>307</v>
      </c>
      <c r="V143" s="33" t="s">
        <v>307</v>
      </c>
      <c r="W143" s="33" t="s">
        <v>307</v>
      </c>
      <c r="X143" s="33" t="s">
        <v>307</v>
      </c>
      <c r="Y143" s="33" t="s">
        <v>307</v>
      </c>
      <c r="Z143" s="33" t="s">
        <v>307</v>
      </c>
      <c r="AA143" s="33" t="s">
        <v>307</v>
      </c>
      <c r="AB143" s="33" t="s">
        <v>307</v>
      </c>
      <c r="AC143" s="33" t="s">
        <v>307</v>
      </c>
      <c r="AD143" s="35"/>
      <c r="AE143" s="35"/>
      <c r="AF143" s="35"/>
      <c r="AG143" s="35"/>
      <c r="AH143" s="35"/>
      <c r="AI143" s="35"/>
      <c r="AJ143" s="35"/>
      <c r="AK143" s="35"/>
      <c r="AL143" s="35"/>
      <c r="AM143" s="6">
        <v>933</v>
      </c>
      <c r="AN143" s="6"/>
      <c r="AO143" s="35">
        <f t="shared" si="48"/>
        <v>417</v>
      </c>
      <c r="AP143" s="6">
        <v>1321</v>
      </c>
      <c r="AQ143" s="6"/>
      <c r="AR143" s="34">
        <f t="shared" si="49"/>
        <v>388</v>
      </c>
      <c r="AS143" s="35">
        <v>155</v>
      </c>
      <c r="AT143" s="35">
        <v>1560</v>
      </c>
      <c r="AU143" s="35">
        <f t="shared" si="50"/>
        <v>394</v>
      </c>
      <c r="AV143" s="6">
        <v>550</v>
      </c>
      <c r="AW143" s="6"/>
      <c r="AX143" s="35">
        <f t="shared" si="51"/>
        <v>395</v>
      </c>
      <c r="AY143" s="6">
        <v>943</v>
      </c>
      <c r="AZ143" s="6"/>
      <c r="BA143" s="35">
        <f t="shared" si="52"/>
        <v>393</v>
      </c>
      <c r="BB143" s="6">
        <v>1321</v>
      </c>
      <c r="BC143" s="6"/>
      <c r="BD143" s="35">
        <f t="shared" si="53"/>
        <v>378</v>
      </c>
      <c r="BE143" s="6"/>
      <c r="BF143" s="6"/>
      <c r="BG143" s="35"/>
      <c r="BH143" s="6">
        <v>152</v>
      </c>
      <c r="BI143" s="6">
        <v>1560</v>
      </c>
      <c r="BJ143" s="35">
        <f t="shared" si="54"/>
        <v>391</v>
      </c>
      <c r="BK143" s="6">
        <v>537</v>
      </c>
      <c r="BL143" s="35"/>
      <c r="BM143" s="6">
        <f t="shared" si="55"/>
        <v>385</v>
      </c>
      <c r="BN143" s="6">
        <v>916</v>
      </c>
      <c r="BO143" s="6"/>
      <c r="BP143" s="6">
        <f t="shared" si="56"/>
        <v>379</v>
      </c>
      <c r="BQ143" s="6">
        <v>1306</v>
      </c>
      <c r="BR143" s="6"/>
      <c r="BS143" s="35">
        <f t="shared" si="57"/>
        <v>390</v>
      </c>
      <c r="BT143" s="6">
        <v>132</v>
      </c>
      <c r="BU143" s="6">
        <v>1560</v>
      </c>
      <c r="BV143" s="6">
        <f t="shared" si="58"/>
        <v>386</v>
      </c>
      <c r="BW143" s="6">
        <v>501</v>
      </c>
      <c r="BX143" s="6"/>
      <c r="BY143" s="35">
        <f t="shared" si="59"/>
        <v>369</v>
      </c>
      <c r="BZ143" s="6"/>
      <c r="CA143" s="35"/>
      <c r="CB143" s="6"/>
      <c r="CC143" s="6">
        <v>898</v>
      </c>
      <c r="CD143" s="6"/>
      <c r="CE143" s="6">
        <f t="shared" si="60"/>
        <v>397</v>
      </c>
      <c r="CF143" s="7">
        <v>1291</v>
      </c>
      <c r="CG143" s="35"/>
      <c r="CH143" s="6">
        <f t="shared" si="61"/>
        <v>393</v>
      </c>
      <c r="CI143" s="6">
        <v>0</v>
      </c>
      <c r="CJ143" s="6">
        <f>1561+37</f>
        <v>1598</v>
      </c>
      <c r="CK143" s="6">
        <f t="shared" si="62"/>
        <v>307</v>
      </c>
      <c r="CL143" s="6">
        <v>360</v>
      </c>
      <c r="CM143" s="6"/>
      <c r="CN143" s="6">
        <f t="shared" si="63"/>
        <v>360</v>
      </c>
      <c r="CO143" s="6">
        <v>759</v>
      </c>
      <c r="CP143" s="6"/>
      <c r="CQ143" s="6">
        <f t="shared" si="64"/>
        <v>399</v>
      </c>
      <c r="CR143" s="6">
        <v>1133</v>
      </c>
      <c r="CS143" s="6"/>
      <c r="CT143" s="6">
        <f t="shared" si="65"/>
        <v>374</v>
      </c>
      <c r="CU143" s="6"/>
      <c r="CV143" s="35"/>
      <c r="CW143" s="6"/>
      <c r="CX143" s="6">
        <v>1522</v>
      </c>
      <c r="CY143" s="6"/>
      <c r="CZ143" s="6">
        <f t="shared" si="66"/>
        <v>389</v>
      </c>
      <c r="DA143" s="6">
        <v>337</v>
      </c>
      <c r="DB143" s="6">
        <v>1560</v>
      </c>
      <c r="DC143" s="6">
        <f t="shared" si="67"/>
        <v>375</v>
      </c>
      <c r="DD143" s="6">
        <v>714</v>
      </c>
      <c r="DE143" s="6"/>
      <c r="DF143" s="6">
        <f t="shared" si="68"/>
        <v>377</v>
      </c>
      <c r="DG143" s="6">
        <v>1091</v>
      </c>
      <c r="DH143" s="6"/>
      <c r="DI143" s="6">
        <f t="shared" si="69"/>
        <v>377</v>
      </c>
      <c r="DJ143" s="6">
        <v>1473</v>
      </c>
      <c r="DK143" s="6"/>
      <c r="DL143" s="6">
        <f t="shared" si="70"/>
        <v>382</v>
      </c>
      <c r="DM143" s="6">
        <v>255</v>
      </c>
      <c r="DN143" s="6">
        <v>1560</v>
      </c>
      <c r="DO143" s="6">
        <f t="shared" si="71"/>
        <v>342</v>
      </c>
    </row>
    <row r="144" spans="1:119">
      <c r="A144" s="7">
        <v>140</v>
      </c>
      <c r="B144" s="6">
        <v>932</v>
      </c>
      <c r="C144" s="6"/>
      <c r="D144" s="6">
        <v>206</v>
      </c>
      <c r="E144" s="33" t="s">
        <v>307</v>
      </c>
      <c r="F144" s="33" t="s">
        <v>307</v>
      </c>
      <c r="G144" s="33" t="s">
        <v>307</v>
      </c>
      <c r="H144" s="33" t="s">
        <v>307</v>
      </c>
      <c r="I144" s="33" t="s">
        <v>307</v>
      </c>
      <c r="J144" s="33" t="s">
        <v>307</v>
      </c>
      <c r="K144" s="33" t="s">
        <v>307</v>
      </c>
      <c r="L144" s="33" t="s">
        <v>307</v>
      </c>
      <c r="M144" s="33" t="s">
        <v>307</v>
      </c>
      <c r="N144" s="33" t="s">
        <v>307</v>
      </c>
      <c r="O144" s="33" t="s">
        <v>307</v>
      </c>
      <c r="P144" s="33" t="s">
        <v>307</v>
      </c>
      <c r="Q144" s="33" t="s">
        <v>307</v>
      </c>
      <c r="R144" s="33" t="s">
        <v>307</v>
      </c>
      <c r="S144" s="33" t="s">
        <v>307</v>
      </c>
      <c r="T144" s="33" t="s">
        <v>307</v>
      </c>
      <c r="U144" s="33" t="s">
        <v>307</v>
      </c>
      <c r="V144" s="33" t="s">
        <v>307</v>
      </c>
      <c r="W144" s="33" t="s">
        <v>307</v>
      </c>
      <c r="X144" s="148" t="s">
        <v>307</v>
      </c>
      <c r="Y144" s="33" t="s">
        <v>307</v>
      </c>
      <c r="Z144" s="33" t="s">
        <v>307</v>
      </c>
      <c r="AA144" s="148" t="s">
        <v>307</v>
      </c>
      <c r="AB144" s="33" t="s">
        <v>307</v>
      </c>
      <c r="AC144" s="33" t="s">
        <v>307</v>
      </c>
      <c r="AD144" s="35"/>
      <c r="AE144" s="35"/>
      <c r="AF144" s="35"/>
      <c r="AG144" s="35"/>
      <c r="AH144" s="35"/>
      <c r="AI144" s="35"/>
      <c r="AJ144" s="35"/>
      <c r="AK144" s="35"/>
      <c r="AL144" s="35"/>
      <c r="AM144" s="6">
        <v>96</v>
      </c>
      <c r="AN144" s="6">
        <v>1237</v>
      </c>
      <c r="AO144" s="35">
        <f t="shared" si="48"/>
        <v>401</v>
      </c>
      <c r="AP144" s="6">
        <v>473</v>
      </c>
      <c r="AQ144" s="6"/>
      <c r="AR144" s="34">
        <f t="shared" si="49"/>
        <v>377</v>
      </c>
      <c r="AS144" s="35">
        <v>860</v>
      </c>
      <c r="AT144" s="35"/>
      <c r="AU144" s="35">
        <f t="shared" si="50"/>
        <v>387</v>
      </c>
      <c r="AV144" s="6">
        <v>203</v>
      </c>
      <c r="AW144" s="6">
        <v>1035</v>
      </c>
      <c r="AX144" s="35">
        <f t="shared" si="51"/>
        <v>378</v>
      </c>
      <c r="AY144" s="6">
        <v>590</v>
      </c>
      <c r="AZ144" s="6"/>
      <c r="BA144" s="35">
        <f t="shared" si="52"/>
        <v>387</v>
      </c>
      <c r="BB144" s="6">
        <v>960</v>
      </c>
      <c r="BC144" s="6"/>
      <c r="BD144" s="35">
        <f t="shared" si="53"/>
        <v>370</v>
      </c>
      <c r="BE144" s="6"/>
      <c r="BF144" s="6"/>
      <c r="BG144" s="35"/>
      <c r="BH144" s="6">
        <v>100</v>
      </c>
      <c r="BI144" s="6">
        <v>1227</v>
      </c>
      <c r="BJ144" s="35">
        <f t="shared" si="54"/>
        <v>367</v>
      </c>
      <c r="BK144" s="6">
        <v>466</v>
      </c>
      <c r="BL144" s="35"/>
      <c r="BM144" s="6">
        <f t="shared" si="55"/>
        <v>366</v>
      </c>
      <c r="BN144" s="6">
        <v>372</v>
      </c>
      <c r="BO144" s="6">
        <v>485</v>
      </c>
      <c r="BP144" s="6">
        <f t="shared" si="56"/>
        <v>391</v>
      </c>
      <c r="BQ144" s="6">
        <v>766</v>
      </c>
      <c r="BR144" s="6"/>
      <c r="BS144" s="35">
        <f t="shared" si="57"/>
        <v>394</v>
      </c>
      <c r="BT144" s="6">
        <v>1160</v>
      </c>
      <c r="BU144" s="6"/>
      <c r="BV144" s="6">
        <f t="shared" si="58"/>
        <v>394</v>
      </c>
      <c r="BW144" s="6">
        <v>1538</v>
      </c>
      <c r="BX144" s="6"/>
      <c r="BY144" s="35">
        <f t="shared" si="59"/>
        <v>378</v>
      </c>
      <c r="BZ144" s="6"/>
      <c r="CA144" s="35"/>
      <c r="CB144" s="6"/>
      <c r="CC144" s="6">
        <v>379</v>
      </c>
      <c r="CD144" s="6">
        <v>1560</v>
      </c>
      <c r="CE144" s="6">
        <f t="shared" si="60"/>
        <v>401</v>
      </c>
      <c r="CF144" s="7">
        <v>777</v>
      </c>
      <c r="CG144" s="35"/>
      <c r="CH144" s="6">
        <f t="shared" si="61"/>
        <v>398</v>
      </c>
      <c r="CI144" s="6">
        <v>1172</v>
      </c>
      <c r="CJ144" s="6"/>
      <c r="CK144" s="6">
        <f t="shared" si="62"/>
        <v>395</v>
      </c>
      <c r="CL144" s="6">
        <v>9</v>
      </c>
      <c r="CM144" s="6">
        <v>1560</v>
      </c>
      <c r="CN144" s="6">
        <f t="shared" si="63"/>
        <v>397</v>
      </c>
      <c r="CO144" s="6">
        <v>405</v>
      </c>
      <c r="CP144" s="6"/>
      <c r="CQ144" s="6">
        <f t="shared" si="64"/>
        <v>396</v>
      </c>
      <c r="CR144" s="6">
        <v>745</v>
      </c>
      <c r="CS144" s="6"/>
      <c r="CT144" s="6">
        <f t="shared" si="65"/>
        <v>340</v>
      </c>
      <c r="CU144" s="6"/>
      <c r="CV144" s="6"/>
      <c r="CW144" s="6"/>
      <c r="CX144" s="6">
        <v>344</v>
      </c>
      <c r="CY144" s="6">
        <v>749</v>
      </c>
      <c r="CZ144" s="6">
        <f t="shared" si="66"/>
        <v>348</v>
      </c>
      <c r="DA144" s="6">
        <v>723</v>
      </c>
      <c r="DB144" s="6"/>
      <c r="DC144" s="6">
        <f t="shared" si="67"/>
        <v>379</v>
      </c>
      <c r="DD144" s="6">
        <v>1103</v>
      </c>
      <c r="DE144" s="6"/>
      <c r="DF144" s="6">
        <f t="shared" si="68"/>
        <v>380</v>
      </c>
      <c r="DG144" s="6">
        <v>271</v>
      </c>
      <c r="DH144" s="6">
        <v>1105</v>
      </c>
      <c r="DI144" s="6">
        <f t="shared" si="69"/>
        <v>273</v>
      </c>
      <c r="DJ144" s="6">
        <v>655</v>
      </c>
      <c r="DK144" s="6"/>
      <c r="DL144" s="6">
        <f t="shared" si="70"/>
        <v>384</v>
      </c>
      <c r="DM144" s="6">
        <v>1006</v>
      </c>
      <c r="DN144" s="6"/>
      <c r="DO144" s="6">
        <f t="shared" si="71"/>
        <v>351</v>
      </c>
    </row>
    <row r="145" spans="1:119">
      <c r="A145" s="6">
        <v>141</v>
      </c>
      <c r="B145" s="6">
        <v>160</v>
      </c>
      <c r="C145" s="6"/>
      <c r="D145" s="6">
        <v>160</v>
      </c>
      <c r="E145" s="148" t="s">
        <v>37</v>
      </c>
      <c r="F145" s="33" t="s">
        <v>37</v>
      </c>
      <c r="G145" s="33" t="s">
        <v>37</v>
      </c>
      <c r="H145" s="33" t="s">
        <v>37</v>
      </c>
      <c r="I145" s="33" t="s">
        <v>37</v>
      </c>
      <c r="J145" s="33" t="s">
        <v>37</v>
      </c>
      <c r="K145" s="33" t="s">
        <v>37</v>
      </c>
      <c r="L145" s="33" t="s">
        <v>37</v>
      </c>
      <c r="M145" s="33" t="s">
        <v>37</v>
      </c>
      <c r="N145" s="33" t="s">
        <v>37</v>
      </c>
      <c r="O145" s="33" t="s">
        <v>37</v>
      </c>
      <c r="P145" s="33" t="s">
        <v>37</v>
      </c>
      <c r="Q145" s="33" t="s">
        <v>37</v>
      </c>
      <c r="R145" s="33" t="s">
        <v>37</v>
      </c>
      <c r="S145" s="33" t="s">
        <v>37</v>
      </c>
      <c r="T145" s="33" t="s">
        <v>37</v>
      </c>
      <c r="U145" s="33" t="s">
        <v>37</v>
      </c>
      <c r="V145" s="33" t="s">
        <v>37</v>
      </c>
      <c r="W145" s="33" t="s">
        <v>37</v>
      </c>
      <c r="X145" s="33" t="s">
        <v>37</v>
      </c>
      <c r="Y145" s="33" t="s">
        <v>37</v>
      </c>
      <c r="Z145" s="33" t="s">
        <v>37</v>
      </c>
      <c r="AA145" s="148" t="s">
        <v>37</v>
      </c>
      <c r="AB145" s="33" t="s">
        <v>37</v>
      </c>
      <c r="AC145" s="33" t="s">
        <v>37</v>
      </c>
      <c r="AD145" s="35"/>
      <c r="AE145" s="35"/>
      <c r="AF145" s="35"/>
      <c r="AG145" s="35"/>
      <c r="AH145" s="35"/>
      <c r="AI145" s="35"/>
      <c r="AJ145" s="35"/>
      <c r="AK145" s="35"/>
      <c r="AL145" s="35"/>
      <c r="AM145" s="35">
        <v>569</v>
      </c>
      <c r="AN145" s="35"/>
      <c r="AO145" s="35">
        <f t="shared" si="48"/>
        <v>409</v>
      </c>
      <c r="AP145" s="35">
        <v>77</v>
      </c>
      <c r="AQ145" s="35">
        <v>865</v>
      </c>
      <c r="AR145" s="34">
        <f t="shared" si="49"/>
        <v>373</v>
      </c>
      <c r="AS145" s="35">
        <v>124</v>
      </c>
      <c r="AT145" s="35">
        <v>331</v>
      </c>
      <c r="AU145" s="35">
        <f t="shared" si="50"/>
        <v>378</v>
      </c>
      <c r="AV145" s="6">
        <v>159</v>
      </c>
      <c r="AW145" s="6">
        <v>346</v>
      </c>
      <c r="AX145" s="35">
        <f t="shared" si="51"/>
        <v>381</v>
      </c>
      <c r="AY145" s="6">
        <v>536</v>
      </c>
      <c r="AZ145" s="35"/>
      <c r="BA145" s="35">
        <f t="shared" si="52"/>
        <v>377</v>
      </c>
      <c r="BB145" s="6">
        <v>901</v>
      </c>
      <c r="BC145" s="6"/>
      <c r="BD145" s="35">
        <f t="shared" si="53"/>
        <v>365</v>
      </c>
      <c r="BE145" s="6"/>
      <c r="BF145" s="6"/>
      <c r="BG145" s="35"/>
      <c r="BH145" s="6">
        <v>1287</v>
      </c>
      <c r="BI145" s="6"/>
      <c r="BJ145" s="35">
        <f t="shared" si="54"/>
        <v>386</v>
      </c>
      <c r="BK145" s="6">
        <v>97</v>
      </c>
      <c r="BL145" s="35">
        <v>1565</v>
      </c>
      <c r="BM145" s="6">
        <f t="shared" si="55"/>
        <v>375</v>
      </c>
      <c r="BN145" s="6">
        <v>478</v>
      </c>
      <c r="BO145" s="6"/>
      <c r="BP145" s="6">
        <f t="shared" si="56"/>
        <v>381</v>
      </c>
      <c r="BQ145" s="6">
        <v>859</v>
      </c>
      <c r="BR145" s="6"/>
      <c r="BS145" s="35">
        <f t="shared" si="57"/>
        <v>381</v>
      </c>
      <c r="BT145" s="6">
        <v>1223</v>
      </c>
      <c r="BU145" s="6"/>
      <c r="BV145" s="6">
        <f t="shared" si="58"/>
        <v>364</v>
      </c>
      <c r="BW145" s="6">
        <v>10</v>
      </c>
      <c r="BX145" s="6">
        <v>1574</v>
      </c>
      <c r="BY145" s="35">
        <f t="shared" si="59"/>
        <v>361</v>
      </c>
      <c r="BZ145" s="6"/>
      <c r="CA145" s="35"/>
      <c r="CB145" s="6"/>
      <c r="CC145" s="6">
        <v>395</v>
      </c>
      <c r="CD145" s="6"/>
      <c r="CE145" s="6">
        <f t="shared" si="60"/>
        <v>385</v>
      </c>
      <c r="CF145" s="7">
        <v>775</v>
      </c>
      <c r="CG145" s="35"/>
      <c r="CH145" s="6">
        <f t="shared" si="61"/>
        <v>380</v>
      </c>
      <c r="CI145" s="6">
        <v>1154</v>
      </c>
      <c r="CJ145" s="6"/>
      <c r="CK145" s="6">
        <f t="shared" si="62"/>
        <v>379</v>
      </c>
      <c r="CL145" s="6">
        <v>1536</v>
      </c>
      <c r="CM145" s="6"/>
      <c r="CN145" s="6">
        <f t="shared" si="63"/>
        <v>382</v>
      </c>
      <c r="CO145" s="6">
        <v>329</v>
      </c>
      <c r="CP145" s="6">
        <v>1560</v>
      </c>
      <c r="CQ145" s="6">
        <f t="shared" si="64"/>
        <v>353</v>
      </c>
      <c r="CR145" s="6">
        <v>637</v>
      </c>
      <c r="CS145" s="6"/>
      <c r="CT145" s="6">
        <f t="shared" si="65"/>
        <v>308</v>
      </c>
      <c r="CU145" s="6"/>
      <c r="CV145" s="6"/>
      <c r="CW145" s="6"/>
      <c r="CX145" s="6">
        <v>998</v>
      </c>
      <c r="CY145" s="6"/>
      <c r="CZ145" s="6">
        <f t="shared" si="66"/>
        <v>361</v>
      </c>
      <c r="DA145" s="6">
        <v>1354</v>
      </c>
      <c r="DB145" s="6"/>
      <c r="DC145" s="6">
        <f t="shared" si="67"/>
        <v>356</v>
      </c>
      <c r="DD145" s="6">
        <v>0</v>
      </c>
      <c r="DE145" s="6">
        <v>1622</v>
      </c>
      <c r="DF145" s="6">
        <f t="shared" si="68"/>
        <v>268</v>
      </c>
      <c r="DG145" s="6">
        <v>329</v>
      </c>
      <c r="DH145" s="6"/>
      <c r="DI145" s="6">
        <f t="shared" si="69"/>
        <v>329</v>
      </c>
      <c r="DJ145" s="6">
        <v>688</v>
      </c>
      <c r="DK145" s="6"/>
      <c r="DL145" s="6">
        <f t="shared" si="70"/>
        <v>359</v>
      </c>
      <c r="DM145" s="6">
        <v>1022</v>
      </c>
      <c r="DN145" s="6"/>
      <c r="DO145" s="6">
        <f t="shared" si="71"/>
        <v>334</v>
      </c>
    </row>
    <row r="146" spans="1:119">
      <c r="A146" s="6">
        <v>142</v>
      </c>
      <c r="B146" s="6">
        <v>131</v>
      </c>
      <c r="C146" s="6">
        <v>1567</v>
      </c>
      <c r="D146" s="6">
        <v>187</v>
      </c>
      <c r="E146" s="33" t="s">
        <v>128</v>
      </c>
      <c r="F146" s="33" t="s">
        <v>128</v>
      </c>
      <c r="G146" s="33" t="s">
        <v>128</v>
      </c>
      <c r="H146" s="33" t="s">
        <v>128</v>
      </c>
      <c r="I146" s="33" t="s">
        <v>128</v>
      </c>
      <c r="J146" s="33" t="s">
        <v>128</v>
      </c>
      <c r="K146" s="33" t="s">
        <v>128</v>
      </c>
      <c r="L146" s="33" t="s">
        <v>128</v>
      </c>
      <c r="M146" s="33" t="s">
        <v>128</v>
      </c>
      <c r="N146" s="33" t="s">
        <v>128</v>
      </c>
      <c r="O146" s="33" t="s">
        <v>128</v>
      </c>
      <c r="P146" s="33" t="s">
        <v>128</v>
      </c>
      <c r="Q146" s="33" t="s">
        <v>128</v>
      </c>
      <c r="R146" s="148" t="s">
        <v>307</v>
      </c>
      <c r="S146" s="33" t="s">
        <v>307</v>
      </c>
      <c r="T146" s="33" t="s">
        <v>307</v>
      </c>
      <c r="U146" s="33" t="s">
        <v>307</v>
      </c>
      <c r="V146" s="33" t="s">
        <v>307</v>
      </c>
      <c r="W146" s="33" t="s">
        <v>307</v>
      </c>
      <c r="X146" s="33" t="s">
        <v>307</v>
      </c>
      <c r="Y146" s="33" t="s">
        <v>307</v>
      </c>
      <c r="Z146" s="33" t="s">
        <v>307</v>
      </c>
      <c r="AA146" s="33" t="s">
        <v>307</v>
      </c>
      <c r="AB146" s="33" t="s">
        <v>307</v>
      </c>
      <c r="AC146" s="33" t="s">
        <v>307</v>
      </c>
      <c r="AD146" s="6"/>
      <c r="AE146" s="6"/>
      <c r="AF146" s="35"/>
      <c r="AG146" s="6"/>
      <c r="AH146" s="6"/>
      <c r="AI146" s="35"/>
      <c r="AJ146" s="35"/>
      <c r="AK146" s="35"/>
      <c r="AL146" s="35"/>
      <c r="AM146" s="6">
        <v>521</v>
      </c>
      <c r="AN146" s="6"/>
      <c r="AO146" s="35">
        <f t="shared" si="48"/>
        <v>390</v>
      </c>
      <c r="AP146" s="6">
        <v>881</v>
      </c>
      <c r="AQ146" s="6"/>
      <c r="AR146" s="34">
        <f t="shared" si="49"/>
        <v>360</v>
      </c>
      <c r="AS146" s="35">
        <v>1241</v>
      </c>
      <c r="AT146" s="35"/>
      <c r="AU146" s="35">
        <f t="shared" si="50"/>
        <v>360</v>
      </c>
      <c r="AV146" s="6">
        <v>44</v>
      </c>
      <c r="AW146" s="6">
        <v>1560</v>
      </c>
      <c r="AX146" s="35">
        <f t="shared" si="51"/>
        <v>363</v>
      </c>
      <c r="AY146" s="6">
        <v>408</v>
      </c>
      <c r="AZ146" s="6"/>
      <c r="BA146" s="35">
        <f t="shared" si="52"/>
        <v>364</v>
      </c>
      <c r="BB146" s="35">
        <v>752</v>
      </c>
      <c r="BC146" s="35"/>
      <c r="BD146" s="35">
        <f t="shared" si="53"/>
        <v>344</v>
      </c>
      <c r="BE146" s="6"/>
      <c r="BF146" s="6"/>
      <c r="BG146" s="35"/>
      <c r="BH146" s="6">
        <f>9+330</f>
        <v>339</v>
      </c>
      <c r="BI146" s="6">
        <v>765</v>
      </c>
      <c r="BJ146" s="35">
        <f t="shared" si="54"/>
        <v>352</v>
      </c>
      <c r="BK146" s="6">
        <f>366+330</f>
        <v>696</v>
      </c>
      <c r="BL146" s="6"/>
      <c r="BM146" s="6">
        <f t="shared" si="55"/>
        <v>357</v>
      </c>
      <c r="BN146" s="6">
        <f>759+330</f>
        <v>1089</v>
      </c>
      <c r="BO146" s="6"/>
      <c r="BP146" s="6">
        <f t="shared" si="56"/>
        <v>393</v>
      </c>
      <c r="BQ146" s="6">
        <f>330+1148</f>
        <v>1478</v>
      </c>
      <c r="BR146" s="6"/>
      <c r="BS146" s="35">
        <f t="shared" si="57"/>
        <v>389</v>
      </c>
      <c r="BT146" s="6">
        <v>289</v>
      </c>
      <c r="BU146" s="6">
        <v>1560</v>
      </c>
      <c r="BV146" s="6">
        <f t="shared" si="58"/>
        <v>371</v>
      </c>
      <c r="BW146" s="6">
        <v>0</v>
      </c>
      <c r="BX146" s="6">
        <v>436</v>
      </c>
      <c r="BY146" s="35">
        <f t="shared" si="59"/>
        <v>147</v>
      </c>
      <c r="BZ146" s="6"/>
      <c r="CA146" s="6"/>
      <c r="CB146" s="6"/>
      <c r="CC146" s="6">
        <v>290</v>
      </c>
      <c r="CD146" s="6"/>
      <c r="CE146" s="6">
        <f t="shared" si="60"/>
        <v>290</v>
      </c>
      <c r="CF146" s="7">
        <v>673</v>
      </c>
      <c r="CG146" s="6"/>
      <c r="CH146" s="6">
        <f t="shared" si="61"/>
        <v>383</v>
      </c>
      <c r="CI146" s="6">
        <v>1047</v>
      </c>
      <c r="CJ146" s="6"/>
      <c r="CK146" s="6">
        <f t="shared" si="62"/>
        <v>374</v>
      </c>
      <c r="CL146" s="6">
        <v>1434</v>
      </c>
      <c r="CM146" s="6"/>
      <c r="CN146" s="6">
        <f t="shared" si="63"/>
        <v>387</v>
      </c>
      <c r="CO146" s="6">
        <v>261</v>
      </c>
      <c r="CP146" s="6">
        <v>1560</v>
      </c>
      <c r="CQ146" s="6">
        <f t="shared" si="64"/>
        <v>387</v>
      </c>
      <c r="CR146" s="6">
        <v>631</v>
      </c>
      <c r="CS146" s="6"/>
      <c r="CT146" s="6">
        <f t="shared" si="65"/>
        <v>370</v>
      </c>
      <c r="CU146" s="6"/>
      <c r="CV146" s="6"/>
      <c r="CW146" s="6"/>
      <c r="CX146" s="6">
        <v>1015</v>
      </c>
      <c r="CY146" s="6"/>
      <c r="CZ146" s="6">
        <f t="shared" si="66"/>
        <v>384</v>
      </c>
      <c r="DA146" s="6">
        <v>1396</v>
      </c>
      <c r="DB146" s="6"/>
      <c r="DC146" s="6">
        <f t="shared" si="67"/>
        <v>381</v>
      </c>
      <c r="DD146" s="6">
        <v>144</v>
      </c>
      <c r="DE146" s="6">
        <v>1537</v>
      </c>
      <c r="DF146" s="6">
        <f t="shared" si="68"/>
        <v>285</v>
      </c>
      <c r="DG146" s="6">
        <v>526</v>
      </c>
      <c r="DH146" s="6"/>
      <c r="DI146" s="6">
        <f t="shared" si="69"/>
        <v>382</v>
      </c>
      <c r="DJ146" s="6">
        <v>904</v>
      </c>
      <c r="DK146" s="6"/>
      <c r="DL146" s="6">
        <f t="shared" si="70"/>
        <v>378</v>
      </c>
      <c r="DM146" s="6">
        <v>1250</v>
      </c>
      <c r="DN146" s="6"/>
      <c r="DO146" s="6">
        <f t="shared" si="71"/>
        <v>346</v>
      </c>
    </row>
    <row r="147" spans="1:119">
      <c r="A147" s="6">
        <v>143</v>
      </c>
      <c r="B147" s="6">
        <v>735</v>
      </c>
      <c r="C147" s="6"/>
      <c r="D147" s="6">
        <v>195</v>
      </c>
      <c r="E147" s="33" t="s">
        <v>128</v>
      </c>
      <c r="F147" s="33" t="s">
        <v>128</v>
      </c>
      <c r="G147" s="33" t="s">
        <v>128</v>
      </c>
      <c r="H147" s="33" t="s">
        <v>128</v>
      </c>
      <c r="I147" s="33" t="s">
        <v>128</v>
      </c>
      <c r="J147" s="33" t="s">
        <v>128</v>
      </c>
      <c r="K147" s="33" t="s">
        <v>128</v>
      </c>
      <c r="L147" s="33" t="s">
        <v>128</v>
      </c>
      <c r="M147" s="33" t="s">
        <v>128</v>
      </c>
      <c r="N147" s="33" t="s">
        <v>128</v>
      </c>
      <c r="O147" s="33" t="s">
        <v>128</v>
      </c>
      <c r="P147" s="33" t="s">
        <v>128</v>
      </c>
      <c r="Q147" s="148" t="s">
        <v>307</v>
      </c>
      <c r="R147" s="33" t="s">
        <v>307</v>
      </c>
      <c r="S147" s="33" t="s">
        <v>307</v>
      </c>
      <c r="T147" s="33" t="s">
        <v>307</v>
      </c>
      <c r="U147" s="33" t="s">
        <v>307</v>
      </c>
      <c r="V147" s="33" t="s">
        <v>307</v>
      </c>
      <c r="W147" s="33" t="s">
        <v>307</v>
      </c>
      <c r="X147" s="33" t="s">
        <v>307</v>
      </c>
      <c r="Y147" s="33" t="s">
        <v>307</v>
      </c>
      <c r="Z147" s="33" t="s">
        <v>307</v>
      </c>
      <c r="AA147" s="33" t="s">
        <v>307</v>
      </c>
      <c r="AB147" s="33" t="s">
        <v>307</v>
      </c>
      <c r="AC147" s="33" t="s">
        <v>307</v>
      </c>
      <c r="AD147" s="6"/>
      <c r="AE147" s="6"/>
      <c r="AF147" s="35"/>
      <c r="AG147" s="6"/>
      <c r="AH147" s="6"/>
      <c r="AI147" s="35"/>
      <c r="AJ147" s="35"/>
      <c r="AK147" s="35"/>
      <c r="AL147" s="35"/>
      <c r="AM147" s="6">
        <v>1022</v>
      </c>
      <c r="AN147" s="6"/>
      <c r="AO147" s="35">
        <f t="shared" si="48"/>
        <v>287</v>
      </c>
      <c r="AP147" s="6">
        <v>1396</v>
      </c>
      <c r="AQ147" s="6"/>
      <c r="AR147" s="34">
        <f t="shared" si="49"/>
        <v>374</v>
      </c>
      <c r="AS147" s="35">
        <v>205</v>
      </c>
      <c r="AT147" s="35">
        <v>1560</v>
      </c>
      <c r="AU147" s="35">
        <f t="shared" si="50"/>
        <v>369</v>
      </c>
      <c r="AV147" s="6">
        <v>595</v>
      </c>
      <c r="AW147" s="6"/>
      <c r="AX147" s="35">
        <f t="shared" si="51"/>
        <v>390</v>
      </c>
      <c r="AY147" s="6">
        <v>990</v>
      </c>
      <c r="AZ147" s="6"/>
      <c r="BA147" s="35">
        <f t="shared" si="52"/>
        <v>395</v>
      </c>
      <c r="BB147" s="35">
        <v>1373</v>
      </c>
      <c r="BC147" s="35"/>
      <c r="BD147" s="35">
        <f t="shared" si="53"/>
        <v>383</v>
      </c>
      <c r="BE147" s="6"/>
      <c r="BF147" s="6"/>
      <c r="BG147" s="35"/>
      <c r="BH147" s="6">
        <v>201</v>
      </c>
      <c r="BI147" s="6">
        <v>1560</v>
      </c>
      <c r="BJ147" s="35">
        <f t="shared" si="54"/>
        <v>388</v>
      </c>
      <c r="BK147" s="6">
        <v>590</v>
      </c>
      <c r="BL147" s="6"/>
      <c r="BM147" s="6">
        <f t="shared" si="55"/>
        <v>389</v>
      </c>
      <c r="BN147" s="6">
        <v>985</v>
      </c>
      <c r="BO147" s="6"/>
      <c r="BP147" s="6">
        <f t="shared" si="56"/>
        <v>395</v>
      </c>
      <c r="BQ147" s="6">
        <v>1375</v>
      </c>
      <c r="BR147" s="6"/>
      <c r="BS147" s="35">
        <f t="shared" si="57"/>
        <v>390</v>
      </c>
      <c r="BT147" s="6">
        <v>0</v>
      </c>
      <c r="BU147" s="6">
        <v>1736</v>
      </c>
      <c r="BV147" s="6">
        <f t="shared" si="58"/>
        <v>361</v>
      </c>
      <c r="BW147" s="6">
        <v>359</v>
      </c>
      <c r="BX147" s="6"/>
      <c r="BY147" s="35">
        <f t="shared" si="59"/>
        <v>359</v>
      </c>
      <c r="BZ147" s="6"/>
      <c r="CA147" s="6"/>
      <c r="CB147" s="6"/>
      <c r="CC147" s="6">
        <v>759</v>
      </c>
      <c r="CD147" s="6"/>
      <c r="CE147" s="6">
        <f t="shared" si="60"/>
        <v>400</v>
      </c>
      <c r="CF147" s="7">
        <v>1156</v>
      </c>
      <c r="CG147" s="6"/>
      <c r="CH147" s="6">
        <f t="shared" si="61"/>
        <v>397</v>
      </c>
      <c r="CI147" s="6">
        <v>1556</v>
      </c>
      <c r="CJ147" s="6"/>
      <c r="CK147" s="6">
        <f t="shared" si="62"/>
        <v>400</v>
      </c>
      <c r="CL147" s="6">
        <v>392</v>
      </c>
      <c r="CM147" s="6">
        <v>1560</v>
      </c>
      <c r="CN147" s="6">
        <f t="shared" si="63"/>
        <v>396</v>
      </c>
      <c r="CO147" s="6">
        <v>790</v>
      </c>
      <c r="CP147" s="6"/>
      <c r="CQ147" s="6">
        <f t="shared" si="64"/>
        <v>398</v>
      </c>
      <c r="CR147" s="6">
        <v>1165</v>
      </c>
      <c r="CS147" s="6"/>
      <c r="CT147" s="6">
        <f t="shared" si="65"/>
        <v>375</v>
      </c>
      <c r="CU147" s="6"/>
      <c r="CV147" s="6"/>
      <c r="CW147" s="6"/>
      <c r="CX147" s="6">
        <v>1548</v>
      </c>
      <c r="CY147" s="6"/>
      <c r="CZ147" s="6">
        <f t="shared" si="66"/>
        <v>383</v>
      </c>
      <c r="DA147" s="6">
        <v>350</v>
      </c>
      <c r="DB147" s="6">
        <v>1560</v>
      </c>
      <c r="DC147" s="6">
        <f t="shared" si="67"/>
        <v>362</v>
      </c>
      <c r="DD147" s="6">
        <v>734</v>
      </c>
      <c r="DE147" s="6"/>
      <c r="DF147" s="6">
        <f t="shared" si="68"/>
        <v>384</v>
      </c>
      <c r="DG147" s="6">
        <v>1115</v>
      </c>
      <c r="DH147" s="6"/>
      <c r="DI147" s="6">
        <f t="shared" si="69"/>
        <v>381</v>
      </c>
      <c r="DJ147" s="6">
        <v>1499</v>
      </c>
      <c r="DK147" s="6"/>
      <c r="DL147" s="6">
        <f t="shared" si="70"/>
        <v>384</v>
      </c>
      <c r="DM147" s="6">
        <v>280</v>
      </c>
      <c r="DN147" s="6">
        <v>1560</v>
      </c>
      <c r="DO147" s="6">
        <f t="shared" si="71"/>
        <v>341</v>
      </c>
    </row>
    <row r="148" spans="1:119" ht="15.75" customHeight="1">
      <c r="A148" s="6">
        <v>144</v>
      </c>
      <c r="B148" s="6">
        <v>755</v>
      </c>
      <c r="C148" s="6"/>
      <c r="D148" s="6">
        <v>202</v>
      </c>
      <c r="E148" s="33" t="s">
        <v>37</v>
      </c>
      <c r="F148" s="33" t="s">
        <v>37</v>
      </c>
      <c r="G148" s="33" t="s">
        <v>37</v>
      </c>
      <c r="H148" s="33" t="s">
        <v>37</v>
      </c>
      <c r="I148" s="33" t="s">
        <v>37</v>
      </c>
      <c r="J148" s="33" t="s">
        <v>37</v>
      </c>
      <c r="K148" s="33" t="s">
        <v>37</v>
      </c>
      <c r="L148" s="33" t="s">
        <v>37</v>
      </c>
      <c r="M148" s="33" t="s">
        <v>37</v>
      </c>
      <c r="N148" s="33" t="s">
        <v>37</v>
      </c>
      <c r="O148" s="33" t="s">
        <v>37</v>
      </c>
      <c r="P148" s="33" t="s">
        <v>37</v>
      </c>
      <c r="Q148" s="33" t="s">
        <v>37</v>
      </c>
      <c r="R148" s="33" t="s">
        <v>37</v>
      </c>
      <c r="S148" s="33" t="s">
        <v>37</v>
      </c>
      <c r="T148" s="148" t="s">
        <v>37</v>
      </c>
      <c r="U148" s="33" t="s">
        <v>37</v>
      </c>
      <c r="V148" s="33" t="s">
        <v>37</v>
      </c>
      <c r="W148" s="33" t="s">
        <v>37</v>
      </c>
      <c r="X148" s="33" t="s">
        <v>37</v>
      </c>
      <c r="Y148" s="33" t="s">
        <v>37</v>
      </c>
      <c r="Z148" s="33" t="s">
        <v>37</v>
      </c>
      <c r="AA148" s="33" t="s">
        <v>37</v>
      </c>
      <c r="AB148" s="33" t="s">
        <v>37</v>
      </c>
      <c r="AC148" s="33" t="s">
        <v>37</v>
      </c>
      <c r="AD148" s="6"/>
      <c r="AE148" s="6"/>
      <c r="AF148" s="35"/>
      <c r="AG148" s="6"/>
      <c r="AH148" s="6"/>
      <c r="AI148" s="35"/>
      <c r="AJ148" s="35"/>
      <c r="AK148" s="35"/>
      <c r="AL148" s="35"/>
      <c r="AM148" s="6">
        <v>1170</v>
      </c>
      <c r="AN148" s="6"/>
      <c r="AO148" s="35">
        <f t="shared" si="48"/>
        <v>415</v>
      </c>
      <c r="AP148" s="6">
        <v>1547</v>
      </c>
      <c r="AQ148" s="6"/>
      <c r="AR148" s="34">
        <f t="shared" si="49"/>
        <v>377</v>
      </c>
      <c r="AS148" s="35">
        <v>366</v>
      </c>
      <c r="AT148" s="35">
        <v>1560</v>
      </c>
      <c r="AU148" s="35">
        <f t="shared" si="50"/>
        <v>379</v>
      </c>
      <c r="AV148" s="6">
        <v>746</v>
      </c>
      <c r="AW148" s="6"/>
      <c r="AX148" s="35">
        <f t="shared" si="51"/>
        <v>380</v>
      </c>
      <c r="AY148" s="6">
        <v>1129</v>
      </c>
      <c r="AZ148" s="35"/>
      <c r="BA148" s="35">
        <f t="shared" si="52"/>
        <v>383</v>
      </c>
      <c r="BB148" s="6">
        <v>1492</v>
      </c>
      <c r="BC148" s="6"/>
      <c r="BD148" s="35">
        <f t="shared" si="53"/>
        <v>363</v>
      </c>
      <c r="BE148" s="6"/>
      <c r="BF148" s="6"/>
      <c r="BG148" s="35"/>
      <c r="BH148" s="6">
        <v>311</v>
      </c>
      <c r="BI148" s="6">
        <v>1560</v>
      </c>
      <c r="BJ148" s="35">
        <f t="shared" si="54"/>
        <v>379</v>
      </c>
      <c r="BK148" s="6">
        <v>689</v>
      </c>
      <c r="BL148" s="35"/>
      <c r="BM148" s="6">
        <f t="shared" si="55"/>
        <v>378</v>
      </c>
      <c r="BN148" s="6">
        <v>1062</v>
      </c>
      <c r="BO148" s="6"/>
      <c r="BP148" s="6">
        <f t="shared" si="56"/>
        <v>373</v>
      </c>
      <c r="BQ148" s="6">
        <v>1440</v>
      </c>
      <c r="BR148" s="6"/>
      <c r="BS148" s="35">
        <f t="shared" si="57"/>
        <v>378</v>
      </c>
      <c r="BT148" s="6">
        <v>255</v>
      </c>
      <c r="BU148" s="6">
        <v>1560</v>
      </c>
      <c r="BV148" s="6">
        <f t="shared" si="58"/>
        <v>375</v>
      </c>
      <c r="BW148" s="6">
        <v>614</v>
      </c>
      <c r="BX148" s="6"/>
      <c r="BY148" s="35">
        <f t="shared" si="59"/>
        <v>359</v>
      </c>
      <c r="BZ148" s="6"/>
      <c r="CA148" s="35"/>
      <c r="CB148" s="6"/>
      <c r="CC148" s="6">
        <v>985</v>
      </c>
      <c r="CD148" s="6"/>
      <c r="CE148" s="6">
        <f t="shared" si="60"/>
        <v>371</v>
      </c>
      <c r="CF148" s="7">
        <v>0</v>
      </c>
      <c r="CG148" s="35">
        <v>1125</v>
      </c>
      <c r="CH148" s="6">
        <f t="shared" si="61"/>
        <v>140</v>
      </c>
      <c r="CI148" s="6">
        <v>347</v>
      </c>
      <c r="CJ148" s="6"/>
      <c r="CK148" s="6">
        <f t="shared" si="62"/>
        <v>347</v>
      </c>
      <c r="CL148" s="6">
        <v>730</v>
      </c>
      <c r="CM148" s="6"/>
      <c r="CN148" s="6">
        <f t="shared" si="63"/>
        <v>383</v>
      </c>
      <c r="CO148" s="6">
        <v>944</v>
      </c>
      <c r="CP148" s="6"/>
      <c r="CQ148" s="6">
        <f t="shared" si="64"/>
        <v>214</v>
      </c>
      <c r="CR148" s="6">
        <v>1290</v>
      </c>
      <c r="CS148" s="6"/>
      <c r="CT148" s="6">
        <f t="shared" si="65"/>
        <v>346</v>
      </c>
      <c r="CU148" s="6"/>
      <c r="CV148" s="6"/>
      <c r="CW148" s="6"/>
      <c r="CX148" s="6">
        <v>94</v>
      </c>
      <c r="CY148" s="6">
        <v>1560</v>
      </c>
      <c r="CZ148" s="6">
        <f t="shared" si="66"/>
        <v>364</v>
      </c>
      <c r="DA148" s="6">
        <v>444</v>
      </c>
      <c r="DB148" s="6"/>
      <c r="DC148" s="6">
        <f t="shared" si="67"/>
        <v>350</v>
      </c>
      <c r="DD148" s="6">
        <v>794</v>
      </c>
      <c r="DE148" s="6"/>
      <c r="DF148" s="6">
        <f t="shared" si="68"/>
        <v>350</v>
      </c>
      <c r="DG148" s="6">
        <v>1159</v>
      </c>
      <c r="DH148" s="6"/>
      <c r="DI148" s="6">
        <f t="shared" si="69"/>
        <v>365</v>
      </c>
      <c r="DJ148" s="6">
        <v>1501</v>
      </c>
      <c r="DK148" s="6"/>
      <c r="DL148" s="6">
        <f t="shared" si="70"/>
        <v>342</v>
      </c>
      <c r="DM148" s="6">
        <v>270</v>
      </c>
      <c r="DN148" s="6">
        <v>1560</v>
      </c>
      <c r="DO148" s="6">
        <f t="shared" si="71"/>
        <v>329</v>
      </c>
    </row>
    <row r="149" spans="1:119">
      <c r="A149" s="7">
        <v>145</v>
      </c>
      <c r="B149" s="6">
        <v>841</v>
      </c>
      <c r="C149" s="6"/>
      <c r="D149" s="6">
        <v>204</v>
      </c>
      <c r="E149" s="33" t="s">
        <v>128</v>
      </c>
      <c r="F149" s="33" t="s">
        <v>128</v>
      </c>
      <c r="G149" s="33" t="s">
        <v>128</v>
      </c>
      <c r="H149" s="148" t="s">
        <v>37</v>
      </c>
      <c r="I149" s="33" t="s">
        <v>37</v>
      </c>
      <c r="J149" s="33" t="s">
        <v>37</v>
      </c>
      <c r="K149" s="33" t="s">
        <v>37</v>
      </c>
      <c r="L149" s="33" t="s">
        <v>37</v>
      </c>
      <c r="M149" s="33" t="s">
        <v>37</v>
      </c>
      <c r="N149" s="33" t="s">
        <v>37</v>
      </c>
      <c r="O149" s="33" t="s">
        <v>37</v>
      </c>
      <c r="P149" s="33" t="s">
        <v>37</v>
      </c>
      <c r="Q149" s="33" t="s">
        <v>37</v>
      </c>
      <c r="R149" s="33" t="s">
        <v>37</v>
      </c>
      <c r="S149" s="33" t="s">
        <v>37</v>
      </c>
      <c r="T149" s="33" t="s">
        <v>37</v>
      </c>
      <c r="U149" s="33" t="s">
        <v>37</v>
      </c>
      <c r="V149" s="33" t="s">
        <v>37</v>
      </c>
      <c r="W149" s="33" t="s">
        <v>37</v>
      </c>
      <c r="X149" s="33" t="s">
        <v>37</v>
      </c>
      <c r="Y149" s="33" t="s">
        <v>37</v>
      </c>
      <c r="Z149" s="33" t="s">
        <v>37</v>
      </c>
      <c r="AA149" s="33" t="s">
        <v>37</v>
      </c>
      <c r="AB149" s="33" t="s">
        <v>37</v>
      </c>
      <c r="AC149" s="148" t="s">
        <v>37</v>
      </c>
      <c r="AD149" s="35"/>
      <c r="AE149" s="35"/>
      <c r="AF149" s="35"/>
      <c r="AG149" s="35"/>
      <c r="AH149" s="35"/>
      <c r="AI149" s="35"/>
      <c r="AJ149" s="35"/>
      <c r="AK149" s="35"/>
      <c r="AL149" s="35"/>
      <c r="AM149" s="6">
        <v>1266</v>
      </c>
      <c r="AN149" s="6"/>
      <c r="AO149" s="35">
        <f t="shared" si="48"/>
        <v>425</v>
      </c>
      <c r="AP149" s="6">
        <v>1658</v>
      </c>
      <c r="AQ149" s="6"/>
      <c r="AR149" s="34">
        <f t="shared" si="49"/>
        <v>392</v>
      </c>
      <c r="AS149" s="35">
        <v>361</v>
      </c>
      <c r="AT149" s="35">
        <v>1666</v>
      </c>
      <c r="AU149" s="35">
        <f t="shared" si="50"/>
        <v>369</v>
      </c>
      <c r="AV149" s="35">
        <v>758</v>
      </c>
      <c r="AW149" s="6"/>
      <c r="AX149" s="35">
        <f t="shared" si="51"/>
        <v>397</v>
      </c>
      <c r="AY149" s="6">
        <v>1138</v>
      </c>
      <c r="AZ149" s="6"/>
      <c r="BA149" s="35">
        <f t="shared" si="52"/>
        <v>380</v>
      </c>
      <c r="BB149" s="35">
        <v>1507</v>
      </c>
      <c r="BC149" s="35"/>
      <c r="BD149" s="35">
        <f t="shared" si="53"/>
        <v>369</v>
      </c>
      <c r="BE149" s="6"/>
      <c r="BF149" s="6"/>
      <c r="BG149" s="35"/>
      <c r="BH149" s="6">
        <v>316</v>
      </c>
      <c r="BI149" s="6">
        <v>1560</v>
      </c>
      <c r="BJ149" s="35">
        <f t="shared" si="54"/>
        <v>369</v>
      </c>
      <c r="BK149" s="6">
        <v>58</v>
      </c>
      <c r="BL149" s="6">
        <v>614</v>
      </c>
      <c r="BM149" s="6">
        <f t="shared" si="55"/>
        <v>356</v>
      </c>
      <c r="BN149" s="6">
        <v>441</v>
      </c>
      <c r="BO149" s="6"/>
      <c r="BP149" s="6">
        <f t="shared" si="56"/>
        <v>383</v>
      </c>
      <c r="BQ149" s="6">
        <v>815</v>
      </c>
      <c r="BR149" s="6"/>
      <c r="BS149" s="35">
        <f t="shared" si="57"/>
        <v>374</v>
      </c>
      <c r="BT149" s="6">
        <v>1196</v>
      </c>
      <c r="BU149" s="6"/>
      <c r="BV149" s="6">
        <f t="shared" si="58"/>
        <v>381</v>
      </c>
      <c r="BW149" s="6">
        <v>1558</v>
      </c>
      <c r="BX149" s="6"/>
      <c r="BY149" s="35">
        <f t="shared" si="59"/>
        <v>362</v>
      </c>
      <c r="BZ149" s="6"/>
      <c r="CA149" s="6"/>
      <c r="CB149" s="6"/>
      <c r="CC149" s="6">
        <v>378</v>
      </c>
      <c r="CD149" s="6">
        <v>1560</v>
      </c>
      <c r="CE149" s="6">
        <f t="shared" si="60"/>
        <v>380</v>
      </c>
      <c r="CF149" s="7">
        <v>753</v>
      </c>
      <c r="CG149" s="6"/>
      <c r="CH149" s="6">
        <f t="shared" si="61"/>
        <v>375</v>
      </c>
      <c r="CI149" s="6">
        <v>1115</v>
      </c>
      <c r="CJ149" s="6"/>
      <c r="CK149" s="6">
        <f t="shared" si="62"/>
        <v>362</v>
      </c>
      <c r="CL149" s="6">
        <v>1485</v>
      </c>
      <c r="CM149" s="6"/>
      <c r="CN149" s="6">
        <f t="shared" si="63"/>
        <v>370</v>
      </c>
      <c r="CO149" s="6">
        <v>296</v>
      </c>
      <c r="CP149" s="6">
        <v>1560</v>
      </c>
      <c r="CQ149" s="6">
        <f t="shared" si="64"/>
        <v>371</v>
      </c>
      <c r="CR149" s="6">
        <v>645</v>
      </c>
      <c r="CS149" s="6"/>
      <c r="CT149" s="6">
        <f t="shared" si="65"/>
        <v>349</v>
      </c>
      <c r="CU149" s="6"/>
      <c r="CV149" s="6"/>
      <c r="CW149" s="6"/>
      <c r="CX149" s="6">
        <v>1027</v>
      </c>
      <c r="CY149" s="6"/>
      <c r="CZ149" s="6">
        <f t="shared" si="66"/>
        <v>382</v>
      </c>
      <c r="DA149" s="6">
        <v>1391</v>
      </c>
      <c r="DB149" s="6"/>
      <c r="DC149" s="6">
        <f t="shared" si="67"/>
        <v>364</v>
      </c>
      <c r="DD149" s="6">
        <v>262</v>
      </c>
      <c r="DE149" s="6">
        <v>1494</v>
      </c>
      <c r="DF149" s="6">
        <f t="shared" si="68"/>
        <v>365</v>
      </c>
      <c r="DG149" s="6">
        <v>623</v>
      </c>
      <c r="DH149" s="6"/>
      <c r="DI149" s="6">
        <f t="shared" si="69"/>
        <v>361</v>
      </c>
      <c r="DJ149" s="6">
        <v>1000</v>
      </c>
      <c r="DK149" s="6"/>
      <c r="DL149" s="6">
        <f t="shared" si="70"/>
        <v>377</v>
      </c>
      <c r="DM149" s="6">
        <v>250</v>
      </c>
      <c r="DN149" s="6">
        <v>1075</v>
      </c>
      <c r="DO149" s="6">
        <f t="shared" si="71"/>
        <v>325</v>
      </c>
    </row>
    <row r="150" spans="1:119">
      <c r="A150" s="6">
        <v>146</v>
      </c>
      <c r="B150" s="6">
        <v>212</v>
      </c>
      <c r="C150" s="6"/>
      <c r="D150" s="6">
        <v>201</v>
      </c>
      <c r="E150" s="33" t="s">
        <v>37</v>
      </c>
      <c r="F150" s="33" t="s">
        <v>37</v>
      </c>
      <c r="G150" s="33" t="s">
        <v>37</v>
      </c>
      <c r="H150" s="33" t="s">
        <v>37</v>
      </c>
      <c r="I150" s="33" t="s">
        <v>37</v>
      </c>
      <c r="J150" s="148" t="s">
        <v>37</v>
      </c>
      <c r="K150" s="33" t="s">
        <v>37</v>
      </c>
      <c r="L150" s="33" t="s">
        <v>37</v>
      </c>
      <c r="M150" s="33" t="s">
        <v>37</v>
      </c>
      <c r="N150" s="33" t="s">
        <v>37</v>
      </c>
      <c r="O150" s="33" t="s">
        <v>37</v>
      </c>
      <c r="P150" s="33" t="s">
        <v>37</v>
      </c>
      <c r="Q150" s="33" t="s">
        <v>37</v>
      </c>
      <c r="R150" s="33" t="s">
        <v>37</v>
      </c>
      <c r="S150" s="33" t="s">
        <v>37</v>
      </c>
      <c r="T150" s="33" t="s">
        <v>37</v>
      </c>
      <c r="U150" s="33" t="s">
        <v>37</v>
      </c>
      <c r="V150" s="33" t="s">
        <v>37</v>
      </c>
      <c r="W150" s="33" t="s">
        <v>37</v>
      </c>
      <c r="X150" s="33" t="s">
        <v>37</v>
      </c>
      <c r="Y150" s="33" t="s">
        <v>37</v>
      </c>
      <c r="Z150" s="33" t="s">
        <v>37</v>
      </c>
      <c r="AA150" s="33" t="s">
        <v>37</v>
      </c>
      <c r="AB150" s="33" t="s">
        <v>37</v>
      </c>
      <c r="AC150" s="33" t="s">
        <v>37</v>
      </c>
      <c r="AD150" s="6"/>
      <c r="AE150" s="6"/>
      <c r="AF150" s="35"/>
      <c r="AG150" s="6"/>
      <c r="AH150" s="6"/>
      <c r="AI150" s="35"/>
      <c r="AJ150" s="35"/>
      <c r="AK150" s="35"/>
      <c r="AL150" s="35"/>
      <c r="AM150" s="6">
        <v>623</v>
      </c>
      <c r="AN150" s="6"/>
      <c r="AO150" s="35">
        <f t="shared" si="48"/>
        <v>411</v>
      </c>
      <c r="AP150" s="6">
        <v>993</v>
      </c>
      <c r="AQ150" s="6"/>
      <c r="AR150" s="34">
        <f t="shared" si="49"/>
        <v>370</v>
      </c>
      <c r="AS150" s="35">
        <v>1368</v>
      </c>
      <c r="AT150" s="35"/>
      <c r="AU150" s="35">
        <f t="shared" si="50"/>
        <v>375</v>
      </c>
      <c r="AV150" s="6">
        <v>0</v>
      </c>
      <c r="AW150" s="6">
        <v>1686</v>
      </c>
      <c r="AX150" s="35">
        <f t="shared" si="51"/>
        <v>318</v>
      </c>
      <c r="AY150" s="6">
        <v>373</v>
      </c>
      <c r="AZ150" s="6"/>
      <c r="BA150" s="35">
        <f t="shared" si="52"/>
        <v>373</v>
      </c>
      <c r="BB150" s="6">
        <v>737</v>
      </c>
      <c r="BC150" s="6"/>
      <c r="BD150" s="35">
        <f t="shared" si="53"/>
        <v>364</v>
      </c>
      <c r="BE150" s="6"/>
      <c r="BF150" s="6"/>
      <c r="BG150" s="35"/>
      <c r="BH150" s="6">
        <v>1120</v>
      </c>
      <c r="BI150" s="6"/>
      <c r="BJ150" s="35">
        <f t="shared" si="54"/>
        <v>383</v>
      </c>
      <c r="BK150" s="6">
        <v>1498</v>
      </c>
      <c r="BL150" s="35"/>
      <c r="BM150" s="6">
        <f t="shared" si="55"/>
        <v>378</v>
      </c>
      <c r="BN150" s="6">
        <v>321</v>
      </c>
      <c r="BO150" s="6">
        <v>1560</v>
      </c>
      <c r="BP150" s="6">
        <f t="shared" si="56"/>
        <v>383</v>
      </c>
      <c r="BQ150" s="6">
        <v>703</v>
      </c>
      <c r="BR150" s="6"/>
      <c r="BS150" s="35">
        <f t="shared" si="57"/>
        <v>382</v>
      </c>
      <c r="BT150" s="6">
        <v>1085</v>
      </c>
      <c r="BU150" s="6"/>
      <c r="BV150" s="6">
        <f t="shared" si="58"/>
        <v>382</v>
      </c>
      <c r="BW150" s="6">
        <v>1439</v>
      </c>
      <c r="BX150" s="6"/>
      <c r="BY150" s="35">
        <f t="shared" si="59"/>
        <v>354</v>
      </c>
      <c r="BZ150" s="6"/>
      <c r="CA150" s="35"/>
      <c r="CB150" s="6"/>
      <c r="CC150" s="6">
        <v>247</v>
      </c>
      <c r="CD150" s="6">
        <v>1565</v>
      </c>
      <c r="CE150" s="6">
        <f t="shared" si="60"/>
        <v>373</v>
      </c>
      <c r="CF150" s="7">
        <v>615</v>
      </c>
      <c r="CG150" s="35"/>
      <c r="CH150" s="6">
        <f t="shared" si="61"/>
        <v>368</v>
      </c>
      <c r="CI150" s="6">
        <v>979</v>
      </c>
      <c r="CJ150" s="6"/>
      <c r="CK150" s="6">
        <f t="shared" si="62"/>
        <v>364</v>
      </c>
      <c r="CL150" s="6">
        <v>1350</v>
      </c>
      <c r="CM150" s="6"/>
      <c r="CN150" s="6">
        <f t="shared" si="63"/>
        <v>371</v>
      </c>
      <c r="CO150" s="6">
        <v>115</v>
      </c>
      <c r="CP150" s="6">
        <v>1560</v>
      </c>
      <c r="CQ150" s="6">
        <f t="shared" si="64"/>
        <v>325</v>
      </c>
      <c r="CR150" s="6">
        <v>467</v>
      </c>
      <c r="CS150" s="6"/>
      <c r="CT150" s="6">
        <f t="shared" si="65"/>
        <v>352</v>
      </c>
      <c r="CU150" s="6"/>
      <c r="CV150" s="6"/>
      <c r="CW150" s="6"/>
      <c r="CX150" s="6">
        <v>859</v>
      </c>
      <c r="CY150" s="6"/>
      <c r="CZ150" s="6">
        <f t="shared" si="66"/>
        <v>392</v>
      </c>
      <c r="DA150" s="6">
        <v>1247</v>
      </c>
      <c r="DB150" s="6"/>
      <c r="DC150" s="6">
        <f t="shared" si="67"/>
        <v>388</v>
      </c>
      <c r="DD150" s="6">
        <v>78</v>
      </c>
      <c r="DE150" s="6">
        <v>1562</v>
      </c>
      <c r="DF150" s="6">
        <f t="shared" si="68"/>
        <v>393</v>
      </c>
      <c r="DG150" s="6">
        <v>468</v>
      </c>
      <c r="DH150" s="6"/>
      <c r="DI150" s="6">
        <f t="shared" si="69"/>
        <v>390</v>
      </c>
      <c r="DJ150" s="6">
        <v>863</v>
      </c>
      <c r="DK150" s="6"/>
      <c r="DL150" s="6">
        <f t="shared" si="70"/>
        <v>395</v>
      </c>
      <c r="DM150" s="6">
        <v>1215</v>
      </c>
      <c r="DN150" s="6"/>
      <c r="DO150" s="6">
        <f t="shared" si="71"/>
        <v>352</v>
      </c>
    </row>
    <row r="151" spans="1:119">
      <c r="A151" s="6">
        <v>147</v>
      </c>
      <c r="B151" s="6">
        <v>610</v>
      </c>
      <c r="C151" s="6"/>
      <c r="D151" s="6">
        <v>200</v>
      </c>
      <c r="E151" s="33" t="s">
        <v>37</v>
      </c>
      <c r="F151" s="33" t="s">
        <v>37</v>
      </c>
      <c r="G151" s="33" t="s">
        <v>37</v>
      </c>
      <c r="H151" s="33" t="s">
        <v>37</v>
      </c>
      <c r="I151" s="148" t="s">
        <v>37</v>
      </c>
      <c r="J151" s="33" t="s">
        <v>37</v>
      </c>
      <c r="K151" s="33" t="s">
        <v>37</v>
      </c>
      <c r="L151" s="33" t="s">
        <v>37</v>
      </c>
      <c r="M151" s="33" t="s">
        <v>37</v>
      </c>
      <c r="N151" s="33" t="s">
        <v>37</v>
      </c>
      <c r="O151" s="33" t="s">
        <v>37</v>
      </c>
      <c r="P151" s="33" t="s">
        <v>37</v>
      </c>
      <c r="Q151" s="33" t="s">
        <v>37</v>
      </c>
      <c r="R151" s="33" t="s">
        <v>37</v>
      </c>
      <c r="S151" s="33" t="s">
        <v>37</v>
      </c>
      <c r="T151" s="33" t="s">
        <v>37</v>
      </c>
      <c r="U151" s="33" t="s">
        <v>37</v>
      </c>
      <c r="V151" s="33" t="s">
        <v>37</v>
      </c>
      <c r="W151" s="33" t="s">
        <v>37</v>
      </c>
      <c r="X151" s="33" t="s">
        <v>37</v>
      </c>
      <c r="Y151" s="33" t="s">
        <v>37</v>
      </c>
      <c r="Z151" s="33" t="s">
        <v>37</v>
      </c>
      <c r="AA151" s="33" t="s">
        <v>37</v>
      </c>
      <c r="AB151" s="33" t="s">
        <v>37</v>
      </c>
      <c r="AC151" s="33" t="s">
        <v>37</v>
      </c>
      <c r="AD151" s="6"/>
      <c r="AE151" s="35"/>
      <c r="AF151" s="35"/>
      <c r="AG151" s="6"/>
      <c r="AH151" s="35"/>
      <c r="AI151" s="35"/>
      <c r="AJ151" s="35"/>
      <c r="AK151" s="35"/>
      <c r="AL151" s="35"/>
      <c r="AM151" s="6">
        <v>1011</v>
      </c>
      <c r="AN151" s="6"/>
      <c r="AO151" s="35">
        <f t="shared" si="48"/>
        <v>401</v>
      </c>
      <c r="AP151" s="6">
        <v>1386</v>
      </c>
      <c r="AQ151" s="6"/>
      <c r="AR151" s="34">
        <f t="shared" si="49"/>
        <v>375</v>
      </c>
      <c r="AS151" s="35">
        <v>203</v>
      </c>
      <c r="AT151" s="35">
        <v>1560</v>
      </c>
      <c r="AU151" s="35">
        <f t="shared" si="50"/>
        <v>377</v>
      </c>
      <c r="AV151" s="6">
        <v>297</v>
      </c>
      <c r="AW151" s="6">
        <v>272</v>
      </c>
      <c r="AX151" s="35">
        <f t="shared" si="51"/>
        <v>366</v>
      </c>
      <c r="AY151" s="6">
        <v>681</v>
      </c>
      <c r="AZ151" s="6"/>
      <c r="BA151" s="35">
        <f t="shared" si="52"/>
        <v>384</v>
      </c>
      <c r="BB151" s="6">
        <v>1049</v>
      </c>
      <c r="BC151" s="6"/>
      <c r="BD151" s="35">
        <f t="shared" si="53"/>
        <v>368</v>
      </c>
      <c r="BE151" s="6"/>
      <c r="BF151" s="6"/>
      <c r="BG151" s="35"/>
      <c r="BH151" s="6">
        <v>1437</v>
      </c>
      <c r="BI151" s="6"/>
      <c r="BJ151" s="35">
        <f t="shared" si="54"/>
        <v>388</v>
      </c>
      <c r="BK151" s="6">
        <v>250</v>
      </c>
      <c r="BL151" s="35">
        <v>1560</v>
      </c>
      <c r="BM151" s="6">
        <f t="shared" si="55"/>
        <v>373</v>
      </c>
      <c r="BN151" s="6">
        <v>631</v>
      </c>
      <c r="BO151" s="6"/>
      <c r="BP151" s="6">
        <f t="shared" si="56"/>
        <v>381</v>
      </c>
      <c r="BQ151" s="6">
        <v>1008</v>
      </c>
      <c r="BR151" s="6"/>
      <c r="BS151" s="35">
        <f t="shared" si="57"/>
        <v>377</v>
      </c>
      <c r="BT151" s="6">
        <v>1380</v>
      </c>
      <c r="BU151" s="6"/>
      <c r="BV151" s="6">
        <f t="shared" si="58"/>
        <v>372</v>
      </c>
      <c r="BW151" s="6">
        <v>172</v>
      </c>
      <c r="BX151" s="6">
        <v>1560</v>
      </c>
      <c r="BY151" s="35">
        <f t="shared" si="59"/>
        <v>352</v>
      </c>
      <c r="BZ151" s="6"/>
      <c r="CA151" s="35"/>
      <c r="CB151" s="6"/>
      <c r="CC151" s="6">
        <v>556</v>
      </c>
      <c r="CD151" s="6"/>
      <c r="CE151" s="6">
        <f t="shared" si="60"/>
        <v>384</v>
      </c>
      <c r="CF151" s="7">
        <v>936</v>
      </c>
      <c r="CG151" s="35"/>
      <c r="CH151" s="6">
        <f t="shared" si="61"/>
        <v>380</v>
      </c>
      <c r="CI151" s="6">
        <v>1317</v>
      </c>
      <c r="CJ151" s="6"/>
      <c r="CK151" s="6">
        <f t="shared" si="62"/>
        <v>381</v>
      </c>
      <c r="CL151" s="6">
        <v>130</v>
      </c>
      <c r="CM151" s="6">
        <v>1561</v>
      </c>
      <c r="CN151" s="6">
        <f t="shared" si="63"/>
        <v>374</v>
      </c>
      <c r="CO151" s="6">
        <v>500</v>
      </c>
      <c r="CP151" s="6"/>
      <c r="CQ151" s="6">
        <f t="shared" si="64"/>
        <v>370</v>
      </c>
      <c r="CR151" s="6">
        <v>834</v>
      </c>
      <c r="CS151" s="6"/>
      <c r="CT151" s="6">
        <f t="shared" si="65"/>
        <v>334</v>
      </c>
      <c r="CU151" s="6"/>
      <c r="CV151" s="6"/>
      <c r="CW151" s="6"/>
      <c r="CX151" s="6">
        <v>1205</v>
      </c>
      <c r="CY151" s="6"/>
      <c r="CZ151" s="6">
        <f t="shared" si="66"/>
        <v>371</v>
      </c>
      <c r="DA151" s="6">
        <v>5</v>
      </c>
      <c r="DB151" s="6">
        <v>1561</v>
      </c>
      <c r="DC151" s="6">
        <f t="shared" si="67"/>
        <v>361</v>
      </c>
      <c r="DD151" s="6">
        <v>373</v>
      </c>
      <c r="DE151" s="6"/>
      <c r="DF151" s="6">
        <f t="shared" si="68"/>
        <v>368</v>
      </c>
      <c r="DG151" s="6">
        <v>741</v>
      </c>
      <c r="DH151" s="6"/>
      <c r="DI151" s="6">
        <f t="shared" si="69"/>
        <v>368</v>
      </c>
      <c r="DJ151" s="6">
        <v>1112</v>
      </c>
      <c r="DK151" s="6"/>
      <c r="DL151" s="6">
        <f t="shared" si="70"/>
        <v>371</v>
      </c>
      <c r="DM151" s="6">
        <v>1445</v>
      </c>
      <c r="DN151" s="6"/>
      <c r="DO151" s="6">
        <f t="shared" si="71"/>
        <v>333</v>
      </c>
    </row>
    <row r="152" spans="1:119">
      <c r="A152" s="6">
        <v>148</v>
      </c>
      <c r="B152" s="6">
        <v>203</v>
      </c>
      <c r="C152" s="6">
        <v>1560</v>
      </c>
      <c r="D152" s="6">
        <v>213</v>
      </c>
      <c r="E152" s="33" t="s">
        <v>128</v>
      </c>
      <c r="F152" s="33" t="s">
        <v>128</v>
      </c>
      <c r="G152" s="33" t="s">
        <v>128</v>
      </c>
      <c r="H152" s="33" t="s">
        <v>128</v>
      </c>
      <c r="I152" s="33" t="s">
        <v>128</v>
      </c>
      <c r="J152" s="33" t="s">
        <v>128</v>
      </c>
      <c r="K152" s="33" t="s">
        <v>128</v>
      </c>
      <c r="L152" s="33" t="s">
        <v>128</v>
      </c>
      <c r="M152" s="33" t="s">
        <v>128</v>
      </c>
      <c r="N152" s="33" t="s">
        <v>128</v>
      </c>
      <c r="O152" s="33" t="s">
        <v>128</v>
      </c>
      <c r="P152" s="33" t="s">
        <v>128</v>
      </c>
      <c r="Q152" s="33" t="s">
        <v>128</v>
      </c>
      <c r="R152" s="148" t="s">
        <v>37</v>
      </c>
      <c r="S152" s="33" t="s">
        <v>37</v>
      </c>
      <c r="T152" s="33" t="s">
        <v>37</v>
      </c>
      <c r="U152" s="33" t="s">
        <v>37</v>
      </c>
      <c r="V152" s="33" t="s">
        <v>37</v>
      </c>
      <c r="W152" s="33" t="s">
        <v>37</v>
      </c>
      <c r="X152" s="33" t="s">
        <v>37</v>
      </c>
      <c r="Y152" s="33" t="s">
        <v>37</v>
      </c>
      <c r="Z152" s="33" t="s">
        <v>37</v>
      </c>
      <c r="AA152" s="33" t="s">
        <v>37</v>
      </c>
      <c r="AB152" s="33" t="s">
        <v>37</v>
      </c>
      <c r="AC152" s="33" t="s">
        <v>37</v>
      </c>
      <c r="AD152" s="6"/>
      <c r="AE152" s="6"/>
      <c r="AF152" s="35"/>
      <c r="AG152" s="6"/>
      <c r="AH152" s="6"/>
      <c r="AI152" s="35"/>
      <c r="AJ152" s="35"/>
      <c r="AK152" s="35"/>
      <c r="AL152" s="35"/>
      <c r="AM152" s="6">
        <v>633</v>
      </c>
      <c r="AN152" s="6"/>
      <c r="AO152" s="35">
        <f t="shared" si="48"/>
        <v>430</v>
      </c>
      <c r="AP152" s="6">
        <v>1027</v>
      </c>
      <c r="AQ152" s="6"/>
      <c r="AR152" s="34">
        <f t="shared" si="49"/>
        <v>394</v>
      </c>
      <c r="AS152" s="35">
        <v>1424</v>
      </c>
      <c r="AT152" s="35"/>
      <c r="AU152" s="35">
        <f t="shared" si="50"/>
        <v>397</v>
      </c>
      <c r="AV152" s="6">
        <v>258</v>
      </c>
      <c r="AW152" s="6">
        <v>1560</v>
      </c>
      <c r="AX152" s="35">
        <f t="shared" si="51"/>
        <v>394</v>
      </c>
      <c r="AY152" s="6">
        <v>661</v>
      </c>
      <c r="AZ152" s="6"/>
      <c r="BA152" s="35">
        <f t="shared" si="52"/>
        <v>403</v>
      </c>
      <c r="BB152" s="6">
        <v>1048</v>
      </c>
      <c r="BC152" s="6"/>
      <c r="BD152" s="35">
        <f t="shared" si="53"/>
        <v>387</v>
      </c>
      <c r="BE152" s="6"/>
      <c r="BF152" s="6"/>
      <c r="BG152" s="35"/>
      <c r="BH152" s="6">
        <v>283</v>
      </c>
      <c r="BI152" s="6">
        <v>1162</v>
      </c>
      <c r="BJ152" s="35">
        <f t="shared" si="54"/>
        <v>397</v>
      </c>
      <c r="BK152" s="6">
        <v>675</v>
      </c>
      <c r="BL152" s="35"/>
      <c r="BM152" s="6">
        <f t="shared" si="55"/>
        <v>392</v>
      </c>
      <c r="BN152" s="6">
        <v>1067</v>
      </c>
      <c r="BO152" s="6"/>
      <c r="BP152" s="6">
        <f t="shared" si="56"/>
        <v>392</v>
      </c>
      <c r="BQ152" s="6">
        <v>1460</v>
      </c>
      <c r="BR152" s="6"/>
      <c r="BS152" s="35">
        <f t="shared" si="57"/>
        <v>393</v>
      </c>
      <c r="BT152" s="6">
        <v>299</v>
      </c>
      <c r="BU152" s="6">
        <v>1560</v>
      </c>
      <c r="BV152" s="6">
        <f t="shared" si="58"/>
        <v>399</v>
      </c>
      <c r="BW152" s="6">
        <v>0</v>
      </c>
      <c r="BX152" s="6">
        <v>489</v>
      </c>
      <c r="BY152" s="35">
        <f t="shared" si="59"/>
        <v>190</v>
      </c>
      <c r="BZ152" s="35"/>
      <c r="CA152" s="35"/>
      <c r="CB152" s="6"/>
      <c r="CC152" s="6">
        <v>360</v>
      </c>
      <c r="CD152" s="6"/>
      <c r="CE152" s="6">
        <f t="shared" si="60"/>
        <v>360</v>
      </c>
      <c r="CF152" s="7">
        <v>744</v>
      </c>
      <c r="CG152" s="35"/>
      <c r="CH152" s="6">
        <f t="shared" si="61"/>
        <v>384</v>
      </c>
      <c r="CI152" s="6">
        <v>1142</v>
      </c>
      <c r="CJ152" s="6"/>
      <c r="CK152" s="6">
        <f t="shared" si="62"/>
        <v>398</v>
      </c>
      <c r="CL152" s="6">
        <v>1527</v>
      </c>
      <c r="CM152" s="6"/>
      <c r="CN152" s="6">
        <f t="shared" si="63"/>
        <v>385</v>
      </c>
      <c r="CO152" s="6">
        <v>349</v>
      </c>
      <c r="CP152" s="6">
        <v>1560</v>
      </c>
      <c r="CQ152" s="6">
        <f t="shared" si="64"/>
        <v>382</v>
      </c>
      <c r="CR152" s="6">
        <v>712</v>
      </c>
      <c r="CS152" s="6"/>
      <c r="CT152" s="6">
        <f t="shared" si="65"/>
        <v>363</v>
      </c>
      <c r="CU152" s="6"/>
      <c r="CV152" s="6"/>
      <c r="CW152" s="6"/>
      <c r="CX152" s="6">
        <v>1090</v>
      </c>
      <c r="CY152" s="6"/>
      <c r="CZ152" s="6">
        <f t="shared" si="66"/>
        <v>378</v>
      </c>
      <c r="DA152" s="6">
        <v>49</v>
      </c>
      <c r="DB152" s="6">
        <v>1408</v>
      </c>
      <c r="DC152" s="6">
        <f t="shared" si="67"/>
        <v>367</v>
      </c>
      <c r="DD152" s="6">
        <v>125</v>
      </c>
      <c r="DE152" s="6">
        <v>303</v>
      </c>
      <c r="DF152" s="6">
        <f t="shared" si="68"/>
        <v>379</v>
      </c>
      <c r="DG152" s="6">
        <v>505</v>
      </c>
      <c r="DH152" s="6"/>
      <c r="DI152" s="6">
        <f t="shared" si="69"/>
        <v>380</v>
      </c>
      <c r="DJ152" s="6">
        <v>886</v>
      </c>
      <c r="DK152" s="6"/>
      <c r="DL152" s="6">
        <f t="shared" si="70"/>
        <v>381</v>
      </c>
      <c r="DM152" s="6">
        <v>1231</v>
      </c>
      <c r="DN152" s="6"/>
      <c r="DO152" s="6">
        <f t="shared" si="71"/>
        <v>345</v>
      </c>
    </row>
    <row r="153" spans="1:119">
      <c r="A153" s="6">
        <v>149</v>
      </c>
      <c r="B153" s="6">
        <v>457</v>
      </c>
      <c r="C153" s="6"/>
      <c r="D153" s="6">
        <v>206</v>
      </c>
      <c r="E153" s="33" t="s">
        <v>128</v>
      </c>
      <c r="F153" s="33" t="s">
        <v>128</v>
      </c>
      <c r="G153" s="33" t="s">
        <v>128</v>
      </c>
      <c r="H153" s="148" t="s">
        <v>37</v>
      </c>
      <c r="I153" s="33" t="s">
        <v>37</v>
      </c>
      <c r="J153" s="33" t="s">
        <v>37</v>
      </c>
      <c r="K153" s="33" t="s">
        <v>37</v>
      </c>
      <c r="L153" s="33" t="s">
        <v>37</v>
      </c>
      <c r="M153" s="33" t="s">
        <v>37</v>
      </c>
      <c r="N153" s="33" t="s">
        <v>37</v>
      </c>
      <c r="O153" s="33" t="s">
        <v>37</v>
      </c>
      <c r="P153" s="33" t="s">
        <v>37</v>
      </c>
      <c r="Q153" s="33" t="s">
        <v>37</v>
      </c>
      <c r="R153" s="33" t="s">
        <v>37</v>
      </c>
      <c r="S153" s="33" t="s">
        <v>37</v>
      </c>
      <c r="T153" s="33" t="s">
        <v>37</v>
      </c>
      <c r="U153" s="33" t="s">
        <v>37</v>
      </c>
      <c r="V153" s="33" t="s">
        <v>37</v>
      </c>
      <c r="W153" s="33" t="s">
        <v>37</v>
      </c>
      <c r="X153" s="33" t="s">
        <v>37</v>
      </c>
      <c r="Y153" s="33" t="s">
        <v>37</v>
      </c>
      <c r="Z153" s="33" t="s">
        <v>37</v>
      </c>
      <c r="AA153" s="33" t="s">
        <v>37</v>
      </c>
      <c r="AB153" s="33" t="s">
        <v>37</v>
      </c>
      <c r="AC153" s="148" t="s">
        <v>37</v>
      </c>
      <c r="AD153" s="6"/>
      <c r="AE153" s="6"/>
      <c r="AF153" s="35"/>
      <c r="AG153" s="6"/>
      <c r="AH153" s="6"/>
      <c r="AI153" s="35"/>
      <c r="AJ153" s="35"/>
      <c r="AK153" s="35"/>
      <c r="AL153" s="35"/>
      <c r="AM153" s="6">
        <v>874</v>
      </c>
      <c r="AN153" s="6"/>
      <c r="AO153" s="35">
        <f t="shared" si="48"/>
        <v>417</v>
      </c>
      <c r="AP153" s="6">
        <v>0</v>
      </c>
      <c r="AQ153" s="6">
        <v>1255</v>
      </c>
      <c r="AR153" s="34">
        <f t="shared" si="49"/>
        <v>381</v>
      </c>
      <c r="AS153" s="35">
        <v>369</v>
      </c>
      <c r="AT153" s="35"/>
      <c r="AU153" s="35">
        <f t="shared" si="50"/>
        <v>369</v>
      </c>
      <c r="AV153" s="6">
        <v>758</v>
      </c>
      <c r="AW153" s="6"/>
      <c r="AX153" s="35">
        <f t="shared" si="51"/>
        <v>389</v>
      </c>
      <c r="AY153" s="6">
        <v>1142</v>
      </c>
      <c r="AZ153" s="6"/>
      <c r="BA153" s="35">
        <f t="shared" si="52"/>
        <v>384</v>
      </c>
      <c r="BB153" s="6">
        <v>1511</v>
      </c>
      <c r="BC153" s="6"/>
      <c r="BD153" s="35">
        <f t="shared" si="53"/>
        <v>369</v>
      </c>
      <c r="BE153" s="6"/>
      <c r="BF153" s="6"/>
      <c r="BG153" s="35"/>
      <c r="BH153" s="6">
        <v>338</v>
      </c>
      <c r="BI153" s="6">
        <v>1560</v>
      </c>
      <c r="BJ153" s="35">
        <f t="shared" si="54"/>
        <v>387</v>
      </c>
      <c r="BK153" s="6">
        <v>710</v>
      </c>
      <c r="BL153" s="35"/>
      <c r="BM153" s="6">
        <f t="shared" si="55"/>
        <v>372</v>
      </c>
      <c r="BN153" s="6">
        <v>1089</v>
      </c>
      <c r="BO153" s="6"/>
      <c r="BP153" s="6">
        <f t="shared" si="56"/>
        <v>379</v>
      </c>
      <c r="BQ153" s="6">
        <v>1471</v>
      </c>
      <c r="BR153" s="6"/>
      <c r="BS153" s="35">
        <f t="shared" si="57"/>
        <v>382</v>
      </c>
      <c r="BT153" s="6">
        <v>290</v>
      </c>
      <c r="BU153" s="6">
        <v>1560</v>
      </c>
      <c r="BV153" s="6">
        <f t="shared" si="58"/>
        <v>379</v>
      </c>
      <c r="BW153" s="6">
        <v>651</v>
      </c>
      <c r="BX153" s="6"/>
      <c r="BY153" s="35">
        <f t="shared" si="59"/>
        <v>361</v>
      </c>
      <c r="BZ153" s="6"/>
      <c r="CA153" s="35"/>
      <c r="CB153" s="6"/>
      <c r="CC153" s="6">
        <v>1034</v>
      </c>
      <c r="CD153" s="6"/>
      <c r="CE153" s="6">
        <f t="shared" si="60"/>
        <v>383</v>
      </c>
      <c r="CF153" s="7">
        <v>1412</v>
      </c>
      <c r="CG153" s="35"/>
      <c r="CH153" s="6">
        <f t="shared" si="61"/>
        <v>378</v>
      </c>
      <c r="CI153" s="6">
        <v>225</v>
      </c>
      <c r="CJ153" s="6">
        <v>1560</v>
      </c>
      <c r="CK153" s="6">
        <f t="shared" si="62"/>
        <v>373</v>
      </c>
      <c r="CL153" s="6">
        <v>608</v>
      </c>
      <c r="CM153" s="6"/>
      <c r="CN153" s="6">
        <f t="shared" si="63"/>
        <v>383</v>
      </c>
      <c r="CO153" s="6">
        <v>975</v>
      </c>
      <c r="CP153" s="6"/>
      <c r="CQ153" s="6">
        <f t="shared" si="64"/>
        <v>367</v>
      </c>
      <c r="CR153" s="6">
        <v>1336</v>
      </c>
      <c r="CS153" s="6"/>
      <c r="CT153" s="6">
        <f t="shared" si="65"/>
        <v>361</v>
      </c>
      <c r="CU153" s="6"/>
      <c r="CV153" s="6"/>
      <c r="CW153" s="6"/>
      <c r="CX153" s="6">
        <v>150</v>
      </c>
      <c r="CY153" s="6">
        <v>1560</v>
      </c>
      <c r="CZ153" s="6">
        <f t="shared" si="66"/>
        <v>374</v>
      </c>
      <c r="DA153" s="6">
        <v>520</v>
      </c>
      <c r="DB153" s="6"/>
      <c r="DC153" s="6">
        <f t="shared" si="67"/>
        <v>370</v>
      </c>
      <c r="DD153" s="6">
        <v>884</v>
      </c>
      <c r="DE153" s="6"/>
      <c r="DF153" s="6">
        <f t="shared" si="68"/>
        <v>364</v>
      </c>
      <c r="DG153" s="6">
        <v>1256</v>
      </c>
      <c r="DH153" s="6"/>
      <c r="DI153" s="6">
        <f t="shared" si="69"/>
        <v>372</v>
      </c>
      <c r="DJ153" s="6">
        <v>0</v>
      </c>
      <c r="DK153" s="6">
        <v>1625</v>
      </c>
      <c r="DL153" s="6">
        <f t="shared" si="70"/>
        <v>369</v>
      </c>
      <c r="DM153" s="6">
        <v>321</v>
      </c>
      <c r="DN153" s="6"/>
      <c r="DO153" s="6">
        <f t="shared" si="71"/>
        <v>321</v>
      </c>
    </row>
    <row r="154" spans="1:119">
      <c r="A154" s="6">
        <v>150</v>
      </c>
      <c r="B154" s="6">
        <v>1550</v>
      </c>
      <c r="C154" s="6"/>
      <c r="D154" s="6">
        <v>201</v>
      </c>
      <c r="E154" s="33" t="s">
        <v>37</v>
      </c>
      <c r="F154" s="33" t="s">
        <v>37</v>
      </c>
      <c r="G154" s="33" t="s">
        <v>37</v>
      </c>
      <c r="H154" s="33" t="s">
        <v>37</v>
      </c>
      <c r="I154" s="33" t="s">
        <v>37</v>
      </c>
      <c r="J154" s="148" t="s">
        <v>37</v>
      </c>
      <c r="K154" s="33" t="s">
        <v>37</v>
      </c>
      <c r="L154" s="33" t="s">
        <v>37</v>
      </c>
      <c r="M154" s="33" t="s">
        <v>37</v>
      </c>
      <c r="N154" s="33" t="s">
        <v>37</v>
      </c>
      <c r="O154" s="33" t="s">
        <v>37</v>
      </c>
      <c r="P154" s="33" t="s">
        <v>37</v>
      </c>
      <c r="Q154" s="33" t="s">
        <v>37</v>
      </c>
      <c r="R154" s="33" t="s">
        <v>37</v>
      </c>
      <c r="S154" s="33" t="s">
        <v>37</v>
      </c>
      <c r="T154" s="33" t="s">
        <v>37</v>
      </c>
      <c r="U154" s="33" t="s">
        <v>37</v>
      </c>
      <c r="V154" s="33" t="s">
        <v>37</v>
      </c>
      <c r="W154" s="33" t="s">
        <v>37</v>
      </c>
      <c r="X154" s="33" t="s">
        <v>37</v>
      </c>
      <c r="Y154" s="33" t="s">
        <v>37</v>
      </c>
      <c r="Z154" s="33" t="s">
        <v>37</v>
      </c>
      <c r="AA154" s="33" t="s">
        <v>37</v>
      </c>
      <c r="AB154" s="33" t="s">
        <v>37</v>
      </c>
      <c r="AC154" s="33" t="s">
        <v>37</v>
      </c>
      <c r="AD154" s="6"/>
      <c r="AE154" s="6"/>
      <c r="AF154" s="35"/>
      <c r="AG154" s="6"/>
      <c r="AH154" s="6"/>
      <c r="AI154" s="35"/>
      <c r="AJ154" s="35"/>
      <c r="AK154" s="35"/>
      <c r="AL154" s="35"/>
      <c r="AM154" s="6">
        <v>343</v>
      </c>
      <c r="AN154" s="6">
        <v>1570</v>
      </c>
      <c r="AO154" s="35">
        <f t="shared" si="48"/>
        <v>363</v>
      </c>
      <c r="AP154" s="6">
        <v>713</v>
      </c>
      <c r="AQ154" s="6"/>
      <c r="AR154" s="34">
        <f t="shared" si="49"/>
        <v>370</v>
      </c>
      <c r="AS154" s="35">
        <v>1092</v>
      </c>
      <c r="AT154" s="35"/>
      <c r="AU154" s="35">
        <f t="shared" si="50"/>
        <v>379</v>
      </c>
      <c r="AV154" s="6">
        <v>1470</v>
      </c>
      <c r="AW154" s="6"/>
      <c r="AX154" s="35">
        <f t="shared" si="51"/>
        <v>378</v>
      </c>
      <c r="AY154" s="6">
        <v>331</v>
      </c>
      <c r="AZ154" s="6">
        <v>1492</v>
      </c>
      <c r="BA154" s="35">
        <f t="shared" si="52"/>
        <v>353</v>
      </c>
      <c r="BB154" s="35">
        <v>697</v>
      </c>
      <c r="BC154" s="35"/>
      <c r="BD154" s="35">
        <f t="shared" si="53"/>
        <v>366</v>
      </c>
      <c r="BF154" s="6"/>
      <c r="BG154" s="35"/>
      <c r="BH154" s="6">
        <v>1072</v>
      </c>
      <c r="BI154" s="6"/>
      <c r="BJ154" s="35">
        <f t="shared" si="54"/>
        <v>375</v>
      </c>
      <c r="BK154" s="6">
        <v>1449</v>
      </c>
      <c r="BL154" s="6"/>
      <c r="BM154" s="6">
        <f t="shared" si="55"/>
        <v>377</v>
      </c>
      <c r="BN154" s="6">
        <v>265</v>
      </c>
      <c r="BO154" s="6">
        <v>1560</v>
      </c>
      <c r="BP154" s="6">
        <f t="shared" si="56"/>
        <v>376</v>
      </c>
      <c r="BQ154" s="6">
        <v>637</v>
      </c>
      <c r="BR154" s="6"/>
      <c r="BS154" s="35">
        <f t="shared" si="57"/>
        <v>372</v>
      </c>
      <c r="BT154" s="6">
        <v>1018</v>
      </c>
      <c r="BU154" s="6"/>
      <c r="BV154" s="6">
        <f t="shared" si="58"/>
        <v>381</v>
      </c>
      <c r="BW154" s="6">
        <v>165</v>
      </c>
      <c r="BX154" s="6">
        <v>1206</v>
      </c>
      <c r="BY154" s="35">
        <f t="shared" si="59"/>
        <v>353</v>
      </c>
      <c r="BZ154" s="6"/>
      <c r="CA154" s="6"/>
      <c r="CB154" s="6"/>
      <c r="CC154" s="6">
        <v>546</v>
      </c>
      <c r="CD154" s="6"/>
      <c r="CE154" s="6">
        <f t="shared" si="60"/>
        <v>381</v>
      </c>
      <c r="CF154" s="7">
        <v>912</v>
      </c>
      <c r="CG154" s="6"/>
      <c r="CH154" s="6">
        <f t="shared" si="61"/>
        <v>366</v>
      </c>
      <c r="CI154" s="6">
        <v>1294</v>
      </c>
      <c r="CJ154" s="6"/>
      <c r="CK154" s="6">
        <f t="shared" si="62"/>
        <v>382</v>
      </c>
      <c r="CL154" s="6">
        <v>87</v>
      </c>
      <c r="CM154" s="6">
        <v>1560</v>
      </c>
      <c r="CN154" s="6">
        <f t="shared" si="63"/>
        <v>353</v>
      </c>
      <c r="CO154" s="6">
        <v>447</v>
      </c>
      <c r="CP154" s="6"/>
      <c r="CQ154" s="6">
        <f t="shared" si="64"/>
        <v>360</v>
      </c>
      <c r="CR154" s="6">
        <v>794</v>
      </c>
      <c r="CS154" s="6"/>
      <c r="CT154" s="6">
        <f t="shared" si="65"/>
        <v>347</v>
      </c>
      <c r="CU154" s="6"/>
      <c r="CV154" s="6"/>
      <c r="CW154" s="6"/>
      <c r="CX154" s="6">
        <v>1186</v>
      </c>
      <c r="CY154" s="6"/>
      <c r="CZ154" s="6">
        <f t="shared" si="66"/>
        <v>392</v>
      </c>
      <c r="DA154" s="6">
        <v>1555</v>
      </c>
      <c r="DB154" s="6"/>
      <c r="DC154" s="6">
        <f t="shared" si="67"/>
        <v>369</v>
      </c>
      <c r="DD154" s="6">
        <v>386</v>
      </c>
      <c r="DE154" s="6">
        <v>1560</v>
      </c>
      <c r="DF154" s="6">
        <f t="shared" si="68"/>
        <v>391</v>
      </c>
      <c r="DG154" s="6">
        <v>776</v>
      </c>
      <c r="DH154" s="6"/>
      <c r="DI154" s="6">
        <f t="shared" si="69"/>
        <v>390</v>
      </c>
      <c r="DJ154" s="6">
        <v>1153</v>
      </c>
      <c r="DK154" s="6"/>
      <c r="DL154" s="6">
        <f t="shared" si="70"/>
        <v>377</v>
      </c>
      <c r="DM154" s="6">
        <v>215</v>
      </c>
      <c r="DN154" s="6">
        <v>1293</v>
      </c>
      <c r="DO154" s="6">
        <f t="shared" si="71"/>
        <v>355</v>
      </c>
    </row>
    <row r="155" spans="1:119">
      <c r="A155" s="6">
        <v>151</v>
      </c>
      <c r="B155" s="6">
        <v>1278</v>
      </c>
      <c r="C155" s="6"/>
      <c r="D155" s="6">
        <v>201</v>
      </c>
      <c r="E155" s="33" t="s">
        <v>37</v>
      </c>
      <c r="F155" s="33" t="s">
        <v>37</v>
      </c>
      <c r="G155" s="33" t="s">
        <v>37</v>
      </c>
      <c r="H155" s="148" t="s">
        <v>37</v>
      </c>
      <c r="I155" s="33" t="s">
        <v>37</v>
      </c>
      <c r="J155" s="33" t="s">
        <v>37</v>
      </c>
      <c r="K155" s="33" t="s">
        <v>37</v>
      </c>
      <c r="L155" s="33" t="s">
        <v>37</v>
      </c>
      <c r="M155" s="33" t="s">
        <v>37</v>
      </c>
      <c r="N155" s="33" t="s">
        <v>37</v>
      </c>
      <c r="O155" s="33" t="s">
        <v>37</v>
      </c>
      <c r="P155" s="33" t="s">
        <v>37</v>
      </c>
      <c r="Q155" s="33" t="s">
        <v>37</v>
      </c>
      <c r="R155" s="33" t="s">
        <v>37</v>
      </c>
      <c r="S155" s="33" t="s">
        <v>37</v>
      </c>
      <c r="T155" s="33" t="s">
        <v>37</v>
      </c>
      <c r="U155" s="33" t="s">
        <v>37</v>
      </c>
      <c r="V155" s="33" t="s">
        <v>37</v>
      </c>
      <c r="W155" s="33" t="s">
        <v>37</v>
      </c>
      <c r="X155" s="33" t="s">
        <v>37</v>
      </c>
      <c r="Y155" s="33" t="s">
        <v>37</v>
      </c>
      <c r="Z155" s="33" t="s">
        <v>37</v>
      </c>
      <c r="AA155" s="33" t="s">
        <v>37</v>
      </c>
      <c r="AB155" s="33" t="s">
        <v>37</v>
      </c>
      <c r="AC155" s="148" t="s">
        <v>37</v>
      </c>
      <c r="AD155" s="6"/>
      <c r="AE155" s="6"/>
      <c r="AF155" s="35"/>
      <c r="AG155" s="6"/>
      <c r="AH155" s="6"/>
      <c r="AI155" s="35"/>
      <c r="AJ155" s="35"/>
      <c r="AK155" s="35"/>
      <c r="AL155" s="35"/>
      <c r="AM155" s="6">
        <v>146</v>
      </c>
      <c r="AN155" s="6">
        <v>1535</v>
      </c>
      <c r="AO155" s="35">
        <f t="shared" si="48"/>
        <v>403</v>
      </c>
      <c r="AP155" s="6">
        <v>477</v>
      </c>
      <c r="AQ155" s="6"/>
      <c r="AR155" s="34">
        <f t="shared" si="49"/>
        <v>331</v>
      </c>
      <c r="AS155" s="35">
        <v>366</v>
      </c>
      <c r="AT155" s="35">
        <v>478</v>
      </c>
      <c r="AU155" s="35">
        <f t="shared" si="50"/>
        <v>367</v>
      </c>
      <c r="AV155" s="6">
        <v>746</v>
      </c>
      <c r="AW155" s="6"/>
      <c r="AX155" s="35">
        <f t="shared" si="51"/>
        <v>380</v>
      </c>
      <c r="AY155" s="6">
        <v>1130</v>
      </c>
      <c r="AZ155" s="6"/>
      <c r="BA155" s="35">
        <f t="shared" si="52"/>
        <v>384</v>
      </c>
      <c r="BB155" s="6">
        <v>1499</v>
      </c>
      <c r="BC155" s="6"/>
      <c r="BD155" s="35">
        <f t="shared" si="53"/>
        <v>369</v>
      </c>
      <c r="BE155" s="6"/>
      <c r="BF155" s="6"/>
      <c r="BG155" s="35"/>
      <c r="BH155" s="6">
        <v>309</v>
      </c>
      <c r="BI155" s="6">
        <v>1560</v>
      </c>
      <c r="BJ155" s="35">
        <f t="shared" si="54"/>
        <v>370</v>
      </c>
      <c r="BK155" s="6">
        <v>684</v>
      </c>
      <c r="BL155" s="35"/>
      <c r="BM155" s="6">
        <f t="shared" si="55"/>
        <v>375</v>
      </c>
      <c r="BN155" s="6">
        <v>1066</v>
      </c>
      <c r="BO155" s="6"/>
      <c r="BP155" s="6">
        <f t="shared" si="56"/>
        <v>382</v>
      </c>
      <c r="BQ155" s="6">
        <v>1446</v>
      </c>
      <c r="BR155" s="6"/>
      <c r="BS155" s="35">
        <f t="shared" si="57"/>
        <v>380</v>
      </c>
      <c r="BT155" s="6">
        <v>265</v>
      </c>
      <c r="BU155" s="6">
        <v>1560</v>
      </c>
      <c r="BV155" s="6">
        <f t="shared" si="58"/>
        <v>379</v>
      </c>
      <c r="BW155" s="6">
        <v>627</v>
      </c>
      <c r="BX155" s="6"/>
      <c r="BY155" s="35">
        <f t="shared" si="59"/>
        <v>362</v>
      </c>
      <c r="BZ155" s="6"/>
      <c r="CA155" s="35"/>
      <c r="CB155" s="6"/>
      <c r="CC155" s="6">
        <v>1014</v>
      </c>
      <c r="CD155" s="6"/>
      <c r="CE155" s="6">
        <f t="shared" si="60"/>
        <v>387</v>
      </c>
      <c r="CF155" s="7">
        <v>1393</v>
      </c>
      <c r="CG155" s="35"/>
      <c r="CH155" s="6">
        <f t="shared" si="61"/>
        <v>379</v>
      </c>
      <c r="CI155" s="6">
        <v>215</v>
      </c>
      <c r="CJ155" s="6">
        <v>1560</v>
      </c>
      <c r="CK155" s="6">
        <f t="shared" si="62"/>
        <v>382</v>
      </c>
      <c r="CL155" s="6">
        <v>588</v>
      </c>
      <c r="CM155" s="6"/>
      <c r="CN155" s="6">
        <f t="shared" si="63"/>
        <v>373</v>
      </c>
      <c r="CO155" s="6">
        <v>956</v>
      </c>
      <c r="CP155" s="6"/>
      <c r="CQ155" s="6">
        <f t="shared" si="64"/>
        <v>368</v>
      </c>
      <c r="CR155" s="6">
        <v>1303</v>
      </c>
      <c r="CS155" s="6"/>
      <c r="CT155" s="6">
        <f t="shared" si="65"/>
        <v>347</v>
      </c>
      <c r="CU155" s="35"/>
      <c r="CV155" s="6"/>
      <c r="CW155" s="6"/>
      <c r="CX155" s="6">
        <v>12</v>
      </c>
      <c r="CY155" s="6">
        <v>1640</v>
      </c>
      <c r="CZ155" s="6">
        <f t="shared" si="66"/>
        <v>349</v>
      </c>
      <c r="DA155" s="6">
        <v>372</v>
      </c>
      <c r="DB155" s="6"/>
      <c r="DC155" s="6">
        <f t="shared" si="67"/>
        <v>360</v>
      </c>
      <c r="DD155" s="6">
        <v>742</v>
      </c>
      <c r="DE155" s="6"/>
      <c r="DF155" s="6">
        <f t="shared" si="68"/>
        <v>370</v>
      </c>
      <c r="DG155" s="6">
        <v>1113</v>
      </c>
      <c r="DH155" s="6"/>
      <c r="DI155" s="6">
        <f t="shared" si="69"/>
        <v>371</v>
      </c>
      <c r="DJ155" s="6">
        <v>1484</v>
      </c>
      <c r="DK155" s="6"/>
      <c r="DL155" s="6">
        <f t="shared" si="70"/>
        <v>371</v>
      </c>
      <c r="DM155" s="6">
        <v>259</v>
      </c>
      <c r="DN155" s="6">
        <v>1529</v>
      </c>
      <c r="DO155" s="6">
        <f t="shared" si="71"/>
        <v>304</v>
      </c>
    </row>
    <row r="156" spans="1:119">
      <c r="A156" s="6">
        <v>152</v>
      </c>
      <c r="B156" s="6">
        <v>762</v>
      </c>
      <c r="C156" s="6"/>
      <c r="D156" s="6">
        <v>201</v>
      </c>
      <c r="E156" s="33" t="s">
        <v>37</v>
      </c>
      <c r="F156" s="33" t="s">
        <v>37</v>
      </c>
      <c r="G156" s="33" t="s">
        <v>37</v>
      </c>
      <c r="H156" s="33" t="s">
        <v>37</v>
      </c>
      <c r="I156" s="33" t="s">
        <v>37</v>
      </c>
      <c r="J156" s="148" t="s">
        <v>37</v>
      </c>
      <c r="K156" s="33" t="s">
        <v>37</v>
      </c>
      <c r="L156" s="33" t="s">
        <v>37</v>
      </c>
      <c r="M156" s="33" t="s">
        <v>37</v>
      </c>
      <c r="N156" s="33" t="s">
        <v>37</v>
      </c>
      <c r="O156" s="33" t="s">
        <v>37</v>
      </c>
      <c r="P156" s="33" t="s">
        <v>37</v>
      </c>
      <c r="Q156" s="33" t="s">
        <v>37</v>
      </c>
      <c r="R156" s="33" t="s">
        <v>37</v>
      </c>
      <c r="S156" s="33" t="s">
        <v>37</v>
      </c>
      <c r="T156" s="33" t="s">
        <v>37</v>
      </c>
      <c r="U156" s="33" t="s">
        <v>37</v>
      </c>
      <c r="V156" s="33" t="s">
        <v>37</v>
      </c>
      <c r="W156" s="33" t="s">
        <v>37</v>
      </c>
      <c r="X156" s="33" t="s">
        <v>37</v>
      </c>
      <c r="Y156" s="33" t="s">
        <v>37</v>
      </c>
      <c r="Z156" s="33" t="s">
        <v>37</v>
      </c>
      <c r="AA156" s="33" t="s">
        <v>37</v>
      </c>
      <c r="AB156" s="33" t="s">
        <v>37</v>
      </c>
      <c r="AC156" s="33" t="s">
        <v>37</v>
      </c>
      <c r="AD156" s="6"/>
      <c r="AE156" s="6"/>
      <c r="AF156" s="35"/>
      <c r="AG156" s="6"/>
      <c r="AH156" s="6"/>
      <c r="AI156" s="35"/>
      <c r="AJ156" s="35"/>
      <c r="AK156" s="35"/>
      <c r="AL156" s="35"/>
      <c r="AM156" s="6">
        <v>1175</v>
      </c>
      <c r="AN156" s="6"/>
      <c r="AO156" s="35">
        <f t="shared" si="48"/>
        <v>413</v>
      </c>
      <c r="AP156" s="6">
        <v>1553</v>
      </c>
      <c r="AQ156" s="6"/>
      <c r="AR156" s="34">
        <f t="shared" si="49"/>
        <v>378</v>
      </c>
      <c r="AS156" s="35">
        <v>359</v>
      </c>
      <c r="AT156" s="35">
        <v>1567</v>
      </c>
      <c r="AU156" s="35">
        <f t="shared" si="50"/>
        <v>373</v>
      </c>
      <c r="AV156" s="6">
        <v>740</v>
      </c>
      <c r="AW156" s="6"/>
      <c r="AX156" s="35">
        <f t="shared" si="51"/>
        <v>381</v>
      </c>
      <c r="AY156" s="6">
        <v>348</v>
      </c>
      <c r="AZ156" s="6">
        <v>762</v>
      </c>
      <c r="BA156" s="35">
        <f t="shared" si="52"/>
        <v>370</v>
      </c>
      <c r="BB156" s="6">
        <v>694</v>
      </c>
      <c r="BC156" s="6"/>
      <c r="BD156" s="35">
        <f t="shared" si="53"/>
        <v>346</v>
      </c>
      <c r="BE156" s="6"/>
      <c r="BF156" s="6"/>
      <c r="BG156" s="35"/>
      <c r="BH156" s="6">
        <v>371</v>
      </c>
      <c r="BI156" s="6">
        <v>694</v>
      </c>
      <c r="BJ156" s="35">
        <f t="shared" si="54"/>
        <v>371</v>
      </c>
      <c r="BK156" s="6">
        <v>743</v>
      </c>
      <c r="BL156" s="35"/>
      <c r="BM156" s="6">
        <f t="shared" si="55"/>
        <v>372</v>
      </c>
      <c r="BN156" s="6">
        <v>1122</v>
      </c>
      <c r="BO156" s="6"/>
      <c r="BP156" s="6">
        <f t="shared" si="56"/>
        <v>379</v>
      </c>
      <c r="BQ156" s="6">
        <v>1502</v>
      </c>
      <c r="BR156" s="6"/>
      <c r="BS156" s="35">
        <f t="shared" si="57"/>
        <v>380</v>
      </c>
      <c r="BT156" s="6">
        <v>323</v>
      </c>
      <c r="BU156" s="6">
        <v>1560</v>
      </c>
      <c r="BV156" s="6">
        <f t="shared" si="58"/>
        <v>381</v>
      </c>
      <c r="BW156" s="6">
        <v>182</v>
      </c>
      <c r="BX156" s="6">
        <v>482</v>
      </c>
      <c r="BY156" s="35">
        <f t="shared" si="59"/>
        <v>341</v>
      </c>
      <c r="BZ156" s="6"/>
      <c r="CA156" s="35"/>
      <c r="CB156" s="6"/>
      <c r="CC156" s="6">
        <v>564</v>
      </c>
      <c r="CD156" s="6"/>
      <c r="CE156" s="6">
        <f t="shared" si="60"/>
        <v>382</v>
      </c>
      <c r="CF156" s="7">
        <v>934</v>
      </c>
      <c r="CG156" s="35"/>
      <c r="CH156" s="6">
        <f t="shared" si="61"/>
        <v>370</v>
      </c>
      <c r="CI156" s="6">
        <v>1300</v>
      </c>
      <c r="CJ156" s="6"/>
      <c r="CK156" s="6">
        <f t="shared" si="62"/>
        <v>366</v>
      </c>
      <c r="CL156" s="6">
        <v>105</v>
      </c>
      <c r="CM156" s="6">
        <v>1560</v>
      </c>
      <c r="CN156" s="6">
        <f t="shared" si="63"/>
        <v>365</v>
      </c>
      <c r="CO156" s="6">
        <v>474</v>
      </c>
      <c r="CP156" s="6"/>
      <c r="CQ156" s="6">
        <f t="shared" si="64"/>
        <v>369</v>
      </c>
      <c r="CR156" s="6">
        <v>826</v>
      </c>
      <c r="CS156" s="6"/>
      <c r="CT156" s="6">
        <f t="shared" si="65"/>
        <v>352</v>
      </c>
      <c r="CU156" s="6"/>
      <c r="CV156" s="6"/>
      <c r="CW156" s="6"/>
      <c r="CX156" s="6">
        <v>1198</v>
      </c>
      <c r="CY156" s="6"/>
      <c r="CZ156" s="6">
        <f t="shared" si="66"/>
        <v>372</v>
      </c>
      <c r="DA156" s="6">
        <v>1</v>
      </c>
      <c r="DB156" s="6">
        <v>1560</v>
      </c>
      <c r="DC156" s="6">
        <f t="shared" si="67"/>
        <v>363</v>
      </c>
      <c r="DD156" s="6">
        <v>355</v>
      </c>
      <c r="DE156" s="6"/>
      <c r="DF156" s="6">
        <f t="shared" si="68"/>
        <v>354</v>
      </c>
      <c r="DG156" s="6">
        <v>722</v>
      </c>
      <c r="DH156" s="6"/>
      <c r="DI156" s="6">
        <f t="shared" si="69"/>
        <v>367</v>
      </c>
      <c r="DJ156" s="6">
        <v>1092</v>
      </c>
      <c r="DK156" s="6"/>
      <c r="DL156" s="6">
        <f t="shared" si="70"/>
        <v>370</v>
      </c>
      <c r="DM156" s="6">
        <v>1422</v>
      </c>
      <c r="DN156" s="6"/>
      <c r="DO156" s="6">
        <f t="shared" si="71"/>
        <v>330</v>
      </c>
    </row>
    <row r="157" spans="1:119">
      <c r="A157" s="6">
        <v>153</v>
      </c>
      <c r="B157" s="6">
        <v>162</v>
      </c>
      <c r="C157" s="6">
        <v>1560</v>
      </c>
      <c r="D157" s="6">
        <v>199</v>
      </c>
      <c r="E157" s="33" t="s">
        <v>37</v>
      </c>
      <c r="F157" s="33" t="s">
        <v>37</v>
      </c>
      <c r="G157" s="33" t="s">
        <v>37</v>
      </c>
      <c r="H157" s="33" t="s">
        <v>37</v>
      </c>
      <c r="I157" s="33" t="s">
        <v>37</v>
      </c>
      <c r="J157" s="33" t="s">
        <v>37</v>
      </c>
      <c r="K157" s="33" t="s">
        <v>37</v>
      </c>
      <c r="L157" s="33" t="s">
        <v>37</v>
      </c>
      <c r="M157" s="33" t="s">
        <v>37</v>
      </c>
      <c r="N157" s="148" t="s">
        <v>37</v>
      </c>
      <c r="O157" s="33" t="s">
        <v>37</v>
      </c>
      <c r="P157" s="33" t="s">
        <v>37</v>
      </c>
      <c r="Q157" s="33" t="s">
        <v>37</v>
      </c>
      <c r="R157" s="33" t="s">
        <v>37</v>
      </c>
      <c r="S157" s="33" t="s">
        <v>37</v>
      </c>
      <c r="T157" s="33" t="s">
        <v>37</v>
      </c>
      <c r="U157" s="33" t="s">
        <v>37</v>
      </c>
      <c r="V157" s="33" t="s">
        <v>37</v>
      </c>
      <c r="W157" s="33" t="s">
        <v>37</v>
      </c>
      <c r="X157" s="33" t="s">
        <v>37</v>
      </c>
      <c r="Y157" s="33" t="s">
        <v>37</v>
      </c>
      <c r="Z157" s="33" t="s">
        <v>37</v>
      </c>
      <c r="AA157" s="33" t="s">
        <v>37</v>
      </c>
      <c r="AB157" s="33" t="s">
        <v>37</v>
      </c>
      <c r="AC157" s="33" t="s">
        <v>37</v>
      </c>
      <c r="AD157" s="6"/>
      <c r="AE157" s="6"/>
      <c r="AF157" s="35"/>
      <c r="AG157" s="6"/>
      <c r="AH157" s="6"/>
      <c r="AI157" s="35"/>
      <c r="AJ157" s="35"/>
      <c r="AK157" s="35"/>
      <c r="AL157" s="35"/>
      <c r="AM157" s="6">
        <v>577</v>
      </c>
      <c r="AN157" s="6"/>
      <c r="AO157" s="35">
        <f t="shared" si="48"/>
        <v>415</v>
      </c>
      <c r="AP157" s="6">
        <v>954</v>
      </c>
      <c r="AQ157" s="6"/>
      <c r="AR157" s="34">
        <f t="shared" si="49"/>
        <v>377</v>
      </c>
      <c r="AS157" s="35">
        <v>1334</v>
      </c>
      <c r="AT157" s="35"/>
      <c r="AU157" s="35">
        <f t="shared" si="50"/>
        <v>380</v>
      </c>
      <c r="AV157" s="6">
        <v>157</v>
      </c>
      <c r="AW157" s="6">
        <v>1560</v>
      </c>
      <c r="AX157" s="35">
        <f t="shared" si="51"/>
        <v>383</v>
      </c>
      <c r="AY157" s="6">
        <v>542</v>
      </c>
      <c r="AZ157" s="6"/>
      <c r="BA157" s="35">
        <f t="shared" si="52"/>
        <v>385</v>
      </c>
      <c r="BB157" s="6">
        <v>904</v>
      </c>
      <c r="BC157" s="6"/>
      <c r="BD157" s="35">
        <f t="shared" si="53"/>
        <v>362</v>
      </c>
      <c r="BE157" s="6"/>
      <c r="BF157" s="6"/>
      <c r="BG157" s="35"/>
      <c r="BH157" s="6">
        <v>1288</v>
      </c>
      <c r="BI157" s="6"/>
      <c r="BJ157" s="35">
        <f t="shared" si="54"/>
        <v>384</v>
      </c>
      <c r="BK157" s="6">
        <v>0</v>
      </c>
      <c r="BL157" s="35">
        <v>1627</v>
      </c>
      <c r="BM157" s="6">
        <f t="shared" si="55"/>
        <v>339</v>
      </c>
      <c r="BN157" s="6">
        <v>375</v>
      </c>
      <c r="BO157" s="6"/>
      <c r="BP157" s="6">
        <f t="shared" si="56"/>
        <v>375</v>
      </c>
      <c r="BQ157" s="6">
        <v>737</v>
      </c>
      <c r="BR157" s="6"/>
      <c r="BS157" s="35">
        <f t="shared" si="57"/>
        <v>362</v>
      </c>
      <c r="BT157" s="6">
        <v>1107</v>
      </c>
      <c r="BU157" s="6"/>
      <c r="BV157" s="6">
        <f t="shared" si="58"/>
        <v>370</v>
      </c>
      <c r="BW157" s="6">
        <v>1457</v>
      </c>
      <c r="BX157" s="6"/>
      <c r="BY157" s="35">
        <f t="shared" si="59"/>
        <v>350</v>
      </c>
      <c r="BZ157" s="6"/>
      <c r="CA157" s="6"/>
      <c r="CB157" s="6"/>
      <c r="CC157" s="6">
        <v>266</v>
      </c>
      <c r="CD157" s="6">
        <v>1560</v>
      </c>
      <c r="CE157" s="6">
        <f t="shared" si="60"/>
        <v>369</v>
      </c>
      <c r="CF157" s="7">
        <v>645</v>
      </c>
      <c r="CG157" s="6"/>
      <c r="CH157" s="6">
        <f t="shared" si="61"/>
        <v>379</v>
      </c>
      <c r="CI157" s="6">
        <v>1028</v>
      </c>
      <c r="CJ157" s="6"/>
      <c r="CK157" s="6">
        <f t="shared" si="62"/>
        <v>383</v>
      </c>
      <c r="CL157" s="6">
        <v>1386</v>
      </c>
      <c r="CM157" s="6"/>
      <c r="CN157" s="6">
        <f t="shared" si="63"/>
        <v>358</v>
      </c>
      <c r="CO157" s="6">
        <v>188</v>
      </c>
      <c r="CP157" s="6">
        <v>1561</v>
      </c>
      <c r="CQ157" s="6">
        <f t="shared" si="64"/>
        <v>363</v>
      </c>
      <c r="CR157" s="6">
        <v>550</v>
      </c>
      <c r="CS157" s="6"/>
      <c r="CT157" s="6">
        <f t="shared" si="65"/>
        <v>362</v>
      </c>
      <c r="CU157" s="6"/>
      <c r="CV157" s="6"/>
      <c r="CW157" s="6"/>
      <c r="CX157" s="6">
        <v>933</v>
      </c>
      <c r="CY157" s="6"/>
      <c r="CZ157" s="6">
        <f t="shared" si="66"/>
        <v>383</v>
      </c>
      <c r="DA157" s="6">
        <v>1301</v>
      </c>
      <c r="DB157" s="6"/>
      <c r="DC157" s="6">
        <f t="shared" si="67"/>
        <v>368</v>
      </c>
      <c r="DD157" s="6">
        <v>113</v>
      </c>
      <c r="DE157" s="6">
        <v>1560</v>
      </c>
      <c r="DF157" s="6">
        <f t="shared" si="68"/>
        <v>372</v>
      </c>
      <c r="DG157" s="6">
        <v>494</v>
      </c>
      <c r="DH157" s="6"/>
      <c r="DI157" s="6">
        <f t="shared" si="69"/>
        <v>381</v>
      </c>
      <c r="DJ157" s="6">
        <v>877</v>
      </c>
      <c r="DK157" s="6"/>
      <c r="DL157" s="6">
        <f t="shared" si="70"/>
        <v>383</v>
      </c>
      <c r="DM157" s="6">
        <v>1220</v>
      </c>
      <c r="DN157" s="6"/>
      <c r="DO157" s="6">
        <f t="shared" si="71"/>
        <v>343</v>
      </c>
    </row>
    <row r="158" spans="1:119">
      <c r="A158" s="6">
        <v>154</v>
      </c>
      <c r="B158" s="6">
        <v>1310</v>
      </c>
      <c r="C158" s="6"/>
      <c r="D158" s="6">
        <v>208</v>
      </c>
      <c r="E158" s="33" t="s">
        <v>128</v>
      </c>
      <c r="F158" s="33" t="s">
        <v>128</v>
      </c>
      <c r="G158" s="33" t="s">
        <v>128</v>
      </c>
      <c r="H158" s="33" t="s">
        <v>128</v>
      </c>
      <c r="I158" s="33" t="s">
        <v>128</v>
      </c>
      <c r="J158" s="33" t="s">
        <v>128</v>
      </c>
      <c r="K158" s="33" t="s">
        <v>128</v>
      </c>
      <c r="L158" s="33" t="s">
        <v>128</v>
      </c>
      <c r="M158" s="33" t="s">
        <v>128</v>
      </c>
      <c r="N158" s="33" t="s">
        <v>128</v>
      </c>
      <c r="O158" s="148" t="s">
        <v>307</v>
      </c>
      <c r="P158" s="33" t="s">
        <v>307</v>
      </c>
      <c r="Q158" s="33" t="s">
        <v>307</v>
      </c>
      <c r="R158" s="33" t="s">
        <v>307</v>
      </c>
      <c r="S158" s="33" t="s">
        <v>307</v>
      </c>
      <c r="T158" s="33" t="s">
        <v>307</v>
      </c>
      <c r="U158" s="33" t="s">
        <v>307</v>
      </c>
      <c r="V158" s="33" t="s">
        <v>307</v>
      </c>
      <c r="W158" s="33" t="s">
        <v>307</v>
      </c>
      <c r="X158" s="33" t="s">
        <v>307</v>
      </c>
      <c r="Y158" s="33" t="s">
        <v>307</v>
      </c>
      <c r="Z158" s="33" t="s">
        <v>307</v>
      </c>
      <c r="AA158" s="33" t="s">
        <v>307</v>
      </c>
      <c r="AB158" s="33" t="s">
        <v>307</v>
      </c>
      <c r="AC158" s="33" t="s">
        <v>307</v>
      </c>
      <c r="AD158" s="6"/>
      <c r="AE158" s="6"/>
      <c r="AF158" s="35"/>
      <c r="AG158" s="6"/>
      <c r="AH158" s="6"/>
      <c r="AI158" s="35"/>
      <c r="AJ158" s="35"/>
      <c r="AK158" s="35"/>
      <c r="AL158" s="35"/>
      <c r="AM158" s="6">
        <v>173</v>
      </c>
      <c r="AN158" s="6">
        <v>1561</v>
      </c>
      <c r="AO158" s="35">
        <f t="shared" si="48"/>
        <v>424</v>
      </c>
      <c r="AP158" s="6">
        <v>276</v>
      </c>
      <c r="AQ158" s="6">
        <v>282</v>
      </c>
      <c r="AR158" s="34">
        <f t="shared" si="49"/>
        <v>385</v>
      </c>
      <c r="AS158" s="35">
        <v>669</v>
      </c>
      <c r="AT158" s="35"/>
      <c r="AU158" s="35">
        <f t="shared" si="50"/>
        <v>393</v>
      </c>
      <c r="AV158" s="6">
        <v>1060</v>
      </c>
      <c r="AW158" s="6"/>
      <c r="AX158" s="35">
        <f t="shared" si="51"/>
        <v>391</v>
      </c>
      <c r="AY158" s="6">
        <v>1453</v>
      </c>
      <c r="AZ158" s="6"/>
      <c r="BA158" s="35">
        <f t="shared" si="52"/>
        <v>393</v>
      </c>
      <c r="BB158" s="35">
        <v>272</v>
      </c>
      <c r="BC158" s="35">
        <v>1560</v>
      </c>
      <c r="BD158" s="35">
        <f t="shared" si="53"/>
        <v>379</v>
      </c>
      <c r="BE158" s="6"/>
      <c r="BF158" s="6"/>
      <c r="BG158" s="35"/>
      <c r="BH158" s="6">
        <v>665</v>
      </c>
      <c r="BI158" s="6"/>
      <c r="BJ158" s="35">
        <f t="shared" si="54"/>
        <v>393</v>
      </c>
      <c r="BK158" s="6">
        <v>1049</v>
      </c>
      <c r="BL158" s="6"/>
      <c r="BM158" s="6">
        <f t="shared" si="55"/>
        <v>384</v>
      </c>
      <c r="BN158" s="6">
        <v>0</v>
      </c>
      <c r="BO158" s="6">
        <v>1353</v>
      </c>
      <c r="BP158" s="6">
        <f t="shared" si="56"/>
        <v>304</v>
      </c>
      <c r="BQ158" s="6">
        <v>356</v>
      </c>
      <c r="BR158" s="6"/>
      <c r="BS158" s="35">
        <f t="shared" si="57"/>
        <v>356</v>
      </c>
      <c r="BT158" s="6">
        <v>734</v>
      </c>
      <c r="BU158" s="6"/>
      <c r="BV158" s="6">
        <f t="shared" si="58"/>
        <v>378</v>
      </c>
      <c r="BW158" s="6">
        <v>1103</v>
      </c>
      <c r="BX158" s="6"/>
      <c r="BY158" s="35">
        <f t="shared" si="59"/>
        <v>369</v>
      </c>
      <c r="BZ158" s="6"/>
      <c r="CA158" s="6"/>
      <c r="CB158" s="6"/>
      <c r="CC158" s="6">
        <v>1496</v>
      </c>
      <c r="CD158" s="6"/>
      <c r="CE158" s="6">
        <f t="shared" si="60"/>
        <v>393</v>
      </c>
      <c r="CF158" s="7">
        <v>320</v>
      </c>
      <c r="CG158" s="6">
        <v>1560</v>
      </c>
      <c r="CH158" s="6">
        <f t="shared" si="61"/>
        <v>384</v>
      </c>
      <c r="CI158" s="6">
        <v>709</v>
      </c>
      <c r="CJ158" s="6"/>
      <c r="CK158" s="6">
        <f t="shared" si="62"/>
        <v>389</v>
      </c>
      <c r="CL158" s="6">
        <v>1082</v>
      </c>
      <c r="CM158" s="6"/>
      <c r="CN158" s="6">
        <f t="shared" si="63"/>
        <v>373</v>
      </c>
      <c r="CO158" s="6">
        <v>1459</v>
      </c>
      <c r="CP158" s="6"/>
      <c r="CQ158" s="6">
        <f t="shared" si="64"/>
        <v>377</v>
      </c>
      <c r="CR158" s="6">
        <v>253</v>
      </c>
      <c r="CS158" s="6">
        <v>1560</v>
      </c>
      <c r="CT158" s="6">
        <f t="shared" si="65"/>
        <v>354</v>
      </c>
      <c r="CU158" s="6"/>
      <c r="CV158" s="6"/>
      <c r="CW158" s="6"/>
      <c r="CX158" s="6">
        <v>644</v>
      </c>
      <c r="CY158" s="6"/>
      <c r="CZ158" s="6">
        <f t="shared" si="66"/>
        <v>391</v>
      </c>
      <c r="DA158" s="6">
        <v>1022</v>
      </c>
      <c r="DB158" s="6"/>
      <c r="DC158" s="6">
        <f t="shared" si="67"/>
        <v>378</v>
      </c>
      <c r="DD158" s="6">
        <v>1408</v>
      </c>
      <c r="DE158" s="6"/>
      <c r="DF158" s="6">
        <f t="shared" si="68"/>
        <v>386</v>
      </c>
      <c r="DG158" s="6">
        <v>233</v>
      </c>
      <c r="DH158" s="6">
        <v>1561</v>
      </c>
      <c r="DI158" s="6">
        <f t="shared" si="69"/>
        <v>386</v>
      </c>
      <c r="DJ158" s="6">
        <v>627</v>
      </c>
      <c r="DK158" s="6"/>
      <c r="DL158" s="6">
        <f t="shared" si="70"/>
        <v>394</v>
      </c>
      <c r="DM158" s="6">
        <v>977</v>
      </c>
      <c r="DN158" s="6"/>
      <c r="DO158" s="6">
        <f t="shared" si="71"/>
        <v>350</v>
      </c>
    </row>
    <row r="159" spans="1:119">
      <c r="A159" s="6">
        <v>155</v>
      </c>
      <c r="B159" s="6">
        <v>439</v>
      </c>
      <c r="C159" s="6"/>
      <c r="D159" s="6">
        <v>202</v>
      </c>
      <c r="E159" s="33" t="s">
        <v>128</v>
      </c>
      <c r="F159" s="33" t="s">
        <v>128</v>
      </c>
      <c r="G159" s="33" t="s">
        <v>128</v>
      </c>
      <c r="H159" s="33" t="s">
        <v>128</v>
      </c>
      <c r="I159" s="33" t="s">
        <v>128</v>
      </c>
      <c r="J159" s="33" t="s">
        <v>128</v>
      </c>
      <c r="K159" s="33" t="s">
        <v>128</v>
      </c>
      <c r="L159" s="33" t="s">
        <v>128</v>
      </c>
      <c r="M159" s="33" t="s">
        <v>128</v>
      </c>
      <c r="N159" s="33" t="s">
        <v>128</v>
      </c>
      <c r="O159" s="33" t="s">
        <v>128</v>
      </c>
      <c r="P159" s="33" t="s">
        <v>128</v>
      </c>
      <c r="Q159" s="33" t="s">
        <v>128</v>
      </c>
      <c r="R159" s="148" t="s">
        <v>37</v>
      </c>
      <c r="S159" s="33" t="s">
        <v>37</v>
      </c>
      <c r="T159" s="33" t="s">
        <v>37</v>
      </c>
      <c r="U159" s="33" t="s">
        <v>37</v>
      </c>
      <c r="V159" s="33" t="s">
        <v>37</v>
      </c>
      <c r="W159" s="33" t="s">
        <v>37</v>
      </c>
      <c r="X159" s="33" t="s">
        <v>37</v>
      </c>
      <c r="Y159" s="33" t="s">
        <v>37</v>
      </c>
      <c r="Z159" s="33" t="s">
        <v>37</v>
      </c>
      <c r="AA159" s="33" t="s">
        <v>37</v>
      </c>
      <c r="AB159" s="33" t="s">
        <v>37</v>
      </c>
      <c r="AC159" s="33" t="s">
        <v>37</v>
      </c>
      <c r="AD159" s="6"/>
      <c r="AE159" s="6"/>
      <c r="AF159" s="35"/>
      <c r="AG159" s="6"/>
      <c r="AH159" s="6"/>
      <c r="AI159" s="35"/>
      <c r="AJ159" s="35"/>
      <c r="AK159" s="35"/>
      <c r="AL159" s="35"/>
      <c r="AM159" s="6">
        <v>846</v>
      </c>
      <c r="AN159" s="6"/>
      <c r="AO159" s="35">
        <f t="shared" si="48"/>
        <v>407</v>
      </c>
      <c r="AP159" s="6">
        <v>1212</v>
      </c>
      <c r="AQ159" s="6"/>
      <c r="AR159" s="34">
        <f t="shared" si="49"/>
        <v>366</v>
      </c>
      <c r="AS159" s="35">
        <v>37</v>
      </c>
      <c r="AT159" s="35">
        <v>1560</v>
      </c>
      <c r="AU159" s="35">
        <f t="shared" si="50"/>
        <v>385</v>
      </c>
      <c r="AV159" s="6">
        <v>424</v>
      </c>
      <c r="AW159" s="6"/>
      <c r="AX159" s="35">
        <f t="shared" si="51"/>
        <v>387</v>
      </c>
      <c r="AY159" s="6">
        <v>207</v>
      </c>
      <c r="AZ159" s="6">
        <v>589</v>
      </c>
      <c r="BA159" s="35">
        <f t="shared" si="52"/>
        <v>372</v>
      </c>
      <c r="BB159" s="6">
        <v>579</v>
      </c>
      <c r="BC159" s="6"/>
      <c r="BD159" s="35">
        <f t="shared" si="53"/>
        <v>372</v>
      </c>
      <c r="BE159" s="6"/>
      <c r="BF159" s="6"/>
      <c r="BG159" s="35"/>
      <c r="BH159" s="6">
        <v>972</v>
      </c>
      <c r="BI159" s="6"/>
      <c r="BJ159" s="35">
        <f t="shared" si="54"/>
        <v>393</v>
      </c>
      <c r="BK159" s="6">
        <v>1354</v>
      </c>
      <c r="BL159" s="35"/>
      <c r="BM159" s="6">
        <f t="shared" si="55"/>
        <v>382</v>
      </c>
      <c r="BN159" s="6">
        <v>186</v>
      </c>
      <c r="BO159" s="6">
        <v>1560</v>
      </c>
      <c r="BP159" s="6">
        <f t="shared" si="56"/>
        <v>392</v>
      </c>
      <c r="BQ159" s="6">
        <v>578</v>
      </c>
      <c r="BR159" s="6"/>
      <c r="BS159" s="35">
        <f t="shared" si="57"/>
        <v>392</v>
      </c>
      <c r="BT159" s="6">
        <v>973</v>
      </c>
      <c r="BU159" s="6"/>
      <c r="BV159" s="6">
        <f t="shared" si="58"/>
        <v>395</v>
      </c>
      <c r="BW159" s="6">
        <v>1331</v>
      </c>
      <c r="BX159" s="6"/>
      <c r="BY159" s="35">
        <f t="shared" si="59"/>
        <v>358</v>
      </c>
      <c r="BZ159" s="6"/>
      <c r="CA159" s="35"/>
      <c r="CB159" s="6"/>
      <c r="CC159" s="6">
        <v>357</v>
      </c>
      <c r="CD159" s="6">
        <v>1333</v>
      </c>
      <c r="CE159" s="6">
        <f t="shared" si="60"/>
        <v>359</v>
      </c>
      <c r="CF159" s="7">
        <v>749</v>
      </c>
      <c r="CG159" s="35"/>
      <c r="CH159" s="6">
        <f t="shared" si="61"/>
        <v>392</v>
      </c>
      <c r="CI159" s="6">
        <v>1139</v>
      </c>
      <c r="CJ159" s="6"/>
      <c r="CK159" s="6">
        <f t="shared" si="62"/>
        <v>390</v>
      </c>
      <c r="CL159" s="6">
        <v>1502</v>
      </c>
      <c r="CM159" s="6"/>
      <c r="CN159" s="6">
        <f t="shared" si="63"/>
        <v>363</v>
      </c>
      <c r="CO159" s="6">
        <v>320</v>
      </c>
      <c r="CP159" s="6">
        <v>1560</v>
      </c>
      <c r="CQ159" s="6">
        <f t="shared" si="64"/>
        <v>378</v>
      </c>
      <c r="CR159" s="6">
        <v>682</v>
      </c>
      <c r="CS159" s="6"/>
      <c r="CT159" s="6">
        <f t="shared" si="65"/>
        <v>362</v>
      </c>
      <c r="CU159" s="6"/>
      <c r="CV159" s="6"/>
      <c r="CW159" s="6"/>
      <c r="CX159" s="6">
        <v>1039</v>
      </c>
      <c r="CY159" s="6"/>
      <c r="CZ159" s="6">
        <f t="shared" si="66"/>
        <v>357</v>
      </c>
      <c r="DA159" s="6">
        <v>1382</v>
      </c>
      <c r="DB159" s="6"/>
      <c r="DC159" s="6">
        <f t="shared" si="67"/>
        <v>343</v>
      </c>
      <c r="DD159" s="6">
        <v>182</v>
      </c>
      <c r="DE159" s="6">
        <v>1560</v>
      </c>
      <c r="DF159" s="6">
        <f t="shared" si="68"/>
        <v>360</v>
      </c>
      <c r="DG159" s="6">
        <v>564</v>
      </c>
      <c r="DH159" s="6"/>
      <c r="DI159" s="6">
        <f t="shared" si="69"/>
        <v>382</v>
      </c>
      <c r="DJ159" s="6">
        <v>946</v>
      </c>
      <c r="DK159" s="6"/>
      <c r="DL159" s="6">
        <f t="shared" si="70"/>
        <v>382</v>
      </c>
      <c r="DM159" s="6">
        <v>1291</v>
      </c>
      <c r="DN159" s="6"/>
      <c r="DO159" s="6">
        <f t="shared" si="71"/>
        <v>345</v>
      </c>
    </row>
    <row r="160" spans="1:119">
      <c r="A160" s="6">
        <v>156</v>
      </c>
      <c r="B160" s="6">
        <v>206</v>
      </c>
      <c r="C160" s="6"/>
      <c r="D160" s="6">
        <v>202</v>
      </c>
      <c r="E160" s="33" t="s">
        <v>37</v>
      </c>
      <c r="F160" s="33" t="s">
        <v>37</v>
      </c>
      <c r="G160" s="33" t="s">
        <v>37</v>
      </c>
      <c r="H160" s="33" t="s">
        <v>37</v>
      </c>
      <c r="I160" s="148" t="s">
        <v>37</v>
      </c>
      <c r="J160" s="33" t="s">
        <v>37</v>
      </c>
      <c r="K160" s="33" t="s">
        <v>37</v>
      </c>
      <c r="L160" s="33" t="s">
        <v>37</v>
      </c>
      <c r="M160" s="33" t="s">
        <v>37</v>
      </c>
      <c r="N160" s="33" t="s">
        <v>37</v>
      </c>
      <c r="O160" s="33" t="s">
        <v>37</v>
      </c>
      <c r="P160" s="33" t="s">
        <v>37</v>
      </c>
      <c r="Q160" s="33" t="s">
        <v>37</v>
      </c>
      <c r="R160" s="33" t="s">
        <v>37</v>
      </c>
      <c r="S160" s="33" t="s">
        <v>37</v>
      </c>
      <c r="T160" s="33" t="s">
        <v>37</v>
      </c>
      <c r="U160" s="33" t="s">
        <v>37</v>
      </c>
      <c r="V160" s="33" t="s">
        <v>37</v>
      </c>
      <c r="W160" s="33" t="s">
        <v>37</v>
      </c>
      <c r="X160" s="33" t="s">
        <v>37</v>
      </c>
      <c r="Y160" s="33" t="s">
        <v>37</v>
      </c>
      <c r="Z160" s="33" t="s">
        <v>37</v>
      </c>
      <c r="AA160" s="33" t="s">
        <v>37</v>
      </c>
      <c r="AB160" s="33" t="s">
        <v>37</v>
      </c>
      <c r="AC160" s="33" t="s">
        <v>37</v>
      </c>
      <c r="AD160" s="6"/>
      <c r="AE160" s="6"/>
      <c r="AF160" s="35"/>
      <c r="AG160" s="6"/>
      <c r="AH160" s="6"/>
      <c r="AI160" s="35"/>
      <c r="AJ160" s="35"/>
      <c r="AK160" s="35"/>
      <c r="AL160" s="35"/>
      <c r="AM160" s="6">
        <v>620</v>
      </c>
      <c r="AN160" s="6"/>
      <c r="AO160" s="35">
        <f t="shared" si="48"/>
        <v>414</v>
      </c>
      <c r="AP160" s="6">
        <v>996</v>
      </c>
      <c r="AQ160" s="6"/>
      <c r="AR160" s="34">
        <f t="shared" si="49"/>
        <v>376</v>
      </c>
      <c r="AS160" s="35">
        <v>0</v>
      </c>
      <c r="AT160" s="35">
        <v>1288</v>
      </c>
      <c r="AU160" s="35">
        <f t="shared" si="50"/>
        <v>292</v>
      </c>
      <c r="AV160" s="6">
        <v>366</v>
      </c>
      <c r="AW160" s="6"/>
      <c r="AX160" s="35">
        <f t="shared" si="51"/>
        <v>366</v>
      </c>
      <c r="AY160" s="6">
        <v>750</v>
      </c>
      <c r="AZ160" s="6"/>
      <c r="BA160" s="35">
        <f t="shared" si="52"/>
        <v>384</v>
      </c>
      <c r="BB160" s="35">
        <v>1117</v>
      </c>
      <c r="BC160" s="35"/>
      <c r="BD160" s="35">
        <f t="shared" si="53"/>
        <v>367</v>
      </c>
      <c r="BE160" s="6"/>
      <c r="BF160" s="6"/>
      <c r="BG160" s="35"/>
      <c r="BH160" s="6">
        <v>13</v>
      </c>
      <c r="BI160" s="6">
        <v>1483</v>
      </c>
      <c r="BJ160" s="35">
        <f t="shared" si="54"/>
        <v>379</v>
      </c>
      <c r="BK160" s="6">
        <v>376</v>
      </c>
      <c r="BL160" s="6"/>
      <c r="BM160" s="6">
        <f t="shared" si="55"/>
        <v>363</v>
      </c>
      <c r="BN160" s="6">
        <v>758</v>
      </c>
      <c r="BO160" s="6"/>
      <c r="BP160" s="6">
        <f t="shared" si="56"/>
        <v>382</v>
      </c>
      <c r="BQ160" s="6">
        <v>1141</v>
      </c>
      <c r="BR160" s="6"/>
      <c r="BS160" s="35">
        <f t="shared" si="57"/>
        <v>383</v>
      </c>
      <c r="BT160" s="6">
        <v>1523</v>
      </c>
      <c r="BU160" s="6"/>
      <c r="BV160" s="6">
        <f t="shared" si="58"/>
        <v>382</v>
      </c>
      <c r="BW160" s="6">
        <v>21</v>
      </c>
      <c r="BX160" s="6">
        <f>1560+298</f>
        <v>1858</v>
      </c>
      <c r="BY160" s="35">
        <f t="shared" si="59"/>
        <v>356</v>
      </c>
      <c r="BZ160" s="6"/>
      <c r="CA160" s="6"/>
      <c r="CB160" s="6"/>
      <c r="CC160" s="6">
        <v>399</v>
      </c>
      <c r="CD160" s="6"/>
      <c r="CE160" s="6">
        <f t="shared" si="60"/>
        <v>378</v>
      </c>
      <c r="CF160" s="7">
        <v>778</v>
      </c>
      <c r="CG160" s="6"/>
      <c r="CH160" s="6">
        <f t="shared" si="61"/>
        <v>379</v>
      </c>
      <c r="CI160" s="6">
        <v>1162</v>
      </c>
      <c r="CJ160" s="6"/>
      <c r="CK160" s="6">
        <f t="shared" si="62"/>
        <v>384</v>
      </c>
      <c r="CL160" s="6">
        <v>1535</v>
      </c>
      <c r="CM160" s="6"/>
      <c r="CN160" s="6">
        <f t="shared" si="63"/>
        <v>373</v>
      </c>
      <c r="CO160" s="6">
        <v>344</v>
      </c>
      <c r="CP160" s="6">
        <v>1560</v>
      </c>
      <c r="CQ160" s="6">
        <f t="shared" si="64"/>
        <v>369</v>
      </c>
      <c r="CR160" s="6">
        <v>687</v>
      </c>
      <c r="CS160" s="6"/>
      <c r="CT160" s="6">
        <f t="shared" si="65"/>
        <v>343</v>
      </c>
      <c r="CU160" s="6"/>
      <c r="CV160" s="6"/>
      <c r="CW160" s="6"/>
      <c r="CX160" s="6">
        <v>1061</v>
      </c>
      <c r="CY160" s="6"/>
      <c r="CZ160" s="6">
        <f t="shared" si="66"/>
        <v>374</v>
      </c>
      <c r="DA160" s="6">
        <v>39</v>
      </c>
      <c r="DB160" s="6">
        <v>1332</v>
      </c>
      <c r="DC160" s="6">
        <f t="shared" si="67"/>
        <v>310</v>
      </c>
      <c r="DD160" s="6">
        <v>400</v>
      </c>
      <c r="DE160" s="6"/>
      <c r="DF160" s="6">
        <f t="shared" si="68"/>
        <v>361</v>
      </c>
      <c r="DG160" s="6">
        <v>774</v>
      </c>
      <c r="DH160" s="6"/>
      <c r="DI160" s="6">
        <f t="shared" si="69"/>
        <v>374</v>
      </c>
      <c r="DJ160" s="6">
        <v>1149</v>
      </c>
      <c r="DK160" s="6"/>
      <c r="DL160" s="6">
        <f t="shared" si="70"/>
        <v>375</v>
      </c>
      <c r="DM160" s="6">
        <v>1463</v>
      </c>
      <c r="DN160" s="6"/>
      <c r="DO160" s="6">
        <f t="shared" si="71"/>
        <v>314</v>
      </c>
    </row>
    <row r="161" spans="1:119">
      <c r="A161" s="6">
        <v>157</v>
      </c>
      <c r="B161" s="6">
        <v>866</v>
      </c>
      <c r="C161" s="6"/>
      <c r="D161" s="6">
        <v>201</v>
      </c>
      <c r="E161" s="33" t="s">
        <v>37</v>
      </c>
      <c r="F161" s="33" t="s">
        <v>37</v>
      </c>
      <c r="G161" s="33" t="s">
        <v>37</v>
      </c>
      <c r="H161" s="148" t="s">
        <v>37</v>
      </c>
      <c r="I161" s="33" t="s">
        <v>37</v>
      </c>
      <c r="J161" s="33" t="s">
        <v>37</v>
      </c>
      <c r="K161" s="33" t="s">
        <v>37</v>
      </c>
      <c r="L161" s="33" t="s">
        <v>37</v>
      </c>
      <c r="M161" s="33" t="s">
        <v>37</v>
      </c>
      <c r="N161" s="33" t="s">
        <v>37</v>
      </c>
      <c r="O161" s="33" t="s">
        <v>37</v>
      </c>
      <c r="P161" s="33" t="s">
        <v>37</v>
      </c>
      <c r="Q161" s="33" t="s">
        <v>37</v>
      </c>
      <c r="R161" s="33" t="s">
        <v>37</v>
      </c>
      <c r="S161" s="33" t="s">
        <v>37</v>
      </c>
      <c r="T161" s="33" t="s">
        <v>37</v>
      </c>
      <c r="U161" s="33" t="s">
        <v>37</v>
      </c>
      <c r="V161" s="33" t="s">
        <v>37</v>
      </c>
      <c r="W161" s="33" t="s">
        <v>37</v>
      </c>
      <c r="X161" s="33" t="s">
        <v>37</v>
      </c>
      <c r="Y161" s="33" t="s">
        <v>37</v>
      </c>
      <c r="Z161" s="33" t="s">
        <v>37</v>
      </c>
      <c r="AA161" s="33" t="s">
        <v>37</v>
      </c>
      <c r="AB161" s="33" t="s">
        <v>37</v>
      </c>
      <c r="AC161" s="33" t="s">
        <v>37</v>
      </c>
      <c r="AD161" s="6"/>
      <c r="AE161" s="6"/>
      <c r="AF161" s="35"/>
      <c r="AG161" s="6"/>
      <c r="AH161" s="6"/>
      <c r="AI161" s="35"/>
      <c r="AJ161" s="35"/>
      <c r="AK161" s="35"/>
      <c r="AL161" s="35"/>
      <c r="AM161" s="6">
        <v>1272</v>
      </c>
      <c r="AN161" s="6"/>
      <c r="AO161" s="35">
        <f t="shared" si="48"/>
        <v>406</v>
      </c>
      <c r="AP161" s="6">
        <v>1646</v>
      </c>
      <c r="AQ161" s="6"/>
      <c r="AR161" s="34">
        <f t="shared" si="49"/>
        <v>374</v>
      </c>
      <c r="AS161" s="35">
        <v>273</v>
      </c>
      <c r="AT161" s="35">
        <v>1737</v>
      </c>
      <c r="AU161" s="35">
        <f t="shared" si="50"/>
        <v>364</v>
      </c>
      <c r="AV161" s="6">
        <v>656</v>
      </c>
      <c r="AW161" s="6"/>
      <c r="AX161" s="35">
        <f t="shared" si="51"/>
        <v>383</v>
      </c>
      <c r="AY161" s="6">
        <v>1041</v>
      </c>
      <c r="AZ161" s="6"/>
      <c r="BA161" s="35">
        <f t="shared" si="52"/>
        <v>385</v>
      </c>
      <c r="BB161" s="6">
        <v>1408</v>
      </c>
      <c r="BC161" s="6"/>
      <c r="BD161" s="35">
        <f t="shared" si="53"/>
        <v>367</v>
      </c>
      <c r="BE161" s="6"/>
      <c r="BF161" s="6"/>
      <c r="BG161" s="35"/>
      <c r="BH161" s="6">
        <v>231</v>
      </c>
      <c r="BI161" s="6">
        <v>1560</v>
      </c>
      <c r="BJ161" s="35">
        <f t="shared" si="54"/>
        <v>383</v>
      </c>
      <c r="BK161" s="6">
        <v>603</v>
      </c>
      <c r="BL161" s="35"/>
      <c r="BM161" s="6">
        <f t="shared" si="55"/>
        <v>372</v>
      </c>
      <c r="BN161" s="6">
        <v>976</v>
      </c>
      <c r="BO161" s="6"/>
      <c r="BP161" s="6">
        <f t="shared" si="56"/>
        <v>373</v>
      </c>
      <c r="BQ161" s="6">
        <v>1356</v>
      </c>
      <c r="BR161" s="6"/>
      <c r="BS161" s="35">
        <f t="shared" si="57"/>
        <v>380</v>
      </c>
      <c r="BT161" s="6">
        <v>178</v>
      </c>
      <c r="BU161" s="6">
        <v>1560</v>
      </c>
      <c r="BV161" s="6">
        <f t="shared" si="58"/>
        <v>382</v>
      </c>
      <c r="BW161" s="6">
        <v>539</v>
      </c>
      <c r="BX161" s="6"/>
      <c r="BY161" s="35">
        <f t="shared" si="59"/>
        <v>361</v>
      </c>
      <c r="BZ161" s="6"/>
      <c r="CA161" s="6"/>
      <c r="CB161" s="6"/>
      <c r="CC161" s="6">
        <v>924</v>
      </c>
      <c r="CD161" s="6"/>
      <c r="CE161" s="6">
        <f t="shared" si="60"/>
        <v>385</v>
      </c>
      <c r="CF161" s="7">
        <v>1304</v>
      </c>
      <c r="CG161" s="6"/>
      <c r="CH161" s="6">
        <f t="shared" si="61"/>
        <v>380</v>
      </c>
      <c r="CI161" s="6">
        <v>118</v>
      </c>
      <c r="CJ161" s="6">
        <v>1560</v>
      </c>
      <c r="CK161" s="6">
        <f t="shared" si="62"/>
        <v>374</v>
      </c>
      <c r="CL161" s="6">
        <v>488</v>
      </c>
      <c r="CM161" s="6"/>
      <c r="CN161" s="6">
        <f t="shared" si="63"/>
        <v>370</v>
      </c>
      <c r="CO161" s="6">
        <v>842</v>
      </c>
      <c r="CP161" s="6"/>
      <c r="CQ161" s="6">
        <f t="shared" si="64"/>
        <v>354</v>
      </c>
      <c r="CR161" s="6">
        <v>1180</v>
      </c>
      <c r="CS161" s="6"/>
      <c r="CT161" s="6">
        <f t="shared" si="65"/>
        <v>338</v>
      </c>
      <c r="CU161" s="6"/>
      <c r="CV161" s="6"/>
      <c r="CW161" s="6"/>
      <c r="CX161" s="6">
        <v>1549</v>
      </c>
      <c r="CY161" s="6"/>
      <c r="CZ161" s="6">
        <f t="shared" si="66"/>
        <v>369</v>
      </c>
      <c r="DA161" s="6">
        <v>351</v>
      </c>
      <c r="DB161" s="6">
        <v>1565</v>
      </c>
      <c r="DC161" s="6">
        <f t="shared" si="67"/>
        <v>367</v>
      </c>
      <c r="DD161" s="6">
        <v>723</v>
      </c>
      <c r="DE161" s="6"/>
      <c r="DF161" s="6">
        <f t="shared" si="68"/>
        <v>372</v>
      </c>
      <c r="DG161" s="6">
        <v>1099</v>
      </c>
      <c r="DH161" s="6"/>
      <c r="DI161" s="6">
        <f t="shared" si="69"/>
        <v>376</v>
      </c>
      <c r="DJ161" s="6">
        <v>1475</v>
      </c>
      <c r="DK161" s="6"/>
      <c r="DL161" s="6">
        <f t="shared" si="70"/>
        <v>376</v>
      </c>
      <c r="DM161" s="6">
        <v>0</v>
      </c>
      <c r="DN161" s="6">
        <v>1618</v>
      </c>
      <c r="DO161" s="6">
        <f t="shared" si="71"/>
        <v>143</v>
      </c>
    </row>
    <row r="162" spans="1:119">
      <c r="A162" s="6">
        <v>158</v>
      </c>
      <c r="B162" s="6">
        <v>496</v>
      </c>
      <c r="C162" s="6"/>
      <c r="D162" s="6">
        <v>171</v>
      </c>
      <c r="E162" s="33" t="s">
        <v>37</v>
      </c>
      <c r="F162" s="33" t="s">
        <v>37</v>
      </c>
      <c r="G162" s="33" t="s">
        <v>37</v>
      </c>
      <c r="H162" s="33" t="s">
        <v>37</v>
      </c>
      <c r="I162" s="33" t="s">
        <v>37</v>
      </c>
      <c r="J162" s="33" t="s">
        <v>37</v>
      </c>
      <c r="K162" s="148" t="s">
        <v>37</v>
      </c>
      <c r="L162" s="33" t="s">
        <v>37</v>
      </c>
      <c r="M162" s="33" t="s">
        <v>37</v>
      </c>
      <c r="N162" s="33" t="s">
        <v>37</v>
      </c>
      <c r="O162" s="33" t="s">
        <v>37</v>
      </c>
      <c r="P162" s="33" t="s">
        <v>37</v>
      </c>
      <c r="Q162" s="33" t="s">
        <v>37</v>
      </c>
      <c r="R162" s="33" t="s">
        <v>37</v>
      </c>
      <c r="S162" s="33" t="s">
        <v>37</v>
      </c>
      <c r="T162" s="33" t="s">
        <v>37</v>
      </c>
      <c r="U162" s="33" t="s">
        <v>37</v>
      </c>
      <c r="V162" s="33" t="s">
        <v>37</v>
      </c>
      <c r="W162" s="33" t="s">
        <v>37</v>
      </c>
      <c r="X162" s="33" t="s">
        <v>37</v>
      </c>
      <c r="Y162" s="33" t="s">
        <v>37</v>
      </c>
      <c r="Z162" s="33" t="s">
        <v>37</v>
      </c>
      <c r="AA162" s="33" t="s">
        <v>37</v>
      </c>
      <c r="AB162" s="33" t="s">
        <v>37</v>
      </c>
      <c r="AC162" s="33" t="s">
        <v>37</v>
      </c>
      <c r="AD162" s="6"/>
      <c r="AE162" s="6"/>
      <c r="AF162" s="35"/>
      <c r="AG162" s="6"/>
      <c r="AH162" s="6"/>
      <c r="AI162" s="35"/>
      <c r="AJ162" s="35"/>
      <c r="AK162" s="35"/>
      <c r="AL162" s="35"/>
      <c r="AM162" s="6">
        <v>843</v>
      </c>
      <c r="AN162" s="6"/>
      <c r="AO162" s="35">
        <f t="shared" si="48"/>
        <v>347</v>
      </c>
      <c r="AP162" s="6">
        <v>1168</v>
      </c>
      <c r="AQ162" s="6"/>
      <c r="AR162" s="34">
        <f t="shared" si="49"/>
        <v>325</v>
      </c>
      <c r="AS162" s="35">
        <v>1502</v>
      </c>
      <c r="AT162" s="35"/>
      <c r="AU162" s="35">
        <f t="shared" si="50"/>
        <v>334</v>
      </c>
      <c r="AV162" s="6">
        <v>316</v>
      </c>
      <c r="AW162" s="6">
        <v>1518</v>
      </c>
      <c r="AX162" s="35">
        <f t="shared" si="51"/>
        <v>332</v>
      </c>
      <c r="AY162" s="6">
        <v>0</v>
      </c>
      <c r="AZ162" s="6">
        <v>655</v>
      </c>
      <c r="BA162" s="35">
        <f t="shared" si="52"/>
        <v>339</v>
      </c>
      <c r="BB162" s="35">
        <v>359</v>
      </c>
      <c r="BC162" s="35"/>
      <c r="BD162" s="35">
        <f t="shared" si="53"/>
        <v>359</v>
      </c>
      <c r="BE162" s="6"/>
      <c r="BF162" s="6"/>
      <c r="BG162" s="35"/>
      <c r="BH162" s="6">
        <v>740</v>
      </c>
      <c r="BI162" s="6"/>
      <c r="BJ162" s="35">
        <f t="shared" si="54"/>
        <v>381</v>
      </c>
      <c r="BK162" s="6">
        <v>1116</v>
      </c>
      <c r="BL162" s="6"/>
      <c r="BM162" s="6">
        <f t="shared" si="55"/>
        <v>376</v>
      </c>
      <c r="BN162" s="6">
        <v>1498</v>
      </c>
      <c r="BO162" s="6"/>
      <c r="BP162" s="6">
        <f t="shared" si="56"/>
        <v>382</v>
      </c>
      <c r="BQ162" s="6">
        <v>316</v>
      </c>
      <c r="BR162" s="6">
        <v>1560</v>
      </c>
      <c r="BS162" s="35">
        <f t="shared" si="57"/>
        <v>378</v>
      </c>
      <c r="BT162" s="6">
        <v>696</v>
      </c>
      <c r="BU162" s="6"/>
      <c r="BV162" s="6">
        <f t="shared" si="58"/>
        <v>380</v>
      </c>
      <c r="BW162" s="6">
        <v>1055</v>
      </c>
      <c r="BX162" s="6"/>
      <c r="BY162" s="35">
        <f t="shared" si="59"/>
        <v>359</v>
      </c>
      <c r="BZ162" s="6"/>
      <c r="CA162" s="6"/>
      <c r="CB162" s="6"/>
      <c r="CC162" s="6">
        <v>1429</v>
      </c>
      <c r="CD162" s="6"/>
      <c r="CE162" s="6">
        <f t="shared" si="60"/>
        <v>374</v>
      </c>
      <c r="CF162" s="6">
        <v>247</v>
      </c>
      <c r="CG162" s="6">
        <v>1560</v>
      </c>
      <c r="CH162" s="6">
        <f t="shared" si="61"/>
        <v>378</v>
      </c>
      <c r="CI162" s="6">
        <v>628</v>
      </c>
      <c r="CJ162" s="6"/>
      <c r="CK162" s="6">
        <f t="shared" si="62"/>
        <v>381</v>
      </c>
      <c r="CL162" s="6">
        <v>998</v>
      </c>
      <c r="CM162" s="6"/>
      <c r="CN162" s="6">
        <f t="shared" si="63"/>
        <v>370</v>
      </c>
      <c r="CO162" s="6">
        <v>1366</v>
      </c>
      <c r="CP162" s="6"/>
      <c r="CQ162" s="6">
        <f t="shared" si="64"/>
        <v>368</v>
      </c>
      <c r="CR162" s="6">
        <v>153</v>
      </c>
      <c r="CS162" s="6">
        <v>1560</v>
      </c>
      <c r="CT162" s="6">
        <f t="shared" si="65"/>
        <v>347</v>
      </c>
      <c r="CU162" s="6"/>
      <c r="CV162" s="6"/>
      <c r="CW162" s="6"/>
      <c r="CX162" s="6">
        <v>518</v>
      </c>
      <c r="CY162" s="6"/>
      <c r="CZ162" s="6">
        <f t="shared" si="66"/>
        <v>365</v>
      </c>
      <c r="DA162" s="6">
        <v>252</v>
      </c>
      <c r="DB162" s="6">
        <v>605</v>
      </c>
      <c r="DC162" s="6">
        <f t="shared" si="67"/>
        <v>339</v>
      </c>
      <c r="DD162" s="6">
        <v>608</v>
      </c>
      <c r="DE162" s="6"/>
      <c r="DF162" s="6">
        <f t="shared" si="68"/>
        <v>356</v>
      </c>
      <c r="DG162" s="6">
        <v>971</v>
      </c>
      <c r="DH162" s="6"/>
      <c r="DI162" s="6">
        <f t="shared" si="69"/>
        <v>363</v>
      </c>
      <c r="DJ162" s="6">
        <v>1334</v>
      </c>
      <c r="DK162" s="6"/>
      <c r="DL162" s="6">
        <f t="shared" si="70"/>
        <v>363</v>
      </c>
      <c r="DM162" s="6">
        <v>188</v>
      </c>
      <c r="DN162" s="6">
        <v>1474</v>
      </c>
      <c r="DO162" s="6">
        <f t="shared" si="71"/>
        <v>328</v>
      </c>
    </row>
    <row r="163" spans="1:119">
      <c r="A163" s="6">
        <v>159</v>
      </c>
      <c r="B163" s="6">
        <v>145</v>
      </c>
      <c r="C163" s="6">
        <v>1564</v>
      </c>
      <c r="D163" s="6">
        <v>200</v>
      </c>
      <c r="E163" s="33" t="s">
        <v>37</v>
      </c>
      <c r="F163" s="33" t="s">
        <v>37</v>
      </c>
      <c r="G163" s="33" t="s">
        <v>37</v>
      </c>
      <c r="H163" s="33" t="s">
        <v>37</v>
      </c>
      <c r="I163" s="33" t="s">
        <v>37</v>
      </c>
      <c r="J163" s="148" t="s">
        <v>37</v>
      </c>
      <c r="K163" s="33" t="s">
        <v>37</v>
      </c>
      <c r="L163" s="33" t="s">
        <v>37</v>
      </c>
      <c r="M163" s="33" t="s">
        <v>37</v>
      </c>
      <c r="N163" s="33" t="s">
        <v>37</v>
      </c>
      <c r="O163" s="33" t="s">
        <v>37</v>
      </c>
      <c r="P163" s="33" t="s">
        <v>37</v>
      </c>
      <c r="Q163" s="33" t="s">
        <v>37</v>
      </c>
      <c r="R163" s="33" t="s">
        <v>37</v>
      </c>
      <c r="S163" s="33" t="s">
        <v>37</v>
      </c>
      <c r="T163" s="33" t="s">
        <v>37</v>
      </c>
      <c r="U163" s="33" t="s">
        <v>37</v>
      </c>
      <c r="V163" s="33" t="s">
        <v>37</v>
      </c>
      <c r="W163" s="33" t="s">
        <v>37</v>
      </c>
      <c r="X163" s="33" t="s">
        <v>37</v>
      </c>
      <c r="Y163" s="33" t="s">
        <v>37</v>
      </c>
      <c r="Z163" s="33" t="s">
        <v>37</v>
      </c>
      <c r="AA163" s="33" t="s">
        <v>37</v>
      </c>
      <c r="AB163" s="33" t="s">
        <v>37</v>
      </c>
      <c r="AC163" s="33" t="s">
        <v>37</v>
      </c>
      <c r="AD163" s="35"/>
      <c r="AE163" s="35"/>
      <c r="AF163" s="35"/>
      <c r="AG163" s="35"/>
      <c r="AH163" s="35"/>
      <c r="AI163" s="35"/>
      <c r="AJ163" s="35"/>
      <c r="AK163" s="35"/>
      <c r="AL163" s="35"/>
      <c r="AM163" s="6">
        <v>558</v>
      </c>
      <c r="AN163" s="6"/>
      <c r="AO163" s="35">
        <f t="shared" si="48"/>
        <v>413</v>
      </c>
      <c r="AP163" s="6">
        <v>937</v>
      </c>
      <c r="AQ163" s="6"/>
      <c r="AR163" s="34">
        <f t="shared" si="49"/>
        <v>379</v>
      </c>
      <c r="AS163" s="35">
        <v>1325</v>
      </c>
      <c r="AT163" s="35"/>
      <c r="AU163" s="35">
        <f t="shared" si="50"/>
        <v>388</v>
      </c>
      <c r="AV163" s="6">
        <v>0</v>
      </c>
      <c r="AW163" s="6">
        <v>1585</v>
      </c>
      <c r="AX163" s="35">
        <f t="shared" si="51"/>
        <v>260</v>
      </c>
      <c r="AY163" s="6">
        <v>373</v>
      </c>
      <c r="AZ163" s="6"/>
      <c r="BA163" s="35">
        <f t="shared" si="52"/>
        <v>373</v>
      </c>
      <c r="BB163" s="6">
        <v>741</v>
      </c>
      <c r="BC163" s="6"/>
      <c r="BD163" s="35">
        <f t="shared" si="53"/>
        <v>368</v>
      </c>
      <c r="BE163" s="6"/>
      <c r="BF163" s="6"/>
      <c r="BG163" s="35"/>
      <c r="BH163" s="6">
        <v>1116</v>
      </c>
      <c r="BI163" s="6"/>
      <c r="BJ163" s="35">
        <f t="shared" si="54"/>
        <v>375</v>
      </c>
      <c r="BK163" s="6">
        <v>1492</v>
      </c>
      <c r="BL163" s="35"/>
      <c r="BM163" s="6">
        <f t="shared" si="55"/>
        <v>376</v>
      </c>
      <c r="BN163" s="6">
        <v>308</v>
      </c>
      <c r="BO163" s="6">
        <v>1560</v>
      </c>
      <c r="BP163" s="6">
        <f t="shared" si="56"/>
        <v>376</v>
      </c>
      <c r="BQ163" s="6">
        <v>682</v>
      </c>
      <c r="BR163" s="6"/>
      <c r="BS163" s="35">
        <f t="shared" si="57"/>
        <v>374</v>
      </c>
      <c r="BT163" s="6">
        <v>1053</v>
      </c>
      <c r="BU163" s="6"/>
      <c r="BV163" s="6">
        <f t="shared" si="58"/>
        <v>371</v>
      </c>
      <c r="BW163" s="6">
        <v>1413</v>
      </c>
      <c r="BX163" s="6"/>
      <c r="BY163" s="35">
        <f t="shared" si="59"/>
        <v>360</v>
      </c>
      <c r="BZ163" s="6"/>
      <c r="CA163" s="6"/>
      <c r="CB163" s="6"/>
      <c r="CC163" s="6">
        <v>229</v>
      </c>
      <c r="CD163" s="6">
        <v>1560</v>
      </c>
      <c r="CE163" s="6">
        <f t="shared" si="60"/>
        <v>376</v>
      </c>
      <c r="CF163" s="6">
        <v>603</v>
      </c>
      <c r="CG163" s="6"/>
      <c r="CH163" s="6">
        <f t="shared" si="61"/>
        <v>374</v>
      </c>
      <c r="CI163" s="6">
        <v>981</v>
      </c>
      <c r="CJ163" s="6"/>
      <c r="CK163" s="6">
        <f t="shared" si="62"/>
        <v>378</v>
      </c>
      <c r="CL163" s="6">
        <v>1353</v>
      </c>
      <c r="CM163" s="6"/>
      <c r="CN163" s="6">
        <f t="shared" si="63"/>
        <v>372</v>
      </c>
      <c r="CO163" s="6">
        <v>169</v>
      </c>
      <c r="CP163" s="6">
        <v>1561</v>
      </c>
      <c r="CQ163" s="6">
        <f t="shared" si="64"/>
        <v>377</v>
      </c>
      <c r="CR163" s="6">
        <v>530</v>
      </c>
      <c r="CS163" s="6"/>
      <c r="CT163" s="6">
        <f t="shared" si="65"/>
        <v>361</v>
      </c>
      <c r="CU163" s="6"/>
      <c r="CV163" s="6"/>
      <c r="CW163" s="6"/>
      <c r="CX163" s="6">
        <v>908</v>
      </c>
      <c r="CY163" s="6"/>
      <c r="CZ163" s="6">
        <f t="shared" si="66"/>
        <v>378</v>
      </c>
      <c r="DA163" s="6">
        <v>1277</v>
      </c>
      <c r="DB163" s="6"/>
      <c r="DC163" s="6">
        <f t="shared" si="67"/>
        <v>369</v>
      </c>
      <c r="DD163" s="6">
        <v>56</v>
      </c>
      <c r="DE163" s="6">
        <v>1560</v>
      </c>
      <c r="DF163" s="6">
        <f t="shared" si="68"/>
        <v>339</v>
      </c>
      <c r="DG163" s="6">
        <v>428</v>
      </c>
      <c r="DH163" s="6"/>
      <c r="DI163" s="6">
        <f t="shared" si="69"/>
        <v>372</v>
      </c>
      <c r="DJ163" s="6">
        <v>786</v>
      </c>
      <c r="DK163" s="6"/>
      <c r="DL163" s="6">
        <f t="shared" si="70"/>
        <v>358</v>
      </c>
      <c r="DM163" s="6">
        <v>1117</v>
      </c>
      <c r="DN163" s="6"/>
      <c r="DO163" s="6">
        <f t="shared" si="71"/>
        <v>331</v>
      </c>
    </row>
    <row r="164" spans="1:119">
      <c r="A164" s="6">
        <v>160</v>
      </c>
      <c r="B164" s="6">
        <v>727</v>
      </c>
      <c r="C164" s="6"/>
      <c r="D164" s="6">
        <v>194</v>
      </c>
      <c r="E164" s="33" t="s">
        <v>128</v>
      </c>
      <c r="F164" s="33" t="s">
        <v>128</v>
      </c>
      <c r="G164" s="33" t="s">
        <v>128</v>
      </c>
      <c r="H164" s="148" t="s">
        <v>37</v>
      </c>
      <c r="I164" s="33" t="s">
        <v>37</v>
      </c>
      <c r="J164" s="33" t="s">
        <v>37</v>
      </c>
      <c r="K164" s="33" t="s">
        <v>37</v>
      </c>
      <c r="L164" s="33" t="s">
        <v>37</v>
      </c>
      <c r="M164" s="33" t="s">
        <v>37</v>
      </c>
      <c r="N164" s="33" t="s">
        <v>37</v>
      </c>
      <c r="O164" s="33" t="s">
        <v>37</v>
      </c>
      <c r="P164" s="33" t="s">
        <v>37</v>
      </c>
      <c r="Q164" s="33" t="s">
        <v>37</v>
      </c>
      <c r="R164" s="33" t="s">
        <v>37</v>
      </c>
      <c r="S164" s="33" t="s">
        <v>37</v>
      </c>
      <c r="T164" s="33" t="s">
        <v>37</v>
      </c>
      <c r="U164" s="33" t="s">
        <v>37</v>
      </c>
      <c r="V164" s="33" t="s">
        <v>37</v>
      </c>
      <c r="W164" s="33" t="s">
        <v>37</v>
      </c>
      <c r="X164" s="33" t="s">
        <v>37</v>
      </c>
      <c r="Y164" s="33" t="s">
        <v>37</v>
      </c>
      <c r="Z164" s="33" t="s">
        <v>37</v>
      </c>
      <c r="AA164" s="33" t="s">
        <v>37</v>
      </c>
      <c r="AB164" s="33" t="s">
        <v>37</v>
      </c>
      <c r="AC164" s="33" t="s">
        <v>37</v>
      </c>
      <c r="AD164" s="6"/>
      <c r="AE164" s="6"/>
      <c r="AF164" s="35"/>
      <c r="AG164" s="6"/>
      <c r="AH164" s="6"/>
      <c r="AI164" s="35"/>
      <c r="AJ164" s="35"/>
      <c r="AK164" s="35"/>
      <c r="AL164" s="35"/>
      <c r="AM164" s="6">
        <v>1122</v>
      </c>
      <c r="AN164" s="6"/>
      <c r="AO164" s="35">
        <f t="shared" si="48"/>
        <v>395</v>
      </c>
      <c r="AP164" s="6">
        <v>1498</v>
      </c>
      <c r="AQ164" s="6"/>
      <c r="AR164" s="34">
        <f t="shared" si="49"/>
        <v>376</v>
      </c>
      <c r="AS164" s="35">
        <v>269</v>
      </c>
      <c r="AT164" s="35">
        <v>1585</v>
      </c>
      <c r="AU164" s="35">
        <f t="shared" si="50"/>
        <v>356</v>
      </c>
      <c r="AV164" s="35">
        <v>651</v>
      </c>
      <c r="AW164" s="6"/>
      <c r="AX164" s="35">
        <f t="shared" si="51"/>
        <v>382</v>
      </c>
      <c r="AY164" s="6">
        <v>1035</v>
      </c>
      <c r="AZ164" s="6"/>
      <c r="BA164" s="35">
        <f t="shared" si="52"/>
        <v>384</v>
      </c>
      <c r="BB164" s="35">
        <v>1390</v>
      </c>
      <c r="BC164" s="35"/>
      <c r="BD164" s="35">
        <f t="shared" si="53"/>
        <v>355</v>
      </c>
      <c r="BE164" s="6"/>
      <c r="BF164" s="6"/>
      <c r="BG164" s="35"/>
      <c r="BH164" s="35">
        <v>214</v>
      </c>
      <c r="BI164" s="6">
        <v>1560</v>
      </c>
      <c r="BJ164" s="35">
        <f t="shared" si="54"/>
        <v>384</v>
      </c>
      <c r="BK164" s="6">
        <v>592</v>
      </c>
      <c r="BL164" s="6"/>
      <c r="BM164" s="6">
        <f t="shared" si="55"/>
        <v>378</v>
      </c>
      <c r="BN164" s="6">
        <v>963</v>
      </c>
      <c r="BO164" s="6"/>
      <c r="BP164" s="6">
        <f t="shared" si="56"/>
        <v>371</v>
      </c>
      <c r="BQ164" s="6">
        <v>1344</v>
      </c>
      <c r="BR164" s="6"/>
      <c r="BS164" s="35">
        <f t="shared" si="57"/>
        <v>381</v>
      </c>
      <c r="BT164" s="6">
        <v>162</v>
      </c>
      <c r="BU164" s="6">
        <v>1560</v>
      </c>
      <c r="BV164" s="6">
        <f t="shared" si="58"/>
        <v>378</v>
      </c>
      <c r="BW164" s="6">
        <v>519</v>
      </c>
      <c r="BX164" s="6"/>
      <c r="BY164" s="35">
        <f t="shared" si="59"/>
        <v>357</v>
      </c>
      <c r="BZ164" s="6"/>
      <c r="CA164" s="6"/>
      <c r="CB164" s="6"/>
      <c r="CC164" s="6">
        <v>899</v>
      </c>
      <c r="CD164" s="6"/>
      <c r="CE164" s="6">
        <f t="shared" si="60"/>
        <v>380</v>
      </c>
      <c r="CF164" s="6">
        <v>1277</v>
      </c>
      <c r="CG164" s="6"/>
      <c r="CH164" s="6">
        <f t="shared" si="61"/>
        <v>378</v>
      </c>
      <c r="CI164" s="6">
        <v>97</v>
      </c>
      <c r="CJ164" s="6">
        <v>1560</v>
      </c>
      <c r="CK164" s="6">
        <f t="shared" si="62"/>
        <v>380</v>
      </c>
      <c r="CL164" s="6">
        <v>476</v>
      </c>
      <c r="CM164" s="6"/>
      <c r="CN164" s="6">
        <f t="shared" si="63"/>
        <v>379</v>
      </c>
      <c r="CO164" s="6">
        <v>847</v>
      </c>
      <c r="CP164" s="6"/>
      <c r="CQ164" s="6">
        <f t="shared" si="64"/>
        <v>371</v>
      </c>
      <c r="CR164" s="6">
        <v>1206</v>
      </c>
      <c r="CS164" s="6"/>
      <c r="CT164" s="6">
        <f t="shared" si="65"/>
        <v>359</v>
      </c>
      <c r="CU164" s="6"/>
      <c r="CV164" s="6"/>
      <c r="CW164" s="6"/>
      <c r="CX164" s="6">
        <v>15</v>
      </c>
      <c r="CY164" s="6">
        <v>1560</v>
      </c>
      <c r="CZ164" s="6">
        <f t="shared" si="66"/>
        <v>369</v>
      </c>
      <c r="DA164" s="6">
        <v>381</v>
      </c>
      <c r="DB164" s="6"/>
      <c r="DC164" s="6">
        <f t="shared" si="67"/>
        <v>366</v>
      </c>
      <c r="DD164" s="6">
        <v>757</v>
      </c>
      <c r="DE164" s="6"/>
      <c r="DF164" s="6">
        <f t="shared" si="68"/>
        <v>376</v>
      </c>
      <c r="DG164" s="6">
        <v>1128</v>
      </c>
      <c r="DH164" s="6"/>
      <c r="DI164" s="6">
        <f t="shared" si="69"/>
        <v>371</v>
      </c>
      <c r="DJ164" s="6">
        <v>1504</v>
      </c>
      <c r="DK164" s="6"/>
      <c r="DL164" s="6">
        <f t="shared" si="70"/>
        <v>376</v>
      </c>
      <c r="DM164" s="6">
        <v>224</v>
      </c>
      <c r="DN164" s="6">
        <v>1605</v>
      </c>
      <c r="DO164" s="6">
        <f t="shared" si="71"/>
        <v>325</v>
      </c>
    </row>
    <row r="165" spans="1:119">
      <c r="A165" s="6">
        <v>161</v>
      </c>
      <c r="B165" s="6">
        <v>82</v>
      </c>
      <c r="C165" s="6">
        <v>1565</v>
      </c>
      <c r="D165" s="6">
        <v>205</v>
      </c>
      <c r="E165" s="33" t="s">
        <v>307</v>
      </c>
      <c r="F165" s="33" t="s">
        <v>307</v>
      </c>
      <c r="G165" s="33" t="s">
        <v>307</v>
      </c>
      <c r="H165" s="33" t="s">
        <v>307</v>
      </c>
      <c r="I165" s="33" t="s">
        <v>307</v>
      </c>
      <c r="J165" s="33" t="s">
        <v>307</v>
      </c>
      <c r="K165" s="33" t="s">
        <v>307</v>
      </c>
      <c r="L165" s="33" t="s">
        <v>307</v>
      </c>
      <c r="M165" s="33" t="s">
        <v>307</v>
      </c>
      <c r="N165" s="33" t="s">
        <v>307</v>
      </c>
      <c r="O165" s="33" t="s">
        <v>307</v>
      </c>
      <c r="P165" s="33" t="s">
        <v>307</v>
      </c>
      <c r="Q165" s="33" t="s">
        <v>307</v>
      </c>
      <c r="R165" s="148" t="s">
        <v>307</v>
      </c>
      <c r="S165" s="33" t="s">
        <v>307</v>
      </c>
      <c r="T165" s="33" t="s">
        <v>307</v>
      </c>
      <c r="U165" s="33" t="s">
        <v>307</v>
      </c>
      <c r="V165" s="33" t="s">
        <v>307</v>
      </c>
      <c r="W165" s="33" t="s">
        <v>307</v>
      </c>
      <c r="X165" s="33" t="s">
        <v>307</v>
      </c>
      <c r="Y165" s="33" t="s">
        <v>307</v>
      </c>
      <c r="Z165" s="33" t="s">
        <v>307</v>
      </c>
      <c r="AA165" s="33" t="s">
        <v>307</v>
      </c>
      <c r="AB165" s="33" t="s">
        <v>307</v>
      </c>
      <c r="AC165" s="33" t="s">
        <v>307</v>
      </c>
      <c r="AD165" s="6"/>
      <c r="AE165" s="6"/>
      <c r="AF165" s="35"/>
      <c r="AG165" s="6"/>
      <c r="AH165" s="6"/>
      <c r="AI165" s="35"/>
      <c r="AJ165" s="35"/>
      <c r="AK165" s="35"/>
      <c r="AL165" s="35"/>
      <c r="AM165" s="6">
        <v>497</v>
      </c>
      <c r="AN165" s="6"/>
      <c r="AO165" s="35">
        <f t="shared" si="48"/>
        <v>415</v>
      </c>
      <c r="AP165" s="6">
        <v>873</v>
      </c>
      <c r="AQ165" s="6"/>
      <c r="AR165" s="34">
        <f t="shared" si="49"/>
        <v>376</v>
      </c>
      <c r="AS165" s="35">
        <v>1267</v>
      </c>
      <c r="AT165" s="35"/>
      <c r="AU165" s="35">
        <f t="shared" si="50"/>
        <v>394</v>
      </c>
      <c r="AV165" s="6">
        <v>95</v>
      </c>
      <c r="AW165" s="6">
        <v>1560</v>
      </c>
      <c r="AX165" s="35">
        <f t="shared" si="51"/>
        <v>388</v>
      </c>
      <c r="AY165" s="6">
        <v>490</v>
      </c>
      <c r="AZ165" s="6"/>
      <c r="BA165" s="35">
        <f t="shared" si="52"/>
        <v>395</v>
      </c>
      <c r="BB165" s="35">
        <v>867</v>
      </c>
      <c r="BC165" s="35"/>
      <c r="BD165" s="35">
        <f t="shared" si="53"/>
        <v>377</v>
      </c>
      <c r="BE165" s="6"/>
      <c r="BF165" s="6"/>
      <c r="BG165" s="35"/>
      <c r="BH165" s="6">
        <v>1263</v>
      </c>
      <c r="BI165" s="6"/>
      <c r="BJ165" s="35">
        <f t="shared" si="54"/>
        <v>396</v>
      </c>
      <c r="BK165" s="6">
        <v>90</v>
      </c>
      <c r="BL165" s="6">
        <v>1560</v>
      </c>
      <c r="BM165" s="6">
        <f t="shared" si="55"/>
        <v>387</v>
      </c>
      <c r="BN165" s="6">
        <v>477</v>
      </c>
      <c r="BO165" s="6"/>
      <c r="BP165" s="6">
        <f t="shared" si="56"/>
        <v>387</v>
      </c>
      <c r="BQ165" s="6">
        <v>3</v>
      </c>
      <c r="BR165" s="6">
        <v>865</v>
      </c>
      <c r="BS165" s="35">
        <f t="shared" si="57"/>
        <v>391</v>
      </c>
      <c r="BT165" s="6">
        <v>392</v>
      </c>
      <c r="BU165" s="6"/>
      <c r="BV165" s="6">
        <f t="shared" si="58"/>
        <v>389</v>
      </c>
      <c r="BW165" s="6">
        <v>0</v>
      </c>
      <c r="BX165" s="6">
        <v>731</v>
      </c>
      <c r="BY165" s="35">
        <f t="shared" si="59"/>
        <v>339</v>
      </c>
      <c r="BZ165" s="35"/>
      <c r="CA165" s="6"/>
      <c r="CB165" s="6"/>
      <c r="CC165" s="6">
        <v>348</v>
      </c>
      <c r="CD165" s="6"/>
      <c r="CE165" s="6">
        <f t="shared" si="60"/>
        <v>348</v>
      </c>
      <c r="CF165" s="6">
        <v>739</v>
      </c>
      <c r="CG165" s="6"/>
      <c r="CH165" s="6">
        <f t="shared" si="61"/>
        <v>391</v>
      </c>
      <c r="CI165" s="6">
        <v>1127</v>
      </c>
      <c r="CJ165" s="6"/>
      <c r="CK165" s="6">
        <f t="shared" si="62"/>
        <v>388</v>
      </c>
      <c r="CL165" s="6">
        <v>1507</v>
      </c>
      <c r="CM165" s="6"/>
      <c r="CN165" s="6">
        <f t="shared" si="63"/>
        <v>380</v>
      </c>
      <c r="CO165" s="6">
        <v>313</v>
      </c>
      <c r="CP165" s="6">
        <v>1560</v>
      </c>
      <c r="CQ165" s="6">
        <f t="shared" si="64"/>
        <v>366</v>
      </c>
      <c r="CR165" s="6">
        <v>336</v>
      </c>
      <c r="CS165" s="6">
        <v>315</v>
      </c>
      <c r="CT165" s="6">
        <f t="shared" si="65"/>
        <v>338</v>
      </c>
      <c r="CU165" s="6"/>
      <c r="CV165" s="6"/>
      <c r="CW165" s="6"/>
      <c r="CX165" s="6">
        <v>727</v>
      </c>
      <c r="CY165" s="6"/>
      <c r="CZ165" s="6">
        <f t="shared" si="66"/>
        <v>391</v>
      </c>
      <c r="DA165" s="6">
        <v>1112</v>
      </c>
      <c r="DB165" s="6"/>
      <c r="DC165" s="6">
        <f t="shared" si="67"/>
        <v>385</v>
      </c>
      <c r="DD165" s="6">
        <v>1504</v>
      </c>
      <c r="DE165" s="6"/>
      <c r="DF165" s="6">
        <f t="shared" si="68"/>
        <v>392</v>
      </c>
      <c r="DG165" s="6">
        <v>332</v>
      </c>
      <c r="DH165" s="6">
        <v>1560</v>
      </c>
      <c r="DI165" s="6">
        <f t="shared" si="69"/>
        <v>388</v>
      </c>
      <c r="DJ165" s="6">
        <v>726</v>
      </c>
      <c r="DK165" s="6"/>
      <c r="DL165" s="6">
        <f t="shared" si="70"/>
        <v>394</v>
      </c>
      <c r="DM165" s="6">
        <v>1078</v>
      </c>
      <c r="DN165" s="6"/>
      <c r="DO165" s="6">
        <f t="shared" si="71"/>
        <v>352</v>
      </c>
    </row>
    <row r="166" spans="1:119">
      <c r="A166" s="7">
        <v>162</v>
      </c>
      <c r="B166" s="6">
        <v>0</v>
      </c>
      <c r="C166" s="6"/>
      <c r="D166" s="6">
        <v>0</v>
      </c>
      <c r="E166" s="33" t="s">
        <v>244</v>
      </c>
      <c r="F166" s="33" t="s">
        <v>244</v>
      </c>
      <c r="G166" s="33" t="s">
        <v>244</v>
      </c>
      <c r="H166" s="33" t="s">
        <v>244</v>
      </c>
      <c r="I166" s="33" t="s">
        <v>244</v>
      </c>
      <c r="J166" s="33" t="s">
        <v>244</v>
      </c>
      <c r="K166" s="148" t="s">
        <v>37</v>
      </c>
      <c r="L166" s="33" t="s">
        <v>37</v>
      </c>
      <c r="M166" s="33" t="s">
        <v>37</v>
      </c>
      <c r="N166" s="33" t="s">
        <v>37</v>
      </c>
      <c r="O166" s="33" t="s">
        <v>37</v>
      </c>
      <c r="P166" s="33" t="s">
        <v>37</v>
      </c>
      <c r="Q166" s="33" t="s">
        <v>37</v>
      </c>
      <c r="R166" s="33" t="s">
        <v>37</v>
      </c>
      <c r="S166" s="33" t="s">
        <v>37</v>
      </c>
      <c r="T166" s="33" t="s">
        <v>37</v>
      </c>
      <c r="U166" s="33" t="s">
        <v>37</v>
      </c>
      <c r="V166" s="33" t="s">
        <v>37</v>
      </c>
      <c r="W166" s="33" t="s">
        <v>37</v>
      </c>
      <c r="X166" s="33" t="s">
        <v>37</v>
      </c>
      <c r="Y166" s="33" t="s">
        <v>37</v>
      </c>
      <c r="Z166" s="33" t="s">
        <v>37</v>
      </c>
      <c r="AA166" s="33" t="s">
        <v>37</v>
      </c>
      <c r="AB166" s="33" t="s">
        <v>37</v>
      </c>
      <c r="AC166" s="33" t="s">
        <v>37</v>
      </c>
      <c r="AD166" s="35"/>
      <c r="AE166" s="35"/>
      <c r="AF166" s="35"/>
      <c r="AG166" s="35"/>
      <c r="AH166" s="35"/>
      <c r="AI166" s="35"/>
      <c r="AJ166" s="35"/>
      <c r="AK166" s="35"/>
      <c r="AL166" s="35"/>
      <c r="AM166" s="6">
        <v>0</v>
      </c>
      <c r="AN166" s="6"/>
      <c r="AO166" s="35">
        <f t="shared" si="48"/>
        <v>0</v>
      </c>
      <c r="AP166" s="6">
        <v>0</v>
      </c>
      <c r="AQ166" s="6"/>
      <c r="AR166" s="34">
        <f t="shared" si="49"/>
        <v>0</v>
      </c>
      <c r="AS166" s="35">
        <v>0</v>
      </c>
      <c r="AT166" s="35"/>
      <c r="AU166" s="35">
        <f t="shared" si="50"/>
        <v>0</v>
      </c>
      <c r="AV166" s="6">
        <v>0</v>
      </c>
      <c r="AW166" s="6"/>
      <c r="AX166" s="35">
        <f t="shared" si="51"/>
        <v>0</v>
      </c>
      <c r="AY166" s="6">
        <v>0</v>
      </c>
      <c r="AZ166" s="6"/>
      <c r="BA166" s="35">
        <f t="shared" si="52"/>
        <v>0</v>
      </c>
      <c r="BB166" s="6">
        <v>301</v>
      </c>
      <c r="BC166" s="6"/>
      <c r="BD166" s="35">
        <f t="shared" si="53"/>
        <v>301</v>
      </c>
      <c r="BE166" s="6"/>
      <c r="BF166" s="6"/>
      <c r="BG166" s="35"/>
      <c r="BH166" s="6">
        <v>669</v>
      </c>
      <c r="BI166" s="6"/>
      <c r="BJ166" s="35">
        <f t="shared" si="54"/>
        <v>368</v>
      </c>
      <c r="BK166" s="6">
        <v>1035</v>
      </c>
      <c r="BL166" s="35"/>
      <c r="BM166" s="6">
        <f t="shared" si="55"/>
        <v>366</v>
      </c>
      <c r="BN166" s="6">
        <v>1402</v>
      </c>
      <c r="BO166" s="6"/>
      <c r="BP166" s="6">
        <f t="shared" si="56"/>
        <v>367</v>
      </c>
      <c r="BQ166" s="6">
        <v>205</v>
      </c>
      <c r="BR166" s="6">
        <v>1560</v>
      </c>
      <c r="BS166" s="35">
        <f t="shared" si="57"/>
        <v>363</v>
      </c>
      <c r="BT166" s="6">
        <v>566</v>
      </c>
      <c r="BU166" s="6"/>
      <c r="BV166" s="6">
        <f t="shared" si="58"/>
        <v>361</v>
      </c>
      <c r="BW166" s="6">
        <v>912</v>
      </c>
      <c r="BX166" s="6"/>
      <c r="BY166" s="35">
        <f t="shared" si="59"/>
        <v>346</v>
      </c>
      <c r="BZ166" s="6"/>
      <c r="CA166" s="35"/>
      <c r="CB166" s="6"/>
      <c r="CC166" s="6">
        <v>1281</v>
      </c>
      <c r="CD166" s="6"/>
      <c r="CE166" s="6">
        <f t="shared" si="60"/>
        <v>369</v>
      </c>
      <c r="CF166" s="6">
        <v>87</v>
      </c>
      <c r="CG166" s="35">
        <v>1560</v>
      </c>
      <c r="CH166" s="6">
        <f t="shared" si="61"/>
        <v>366</v>
      </c>
      <c r="CI166" s="6">
        <v>459</v>
      </c>
      <c r="CJ166" s="6"/>
      <c r="CK166" s="6">
        <f t="shared" si="62"/>
        <v>372</v>
      </c>
      <c r="CL166" s="6">
        <v>827</v>
      </c>
      <c r="CM166" s="6"/>
      <c r="CN166" s="6">
        <f t="shared" si="63"/>
        <v>368</v>
      </c>
      <c r="CO166" s="6">
        <v>1205</v>
      </c>
      <c r="CP166" s="6"/>
      <c r="CQ166" s="6">
        <f t="shared" si="64"/>
        <v>378</v>
      </c>
      <c r="CR166" s="6">
        <v>1540</v>
      </c>
      <c r="CS166" s="6"/>
      <c r="CT166" s="6">
        <f t="shared" si="65"/>
        <v>335</v>
      </c>
      <c r="CU166" s="6"/>
      <c r="CV166" s="6"/>
      <c r="CW166" s="6"/>
      <c r="CX166" s="6">
        <v>340</v>
      </c>
      <c r="CY166" s="6">
        <v>1560</v>
      </c>
      <c r="CZ166" s="6">
        <f t="shared" si="66"/>
        <v>360</v>
      </c>
      <c r="DA166" s="6">
        <v>665</v>
      </c>
      <c r="DB166" s="6"/>
      <c r="DC166" s="6">
        <f t="shared" si="67"/>
        <v>325</v>
      </c>
      <c r="DD166" s="6">
        <v>1016</v>
      </c>
      <c r="DE166" s="6"/>
      <c r="DF166" s="6">
        <f t="shared" si="68"/>
        <v>351</v>
      </c>
      <c r="DG166" s="6">
        <v>1375</v>
      </c>
      <c r="DH166" s="6"/>
      <c r="DI166" s="6">
        <f t="shared" si="69"/>
        <v>359</v>
      </c>
      <c r="DJ166" s="6">
        <v>185</v>
      </c>
      <c r="DK166" s="6">
        <v>1560</v>
      </c>
      <c r="DL166" s="6">
        <f t="shared" si="70"/>
        <v>370</v>
      </c>
      <c r="DM166" s="6">
        <v>523</v>
      </c>
      <c r="DN166" s="6"/>
      <c r="DO166" s="6">
        <f t="shared" si="71"/>
        <v>338</v>
      </c>
    </row>
    <row r="167" spans="1:119">
      <c r="A167" s="6">
        <v>163</v>
      </c>
      <c r="B167" s="6">
        <v>0</v>
      </c>
      <c r="C167" s="6"/>
      <c r="D167" s="6">
        <v>0</v>
      </c>
      <c r="E167" s="33" t="s">
        <v>138</v>
      </c>
      <c r="F167" s="33" t="s">
        <v>138</v>
      </c>
      <c r="G167" s="33" t="s">
        <v>138</v>
      </c>
      <c r="H167" s="33" t="s">
        <v>138</v>
      </c>
      <c r="I167" s="33" t="s">
        <v>138</v>
      </c>
      <c r="J167" s="33" t="s">
        <v>138</v>
      </c>
      <c r="K167" s="148" t="s">
        <v>37</v>
      </c>
      <c r="L167" s="33" t="s">
        <v>37</v>
      </c>
      <c r="M167" s="33" t="s">
        <v>37</v>
      </c>
      <c r="N167" s="33" t="s">
        <v>37</v>
      </c>
      <c r="O167" s="33" t="s">
        <v>37</v>
      </c>
      <c r="P167" s="33" t="s">
        <v>37</v>
      </c>
      <c r="Q167" s="33" t="s">
        <v>37</v>
      </c>
      <c r="R167" s="33" t="s">
        <v>37</v>
      </c>
      <c r="S167" s="33" t="s">
        <v>37</v>
      </c>
      <c r="T167" s="33" t="s">
        <v>37</v>
      </c>
      <c r="U167" s="33" t="s">
        <v>37</v>
      </c>
      <c r="V167" s="33" t="s">
        <v>37</v>
      </c>
      <c r="W167" s="33" t="s">
        <v>37</v>
      </c>
      <c r="X167" s="33" t="s">
        <v>37</v>
      </c>
      <c r="Y167" s="33" t="s">
        <v>37</v>
      </c>
      <c r="Z167" s="33" t="s">
        <v>37</v>
      </c>
      <c r="AA167" s="33" t="s">
        <v>37</v>
      </c>
      <c r="AB167" s="33" t="s">
        <v>37</v>
      </c>
      <c r="AC167" s="33" t="s">
        <v>37</v>
      </c>
      <c r="AD167" s="35"/>
      <c r="AE167" s="35"/>
      <c r="AF167" s="35"/>
      <c r="AG167" s="35"/>
      <c r="AH167" s="35"/>
      <c r="AI167" s="35"/>
      <c r="AJ167" s="35"/>
      <c r="AK167" s="35"/>
      <c r="AL167" s="35"/>
      <c r="AM167" s="6">
        <v>0</v>
      </c>
      <c r="AN167" s="6"/>
      <c r="AO167" s="35">
        <f t="shared" si="48"/>
        <v>0</v>
      </c>
      <c r="AP167" s="6">
        <v>0</v>
      </c>
      <c r="AQ167" s="6"/>
      <c r="AR167" s="34">
        <f t="shared" si="49"/>
        <v>0</v>
      </c>
      <c r="AS167" s="35">
        <v>0</v>
      </c>
      <c r="AT167" s="35"/>
      <c r="AU167" s="35">
        <f t="shared" si="50"/>
        <v>0</v>
      </c>
      <c r="AV167" s="6">
        <v>0</v>
      </c>
      <c r="AW167" s="6"/>
      <c r="AX167" s="35">
        <f t="shared" si="51"/>
        <v>0</v>
      </c>
      <c r="AY167" s="6">
        <v>0</v>
      </c>
      <c r="AZ167" s="6"/>
      <c r="BA167" s="35">
        <f t="shared" si="52"/>
        <v>0</v>
      </c>
      <c r="BB167" s="35">
        <v>278</v>
      </c>
      <c r="BC167" s="35"/>
      <c r="BD167" s="35">
        <f t="shared" si="53"/>
        <v>278</v>
      </c>
      <c r="BE167" s="6"/>
      <c r="BF167" s="6"/>
      <c r="BG167" s="35"/>
      <c r="BH167" s="6">
        <v>660</v>
      </c>
      <c r="BI167" s="6"/>
      <c r="BJ167" s="35">
        <f t="shared" si="54"/>
        <v>382</v>
      </c>
      <c r="BK167" s="6">
        <v>1034</v>
      </c>
      <c r="BL167" s="6"/>
      <c r="BM167" s="6">
        <f t="shared" si="55"/>
        <v>374</v>
      </c>
      <c r="BN167" s="6">
        <v>1411</v>
      </c>
      <c r="BO167" s="6"/>
      <c r="BP167" s="6">
        <f t="shared" si="56"/>
        <v>377</v>
      </c>
      <c r="BQ167" s="6">
        <v>226</v>
      </c>
      <c r="BR167" s="6">
        <v>1560</v>
      </c>
      <c r="BS167" s="35">
        <f t="shared" si="57"/>
        <v>375</v>
      </c>
      <c r="BT167" s="6">
        <v>608</v>
      </c>
      <c r="BU167" s="6"/>
      <c r="BV167" s="6">
        <f t="shared" si="58"/>
        <v>382</v>
      </c>
      <c r="BW167" s="6">
        <v>967</v>
      </c>
      <c r="BX167" s="6"/>
      <c r="BY167" s="35">
        <f t="shared" si="59"/>
        <v>359</v>
      </c>
      <c r="BZ167" s="6"/>
      <c r="CA167" s="6"/>
      <c r="CB167" s="6"/>
      <c r="CC167" s="6">
        <v>1341</v>
      </c>
      <c r="CD167" s="6"/>
      <c r="CE167" s="6">
        <f t="shared" si="60"/>
        <v>374</v>
      </c>
      <c r="CF167" s="6">
        <v>159</v>
      </c>
      <c r="CG167" s="6">
        <v>1560</v>
      </c>
      <c r="CH167" s="6">
        <f t="shared" si="61"/>
        <v>378</v>
      </c>
      <c r="CI167" s="6">
        <v>541</v>
      </c>
      <c r="CJ167" s="6"/>
      <c r="CK167" s="6">
        <f t="shared" si="62"/>
        <v>382</v>
      </c>
      <c r="CL167" s="6">
        <v>910</v>
      </c>
      <c r="CM167" s="6"/>
      <c r="CN167" s="6">
        <f t="shared" si="63"/>
        <v>369</v>
      </c>
      <c r="CO167" s="6">
        <v>1279</v>
      </c>
      <c r="CP167" s="6"/>
      <c r="CQ167" s="6">
        <f t="shared" si="64"/>
        <v>369</v>
      </c>
      <c r="CR167" s="6">
        <v>61</v>
      </c>
      <c r="CS167" s="6">
        <v>1561</v>
      </c>
      <c r="CT167" s="6">
        <f t="shared" si="65"/>
        <v>343</v>
      </c>
      <c r="CU167" s="6"/>
      <c r="CV167" s="6"/>
      <c r="CW167" s="6"/>
      <c r="CX167" s="6">
        <v>423</v>
      </c>
      <c r="CY167" s="6"/>
      <c r="CZ167" s="6">
        <f t="shared" si="66"/>
        <v>362</v>
      </c>
      <c r="DA167" s="6">
        <v>760</v>
      </c>
      <c r="DB167" s="6"/>
      <c r="DC167" s="6">
        <f t="shared" si="67"/>
        <v>337</v>
      </c>
      <c r="DD167" s="6">
        <v>1127</v>
      </c>
      <c r="DE167" s="6"/>
      <c r="DF167" s="6">
        <f t="shared" si="68"/>
        <v>367</v>
      </c>
      <c r="DG167" s="6">
        <v>1492</v>
      </c>
      <c r="DH167" s="6"/>
      <c r="DI167" s="6">
        <f t="shared" si="69"/>
        <v>365</v>
      </c>
      <c r="DJ167" s="6">
        <v>301</v>
      </c>
      <c r="DK167" s="6">
        <v>1560</v>
      </c>
      <c r="DL167" s="6">
        <f t="shared" si="70"/>
        <v>369</v>
      </c>
      <c r="DM167" s="6">
        <v>636</v>
      </c>
      <c r="DN167" s="6"/>
      <c r="DO167" s="6">
        <f t="shared" si="71"/>
        <v>335</v>
      </c>
    </row>
    <row r="168" spans="1:119">
      <c r="A168" s="6">
        <v>164</v>
      </c>
      <c r="B168" s="6">
        <v>834</v>
      </c>
      <c r="C168" s="6"/>
      <c r="D168" s="6">
        <v>201</v>
      </c>
      <c r="E168" s="33" t="s">
        <v>37</v>
      </c>
      <c r="F168" s="33" t="s">
        <v>37</v>
      </c>
      <c r="G168" s="33" t="s">
        <v>37</v>
      </c>
      <c r="H168" s="148" t="s">
        <v>37</v>
      </c>
      <c r="I168" s="33" t="s">
        <v>37</v>
      </c>
      <c r="J168" s="33" t="s">
        <v>37</v>
      </c>
      <c r="K168" s="33" t="s">
        <v>37</v>
      </c>
      <c r="L168" s="33" t="s">
        <v>37</v>
      </c>
      <c r="M168" s="33" t="s">
        <v>37</v>
      </c>
      <c r="N168" s="33" t="s">
        <v>37</v>
      </c>
      <c r="O168" s="33" t="s">
        <v>37</v>
      </c>
      <c r="P168" s="33" t="s">
        <v>37</v>
      </c>
      <c r="Q168" s="33" t="s">
        <v>37</v>
      </c>
      <c r="R168" s="33" t="s">
        <v>37</v>
      </c>
      <c r="S168" s="33" t="s">
        <v>37</v>
      </c>
      <c r="T168" s="33" t="s">
        <v>37</v>
      </c>
      <c r="U168" s="33" t="s">
        <v>37</v>
      </c>
      <c r="V168" s="33" t="s">
        <v>37</v>
      </c>
      <c r="W168" s="33" t="s">
        <v>37</v>
      </c>
      <c r="X168" s="33" t="s">
        <v>37</v>
      </c>
      <c r="Y168" s="33" t="s">
        <v>37</v>
      </c>
      <c r="Z168" s="33" t="s">
        <v>37</v>
      </c>
      <c r="AA168" s="33" t="s">
        <v>37</v>
      </c>
      <c r="AB168" s="33" t="s">
        <v>37</v>
      </c>
      <c r="AC168" s="33" t="s">
        <v>37</v>
      </c>
      <c r="AD168" s="6"/>
      <c r="AE168" s="6"/>
      <c r="AF168" s="35"/>
      <c r="AG168" s="6"/>
      <c r="AH168" s="6"/>
      <c r="AI168" s="35"/>
      <c r="AJ168" s="35"/>
      <c r="AK168" s="35"/>
      <c r="AL168" s="35"/>
      <c r="AM168" s="6">
        <v>1244</v>
      </c>
      <c r="AN168" s="6"/>
      <c r="AO168" s="35">
        <f t="shared" si="48"/>
        <v>410</v>
      </c>
      <c r="AP168" s="6">
        <v>1621</v>
      </c>
      <c r="AQ168" s="6"/>
      <c r="AR168" s="34">
        <f t="shared" si="49"/>
        <v>377</v>
      </c>
      <c r="AS168" s="35">
        <v>359</v>
      </c>
      <c r="AT168" s="35">
        <v>1626</v>
      </c>
      <c r="AU168" s="35">
        <f t="shared" si="50"/>
        <v>364</v>
      </c>
      <c r="AV168" s="6">
        <v>740</v>
      </c>
      <c r="AW168" s="6"/>
      <c r="AX168" s="35">
        <f t="shared" si="51"/>
        <v>381</v>
      </c>
      <c r="AY168" s="6">
        <v>1124</v>
      </c>
      <c r="AZ168" s="6"/>
      <c r="BA168" s="35">
        <f t="shared" si="52"/>
        <v>384</v>
      </c>
      <c r="BB168" s="35">
        <v>1489</v>
      </c>
      <c r="BC168" s="35"/>
      <c r="BD168" s="35">
        <f t="shared" si="53"/>
        <v>365</v>
      </c>
      <c r="BE168" s="6"/>
      <c r="BF168" s="6"/>
      <c r="BG168" s="35"/>
      <c r="BH168" s="6">
        <v>301</v>
      </c>
      <c r="BI168" s="6">
        <v>1560</v>
      </c>
      <c r="BJ168" s="35">
        <f t="shared" si="54"/>
        <v>372</v>
      </c>
      <c r="BK168" s="6">
        <v>667</v>
      </c>
      <c r="BL168" s="6"/>
      <c r="BM168" s="6">
        <f t="shared" si="55"/>
        <v>366</v>
      </c>
      <c r="BN168" s="6">
        <v>352</v>
      </c>
      <c r="BO168" s="6">
        <v>692</v>
      </c>
      <c r="BP168" s="6">
        <f t="shared" si="56"/>
        <v>377</v>
      </c>
      <c r="BQ168" s="6">
        <v>728</v>
      </c>
      <c r="BR168" s="6"/>
      <c r="BS168" s="35">
        <f t="shared" si="57"/>
        <v>376</v>
      </c>
      <c r="BT168" s="6">
        <v>954</v>
      </c>
      <c r="BU168" s="6"/>
      <c r="BV168" s="6">
        <f t="shared" si="58"/>
        <v>226</v>
      </c>
      <c r="BW168" s="6">
        <v>330</v>
      </c>
      <c r="BX168" s="6">
        <v>954</v>
      </c>
      <c r="BY168" s="35">
        <f t="shared" si="59"/>
        <v>330</v>
      </c>
      <c r="BZ168" s="6"/>
      <c r="CA168" s="6"/>
      <c r="CB168" s="6"/>
      <c r="CC168" s="6">
        <f>373+330</f>
        <v>703</v>
      </c>
      <c r="CD168" s="6"/>
      <c r="CE168" s="6">
        <f t="shared" si="60"/>
        <v>373</v>
      </c>
      <c r="CF168" s="6">
        <f>741+330</f>
        <v>1071</v>
      </c>
      <c r="CG168" s="6"/>
      <c r="CH168" s="6">
        <f t="shared" si="61"/>
        <v>368</v>
      </c>
      <c r="CI168" s="6">
        <v>129</v>
      </c>
      <c r="CJ168" s="6">
        <v>1306</v>
      </c>
      <c r="CK168" s="6">
        <f t="shared" si="62"/>
        <v>364</v>
      </c>
      <c r="CL168" s="6">
        <v>497</v>
      </c>
      <c r="CM168" s="6"/>
      <c r="CN168" s="6">
        <f t="shared" si="63"/>
        <v>368</v>
      </c>
      <c r="CO168" s="6">
        <v>858</v>
      </c>
      <c r="CP168" s="6"/>
      <c r="CQ168" s="6">
        <f t="shared" si="64"/>
        <v>361</v>
      </c>
      <c r="CR168" s="6">
        <v>1218</v>
      </c>
      <c r="CS168" s="6"/>
      <c r="CT168" s="6">
        <f t="shared" si="65"/>
        <v>360</v>
      </c>
      <c r="CU168" s="6"/>
      <c r="CV168" s="6"/>
      <c r="CW168" s="6"/>
      <c r="CX168" s="6">
        <v>1597</v>
      </c>
      <c r="CY168" s="6"/>
      <c r="CZ168" s="6">
        <f t="shared" si="66"/>
        <v>379</v>
      </c>
      <c r="DA168" s="6">
        <v>357</v>
      </c>
      <c r="DB168" s="6">
        <v>1610</v>
      </c>
      <c r="DC168" s="6">
        <f t="shared" si="67"/>
        <v>370</v>
      </c>
      <c r="DD168" s="6">
        <v>734</v>
      </c>
      <c r="DE168" s="6"/>
      <c r="DF168" s="6">
        <f t="shared" si="68"/>
        <v>377</v>
      </c>
      <c r="DG168" s="35">
        <v>1097</v>
      </c>
      <c r="DH168" s="6"/>
      <c r="DI168" s="6">
        <f t="shared" si="69"/>
        <v>363</v>
      </c>
      <c r="DJ168" s="35">
        <v>1477</v>
      </c>
      <c r="DK168" s="6"/>
      <c r="DL168" s="6">
        <f t="shared" si="70"/>
        <v>380</v>
      </c>
      <c r="DM168" s="35">
        <v>0</v>
      </c>
      <c r="DN168" s="6">
        <f>1560+92</f>
        <v>1652</v>
      </c>
      <c r="DO168" s="6">
        <f t="shared" si="71"/>
        <v>175</v>
      </c>
    </row>
    <row r="169" spans="1:119">
      <c r="A169" s="6">
        <v>165</v>
      </c>
      <c r="B169" s="6">
        <v>196</v>
      </c>
      <c r="C169" s="6"/>
      <c r="D169" s="6">
        <v>196</v>
      </c>
      <c r="E169" s="33" t="s">
        <v>102</v>
      </c>
      <c r="F169" s="33" t="s">
        <v>102</v>
      </c>
      <c r="G169" s="148" t="s">
        <v>37</v>
      </c>
      <c r="H169" s="33" t="s">
        <v>37</v>
      </c>
      <c r="I169" s="33" t="s">
        <v>37</v>
      </c>
      <c r="J169" s="33" t="s">
        <v>37</v>
      </c>
      <c r="K169" s="33" t="s">
        <v>37</v>
      </c>
      <c r="L169" s="33" t="s">
        <v>37</v>
      </c>
      <c r="M169" s="33" t="s">
        <v>37</v>
      </c>
      <c r="N169" s="33" t="s">
        <v>37</v>
      </c>
      <c r="O169" s="33" t="s">
        <v>37</v>
      </c>
      <c r="P169" s="33" t="s">
        <v>37</v>
      </c>
      <c r="Q169" s="33" t="s">
        <v>37</v>
      </c>
      <c r="R169" s="33" t="s">
        <v>37</v>
      </c>
      <c r="S169" s="33" t="s">
        <v>37</v>
      </c>
      <c r="T169" s="33" t="s">
        <v>37</v>
      </c>
      <c r="U169" s="33" t="s">
        <v>37</v>
      </c>
      <c r="V169" s="33" t="s">
        <v>37</v>
      </c>
      <c r="W169" s="33" t="s">
        <v>37</v>
      </c>
      <c r="X169" s="33" t="s">
        <v>37</v>
      </c>
      <c r="Y169" s="33" t="s">
        <v>37</v>
      </c>
      <c r="Z169" s="33" t="s">
        <v>37</v>
      </c>
      <c r="AA169" s="33" t="s">
        <v>37</v>
      </c>
      <c r="AB169" s="148" t="s">
        <v>37</v>
      </c>
      <c r="AC169" s="33" t="s">
        <v>37</v>
      </c>
      <c r="AD169" s="35"/>
      <c r="AE169" s="35"/>
      <c r="AF169" s="35"/>
      <c r="AG169" s="35"/>
      <c r="AH169" s="35"/>
      <c r="AI169" s="35"/>
      <c r="AJ169" s="35"/>
      <c r="AK169" s="35"/>
      <c r="AL169" s="35"/>
      <c r="AM169" s="35">
        <v>0</v>
      </c>
      <c r="AN169" s="35">
        <v>402</v>
      </c>
      <c r="AO169" s="35">
        <f t="shared" si="48"/>
        <v>206</v>
      </c>
      <c r="AP169" s="6">
        <v>319</v>
      </c>
      <c r="AQ169" s="35"/>
      <c r="AR169" s="34">
        <f t="shared" si="49"/>
        <v>319</v>
      </c>
      <c r="AS169" s="35">
        <v>670</v>
      </c>
      <c r="AT169" s="35"/>
      <c r="AU169" s="35">
        <f t="shared" si="50"/>
        <v>351</v>
      </c>
      <c r="AV169" s="6">
        <v>1019</v>
      </c>
      <c r="AW169" s="6"/>
      <c r="AX169" s="35">
        <f t="shared" si="51"/>
        <v>349</v>
      </c>
      <c r="AY169" s="6">
        <v>1381</v>
      </c>
      <c r="AZ169" s="6"/>
      <c r="BA169" s="35">
        <f t="shared" si="52"/>
        <v>362</v>
      </c>
      <c r="BB169" s="6">
        <v>160</v>
      </c>
      <c r="BC169" s="6">
        <v>1560</v>
      </c>
      <c r="BD169" s="35">
        <f t="shared" si="53"/>
        <v>339</v>
      </c>
      <c r="BE169" s="6"/>
      <c r="BF169" s="6"/>
      <c r="BG169" s="35"/>
      <c r="BH169" s="6">
        <v>524</v>
      </c>
      <c r="BI169" s="6"/>
      <c r="BJ169" s="35">
        <f t="shared" si="54"/>
        <v>364</v>
      </c>
      <c r="BK169" s="6">
        <v>884</v>
      </c>
      <c r="BL169" s="35"/>
      <c r="BM169" s="6">
        <f t="shared" si="55"/>
        <v>360</v>
      </c>
      <c r="BN169" s="6">
        <v>120</v>
      </c>
      <c r="BO169" s="6">
        <v>1117</v>
      </c>
      <c r="BP169" s="6">
        <f t="shared" si="56"/>
        <v>353</v>
      </c>
      <c r="BQ169" s="6">
        <v>487</v>
      </c>
      <c r="BR169" s="6"/>
      <c r="BS169" s="35">
        <f t="shared" si="57"/>
        <v>367</v>
      </c>
      <c r="BT169" s="6">
        <v>850</v>
      </c>
      <c r="BU169" s="6"/>
      <c r="BV169" s="6">
        <f t="shared" si="58"/>
        <v>363</v>
      </c>
      <c r="BW169" s="6">
        <v>1197</v>
      </c>
      <c r="BX169" s="6"/>
      <c r="BY169" s="35">
        <f t="shared" si="59"/>
        <v>347</v>
      </c>
      <c r="BZ169" s="6"/>
      <c r="CA169" s="6"/>
      <c r="CB169" s="6"/>
      <c r="CC169" s="6">
        <v>8</v>
      </c>
      <c r="CD169" s="6">
        <v>1560</v>
      </c>
      <c r="CE169" s="6">
        <f t="shared" si="60"/>
        <v>371</v>
      </c>
      <c r="CF169" s="6">
        <v>375</v>
      </c>
      <c r="CG169" s="6"/>
      <c r="CH169" s="6">
        <f t="shared" si="61"/>
        <v>367</v>
      </c>
      <c r="CI169" s="6">
        <v>736</v>
      </c>
      <c r="CJ169" s="6"/>
      <c r="CK169" s="6">
        <f t="shared" si="62"/>
        <v>361</v>
      </c>
      <c r="CL169" s="6">
        <v>1091</v>
      </c>
      <c r="CM169" s="6"/>
      <c r="CN169" s="6">
        <f t="shared" si="63"/>
        <v>355</v>
      </c>
      <c r="CO169" s="6">
        <v>1453</v>
      </c>
      <c r="CP169" s="6"/>
      <c r="CQ169" s="6">
        <f t="shared" si="64"/>
        <v>362</v>
      </c>
      <c r="CR169" s="6">
        <v>229</v>
      </c>
      <c r="CS169" s="6">
        <v>1561</v>
      </c>
      <c r="CT169" s="6">
        <f t="shared" si="65"/>
        <v>337</v>
      </c>
      <c r="CU169" s="6"/>
      <c r="CV169" s="6"/>
      <c r="CW169" s="6"/>
      <c r="CX169" s="6">
        <v>601</v>
      </c>
      <c r="CY169" s="6"/>
      <c r="CZ169" s="6">
        <f t="shared" si="66"/>
        <v>372</v>
      </c>
      <c r="DA169" s="6">
        <v>966</v>
      </c>
      <c r="DB169" s="6"/>
      <c r="DC169" s="6">
        <f t="shared" si="67"/>
        <v>365</v>
      </c>
      <c r="DD169" s="6">
        <v>1334</v>
      </c>
      <c r="DE169" s="6"/>
      <c r="DF169" s="6">
        <f t="shared" si="68"/>
        <v>368</v>
      </c>
      <c r="DG169" s="6">
        <v>1702</v>
      </c>
      <c r="DH169" s="6"/>
      <c r="DI169" s="6">
        <f t="shared" si="69"/>
        <v>368</v>
      </c>
      <c r="DJ169" s="6">
        <v>258</v>
      </c>
      <c r="DK169" s="6">
        <v>1804</v>
      </c>
      <c r="DL169" s="6">
        <f t="shared" si="70"/>
        <v>360</v>
      </c>
      <c r="DM169" s="6">
        <v>589</v>
      </c>
      <c r="DN169" s="6"/>
      <c r="DO169" s="6">
        <f t="shared" si="71"/>
        <v>331</v>
      </c>
    </row>
    <row r="170" spans="1:119">
      <c r="A170" s="6">
        <v>166</v>
      </c>
      <c r="B170" s="6">
        <v>407</v>
      </c>
      <c r="C170" s="6"/>
      <c r="D170" s="6">
        <v>202</v>
      </c>
      <c r="E170" s="33" t="s">
        <v>37</v>
      </c>
      <c r="F170" s="33" t="s">
        <v>37</v>
      </c>
      <c r="G170" s="33" t="s">
        <v>37</v>
      </c>
      <c r="H170" s="33" t="s">
        <v>37</v>
      </c>
      <c r="I170" s="148" t="s">
        <v>37</v>
      </c>
      <c r="J170" s="33" t="s">
        <v>37</v>
      </c>
      <c r="K170" s="33" t="s">
        <v>37</v>
      </c>
      <c r="L170" s="33" t="s">
        <v>37</v>
      </c>
      <c r="M170" s="33" t="s">
        <v>37</v>
      </c>
      <c r="N170" s="33" t="s">
        <v>37</v>
      </c>
      <c r="O170" s="33" t="s">
        <v>37</v>
      </c>
      <c r="P170" s="33" t="s">
        <v>37</v>
      </c>
      <c r="Q170" s="33" t="s">
        <v>37</v>
      </c>
      <c r="R170" s="33" t="s">
        <v>37</v>
      </c>
      <c r="S170" s="33" t="s">
        <v>37</v>
      </c>
      <c r="T170" s="33" t="s">
        <v>37</v>
      </c>
      <c r="U170" s="33" t="s">
        <v>37</v>
      </c>
      <c r="V170" s="33" t="s">
        <v>37</v>
      </c>
      <c r="W170" s="33" t="s">
        <v>37</v>
      </c>
      <c r="X170" s="33" t="s">
        <v>37</v>
      </c>
      <c r="Y170" s="33" t="s">
        <v>37</v>
      </c>
      <c r="Z170" s="33" t="s">
        <v>37</v>
      </c>
      <c r="AA170" s="33" t="s">
        <v>37</v>
      </c>
      <c r="AB170" s="33" t="s">
        <v>37</v>
      </c>
      <c r="AC170" s="33" t="s">
        <v>37</v>
      </c>
      <c r="AD170" s="6"/>
      <c r="AE170" s="6"/>
      <c r="AF170" s="35"/>
      <c r="AG170" s="6"/>
      <c r="AH170" s="6"/>
      <c r="AI170" s="35"/>
      <c r="AJ170" s="35"/>
      <c r="AK170" s="35"/>
      <c r="AL170" s="35"/>
      <c r="AM170" s="6">
        <v>147</v>
      </c>
      <c r="AN170" s="6">
        <v>668</v>
      </c>
      <c r="AO170" s="35">
        <f t="shared" si="48"/>
        <v>408</v>
      </c>
      <c r="AP170" s="6">
        <v>525</v>
      </c>
      <c r="AQ170" s="6"/>
      <c r="AR170" s="34">
        <f t="shared" si="49"/>
        <v>378</v>
      </c>
      <c r="AS170" s="35">
        <v>0</v>
      </c>
      <c r="AT170" s="35">
        <v>821</v>
      </c>
      <c r="AU170" s="35">
        <f t="shared" si="50"/>
        <v>296</v>
      </c>
      <c r="AV170" s="6">
        <v>369</v>
      </c>
      <c r="AW170" s="6"/>
      <c r="AX170" s="35">
        <f t="shared" si="51"/>
        <v>369</v>
      </c>
      <c r="AY170" s="6">
        <v>742</v>
      </c>
      <c r="AZ170" s="6"/>
      <c r="BA170" s="35">
        <f t="shared" si="52"/>
        <v>373</v>
      </c>
      <c r="BB170" s="35">
        <v>1109</v>
      </c>
      <c r="BC170" s="35"/>
      <c r="BD170" s="35">
        <f t="shared" si="53"/>
        <v>367</v>
      </c>
      <c r="BE170" s="6"/>
      <c r="BF170" s="6"/>
      <c r="BG170" s="35"/>
      <c r="BH170" s="6">
        <v>120</v>
      </c>
      <c r="BI170" s="6">
        <v>1368</v>
      </c>
      <c r="BJ170" s="35">
        <f t="shared" si="54"/>
        <v>379</v>
      </c>
      <c r="BK170" s="6">
        <v>497</v>
      </c>
      <c r="BL170" s="6"/>
      <c r="BM170" s="6">
        <f t="shared" si="55"/>
        <v>377</v>
      </c>
      <c r="BN170" s="6">
        <v>879</v>
      </c>
      <c r="BO170" s="6"/>
      <c r="BP170" s="6">
        <f t="shared" si="56"/>
        <v>382</v>
      </c>
      <c r="BQ170" s="6">
        <v>1258</v>
      </c>
      <c r="BR170" s="6"/>
      <c r="BS170" s="35">
        <f t="shared" si="57"/>
        <v>379</v>
      </c>
      <c r="BT170" s="6">
        <v>75</v>
      </c>
      <c r="BU170" s="6">
        <v>1560</v>
      </c>
      <c r="BV170" s="6">
        <f t="shared" si="58"/>
        <v>377</v>
      </c>
      <c r="BW170" s="6">
        <v>427</v>
      </c>
      <c r="BX170" s="6"/>
      <c r="BY170" s="35">
        <f t="shared" si="59"/>
        <v>352</v>
      </c>
      <c r="BZ170" s="6"/>
      <c r="CA170" s="6"/>
      <c r="CB170" s="6"/>
      <c r="CC170" s="6">
        <v>780</v>
      </c>
      <c r="CD170" s="6"/>
      <c r="CE170" s="6">
        <f t="shared" si="60"/>
        <v>353</v>
      </c>
      <c r="CF170" s="6">
        <v>1154</v>
      </c>
      <c r="CG170" s="6"/>
      <c r="CH170" s="6">
        <f t="shared" si="61"/>
        <v>374</v>
      </c>
      <c r="CI170" s="6">
        <v>23</v>
      </c>
      <c r="CJ170" s="6">
        <v>1511</v>
      </c>
      <c r="CK170" s="6">
        <f t="shared" si="62"/>
        <v>380</v>
      </c>
      <c r="CL170" s="6">
        <v>396</v>
      </c>
      <c r="CM170" s="6"/>
      <c r="CN170" s="6">
        <f t="shared" si="63"/>
        <v>373</v>
      </c>
      <c r="CO170" s="6">
        <v>324</v>
      </c>
      <c r="CP170" s="6">
        <v>432</v>
      </c>
      <c r="CQ170" s="6">
        <f t="shared" si="64"/>
        <v>360</v>
      </c>
      <c r="CR170" s="6">
        <v>671</v>
      </c>
      <c r="CS170" s="6"/>
      <c r="CT170" s="6">
        <f t="shared" si="65"/>
        <v>347</v>
      </c>
      <c r="CU170" s="6"/>
      <c r="CV170" s="6"/>
      <c r="CW170" s="6"/>
      <c r="CX170" s="6">
        <v>1037</v>
      </c>
      <c r="CY170" s="6"/>
      <c r="CZ170" s="6">
        <f t="shared" si="66"/>
        <v>366</v>
      </c>
      <c r="DA170" s="6">
        <v>1412</v>
      </c>
      <c r="DB170" s="6"/>
      <c r="DC170" s="6">
        <f t="shared" si="67"/>
        <v>375</v>
      </c>
      <c r="DD170" s="6">
        <v>225</v>
      </c>
      <c r="DE170" s="6">
        <v>1560</v>
      </c>
      <c r="DF170" s="6">
        <f t="shared" si="68"/>
        <v>373</v>
      </c>
      <c r="DG170" s="35">
        <v>598</v>
      </c>
      <c r="DH170" s="6"/>
      <c r="DI170" s="6">
        <f t="shared" si="69"/>
        <v>373</v>
      </c>
      <c r="DJ170" s="35">
        <v>981</v>
      </c>
      <c r="DK170" s="6"/>
      <c r="DL170" s="6">
        <f t="shared" si="70"/>
        <v>383</v>
      </c>
      <c r="DM170" s="35">
        <v>1324</v>
      </c>
      <c r="DN170" s="6"/>
      <c r="DO170" s="6">
        <f t="shared" si="71"/>
        <v>343</v>
      </c>
    </row>
    <row r="171" spans="1:119">
      <c r="A171" s="6">
        <v>167</v>
      </c>
      <c r="B171" s="6">
        <v>0</v>
      </c>
      <c r="C171" s="6"/>
      <c r="D171" s="6">
        <v>0</v>
      </c>
      <c r="E171" s="33" t="s">
        <v>245</v>
      </c>
      <c r="F171" s="33" t="s">
        <v>245</v>
      </c>
      <c r="G171" s="33" t="s">
        <v>245</v>
      </c>
      <c r="H171" s="33" t="s">
        <v>245</v>
      </c>
      <c r="I171" s="33" t="s">
        <v>245</v>
      </c>
      <c r="J171" s="33" t="s">
        <v>245</v>
      </c>
      <c r="K171" s="148" t="s">
        <v>37</v>
      </c>
      <c r="L171" s="33" t="s">
        <v>37</v>
      </c>
      <c r="M171" s="33" t="s">
        <v>37</v>
      </c>
      <c r="N171" s="33" t="s">
        <v>37</v>
      </c>
      <c r="O171" s="33" t="s">
        <v>37</v>
      </c>
      <c r="P171" s="33" t="s">
        <v>37</v>
      </c>
      <c r="Q171" s="33" t="s">
        <v>37</v>
      </c>
      <c r="R171" s="33" t="s">
        <v>37</v>
      </c>
      <c r="S171" s="33" t="s">
        <v>37</v>
      </c>
      <c r="T171" s="33" t="s">
        <v>37</v>
      </c>
      <c r="U171" s="33" t="s">
        <v>37</v>
      </c>
      <c r="V171" s="33" t="s">
        <v>37</v>
      </c>
      <c r="W171" s="33" t="s">
        <v>37</v>
      </c>
      <c r="X171" s="33" t="s">
        <v>37</v>
      </c>
      <c r="Y171" s="33" t="s">
        <v>37</v>
      </c>
      <c r="Z171" s="33" t="s">
        <v>37</v>
      </c>
      <c r="AA171" s="33" t="s">
        <v>37</v>
      </c>
      <c r="AB171" s="33" t="s">
        <v>37</v>
      </c>
      <c r="AC171" s="33" t="s">
        <v>37</v>
      </c>
      <c r="AD171" s="6"/>
      <c r="AE171" s="6"/>
      <c r="AF171" s="35"/>
      <c r="AG171" s="6"/>
      <c r="AH171" s="6"/>
      <c r="AI171" s="35"/>
      <c r="AJ171" s="35"/>
      <c r="AK171" s="35"/>
      <c r="AL171" s="35"/>
      <c r="AM171" s="6">
        <v>0</v>
      </c>
      <c r="AN171" s="6"/>
      <c r="AO171" s="35">
        <f t="shared" si="48"/>
        <v>0</v>
      </c>
      <c r="AP171" s="6">
        <v>0</v>
      </c>
      <c r="AQ171" s="6"/>
      <c r="AR171" s="34">
        <f t="shared" si="49"/>
        <v>0</v>
      </c>
      <c r="AS171" s="35">
        <v>0</v>
      </c>
      <c r="AT171" s="35"/>
      <c r="AU171" s="35">
        <f t="shared" si="50"/>
        <v>0</v>
      </c>
      <c r="AV171" s="6">
        <v>0</v>
      </c>
      <c r="AW171" s="6"/>
      <c r="AX171" s="35">
        <f t="shared" si="51"/>
        <v>0</v>
      </c>
      <c r="AY171" s="6">
        <v>0</v>
      </c>
      <c r="AZ171" s="6"/>
      <c r="BA171" s="35">
        <f t="shared" si="52"/>
        <v>0</v>
      </c>
      <c r="BB171" s="4">
        <v>239</v>
      </c>
      <c r="BC171" s="35"/>
      <c r="BD171" s="35">
        <f t="shared" si="53"/>
        <v>239</v>
      </c>
      <c r="BE171" s="6"/>
      <c r="BF171" s="6"/>
      <c r="BG171" s="35"/>
      <c r="BH171" s="6">
        <v>555</v>
      </c>
      <c r="BI171" s="6"/>
      <c r="BJ171" s="35">
        <f t="shared" si="54"/>
        <v>316</v>
      </c>
      <c r="BK171" s="6">
        <v>883</v>
      </c>
      <c r="BL171" s="6"/>
      <c r="BM171" s="6">
        <f t="shared" si="55"/>
        <v>328</v>
      </c>
      <c r="BN171" s="6">
        <v>1191</v>
      </c>
      <c r="BO171" s="6"/>
      <c r="BP171" s="6">
        <f t="shared" si="56"/>
        <v>308</v>
      </c>
      <c r="BQ171" s="6">
        <v>1526</v>
      </c>
      <c r="BR171" s="6"/>
      <c r="BS171" s="35">
        <f t="shared" si="57"/>
        <v>335</v>
      </c>
      <c r="BT171" s="6">
        <v>295</v>
      </c>
      <c r="BU171" s="6">
        <v>1560</v>
      </c>
      <c r="BV171" s="6">
        <f t="shared" si="58"/>
        <v>329</v>
      </c>
      <c r="BW171" s="6">
        <v>610</v>
      </c>
      <c r="BX171" s="6"/>
      <c r="BY171" s="35">
        <f t="shared" si="59"/>
        <v>315</v>
      </c>
      <c r="BZ171" s="6"/>
      <c r="CA171" s="6"/>
      <c r="CB171" s="6"/>
      <c r="CC171" s="6">
        <v>944</v>
      </c>
      <c r="CD171" s="6"/>
      <c r="CE171" s="6">
        <f t="shared" si="60"/>
        <v>334</v>
      </c>
      <c r="CF171" s="6">
        <v>1265</v>
      </c>
      <c r="CG171" s="6"/>
      <c r="CH171" s="6">
        <f t="shared" si="61"/>
        <v>321</v>
      </c>
      <c r="CI171" s="6">
        <v>36</v>
      </c>
      <c r="CJ171" s="6">
        <v>1560</v>
      </c>
      <c r="CK171" s="6">
        <f t="shared" si="62"/>
        <v>331</v>
      </c>
      <c r="CL171" s="6">
        <v>391</v>
      </c>
      <c r="CM171" s="6"/>
      <c r="CN171" s="6">
        <f t="shared" si="63"/>
        <v>355</v>
      </c>
      <c r="CO171" s="6">
        <v>271</v>
      </c>
      <c r="CP171" s="6">
        <v>448</v>
      </c>
      <c r="CQ171" s="6">
        <f t="shared" si="64"/>
        <v>328</v>
      </c>
      <c r="CR171" s="6">
        <v>613</v>
      </c>
      <c r="CS171" s="6"/>
      <c r="CT171" s="6">
        <f t="shared" si="65"/>
        <v>342</v>
      </c>
      <c r="CU171" s="6"/>
      <c r="CV171" s="6"/>
      <c r="CW171" s="6"/>
      <c r="CX171" s="6">
        <v>966</v>
      </c>
      <c r="CY171" s="6"/>
      <c r="CZ171" s="6">
        <f t="shared" si="66"/>
        <v>353</v>
      </c>
      <c r="DA171" s="6">
        <v>89</v>
      </c>
      <c r="DB171" s="6">
        <v>1152</v>
      </c>
      <c r="DC171" s="6">
        <f t="shared" si="67"/>
        <v>275</v>
      </c>
      <c r="DD171" s="6">
        <v>439</v>
      </c>
      <c r="DE171" s="6"/>
      <c r="DF171" s="6">
        <f t="shared" si="68"/>
        <v>350</v>
      </c>
      <c r="DG171" s="6">
        <v>810</v>
      </c>
      <c r="DH171" s="6"/>
      <c r="DI171" s="6">
        <f t="shared" si="69"/>
        <v>371</v>
      </c>
      <c r="DJ171" s="6">
        <v>1180</v>
      </c>
      <c r="DK171" s="6"/>
      <c r="DL171" s="6">
        <f t="shared" si="70"/>
        <v>370</v>
      </c>
      <c r="DM171" s="6">
        <v>1513</v>
      </c>
      <c r="DN171" s="6"/>
      <c r="DO171" s="6">
        <f t="shared" si="71"/>
        <v>333</v>
      </c>
    </row>
    <row r="172" spans="1:119">
      <c r="A172" s="6">
        <v>168</v>
      </c>
      <c r="B172" s="6">
        <v>1304</v>
      </c>
      <c r="C172" s="6"/>
      <c r="D172" s="6">
        <v>201</v>
      </c>
      <c r="E172" s="33" t="s">
        <v>37</v>
      </c>
      <c r="F172" s="33" t="s">
        <v>37</v>
      </c>
      <c r="G172" s="33" t="s">
        <v>37</v>
      </c>
      <c r="H172" s="148" t="s">
        <v>37</v>
      </c>
      <c r="I172" s="33" t="s">
        <v>37</v>
      </c>
      <c r="J172" s="33" t="s">
        <v>37</v>
      </c>
      <c r="K172" s="33" t="s">
        <v>37</v>
      </c>
      <c r="L172" s="33" t="s">
        <v>37</v>
      </c>
      <c r="M172" s="33" t="s">
        <v>37</v>
      </c>
      <c r="N172" s="33" t="s">
        <v>37</v>
      </c>
      <c r="O172" s="33" t="s">
        <v>37</v>
      </c>
      <c r="P172" s="33" t="s">
        <v>37</v>
      </c>
      <c r="Q172" s="33" t="s">
        <v>37</v>
      </c>
      <c r="R172" s="33" t="s">
        <v>37</v>
      </c>
      <c r="S172" s="33" t="s">
        <v>37</v>
      </c>
      <c r="T172" s="33" t="s">
        <v>37</v>
      </c>
      <c r="U172" s="33" t="s">
        <v>37</v>
      </c>
      <c r="V172" s="33" t="s">
        <v>37</v>
      </c>
      <c r="W172" s="33" t="s">
        <v>37</v>
      </c>
      <c r="X172" s="33" t="s">
        <v>37</v>
      </c>
      <c r="Y172" s="33" t="s">
        <v>37</v>
      </c>
      <c r="Z172" s="33" t="s">
        <v>37</v>
      </c>
      <c r="AA172" s="33" t="s">
        <v>37</v>
      </c>
      <c r="AB172" s="33" t="s">
        <v>37</v>
      </c>
      <c r="AC172" s="148" t="s">
        <v>37</v>
      </c>
      <c r="AD172" s="35"/>
      <c r="AE172" s="35"/>
      <c r="AF172" s="35"/>
      <c r="AG172" s="35"/>
      <c r="AH172" s="35"/>
      <c r="AI172" s="35"/>
      <c r="AJ172" s="35"/>
      <c r="AK172" s="35"/>
      <c r="AL172" s="35"/>
      <c r="AM172" s="35">
        <v>153</v>
      </c>
      <c r="AN172" s="35">
        <v>1560</v>
      </c>
      <c r="AO172" s="35">
        <f t="shared" si="48"/>
        <v>409</v>
      </c>
      <c r="AP172" s="35">
        <v>527</v>
      </c>
      <c r="AQ172" s="35"/>
      <c r="AR172" s="34">
        <f t="shared" si="49"/>
        <v>374</v>
      </c>
      <c r="AS172" s="35">
        <v>296</v>
      </c>
      <c r="AT172" s="35">
        <v>600</v>
      </c>
      <c r="AU172" s="35">
        <f t="shared" si="50"/>
        <v>369</v>
      </c>
      <c r="AV172" s="6">
        <v>679</v>
      </c>
      <c r="AW172" s="6"/>
      <c r="AX172" s="35">
        <f t="shared" si="51"/>
        <v>383</v>
      </c>
      <c r="AY172" s="6">
        <v>1060</v>
      </c>
      <c r="AZ172" s="6"/>
      <c r="BA172" s="35">
        <f t="shared" si="52"/>
        <v>381</v>
      </c>
      <c r="BB172" s="35">
        <v>20</v>
      </c>
      <c r="BC172" s="6">
        <v>1399</v>
      </c>
      <c r="BD172" s="35">
        <f t="shared" si="53"/>
        <v>359</v>
      </c>
      <c r="BE172" s="6"/>
      <c r="BF172" s="6"/>
      <c r="BG172" s="35"/>
      <c r="BH172" s="6">
        <v>397</v>
      </c>
      <c r="BI172" s="6"/>
      <c r="BJ172" s="35">
        <f t="shared" si="54"/>
        <v>377</v>
      </c>
      <c r="BK172" s="6">
        <v>771</v>
      </c>
      <c r="BL172" s="35"/>
      <c r="BM172" s="6">
        <f t="shared" si="55"/>
        <v>374</v>
      </c>
      <c r="BN172" s="6">
        <v>1152</v>
      </c>
      <c r="BO172" s="6"/>
      <c r="BP172" s="6">
        <f t="shared" si="56"/>
        <v>381</v>
      </c>
      <c r="BQ172" s="6">
        <v>1527</v>
      </c>
      <c r="BR172" s="6"/>
      <c r="BS172" s="35">
        <f t="shared" si="57"/>
        <v>375</v>
      </c>
      <c r="BT172" s="6">
        <v>347</v>
      </c>
      <c r="BU172" s="6">
        <v>1560</v>
      </c>
      <c r="BV172" s="6">
        <f t="shared" si="58"/>
        <v>380</v>
      </c>
      <c r="BW172" s="6">
        <v>702</v>
      </c>
      <c r="BX172" s="6"/>
      <c r="BY172" s="35">
        <f t="shared" si="59"/>
        <v>355</v>
      </c>
      <c r="BZ172" s="6"/>
      <c r="CA172" s="6"/>
      <c r="CB172" s="6"/>
      <c r="CC172" s="6">
        <v>333</v>
      </c>
      <c r="CD172" s="6">
        <v>721</v>
      </c>
      <c r="CE172" s="6">
        <f t="shared" si="60"/>
        <v>352</v>
      </c>
      <c r="CF172" s="6">
        <v>711</v>
      </c>
      <c r="CG172" s="6"/>
      <c r="CH172" s="6">
        <f t="shared" si="61"/>
        <v>378</v>
      </c>
      <c r="CI172" s="6">
        <v>1094</v>
      </c>
      <c r="CJ172" s="6"/>
      <c r="CK172" s="6">
        <f t="shared" si="62"/>
        <v>383</v>
      </c>
      <c r="CL172" s="6">
        <v>1474</v>
      </c>
      <c r="CM172" s="6"/>
      <c r="CN172" s="6">
        <f t="shared" si="63"/>
        <v>380</v>
      </c>
      <c r="CO172" s="6">
        <v>305</v>
      </c>
      <c r="CP172" s="6">
        <v>1560</v>
      </c>
      <c r="CQ172" s="6">
        <f t="shared" si="64"/>
        <v>391</v>
      </c>
      <c r="CR172" s="6">
        <v>677</v>
      </c>
      <c r="CS172" s="6"/>
      <c r="CT172" s="6">
        <f t="shared" si="65"/>
        <v>372</v>
      </c>
      <c r="CU172" s="6"/>
      <c r="CV172" s="6"/>
      <c r="CW172" s="6"/>
      <c r="CX172" s="6">
        <v>1070</v>
      </c>
      <c r="CY172" s="6"/>
      <c r="CZ172" s="6">
        <f t="shared" si="66"/>
        <v>393</v>
      </c>
      <c r="DA172" s="6">
        <v>1455</v>
      </c>
      <c r="DB172" s="6"/>
      <c r="DC172" s="6">
        <f t="shared" si="67"/>
        <v>385</v>
      </c>
      <c r="DD172" s="6">
        <v>286</v>
      </c>
      <c r="DE172" s="6">
        <v>1560</v>
      </c>
      <c r="DF172" s="6">
        <f t="shared" si="68"/>
        <v>391</v>
      </c>
      <c r="DG172" s="6">
        <v>680</v>
      </c>
      <c r="DH172" s="6"/>
      <c r="DI172" s="6">
        <f t="shared" si="69"/>
        <v>394</v>
      </c>
      <c r="DJ172" s="6">
        <v>0</v>
      </c>
      <c r="DK172" s="6">
        <v>1059</v>
      </c>
      <c r="DL172" s="6">
        <f t="shared" si="70"/>
        <v>379</v>
      </c>
      <c r="DM172" s="6">
        <v>330</v>
      </c>
      <c r="DN172" s="6"/>
      <c r="DO172" s="6">
        <f t="shared" si="71"/>
        <v>330</v>
      </c>
    </row>
    <row r="173" spans="1:119">
      <c r="A173" s="6">
        <v>169</v>
      </c>
      <c r="B173" s="6">
        <v>500</v>
      </c>
      <c r="C173" s="6"/>
      <c r="D173" s="6">
        <v>0</v>
      </c>
      <c r="E173" s="33" t="s">
        <v>108</v>
      </c>
      <c r="F173" s="33" t="s">
        <v>108</v>
      </c>
      <c r="G173" s="33" t="s">
        <v>108</v>
      </c>
      <c r="H173" s="33" t="s">
        <v>108</v>
      </c>
      <c r="I173" s="33" t="s">
        <v>108</v>
      </c>
      <c r="J173" s="33" t="s">
        <v>108</v>
      </c>
      <c r="K173" s="148" t="s">
        <v>37</v>
      </c>
      <c r="L173" s="33" t="s">
        <v>37</v>
      </c>
      <c r="M173" s="33" t="s">
        <v>37</v>
      </c>
      <c r="N173" s="33" t="s">
        <v>37</v>
      </c>
      <c r="O173" s="33" t="s">
        <v>37</v>
      </c>
      <c r="P173" s="33" t="s">
        <v>37</v>
      </c>
      <c r="Q173" s="33" t="s">
        <v>37</v>
      </c>
      <c r="R173" s="33" t="s">
        <v>37</v>
      </c>
      <c r="S173" s="33" t="s">
        <v>37</v>
      </c>
      <c r="T173" s="33" t="s">
        <v>37</v>
      </c>
      <c r="U173" s="33" t="s">
        <v>37</v>
      </c>
      <c r="V173" s="33" t="s">
        <v>37</v>
      </c>
      <c r="W173" s="33" t="s">
        <v>37</v>
      </c>
      <c r="X173" s="33" t="s">
        <v>37</v>
      </c>
      <c r="Y173" s="33" t="s">
        <v>37</v>
      </c>
      <c r="Z173" s="33" t="s">
        <v>37</v>
      </c>
      <c r="AA173" s="33" t="s">
        <v>37</v>
      </c>
      <c r="AB173" s="33" t="s">
        <v>37</v>
      </c>
      <c r="AC173" s="33" t="s">
        <v>37</v>
      </c>
      <c r="AD173" s="6"/>
      <c r="AE173" s="6"/>
      <c r="AF173" s="35"/>
      <c r="AG173" s="6"/>
      <c r="AH173" s="6"/>
      <c r="AI173" s="35"/>
      <c r="AJ173" s="35"/>
      <c r="AK173" s="35"/>
      <c r="AL173" s="35"/>
      <c r="AM173" s="6">
        <v>500</v>
      </c>
      <c r="AN173" s="6"/>
      <c r="AO173" s="35">
        <f t="shared" si="48"/>
        <v>0</v>
      </c>
      <c r="AP173" s="6">
        <v>500</v>
      </c>
      <c r="AQ173" s="6"/>
      <c r="AR173" s="34">
        <f t="shared" si="49"/>
        <v>0</v>
      </c>
      <c r="AS173" s="35">
        <v>500</v>
      </c>
      <c r="AT173" s="35"/>
      <c r="AU173" s="35">
        <f t="shared" si="50"/>
        <v>0</v>
      </c>
      <c r="AV173" s="6">
        <v>359</v>
      </c>
      <c r="AW173" s="6">
        <v>500</v>
      </c>
      <c r="AX173" s="35">
        <f t="shared" si="51"/>
        <v>359</v>
      </c>
      <c r="AY173" s="6">
        <v>784</v>
      </c>
      <c r="AZ173" s="6"/>
      <c r="BA173" s="35">
        <f t="shared" si="52"/>
        <v>425</v>
      </c>
      <c r="BB173" s="6">
        <v>193</v>
      </c>
      <c r="BC173" s="35">
        <v>903</v>
      </c>
      <c r="BD173" s="35">
        <f t="shared" si="53"/>
        <v>312</v>
      </c>
      <c r="BE173" s="35"/>
      <c r="BF173" s="6"/>
      <c r="BG173" s="35"/>
      <c r="BH173" s="6">
        <v>556</v>
      </c>
      <c r="BI173" s="6"/>
      <c r="BJ173" s="35">
        <f t="shared" si="54"/>
        <v>363</v>
      </c>
      <c r="BK173" s="6">
        <v>914</v>
      </c>
      <c r="BL173" s="6"/>
      <c r="BM173" s="6">
        <f t="shared" si="55"/>
        <v>358</v>
      </c>
      <c r="BN173" s="6">
        <v>1294</v>
      </c>
      <c r="BO173" s="6"/>
      <c r="BP173" s="6">
        <f t="shared" si="56"/>
        <v>380</v>
      </c>
      <c r="BQ173" s="6">
        <v>109</v>
      </c>
      <c r="BR173" s="6">
        <v>1560</v>
      </c>
      <c r="BS173" s="35">
        <f t="shared" si="57"/>
        <v>375</v>
      </c>
      <c r="BT173" s="6">
        <v>490</v>
      </c>
      <c r="BU173" s="6"/>
      <c r="BV173" s="6">
        <f t="shared" si="58"/>
        <v>381</v>
      </c>
      <c r="BW173" s="6">
        <v>849</v>
      </c>
      <c r="BX173" s="6"/>
      <c r="BY173" s="35">
        <f t="shared" si="59"/>
        <v>359</v>
      </c>
      <c r="BZ173" s="6"/>
      <c r="CA173" s="6"/>
      <c r="CB173" s="6"/>
      <c r="CC173" s="6">
        <v>1226</v>
      </c>
      <c r="CD173" s="6"/>
      <c r="CE173" s="6">
        <f t="shared" si="60"/>
        <v>377</v>
      </c>
      <c r="CF173" s="6">
        <v>43</v>
      </c>
      <c r="CG173" s="6">
        <v>1560</v>
      </c>
      <c r="CH173" s="6">
        <f t="shared" si="61"/>
        <v>377</v>
      </c>
      <c r="CI173" s="6">
        <v>421</v>
      </c>
      <c r="CJ173" s="6"/>
      <c r="CK173" s="6">
        <f t="shared" si="62"/>
        <v>378</v>
      </c>
      <c r="CL173" s="6">
        <v>796</v>
      </c>
      <c r="CM173" s="6"/>
      <c r="CN173" s="6">
        <f t="shared" si="63"/>
        <v>375</v>
      </c>
      <c r="CO173" s="6">
        <v>1155</v>
      </c>
      <c r="CP173" s="6"/>
      <c r="CQ173" s="6">
        <f t="shared" si="64"/>
        <v>359</v>
      </c>
      <c r="CR173" s="6">
        <v>1520</v>
      </c>
      <c r="CS173" s="6"/>
      <c r="CT173" s="6">
        <f t="shared" si="65"/>
        <v>365</v>
      </c>
      <c r="CU173" s="6"/>
      <c r="CV173" s="6"/>
      <c r="CW173" s="6"/>
      <c r="CX173" s="6">
        <v>321</v>
      </c>
      <c r="CY173" s="6">
        <v>1562</v>
      </c>
      <c r="CZ173" s="6">
        <f t="shared" si="66"/>
        <v>363</v>
      </c>
      <c r="DA173" s="6">
        <v>690</v>
      </c>
      <c r="DB173" s="6"/>
      <c r="DC173" s="6">
        <f t="shared" si="67"/>
        <v>369</v>
      </c>
      <c r="DD173" s="6">
        <v>1070</v>
      </c>
      <c r="DE173" s="6"/>
      <c r="DF173" s="6">
        <f t="shared" si="68"/>
        <v>380</v>
      </c>
      <c r="DG173" s="6">
        <v>1451</v>
      </c>
      <c r="DH173" s="6"/>
      <c r="DI173" s="6">
        <f t="shared" si="69"/>
        <v>381</v>
      </c>
      <c r="DJ173" s="6">
        <v>265</v>
      </c>
      <c r="DK173" s="6">
        <v>1560</v>
      </c>
      <c r="DL173" s="6">
        <f t="shared" si="70"/>
        <v>374</v>
      </c>
      <c r="DM173" s="6">
        <v>609</v>
      </c>
      <c r="DN173" s="6"/>
      <c r="DO173" s="6">
        <f t="shared" si="71"/>
        <v>344</v>
      </c>
    </row>
    <row r="174" spans="1:119">
      <c r="A174" s="6">
        <v>170</v>
      </c>
      <c r="B174" s="6">
        <v>730</v>
      </c>
      <c r="C174" s="6"/>
      <c r="D174" s="6">
        <v>199</v>
      </c>
      <c r="E174" s="33" t="s">
        <v>37</v>
      </c>
      <c r="F174" s="33" t="s">
        <v>37</v>
      </c>
      <c r="G174" s="33" t="s">
        <v>37</v>
      </c>
      <c r="H174" s="33" t="s">
        <v>37</v>
      </c>
      <c r="I174" s="33" t="s">
        <v>37</v>
      </c>
      <c r="J174" s="33" t="s">
        <v>37</v>
      </c>
      <c r="K174" s="33" t="s">
        <v>37</v>
      </c>
      <c r="L174" s="33" t="s">
        <v>37</v>
      </c>
      <c r="M174" s="33" t="s">
        <v>37</v>
      </c>
      <c r="N174" s="148" t="s">
        <v>37</v>
      </c>
      <c r="O174" s="33" t="s">
        <v>37</v>
      </c>
      <c r="P174" s="33" t="s">
        <v>37</v>
      </c>
      <c r="Q174" s="33" t="s">
        <v>37</v>
      </c>
      <c r="R174" s="33" t="s">
        <v>37</v>
      </c>
      <c r="S174" s="33" t="s">
        <v>37</v>
      </c>
      <c r="T174" s="33" t="s">
        <v>37</v>
      </c>
      <c r="U174" s="33" t="s">
        <v>37</v>
      </c>
      <c r="V174" s="33" t="s">
        <v>37</v>
      </c>
      <c r="W174" s="33" t="s">
        <v>37</v>
      </c>
      <c r="X174" s="33" t="s">
        <v>37</v>
      </c>
      <c r="Y174" s="33" t="s">
        <v>37</v>
      </c>
      <c r="Z174" s="33" t="s">
        <v>37</v>
      </c>
      <c r="AA174" s="33" t="s">
        <v>37</v>
      </c>
      <c r="AB174" s="33" t="s">
        <v>37</v>
      </c>
      <c r="AC174" s="33" t="s">
        <v>37</v>
      </c>
      <c r="AD174" s="6"/>
      <c r="AE174" s="6"/>
      <c r="AF174" s="35"/>
      <c r="AG174" s="6"/>
      <c r="AH174" s="6"/>
      <c r="AI174" s="35"/>
      <c r="AJ174" s="35"/>
      <c r="AK174" s="35"/>
      <c r="AL174" s="35"/>
      <c r="AM174" s="6">
        <v>1121</v>
      </c>
      <c r="AN174" s="6"/>
      <c r="AO174" s="35">
        <f t="shared" si="48"/>
        <v>391</v>
      </c>
      <c r="AP174" s="6">
        <v>1497</v>
      </c>
      <c r="AQ174" s="6"/>
      <c r="AR174" s="34">
        <f t="shared" si="49"/>
        <v>376</v>
      </c>
      <c r="AS174" s="35">
        <v>312</v>
      </c>
      <c r="AT174" s="35">
        <v>1560</v>
      </c>
      <c r="AU174" s="35">
        <f t="shared" si="50"/>
        <v>375</v>
      </c>
      <c r="AV174" s="6">
        <v>694</v>
      </c>
      <c r="AW174" s="6"/>
      <c r="AX174" s="35">
        <f t="shared" si="51"/>
        <v>382</v>
      </c>
      <c r="AY174" s="6">
        <v>184</v>
      </c>
      <c r="AZ174" s="6">
        <v>872</v>
      </c>
      <c r="BA174" s="35">
        <f t="shared" si="52"/>
        <v>362</v>
      </c>
      <c r="BB174" s="35">
        <v>548</v>
      </c>
      <c r="BC174" s="6"/>
      <c r="BD174" s="35">
        <f t="shared" si="53"/>
        <v>364</v>
      </c>
      <c r="BE174" s="6"/>
      <c r="BF174" s="6"/>
      <c r="BG174" s="35"/>
      <c r="BH174" s="6">
        <v>932</v>
      </c>
      <c r="BI174" s="6"/>
      <c r="BJ174" s="35">
        <f t="shared" si="54"/>
        <v>384</v>
      </c>
      <c r="BK174" s="6">
        <v>0</v>
      </c>
      <c r="BL174" s="6">
        <v>1107</v>
      </c>
      <c r="BM174" s="6">
        <f t="shared" si="55"/>
        <v>175</v>
      </c>
      <c r="BN174" s="6">
        <v>358</v>
      </c>
      <c r="BO174" s="6"/>
      <c r="BP174" s="6">
        <f t="shared" si="56"/>
        <v>358</v>
      </c>
      <c r="BQ174" s="6">
        <v>740</v>
      </c>
      <c r="BR174" s="6"/>
      <c r="BS174" s="35">
        <f t="shared" si="57"/>
        <v>382</v>
      </c>
      <c r="BT174" s="6">
        <v>1118</v>
      </c>
      <c r="BU174" s="6"/>
      <c r="BV174" s="6">
        <f t="shared" si="58"/>
        <v>378</v>
      </c>
      <c r="BW174" s="6">
        <v>1478</v>
      </c>
      <c r="BX174" s="6"/>
      <c r="BY174" s="35">
        <f t="shared" si="59"/>
        <v>360</v>
      </c>
      <c r="BZ174" s="6"/>
      <c r="CA174" s="6"/>
      <c r="CB174" s="6"/>
      <c r="CC174" s="6">
        <v>292</v>
      </c>
      <c r="CD174" s="6">
        <v>1560</v>
      </c>
      <c r="CE174" s="6">
        <f t="shared" si="60"/>
        <v>374</v>
      </c>
      <c r="CF174" s="6">
        <v>663</v>
      </c>
      <c r="CG174" s="6"/>
      <c r="CH174" s="6">
        <f t="shared" si="61"/>
        <v>371</v>
      </c>
      <c r="CI174" s="6">
        <v>1043</v>
      </c>
      <c r="CJ174" s="6"/>
      <c r="CK174" s="6">
        <f t="shared" si="62"/>
        <v>380</v>
      </c>
      <c r="CL174" s="6">
        <v>1418</v>
      </c>
      <c r="CM174" s="6"/>
      <c r="CN174" s="6">
        <f t="shared" si="63"/>
        <v>375</v>
      </c>
      <c r="CO174" s="6">
        <v>239</v>
      </c>
      <c r="CP174" s="6">
        <v>1560</v>
      </c>
      <c r="CQ174" s="6">
        <f t="shared" si="64"/>
        <v>381</v>
      </c>
      <c r="CR174" s="6">
        <v>602</v>
      </c>
      <c r="CS174" s="6"/>
      <c r="CT174" s="6">
        <f t="shared" si="65"/>
        <v>363</v>
      </c>
      <c r="CU174" s="6"/>
      <c r="CV174" s="6"/>
      <c r="CW174" s="6"/>
      <c r="CX174" s="6">
        <v>958</v>
      </c>
      <c r="CY174" s="6"/>
      <c r="CZ174" s="6">
        <f t="shared" si="66"/>
        <v>356</v>
      </c>
      <c r="DA174" s="6">
        <v>1328</v>
      </c>
      <c r="DB174" s="6"/>
      <c r="DC174" s="6">
        <f t="shared" si="67"/>
        <v>370</v>
      </c>
      <c r="DD174" s="6">
        <v>149</v>
      </c>
      <c r="DE174" s="6">
        <v>1560</v>
      </c>
      <c r="DF174" s="6">
        <f t="shared" si="68"/>
        <v>381</v>
      </c>
      <c r="DG174" s="6">
        <v>512</v>
      </c>
      <c r="DH174" s="6"/>
      <c r="DI174" s="6">
        <f t="shared" si="69"/>
        <v>363</v>
      </c>
      <c r="DJ174" s="6">
        <v>894</v>
      </c>
      <c r="DK174" s="6"/>
      <c r="DL174" s="6">
        <f t="shared" si="70"/>
        <v>382</v>
      </c>
      <c r="DM174" s="6">
        <v>1230</v>
      </c>
      <c r="DN174" s="6"/>
      <c r="DO174" s="6">
        <f t="shared" si="71"/>
        <v>336</v>
      </c>
    </row>
    <row r="175" spans="1:119">
      <c r="A175" s="6">
        <v>171</v>
      </c>
      <c r="B175" s="6">
        <v>916</v>
      </c>
      <c r="C175" s="6"/>
      <c r="D175" s="6">
        <v>208</v>
      </c>
      <c r="E175" s="33" t="s">
        <v>128</v>
      </c>
      <c r="F175" s="33" t="s">
        <v>128</v>
      </c>
      <c r="G175" s="33" t="s">
        <v>128</v>
      </c>
      <c r="H175" s="33" t="s">
        <v>128</v>
      </c>
      <c r="I175" s="33" t="s">
        <v>128</v>
      </c>
      <c r="J175" s="33" t="s">
        <v>128</v>
      </c>
      <c r="K175" s="33" t="s">
        <v>128</v>
      </c>
      <c r="L175" s="148" t="s">
        <v>37</v>
      </c>
      <c r="M175" s="33" t="s">
        <v>37</v>
      </c>
      <c r="N175" s="33" t="s">
        <v>37</v>
      </c>
      <c r="O175" s="33" t="s">
        <v>37</v>
      </c>
      <c r="P175" s="33" t="s">
        <v>37</v>
      </c>
      <c r="Q175" s="33" t="s">
        <v>37</v>
      </c>
      <c r="R175" s="33" t="s">
        <v>37</v>
      </c>
      <c r="S175" s="33" t="s">
        <v>37</v>
      </c>
      <c r="T175" s="33" t="s">
        <v>37</v>
      </c>
      <c r="U175" s="33" t="s">
        <v>37</v>
      </c>
      <c r="V175" s="33" t="s">
        <v>37</v>
      </c>
      <c r="W175" s="33" t="s">
        <v>37</v>
      </c>
      <c r="X175" s="33" t="s">
        <v>37</v>
      </c>
      <c r="Y175" s="33" t="s">
        <v>37</v>
      </c>
      <c r="Z175" s="33" t="s">
        <v>37</v>
      </c>
      <c r="AA175" s="33" t="s">
        <v>37</v>
      </c>
      <c r="AB175" s="33" t="s">
        <v>37</v>
      </c>
      <c r="AC175" s="33" t="s">
        <v>37</v>
      </c>
      <c r="AD175" s="6"/>
      <c r="AE175" s="6"/>
      <c r="AF175" s="35"/>
      <c r="AG175" s="6"/>
      <c r="AH175" s="6"/>
      <c r="AI175" s="35"/>
      <c r="AJ175" s="35"/>
      <c r="AK175" s="35"/>
      <c r="AL175" s="35"/>
      <c r="AM175" s="6">
        <v>1342</v>
      </c>
      <c r="AN175" s="6"/>
      <c r="AO175" s="35">
        <f t="shared" si="48"/>
        <v>426</v>
      </c>
      <c r="AP175" s="6">
        <v>154</v>
      </c>
      <c r="AQ175" s="6">
        <v>1560</v>
      </c>
      <c r="AR175" s="34">
        <f t="shared" si="49"/>
        <v>372</v>
      </c>
      <c r="AS175" s="35">
        <v>547</v>
      </c>
      <c r="AT175" s="35"/>
      <c r="AU175" s="35">
        <f t="shared" si="50"/>
        <v>393</v>
      </c>
      <c r="AV175" s="6">
        <v>938</v>
      </c>
      <c r="AW175" s="6"/>
      <c r="AX175" s="35">
        <f t="shared" si="51"/>
        <v>391</v>
      </c>
      <c r="AY175" s="6">
        <v>1324</v>
      </c>
      <c r="AZ175" s="6"/>
      <c r="BA175" s="35">
        <f t="shared" si="52"/>
        <v>386</v>
      </c>
      <c r="BB175" s="6">
        <v>1692</v>
      </c>
      <c r="BC175" s="35"/>
      <c r="BD175" s="35">
        <f t="shared" si="53"/>
        <v>368</v>
      </c>
      <c r="BE175" s="6"/>
      <c r="BF175" s="6"/>
      <c r="BG175" s="35"/>
      <c r="BH175" s="6">
        <v>356</v>
      </c>
      <c r="BI175" s="6">
        <v>1696</v>
      </c>
      <c r="BJ175" s="35">
        <f t="shared" si="54"/>
        <v>360</v>
      </c>
      <c r="BK175" s="35">
        <v>722</v>
      </c>
      <c r="BL175" s="6"/>
      <c r="BM175" s="6">
        <f t="shared" si="55"/>
        <v>366</v>
      </c>
      <c r="BN175" s="6">
        <v>1097</v>
      </c>
      <c r="BO175" s="6"/>
      <c r="BP175" s="6">
        <f t="shared" si="56"/>
        <v>375</v>
      </c>
      <c r="BQ175" s="6">
        <v>1477</v>
      </c>
      <c r="BR175" s="6"/>
      <c r="BS175" s="35">
        <f t="shared" si="57"/>
        <v>380</v>
      </c>
      <c r="BT175" s="6">
        <v>297</v>
      </c>
      <c r="BU175" s="6">
        <v>1560</v>
      </c>
      <c r="BV175" s="6">
        <f t="shared" si="58"/>
        <v>380</v>
      </c>
      <c r="BW175" s="6">
        <v>656</v>
      </c>
      <c r="BX175" s="6"/>
      <c r="BY175" s="35">
        <f t="shared" si="59"/>
        <v>359</v>
      </c>
      <c r="BZ175" s="6"/>
      <c r="CA175" s="6"/>
      <c r="CB175" s="6"/>
      <c r="CC175" s="6">
        <v>1033</v>
      </c>
      <c r="CD175" s="6"/>
      <c r="CE175" s="6">
        <f t="shared" si="60"/>
        <v>377</v>
      </c>
      <c r="CF175" s="6">
        <v>1413</v>
      </c>
      <c r="CG175" s="6"/>
      <c r="CH175" s="6">
        <f t="shared" si="61"/>
        <v>380</v>
      </c>
      <c r="CI175" s="6">
        <v>228</v>
      </c>
      <c r="CJ175" s="6">
        <v>1560</v>
      </c>
      <c r="CK175" s="6">
        <f t="shared" si="62"/>
        <v>375</v>
      </c>
      <c r="CL175" s="6">
        <v>610</v>
      </c>
      <c r="CM175" s="6"/>
      <c r="CN175" s="6">
        <f t="shared" si="63"/>
        <v>382</v>
      </c>
      <c r="CO175" s="6">
        <v>984</v>
      </c>
      <c r="CP175" s="6"/>
      <c r="CQ175" s="6">
        <f t="shared" si="64"/>
        <v>374</v>
      </c>
      <c r="CR175" s="6">
        <v>1349</v>
      </c>
      <c r="CS175" s="6"/>
      <c r="CT175" s="6">
        <f t="shared" si="65"/>
        <v>365</v>
      </c>
      <c r="CU175" s="6"/>
      <c r="CV175" s="6"/>
      <c r="CW175" s="6"/>
      <c r="CX175" s="6">
        <v>166</v>
      </c>
      <c r="CY175" s="6">
        <v>1560</v>
      </c>
      <c r="CZ175" s="6">
        <f t="shared" si="66"/>
        <v>377</v>
      </c>
      <c r="DA175" s="6">
        <v>527</v>
      </c>
      <c r="DB175" s="6"/>
      <c r="DC175" s="6">
        <f t="shared" si="67"/>
        <v>361</v>
      </c>
      <c r="DD175" s="6">
        <v>904</v>
      </c>
      <c r="DE175" s="6"/>
      <c r="DF175" s="6">
        <f t="shared" si="68"/>
        <v>377</v>
      </c>
      <c r="DG175" s="6">
        <v>1285</v>
      </c>
      <c r="DH175" s="6"/>
      <c r="DI175" s="6">
        <f t="shared" si="69"/>
        <v>381</v>
      </c>
      <c r="DJ175" s="6">
        <v>96</v>
      </c>
      <c r="DK175" s="6">
        <v>1560</v>
      </c>
      <c r="DL175" s="6">
        <f t="shared" si="70"/>
        <v>371</v>
      </c>
      <c r="DM175" s="6">
        <v>428</v>
      </c>
      <c r="DN175" s="6"/>
      <c r="DO175" s="6">
        <f t="shared" si="71"/>
        <v>332</v>
      </c>
    </row>
    <row r="176" spans="1:119">
      <c r="A176" s="6">
        <v>172</v>
      </c>
      <c r="B176" s="6">
        <v>0</v>
      </c>
      <c r="C176" s="6"/>
      <c r="D176" s="6">
        <v>0</v>
      </c>
      <c r="E176" s="33" t="s">
        <v>319</v>
      </c>
      <c r="F176" s="33" t="s">
        <v>319</v>
      </c>
      <c r="G176" s="33" t="s">
        <v>319</v>
      </c>
      <c r="H176" s="33" t="s">
        <v>319</v>
      </c>
      <c r="I176" s="33" t="s">
        <v>319</v>
      </c>
      <c r="J176" s="33" t="s">
        <v>319</v>
      </c>
      <c r="K176" s="33" t="s">
        <v>319</v>
      </c>
      <c r="L176" s="33" t="s">
        <v>319</v>
      </c>
      <c r="M176" s="33" t="s">
        <v>319</v>
      </c>
      <c r="N176" s="148" t="s">
        <v>37</v>
      </c>
      <c r="O176" s="33" t="s">
        <v>37</v>
      </c>
      <c r="P176" s="33" t="s">
        <v>37</v>
      </c>
      <c r="Q176" s="33" t="s">
        <v>37</v>
      </c>
      <c r="R176" s="33" t="s">
        <v>37</v>
      </c>
      <c r="S176" s="33" t="s">
        <v>37</v>
      </c>
      <c r="T176" s="33" t="s">
        <v>37</v>
      </c>
      <c r="U176" s="33" t="s">
        <v>37</v>
      </c>
      <c r="V176" s="33" t="s">
        <v>37</v>
      </c>
      <c r="W176" s="33" t="s">
        <v>37</v>
      </c>
      <c r="X176" s="33" t="s">
        <v>37</v>
      </c>
      <c r="Y176" s="33" t="s">
        <v>37</v>
      </c>
      <c r="Z176" s="33" t="s">
        <v>37</v>
      </c>
      <c r="AA176" s="33" t="s">
        <v>37</v>
      </c>
      <c r="AB176" s="33" t="s">
        <v>37</v>
      </c>
      <c r="AC176" s="33" t="s">
        <v>37</v>
      </c>
      <c r="AD176" s="35"/>
      <c r="AE176" s="35"/>
      <c r="AF176" s="35"/>
      <c r="AG176" s="35"/>
      <c r="AH176" s="35"/>
      <c r="AI176" s="35"/>
      <c r="AJ176" s="35"/>
      <c r="AK176" s="35"/>
      <c r="AL176" s="35"/>
      <c r="AM176" s="6">
        <v>0</v>
      </c>
      <c r="AN176" s="35"/>
      <c r="AO176" s="35">
        <f t="shared" si="48"/>
        <v>0</v>
      </c>
      <c r="AP176" s="6">
        <v>0</v>
      </c>
      <c r="AQ176" s="6"/>
      <c r="AR176" s="34">
        <f t="shared" si="49"/>
        <v>0</v>
      </c>
      <c r="AS176" s="35">
        <v>0</v>
      </c>
      <c r="AT176" s="35"/>
      <c r="AU176" s="35">
        <f t="shared" si="50"/>
        <v>0</v>
      </c>
      <c r="AV176" s="6">
        <v>0</v>
      </c>
      <c r="AW176" s="6"/>
      <c r="AX176" s="35">
        <f t="shared" si="51"/>
        <v>0</v>
      </c>
      <c r="AY176" s="6">
        <v>0</v>
      </c>
      <c r="AZ176" s="6"/>
      <c r="BA176" s="35">
        <f t="shared" si="52"/>
        <v>0</v>
      </c>
      <c r="BB176" s="35">
        <v>0</v>
      </c>
      <c r="BC176" s="6"/>
      <c r="BD176" s="35">
        <f t="shared" si="53"/>
        <v>0</v>
      </c>
      <c r="BE176" s="6"/>
      <c r="BF176" s="6"/>
      <c r="BG176" s="35"/>
      <c r="BH176" s="6">
        <v>27</v>
      </c>
      <c r="BI176" s="6"/>
      <c r="BJ176" s="35">
        <f t="shared" si="54"/>
        <v>27</v>
      </c>
      <c r="BK176" s="6">
        <v>0</v>
      </c>
      <c r="BL176" s="35">
        <v>450</v>
      </c>
      <c r="BM176" s="6">
        <f t="shared" si="55"/>
        <v>423</v>
      </c>
      <c r="BN176" s="6">
        <v>345</v>
      </c>
      <c r="BO176" s="6"/>
      <c r="BP176" s="6">
        <f t="shared" si="56"/>
        <v>345</v>
      </c>
      <c r="BQ176" s="6">
        <v>727</v>
      </c>
      <c r="BR176" s="6"/>
      <c r="BS176" s="35">
        <f t="shared" si="57"/>
        <v>382</v>
      </c>
      <c r="BT176" s="6">
        <v>1104</v>
      </c>
      <c r="BU176" s="6"/>
      <c r="BV176" s="6">
        <f t="shared" si="58"/>
        <v>377</v>
      </c>
      <c r="BW176" s="6">
        <v>1472</v>
      </c>
      <c r="BX176" s="6"/>
      <c r="BY176" s="35">
        <f t="shared" si="59"/>
        <v>368</v>
      </c>
      <c r="BZ176" s="6"/>
      <c r="CA176" s="35"/>
      <c r="CB176" s="6"/>
      <c r="CC176" s="6">
        <v>286</v>
      </c>
      <c r="CD176" s="6">
        <v>1560</v>
      </c>
      <c r="CE176" s="6">
        <f t="shared" si="60"/>
        <v>374</v>
      </c>
      <c r="CF176" s="6">
        <v>685</v>
      </c>
      <c r="CG176" s="35"/>
      <c r="CH176" s="6">
        <f t="shared" si="61"/>
        <v>399</v>
      </c>
      <c r="CI176" s="6">
        <v>1086</v>
      </c>
      <c r="CJ176" s="6"/>
      <c r="CK176" s="6">
        <f t="shared" si="62"/>
        <v>401</v>
      </c>
      <c r="CL176" s="6">
        <v>1450</v>
      </c>
      <c r="CM176" s="6"/>
      <c r="CN176" s="6">
        <f t="shared" si="63"/>
        <v>364</v>
      </c>
      <c r="CO176" s="6">
        <v>254</v>
      </c>
      <c r="CP176" s="6">
        <v>1560</v>
      </c>
      <c r="CQ176" s="6">
        <f t="shared" si="64"/>
        <v>364</v>
      </c>
      <c r="CR176" s="6">
        <v>1</v>
      </c>
      <c r="CS176" s="6">
        <v>571</v>
      </c>
      <c r="CT176" s="6">
        <f t="shared" si="65"/>
        <v>318</v>
      </c>
      <c r="CU176" s="6"/>
      <c r="CV176" s="6"/>
      <c r="CW176" s="6"/>
      <c r="CX176" s="6">
        <v>377</v>
      </c>
      <c r="CY176" s="6"/>
      <c r="CZ176" s="6">
        <f t="shared" si="66"/>
        <v>376</v>
      </c>
      <c r="DA176" s="6">
        <v>198</v>
      </c>
      <c r="DB176" s="6">
        <v>546</v>
      </c>
      <c r="DC176" s="6">
        <f t="shared" si="67"/>
        <v>367</v>
      </c>
      <c r="DD176" s="6">
        <v>195</v>
      </c>
      <c r="DE176" s="6">
        <v>358</v>
      </c>
      <c r="DF176" s="6">
        <f t="shared" si="68"/>
        <v>355</v>
      </c>
      <c r="DG176" s="6">
        <v>559</v>
      </c>
      <c r="DH176" s="6"/>
      <c r="DI176" s="6">
        <f t="shared" si="69"/>
        <v>364</v>
      </c>
      <c r="DJ176" s="6">
        <v>944</v>
      </c>
      <c r="DK176" s="6"/>
      <c r="DL176" s="6">
        <f t="shared" si="70"/>
        <v>385</v>
      </c>
      <c r="DM176" s="6">
        <v>1288</v>
      </c>
      <c r="DN176" s="6"/>
      <c r="DO176" s="6">
        <f t="shared" si="71"/>
        <v>344</v>
      </c>
    </row>
    <row r="177" spans="1:119">
      <c r="A177" s="6">
        <v>173</v>
      </c>
      <c r="B177" s="6">
        <v>1344</v>
      </c>
      <c r="C177" s="6"/>
      <c r="D177" s="6">
        <v>210</v>
      </c>
      <c r="E177" s="33" t="s">
        <v>307</v>
      </c>
      <c r="F177" s="33" t="s">
        <v>307</v>
      </c>
      <c r="G177" s="33" t="s">
        <v>307</v>
      </c>
      <c r="H177" s="33" t="s">
        <v>307</v>
      </c>
      <c r="I177" s="33" t="s">
        <v>307</v>
      </c>
      <c r="J177" s="33" t="s">
        <v>307</v>
      </c>
      <c r="K177" s="33" t="s">
        <v>307</v>
      </c>
      <c r="L177" s="33" t="s">
        <v>307</v>
      </c>
      <c r="M177" s="33" t="s">
        <v>307</v>
      </c>
      <c r="N177" s="33" t="s">
        <v>307</v>
      </c>
      <c r="O177" s="33" t="s">
        <v>307</v>
      </c>
      <c r="P177" s="33" t="s">
        <v>307</v>
      </c>
      <c r="Q177" s="33" t="s">
        <v>307</v>
      </c>
      <c r="R177" s="33" t="s">
        <v>307</v>
      </c>
      <c r="S177" s="33" t="s">
        <v>307</v>
      </c>
      <c r="T177" s="33" t="s">
        <v>307</v>
      </c>
      <c r="U177" s="33" t="s">
        <v>307</v>
      </c>
      <c r="V177" s="33" t="s">
        <v>307</v>
      </c>
      <c r="W177" s="148" t="s">
        <v>307</v>
      </c>
      <c r="X177" s="33" t="s">
        <v>307</v>
      </c>
      <c r="Y177" s="33" t="s">
        <v>307</v>
      </c>
      <c r="Z177" s="33" t="s">
        <v>307</v>
      </c>
      <c r="AA177" s="33" t="s">
        <v>307</v>
      </c>
      <c r="AB177" s="33" t="s">
        <v>307</v>
      </c>
      <c r="AC177" s="33" t="s">
        <v>307</v>
      </c>
      <c r="AD177" s="6"/>
      <c r="AE177" s="6"/>
      <c r="AF177" s="35"/>
      <c r="AG177" s="6"/>
      <c r="AH177" s="6"/>
      <c r="AI177" s="35"/>
      <c r="AJ177" s="35"/>
      <c r="AK177" s="35"/>
      <c r="AL177" s="35"/>
      <c r="AM177" s="6">
        <v>190</v>
      </c>
      <c r="AN177" s="6">
        <v>1560</v>
      </c>
      <c r="AO177" s="35">
        <f t="shared" si="48"/>
        <v>406</v>
      </c>
      <c r="AP177" s="6">
        <v>584</v>
      </c>
      <c r="AQ177" s="6"/>
      <c r="AR177" s="34">
        <f t="shared" si="49"/>
        <v>394</v>
      </c>
      <c r="AS177" s="35">
        <v>7</v>
      </c>
      <c r="AT177" s="35">
        <v>944</v>
      </c>
      <c r="AU177" s="35">
        <f t="shared" si="50"/>
        <v>367</v>
      </c>
      <c r="AV177" s="6">
        <v>386</v>
      </c>
      <c r="AW177" s="6"/>
      <c r="AX177" s="35">
        <f t="shared" si="51"/>
        <v>379</v>
      </c>
      <c r="AY177" s="6">
        <v>789</v>
      </c>
      <c r="AZ177" s="6"/>
      <c r="BA177" s="35">
        <f t="shared" si="52"/>
        <v>403</v>
      </c>
      <c r="BB177" s="6">
        <v>1173</v>
      </c>
      <c r="BC177" s="35"/>
      <c r="BD177" s="35">
        <f t="shared" si="53"/>
        <v>384</v>
      </c>
      <c r="BE177" s="6"/>
      <c r="BF177" s="6"/>
      <c r="BG177" s="35"/>
      <c r="BH177" s="6">
        <v>16</v>
      </c>
      <c r="BI177" s="6">
        <v>1560</v>
      </c>
      <c r="BJ177" s="35">
        <f t="shared" si="54"/>
        <v>403</v>
      </c>
      <c r="BK177" s="6">
        <v>408</v>
      </c>
      <c r="BL177" s="6"/>
      <c r="BM177" s="6">
        <f t="shared" si="55"/>
        <v>392</v>
      </c>
      <c r="BN177" s="6">
        <v>805</v>
      </c>
      <c r="BO177" s="6"/>
      <c r="BP177" s="6">
        <f t="shared" si="56"/>
        <v>397</v>
      </c>
      <c r="BQ177" s="6">
        <v>1201</v>
      </c>
      <c r="BR177" s="6"/>
      <c r="BS177" s="35">
        <f t="shared" si="57"/>
        <v>396</v>
      </c>
      <c r="BT177" s="6">
        <v>23</v>
      </c>
      <c r="BU177" s="6">
        <v>1560</v>
      </c>
      <c r="BV177" s="6">
        <f t="shared" si="58"/>
        <v>382</v>
      </c>
      <c r="BW177" s="6">
        <v>399</v>
      </c>
      <c r="BX177" s="6"/>
      <c r="BY177" s="35">
        <f t="shared" si="59"/>
        <v>376</v>
      </c>
      <c r="BZ177" s="6"/>
      <c r="CA177" s="6"/>
      <c r="CB177" s="6"/>
      <c r="CC177" s="6">
        <v>787</v>
      </c>
      <c r="CD177" s="6"/>
      <c r="CE177" s="6">
        <f t="shared" si="60"/>
        <v>388</v>
      </c>
      <c r="CF177" s="6">
        <v>1177</v>
      </c>
      <c r="CG177" s="6"/>
      <c r="CH177" s="6">
        <f t="shared" si="61"/>
        <v>390</v>
      </c>
      <c r="CI177" s="6">
        <v>27</v>
      </c>
      <c r="CJ177" s="6">
        <v>1544</v>
      </c>
      <c r="CK177" s="6">
        <f t="shared" si="62"/>
        <v>394</v>
      </c>
      <c r="CL177" s="6">
        <v>409</v>
      </c>
      <c r="CM177" s="6"/>
      <c r="CN177" s="6">
        <f t="shared" si="63"/>
        <v>382</v>
      </c>
      <c r="CO177" s="6">
        <v>0</v>
      </c>
      <c r="CP177" s="6">
        <v>653</v>
      </c>
      <c r="CQ177" s="6">
        <f t="shared" si="64"/>
        <v>244</v>
      </c>
      <c r="CR177" s="6">
        <v>318</v>
      </c>
      <c r="CS177" s="6"/>
      <c r="CT177" s="6">
        <f t="shared" si="65"/>
        <v>318</v>
      </c>
      <c r="CU177" s="6"/>
      <c r="CV177" s="6"/>
      <c r="CW177" s="6"/>
      <c r="CX177" s="6">
        <v>708</v>
      </c>
      <c r="CY177" s="6"/>
      <c r="CZ177" s="6">
        <f t="shared" si="66"/>
        <v>390</v>
      </c>
      <c r="DA177" s="6">
        <v>1097</v>
      </c>
      <c r="DB177" s="6"/>
      <c r="DC177" s="6">
        <f t="shared" si="67"/>
        <v>389</v>
      </c>
      <c r="DD177" s="6">
        <v>1492</v>
      </c>
      <c r="DE177" s="6"/>
      <c r="DF177" s="6">
        <f t="shared" si="68"/>
        <v>395</v>
      </c>
      <c r="DG177" s="6">
        <v>323</v>
      </c>
      <c r="DH177" s="6">
        <v>1560</v>
      </c>
      <c r="DI177" s="6">
        <f t="shared" si="69"/>
        <v>391</v>
      </c>
      <c r="DJ177" s="6">
        <v>704</v>
      </c>
      <c r="DK177" s="6"/>
      <c r="DL177" s="6">
        <f t="shared" si="70"/>
        <v>381</v>
      </c>
      <c r="DM177" s="6">
        <v>1048</v>
      </c>
      <c r="DN177" s="6"/>
      <c r="DO177" s="6">
        <f t="shared" si="71"/>
        <v>344</v>
      </c>
    </row>
    <row r="178" spans="1:119">
      <c r="A178" s="6">
        <v>174</v>
      </c>
      <c r="B178" s="6">
        <v>1293</v>
      </c>
      <c r="C178" s="6"/>
      <c r="D178" s="6">
        <v>202</v>
      </c>
      <c r="E178" s="33" t="s">
        <v>37</v>
      </c>
      <c r="F178" s="33" t="s">
        <v>37</v>
      </c>
      <c r="G178" s="33" t="s">
        <v>37</v>
      </c>
      <c r="H178" s="33" t="s">
        <v>37</v>
      </c>
      <c r="I178" s="33" t="s">
        <v>37</v>
      </c>
      <c r="J178" s="33" t="s">
        <v>37</v>
      </c>
      <c r="K178" s="33" t="s">
        <v>37</v>
      </c>
      <c r="L178" s="33" t="s">
        <v>37</v>
      </c>
      <c r="M178" s="33" t="s">
        <v>37</v>
      </c>
      <c r="N178" s="33" t="s">
        <v>37</v>
      </c>
      <c r="O178" s="148" t="s">
        <v>307</v>
      </c>
      <c r="P178" s="33" t="s">
        <v>307</v>
      </c>
      <c r="Q178" s="33" t="s">
        <v>307</v>
      </c>
      <c r="R178" s="33" t="s">
        <v>307</v>
      </c>
      <c r="S178" s="33" t="s">
        <v>307</v>
      </c>
      <c r="T178" s="33" t="s">
        <v>307</v>
      </c>
      <c r="U178" s="33" t="s">
        <v>307</v>
      </c>
      <c r="V178" s="33" t="s">
        <v>307</v>
      </c>
      <c r="W178" s="33" t="s">
        <v>307</v>
      </c>
      <c r="X178" s="33" t="s">
        <v>307</v>
      </c>
      <c r="Y178" s="33" t="s">
        <v>307</v>
      </c>
      <c r="Z178" s="33" t="s">
        <v>307</v>
      </c>
      <c r="AA178" s="33" t="s">
        <v>307</v>
      </c>
      <c r="AB178" s="33" t="s">
        <v>307</v>
      </c>
      <c r="AC178" s="33" t="s">
        <v>307</v>
      </c>
      <c r="AD178" s="6"/>
      <c r="AE178" s="6"/>
      <c r="AF178" s="35"/>
      <c r="AG178" s="6"/>
      <c r="AH178" s="6"/>
      <c r="AI178" s="35"/>
      <c r="AJ178" s="35"/>
      <c r="AK178" s="35"/>
      <c r="AL178" s="35"/>
      <c r="AM178" s="6">
        <v>141</v>
      </c>
      <c r="AN178" s="6">
        <v>1560</v>
      </c>
      <c r="AO178" s="35">
        <f t="shared" si="48"/>
        <v>408</v>
      </c>
      <c r="AP178" s="6">
        <v>519</v>
      </c>
      <c r="AQ178" s="6"/>
      <c r="AR178" s="34">
        <f t="shared" si="49"/>
        <v>378</v>
      </c>
      <c r="AS178" s="35">
        <v>899</v>
      </c>
      <c r="AT178" s="35"/>
      <c r="AU178" s="35">
        <f t="shared" si="50"/>
        <v>380</v>
      </c>
      <c r="AV178" s="6">
        <v>1274</v>
      </c>
      <c r="AW178" s="6"/>
      <c r="AX178" s="35">
        <f t="shared" si="51"/>
        <v>375</v>
      </c>
      <c r="AY178" s="6">
        <v>95</v>
      </c>
      <c r="AZ178" s="6">
        <v>1560</v>
      </c>
      <c r="BA178" s="35">
        <f t="shared" si="52"/>
        <v>381</v>
      </c>
      <c r="BB178" s="35">
        <v>439</v>
      </c>
      <c r="BC178" s="35"/>
      <c r="BD178" s="35">
        <f t="shared" si="53"/>
        <v>344</v>
      </c>
      <c r="BE178" s="6"/>
      <c r="BF178" s="6"/>
      <c r="BG178" s="35"/>
      <c r="BH178" s="6">
        <v>228</v>
      </c>
      <c r="BI178" s="6">
        <v>577</v>
      </c>
      <c r="BJ178" s="35">
        <f t="shared" si="54"/>
        <v>366</v>
      </c>
      <c r="BK178" s="6">
        <v>595</v>
      </c>
      <c r="BL178" s="6"/>
      <c r="BM178" s="6">
        <f t="shared" si="55"/>
        <v>367</v>
      </c>
      <c r="BN178" s="6">
        <v>975</v>
      </c>
      <c r="BO178" s="6"/>
      <c r="BP178" s="6">
        <f t="shared" si="56"/>
        <v>380</v>
      </c>
      <c r="BQ178" s="6">
        <v>288</v>
      </c>
      <c r="BR178" s="6">
        <v>1050</v>
      </c>
      <c r="BS178" s="35">
        <f t="shared" si="57"/>
        <v>363</v>
      </c>
      <c r="BT178" s="35">
        <v>678</v>
      </c>
      <c r="BU178" s="6"/>
      <c r="BV178" s="6">
        <f t="shared" si="58"/>
        <v>390</v>
      </c>
      <c r="BW178" s="6">
        <v>1031</v>
      </c>
      <c r="BX178" s="6"/>
      <c r="BY178" s="35">
        <f t="shared" si="59"/>
        <v>353</v>
      </c>
      <c r="BZ178" s="6"/>
      <c r="CA178" s="6"/>
      <c r="CB178" s="6"/>
      <c r="CC178" s="6">
        <v>1420</v>
      </c>
      <c r="CD178" s="6"/>
      <c r="CE178" s="6">
        <f t="shared" si="60"/>
        <v>389</v>
      </c>
      <c r="CF178" s="6">
        <v>245</v>
      </c>
      <c r="CG178" s="6">
        <v>1560</v>
      </c>
      <c r="CH178" s="6">
        <f t="shared" si="61"/>
        <v>385</v>
      </c>
      <c r="CI178" s="6">
        <v>633</v>
      </c>
      <c r="CJ178" s="6"/>
      <c r="CK178" s="6">
        <f t="shared" si="62"/>
        <v>388</v>
      </c>
      <c r="CL178" s="6">
        <v>1003</v>
      </c>
      <c r="CM178" s="6"/>
      <c r="CN178" s="6">
        <f t="shared" si="63"/>
        <v>370</v>
      </c>
      <c r="CO178" s="6">
        <v>1383</v>
      </c>
      <c r="CP178" s="6"/>
      <c r="CQ178" s="6">
        <f t="shared" si="64"/>
        <v>380</v>
      </c>
      <c r="CR178" s="6">
        <v>153</v>
      </c>
      <c r="CS178" s="6">
        <v>1561</v>
      </c>
      <c r="CT178" s="6">
        <f t="shared" si="65"/>
        <v>331</v>
      </c>
      <c r="CU178" s="6"/>
      <c r="CV178" s="6"/>
      <c r="CW178" s="6"/>
      <c r="CX178" s="6">
        <v>544</v>
      </c>
      <c r="CY178" s="6"/>
      <c r="CZ178" s="6">
        <f t="shared" si="66"/>
        <v>391</v>
      </c>
      <c r="DA178" s="6">
        <v>934</v>
      </c>
      <c r="DB178" s="6"/>
      <c r="DC178" s="6">
        <f t="shared" si="67"/>
        <v>390</v>
      </c>
      <c r="DD178" s="6">
        <v>1327</v>
      </c>
      <c r="DE178" s="6"/>
      <c r="DF178" s="6">
        <f t="shared" si="68"/>
        <v>393</v>
      </c>
      <c r="DG178" s="6">
        <v>159</v>
      </c>
      <c r="DH178" s="6">
        <v>1560</v>
      </c>
      <c r="DI178" s="6">
        <f t="shared" si="69"/>
        <v>392</v>
      </c>
      <c r="DJ178" s="6">
        <v>553</v>
      </c>
      <c r="DK178" s="6"/>
      <c r="DL178" s="6">
        <f t="shared" si="70"/>
        <v>394</v>
      </c>
      <c r="DM178" s="6">
        <v>904</v>
      </c>
      <c r="DN178" s="6"/>
      <c r="DO178" s="6">
        <f t="shared" si="71"/>
        <v>351</v>
      </c>
    </row>
    <row r="179" spans="1:119" ht="14.25" customHeight="1">
      <c r="A179" s="6">
        <v>175</v>
      </c>
      <c r="B179" s="6">
        <v>18</v>
      </c>
      <c r="C179" s="6">
        <v>1560</v>
      </c>
      <c r="D179" s="6">
        <v>203</v>
      </c>
      <c r="E179" s="33" t="s">
        <v>128</v>
      </c>
      <c r="F179" s="33" t="s">
        <v>128</v>
      </c>
      <c r="G179" s="148" t="s">
        <v>37</v>
      </c>
      <c r="H179" s="33" t="s">
        <v>37</v>
      </c>
      <c r="I179" s="33" t="s">
        <v>37</v>
      </c>
      <c r="J179" s="33" t="s">
        <v>37</v>
      </c>
      <c r="K179" s="33" t="s">
        <v>37</v>
      </c>
      <c r="L179" s="33" t="s">
        <v>37</v>
      </c>
      <c r="M179" s="33" t="s">
        <v>37</v>
      </c>
      <c r="N179" s="33" t="s">
        <v>37</v>
      </c>
      <c r="O179" s="33" t="s">
        <v>37</v>
      </c>
      <c r="P179" s="33" t="s">
        <v>37</v>
      </c>
      <c r="Q179" s="33" t="s">
        <v>37</v>
      </c>
      <c r="R179" s="33" t="s">
        <v>37</v>
      </c>
      <c r="S179" s="33" t="s">
        <v>37</v>
      </c>
      <c r="T179" s="33" t="s">
        <v>37</v>
      </c>
      <c r="U179" s="33" t="s">
        <v>37</v>
      </c>
      <c r="V179" s="33" t="s">
        <v>37</v>
      </c>
      <c r="W179" s="33" t="s">
        <v>37</v>
      </c>
      <c r="X179" s="33" t="s">
        <v>37</v>
      </c>
      <c r="Y179" s="33" t="s">
        <v>37</v>
      </c>
      <c r="Z179" s="33" t="s">
        <v>37</v>
      </c>
      <c r="AA179" s="33" t="s">
        <v>37</v>
      </c>
      <c r="AB179" s="148" t="s">
        <v>37</v>
      </c>
      <c r="AC179" s="33" t="s">
        <v>37</v>
      </c>
      <c r="AD179" s="6"/>
      <c r="AE179" s="6"/>
      <c r="AF179" s="35"/>
      <c r="AG179" s="6"/>
      <c r="AH179" s="6"/>
      <c r="AI179" s="35"/>
      <c r="AJ179" s="35"/>
      <c r="AK179" s="35"/>
      <c r="AL179" s="35"/>
      <c r="AM179" s="6">
        <v>0</v>
      </c>
      <c r="AN179" s="6">
        <v>410</v>
      </c>
      <c r="AO179" s="35">
        <f t="shared" si="48"/>
        <v>392</v>
      </c>
      <c r="AP179" s="6">
        <v>368</v>
      </c>
      <c r="AQ179" s="6"/>
      <c r="AR179" s="34">
        <f t="shared" si="49"/>
        <v>368</v>
      </c>
      <c r="AS179" s="35">
        <v>756</v>
      </c>
      <c r="AT179" s="35"/>
      <c r="AU179" s="35">
        <f t="shared" si="50"/>
        <v>388</v>
      </c>
      <c r="AV179" s="6">
        <v>1146</v>
      </c>
      <c r="AW179" s="6"/>
      <c r="AX179" s="35">
        <f t="shared" si="51"/>
        <v>390</v>
      </c>
      <c r="AY179" s="6">
        <v>1530</v>
      </c>
      <c r="AZ179" s="6"/>
      <c r="BA179" s="35">
        <f t="shared" si="52"/>
        <v>384</v>
      </c>
      <c r="BB179" s="35">
        <v>338</v>
      </c>
      <c r="BC179" s="35">
        <v>1560</v>
      </c>
      <c r="BD179" s="35">
        <f t="shared" si="53"/>
        <v>368</v>
      </c>
      <c r="BE179" s="35"/>
      <c r="BF179" s="35"/>
      <c r="BG179" s="35"/>
      <c r="BH179" s="6">
        <v>715</v>
      </c>
      <c r="BI179" s="6"/>
      <c r="BJ179" s="35">
        <f t="shared" si="54"/>
        <v>377</v>
      </c>
      <c r="BK179" s="6">
        <v>1089</v>
      </c>
      <c r="BL179" s="6"/>
      <c r="BM179" s="6">
        <f t="shared" si="55"/>
        <v>374</v>
      </c>
      <c r="BN179" s="6">
        <v>1468</v>
      </c>
      <c r="BO179" s="6"/>
      <c r="BP179" s="6">
        <f t="shared" si="56"/>
        <v>379</v>
      </c>
      <c r="BQ179" s="6">
        <v>288</v>
      </c>
      <c r="BR179" s="6">
        <v>1561</v>
      </c>
      <c r="BS179" s="35">
        <f t="shared" si="57"/>
        <v>381</v>
      </c>
      <c r="BT179" s="6">
        <v>668</v>
      </c>
      <c r="BU179" s="6"/>
      <c r="BV179" s="6">
        <f t="shared" si="58"/>
        <v>380</v>
      </c>
      <c r="BW179" s="6">
        <v>1015</v>
      </c>
      <c r="BX179" s="6"/>
      <c r="BY179" s="35">
        <f t="shared" si="59"/>
        <v>347</v>
      </c>
      <c r="BZ179" s="6"/>
      <c r="CA179" s="6"/>
      <c r="CB179" s="6"/>
      <c r="CC179" s="6">
        <v>1387</v>
      </c>
      <c r="CD179" s="6"/>
      <c r="CE179" s="6">
        <f t="shared" si="60"/>
        <v>372</v>
      </c>
      <c r="CF179" s="6">
        <v>204</v>
      </c>
      <c r="CG179" s="6">
        <v>1560</v>
      </c>
      <c r="CH179" s="6">
        <f t="shared" si="61"/>
        <v>377</v>
      </c>
      <c r="CI179" s="6">
        <v>5</v>
      </c>
      <c r="CJ179" s="6">
        <v>579</v>
      </c>
      <c r="CK179" s="6">
        <f t="shared" si="62"/>
        <v>380</v>
      </c>
      <c r="CL179" s="6">
        <v>365</v>
      </c>
      <c r="CM179" s="6"/>
      <c r="CN179" s="6">
        <f t="shared" si="63"/>
        <v>360</v>
      </c>
      <c r="CO179" s="6">
        <v>718</v>
      </c>
      <c r="CP179" s="6"/>
      <c r="CQ179" s="6">
        <f t="shared" si="64"/>
        <v>353</v>
      </c>
      <c r="CR179" s="6">
        <v>1066</v>
      </c>
      <c r="CS179" s="6"/>
      <c r="CT179" s="6">
        <f t="shared" si="65"/>
        <v>348</v>
      </c>
      <c r="CU179" s="6"/>
      <c r="CV179" s="6"/>
      <c r="CW179" s="6"/>
      <c r="CX179" s="6">
        <v>1423</v>
      </c>
      <c r="CY179" s="6"/>
      <c r="CZ179" s="6">
        <f t="shared" si="66"/>
        <v>357</v>
      </c>
      <c r="DA179" s="6">
        <v>220</v>
      </c>
      <c r="DB179" s="6">
        <v>1560</v>
      </c>
      <c r="DC179" s="6">
        <f t="shared" si="67"/>
        <v>357</v>
      </c>
      <c r="DD179" s="6">
        <v>556</v>
      </c>
      <c r="DE179" s="6"/>
      <c r="DF179" s="6">
        <f t="shared" si="68"/>
        <v>336</v>
      </c>
      <c r="DG179" s="6">
        <v>932</v>
      </c>
      <c r="DH179" s="6"/>
      <c r="DI179" s="6">
        <f t="shared" si="69"/>
        <v>376</v>
      </c>
      <c r="DJ179" s="6">
        <v>242</v>
      </c>
      <c r="DK179" s="6">
        <v>1025</v>
      </c>
      <c r="DL179" s="6">
        <f t="shared" si="70"/>
        <v>335</v>
      </c>
      <c r="DM179" s="6">
        <v>570</v>
      </c>
      <c r="DN179" s="6"/>
      <c r="DO179" s="6">
        <f t="shared" si="71"/>
        <v>328</v>
      </c>
    </row>
    <row r="180" spans="1:119">
      <c r="A180" s="6">
        <v>176</v>
      </c>
      <c r="B180" s="6">
        <v>370</v>
      </c>
      <c r="C180" s="6"/>
      <c r="D180" s="6">
        <v>205</v>
      </c>
      <c r="E180" s="33" t="s">
        <v>128</v>
      </c>
      <c r="F180" s="33" t="s">
        <v>128</v>
      </c>
      <c r="G180" s="33" t="s">
        <v>128</v>
      </c>
      <c r="H180" s="148" t="s">
        <v>37</v>
      </c>
      <c r="I180" s="33" t="s">
        <v>37</v>
      </c>
      <c r="J180" s="33" t="s">
        <v>37</v>
      </c>
      <c r="K180" s="33" t="s">
        <v>37</v>
      </c>
      <c r="L180" s="33" t="s">
        <v>37</v>
      </c>
      <c r="M180" s="33" t="s">
        <v>37</v>
      </c>
      <c r="N180" s="33" t="s">
        <v>37</v>
      </c>
      <c r="O180" s="33" t="s">
        <v>37</v>
      </c>
      <c r="P180" s="33" t="s">
        <v>37</v>
      </c>
      <c r="Q180" s="33" t="s">
        <v>37</v>
      </c>
      <c r="R180" s="33" t="s">
        <v>37</v>
      </c>
      <c r="S180" s="33" t="s">
        <v>37</v>
      </c>
      <c r="T180" s="33" t="s">
        <v>37</v>
      </c>
      <c r="U180" s="33" t="s">
        <v>37</v>
      </c>
      <c r="V180" s="33" t="s">
        <v>37</v>
      </c>
      <c r="W180" s="33" t="s">
        <v>37</v>
      </c>
      <c r="X180" s="33" t="s">
        <v>37</v>
      </c>
      <c r="Y180" s="33" t="s">
        <v>37</v>
      </c>
      <c r="Z180" s="33" t="s">
        <v>37</v>
      </c>
      <c r="AA180" s="33" t="s">
        <v>37</v>
      </c>
      <c r="AB180" s="33" t="s">
        <v>37</v>
      </c>
      <c r="AC180" s="33" t="s">
        <v>37</v>
      </c>
      <c r="AD180" s="35"/>
      <c r="AE180" s="35"/>
      <c r="AF180" s="35"/>
      <c r="AG180" s="35"/>
      <c r="AH180" s="35"/>
      <c r="AI180" s="35"/>
      <c r="AJ180" s="35"/>
      <c r="AK180" s="35"/>
      <c r="AL180" s="35"/>
      <c r="AM180" s="35">
        <v>7</v>
      </c>
      <c r="AN180" s="35">
        <v>761</v>
      </c>
      <c r="AO180" s="35">
        <f t="shared" si="48"/>
        <v>398</v>
      </c>
      <c r="AP180" s="35">
        <v>390</v>
      </c>
      <c r="AQ180" s="35"/>
      <c r="AR180" s="34">
        <f t="shared" si="49"/>
        <v>383</v>
      </c>
      <c r="AS180" s="35">
        <v>306</v>
      </c>
      <c r="AT180" s="35">
        <v>434</v>
      </c>
      <c r="AU180" s="35">
        <f t="shared" si="50"/>
        <v>350</v>
      </c>
      <c r="AV180" s="35">
        <v>694</v>
      </c>
      <c r="AW180" s="6"/>
      <c r="AX180" s="35">
        <f t="shared" si="51"/>
        <v>388</v>
      </c>
      <c r="AY180" s="6">
        <v>1074</v>
      </c>
      <c r="AZ180" s="6"/>
      <c r="BA180" s="35">
        <f t="shared" si="52"/>
        <v>380</v>
      </c>
      <c r="BB180" s="35">
        <v>1424</v>
      </c>
      <c r="BC180" s="6"/>
      <c r="BD180" s="35">
        <f t="shared" si="53"/>
        <v>350</v>
      </c>
      <c r="BE180" s="6"/>
      <c r="BF180" s="6"/>
      <c r="BG180" s="35"/>
      <c r="BH180" s="35">
        <v>242</v>
      </c>
      <c r="BI180" s="6">
        <v>1560</v>
      </c>
      <c r="BJ180" s="35">
        <f t="shared" si="54"/>
        <v>378</v>
      </c>
      <c r="BK180" s="6">
        <v>617</v>
      </c>
      <c r="BL180" s="35"/>
      <c r="BM180" s="6">
        <f t="shared" si="55"/>
        <v>375</v>
      </c>
      <c r="BN180" s="6">
        <v>17</v>
      </c>
      <c r="BO180" s="6">
        <v>974</v>
      </c>
      <c r="BP180" s="6">
        <f t="shared" si="56"/>
        <v>374</v>
      </c>
      <c r="BQ180" s="6">
        <v>398</v>
      </c>
      <c r="BR180" s="6"/>
      <c r="BS180" s="35">
        <f t="shared" si="57"/>
        <v>381</v>
      </c>
      <c r="BT180" s="6">
        <v>780</v>
      </c>
      <c r="BU180" s="6"/>
      <c r="BV180" s="6">
        <f t="shared" si="58"/>
        <v>382</v>
      </c>
      <c r="BW180" s="6">
        <v>1132</v>
      </c>
      <c r="BX180" s="6"/>
      <c r="BY180" s="35">
        <f t="shared" si="59"/>
        <v>352</v>
      </c>
      <c r="BZ180" s="6"/>
      <c r="CA180" s="6"/>
      <c r="CB180" s="6"/>
      <c r="CC180" s="6">
        <v>1517</v>
      </c>
      <c r="CD180" s="6"/>
      <c r="CE180" s="6">
        <f t="shared" si="60"/>
        <v>385</v>
      </c>
      <c r="CF180" s="6">
        <v>327</v>
      </c>
      <c r="CG180" s="6">
        <v>1560</v>
      </c>
      <c r="CH180" s="6">
        <f t="shared" si="61"/>
        <v>370</v>
      </c>
      <c r="CI180" s="6">
        <v>301</v>
      </c>
      <c r="CJ180" s="6">
        <v>404</v>
      </c>
      <c r="CK180" s="6">
        <f t="shared" si="62"/>
        <v>378</v>
      </c>
      <c r="CL180" s="6">
        <v>681</v>
      </c>
      <c r="CM180" s="6"/>
      <c r="CN180" s="6">
        <f t="shared" si="63"/>
        <v>380</v>
      </c>
      <c r="CO180" s="6">
        <v>284</v>
      </c>
      <c r="CP180" s="6">
        <v>776</v>
      </c>
      <c r="CQ180" s="6">
        <f t="shared" si="64"/>
        <v>379</v>
      </c>
      <c r="CR180" s="6">
        <v>632</v>
      </c>
      <c r="CS180" s="6"/>
      <c r="CT180" s="6">
        <f t="shared" si="65"/>
        <v>348</v>
      </c>
      <c r="CU180" s="6"/>
      <c r="CV180" s="6"/>
      <c r="CW180" s="6"/>
      <c r="CX180" s="6">
        <v>1010</v>
      </c>
      <c r="CY180" s="6"/>
      <c r="CZ180" s="6">
        <f t="shared" si="66"/>
        <v>378</v>
      </c>
      <c r="DA180" s="6">
        <v>123</v>
      </c>
      <c r="DB180" s="6">
        <v>1232</v>
      </c>
      <c r="DC180" s="6">
        <f t="shared" si="67"/>
        <v>345</v>
      </c>
      <c r="DD180" s="6">
        <v>465</v>
      </c>
      <c r="DE180" s="6"/>
      <c r="DF180" s="6">
        <f t="shared" si="68"/>
        <v>342</v>
      </c>
      <c r="DG180" s="35">
        <v>820</v>
      </c>
      <c r="DH180" s="6"/>
      <c r="DI180" s="6">
        <f t="shared" si="69"/>
        <v>355</v>
      </c>
      <c r="DJ180" s="35">
        <v>1197</v>
      </c>
      <c r="DK180" s="6"/>
      <c r="DL180" s="6">
        <f t="shared" si="70"/>
        <v>377</v>
      </c>
      <c r="DM180" s="35">
        <v>0</v>
      </c>
      <c r="DN180" s="6">
        <v>1341</v>
      </c>
      <c r="DO180" s="6">
        <f t="shared" si="71"/>
        <v>144</v>
      </c>
    </row>
    <row r="181" spans="1:119">
      <c r="A181" s="6">
        <v>177</v>
      </c>
      <c r="B181" s="6">
        <v>72</v>
      </c>
      <c r="C181" s="6">
        <v>908</v>
      </c>
      <c r="D181" s="6">
        <v>209</v>
      </c>
      <c r="E181" s="33" t="s">
        <v>307</v>
      </c>
      <c r="F181" s="33" t="s">
        <v>307</v>
      </c>
      <c r="G181" s="33" t="s">
        <v>307</v>
      </c>
      <c r="H181" s="33" t="s">
        <v>307</v>
      </c>
      <c r="I181" s="33" t="s">
        <v>307</v>
      </c>
      <c r="J181" s="33" t="s">
        <v>307</v>
      </c>
      <c r="K181" s="33" t="s">
        <v>307</v>
      </c>
      <c r="L181" s="33" t="s">
        <v>307</v>
      </c>
      <c r="M181" s="33" t="s">
        <v>307</v>
      </c>
      <c r="N181" s="33" t="s">
        <v>307</v>
      </c>
      <c r="O181" s="33" t="s">
        <v>307</v>
      </c>
      <c r="P181" s="33" t="s">
        <v>307</v>
      </c>
      <c r="Q181" s="33" t="s">
        <v>307</v>
      </c>
      <c r="R181" s="33" t="s">
        <v>307</v>
      </c>
      <c r="S181" s="33" t="s">
        <v>307</v>
      </c>
      <c r="T181" s="33" t="s">
        <v>307</v>
      </c>
      <c r="U181" s="33" t="s">
        <v>307</v>
      </c>
      <c r="V181" s="33" t="s">
        <v>307</v>
      </c>
      <c r="W181" s="33" t="s">
        <v>307</v>
      </c>
      <c r="X181" s="148" t="s">
        <v>307</v>
      </c>
      <c r="Y181" s="33" t="s">
        <v>307</v>
      </c>
      <c r="Z181" s="33" t="s">
        <v>307</v>
      </c>
      <c r="AA181" s="33" t="s">
        <v>307</v>
      </c>
      <c r="AB181" s="33" t="s">
        <v>307</v>
      </c>
      <c r="AC181" s="33" t="s">
        <v>307</v>
      </c>
      <c r="AD181" s="35"/>
      <c r="AE181" s="35"/>
      <c r="AF181" s="35"/>
      <c r="AG181" s="35"/>
      <c r="AH181" s="35"/>
      <c r="AI181" s="35"/>
      <c r="AJ181" s="35"/>
      <c r="AK181" s="35"/>
      <c r="AL181" s="35"/>
      <c r="AM181" s="6">
        <v>495</v>
      </c>
      <c r="AN181" s="6"/>
      <c r="AO181" s="35">
        <f t="shared" si="48"/>
        <v>423</v>
      </c>
      <c r="AP181" s="6">
        <v>886</v>
      </c>
      <c r="AQ181" s="6"/>
      <c r="AR181" s="34">
        <f t="shared" si="49"/>
        <v>391</v>
      </c>
      <c r="AS181" s="35">
        <v>1284</v>
      </c>
      <c r="AT181" s="35"/>
      <c r="AU181" s="35">
        <f t="shared" si="50"/>
        <v>398</v>
      </c>
      <c r="AV181" s="6">
        <v>120</v>
      </c>
      <c r="AW181" s="6">
        <v>1560</v>
      </c>
      <c r="AX181" s="35">
        <f t="shared" si="51"/>
        <v>396</v>
      </c>
      <c r="AY181" s="6">
        <v>521</v>
      </c>
      <c r="AZ181" s="6"/>
      <c r="BA181" s="35">
        <f t="shared" si="52"/>
        <v>401</v>
      </c>
      <c r="BB181" s="6">
        <v>299</v>
      </c>
      <c r="BC181" s="35">
        <v>606</v>
      </c>
      <c r="BD181" s="35">
        <f t="shared" si="53"/>
        <v>384</v>
      </c>
      <c r="BE181" s="6"/>
      <c r="BF181" s="6"/>
      <c r="BG181" s="35"/>
      <c r="BH181" s="35">
        <v>693</v>
      </c>
      <c r="BI181" s="6"/>
      <c r="BJ181" s="35">
        <f t="shared" si="54"/>
        <v>394</v>
      </c>
      <c r="BK181" s="6">
        <v>1081</v>
      </c>
      <c r="BL181" s="6"/>
      <c r="BM181" s="6">
        <f t="shared" si="55"/>
        <v>388</v>
      </c>
      <c r="BN181" s="6">
        <v>1481</v>
      </c>
      <c r="BO181" s="6"/>
      <c r="BP181" s="6">
        <f t="shared" si="56"/>
        <v>400</v>
      </c>
      <c r="BQ181" s="6">
        <v>320</v>
      </c>
      <c r="BR181" s="6">
        <v>1560</v>
      </c>
      <c r="BS181" s="35">
        <f t="shared" si="57"/>
        <v>399</v>
      </c>
      <c r="BT181" s="6">
        <v>715</v>
      </c>
      <c r="BU181" s="6"/>
      <c r="BV181" s="6">
        <f t="shared" si="58"/>
        <v>395</v>
      </c>
      <c r="BW181" s="6">
        <v>1091</v>
      </c>
      <c r="BX181" s="6"/>
      <c r="BY181" s="35">
        <f t="shared" si="59"/>
        <v>376</v>
      </c>
      <c r="BZ181" s="6"/>
      <c r="CA181" s="6"/>
      <c r="CB181" s="6"/>
      <c r="CC181" s="6">
        <v>1489</v>
      </c>
      <c r="CD181" s="6"/>
      <c r="CE181" s="6">
        <f t="shared" si="60"/>
        <v>398</v>
      </c>
      <c r="CF181" s="6">
        <v>340</v>
      </c>
      <c r="CG181" s="6">
        <v>1532</v>
      </c>
      <c r="CH181" s="6">
        <f t="shared" si="61"/>
        <v>383</v>
      </c>
      <c r="CI181" s="6">
        <v>736</v>
      </c>
      <c r="CJ181" s="6"/>
      <c r="CK181" s="6">
        <f t="shared" si="62"/>
        <v>396</v>
      </c>
      <c r="CL181" s="6">
        <v>1120</v>
      </c>
      <c r="CM181" s="6"/>
      <c r="CN181" s="6">
        <f t="shared" si="63"/>
        <v>384</v>
      </c>
      <c r="CO181" s="6">
        <v>1495</v>
      </c>
      <c r="CP181" s="6"/>
      <c r="CQ181" s="6">
        <f t="shared" si="64"/>
        <v>375</v>
      </c>
      <c r="CR181" s="6">
        <v>0</v>
      </c>
      <c r="CS181" s="6">
        <v>1684</v>
      </c>
      <c r="CT181" s="6">
        <f t="shared" si="65"/>
        <v>189</v>
      </c>
      <c r="CU181" s="6"/>
      <c r="CV181" s="6"/>
      <c r="CW181" s="6"/>
      <c r="CX181" s="6">
        <v>346</v>
      </c>
      <c r="CY181" s="6"/>
      <c r="CZ181" s="6">
        <f t="shared" si="66"/>
        <v>346</v>
      </c>
      <c r="DA181" s="6">
        <v>735</v>
      </c>
      <c r="DB181" s="6"/>
      <c r="DC181" s="6">
        <f t="shared" si="67"/>
        <v>389</v>
      </c>
      <c r="DD181" s="6">
        <v>1123</v>
      </c>
      <c r="DE181" s="6"/>
      <c r="DF181" s="6">
        <f t="shared" si="68"/>
        <v>388</v>
      </c>
      <c r="DG181" s="6">
        <v>1514</v>
      </c>
      <c r="DH181" s="6"/>
      <c r="DI181" s="6">
        <f t="shared" si="69"/>
        <v>391</v>
      </c>
      <c r="DJ181" s="6">
        <v>347</v>
      </c>
      <c r="DK181" s="6">
        <v>1560</v>
      </c>
      <c r="DL181" s="6">
        <f t="shared" si="70"/>
        <v>393</v>
      </c>
      <c r="DM181" s="6">
        <v>699</v>
      </c>
      <c r="DN181" s="6"/>
      <c r="DO181" s="6">
        <f t="shared" si="71"/>
        <v>352</v>
      </c>
    </row>
    <row r="182" spans="1:119">
      <c r="A182" s="6">
        <v>178</v>
      </c>
      <c r="B182" s="6">
        <v>807</v>
      </c>
      <c r="C182" s="6"/>
      <c r="D182" s="6">
        <v>207</v>
      </c>
      <c r="E182" s="33" t="s">
        <v>128</v>
      </c>
      <c r="F182" s="33" t="s">
        <v>128</v>
      </c>
      <c r="G182" s="33" t="s">
        <v>128</v>
      </c>
      <c r="H182" s="148" t="s">
        <v>37</v>
      </c>
      <c r="I182" s="33" t="s">
        <v>37</v>
      </c>
      <c r="J182" s="33" t="s">
        <v>37</v>
      </c>
      <c r="K182" s="33" t="s">
        <v>37</v>
      </c>
      <c r="L182" s="33" t="s">
        <v>37</v>
      </c>
      <c r="M182" s="33" t="s">
        <v>37</v>
      </c>
      <c r="N182" s="33" t="s">
        <v>37</v>
      </c>
      <c r="O182" s="33" t="s">
        <v>37</v>
      </c>
      <c r="P182" s="33" t="s">
        <v>37</v>
      </c>
      <c r="Q182" s="33" t="s">
        <v>37</v>
      </c>
      <c r="R182" s="33" t="s">
        <v>37</v>
      </c>
      <c r="S182" s="33" t="s">
        <v>37</v>
      </c>
      <c r="T182" s="33" t="s">
        <v>37</v>
      </c>
      <c r="U182" s="33" t="s">
        <v>37</v>
      </c>
      <c r="V182" s="33" t="s">
        <v>37</v>
      </c>
      <c r="W182" s="33" t="s">
        <v>37</v>
      </c>
      <c r="X182" s="33" t="s">
        <v>37</v>
      </c>
      <c r="Y182" s="33" t="s">
        <v>37</v>
      </c>
      <c r="Z182" s="33" t="s">
        <v>37</v>
      </c>
      <c r="AA182" s="33" t="s">
        <v>37</v>
      </c>
      <c r="AB182" s="33" t="s">
        <v>37</v>
      </c>
      <c r="AC182" s="148" t="s">
        <v>37</v>
      </c>
      <c r="AD182" s="6"/>
      <c r="AE182" s="6"/>
      <c r="AF182" s="35"/>
      <c r="AG182" s="6"/>
      <c r="AH182" s="6"/>
      <c r="AI182" s="35"/>
      <c r="AJ182" s="35"/>
      <c r="AK182" s="35"/>
      <c r="AL182" s="35"/>
      <c r="AM182" s="6">
        <v>387</v>
      </c>
      <c r="AN182" s="6">
        <v>839</v>
      </c>
      <c r="AO182" s="35">
        <f t="shared" si="48"/>
        <v>419</v>
      </c>
      <c r="AP182" s="6">
        <v>0</v>
      </c>
      <c r="AQ182" s="6">
        <v>731</v>
      </c>
      <c r="AR182" s="34">
        <f t="shared" si="49"/>
        <v>344</v>
      </c>
      <c r="AS182" s="35">
        <v>20</v>
      </c>
      <c r="AT182" s="35">
        <v>352</v>
      </c>
      <c r="AU182" s="35">
        <f t="shared" si="50"/>
        <v>372</v>
      </c>
      <c r="AV182" s="6">
        <v>415</v>
      </c>
      <c r="AW182" s="6"/>
      <c r="AX182" s="35">
        <f t="shared" si="51"/>
        <v>395</v>
      </c>
      <c r="AY182" s="6">
        <v>800</v>
      </c>
      <c r="AZ182" s="6"/>
      <c r="BA182" s="35">
        <f t="shared" si="52"/>
        <v>385</v>
      </c>
      <c r="BB182" s="35">
        <v>1156</v>
      </c>
      <c r="BC182" s="35"/>
      <c r="BD182" s="35">
        <f t="shared" si="53"/>
        <v>356</v>
      </c>
      <c r="BE182" s="6"/>
      <c r="BF182" s="6"/>
      <c r="BG182" s="35"/>
      <c r="BH182" s="35">
        <v>1540</v>
      </c>
      <c r="BI182" s="6"/>
      <c r="BJ182" s="35">
        <f t="shared" si="54"/>
        <v>384</v>
      </c>
      <c r="BK182" s="6">
        <v>353</v>
      </c>
      <c r="BL182" s="6">
        <v>1560</v>
      </c>
      <c r="BM182" s="6">
        <f t="shared" si="55"/>
        <v>373</v>
      </c>
      <c r="BN182" s="6">
        <v>734</v>
      </c>
      <c r="BO182" s="6"/>
      <c r="BP182" s="6">
        <f t="shared" si="56"/>
        <v>381</v>
      </c>
      <c r="BQ182" s="6">
        <v>1</v>
      </c>
      <c r="BR182" s="6">
        <v>1106</v>
      </c>
      <c r="BS182" s="35">
        <f t="shared" si="57"/>
        <v>373</v>
      </c>
      <c r="BT182" s="6">
        <v>376</v>
      </c>
      <c r="BU182" s="6"/>
      <c r="BV182" s="6">
        <f t="shared" si="58"/>
        <v>375</v>
      </c>
      <c r="BW182" s="6">
        <v>718</v>
      </c>
      <c r="BX182" s="6"/>
      <c r="BY182" s="35">
        <f t="shared" si="59"/>
        <v>342</v>
      </c>
      <c r="BZ182" s="6"/>
      <c r="CA182" s="6"/>
      <c r="CB182" s="6"/>
      <c r="CC182" s="6">
        <v>1091</v>
      </c>
      <c r="CD182" s="6"/>
      <c r="CE182" s="6">
        <f t="shared" si="60"/>
        <v>373</v>
      </c>
      <c r="CF182" s="6">
        <v>1469</v>
      </c>
      <c r="CG182" s="6"/>
      <c r="CH182" s="6">
        <f t="shared" si="61"/>
        <v>378</v>
      </c>
      <c r="CI182" s="6">
        <v>302</v>
      </c>
      <c r="CJ182" s="6">
        <v>1560</v>
      </c>
      <c r="CK182" s="6">
        <f t="shared" si="62"/>
        <v>393</v>
      </c>
      <c r="CL182" s="6">
        <v>683</v>
      </c>
      <c r="CM182" s="6"/>
      <c r="CN182" s="6">
        <f t="shared" si="63"/>
        <v>381</v>
      </c>
      <c r="CO182" s="6">
        <v>1062</v>
      </c>
      <c r="CP182" s="6"/>
      <c r="CQ182" s="6">
        <f t="shared" si="64"/>
        <v>379</v>
      </c>
      <c r="CR182" s="6">
        <v>1428</v>
      </c>
      <c r="CS182" s="6"/>
      <c r="CT182" s="6">
        <f t="shared" si="65"/>
        <v>366</v>
      </c>
      <c r="CU182" s="6"/>
      <c r="CV182" s="6"/>
      <c r="CW182" s="6"/>
      <c r="CX182" s="6">
        <v>354</v>
      </c>
      <c r="CY182" s="6">
        <v>1444</v>
      </c>
      <c r="CZ182" s="6">
        <f t="shared" si="66"/>
        <v>370</v>
      </c>
      <c r="DA182" s="6">
        <v>723</v>
      </c>
      <c r="DB182" s="6"/>
      <c r="DC182" s="6">
        <f t="shared" si="67"/>
        <v>369</v>
      </c>
      <c r="DD182" s="6">
        <v>1101</v>
      </c>
      <c r="DE182" s="6"/>
      <c r="DF182" s="6">
        <f t="shared" si="68"/>
        <v>378</v>
      </c>
      <c r="DG182" s="35">
        <v>22</v>
      </c>
      <c r="DH182" s="6">
        <v>1456</v>
      </c>
      <c r="DI182" s="6">
        <f t="shared" si="69"/>
        <v>377</v>
      </c>
      <c r="DJ182" s="35">
        <v>0</v>
      </c>
      <c r="DK182" s="6">
        <v>387</v>
      </c>
      <c r="DL182" s="6">
        <f t="shared" si="70"/>
        <v>365</v>
      </c>
      <c r="DM182" s="35">
        <v>309</v>
      </c>
      <c r="DN182" s="6"/>
      <c r="DO182" s="6">
        <f t="shared" si="71"/>
        <v>309</v>
      </c>
    </row>
    <row r="183" spans="1:119">
      <c r="A183" s="6">
        <v>179</v>
      </c>
      <c r="B183" s="6">
        <v>1335</v>
      </c>
      <c r="C183" s="6"/>
      <c r="D183" s="6">
        <v>207</v>
      </c>
      <c r="E183" s="33" t="s">
        <v>128</v>
      </c>
      <c r="F183" s="33" t="s">
        <v>128</v>
      </c>
      <c r="G183" s="148" t="s">
        <v>37</v>
      </c>
      <c r="H183" s="33" t="s">
        <v>37</v>
      </c>
      <c r="I183" s="33" t="s">
        <v>37</v>
      </c>
      <c r="J183" s="33" t="s">
        <v>37</v>
      </c>
      <c r="K183" s="33" t="s">
        <v>37</v>
      </c>
      <c r="L183" s="33" t="s">
        <v>37</v>
      </c>
      <c r="M183" s="33" t="s">
        <v>37</v>
      </c>
      <c r="N183" s="33" t="s">
        <v>37</v>
      </c>
      <c r="O183" s="33" t="s">
        <v>37</v>
      </c>
      <c r="P183" s="33" t="s">
        <v>37</v>
      </c>
      <c r="Q183" s="33" t="s">
        <v>37</v>
      </c>
      <c r="R183" s="33" t="s">
        <v>37</v>
      </c>
      <c r="S183" s="33" t="s">
        <v>37</v>
      </c>
      <c r="T183" s="33" t="s">
        <v>37</v>
      </c>
      <c r="U183" s="33" t="s">
        <v>37</v>
      </c>
      <c r="V183" s="33" t="s">
        <v>37</v>
      </c>
      <c r="W183" s="33" t="s">
        <v>37</v>
      </c>
      <c r="X183" s="33" t="s">
        <v>37</v>
      </c>
      <c r="Y183" s="33" t="s">
        <v>37</v>
      </c>
      <c r="Z183" s="33" t="s">
        <v>37</v>
      </c>
      <c r="AA183" s="33" t="s">
        <v>37</v>
      </c>
      <c r="AB183" s="33" t="s">
        <v>37</v>
      </c>
      <c r="AC183" s="148" t="s">
        <v>37</v>
      </c>
      <c r="AD183" s="6"/>
      <c r="AE183" s="6"/>
      <c r="AF183" s="35"/>
      <c r="AG183" s="6"/>
      <c r="AH183" s="6"/>
      <c r="AI183" s="35"/>
      <c r="AJ183" s="35"/>
      <c r="AK183" s="35"/>
      <c r="AL183" s="35"/>
      <c r="AM183" s="6">
        <v>0</v>
      </c>
      <c r="AN183" s="6">
        <v>1613</v>
      </c>
      <c r="AO183" s="35">
        <f t="shared" si="48"/>
        <v>278</v>
      </c>
      <c r="AP183" s="6">
        <v>382</v>
      </c>
      <c r="AQ183" s="6"/>
      <c r="AR183" s="34">
        <f t="shared" si="49"/>
        <v>382</v>
      </c>
      <c r="AS183" s="35">
        <v>765</v>
      </c>
      <c r="AT183" s="35"/>
      <c r="AU183" s="35">
        <f t="shared" si="50"/>
        <v>383</v>
      </c>
      <c r="AV183" s="6">
        <v>1160</v>
      </c>
      <c r="AW183" s="6"/>
      <c r="AX183" s="35">
        <f t="shared" si="51"/>
        <v>395</v>
      </c>
      <c r="AY183" s="6">
        <v>1536</v>
      </c>
      <c r="AZ183" s="6"/>
      <c r="BA183" s="35">
        <f t="shared" si="52"/>
        <v>376</v>
      </c>
      <c r="BB183" s="35">
        <v>336</v>
      </c>
      <c r="BC183" s="6">
        <v>1560</v>
      </c>
      <c r="BD183" s="35">
        <f t="shared" si="53"/>
        <v>360</v>
      </c>
      <c r="BE183" s="35"/>
      <c r="BF183" s="6"/>
      <c r="BG183" s="35"/>
      <c r="BH183" s="35">
        <v>709</v>
      </c>
      <c r="BI183" s="6"/>
      <c r="BJ183" s="35">
        <f t="shared" si="54"/>
        <v>373</v>
      </c>
      <c r="BK183" s="6">
        <v>1076</v>
      </c>
      <c r="BL183" s="6"/>
      <c r="BM183" s="6">
        <f t="shared" si="55"/>
        <v>367</v>
      </c>
      <c r="BN183" s="6">
        <v>216</v>
      </c>
      <c r="BO183" s="6">
        <v>1232</v>
      </c>
      <c r="BP183" s="6">
        <f t="shared" si="56"/>
        <v>372</v>
      </c>
      <c r="BQ183" s="6">
        <v>595</v>
      </c>
      <c r="BR183" s="6"/>
      <c r="BS183" s="35">
        <f t="shared" si="57"/>
        <v>379</v>
      </c>
      <c r="BT183" s="6">
        <v>978</v>
      </c>
      <c r="BU183" s="6"/>
      <c r="BV183" s="6">
        <f t="shared" si="58"/>
        <v>383</v>
      </c>
      <c r="BW183" s="6">
        <v>1340</v>
      </c>
      <c r="BX183" s="6"/>
      <c r="BY183" s="35">
        <f t="shared" si="59"/>
        <v>362</v>
      </c>
      <c r="BZ183" s="6"/>
      <c r="CA183" s="6"/>
      <c r="CB183" s="6"/>
      <c r="CC183" s="6">
        <v>145</v>
      </c>
      <c r="CD183" s="6">
        <v>1560</v>
      </c>
      <c r="CE183" s="6">
        <f t="shared" si="60"/>
        <v>365</v>
      </c>
      <c r="CF183" s="6">
        <v>517</v>
      </c>
      <c r="CG183" s="6"/>
      <c r="CH183" s="6">
        <f t="shared" si="61"/>
        <v>372</v>
      </c>
      <c r="CI183" s="6">
        <v>889</v>
      </c>
      <c r="CJ183" s="6"/>
      <c r="CK183" s="6">
        <f t="shared" si="62"/>
        <v>372</v>
      </c>
      <c r="CL183" s="6">
        <v>1261</v>
      </c>
      <c r="CM183" s="6"/>
      <c r="CN183" s="6">
        <f t="shared" si="63"/>
        <v>372</v>
      </c>
      <c r="CO183" s="6">
        <v>47</v>
      </c>
      <c r="CP183" s="6">
        <v>1560</v>
      </c>
      <c r="CQ183" s="6">
        <f t="shared" si="64"/>
        <v>346</v>
      </c>
      <c r="CR183" s="6">
        <v>373</v>
      </c>
      <c r="CS183" s="6"/>
      <c r="CT183" s="6">
        <f t="shared" si="65"/>
        <v>326</v>
      </c>
      <c r="CU183" s="6"/>
      <c r="CV183" s="6"/>
      <c r="CW183" s="6"/>
      <c r="CX183" s="6">
        <v>713</v>
      </c>
      <c r="CY183" s="6"/>
      <c r="CZ183" s="6">
        <f t="shared" si="66"/>
        <v>340</v>
      </c>
      <c r="DA183" s="6">
        <v>1049</v>
      </c>
      <c r="DB183" s="6"/>
      <c r="DC183" s="6">
        <f t="shared" si="67"/>
        <v>336</v>
      </c>
      <c r="DD183" s="6">
        <v>1409</v>
      </c>
      <c r="DE183" s="6"/>
      <c r="DF183" s="6">
        <f t="shared" si="68"/>
        <v>360</v>
      </c>
      <c r="DG183" s="6">
        <v>1781</v>
      </c>
      <c r="DH183" s="6"/>
      <c r="DI183" s="6">
        <f t="shared" si="69"/>
        <v>372</v>
      </c>
      <c r="DJ183" s="6">
        <v>0</v>
      </c>
      <c r="DK183" s="6">
        <v>1949</v>
      </c>
      <c r="DL183" s="6">
        <f t="shared" si="70"/>
        <v>168</v>
      </c>
      <c r="DM183" s="6">
        <v>309</v>
      </c>
      <c r="DN183" s="6"/>
      <c r="DO183" s="6">
        <f t="shared" si="71"/>
        <v>309</v>
      </c>
    </row>
    <row r="184" spans="1:119">
      <c r="A184" s="6">
        <v>180</v>
      </c>
      <c r="B184" s="6">
        <v>612</v>
      </c>
      <c r="C184" s="6"/>
      <c r="D184" s="6">
        <v>197</v>
      </c>
      <c r="E184" s="33" t="s">
        <v>128</v>
      </c>
      <c r="F184" s="33" t="s">
        <v>128</v>
      </c>
      <c r="G184" s="33" t="s">
        <v>128</v>
      </c>
      <c r="H184" s="33" t="s">
        <v>128</v>
      </c>
      <c r="I184" s="148" t="s">
        <v>37</v>
      </c>
      <c r="J184" s="33" t="s">
        <v>37</v>
      </c>
      <c r="K184" s="33" t="s">
        <v>37</v>
      </c>
      <c r="L184" s="33" t="s">
        <v>37</v>
      </c>
      <c r="M184" s="33" t="s">
        <v>37</v>
      </c>
      <c r="N184" s="33" t="s">
        <v>37</v>
      </c>
      <c r="O184" s="33" t="s">
        <v>37</v>
      </c>
      <c r="P184" s="33" t="s">
        <v>37</v>
      </c>
      <c r="Q184" s="33" t="s">
        <v>37</v>
      </c>
      <c r="R184" s="33" t="s">
        <v>37</v>
      </c>
      <c r="S184" s="33" t="s">
        <v>37</v>
      </c>
      <c r="T184" s="33" t="s">
        <v>37</v>
      </c>
      <c r="U184" s="33" t="s">
        <v>37</v>
      </c>
      <c r="V184" s="33" t="s">
        <v>37</v>
      </c>
      <c r="W184" s="33" t="s">
        <v>37</v>
      </c>
      <c r="X184" s="33" t="s">
        <v>37</v>
      </c>
      <c r="Y184" s="33" t="s">
        <v>37</v>
      </c>
      <c r="Z184" s="33" t="s">
        <v>37</v>
      </c>
      <c r="AA184" s="33" t="s">
        <v>37</v>
      </c>
      <c r="AB184" s="33" t="s">
        <v>37</v>
      </c>
      <c r="AC184" s="33" t="s">
        <v>37</v>
      </c>
      <c r="AD184" s="6"/>
      <c r="AE184" s="6"/>
      <c r="AF184" s="35"/>
      <c r="AG184" s="6"/>
      <c r="AH184" s="6"/>
      <c r="AI184" s="35"/>
      <c r="AJ184" s="35"/>
      <c r="AK184" s="35"/>
      <c r="AL184" s="35"/>
      <c r="AM184" s="6">
        <v>1010</v>
      </c>
      <c r="AN184" s="6"/>
      <c r="AO184" s="35">
        <f t="shared" si="48"/>
        <v>398</v>
      </c>
      <c r="AP184" s="6">
        <v>1373</v>
      </c>
      <c r="AQ184" s="6"/>
      <c r="AR184" s="34">
        <f t="shared" si="49"/>
        <v>363</v>
      </c>
      <c r="AS184" s="35">
        <v>0</v>
      </c>
      <c r="AT184" s="35">
        <v>1617</v>
      </c>
      <c r="AU184" s="35">
        <f t="shared" si="50"/>
        <v>244</v>
      </c>
      <c r="AV184" s="6">
        <v>346</v>
      </c>
      <c r="AW184" s="6"/>
      <c r="AX184" s="35">
        <f t="shared" si="51"/>
        <v>346</v>
      </c>
      <c r="AY184" s="6">
        <v>729</v>
      </c>
      <c r="AZ184" s="6"/>
      <c r="BA184" s="35">
        <f t="shared" si="52"/>
        <v>383</v>
      </c>
      <c r="BB184" s="6">
        <v>18</v>
      </c>
      <c r="BC184" s="35">
        <v>1073</v>
      </c>
      <c r="BD184" s="35">
        <f t="shared" si="53"/>
        <v>362</v>
      </c>
      <c r="BE184" s="6"/>
      <c r="BF184" s="6"/>
      <c r="BG184" s="35"/>
      <c r="BH184" s="35">
        <v>402</v>
      </c>
      <c r="BI184" s="6"/>
      <c r="BJ184" s="35">
        <f t="shared" si="54"/>
        <v>384</v>
      </c>
      <c r="BK184" s="6">
        <v>773</v>
      </c>
      <c r="BL184" s="6"/>
      <c r="BM184" s="6">
        <f t="shared" si="55"/>
        <v>371</v>
      </c>
      <c r="BN184" s="6">
        <v>1156</v>
      </c>
      <c r="BO184" s="6"/>
      <c r="BP184" s="6">
        <f t="shared" si="56"/>
        <v>383</v>
      </c>
      <c r="BQ184" s="6">
        <v>1535</v>
      </c>
      <c r="BR184" s="6"/>
      <c r="BS184" s="35">
        <f t="shared" si="57"/>
        <v>379</v>
      </c>
      <c r="BT184" s="35">
        <v>355</v>
      </c>
      <c r="BU184" s="6">
        <v>1560</v>
      </c>
      <c r="BV184" s="6">
        <f t="shared" si="58"/>
        <v>380</v>
      </c>
      <c r="BW184" s="6">
        <v>717</v>
      </c>
      <c r="BX184" s="6"/>
      <c r="BY184" s="35">
        <f t="shared" si="59"/>
        <v>362</v>
      </c>
      <c r="BZ184" s="6"/>
      <c r="CA184" s="6"/>
      <c r="CB184" s="6"/>
      <c r="CC184" s="6">
        <v>1079</v>
      </c>
      <c r="CD184" s="6"/>
      <c r="CE184" s="6">
        <f t="shared" si="60"/>
        <v>362</v>
      </c>
      <c r="CF184" s="6">
        <v>236</v>
      </c>
      <c r="CG184" s="6">
        <v>1206</v>
      </c>
      <c r="CH184" s="6">
        <f t="shared" si="61"/>
        <v>363</v>
      </c>
      <c r="CI184" s="6">
        <v>603</v>
      </c>
      <c r="CJ184" s="6"/>
      <c r="CK184" s="6">
        <f t="shared" si="62"/>
        <v>367</v>
      </c>
      <c r="CL184" s="6">
        <v>129</v>
      </c>
      <c r="CM184" s="6">
        <v>845</v>
      </c>
      <c r="CN184" s="6">
        <f t="shared" si="63"/>
        <v>371</v>
      </c>
      <c r="CO184" s="6">
        <v>507</v>
      </c>
      <c r="CP184" s="6"/>
      <c r="CQ184" s="6">
        <f t="shared" si="64"/>
        <v>378</v>
      </c>
      <c r="CR184" s="6">
        <v>874</v>
      </c>
      <c r="CS184" s="6"/>
      <c r="CT184" s="6">
        <f t="shared" si="65"/>
        <v>367</v>
      </c>
      <c r="CU184" s="6"/>
      <c r="CV184" s="6"/>
      <c r="CW184" s="6"/>
      <c r="CX184" s="6">
        <v>1253</v>
      </c>
      <c r="CY184" s="6"/>
      <c r="CZ184" s="6">
        <f t="shared" si="66"/>
        <v>379</v>
      </c>
      <c r="DA184" s="6">
        <v>59</v>
      </c>
      <c r="DB184" s="6">
        <v>1560</v>
      </c>
      <c r="DC184" s="6">
        <f t="shared" si="67"/>
        <v>366</v>
      </c>
      <c r="DD184" s="6">
        <v>441</v>
      </c>
      <c r="DE184" s="6"/>
      <c r="DF184" s="6">
        <f t="shared" si="68"/>
        <v>382</v>
      </c>
      <c r="DG184" s="6">
        <v>816</v>
      </c>
      <c r="DH184" s="6"/>
      <c r="DI184" s="6">
        <f t="shared" si="69"/>
        <v>375</v>
      </c>
      <c r="DJ184" s="6">
        <v>1199</v>
      </c>
      <c r="DK184" s="6"/>
      <c r="DL184" s="6">
        <f t="shared" si="70"/>
        <v>383</v>
      </c>
      <c r="DM184" s="6">
        <v>1538</v>
      </c>
      <c r="DN184" s="6"/>
      <c r="DO184" s="6">
        <f t="shared" si="71"/>
        <v>339</v>
      </c>
    </row>
    <row r="185" spans="1:119">
      <c r="A185" s="6">
        <v>181</v>
      </c>
      <c r="B185" s="6">
        <v>786</v>
      </c>
      <c r="C185" s="6"/>
      <c r="D185" s="6">
        <v>127</v>
      </c>
      <c r="E185" s="33" t="s">
        <v>72</v>
      </c>
      <c r="F185" s="33" t="s">
        <v>72</v>
      </c>
      <c r="G185" s="148" t="s">
        <v>102</v>
      </c>
      <c r="H185" s="33" t="s">
        <v>102</v>
      </c>
      <c r="I185" s="33" t="s">
        <v>102</v>
      </c>
      <c r="J185" s="33" t="s">
        <v>102</v>
      </c>
      <c r="K185" s="33" t="s">
        <v>102</v>
      </c>
      <c r="L185" s="33" t="s">
        <v>102</v>
      </c>
      <c r="M185" s="33" t="s">
        <v>102</v>
      </c>
      <c r="N185" s="33" t="s">
        <v>102</v>
      </c>
      <c r="O185" s="33" t="s">
        <v>102</v>
      </c>
      <c r="P185" s="33" t="s">
        <v>102</v>
      </c>
      <c r="Q185" s="33" t="s">
        <v>102</v>
      </c>
      <c r="R185" s="33" t="s">
        <v>102</v>
      </c>
      <c r="S185" s="33" t="s">
        <v>102</v>
      </c>
      <c r="T185" s="33" t="s">
        <v>102</v>
      </c>
      <c r="U185" s="33" t="s">
        <v>102</v>
      </c>
      <c r="V185" s="33" t="s">
        <v>102</v>
      </c>
      <c r="W185" s="148" t="s">
        <v>102</v>
      </c>
      <c r="X185" s="33" t="s">
        <v>102</v>
      </c>
      <c r="Y185" s="33" t="s">
        <v>102</v>
      </c>
      <c r="Z185" s="33" t="s">
        <v>102</v>
      </c>
      <c r="AA185" s="33" t="s">
        <v>102</v>
      </c>
      <c r="AB185" s="33" t="s">
        <v>102</v>
      </c>
      <c r="AC185" s="33" t="s">
        <v>102</v>
      </c>
      <c r="AD185" s="35"/>
      <c r="AE185" s="35"/>
      <c r="AF185" s="35"/>
      <c r="AG185" s="35"/>
      <c r="AH185" s="35"/>
      <c r="AI185" s="35"/>
      <c r="AJ185" s="35"/>
      <c r="AK185" s="35"/>
      <c r="AL185" s="35"/>
      <c r="AM185" s="6">
        <v>1043</v>
      </c>
      <c r="AN185" s="6"/>
      <c r="AO185" s="35">
        <f t="shared" si="48"/>
        <v>257</v>
      </c>
      <c r="AP185" s="6">
        <v>296</v>
      </c>
      <c r="AQ185" s="6">
        <v>1055</v>
      </c>
      <c r="AR185" s="34">
        <f t="shared" si="49"/>
        <v>308</v>
      </c>
      <c r="AS185" s="35">
        <v>709</v>
      </c>
      <c r="AT185" s="35"/>
      <c r="AU185" s="35">
        <f t="shared" si="50"/>
        <v>413</v>
      </c>
      <c r="AV185" s="6">
        <v>202</v>
      </c>
      <c r="AW185" s="6">
        <v>831</v>
      </c>
      <c r="AX185" s="35">
        <f t="shared" si="51"/>
        <v>324</v>
      </c>
      <c r="AY185" s="6">
        <v>414</v>
      </c>
      <c r="AZ185" s="6">
        <v>211</v>
      </c>
      <c r="BA185" s="35">
        <f t="shared" si="52"/>
        <v>423</v>
      </c>
      <c r="BB185" s="35">
        <v>838</v>
      </c>
      <c r="BC185" s="35"/>
      <c r="BD185" s="35">
        <f t="shared" si="53"/>
        <v>424</v>
      </c>
      <c r="BE185" s="6"/>
      <c r="BF185" s="6"/>
      <c r="BG185" s="35"/>
      <c r="BH185" s="35">
        <v>377</v>
      </c>
      <c r="BI185" s="6">
        <v>842</v>
      </c>
      <c r="BJ185" s="35">
        <f t="shared" si="54"/>
        <v>381</v>
      </c>
      <c r="BK185" s="6">
        <v>793</v>
      </c>
      <c r="BL185" s="6"/>
      <c r="BM185" s="6">
        <f t="shared" si="55"/>
        <v>416</v>
      </c>
      <c r="BN185" s="6">
        <v>210</v>
      </c>
      <c r="BO185" s="6">
        <v>1000</v>
      </c>
      <c r="BP185" s="6">
        <f t="shared" si="56"/>
        <v>417</v>
      </c>
      <c r="BQ185" s="6">
        <v>630</v>
      </c>
      <c r="BR185" s="6"/>
      <c r="BS185" s="35">
        <f t="shared" si="57"/>
        <v>420</v>
      </c>
      <c r="BT185" s="6">
        <v>252</v>
      </c>
      <c r="BU185" s="6">
        <v>800</v>
      </c>
      <c r="BV185" s="6">
        <f t="shared" si="58"/>
        <v>422</v>
      </c>
      <c r="BW185" s="6">
        <v>641</v>
      </c>
      <c r="BX185" s="6"/>
      <c r="BY185" s="35">
        <f t="shared" si="59"/>
        <v>389</v>
      </c>
      <c r="BZ185" s="6"/>
      <c r="CA185" s="6"/>
      <c r="CB185" s="6"/>
      <c r="CC185" s="6">
        <v>58</v>
      </c>
      <c r="CD185" s="6">
        <v>1000</v>
      </c>
      <c r="CE185" s="6">
        <f t="shared" si="60"/>
        <v>417</v>
      </c>
      <c r="CF185" s="6">
        <v>470</v>
      </c>
      <c r="CG185" s="6"/>
      <c r="CH185" s="6">
        <f t="shared" si="61"/>
        <v>412</v>
      </c>
      <c r="CI185" s="6">
        <v>884</v>
      </c>
      <c r="CJ185" s="6"/>
      <c r="CK185" s="6">
        <f t="shared" si="62"/>
        <v>414</v>
      </c>
      <c r="CL185" s="6">
        <v>295</v>
      </c>
      <c r="CM185" s="6">
        <v>1000</v>
      </c>
      <c r="CN185" s="6">
        <f t="shared" si="63"/>
        <v>411</v>
      </c>
      <c r="CO185" s="6">
        <v>656</v>
      </c>
      <c r="CP185" s="6"/>
      <c r="CQ185" s="6">
        <f t="shared" si="64"/>
        <v>361</v>
      </c>
      <c r="CR185" s="6">
        <v>372</v>
      </c>
      <c r="CS185" s="6">
        <v>656</v>
      </c>
      <c r="CT185" s="6">
        <f t="shared" si="65"/>
        <v>372</v>
      </c>
      <c r="CU185" s="6"/>
      <c r="CV185" s="6"/>
      <c r="CW185" s="6"/>
      <c r="CX185" s="6">
        <v>758</v>
      </c>
      <c r="CY185" s="6"/>
      <c r="CZ185" s="6">
        <f t="shared" si="66"/>
        <v>386</v>
      </c>
      <c r="DA185" s="6">
        <v>351</v>
      </c>
      <c r="DB185" s="6">
        <v>800</v>
      </c>
      <c r="DC185" s="6">
        <f t="shared" si="67"/>
        <v>393</v>
      </c>
      <c r="DD185" s="6">
        <v>753</v>
      </c>
      <c r="DE185" s="6"/>
      <c r="DF185" s="6">
        <f t="shared" si="68"/>
        <v>402</v>
      </c>
      <c r="DG185" s="6">
        <v>341</v>
      </c>
      <c r="DH185" s="6">
        <v>800</v>
      </c>
      <c r="DI185" s="6">
        <f t="shared" si="69"/>
        <v>388</v>
      </c>
      <c r="DJ185" s="6">
        <v>744</v>
      </c>
      <c r="DK185" s="6"/>
      <c r="DL185" s="6">
        <f t="shared" si="70"/>
        <v>403</v>
      </c>
      <c r="DM185" s="6">
        <v>110</v>
      </c>
      <c r="DN185" s="6">
        <v>1000</v>
      </c>
      <c r="DO185" s="6">
        <f t="shared" si="71"/>
        <v>366</v>
      </c>
    </row>
    <row r="186" spans="1:119">
      <c r="A186" s="6">
        <v>182</v>
      </c>
      <c r="B186" s="6">
        <v>702</v>
      </c>
      <c r="C186" s="6"/>
      <c r="D186" s="6">
        <v>119</v>
      </c>
      <c r="E186" s="33" t="s">
        <v>72</v>
      </c>
      <c r="F186" s="33" t="s">
        <v>72</v>
      </c>
      <c r="G186" s="148" t="s">
        <v>102</v>
      </c>
      <c r="H186" s="33" t="s">
        <v>102</v>
      </c>
      <c r="I186" s="33" t="s">
        <v>102</v>
      </c>
      <c r="J186" s="33" t="s">
        <v>102</v>
      </c>
      <c r="K186" s="33" t="s">
        <v>102</v>
      </c>
      <c r="L186" s="33" t="s">
        <v>102</v>
      </c>
      <c r="M186" s="33" t="s">
        <v>102</v>
      </c>
      <c r="N186" s="33" t="s">
        <v>102</v>
      </c>
      <c r="O186" s="33" t="s">
        <v>102</v>
      </c>
      <c r="P186" s="33" t="s">
        <v>102</v>
      </c>
      <c r="Q186" s="33" t="s">
        <v>102</v>
      </c>
      <c r="R186" s="33" t="s">
        <v>102</v>
      </c>
      <c r="S186" s="33" t="s">
        <v>102</v>
      </c>
      <c r="T186" s="33" t="s">
        <v>102</v>
      </c>
      <c r="U186" s="33" t="s">
        <v>102</v>
      </c>
      <c r="V186" s="33" t="s">
        <v>102</v>
      </c>
      <c r="W186" s="33" t="s">
        <v>102</v>
      </c>
      <c r="X186" s="148" t="s">
        <v>102</v>
      </c>
      <c r="Y186" s="33" t="s">
        <v>102</v>
      </c>
      <c r="Z186" s="33" t="s">
        <v>102</v>
      </c>
      <c r="AA186" s="33" t="s">
        <v>102</v>
      </c>
      <c r="AB186" s="33" t="s">
        <v>102</v>
      </c>
      <c r="AC186" s="33" t="s">
        <v>102</v>
      </c>
      <c r="AD186" s="6"/>
      <c r="AE186" s="6"/>
      <c r="AF186" s="35"/>
      <c r="AG186" s="6"/>
      <c r="AH186" s="6"/>
      <c r="AI186" s="35"/>
      <c r="AJ186" s="35"/>
      <c r="AK186" s="35"/>
      <c r="AL186" s="35"/>
      <c r="AM186" s="6">
        <v>945</v>
      </c>
      <c r="AN186" s="6"/>
      <c r="AO186" s="35">
        <f t="shared" si="48"/>
        <v>243</v>
      </c>
      <c r="AP186" s="6">
        <v>292</v>
      </c>
      <c r="AQ186" s="6">
        <v>959</v>
      </c>
      <c r="AR186" s="34">
        <f t="shared" si="49"/>
        <v>306</v>
      </c>
      <c r="AS186" s="35">
        <v>704</v>
      </c>
      <c r="AT186" s="35"/>
      <c r="AU186" s="35">
        <f t="shared" si="50"/>
        <v>412</v>
      </c>
      <c r="AV186" s="6">
        <v>288</v>
      </c>
      <c r="AW186" s="6">
        <v>805</v>
      </c>
      <c r="AX186" s="35">
        <f t="shared" si="51"/>
        <v>389</v>
      </c>
      <c r="AY186" s="6">
        <v>725</v>
      </c>
      <c r="AZ186" s="6"/>
      <c r="BA186" s="35">
        <f t="shared" si="52"/>
        <v>437</v>
      </c>
      <c r="BB186" s="35">
        <v>131</v>
      </c>
      <c r="BC186" s="35">
        <v>1000</v>
      </c>
      <c r="BD186" s="35">
        <f t="shared" si="53"/>
        <v>406</v>
      </c>
      <c r="BE186" s="6"/>
      <c r="BF186" s="6"/>
      <c r="BG186" s="35"/>
      <c r="BH186" s="35">
        <v>527</v>
      </c>
      <c r="BI186" s="6"/>
      <c r="BJ186" s="35">
        <f t="shared" si="54"/>
        <v>396</v>
      </c>
      <c r="BK186" s="6">
        <v>922</v>
      </c>
      <c r="BL186" s="6"/>
      <c r="BM186" s="6">
        <f t="shared" si="55"/>
        <v>395</v>
      </c>
      <c r="BN186" s="6">
        <v>359</v>
      </c>
      <c r="BO186" s="6">
        <v>973</v>
      </c>
      <c r="BP186" s="6">
        <f t="shared" si="56"/>
        <v>410</v>
      </c>
      <c r="BQ186" s="6">
        <v>758</v>
      </c>
      <c r="BR186" s="6"/>
      <c r="BS186" s="35">
        <f t="shared" si="57"/>
        <v>399</v>
      </c>
      <c r="BT186" s="6">
        <v>285</v>
      </c>
      <c r="BU186" s="6">
        <v>867</v>
      </c>
      <c r="BV186" s="6">
        <f t="shared" si="58"/>
        <v>394</v>
      </c>
      <c r="BW186" s="6">
        <v>673</v>
      </c>
      <c r="BX186" s="6"/>
      <c r="BY186" s="35">
        <f t="shared" si="59"/>
        <v>388</v>
      </c>
      <c r="BZ186" s="6"/>
      <c r="CA186" s="6"/>
      <c r="CB186" s="6"/>
      <c r="CC186" s="6">
        <v>70</v>
      </c>
      <c r="CD186" s="6">
        <v>1000</v>
      </c>
      <c r="CE186" s="6">
        <f t="shared" si="60"/>
        <v>397</v>
      </c>
      <c r="CF186" s="6">
        <v>450</v>
      </c>
      <c r="CG186" s="6"/>
      <c r="CH186" s="6">
        <f t="shared" si="61"/>
        <v>380</v>
      </c>
      <c r="CI186" s="6">
        <v>837</v>
      </c>
      <c r="CJ186" s="6"/>
      <c r="CK186" s="6">
        <f t="shared" si="62"/>
        <v>387</v>
      </c>
      <c r="CL186" s="6">
        <v>242</v>
      </c>
      <c r="CM186" s="6">
        <v>1000</v>
      </c>
      <c r="CN186" s="6">
        <f t="shared" si="63"/>
        <v>405</v>
      </c>
      <c r="CO186" s="6">
        <v>647</v>
      </c>
      <c r="CP186" s="6"/>
      <c r="CQ186" s="6">
        <f t="shared" si="64"/>
        <v>405</v>
      </c>
      <c r="CR186" s="6">
        <v>904</v>
      </c>
      <c r="CS186" s="6"/>
      <c r="CT186" s="6">
        <f t="shared" si="65"/>
        <v>257</v>
      </c>
      <c r="CU186" s="6"/>
      <c r="CV186" s="6"/>
      <c r="CW186" s="6"/>
      <c r="CX186" s="6">
        <v>317</v>
      </c>
      <c r="CY186" s="6">
        <v>923</v>
      </c>
      <c r="CZ186" s="6">
        <f t="shared" si="66"/>
        <v>336</v>
      </c>
      <c r="DA186" s="6">
        <v>682</v>
      </c>
      <c r="DB186" s="6"/>
      <c r="DC186" s="6">
        <f t="shared" si="67"/>
        <v>365</v>
      </c>
      <c r="DD186" s="6">
        <v>233</v>
      </c>
      <c r="DE186" s="6">
        <v>800</v>
      </c>
      <c r="DF186" s="6">
        <f t="shared" si="68"/>
        <v>351</v>
      </c>
      <c r="DG186" s="6">
        <v>622</v>
      </c>
      <c r="DH186" s="6"/>
      <c r="DI186" s="6">
        <f t="shared" si="69"/>
        <v>389</v>
      </c>
      <c r="DJ186" s="6">
        <v>214</v>
      </c>
      <c r="DK186" s="6">
        <v>800</v>
      </c>
      <c r="DL186" s="6">
        <f t="shared" si="70"/>
        <v>392</v>
      </c>
      <c r="DM186" s="6">
        <v>32</v>
      </c>
      <c r="DN186" s="6">
        <v>532</v>
      </c>
      <c r="DO186" s="6">
        <f t="shared" si="71"/>
        <v>350</v>
      </c>
    </row>
    <row r="187" spans="1:119">
      <c r="A187" s="6">
        <v>183</v>
      </c>
      <c r="B187" s="6">
        <v>735</v>
      </c>
      <c r="C187" s="6"/>
      <c r="D187" s="6">
        <v>126</v>
      </c>
      <c r="E187" s="33" t="s">
        <v>72</v>
      </c>
      <c r="F187" s="33" t="s">
        <v>72</v>
      </c>
      <c r="G187" s="148" t="s">
        <v>102</v>
      </c>
      <c r="H187" s="33" t="s">
        <v>102</v>
      </c>
      <c r="I187" s="33" t="s">
        <v>102</v>
      </c>
      <c r="J187" s="33" t="s">
        <v>102</v>
      </c>
      <c r="K187" s="33" t="s">
        <v>102</v>
      </c>
      <c r="L187" s="33" t="s">
        <v>102</v>
      </c>
      <c r="M187" s="33" t="s">
        <v>102</v>
      </c>
      <c r="N187" s="33" t="s">
        <v>102</v>
      </c>
      <c r="O187" s="33" t="s">
        <v>102</v>
      </c>
      <c r="P187" s="33" t="s">
        <v>102</v>
      </c>
      <c r="Q187" s="33" t="s">
        <v>102</v>
      </c>
      <c r="R187" s="33" t="s">
        <v>102</v>
      </c>
      <c r="S187" s="33" t="s">
        <v>102</v>
      </c>
      <c r="T187" s="33" t="s">
        <v>102</v>
      </c>
      <c r="U187" s="33" t="s">
        <v>102</v>
      </c>
      <c r="V187" s="33" t="s">
        <v>102</v>
      </c>
      <c r="W187" s="33" t="s">
        <v>102</v>
      </c>
      <c r="X187" s="148" t="s">
        <v>102</v>
      </c>
      <c r="Y187" s="33" t="s">
        <v>102</v>
      </c>
      <c r="Z187" s="33" t="s">
        <v>102</v>
      </c>
      <c r="AA187" s="33" t="s">
        <v>102</v>
      </c>
      <c r="AB187" s="33" t="s">
        <v>102</v>
      </c>
      <c r="AC187" s="33" t="s">
        <v>102</v>
      </c>
      <c r="AD187" s="6"/>
      <c r="AE187" s="6"/>
      <c r="AF187" s="35"/>
      <c r="AG187" s="6"/>
      <c r="AH187" s="6"/>
      <c r="AI187" s="35"/>
      <c r="AJ187" s="35"/>
      <c r="AK187" s="35"/>
      <c r="AL187" s="35"/>
      <c r="AM187" s="6">
        <v>982</v>
      </c>
      <c r="AN187" s="6"/>
      <c r="AO187" s="35">
        <f t="shared" si="48"/>
        <v>247</v>
      </c>
      <c r="AP187" s="6">
        <v>276</v>
      </c>
      <c r="AQ187" s="6">
        <v>1003</v>
      </c>
      <c r="AR187" s="34">
        <f t="shared" si="49"/>
        <v>297</v>
      </c>
      <c r="AS187" s="35">
        <v>691</v>
      </c>
      <c r="AT187" s="35"/>
      <c r="AU187" s="35">
        <f t="shared" si="50"/>
        <v>415</v>
      </c>
      <c r="AV187" s="6">
        <v>310</v>
      </c>
      <c r="AW187" s="6">
        <v>771</v>
      </c>
      <c r="AX187" s="35">
        <f t="shared" si="51"/>
        <v>390</v>
      </c>
      <c r="AY187" s="6">
        <v>685</v>
      </c>
      <c r="AZ187" s="6"/>
      <c r="BA187" s="35">
        <f t="shared" si="52"/>
        <v>375</v>
      </c>
      <c r="BB187" s="35">
        <v>103</v>
      </c>
      <c r="BC187" s="35">
        <v>1000</v>
      </c>
      <c r="BD187" s="35">
        <f t="shared" si="53"/>
        <v>418</v>
      </c>
      <c r="BE187" s="6"/>
      <c r="BF187" s="6"/>
      <c r="BG187" s="35"/>
      <c r="BH187" s="35">
        <v>534</v>
      </c>
      <c r="BI187" s="6"/>
      <c r="BJ187" s="35">
        <f t="shared" si="54"/>
        <v>431</v>
      </c>
      <c r="BK187" s="6">
        <v>949</v>
      </c>
      <c r="BL187" s="6"/>
      <c r="BM187" s="6">
        <f t="shared" si="55"/>
        <v>415</v>
      </c>
      <c r="BN187" s="6">
        <v>339</v>
      </c>
      <c r="BO187" s="6">
        <v>1000</v>
      </c>
      <c r="BP187" s="6">
        <f t="shared" si="56"/>
        <v>390</v>
      </c>
      <c r="BQ187" s="6">
        <v>757</v>
      </c>
      <c r="BR187" s="6"/>
      <c r="BS187" s="35">
        <f t="shared" si="57"/>
        <v>418</v>
      </c>
      <c r="BT187" s="6">
        <v>314</v>
      </c>
      <c r="BU187" s="6">
        <v>792</v>
      </c>
      <c r="BV187" s="6">
        <f t="shared" si="58"/>
        <v>349</v>
      </c>
      <c r="BW187" s="6">
        <v>698</v>
      </c>
      <c r="BX187" s="6"/>
      <c r="BY187" s="35">
        <f t="shared" si="59"/>
        <v>384</v>
      </c>
      <c r="BZ187" s="6"/>
      <c r="CA187" s="6"/>
      <c r="CB187" s="6"/>
      <c r="CC187" s="6">
        <v>262</v>
      </c>
      <c r="CD187" s="6">
        <v>830</v>
      </c>
      <c r="CE187" s="6">
        <f t="shared" si="60"/>
        <v>394</v>
      </c>
      <c r="CF187" s="6">
        <v>621</v>
      </c>
      <c r="CG187" s="6"/>
      <c r="CH187" s="6">
        <f t="shared" si="61"/>
        <v>359</v>
      </c>
      <c r="CI187" s="6">
        <v>18</v>
      </c>
      <c r="CJ187" s="6">
        <v>1000</v>
      </c>
      <c r="CK187" s="6">
        <f t="shared" si="62"/>
        <v>397</v>
      </c>
      <c r="CL187" s="6">
        <v>402</v>
      </c>
      <c r="CM187" s="6"/>
      <c r="CN187" s="6">
        <f t="shared" si="63"/>
        <v>384</v>
      </c>
      <c r="CO187" s="6">
        <v>791</v>
      </c>
      <c r="CP187" s="6"/>
      <c r="CQ187" s="6">
        <f t="shared" si="64"/>
        <v>389</v>
      </c>
      <c r="CR187" s="6">
        <v>0</v>
      </c>
      <c r="CS187" s="6">
        <v>1004</v>
      </c>
      <c r="CT187" s="6">
        <f t="shared" si="65"/>
        <v>213</v>
      </c>
      <c r="CU187" s="6"/>
      <c r="CV187" s="6"/>
      <c r="CW187" s="6"/>
      <c r="CX187" s="6">
        <v>328</v>
      </c>
      <c r="CY187" s="6"/>
      <c r="CZ187" s="6">
        <f t="shared" si="66"/>
        <v>328</v>
      </c>
      <c r="DA187" s="6">
        <v>96</v>
      </c>
      <c r="DB187" s="6">
        <v>571</v>
      </c>
      <c r="DC187" s="6">
        <f t="shared" si="67"/>
        <v>339</v>
      </c>
      <c r="DD187" s="6">
        <v>491</v>
      </c>
      <c r="DE187" s="6"/>
      <c r="DF187" s="6">
        <f t="shared" si="68"/>
        <v>395</v>
      </c>
      <c r="DG187" s="6">
        <v>862</v>
      </c>
      <c r="DH187" s="6"/>
      <c r="DI187" s="6">
        <f t="shared" si="69"/>
        <v>371</v>
      </c>
      <c r="DJ187" s="6">
        <v>243</v>
      </c>
      <c r="DK187" s="6">
        <v>1000</v>
      </c>
      <c r="DL187" s="6">
        <f t="shared" si="70"/>
        <v>381</v>
      </c>
      <c r="DM187" s="6">
        <v>603</v>
      </c>
      <c r="DN187" s="6"/>
      <c r="DO187" s="6">
        <f t="shared" si="71"/>
        <v>360</v>
      </c>
    </row>
    <row r="188" spans="1:119">
      <c r="A188" s="6">
        <v>184</v>
      </c>
      <c r="B188" s="6">
        <v>677</v>
      </c>
      <c r="C188" s="6"/>
      <c r="D188" s="6">
        <v>135</v>
      </c>
      <c r="E188" s="33" t="s">
        <v>291</v>
      </c>
      <c r="F188" s="33" t="s">
        <v>291</v>
      </c>
      <c r="G188" s="33" t="s">
        <v>291</v>
      </c>
      <c r="H188" s="148" t="s">
        <v>102</v>
      </c>
      <c r="I188" s="33" t="s">
        <v>102</v>
      </c>
      <c r="J188" s="33" t="s">
        <v>102</v>
      </c>
      <c r="K188" s="33" t="s">
        <v>102</v>
      </c>
      <c r="L188" s="33" t="s">
        <v>102</v>
      </c>
      <c r="M188" s="33" t="s">
        <v>102</v>
      </c>
      <c r="N188" s="33" t="s">
        <v>102</v>
      </c>
      <c r="O188" s="33" t="s">
        <v>102</v>
      </c>
      <c r="P188" s="33" t="s">
        <v>102</v>
      </c>
      <c r="Q188" s="33" t="s">
        <v>102</v>
      </c>
      <c r="R188" s="33" t="s">
        <v>102</v>
      </c>
      <c r="S188" s="33" t="s">
        <v>102</v>
      </c>
      <c r="T188" s="33" t="s">
        <v>102</v>
      </c>
      <c r="U188" s="33" t="s">
        <v>102</v>
      </c>
      <c r="V188" s="33" t="s">
        <v>102</v>
      </c>
      <c r="W188" s="33" t="s">
        <v>102</v>
      </c>
      <c r="X188" s="33" t="s">
        <v>102</v>
      </c>
      <c r="Y188" s="33" t="s">
        <v>102</v>
      </c>
      <c r="Z188" s="148" t="s">
        <v>102</v>
      </c>
      <c r="AA188" s="33" t="s">
        <v>102</v>
      </c>
      <c r="AB188" s="33" t="s">
        <v>102</v>
      </c>
      <c r="AC188" s="33" t="s">
        <v>102</v>
      </c>
      <c r="AD188" s="6"/>
      <c r="AE188" s="6"/>
      <c r="AF188" s="35"/>
      <c r="AG188" s="6"/>
      <c r="AH188" s="6"/>
      <c r="AI188" s="35"/>
      <c r="AJ188" s="35"/>
      <c r="AK188" s="35"/>
      <c r="AL188" s="35"/>
      <c r="AM188" s="6">
        <v>942</v>
      </c>
      <c r="AN188" s="6"/>
      <c r="AO188" s="35">
        <f t="shared" si="48"/>
        <v>265</v>
      </c>
      <c r="AP188" s="6">
        <v>0</v>
      </c>
      <c r="AQ188" s="6">
        <v>961</v>
      </c>
      <c r="AR188" s="34">
        <f t="shared" si="49"/>
        <v>19</v>
      </c>
      <c r="AS188" s="35">
        <v>245</v>
      </c>
      <c r="AT188" s="35"/>
      <c r="AU188" s="35">
        <f t="shared" si="50"/>
        <v>245</v>
      </c>
      <c r="AV188" s="6">
        <v>643</v>
      </c>
      <c r="AW188" s="6"/>
      <c r="AX188" s="35">
        <f t="shared" si="51"/>
        <v>398</v>
      </c>
      <c r="AY188" s="6">
        <v>266</v>
      </c>
      <c r="AZ188" s="6">
        <v>787</v>
      </c>
      <c r="BA188" s="35">
        <f t="shared" si="52"/>
        <v>410</v>
      </c>
      <c r="BB188" s="35">
        <v>666</v>
      </c>
      <c r="BC188" s="35"/>
      <c r="BD188" s="35">
        <f t="shared" si="53"/>
        <v>400</v>
      </c>
      <c r="BE188" s="6"/>
      <c r="BF188" s="6"/>
      <c r="BG188" s="35"/>
      <c r="BH188" s="35">
        <v>408</v>
      </c>
      <c r="BI188" s="6">
        <v>692</v>
      </c>
      <c r="BJ188" s="35">
        <f t="shared" si="54"/>
        <v>434</v>
      </c>
      <c r="BK188" s="6">
        <v>810</v>
      </c>
      <c r="BL188" s="6"/>
      <c r="BM188" s="6">
        <f t="shared" si="55"/>
        <v>402</v>
      </c>
      <c r="BN188" s="6">
        <v>168</v>
      </c>
      <c r="BO188" s="6">
        <v>1000</v>
      </c>
      <c r="BP188" s="6">
        <f t="shared" si="56"/>
        <v>358</v>
      </c>
      <c r="BQ188" s="6">
        <v>574</v>
      </c>
      <c r="BR188" s="6"/>
      <c r="BS188" s="35">
        <f t="shared" si="57"/>
        <v>406</v>
      </c>
      <c r="BT188" s="6">
        <v>173</v>
      </c>
      <c r="BU188" s="6">
        <v>800</v>
      </c>
      <c r="BV188" s="6">
        <f t="shared" si="58"/>
        <v>399</v>
      </c>
      <c r="BW188" s="6">
        <v>521</v>
      </c>
      <c r="BX188" s="6"/>
      <c r="BY188" s="35">
        <f t="shared" si="59"/>
        <v>348</v>
      </c>
      <c r="BZ188" s="6"/>
      <c r="CA188" s="6"/>
      <c r="CB188" s="6"/>
      <c r="CC188" s="6">
        <v>928</v>
      </c>
      <c r="CD188" s="6"/>
      <c r="CE188" s="6">
        <f t="shared" si="60"/>
        <v>407</v>
      </c>
      <c r="CF188" s="6">
        <v>310</v>
      </c>
      <c r="CG188" s="6">
        <v>1000</v>
      </c>
      <c r="CH188" s="6">
        <f t="shared" si="61"/>
        <v>382</v>
      </c>
      <c r="CI188" s="6">
        <v>718</v>
      </c>
      <c r="CJ188" s="6"/>
      <c r="CK188" s="6">
        <f t="shared" si="62"/>
        <v>408</v>
      </c>
      <c r="CL188" s="6">
        <v>115</v>
      </c>
      <c r="CM188" s="6">
        <v>1000</v>
      </c>
      <c r="CN188" s="6">
        <f t="shared" si="63"/>
        <v>397</v>
      </c>
      <c r="CO188" s="6">
        <v>494</v>
      </c>
      <c r="CP188" s="6"/>
      <c r="CQ188" s="6">
        <f t="shared" si="64"/>
        <v>379</v>
      </c>
      <c r="CR188" s="6">
        <v>839</v>
      </c>
      <c r="CS188" s="6"/>
      <c r="CT188" s="6">
        <f t="shared" si="65"/>
        <v>345</v>
      </c>
      <c r="CU188" s="6"/>
      <c r="CV188" s="6"/>
      <c r="CW188" s="6"/>
      <c r="CX188" s="6">
        <v>242</v>
      </c>
      <c r="CY188" s="6">
        <v>878</v>
      </c>
      <c r="CZ188" s="6">
        <f t="shared" si="66"/>
        <v>281</v>
      </c>
      <c r="DA188" s="6">
        <v>621</v>
      </c>
      <c r="DB188" s="6"/>
      <c r="DC188" s="6">
        <f t="shared" si="67"/>
        <v>379</v>
      </c>
      <c r="DD188" s="6">
        <v>329</v>
      </c>
      <c r="DE188" s="6">
        <v>609</v>
      </c>
      <c r="DF188" s="6">
        <f t="shared" si="68"/>
        <v>317</v>
      </c>
      <c r="DG188" s="6">
        <v>700</v>
      </c>
      <c r="DH188" s="6"/>
      <c r="DI188" s="6">
        <f t="shared" si="69"/>
        <v>371</v>
      </c>
      <c r="DJ188" s="6">
        <v>294</v>
      </c>
      <c r="DK188" s="6">
        <v>800</v>
      </c>
      <c r="DL188" s="6">
        <f t="shared" si="70"/>
        <v>394</v>
      </c>
      <c r="DM188" s="6">
        <v>660</v>
      </c>
      <c r="DN188" s="6"/>
      <c r="DO188" s="6">
        <f t="shared" si="71"/>
        <v>366</v>
      </c>
    </row>
    <row r="189" spans="1:119">
      <c r="A189" s="6">
        <v>185</v>
      </c>
      <c r="B189" s="6">
        <v>1049</v>
      </c>
      <c r="C189" s="6"/>
      <c r="D189" s="6">
        <v>125</v>
      </c>
      <c r="E189" s="33" t="s">
        <v>72</v>
      </c>
      <c r="F189" s="33" t="s">
        <v>72</v>
      </c>
      <c r="G189" s="33" t="s">
        <v>72</v>
      </c>
      <c r="H189" s="148" t="s">
        <v>362</v>
      </c>
      <c r="I189" s="33" t="s">
        <v>362</v>
      </c>
      <c r="J189" s="33" t="s">
        <v>362</v>
      </c>
      <c r="K189" s="33" t="s">
        <v>362</v>
      </c>
      <c r="L189" s="33" t="s">
        <v>362</v>
      </c>
      <c r="M189" s="33" t="s">
        <v>362</v>
      </c>
      <c r="N189" s="33" t="s">
        <v>362</v>
      </c>
      <c r="O189" s="33" t="s">
        <v>362</v>
      </c>
      <c r="P189" s="33" t="s">
        <v>362</v>
      </c>
      <c r="Q189" s="33" t="s">
        <v>362</v>
      </c>
      <c r="R189" s="33" t="s">
        <v>362</v>
      </c>
      <c r="S189" s="33" t="s">
        <v>362</v>
      </c>
      <c r="T189" s="33" t="s">
        <v>362</v>
      </c>
      <c r="U189" s="33" t="s">
        <v>362</v>
      </c>
      <c r="V189" s="33" t="s">
        <v>362</v>
      </c>
      <c r="W189" s="33" t="s">
        <v>362</v>
      </c>
      <c r="X189" s="33" t="s">
        <v>362</v>
      </c>
      <c r="Y189" s="33" t="s">
        <v>362</v>
      </c>
      <c r="Z189" s="33" t="s">
        <v>362</v>
      </c>
      <c r="AA189" s="33" t="s">
        <v>362</v>
      </c>
      <c r="AB189" s="148" t="s">
        <v>362</v>
      </c>
      <c r="AC189" s="33" t="s">
        <v>362</v>
      </c>
      <c r="AD189" s="6"/>
      <c r="AE189" s="6"/>
      <c r="AF189" s="35"/>
      <c r="AG189" s="6"/>
      <c r="AH189" s="6"/>
      <c r="AI189" s="35"/>
      <c r="AJ189" s="35"/>
      <c r="AK189" s="35"/>
      <c r="AL189" s="35"/>
      <c r="AM189" s="6">
        <v>202</v>
      </c>
      <c r="AN189" s="6">
        <v>1100</v>
      </c>
      <c r="AO189" s="35">
        <f t="shared" si="48"/>
        <v>253</v>
      </c>
      <c r="AP189" s="6">
        <v>433</v>
      </c>
      <c r="AQ189" s="6"/>
      <c r="AR189" s="34">
        <f t="shared" si="49"/>
        <v>231</v>
      </c>
      <c r="AS189" s="35">
        <v>187</v>
      </c>
      <c r="AT189" s="35">
        <v>444</v>
      </c>
      <c r="AU189" s="35">
        <f t="shared" si="50"/>
        <v>198</v>
      </c>
      <c r="AV189" s="35">
        <v>452</v>
      </c>
      <c r="AW189" s="6"/>
      <c r="AX189" s="35">
        <f t="shared" si="51"/>
        <v>265</v>
      </c>
      <c r="AY189" s="6">
        <v>761</v>
      </c>
      <c r="AZ189" s="6"/>
      <c r="BA189" s="35">
        <f t="shared" si="52"/>
        <v>309</v>
      </c>
      <c r="BB189" s="35">
        <v>279</v>
      </c>
      <c r="BC189" s="35">
        <v>767</v>
      </c>
      <c r="BD189" s="35">
        <f t="shared" si="53"/>
        <v>285</v>
      </c>
      <c r="BE189" s="6"/>
      <c r="BF189" s="6"/>
      <c r="BG189" s="35"/>
      <c r="BH189" s="35">
        <v>574</v>
      </c>
      <c r="BI189" s="6"/>
      <c r="BJ189" s="35">
        <f t="shared" si="54"/>
        <v>295</v>
      </c>
      <c r="BK189" s="6">
        <v>870</v>
      </c>
      <c r="BL189" s="6"/>
      <c r="BM189" s="6">
        <f t="shared" si="55"/>
        <v>296</v>
      </c>
      <c r="BN189" s="6">
        <v>170</v>
      </c>
      <c r="BO189" s="6">
        <v>1000</v>
      </c>
      <c r="BP189" s="6">
        <f t="shared" si="56"/>
        <v>300</v>
      </c>
      <c r="BQ189" s="6">
        <v>471</v>
      </c>
      <c r="BR189" s="6"/>
      <c r="BS189" s="35">
        <f t="shared" si="57"/>
        <v>301</v>
      </c>
      <c r="BT189" s="6">
        <v>771</v>
      </c>
      <c r="BU189" s="6"/>
      <c r="BV189" s="6">
        <f t="shared" si="58"/>
        <v>300</v>
      </c>
      <c r="BW189" s="6">
        <v>56</v>
      </c>
      <c r="BX189" s="6">
        <v>1000</v>
      </c>
      <c r="BY189" s="35">
        <f t="shared" si="59"/>
        <v>285</v>
      </c>
      <c r="BZ189" s="6"/>
      <c r="CA189" s="6"/>
      <c r="CB189" s="6"/>
      <c r="CC189" s="6">
        <v>187</v>
      </c>
      <c r="CD189" s="6">
        <v>149</v>
      </c>
      <c r="CE189" s="6">
        <f t="shared" si="60"/>
        <v>280</v>
      </c>
      <c r="CF189" s="6">
        <v>480</v>
      </c>
      <c r="CG189" s="6"/>
      <c r="CH189" s="6">
        <f t="shared" si="61"/>
        <v>293</v>
      </c>
      <c r="CI189" s="6">
        <v>774</v>
      </c>
      <c r="CJ189" s="6"/>
      <c r="CK189" s="6">
        <f t="shared" si="62"/>
        <v>294</v>
      </c>
      <c r="CL189" s="6">
        <v>73</v>
      </c>
      <c r="CM189" s="6">
        <v>1000</v>
      </c>
      <c r="CN189" s="6">
        <f t="shared" si="63"/>
        <v>299</v>
      </c>
      <c r="CO189" s="6">
        <v>372</v>
      </c>
      <c r="CP189" s="6"/>
      <c r="CQ189" s="6">
        <f t="shared" si="64"/>
        <v>299</v>
      </c>
      <c r="CR189" s="6">
        <v>658</v>
      </c>
      <c r="CS189" s="6"/>
      <c r="CT189" s="6">
        <f t="shared" si="65"/>
        <v>286</v>
      </c>
      <c r="CU189" s="6"/>
      <c r="CV189" s="6"/>
      <c r="CW189" s="6"/>
      <c r="CX189" s="6">
        <v>962</v>
      </c>
      <c r="CY189" s="6"/>
      <c r="CZ189" s="6">
        <f t="shared" si="66"/>
        <v>304</v>
      </c>
      <c r="DA189" s="6">
        <v>257</v>
      </c>
      <c r="DB189" s="6">
        <v>1000</v>
      </c>
      <c r="DC189" s="6">
        <f t="shared" si="67"/>
        <v>295</v>
      </c>
      <c r="DD189" s="6">
        <v>556</v>
      </c>
      <c r="DE189" s="6"/>
      <c r="DF189" s="6">
        <f t="shared" si="68"/>
        <v>299</v>
      </c>
      <c r="DG189" s="6">
        <v>857</v>
      </c>
      <c r="DH189" s="6"/>
      <c r="DI189" s="6">
        <f t="shared" si="69"/>
        <v>301</v>
      </c>
      <c r="DJ189" s="6">
        <v>227</v>
      </c>
      <c r="DK189" s="6">
        <v>910</v>
      </c>
      <c r="DL189" s="6">
        <f t="shared" si="70"/>
        <v>280</v>
      </c>
      <c r="DM189" s="6">
        <v>495</v>
      </c>
      <c r="DN189" s="6"/>
      <c r="DO189" s="6">
        <f t="shared" si="71"/>
        <v>268</v>
      </c>
    </row>
    <row r="190" spans="1:119" ht="14.25" customHeight="1">
      <c r="A190" s="6">
        <v>186</v>
      </c>
      <c r="B190" s="6">
        <v>949</v>
      </c>
      <c r="C190" s="6"/>
      <c r="D190" s="6">
        <v>131</v>
      </c>
      <c r="E190" s="33" t="s">
        <v>72</v>
      </c>
      <c r="F190" s="33" t="s">
        <v>72</v>
      </c>
      <c r="G190" s="33" t="s">
        <v>72</v>
      </c>
      <c r="H190" s="33" t="s">
        <v>72</v>
      </c>
      <c r="I190" s="148" t="s">
        <v>128</v>
      </c>
      <c r="J190" s="33" t="s">
        <v>128</v>
      </c>
      <c r="K190" s="33" t="s">
        <v>128</v>
      </c>
      <c r="L190" s="148" t="s">
        <v>37</v>
      </c>
      <c r="M190" s="33" t="s">
        <v>37</v>
      </c>
      <c r="N190" s="33" t="s">
        <v>37</v>
      </c>
      <c r="O190" s="33" t="s">
        <v>37</v>
      </c>
      <c r="P190" s="148" t="s">
        <v>132</v>
      </c>
      <c r="Q190" s="33" t="s">
        <v>132</v>
      </c>
      <c r="R190" s="33" t="s">
        <v>132</v>
      </c>
      <c r="S190" s="33" t="s">
        <v>132</v>
      </c>
      <c r="T190" s="33" t="s">
        <v>132</v>
      </c>
      <c r="U190" s="33" t="s">
        <v>132</v>
      </c>
      <c r="V190" s="33" t="s">
        <v>132</v>
      </c>
      <c r="W190" s="33" t="s">
        <v>132</v>
      </c>
      <c r="X190" s="33" t="s">
        <v>132</v>
      </c>
      <c r="Y190" s="33" t="s">
        <v>132</v>
      </c>
      <c r="Z190" s="33" t="s">
        <v>132</v>
      </c>
      <c r="AA190" s="33" t="s">
        <v>132</v>
      </c>
      <c r="AB190" s="148" t="s">
        <v>307</v>
      </c>
      <c r="AC190" s="33" t="s">
        <v>307</v>
      </c>
      <c r="AD190" s="35"/>
      <c r="AE190" s="35"/>
      <c r="AF190" s="35"/>
      <c r="AG190" s="35"/>
      <c r="AH190" s="35"/>
      <c r="AI190" s="35"/>
      <c r="AJ190" s="35"/>
      <c r="AK190" s="35"/>
      <c r="AL190" s="35"/>
      <c r="AM190" s="6">
        <v>109</v>
      </c>
      <c r="AN190" s="6">
        <v>1100</v>
      </c>
      <c r="AO190" s="35">
        <f t="shared" si="48"/>
        <v>260</v>
      </c>
      <c r="AP190" s="6">
        <v>344</v>
      </c>
      <c r="AQ190" s="6"/>
      <c r="AR190" s="34">
        <f t="shared" si="49"/>
        <v>235</v>
      </c>
      <c r="AS190" s="35">
        <v>589</v>
      </c>
      <c r="AT190" s="35"/>
      <c r="AU190" s="35">
        <f t="shared" si="50"/>
        <v>245</v>
      </c>
      <c r="AV190" s="6">
        <v>0</v>
      </c>
      <c r="AW190" s="6">
        <v>638</v>
      </c>
      <c r="AX190" s="35">
        <f t="shared" si="51"/>
        <v>49</v>
      </c>
      <c r="AY190" s="6">
        <v>316</v>
      </c>
      <c r="AZ190" s="6"/>
      <c r="BA190" s="35">
        <f t="shared" si="52"/>
        <v>316</v>
      </c>
      <c r="BB190" s="6">
        <v>550</v>
      </c>
      <c r="BC190" s="6"/>
      <c r="BD190" s="35">
        <f t="shared" si="53"/>
        <v>234</v>
      </c>
      <c r="BE190" s="6"/>
      <c r="BF190" s="6"/>
      <c r="BG190" s="35"/>
      <c r="BH190" s="35">
        <v>345</v>
      </c>
      <c r="BI190" s="6">
        <v>550</v>
      </c>
      <c r="BJ190" s="35">
        <f t="shared" si="54"/>
        <v>345</v>
      </c>
      <c r="BK190" s="35">
        <v>715</v>
      </c>
      <c r="BL190" s="35"/>
      <c r="BM190" s="6">
        <f t="shared" si="55"/>
        <v>370</v>
      </c>
      <c r="BN190" s="6">
        <v>1105</v>
      </c>
      <c r="BO190" s="6"/>
      <c r="BP190" s="6">
        <f t="shared" si="56"/>
        <v>390</v>
      </c>
      <c r="BQ190" s="6">
        <v>1486</v>
      </c>
      <c r="BR190" s="6"/>
      <c r="BS190" s="35">
        <f t="shared" si="57"/>
        <v>381</v>
      </c>
      <c r="BT190" s="6">
        <v>289</v>
      </c>
      <c r="BU190" s="6">
        <v>1560</v>
      </c>
      <c r="BV190" s="6">
        <f t="shared" si="58"/>
        <v>363</v>
      </c>
      <c r="BW190" s="6">
        <v>318</v>
      </c>
      <c r="BX190" s="6">
        <v>377</v>
      </c>
      <c r="BY190" s="35">
        <f t="shared" si="59"/>
        <v>406</v>
      </c>
      <c r="BZ190" s="6"/>
      <c r="CA190" s="35"/>
      <c r="CB190" s="6"/>
      <c r="CC190" s="6">
        <v>767</v>
      </c>
      <c r="CD190" s="6"/>
      <c r="CE190" s="6">
        <f t="shared" si="60"/>
        <v>449</v>
      </c>
      <c r="CF190" s="6">
        <v>1185</v>
      </c>
      <c r="CG190" s="35"/>
      <c r="CH190" s="6">
        <f t="shared" si="61"/>
        <v>418</v>
      </c>
      <c r="CI190" s="6">
        <v>98</v>
      </c>
      <c r="CJ190" s="6">
        <v>1500</v>
      </c>
      <c r="CK190" s="6">
        <f t="shared" si="62"/>
        <v>413</v>
      </c>
      <c r="CL190" s="6">
        <v>495</v>
      </c>
      <c r="CM190" s="6"/>
      <c r="CN190" s="6">
        <f t="shared" si="63"/>
        <v>397</v>
      </c>
      <c r="CO190" s="6">
        <v>923</v>
      </c>
      <c r="CP190" s="6"/>
      <c r="CQ190" s="6">
        <f t="shared" si="64"/>
        <v>428</v>
      </c>
      <c r="CR190" s="35">
        <v>1333</v>
      </c>
      <c r="CS190" s="6"/>
      <c r="CT190" s="6">
        <f t="shared" si="65"/>
        <v>410</v>
      </c>
      <c r="CU190" s="6"/>
      <c r="CV190" s="6"/>
      <c r="CW190" s="6"/>
      <c r="CX190" s="6">
        <v>138</v>
      </c>
      <c r="CY190" s="6">
        <v>1560</v>
      </c>
      <c r="CZ190" s="6">
        <f t="shared" si="66"/>
        <v>365</v>
      </c>
      <c r="DA190" s="6">
        <v>502</v>
      </c>
      <c r="DB190" s="6"/>
      <c r="DC190" s="6">
        <f t="shared" si="67"/>
        <v>364</v>
      </c>
      <c r="DD190" s="6">
        <v>47</v>
      </c>
      <c r="DE190" s="6">
        <v>790</v>
      </c>
      <c r="DF190" s="6">
        <f t="shared" si="68"/>
        <v>335</v>
      </c>
      <c r="DG190" s="6">
        <v>0</v>
      </c>
      <c r="DH190" s="6">
        <v>160</v>
      </c>
      <c r="DI190" s="6">
        <f t="shared" si="69"/>
        <v>113</v>
      </c>
      <c r="DJ190" s="6">
        <v>344</v>
      </c>
      <c r="DK190" s="6"/>
      <c r="DL190" s="6">
        <f t="shared" si="70"/>
        <v>344</v>
      </c>
      <c r="DM190" s="6">
        <v>688</v>
      </c>
      <c r="DN190" s="6"/>
      <c r="DO190" s="6">
        <f t="shared" si="71"/>
        <v>344</v>
      </c>
    </row>
    <row r="191" spans="1:119">
      <c r="A191" s="6">
        <v>187</v>
      </c>
      <c r="B191" s="6">
        <v>918</v>
      </c>
      <c r="C191" s="6"/>
      <c r="D191" s="6">
        <v>125</v>
      </c>
      <c r="E191" s="33" t="s">
        <v>72</v>
      </c>
      <c r="F191" s="33" t="s">
        <v>72</v>
      </c>
      <c r="G191" s="33" t="s">
        <v>72</v>
      </c>
      <c r="H191" s="148" t="s">
        <v>362</v>
      </c>
      <c r="I191" s="33" t="s">
        <v>362</v>
      </c>
      <c r="J191" s="33" t="s">
        <v>362</v>
      </c>
      <c r="K191" s="33" t="s">
        <v>362</v>
      </c>
      <c r="L191" s="33" t="s">
        <v>362</v>
      </c>
      <c r="M191" s="33" t="s">
        <v>362</v>
      </c>
      <c r="N191" s="33" t="s">
        <v>362</v>
      </c>
      <c r="O191" s="33" t="s">
        <v>362</v>
      </c>
      <c r="P191" s="33" t="s">
        <v>362</v>
      </c>
      <c r="Q191" s="33" t="s">
        <v>362</v>
      </c>
      <c r="R191" s="33" t="s">
        <v>362</v>
      </c>
      <c r="S191" s="33" t="s">
        <v>362</v>
      </c>
      <c r="T191" s="33" t="s">
        <v>362</v>
      </c>
      <c r="U191" s="33" t="s">
        <v>362</v>
      </c>
      <c r="V191" s="33" t="s">
        <v>362</v>
      </c>
      <c r="W191" s="33" t="s">
        <v>362</v>
      </c>
      <c r="X191" s="33" t="s">
        <v>362</v>
      </c>
      <c r="Y191" s="33" t="s">
        <v>362</v>
      </c>
      <c r="Z191" s="33" t="s">
        <v>362</v>
      </c>
      <c r="AA191" s="33" t="s">
        <v>362</v>
      </c>
      <c r="AB191" s="33" t="s">
        <v>362</v>
      </c>
      <c r="AC191" s="148" t="s">
        <v>362</v>
      </c>
      <c r="AD191" s="6"/>
      <c r="AE191" s="6"/>
      <c r="AF191" s="35"/>
      <c r="AG191" s="6"/>
      <c r="AH191" s="6"/>
      <c r="AI191" s="35"/>
      <c r="AJ191" s="35"/>
      <c r="AK191" s="35"/>
      <c r="AL191" s="35"/>
      <c r="AM191" s="6">
        <v>72</v>
      </c>
      <c r="AN191" s="6">
        <v>1100</v>
      </c>
      <c r="AO191" s="35">
        <f t="shared" si="48"/>
        <v>254</v>
      </c>
      <c r="AP191" s="6">
        <v>299</v>
      </c>
      <c r="AQ191" s="6"/>
      <c r="AR191" s="34">
        <f t="shared" si="49"/>
        <v>227</v>
      </c>
      <c r="AS191" s="35">
        <v>173</v>
      </c>
      <c r="AT191" s="35">
        <v>311</v>
      </c>
      <c r="AU191" s="35">
        <f t="shared" si="50"/>
        <v>185</v>
      </c>
      <c r="AV191" s="35">
        <v>427</v>
      </c>
      <c r="AW191" s="6"/>
      <c r="AX191" s="35">
        <f t="shared" si="51"/>
        <v>254</v>
      </c>
      <c r="AY191" s="6">
        <v>11</v>
      </c>
      <c r="AZ191" s="6">
        <v>481</v>
      </c>
      <c r="BA191" s="35">
        <f t="shared" si="52"/>
        <v>65</v>
      </c>
      <c r="BB191" s="35">
        <v>144</v>
      </c>
      <c r="BC191" s="35"/>
      <c r="BD191" s="35">
        <f t="shared" si="53"/>
        <v>133</v>
      </c>
      <c r="BE191" s="6"/>
      <c r="BF191" s="6"/>
      <c r="BG191" s="35"/>
      <c r="BH191" s="35">
        <v>454</v>
      </c>
      <c r="BI191" s="6"/>
      <c r="BJ191" s="35">
        <f t="shared" si="54"/>
        <v>310</v>
      </c>
      <c r="BK191" s="6">
        <v>758</v>
      </c>
      <c r="BL191" s="6"/>
      <c r="BM191" s="6">
        <f t="shared" si="55"/>
        <v>304</v>
      </c>
      <c r="BN191" s="6">
        <v>63</v>
      </c>
      <c r="BO191" s="7">
        <v>1000</v>
      </c>
      <c r="BP191" s="7">
        <f t="shared" si="56"/>
        <v>305</v>
      </c>
      <c r="BQ191" s="7">
        <v>368</v>
      </c>
      <c r="BR191" s="7"/>
      <c r="BS191" s="35">
        <f t="shared" si="57"/>
        <v>305</v>
      </c>
      <c r="BT191" s="6">
        <v>679</v>
      </c>
      <c r="BU191" s="6"/>
      <c r="BV191" s="6">
        <f t="shared" si="58"/>
        <v>311</v>
      </c>
      <c r="BW191" s="6">
        <v>977</v>
      </c>
      <c r="BX191" s="6"/>
      <c r="BY191" s="35">
        <f t="shared" si="59"/>
        <v>298</v>
      </c>
      <c r="BZ191" s="6"/>
      <c r="CA191" s="6"/>
      <c r="CB191" s="6"/>
      <c r="CC191" s="6">
        <v>291</v>
      </c>
      <c r="CD191" s="6">
        <v>1000</v>
      </c>
      <c r="CE191" s="6">
        <f t="shared" si="60"/>
        <v>314</v>
      </c>
      <c r="CF191" s="6">
        <v>593</v>
      </c>
      <c r="CG191" s="6"/>
      <c r="CH191" s="6">
        <f t="shared" si="61"/>
        <v>302</v>
      </c>
      <c r="CI191" s="6">
        <v>907</v>
      </c>
      <c r="CJ191" s="6"/>
      <c r="CK191" s="6">
        <f t="shared" si="62"/>
        <v>314</v>
      </c>
      <c r="CL191" s="6">
        <v>216</v>
      </c>
      <c r="CM191" s="6">
        <v>1000</v>
      </c>
      <c r="CN191" s="6">
        <f t="shared" si="63"/>
        <v>309</v>
      </c>
      <c r="CO191" s="6">
        <v>521</v>
      </c>
      <c r="CP191" s="6"/>
      <c r="CQ191" s="6">
        <f t="shared" si="64"/>
        <v>305</v>
      </c>
      <c r="CR191" s="6">
        <v>818</v>
      </c>
      <c r="CS191" s="6"/>
      <c r="CT191" s="6">
        <f t="shared" si="65"/>
        <v>297</v>
      </c>
      <c r="CU191" s="6"/>
      <c r="CV191" s="6"/>
      <c r="CW191" s="6"/>
      <c r="CX191" s="6">
        <v>129</v>
      </c>
      <c r="CY191" s="6">
        <v>1000</v>
      </c>
      <c r="CZ191" s="6">
        <f t="shared" si="66"/>
        <v>311</v>
      </c>
      <c r="DA191" s="6">
        <v>439</v>
      </c>
      <c r="DB191" s="6"/>
      <c r="DC191" s="6">
        <f t="shared" si="67"/>
        <v>310</v>
      </c>
      <c r="DD191" s="6">
        <v>751</v>
      </c>
      <c r="DE191" s="6"/>
      <c r="DF191" s="6">
        <f t="shared" si="68"/>
        <v>312</v>
      </c>
      <c r="DG191" s="6">
        <v>62</v>
      </c>
      <c r="DH191" s="6">
        <v>1000</v>
      </c>
      <c r="DI191" s="6">
        <f t="shared" si="69"/>
        <v>311</v>
      </c>
      <c r="DJ191" s="6">
        <v>374</v>
      </c>
      <c r="DK191" s="6"/>
      <c r="DL191" s="6">
        <f t="shared" si="70"/>
        <v>312</v>
      </c>
      <c r="DM191" s="6">
        <v>262</v>
      </c>
      <c r="DN191" s="6">
        <v>379</v>
      </c>
      <c r="DO191" s="6">
        <f t="shared" si="71"/>
        <v>267</v>
      </c>
    </row>
    <row r="192" spans="1:119">
      <c r="A192" s="6">
        <v>188</v>
      </c>
      <c r="B192" s="6">
        <v>706</v>
      </c>
      <c r="C192" s="6"/>
      <c r="D192" s="6">
        <v>124</v>
      </c>
      <c r="E192" s="141" t="s">
        <v>72</v>
      </c>
      <c r="F192" s="141" t="s">
        <v>72</v>
      </c>
      <c r="G192" s="141" t="s">
        <v>72</v>
      </c>
      <c r="H192" s="141" t="s">
        <v>72</v>
      </c>
      <c r="I192" s="163" t="s">
        <v>132</v>
      </c>
      <c r="J192" s="141" t="s">
        <v>132</v>
      </c>
      <c r="K192" s="141" t="s">
        <v>132</v>
      </c>
      <c r="L192" s="141" t="s">
        <v>132</v>
      </c>
      <c r="M192" s="141" t="s">
        <v>132</v>
      </c>
      <c r="N192" s="141" t="s">
        <v>132</v>
      </c>
      <c r="O192" s="141" t="s">
        <v>132</v>
      </c>
      <c r="P192" s="141" t="s">
        <v>132</v>
      </c>
      <c r="Q192" s="141" t="s">
        <v>132</v>
      </c>
      <c r="R192" s="141" t="s">
        <v>132</v>
      </c>
      <c r="S192" s="141" t="s">
        <v>132</v>
      </c>
      <c r="T192" s="141" t="s">
        <v>132</v>
      </c>
      <c r="U192" s="163" t="s">
        <v>307</v>
      </c>
      <c r="V192" s="141" t="s">
        <v>307</v>
      </c>
      <c r="W192" s="141" t="s">
        <v>307</v>
      </c>
      <c r="X192" s="141" t="s">
        <v>307</v>
      </c>
      <c r="Y192" s="141" t="s">
        <v>307</v>
      </c>
      <c r="Z192" s="141" t="s">
        <v>307</v>
      </c>
      <c r="AA192" s="141" t="s">
        <v>307</v>
      </c>
      <c r="AB192" s="141" t="s">
        <v>307</v>
      </c>
      <c r="AC192" s="141" t="s">
        <v>307</v>
      </c>
      <c r="AD192" s="6"/>
      <c r="AE192" s="6"/>
      <c r="AF192" s="35"/>
      <c r="AG192" s="6"/>
      <c r="AH192" s="6"/>
      <c r="AI192" s="35"/>
      <c r="AJ192" s="35"/>
      <c r="AK192" s="35"/>
      <c r="AL192" s="35"/>
      <c r="AM192" s="6">
        <v>957</v>
      </c>
      <c r="AN192" s="6"/>
      <c r="AO192" s="35">
        <f t="shared" si="48"/>
        <v>251</v>
      </c>
      <c r="AP192" s="6">
        <v>88</v>
      </c>
      <c r="AQ192" s="6">
        <v>1100</v>
      </c>
      <c r="AR192" s="34">
        <f t="shared" si="49"/>
        <v>231</v>
      </c>
      <c r="AS192" s="35">
        <v>323</v>
      </c>
      <c r="AT192" s="35"/>
      <c r="AU192" s="35">
        <f t="shared" si="50"/>
        <v>235</v>
      </c>
      <c r="AV192" s="6">
        <v>243</v>
      </c>
      <c r="AW192" s="6">
        <v>376</v>
      </c>
      <c r="AX192" s="35">
        <f t="shared" si="51"/>
        <v>296</v>
      </c>
      <c r="AY192" s="35">
        <v>117</v>
      </c>
      <c r="AZ192" s="6">
        <v>501</v>
      </c>
      <c r="BA192" s="35">
        <f t="shared" si="52"/>
        <v>375</v>
      </c>
      <c r="BB192" s="35">
        <v>483</v>
      </c>
      <c r="BC192" s="35"/>
      <c r="BD192" s="35">
        <f t="shared" si="53"/>
        <v>366</v>
      </c>
      <c r="BE192" s="6"/>
      <c r="BF192" s="6"/>
      <c r="BG192" s="35"/>
      <c r="BH192" s="35">
        <v>868</v>
      </c>
      <c r="BI192" s="6"/>
      <c r="BJ192" s="35">
        <f t="shared" si="54"/>
        <v>385</v>
      </c>
      <c r="BK192" s="6">
        <v>336</v>
      </c>
      <c r="BL192" s="6">
        <v>914</v>
      </c>
      <c r="BM192" s="6">
        <f t="shared" si="55"/>
        <v>382</v>
      </c>
      <c r="BN192" s="6">
        <v>723</v>
      </c>
      <c r="BO192" s="7"/>
      <c r="BP192" s="7">
        <f t="shared" si="56"/>
        <v>387</v>
      </c>
      <c r="BQ192" s="7">
        <v>1115</v>
      </c>
      <c r="BR192" s="7"/>
      <c r="BS192" s="35">
        <f t="shared" si="57"/>
        <v>392</v>
      </c>
      <c r="BT192" s="6">
        <v>9</v>
      </c>
      <c r="BU192" s="6">
        <v>1500</v>
      </c>
      <c r="BV192" s="6">
        <f t="shared" si="58"/>
        <v>394</v>
      </c>
      <c r="BW192" s="6">
        <v>384</v>
      </c>
      <c r="BX192" s="6"/>
      <c r="BY192" s="35">
        <f t="shared" si="59"/>
        <v>375</v>
      </c>
      <c r="BZ192" s="6"/>
      <c r="CA192" s="6"/>
      <c r="CB192" s="6"/>
      <c r="CC192" s="6">
        <v>781</v>
      </c>
      <c r="CD192" s="6"/>
      <c r="CE192" s="6">
        <f t="shared" si="60"/>
        <v>397</v>
      </c>
      <c r="CF192" s="6">
        <v>1169</v>
      </c>
      <c r="CG192" s="6"/>
      <c r="CH192" s="6">
        <f t="shared" si="61"/>
        <v>388</v>
      </c>
      <c r="CI192" s="6">
        <v>0</v>
      </c>
      <c r="CJ192" s="6">
        <v>1410</v>
      </c>
      <c r="CK192" s="6">
        <f t="shared" si="62"/>
        <v>241</v>
      </c>
      <c r="CL192" s="6">
        <v>272</v>
      </c>
      <c r="CM192" s="6"/>
      <c r="CN192" s="6">
        <f t="shared" si="63"/>
        <v>272</v>
      </c>
      <c r="CO192" s="6">
        <v>620</v>
      </c>
      <c r="CP192" s="6"/>
      <c r="CQ192" s="6">
        <f t="shared" si="64"/>
        <v>348</v>
      </c>
      <c r="CR192" s="6">
        <v>964</v>
      </c>
      <c r="CS192" s="6"/>
      <c r="CT192" s="6">
        <f t="shared" si="65"/>
        <v>344</v>
      </c>
      <c r="CU192" s="6"/>
      <c r="CV192" s="6"/>
      <c r="CW192" s="6"/>
      <c r="CX192" s="6">
        <v>113</v>
      </c>
      <c r="CY192" s="6">
        <v>1202</v>
      </c>
      <c r="CZ192" s="6">
        <f t="shared" si="66"/>
        <v>351</v>
      </c>
      <c r="DA192" s="6">
        <v>466</v>
      </c>
      <c r="DB192" s="6"/>
      <c r="DC192" s="6">
        <f t="shared" si="67"/>
        <v>353</v>
      </c>
      <c r="DD192" s="6">
        <v>829</v>
      </c>
      <c r="DE192" s="6"/>
      <c r="DF192" s="6">
        <f t="shared" si="68"/>
        <v>363</v>
      </c>
      <c r="DG192" s="6">
        <v>1191</v>
      </c>
      <c r="DH192" s="6"/>
      <c r="DI192" s="6">
        <f t="shared" si="69"/>
        <v>362</v>
      </c>
      <c r="DJ192" s="6">
        <v>1551</v>
      </c>
      <c r="DK192" s="6"/>
      <c r="DL192" s="6">
        <f t="shared" si="70"/>
        <v>360</v>
      </c>
      <c r="DM192" s="6">
        <v>317</v>
      </c>
      <c r="DN192" s="6">
        <v>1560</v>
      </c>
      <c r="DO192" s="6">
        <f t="shared" si="71"/>
        <v>326</v>
      </c>
    </row>
    <row r="193" spans="1:119">
      <c r="A193" s="6">
        <v>189</v>
      </c>
      <c r="B193" s="6">
        <v>232</v>
      </c>
      <c r="C193" s="6"/>
      <c r="D193" s="6">
        <v>135</v>
      </c>
      <c r="E193" s="33" t="s">
        <v>291</v>
      </c>
      <c r="F193" s="33" t="s">
        <v>291</v>
      </c>
      <c r="G193" s="33" t="s">
        <v>291</v>
      </c>
      <c r="H193" s="33" t="s">
        <v>291</v>
      </c>
      <c r="I193" s="33" t="s">
        <v>291</v>
      </c>
      <c r="J193" s="33" t="s">
        <v>291</v>
      </c>
      <c r="K193" s="33" t="s">
        <v>291</v>
      </c>
      <c r="L193" s="33" t="s">
        <v>291</v>
      </c>
      <c r="M193" s="33" t="s">
        <v>291</v>
      </c>
      <c r="N193" s="148" t="s">
        <v>307</v>
      </c>
      <c r="O193" s="33" t="s">
        <v>307</v>
      </c>
      <c r="P193" s="33" t="s">
        <v>307</v>
      </c>
      <c r="Q193" s="148" t="s">
        <v>102</v>
      </c>
      <c r="R193" s="33" t="s">
        <v>102</v>
      </c>
      <c r="S193" s="33" t="s">
        <v>102</v>
      </c>
      <c r="T193" s="33" t="s">
        <v>102</v>
      </c>
      <c r="U193" s="33" t="s">
        <v>102</v>
      </c>
      <c r="V193" s="33" t="s">
        <v>102</v>
      </c>
      <c r="W193" s="33" t="s">
        <v>102</v>
      </c>
      <c r="X193" s="33" t="s">
        <v>102</v>
      </c>
      <c r="Y193" s="33" t="s">
        <v>102</v>
      </c>
      <c r="Z193" s="33" t="s">
        <v>102</v>
      </c>
      <c r="AA193" s="33" t="s">
        <v>102</v>
      </c>
      <c r="AB193" s="33" t="s">
        <v>102</v>
      </c>
      <c r="AC193" s="33" t="s">
        <v>102</v>
      </c>
      <c r="AD193" s="6"/>
      <c r="AE193" s="6"/>
      <c r="AF193" s="35"/>
      <c r="AG193" s="6"/>
      <c r="AH193" s="6"/>
      <c r="AI193" s="35"/>
      <c r="AJ193" s="35"/>
      <c r="AK193" s="35"/>
      <c r="AL193" s="35"/>
      <c r="AM193" s="6">
        <v>506</v>
      </c>
      <c r="AN193" s="6"/>
      <c r="AO193" s="35">
        <f t="shared" si="48"/>
        <v>274</v>
      </c>
      <c r="AP193" s="6">
        <v>752</v>
      </c>
      <c r="AQ193" s="6"/>
      <c r="AR193" s="34">
        <f t="shared" si="49"/>
        <v>246</v>
      </c>
      <c r="AS193" s="35">
        <v>1006</v>
      </c>
      <c r="AT193" s="35"/>
      <c r="AU193" s="35">
        <f t="shared" si="50"/>
        <v>254</v>
      </c>
      <c r="AV193" s="6">
        <v>162</v>
      </c>
      <c r="AW193" s="6">
        <v>1100</v>
      </c>
      <c r="AX193" s="35">
        <f t="shared" si="51"/>
        <v>256</v>
      </c>
      <c r="AY193" s="6">
        <v>418</v>
      </c>
      <c r="AZ193" s="6"/>
      <c r="BA193" s="35">
        <f>AZ193+AY193-AV193</f>
        <v>256</v>
      </c>
      <c r="BB193" s="35">
        <v>665</v>
      </c>
      <c r="BC193" s="35"/>
      <c r="BD193" s="35">
        <f t="shared" si="53"/>
        <v>247</v>
      </c>
      <c r="BE193" s="6"/>
      <c r="BF193" s="6"/>
      <c r="BG193" s="35"/>
      <c r="BH193" s="35">
        <v>150</v>
      </c>
      <c r="BI193" s="6">
        <v>767</v>
      </c>
      <c r="BJ193" s="35">
        <f t="shared" si="54"/>
        <v>252</v>
      </c>
      <c r="BK193" s="6">
        <v>403</v>
      </c>
      <c r="BL193" s="6"/>
      <c r="BM193" s="6">
        <f t="shared" si="55"/>
        <v>253</v>
      </c>
      <c r="BN193" s="6">
        <v>273</v>
      </c>
      <c r="BO193" s="7">
        <v>458</v>
      </c>
      <c r="BP193" s="7">
        <f t="shared" si="56"/>
        <v>328</v>
      </c>
      <c r="BQ193" s="7">
        <v>658</v>
      </c>
      <c r="BR193" s="7"/>
      <c r="BS193" s="35">
        <f t="shared" si="57"/>
        <v>385</v>
      </c>
      <c r="BT193" s="6">
        <v>1049</v>
      </c>
      <c r="BU193" s="6"/>
      <c r="BV193" s="6">
        <f t="shared" si="58"/>
        <v>391</v>
      </c>
      <c r="BW193" s="6">
        <v>275</v>
      </c>
      <c r="BX193" s="6">
        <v>1134</v>
      </c>
      <c r="BY193" s="35">
        <f t="shared" si="59"/>
        <v>360</v>
      </c>
      <c r="BZ193" s="35"/>
      <c r="CA193" s="6"/>
      <c r="CB193" s="6"/>
      <c r="CC193" s="6">
        <v>325</v>
      </c>
      <c r="CD193" s="6">
        <v>334</v>
      </c>
      <c r="CE193" s="6">
        <f t="shared" si="60"/>
        <v>384</v>
      </c>
      <c r="CF193" s="6">
        <v>4</v>
      </c>
      <c r="CG193" s="6">
        <v>730</v>
      </c>
      <c r="CH193" s="6">
        <f t="shared" si="61"/>
        <v>409</v>
      </c>
      <c r="CI193" s="6">
        <v>325</v>
      </c>
      <c r="CJ193" s="6"/>
      <c r="CK193" s="6">
        <f t="shared" si="62"/>
        <v>321</v>
      </c>
      <c r="CL193" s="6">
        <v>741</v>
      </c>
      <c r="CM193" s="6"/>
      <c r="CN193" s="6">
        <f t="shared" si="63"/>
        <v>416</v>
      </c>
      <c r="CO193" s="6">
        <v>120</v>
      </c>
      <c r="CP193" s="6">
        <v>1000</v>
      </c>
      <c r="CQ193" s="6">
        <f t="shared" si="64"/>
        <v>379</v>
      </c>
      <c r="CR193" s="6">
        <v>514</v>
      </c>
      <c r="CS193" s="6"/>
      <c r="CT193" s="6">
        <f t="shared" si="65"/>
        <v>394</v>
      </c>
      <c r="CU193" s="6"/>
      <c r="CV193" s="6"/>
      <c r="CW193" s="6"/>
      <c r="CX193" s="6">
        <v>122</v>
      </c>
      <c r="CY193" s="6">
        <v>800</v>
      </c>
      <c r="CZ193" s="6">
        <f t="shared" si="66"/>
        <v>408</v>
      </c>
      <c r="DA193" s="6">
        <v>505</v>
      </c>
      <c r="DB193" s="6"/>
      <c r="DC193" s="6">
        <f t="shared" si="67"/>
        <v>383</v>
      </c>
      <c r="DD193" s="6">
        <v>93</v>
      </c>
      <c r="DE193" s="6">
        <v>800</v>
      </c>
      <c r="DF193" s="6">
        <f t="shared" si="68"/>
        <v>388</v>
      </c>
      <c r="DG193" s="6">
        <v>500</v>
      </c>
      <c r="DH193" s="6"/>
      <c r="DI193" s="6">
        <f t="shared" si="69"/>
        <v>407</v>
      </c>
      <c r="DJ193" s="6">
        <v>902</v>
      </c>
      <c r="DK193" s="6"/>
      <c r="DL193" s="6">
        <f t="shared" si="70"/>
        <v>402</v>
      </c>
      <c r="DM193" s="6">
        <v>274</v>
      </c>
      <c r="DN193" s="6">
        <v>1000</v>
      </c>
      <c r="DO193" s="6">
        <f t="shared" si="71"/>
        <v>372</v>
      </c>
    </row>
    <row r="194" spans="1:119">
      <c r="A194" s="6">
        <v>190</v>
      </c>
      <c r="B194" s="6">
        <v>96</v>
      </c>
      <c r="C194" s="6"/>
      <c r="D194" s="6">
        <v>96</v>
      </c>
      <c r="E194" s="148" t="s">
        <v>291</v>
      </c>
      <c r="F194" s="33" t="s">
        <v>291</v>
      </c>
      <c r="G194" s="33" t="s">
        <v>291</v>
      </c>
      <c r="H194" s="33" t="s">
        <v>291</v>
      </c>
      <c r="I194" s="33" t="s">
        <v>291</v>
      </c>
      <c r="J194" s="33" t="s">
        <v>291</v>
      </c>
      <c r="K194" s="33" t="s">
        <v>291</v>
      </c>
      <c r="L194" s="33" t="s">
        <v>291</v>
      </c>
      <c r="M194" s="148" t="s">
        <v>37</v>
      </c>
      <c r="N194" s="33" t="s">
        <v>37</v>
      </c>
      <c r="O194" s="33" t="s">
        <v>37</v>
      </c>
      <c r="P194" s="33" t="s">
        <v>37</v>
      </c>
      <c r="Q194" s="148" t="s">
        <v>102</v>
      </c>
      <c r="R194" s="33" t="s">
        <v>102</v>
      </c>
      <c r="S194" s="33" t="s">
        <v>102</v>
      </c>
      <c r="T194" s="33" t="s">
        <v>102</v>
      </c>
      <c r="U194" s="33" t="s">
        <v>102</v>
      </c>
      <c r="V194" s="33" t="s">
        <v>102</v>
      </c>
      <c r="W194" s="33" t="s">
        <v>102</v>
      </c>
      <c r="X194" s="33" t="s">
        <v>102</v>
      </c>
      <c r="Y194" s="33" t="s">
        <v>102</v>
      </c>
      <c r="Z194" s="33" t="s">
        <v>102</v>
      </c>
      <c r="AA194" s="33" t="s">
        <v>102</v>
      </c>
      <c r="AB194" s="33" t="s">
        <v>102</v>
      </c>
      <c r="AC194" s="33" t="s">
        <v>102</v>
      </c>
      <c r="AD194" s="6"/>
      <c r="AE194" s="6"/>
      <c r="AF194" s="35"/>
      <c r="AG194" s="6"/>
      <c r="AH194" s="6"/>
      <c r="AI194" s="35"/>
      <c r="AJ194" s="35"/>
      <c r="AK194" s="35"/>
      <c r="AL194" s="35"/>
      <c r="AM194" s="6">
        <v>353</v>
      </c>
      <c r="AN194" s="6"/>
      <c r="AO194" s="35">
        <f t="shared" si="48"/>
        <v>257</v>
      </c>
      <c r="AP194" s="6">
        <v>584</v>
      </c>
      <c r="AQ194" s="6"/>
      <c r="AR194" s="34">
        <f t="shared" si="49"/>
        <v>231</v>
      </c>
      <c r="AS194" s="35">
        <v>820</v>
      </c>
      <c r="AT194" s="35"/>
      <c r="AU194" s="35">
        <f t="shared" si="50"/>
        <v>236</v>
      </c>
      <c r="AV194" s="6">
        <v>1057</v>
      </c>
      <c r="AW194" s="6"/>
      <c r="AX194" s="35">
        <f t="shared" si="51"/>
        <v>237</v>
      </c>
      <c r="AY194" s="6">
        <v>193</v>
      </c>
      <c r="AZ194" s="6">
        <v>1100</v>
      </c>
      <c r="BA194" s="35">
        <f t="shared" si="52"/>
        <v>236</v>
      </c>
      <c r="BB194" s="35">
        <v>425</v>
      </c>
      <c r="BC194" s="35"/>
      <c r="BD194" s="35">
        <f t="shared" si="53"/>
        <v>232</v>
      </c>
      <c r="BE194" s="35"/>
      <c r="BF194" s="6"/>
      <c r="BG194" s="35"/>
      <c r="BH194" s="35">
        <v>665</v>
      </c>
      <c r="BI194" s="6"/>
      <c r="BJ194" s="35">
        <f>BI194+BH194-BB194</f>
        <v>240</v>
      </c>
      <c r="BK194" s="6">
        <v>322</v>
      </c>
      <c r="BL194" s="6">
        <v>667</v>
      </c>
      <c r="BM194" s="6">
        <f t="shared" si="55"/>
        <v>324</v>
      </c>
      <c r="BN194" s="6">
        <v>692</v>
      </c>
      <c r="BO194" s="7"/>
      <c r="BP194" s="7">
        <f t="shared" si="56"/>
        <v>370</v>
      </c>
      <c r="BQ194" s="7">
        <v>1066</v>
      </c>
      <c r="BR194" s="7"/>
      <c r="BS194" s="35">
        <f t="shared" si="57"/>
        <v>374</v>
      </c>
      <c r="BT194" s="6">
        <v>1444</v>
      </c>
      <c r="BU194" s="6"/>
      <c r="BV194" s="6">
        <f t="shared" si="58"/>
        <v>378</v>
      </c>
      <c r="BW194" s="35">
        <v>264</v>
      </c>
      <c r="BX194" s="6">
        <v>1519</v>
      </c>
      <c r="BY194" s="35">
        <f t="shared" si="59"/>
        <v>339</v>
      </c>
      <c r="BZ194" s="35"/>
      <c r="CA194" s="6"/>
      <c r="CB194" s="6"/>
      <c r="CC194" s="6">
        <v>705</v>
      </c>
      <c r="CD194" s="6"/>
      <c r="CE194" s="6">
        <f t="shared" si="60"/>
        <v>441</v>
      </c>
      <c r="CF194" s="6">
        <v>130</v>
      </c>
      <c r="CG194" s="6">
        <v>1000</v>
      </c>
      <c r="CH194" s="6">
        <f t="shared" si="61"/>
        <v>425</v>
      </c>
      <c r="CI194" s="6">
        <v>531</v>
      </c>
      <c r="CJ194" s="6"/>
      <c r="CK194" s="6">
        <f t="shared" si="62"/>
        <v>401</v>
      </c>
      <c r="CL194" s="6">
        <v>928</v>
      </c>
      <c r="CM194" s="6"/>
      <c r="CN194" s="6">
        <f t="shared" si="63"/>
        <v>397</v>
      </c>
      <c r="CO194" s="6">
        <v>311</v>
      </c>
      <c r="CP194" s="6">
        <v>1000</v>
      </c>
      <c r="CQ194" s="6">
        <f t="shared" si="64"/>
        <v>383</v>
      </c>
      <c r="CR194" s="6">
        <v>669</v>
      </c>
      <c r="CS194" s="6"/>
      <c r="CT194" s="6">
        <f t="shared" si="65"/>
        <v>358</v>
      </c>
      <c r="CU194" s="6"/>
      <c r="CV194" s="6"/>
      <c r="CW194" s="6"/>
      <c r="CX194" s="6">
        <v>209</v>
      </c>
      <c r="CY194" s="6">
        <v>800</v>
      </c>
      <c r="CZ194" s="6">
        <f t="shared" si="66"/>
        <v>340</v>
      </c>
      <c r="DA194" s="6">
        <v>586</v>
      </c>
      <c r="DB194" s="6"/>
      <c r="DC194" s="6">
        <f t="shared" si="67"/>
        <v>377</v>
      </c>
      <c r="DD194" s="6">
        <v>118</v>
      </c>
      <c r="DE194" s="6">
        <v>800</v>
      </c>
      <c r="DF194" s="6">
        <f t="shared" si="68"/>
        <v>332</v>
      </c>
      <c r="DG194" s="6">
        <v>500</v>
      </c>
      <c r="DH194" s="6"/>
      <c r="DI194" s="6">
        <f t="shared" si="69"/>
        <v>382</v>
      </c>
      <c r="DJ194" s="6">
        <v>905</v>
      </c>
      <c r="DK194" s="6"/>
      <c r="DL194" s="6">
        <f t="shared" si="70"/>
        <v>405</v>
      </c>
      <c r="DM194" s="6">
        <v>259</v>
      </c>
      <c r="DN194" s="6">
        <v>1000</v>
      </c>
      <c r="DO194" s="6">
        <f t="shared" si="71"/>
        <v>354</v>
      </c>
    </row>
    <row r="195" spans="1:119">
      <c r="A195" s="6">
        <v>191</v>
      </c>
      <c r="B195" s="6">
        <v>557</v>
      </c>
      <c r="C195" s="6"/>
      <c r="D195" s="6">
        <v>123</v>
      </c>
      <c r="E195" s="33" t="s">
        <v>291</v>
      </c>
      <c r="F195" s="33" t="s">
        <v>291</v>
      </c>
      <c r="G195" s="33" t="s">
        <v>291</v>
      </c>
      <c r="H195" s="33" t="s">
        <v>291</v>
      </c>
      <c r="I195" s="33" t="s">
        <v>291</v>
      </c>
      <c r="J195" s="33" t="s">
        <v>291</v>
      </c>
      <c r="K195" s="33" t="s">
        <v>291</v>
      </c>
      <c r="L195" s="33" t="s">
        <v>291</v>
      </c>
      <c r="M195" s="33" t="s">
        <v>291</v>
      </c>
      <c r="N195" s="148" t="s">
        <v>37</v>
      </c>
      <c r="O195" s="33" t="s">
        <v>37</v>
      </c>
      <c r="P195" s="33" t="s">
        <v>37</v>
      </c>
      <c r="Q195" s="33" t="s">
        <v>37</v>
      </c>
      <c r="R195" s="148" t="s">
        <v>102</v>
      </c>
      <c r="S195" s="33" t="s">
        <v>102</v>
      </c>
      <c r="T195" s="33" t="s">
        <v>102</v>
      </c>
      <c r="U195" s="33" t="s">
        <v>102</v>
      </c>
      <c r="V195" s="33" t="s">
        <v>102</v>
      </c>
      <c r="W195" s="33" t="s">
        <v>102</v>
      </c>
      <c r="X195" s="33" t="s">
        <v>102</v>
      </c>
      <c r="Y195" s="33" t="s">
        <v>102</v>
      </c>
      <c r="Z195" s="33" t="s">
        <v>102</v>
      </c>
      <c r="AA195" s="33" t="s">
        <v>102</v>
      </c>
      <c r="AB195" s="33" t="s">
        <v>102</v>
      </c>
      <c r="AC195" s="33" t="s">
        <v>102</v>
      </c>
      <c r="AD195" s="35"/>
      <c r="AE195" s="35"/>
      <c r="AF195" s="35"/>
      <c r="AG195" s="35"/>
      <c r="AH195" s="35"/>
      <c r="AI195" s="35"/>
      <c r="AJ195" s="35"/>
      <c r="AK195" s="35"/>
      <c r="AL195" s="35"/>
      <c r="AM195" s="6">
        <v>810</v>
      </c>
      <c r="AN195" s="6"/>
      <c r="AO195" s="35">
        <f t="shared" si="48"/>
        <v>253</v>
      </c>
      <c r="AP195" s="6">
        <v>150</v>
      </c>
      <c r="AQ195" s="6">
        <v>873</v>
      </c>
      <c r="AR195" s="34">
        <f t="shared" si="49"/>
        <v>213</v>
      </c>
      <c r="AS195" s="35">
        <v>385</v>
      </c>
      <c r="AT195" s="35"/>
      <c r="AU195" s="35">
        <f t="shared" si="50"/>
        <v>235</v>
      </c>
      <c r="AV195" s="6">
        <v>621</v>
      </c>
      <c r="AW195" s="6"/>
      <c r="AX195" s="35">
        <f t="shared" si="51"/>
        <v>236</v>
      </c>
      <c r="AY195" s="6">
        <v>861</v>
      </c>
      <c r="AZ195" s="6"/>
      <c r="BA195" s="35">
        <f t="shared" si="52"/>
        <v>240</v>
      </c>
      <c r="BB195" s="35">
        <v>1091</v>
      </c>
      <c r="BC195" s="35"/>
      <c r="BD195" s="35">
        <f t="shared" si="53"/>
        <v>230</v>
      </c>
      <c r="BE195" s="6"/>
      <c r="BF195" s="6"/>
      <c r="BG195" s="35"/>
      <c r="BH195" s="35">
        <v>231</v>
      </c>
      <c r="BI195" s="6">
        <v>1100</v>
      </c>
      <c r="BJ195" s="35">
        <f t="shared" si="54"/>
        <v>240</v>
      </c>
      <c r="BK195" s="6">
        <v>0</v>
      </c>
      <c r="BL195" s="6">
        <v>467</v>
      </c>
      <c r="BM195" s="6">
        <f t="shared" si="55"/>
        <v>236</v>
      </c>
      <c r="BN195" s="6">
        <v>335</v>
      </c>
      <c r="BO195" s="7"/>
      <c r="BP195" s="7">
        <f t="shared" si="56"/>
        <v>335</v>
      </c>
      <c r="BQ195" s="7">
        <v>718</v>
      </c>
      <c r="BR195" s="7"/>
      <c r="BS195" s="35">
        <f t="shared" si="57"/>
        <v>383</v>
      </c>
      <c r="BT195" s="6">
        <v>1097</v>
      </c>
      <c r="BU195" s="6"/>
      <c r="BV195" s="6">
        <f t="shared" si="58"/>
        <v>379</v>
      </c>
      <c r="BW195" s="35">
        <v>1459</v>
      </c>
      <c r="BX195" s="6"/>
      <c r="BY195" s="35">
        <f t="shared" si="59"/>
        <v>362</v>
      </c>
      <c r="BZ195" s="6"/>
      <c r="CA195" s="6"/>
      <c r="CB195" s="6"/>
      <c r="CC195" s="6">
        <v>283</v>
      </c>
      <c r="CD195" s="6">
        <v>1501</v>
      </c>
      <c r="CE195" s="6">
        <f t="shared" si="60"/>
        <v>325</v>
      </c>
      <c r="CF195" s="6">
        <v>661</v>
      </c>
      <c r="CG195" s="6"/>
      <c r="CH195" s="6">
        <f t="shared" si="61"/>
        <v>378</v>
      </c>
      <c r="CI195" s="6">
        <v>107</v>
      </c>
      <c r="CJ195" s="6">
        <v>1000</v>
      </c>
      <c r="CK195" s="6">
        <f t="shared" si="62"/>
        <v>446</v>
      </c>
      <c r="CL195" s="6">
        <v>506</v>
      </c>
      <c r="CM195" s="6"/>
      <c r="CN195" s="6">
        <f t="shared" si="63"/>
        <v>399</v>
      </c>
      <c r="CO195" s="6">
        <v>142</v>
      </c>
      <c r="CP195" s="6">
        <v>680</v>
      </c>
      <c r="CQ195" s="6">
        <f t="shared" si="64"/>
        <v>316</v>
      </c>
      <c r="CR195" s="6">
        <v>541</v>
      </c>
      <c r="CS195" s="6"/>
      <c r="CT195" s="6">
        <f t="shared" si="65"/>
        <v>399</v>
      </c>
      <c r="CU195" s="6"/>
      <c r="CV195" s="6"/>
      <c r="CW195" s="6"/>
      <c r="CX195" s="6">
        <v>228</v>
      </c>
      <c r="CY195" s="6">
        <v>605</v>
      </c>
      <c r="CZ195" s="6">
        <f t="shared" si="66"/>
        <v>292</v>
      </c>
      <c r="DA195" s="6">
        <v>544</v>
      </c>
      <c r="DB195" s="6"/>
      <c r="DC195" s="6">
        <f t="shared" si="67"/>
        <v>316</v>
      </c>
      <c r="DD195" s="6">
        <v>664</v>
      </c>
      <c r="DE195" s="6"/>
      <c r="DF195" s="6">
        <f t="shared" si="68"/>
        <v>120</v>
      </c>
      <c r="DG195" s="6">
        <v>252</v>
      </c>
      <c r="DH195" s="6">
        <v>758</v>
      </c>
      <c r="DI195" s="6">
        <f t="shared" si="69"/>
        <v>346</v>
      </c>
      <c r="DJ195" s="6">
        <v>134</v>
      </c>
      <c r="DK195" s="6">
        <v>508</v>
      </c>
      <c r="DL195" s="6">
        <f t="shared" si="70"/>
        <v>390</v>
      </c>
      <c r="DM195" s="6">
        <v>455</v>
      </c>
      <c r="DN195" s="6"/>
      <c r="DO195" s="6">
        <f t="shared" si="71"/>
        <v>321</v>
      </c>
    </row>
    <row r="196" spans="1:119">
      <c r="A196" s="6">
        <v>192</v>
      </c>
      <c r="B196" s="6">
        <v>149</v>
      </c>
      <c r="C196" s="6"/>
      <c r="D196" s="6">
        <v>122</v>
      </c>
      <c r="E196" s="33" t="s">
        <v>72</v>
      </c>
      <c r="F196" s="33" t="s">
        <v>72</v>
      </c>
      <c r="G196" s="33" t="s">
        <v>72</v>
      </c>
      <c r="H196" s="33" t="s">
        <v>72</v>
      </c>
      <c r="I196" s="33" t="s">
        <v>72</v>
      </c>
      <c r="J196" s="33" t="s">
        <v>72</v>
      </c>
      <c r="K196" s="33" t="s">
        <v>72</v>
      </c>
      <c r="L196" s="33" t="s">
        <v>72</v>
      </c>
      <c r="M196" s="33" t="s">
        <v>72</v>
      </c>
      <c r="N196" s="148" t="s">
        <v>37</v>
      </c>
      <c r="O196" s="33" t="s">
        <v>37</v>
      </c>
      <c r="P196" s="33" t="s">
        <v>37</v>
      </c>
      <c r="Q196" s="33" t="s">
        <v>37</v>
      </c>
      <c r="R196" s="148" t="s">
        <v>102</v>
      </c>
      <c r="S196" s="33" t="s">
        <v>102</v>
      </c>
      <c r="T196" s="33" t="s">
        <v>102</v>
      </c>
      <c r="U196" s="33" t="s">
        <v>102</v>
      </c>
      <c r="V196" s="33" t="s">
        <v>102</v>
      </c>
      <c r="W196" s="33" t="s">
        <v>102</v>
      </c>
      <c r="X196" s="33" t="s">
        <v>102</v>
      </c>
      <c r="Y196" s="33" t="s">
        <v>102</v>
      </c>
      <c r="Z196" s="148" t="s">
        <v>307</v>
      </c>
      <c r="AA196" s="33" t="s">
        <v>307</v>
      </c>
      <c r="AB196" s="33" t="s">
        <v>307</v>
      </c>
      <c r="AC196" s="33" t="s">
        <v>307</v>
      </c>
      <c r="AD196" s="6"/>
      <c r="AE196" s="6"/>
      <c r="AF196" s="35"/>
      <c r="AG196" s="6"/>
      <c r="AH196" s="6"/>
      <c r="AI196" s="35"/>
      <c r="AJ196" s="35"/>
      <c r="AK196" s="35"/>
      <c r="AL196" s="35"/>
      <c r="AM196" s="6">
        <v>401</v>
      </c>
      <c r="AN196" s="6"/>
      <c r="AO196" s="35">
        <f t="shared" si="48"/>
        <v>252</v>
      </c>
      <c r="AP196" s="6">
        <v>617</v>
      </c>
      <c r="AQ196" s="6"/>
      <c r="AR196" s="34">
        <f t="shared" si="49"/>
        <v>216</v>
      </c>
      <c r="AS196" s="35">
        <v>853</v>
      </c>
      <c r="AT196" s="35"/>
      <c r="AU196" s="35">
        <f t="shared" si="50"/>
        <v>236</v>
      </c>
      <c r="AV196" s="6">
        <v>1089</v>
      </c>
      <c r="AW196" s="6"/>
      <c r="AX196" s="35">
        <f t="shared" si="51"/>
        <v>236</v>
      </c>
      <c r="AY196" s="6">
        <v>227</v>
      </c>
      <c r="AZ196" s="6">
        <v>1100</v>
      </c>
      <c r="BA196" s="35">
        <f t="shared" si="52"/>
        <v>238</v>
      </c>
      <c r="BB196" s="35">
        <v>441</v>
      </c>
      <c r="BC196" s="35"/>
      <c r="BD196" s="35">
        <f t="shared" si="53"/>
        <v>214</v>
      </c>
      <c r="BE196" s="6"/>
      <c r="BF196" s="6"/>
      <c r="BG196" s="35"/>
      <c r="BH196" s="35">
        <v>232</v>
      </c>
      <c r="BI196" s="6">
        <v>445</v>
      </c>
      <c r="BJ196" s="35">
        <f t="shared" si="54"/>
        <v>236</v>
      </c>
      <c r="BK196" s="6">
        <v>467</v>
      </c>
      <c r="BL196" s="6"/>
      <c r="BM196" s="6">
        <f t="shared" si="55"/>
        <v>235</v>
      </c>
      <c r="BN196" s="6">
        <v>306</v>
      </c>
      <c r="BO196" s="7">
        <v>469</v>
      </c>
      <c r="BP196" s="7">
        <f t="shared" si="56"/>
        <v>308</v>
      </c>
      <c r="BQ196" s="7">
        <v>684</v>
      </c>
      <c r="BR196" s="7"/>
      <c r="BS196" s="35">
        <f t="shared" si="57"/>
        <v>378</v>
      </c>
      <c r="BT196" s="6">
        <v>1065</v>
      </c>
      <c r="BU196" s="6"/>
      <c r="BV196" s="6">
        <f t="shared" si="58"/>
        <v>381</v>
      </c>
      <c r="BW196" s="35">
        <v>1423</v>
      </c>
      <c r="BX196" s="6"/>
      <c r="BY196" s="35">
        <f t="shared" si="59"/>
        <v>358</v>
      </c>
      <c r="BZ196" s="6"/>
      <c r="CA196" s="6"/>
      <c r="CB196" s="6"/>
      <c r="CC196" s="6">
        <v>350</v>
      </c>
      <c r="CD196" s="6">
        <v>1464</v>
      </c>
      <c r="CE196" s="6">
        <f t="shared" si="60"/>
        <v>391</v>
      </c>
      <c r="CF196" s="6">
        <v>778</v>
      </c>
      <c r="CG196" s="6"/>
      <c r="CH196" s="6">
        <f t="shared" si="61"/>
        <v>428</v>
      </c>
      <c r="CI196" s="6">
        <v>202</v>
      </c>
      <c r="CJ196" s="6">
        <v>1000</v>
      </c>
      <c r="CK196" s="6">
        <f t="shared" si="62"/>
        <v>424</v>
      </c>
      <c r="CL196" s="6">
        <v>595</v>
      </c>
      <c r="CM196" s="6"/>
      <c r="CN196" s="6">
        <f t="shared" si="63"/>
        <v>393</v>
      </c>
      <c r="CO196" s="6">
        <v>71</v>
      </c>
      <c r="CP196" s="6">
        <v>764</v>
      </c>
      <c r="CQ196" s="6">
        <f t="shared" si="64"/>
        <v>240</v>
      </c>
      <c r="CR196" s="6">
        <v>392</v>
      </c>
      <c r="CS196" s="6"/>
      <c r="CT196" s="6">
        <f t="shared" si="65"/>
        <v>321</v>
      </c>
      <c r="CU196" s="6"/>
      <c r="CV196" s="6"/>
      <c r="CW196" s="6"/>
      <c r="CX196" s="6">
        <v>529</v>
      </c>
      <c r="CY196" s="6"/>
      <c r="CZ196" s="6">
        <f t="shared" si="66"/>
        <v>137</v>
      </c>
      <c r="DA196" s="6">
        <v>609</v>
      </c>
      <c r="DB196" s="6"/>
      <c r="DC196" s="6">
        <f t="shared" si="67"/>
        <v>80</v>
      </c>
      <c r="DD196" s="6">
        <v>301</v>
      </c>
      <c r="DE196" s="6">
        <v>609</v>
      </c>
      <c r="DF196" s="6">
        <f t="shared" si="68"/>
        <v>301</v>
      </c>
      <c r="DG196" s="6">
        <v>677</v>
      </c>
      <c r="DH196" s="6"/>
      <c r="DI196" s="6">
        <f t="shared" si="69"/>
        <v>376</v>
      </c>
      <c r="DJ196" s="6">
        <v>1059</v>
      </c>
      <c r="DK196" s="6"/>
      <c r="DL196" s="6">
        <f t="shared" si="70"/>
        <v>382</v>
      </c>
      <c r="DM196" s="6">
        <v>1404</v>
      </c>
      <c r="DN196" s="6"/>
      <c r="DO196" s="6">
        <f t="shared" si="71"/>
        <v>345</v>
      </c>
    </row>
    <row r="197" spans="1:119">
      <c r="A197" s="6">
        <v>193</v>
      </c>
      <c r="B197" s="6">
        <v>431</v>
      </c>
      <c r="C197" s="6"/>
      <c r="D197" s="6">
        <v>126</v>
      </c>
      <c r="E197" s="33" t="s">
        <v>72</v>
      </c>
      <c r="F197" s="33" t="s">
        <v>72</v>
      </c>
      <c r="G197" s="33" t="s">
        <v>72</v>
      </c>
      <c r="H197" s="33" t="s">
        <v>72</v>
      </c>
      <c r="I197" s="33" t="s">
        <v>72</v>
      </c>
      <c r="J197" s="33" t="s">
        <v>72</v>
      </c>
      <c r="K197" s="33" t="s">
        <v>72</v>
      </c>
      <c r="L197" s="33" t="s">
        <v>72</v>
      </c>
      <c r="M197" s="148" t="s">
        <v>37</v>
      </c>
      <c r="N197" s="33" t="s">
        <v>37</v>
      </c>
      <c r="O197" s="33" t="s">
        <v>37</v>
      </c>
      <c r="P197" s="33" t="s">
        <v>37</v>
      </c>
      <c r="Q197" s="33" t="s">
        <v>37</v>
      </c>
      <c r="R197" s="33" t="s">
        <v>37</v>
      </c>
      <c r="S197" s="33" t="s">
        <v>37</v>
      </c>
      <c r="T197" s="33" t="s">
        <v>37</v>
      </c>
      <c r="U197" s="33" t="s">
        <v>37</v>
      </c>
      <c r="V197" s="33" t="s">
        <v>37</v>
      </c>
      <c r="W197" s="33" t="s">
        <v>37</v>
      </c>
      <c r="X197" s="33" t="s">
        <v>37</v>
      </c>
      <c r="Y197" s="33" t="s">
        <v>37</v>
      </c>
      <c r="Z197" s="33" t="s">
        <v>37</v>
      </c>
      <c r="AA197" s="148" t="s">
        <v>102</v>
      </c>
      <c r="AB197" s="33" t="s">
        <v>102</v>
      </c>
      <c r="AC197" s="33" t="s">
        <v>102</v>
      </c>
      <c r="AD197" s="6"/>
      <c r="AE197" s="6"/>
      <c r="AF197" s="35"/>
      <c r="AG197" s="6"/>
      <c r="AH197" s="6"/>
      <c r="AI197" s="35"/>
      <c r="AJ197" s="35"/>
      <c r="AK197" s="35"/>
      <c r="AL197" s="35"/>
      <c r="AM197" s="6">
        <v>669</v>
      </c>
      <c r="AN197" s="6"/>
      <c r="AO197" s="35">
        <f t="shared" ref="AO197:AO220" si="72">AN197+AM197-B197</f>
        <v>238</v>
      </c>
      <c r="AP197" s="6">
        <v>904</v>
      </c>
      <c r="AQ197" s="6"/>
      <c r="AR197" s="34">
        <f t="shared" si="49"/>
        <v>235</v>
      </c>
      <c r="AS197" s="35">
        <v>134</v>
      </c>
      <c r="AT197" s="35">
        <v>971</v>
      </c>
      <c r="AU197" s="35">
        <f t="shared" si="50"/>
        <v>201</v>
      </c>
      <c r="AV197" s="6">
        <v>373</v>
      </c>
      <c r="AW197" s="6"/>
      <c r="AX197" s="35">
        <f t="shared" si="51"/>
        <v>239</v>
      </c>
      <c r="AY197" s="6">
        <v>615</v>
      </c>
      <c r="AZ197" s="6"/>
      <c r="BA197" s="35">
        <f t="shared" si="52"/>
        <v>242</v>
      </c>
      <c r="BB197" s="35">
        <v>846</v>
      </c>
      <c r="BC197" s="35"/>
      <c r="BD197" s="35">
        <f t="shared" si="53"/>
        <v>231</v>
      </c>
      <c r="BE197" s="6"/>
      <c r="BF197" s="6"/>
      <c r="BG197" s="35"/>
      <c r="BH197" s="35">
        <v>1090</v>
      </c>
      <c r="BI197" s="6"/>
      <c r="BJ197" s="35">
        <f t="shared" si="54"/>
        <v>244</v>
      </c>
      <c r="BK197" s="6">
        <v>339</v>
      </c>
      <c r="BL197" s="6">
        <v>1091</v>
      </c>
      <c r="BM197" s="6">
        <f t="shared" si="55"/>
        <v>340</v>
      </c>
      <c r="BN197" s="6">
        <v>717</v>
      </c>
      <c r="BO197" s="7"/>
      <c r="BP197" s="7">
        <f t="shared" si="56"/>
        <v>378</v>
      </c>
      <c r="BQ197" s="7">
        <v>1103</v>
      </c>
      <c r="BR197" s="7"/>
      <c r="BS197" s="35">
        <f t="shared" si="57"/>
        <v>386</v>
      </c>
      <c r="BT197" s="6">
        <v>81</v>
      </c>
      <c r="BU197" s="6">
        <v>1387</v>
      </c>
      <c r="BV197" s="6">
        <f t="shared" si="58"/>
        <v>365</v>
      </c>
      <c r="BW197" s="35">
        <v>451</v>
      </c>
      <c r="BX197" s="6"/>
      <c r="BY197" s="35">
        <f t="shared" si="59"/>
        <v>370</v>
      </c>
      <c r="BZ197" s="6"/>
      <c r="CA197" s="6"/>
      <c r="CB197" s="6"/>
      <c r="CC197" s="6">
        <v>849</v>
      </c>
      <c r="CD197" s="6"/>
      <c r="CE197" s="6">
        <f t="shared" si="60"/>
        <v>398</v>
      </c>
      <c r="CF197" s="6">
        <v>1240</v>
      </c>
      <c r="CG197" s="6"/>
      <c r="CH197" s="6">
        <f t="shared" si="61"/>
        <v>391</v>
      </c>
      <c r="CI197" s="6">
        <v>70</v>
      </c>
      <c r="CJ197" s="6">
        <v>1560</v>
      </c>
      <c r="CK197" s="6">
        <f t="shared" si="62"/>
        <v>390</v>
      </c>
      <c r="CL197" s="6">
        <v>431</v>
      </c>
      <c r="CM197" s="6"/>
      <c r="CN197" s="6">
        <f t="shared" si="63"/>
        <v>361</v>
      </c>
      <c r="CO197" s="6">
        <v>796</v>
      </c>
      <c r="CP197" s="6"/>
      <c r="CQ197" s="6">
        <f t="shared" si="64"/>
        <v>365</v>
      </c>
      <c r="CR197" s="6">
        <v>1148</v>
      </c>
      <c r="CS197" s="6"/>
      <c r="CT197" s="6">
        <f t="shared" si="65"/>
        <v>352</v>
      </c>
      <c r="CU197" s="6"/>
      <c r="CV197" s="6"/>
      <c r="CW197" s="6"/>
      <c r="CX197" s="6">
        <v>1513</v>
      </c>
      <c r="CY197" s="6"/>
      <c r="CZ197" s="6">
        <f t="shared" si="66"/>
        <v>365</v>
      </c>
      <c r="DA197" s="6">
        <v>320</v>
      </c>
      <c r="DB197" s="6">
        <v>1560</v>
      </c>
      <c r="DC197" s="6">
        <f t="shared" si="67"/>
        <v>367</v>
      </c>
      <c r="DD197" s="6">
        <v>685</v>
      </c>
      <c r="DE197" s="6"/>
      <c r="DF197" s="6">
        <f t="shared" si="68"/>
        <v>365</v>
      </c>
      <c r="DG197" s="6">
        <v>373</v>
      </c>
      <c r="DH197" s="6">
        <v>705</v>
      </c>
      <c r="DI197" s="6">
        <f t="shared" si="69"/>
        <v>393</v>
      </c>
      <c r="DJ197" s="6">
        <v>793</v>
      </c>
      <c r="DK197" s="6"/>
      <c r="DL197" s="6">
        <f t="shared" si="70"/>
        <v>420</v>
      </c>
      <c r="DM197" s="6">
        <v>168</v>
      </c>
      <c r="DN197" s="6">
        <v>1000</v>
      </c>
      <c r="DO197" s="6">
        <f t="shared" si="71"/>
        <v>375</v>
      </c>
    </row>
    <row r="198" spans="1:119">
      <c r="A198" s="6">
        <v>194</v>
      </c>
      <c r="B198" s="6">
        <v>774</v>
      </c>
      <c r="C198" s="6"/>
      <c r="D198" s="6">
        <v>126</v>
      </c>
      <c r="E198" s="33" t="s">
        <v>72</v>
      </c>
      <c r="F198" s="33" t="s">
        <v>72</v>
      </c>
      <c r="G198" s="33" t="s">
        <v>72</v>
      </c>
      <c r="H198" s="33" t="s">
        <v>72</v>
      </c>
      <c r="I198" s="33" t="s">
        <v>72</v>
      </c>
      <c r="J198" s="33" t="s">
        <v>72</v>
      </c>
      <c r="K198" s="33" t="s">
        <v>72</v>
      </c>
      <c r="L198" s="33" t="s">
        <v>72</v>
      </c>
      <c r="M198" s="33" t="s">
        <v>72</v>
      </c>
      <c r="N198" s="148" t="s">
        <v>37</v>
      </c>
      <c r="O198" s="33" t="s">
        <v>37</v>
      </c>
      <c r="P198" s="33" t="s">
        <v>37</v>
      </c>
      <c r="Q198" s="33" t="s">
        <v>37</v>
      </c>
      <c r="R198" s="33" t="s">
        <v>37</v>
      </c>
      <c r="S198" s="33" t="s">
        <v>37</v>
      </c>
      <c r="T198" s="33" t="s">
        <v>37</v>
      </c>
      <c r="U198" s="33" t="s">
        <v>37</v>
      </c>
      <c r="V198" s="33" t="s">
        <v>37</v>
      </c>
      <c r="W198" s="33" t="s">
        <v>37</v>
      </c>
      <c r="X198" s="33" t="s">
        <v>37</v>
      </c>
      <c r="Y198" s="33" t="s">
        <v>37</v>
      </c>
      <c r="Z198" s="33" t="s">
        <v>37</v>
      </c>
      <c r="AA198" s="33" t="s">
        <v>37</v>
      </c>
      <c r="AB198" s="33" t="s">
        <v>37</v>
      </c>
      <c r="AC198" s="33" t="s">
        <v>37</v>
      </c>
      <c r="AD198" s="6"/>
      <c r="AE198" s="6"/>
      <c r="AF198" s="35"/>
      <c r="AG198" s="6"/>
      <c r="AH198" s="6"/>
      <c r="AI198" s="35"/>
      <c r="AJ198" s="35"/>
      <c r="AK198" s="35"/>
      <c r="AL198" s="35"/>
      <c r="AM198" s="6">
        <v>1028</v>
      </c>
      <c r="AN198" s="6"/>
      <c r="AO198" s="35">
        <f t="shared" si="72"/>
        <v>254</v>
      </c>
      <c r="AP198" s="6">
        <v>160</v>
      </c>
      <c r="AQ198" s="6">
        <v>1100</v>
      </c>
      <c r="AR198" s="34">
        <f t="shared" ref="AR198:AR256" si="73">AQ198+AP198-AM198</f>
        <v>232</v>
      </c>
      <c r="AS198" s="35">
        <v>401</v>
      </c>
      <c r="AT198" s="35"/>
      <c r="AU198" s="35">
        <f t="shared" ref="AU198:AU256" si="74">AT198+AS198-AP198</f>
        <v>241</v>
      </c>
      <c r="AV198" s="6">
        <v>644</v>
      </c>
      <c r="AW198" s="6"/>
      <c r="AX198" s="35">
        <f t="shared" ref="AX198:AX256" si="75">AW198+AV198-AS198</f>
        <v>243</v>
      </c>
      <c r="AY198" s="6">
        <v>884</v>
      </c>
      <c r="AZ198" s="6"/>
      <c r="BA198" s="35">
        <f t="shared" ref="BA198:BA256" si="76">AZ198+AY198-AV198</f>
        <v>240</v>
      </c>
      <c r="BB198" s="35">
        <v>12</v>
      </c>
      <c r="BC198" s="35">
        <v>1100</v>
      </c>
      <c r="BD198" s="35">
        <f t="shared" ref="BD198:BD256" si="77">BC198+BB198-AY198</f>
        <v>228</v>
      </c>
      <c r="BE198" s="6"/>
      <c r="BF198" s="6"/>
      <c r="BG198" s="35"/>
      <c r="BH198" s="35">
        <v>258</v>
      </c>
      <c r="BI198" s="6"/>
      <c r="BJ198" s="35">
        <f t="shared" ref="BJ198:BJ256" si="78">BI198+BH198-BB198</f>
        <v>246</v>
      </c>
      <c r="BK198" s="6">
        <v>497</v>
      </c>
      <c r="BL198" s="6"/>
      <c r="BM198" s="6">
        <f t="shared" ref="BM198:BM256" si="79">BL198+BK198-BH198</f>
        <v>239</v>
      </c>
      <c r="BN198" s="6">
        <v>333</v>
      </c>
      <c r="BO198" s="305">
        <v>500</v>
      </c>
      <c r="BP198" s="7">
        <f t="shared" ref="BP198:BP256" si="80">BO198+BN198-BK198</f>
        <v>336</v>
      </c>
      <c r="BQ198" s="7">
        <v>713</v>
      </c>
      <c r="BR198" s="7"/>
      <c r="BS198" s="35">
        <f t="shared" ref="BS198:BS256" si="81">BR198+BQ198-BN198</f>
        <v>380</v>
      </c>
      <c r="BT198" s="6">
        <v>120</v>
      </c>
      <c r="BU198" s="6">
        <v>970</v>
      </c>
      <c r="BV198" s="6">
        <f t="shared" ref="BV198:BV256" si="82">BU198+BT198-BQ198</f>
        <v>377</v>
      </c>
      <c r="BW198" s="35">
        <v>483</v>
      </c>
      <c r="BX198" s="6"/>
      <c r="BY198" s="35">
        <f t="shared" ref="BY198:BY256" si="83">BX198+BW198-BT198</f>
        <v>363</v>
      </c>
      <c r="BZ198" s="6"/>
      <c r="CA198" s="6"/>
      <c r="CB198" s="6"/>
      <c r="CC198" s="6">
        <v>869</v>
      </c>
      <c r="CD198" s="6"/>
      <c r="CE198" s="6">
        <f t="shared" ref="CE198:CE256" si="84">CD198+CC198-BW198</f>
        <v>386</v>
      </c>
      <c r="CF198" s="6">
        <v>1248</v>
      </c>
      <c r="CG198" s="6"/>
      <c r="CH198" s="6">
        <f t="shared" ref="CH198:CH256" si="85">CG198+CF198-CC198</f>
        <v>379</v>
      </c>
      <c r="CI198" s="6">
        <v>67</v>
      </c>
      <c r="CJ198" s="6">
        <v>1561</v>
      </c>
      <c r="CK198" s="6">
        <f t="shared" ref="CK198:CK256" si="86">CJ198+CI198-CF198</f>
        <v>380</v>
      </c>
      <c r="CL198" s="6">
        <v>439</v>
      </c>
      <c r="CM198" s="6"/>
      <c r="CN198" s="6">
        <f t="shared" ref="CN198:CN256" si="87">CM198+CL198-CI198</f>
        <v>372</v>
      </c>
      <c r="CO198" s="6">
        <v>806</v>
      </c>
      <c r="CP198" s="6"/>
      <c r="CQ198" s="6">
        <f t="shared" ref="CQ198:CQ256" si="88">CP198+CO198-CL198</f>
        <v>367</v>
      </c>
      <c r="CR198" s="6">
        <v>1148</v>
      </c>
      <c r="CS198" s="6"/>
      <c r="CT198" s="6">
        <f t="shared" ref="CT198:CT256" si="89">CS198+CR198-CO198</f>
        <v>342</v>
      </c>
      <c r="CU198" s="6"/>
      <c r="CV198" s="6"/>
      <c r="CW198" s="6"/>
      <c r="CX198" s="6">
        <v>194</v>
      </c>
      <c r="CY198" s="6">
        <v>1319</v>
      </c>
      <c r="CZ198" s="6">
        <f t="shared" ref="CZ198:CZ256" si="90">CY198+CX198-CR198</f>
        <v>365</v>
      </c>
      <c r="DA198" s="6">
        <v>557</v>
      </c>
      <c r="DB198" s="6"/>
      <c r="DC198" s="6">
        <f t="shared" ref="DC198:DC256" si="91">DB198+DA198-CX198</f>
        <v>363</v>
      </c>
      <c r="DD198" s="6">
        <v>921</v>
      </c>
      <c r="DE198" s="6"/>
      <c r="DF198" s="6">
        <f t="shared" ref="DF198:DF256" si="92">DE198+DD198-DA198</f>
        <v>364</v>
      </c>
      <c r="DG198" s="6">
        <v>211</v>
      </c>
      <c r="DH198" s="6">
        <v>1079</v>
      </c>
      <c r="DI198" s="6">
        <f t="shared" ref="DI198:DI256" si="93">DH198+DG198-DD198</f>
        <v>369</v>
      </c>
      <c r="DJ198" s="6">
        <v>567</v>
      </c>
      <c r="DK198" s="6"/>
      <c r="DL198" s="6">
        <f t="shared" ref="DL198:DL256" si="94">DK198+DJ198-DG198</f>
        <v>356</v>
      </c>
      <c r="DM198" s="6">
        <v>153</v>
      </c>
      <c r="DN198" s="6">
        <v>712</v>
      </c>
      <c r="DO198" s="6">
        <f t="shared" ref="DO198:DO256" si="95">DN198+DM198-DJ198</f>
        <v>298</v>
      </c>
    </row>
    <row r="199" spans="1:119">
      <c r="A199" s="6">
        <v>195</v>
      </c>
      <c r="B199" s="6">
        <v>585</v>
      </c>
      <c r="C199" s="6"/>
      <c r="D199" s="6">
        <v>127</v>
      </c>
      <c r="E199" s="33" t="s">
        <v>72</v>
      </c>
      <c r="F199" s="33" t="s">
        <v>72</v>
      </c>
      <c r="G199" s="33" t="s">
        <v>72</v>
      </c>
      <c r="H199" s="33" t="s">
        <v>72</v>
      </c>
      <c r="I199" s="33" t="s">
        <v>72</v>
      </c>
      <c r="J199" s="33" t="s">
        <v>72</v>
      </c>
      <c r="K199" s="33" t="s">
        <v>72</v>
      </c>
      <c r="L199" s="33" t="s">
        <v>72</v>
      </c>
      <c r="M199" s="33" t="s">
        <v>72</v>
      </c>
      <c r="N199" s="148" t="s">
        <v>307</v>
      </c>
      <c r="O199" s="33" t="s">
        <v>307</v>
      </c>
      <c r="P199" s="33" t="s">
        <v>307</v>
      </c>
      <c r="Q199" s="33" t="s">
        <v>307</v>
      </c>
      <c r="R199" s="33" t="s">
        <v>307</v>
      </c>
      <c r="S199" s="33" t="s">
        <v>307</v>
      </c>
      <c r="T199" s="33" t="s">
        <v>307</v>
      </c>
      <c r="U199" s="33" t="s">
        <v>307</v>
      </c>
      <c r="V199" s="33" t="s">
        <v>307</v>
      </c>
      <c r="W199" s="33" t="s">
        <v>307</v>
      </c>
      <c r="X199" s="33" t="s">
        <v>307</v>
      </c>
      <c r="Y199" s="33" t="s">
        <v>307</v>
      </c>
      <c r="Z199" s="33" t="s">
        <v>307</v>
      </c>
      <c r="AA199" s="33" t="s">
        <v>307</v>
      </c>
      <c r="AB199" s="33" t="s">
        <v>307</v>
      </c>
      <c r="AC199" s="33" t="s">
        <v>307</v>
      </c>
      <c r="AD199" s="35"/>
      <c r="AE199" s="35"/>
      <c r="AF199" s="35"/>
      <c r="AG199" s="35"/>
      <c r="AH199" s="35"/>
      <c r="AI199" s="35"/>
      <c r="AJ199" s="35"/>
      <c r="AK199" s="35"/>
      <c r="AL199" s="35"/>
      <c r="AM199" s="35">
        <v>845</v>
      </c>
      <c r="AN199" s="35"/>
      <c r="AO199" s="35">
        <f t="shared" si="72"/>
        <v>260</v>
      </c>
      <c r="AP199" s="35">
        <v>1082</v>
      </c>
      <c r="AQ199" s="35"/>
      <c r="AR199" s="34">
        <f t="shared" si="73"/>
        <v>237</v>
      </c>
      <c r="AS199" s="35">
        <v>220</v>
      </c>
      <c r="AT199" s="35">
        <v>1100</v>
      </c>
      <c r="AU199" s="35">
        <f t="shared" si="74"/>
        <v>238</v>
      </c>
      <c r="AV199" s="6">
        <v>459</v>
      </c>
      <c r="AW199" s="6"/>
      <c r="AX199" s="35">
        <f t="shared" si="75"/>
        <v>239</v>
      </c>
      <c r="AY199" s="6">
        <v>703</v>
      </c>
      <c r="AZ199" s="6"/>
      <c r="BA199" s="35">
        <f t="shared" si="76"/>
        <v>244</v>
      </c>
      <c r="BB199" s="6">
        <v>936</v>
      </c>
      <c r="BC199" s="6"/>
      <c r="BD199" s="35">
        <f t="shared" si="77"/>
        <v>233</v>
      </c>
      <c r="BE199" s="6"/>
      <c r="BF199" s="6"/>
      <c r="BG199" s="35"/>
      <c r="BH199" s="35">
        <v>80</v>
      </c>
      <c r="BI199" s="6">
        <v>1100</v>
      </c>
      <c r="BJ199" s="35">
        <f t="shared" si="78"/>
        <v>244</v>
      </c>
      <c r="BK199" s="6">
        <v>319</v>
      </c>
      <c r="BL199" s="35"/>
      <c r="BM199" s="6">
        <f t="shared" si="79"/>
        <v>239</v>
      </c>
      <c r="BN199" s="6">
        <v>264</v>
      </c>
      <c r="BO199" s="305">
        <v>371</v>
      </c>
      <c r="BP199" s="7">
        <f t="shared" si="80"/>
        <v>316</v>
      </c>
      <c r="BQ199" s="7">
        <v>144</v>
      </c>
      <c r="BR199" s="7">
        <v>498</v>
      </c>
      <c r="BS199" s="35">
        <f t="shared" si="81"/>
        <v>378</v>
      </c>
      <c r="BT199" s="35">
        <v>542</v>
      </c>
      <c r="BU199" s="6"/>
      <c r="BV199" s="6">
        <f t="shared" si="82"/>
        <v>398</v>
      </c>
      <c r="BW199" s="35">
        <v>920</v>
      </c>
      <c r="BX199" s="6"/>
      <c r="BY199" s="35">
        <f t="shared" si="83"/>
        <v>378</v>
      </c>
      <c r="BZ199" s="6"/>
      <c r="CA199" s="35"/>
      <c r="CB199" s="6"/>
      <c r="CC199" s="6">
        <v>1318</v>
      </c>
      <c r="CD199" s="6"/>
      <c r="CE199" s="6">
        <f t="shared" si="84"/>
        <v>398</v>
      </c>
      <c r="CF199" s="6">
        <v>154</v>
      </c>
      <c r="CG199" s="35">
        <v>1561</v>
      </c>
      <c r="CH199" s="6">
        <f t="shared" si="85"/>
        <v>397</v>
      </c>
      <c r="CI199" s="6">
        <v>532</v>
      </c>
      <c r="CJ199" s="6"/>
      <c r="CK199" s="6">
        <f t="shared" si="86"/>
        <v>378</v>
      </c>
      <c r="CL199" s="6">
        <v>946</v>
      </c>
      <c r="CM199" s="6"/>
      <c r="CN199" s="6">
        <f t="shared" si="87"/>
        <v>414</v>
      </c>
      <c r="CO199" s="6">
        <v>1302</v>
      </c>
      <c r="CP199" s="6"/>
      <c r="CQ199" s="6">
        <f t="shared" si="88"/>
        <v>356</v>
      </c>
      <c r="CR199" s="6">
        <v>122</v>
      </c>
      <c r="CS199" s="35">
        <v>1560</v>
      </c>
      <c r="CT199" s="6">
        <f t="shared" si="89"/>
        <v>380</v>
      </c>
      <c r="CU199" s="6"/>
      <c r="CV199" s="6"/>
      <c r="CW199" s="6"/>
      <c r="CX199" s="6">
        <v>524</v>
      </c>
      <c r="CY199" s="6"/>
      <c r="CZ199" s="6">
        <f t="shared" si="90"/>
        <v>402</v>
      </c>
      <c r="DA199" s="6">
        <v>916</v>
      </c>
      <c r="DB199" s="6"/>
      <c r="DC199" s="6">
        <f t="shared" si="91"/>
        <v>392</v>
      </c>
      <c r="DD199" s="6">
        <v>1307</v>
      </c>
      <c r="DE199" s="6"/>
      <c r="DF199" s="6">
        <f t="shared" si="92"/>
        <v>391</v>
      </c>
      <c r="DG199" s="6">
        <v>136</v>
      </c>
      <c r="DH199" s="6">
        <v>1560</v>
      </c>
      <c r="DI199" s="6">
        <f t="shared" si="93"/>
        <v>389</v>
      </c>
      <c r="DJ199" s="6">
        <v>535</v>
      </c>
      <c r="DK199" s="6"/>
      <c r="DL199" s="6">
        <f t="shared" si="94"/>
        <v>399</v>
      </c>
      <c r="DM199" s="6">
        <v>895</v>
      </c>
      <c r="DN199" s="6"/>
      <c r="DO199" s="6">
        <f t="shared" si="95"/>
        <v>360</v>
      </c>
    </row>
    <row r="200" spans="1:119">
      <c r="A200" s="6">
        <v>196</v>
      </c>
      <c r="B200" s="6">
        <v>567</v>
      </c>
      <c r="C200" s="6"/>
      <c r="D200" s="6">
        <v>100</v>
      </c>
      <c r="E200" s="33" t="s">
        <v>72</v>
      </c>
      <c r="F200" s="148" t="s">
        <v>291</v>
      </c>
      <c r="G200" s="33" t="s">
        <v>291</v>
      </c>
      <c r="H200" s="33" t="s">
        <v>291</v>
      </c>
      <c r="I200" s="33" t="s">
        <v>291</v>
      </c>
      <c r="J200" s="33" t="s">
        <v>291</v>
      </c>
      <c r="K200" s="33" t="s">
        <v>291</v>
      </c>
      <c r="L200" s="33" t="s">
        <v>291</v>
      </c>
      <c r="M200" s="33" t="s">
        <v>291</v>
      </c>
      <c r="N200" s="148" t="s">
        <v>37</v>
      </c>
      <c r="O200" s="33" t="s">
        <v>37</v>
      </c>
      <c r="P200" s="33" t="s">
        <v>37</v>
      </c>
      <c r="Q200" s="33" t="s">
        <v>37</v>
      </c>
      <c r="R200" s="33" t="s">
        <v>37</v>
      </c>
      <c r="S200" s="33" t="s">
        <v>37</v>
      </c>
      <c r="T200" s="33" t="s">
        <v>37</v>
      </c>
      <c r="U200" s="33" t="s">
        <v>37</v>
      </c>
      <c r="V200" s="33" t="s">
        <v>37</v>
      </c>
      <c r="W200" s="33" t="s">
        <v>37</v>
      </c>
      <c r="X200" s="33" t="s">
        <v>37</v>
      </c>
      <c r="Y200" s="33" t="s">
        <v>37</v>
      </c>
      <c r="Z200" s="33" t="s">
        <v>37</v>
      </c>
      <c r="AA200" s="33" t="s">
        <v>37</v>
      </c>
      <c r="AB200" s="33" t="s">
        <v>37</v>
      </c>
      <c r="AC200" s="33" t="s">
        <v>37</v>
      </c>
      <c r="AD200" s="6"/>
      <c r="AE200" s="6"/>
      <c r="AF200" s="35"/>
      <c r="AG200" s="6"/>
      <c r="AH200" s="6"/>
      <c r="AI200" s="35"/>
      <c r="AJ200" s="35"/>
      <c r="AK200" s="35"/>
      <c r="AL200" s="35"/>
      <c r="AM200" s="6">
        <v>138</v>
      </c>
      <c r="AN200" s="6">
        <v>627</v>
      </c>
      <c r="AO200" s="35">
        <f t="shared" si="72"/>
        <v>198</v>
      </c>
      <c r="AP200" s="35">
        <v>369</v>
      </c>
      <c r="AQ200" s="6"/>
      <c r="AR200" s="34">
        <f t="shared" si="73"/>
        <v>231</v>
      </c>
      <c r="AS200" s="35">
        <v>602</v>
      </c>
      <c r="AT200" s="35"/>
      <c r="AU200" s="35">
        <f t="shared" si="74"/>
        <v>233</v>
      </c>
      <c r="AV200" s="6">
        <v>839</v>
      </c>
      <c r="AW200" s="6"/>
      <c r="AX200" s="35">
        <f t="shared" si="75"/>
        <v>237</v>
      </c>
      <c r="AY200" s="6">
        <v>1078</v>
      </c>
      <c r="AZ200" s="6"/>
      <c r="BA200" s="35">
        <f t="shared" si="76"/>
        <v>239</v>
      </c>
      <c r="BB200" s="35">
        <v>32</v>
      </c>
      <c r="BC200" s="35">
        <f>1100+151</f>
        <v>1251</v>
      </c>
      <c r="BD200" s="35">
        <f t="shared" si="77"/>
        <v>205</v>
      </c>
      <c r="BE200" s="6"/>
      <c r="BF200" s="6"/>
      <c r="BG200" s="35"/>
      <c r="BH200" s="35">
        <v>290</v>
      </c>
      <c r="BI200" s="6"/>
      <c r="BJ200" s="35">
        <f t="shared" si="78"/>
        <v>258</v>
      </c>
      <c r="BK200" s="6">
        <v>541</v>
      </c>
      <c r="BL200" s="6"/>
      <c r="BM200" s="6">
        <f t="shared" si="79"/>
        <v>251</v>
      </c>
      <c r="BN200" s="6">
        <v>334</v>
      </c>
      <c r="BO200" s="305">
        <v>543</v>
      </c>
      <c r="BP200" s="7">
        <f t="shared" si="80"/>
        <v>336</v>
      </c>
      <c r="BQ200" s="7">
        <v>708</v>
      </c>
      <c r="BR200" s="7"/>
      <c r="BS200" s="35">
        <f t="shared" si="81"/>
        <v>374</v>
      </c>
      <c r="BT200" s="35">
        <v>1084</v>
      </c>
      <c r="BU200" s="6"/>
      <c r="BV200" s="6">
        <f t="shared" si="82"/>
        <v>376</v>
      </c>
      <c r="BW200" s="35">
        <v>1440</v>
      </c>
      <c r="BX200" s="6"/>
      <c r="BY200" s="35">
        <f t="shared" si="83"/>
        <v>356</v>
      </c>
      <c r="BZ200" s="6"/>
      <c r="CA200" s="6"/>
      <c r="CB200" s="6"/>
      <c r="CC200" s="6">
        <v>250</v>
      </c>
      <c r="CD200" s="6">
        <v>1570</v>
      </c>
      <c r="CE200" s="6">
        <f t="shared" si="84"/>
        <v>380</v>
      </c>
      <c r="CF200" s="6">
        <v>348</v>
      </c>
      <c r="CG200" s="6">
        <v>262</v>
      </c>
      <c r="CH200" s="6">
        <f t="shared" si="85"/>
        <v>360</v>
      </c>
      <c r="CI200" s="6">
        <v>725</v>
      </c>
      <c r="CJ200" s="6"/>
      <c r="CK200" s="6">
        <f t="shared" si="86"/>
        <v>377</v>
      </c>
      <c r="CL200" s="6">
        <v>52</v>
      </c>
      <c r="CM200" s="6">
        <v>1019</v>
      </c>
      <c r="CN200" s="6">
        <f t="shared" si="87"/>
        <v>346</v>
      </c>
      <c r="CO200" s="6">
        <v>401</v>
      </c>
      <c r="CP200" s="6"/>
      <c r="CQ200" s="6">
        <f t="shared" si="88"/>
        <v>349</v>
      </c>
      <c r="CR200" s="6">
        <v>740</v>
      </c>
      <c r="CS200" s="6"/>
      <c r="CT200" s="6">
        <f t="shared" si="89"/>
        <v>339</v>
      </c>
      <c r="CU200" s="6"/>
      <c r="CV200" s="6"/>
      <c r="CW200" s="6"/>
      <c r="CX200" s="6">
        <v>47</v>
      </c>
      <c r="CY200" s="6">
        <v>1044</v>
      </c>
      <c r="CZ200" s="6">
        <f t="shared" si="90"/>
        <v>351</v>
      </c>
      <c r="DA200" s="6">
        <v>80</v>
      </c>
      <c r="DB200" s="6">
        <v>276</v>
      </c>
      <c r="DC200" s="6">
        <f t="shared" si="91"/>
        <v>309</v>
      </c>
      <c r="DD200" s="6">
        <v>440</v>
      </c>
      <c r="DE200" s="6"/>
      <c r="DF200" s="6">
        <f t="shared" si="92"/>
        <v>360</v>
      </c>
      <c r="DG200" s="6">
        <v>816</v>
      </c>
      <c r="DH200" s="6"/>
      <c r="DI200" s="6">
        <f t="shared" si="93"/>
        <v>376</v>
      </c>
      <c r="DJ200" s="6">
        <v>1178</v>
      </c>
      <c r="DK200" s="6"/>
      <c r="DL200" s="6">
        <f t="shared" si="94"/>
        <v>362</v>
      </c>
      <c r="DM200" s="6">
        <v>73</v>
      </c>
      <c r="DN200" s="6">
        <v>1413</v>
      </c>
      <c r="DO200" s="6">
        <f t="shared" si="95"/>
        <v>308</v>
      </c>
    </row>
    <row r="201" spans="1:119">
      <c r="A201" s="6">
        <v>197</v>
      </c>
      <c r="B201" s="6">
        <v>702</v>
      </c>
      <c r="C201" s="10"/>
      <c r="D201" s="6">
        <v>125</v>
      </c>
      <c r="E201" s="33" t="s">
        <v>72</v>
      </c>
      <c r="F201" s="33" t="s">
        <v>72</v>
      </c>
      <c r="G201" s="33" t="s">
        <v>72</v>
      </c>
      <c r="H201" s="33" t="s">
        <v>72</v>
      </c>
      <c r="I201" s="33" t="s">
        <v>72</v>
      </c>
      <c r="J201" s="33" t="s">
        <v>72</v>
      </c>
      <c r="K201" s="33" t="s">
        <v>72</v>
      </c>
      <c r="L201" s="33" t="s">
        <v>72</v>
      </c>
      <c r="M201" s="33" t="s">
        <v>72</v>
      </c>
      <c r="N201" s="148" t="s">
        <v>37</v>
      </c>
      <c r="O201" s="33" t="s">
        <v>37</v>
      </c>
      <c r="P201" s="33" t="s">
        <v>37</v>
      </c>
      <c r="Q201" s="33" t="s">
        <v>37</v>
      </c>
      <c r="R201" s="33" t="s">
        <v>37</v>
      </c>
      <c r="S201" s="33" t="s">
        <v>37</v>
      </c>
      <c r="T201" s="33" t="s">
        <v>37</v>
      </c>
      <c r="U201" s="33" t="s">
        <v>37</v>
      </c>
      <c r="V201" s="33" t="s">
        <v>37</v>
      </c>
      <c r="W201" s="33" t="s">
        <v>37</v>
      </c>
      <c r="X201" s="33" t="s">
        <v>37</v>
      </c>
      <c r="Y201" s="33" t="s">
        <v>37</v>
      </c>
      <c r="Z201" s="33" t="s">
        <v>37</v>
      </c>
      <c r="AA201" s="33" t="s">
        <v>37</v>
      </c>
      <c r="AB201" s="33" t="s">
        <v>37</v>
      </c>
      <c r="AC201" s="33" t="s">
        <v>37</v>
      </c>
      <c r="AD201" s="6"/>
      <c r="AE201" s="6"/>
      <c r="AF201" s="35"/>
      <c r="AG201" s="6"/>
      <c r="AH201" s="6"/>
      <c r="AI201" s="35"/>
      <c r="AJ201" s="35"/>
      <c r="AK201" s="35"/>
      <c r="AL201" s="35"/>
      <c r="AM201" s="6">
        <v>121</v>
      </c>
      <c r="AN201" s="6">
        <v>831</v>
      </c>
      <c r="AO201" s="35">
        <f t="shared" si="72"/>
        <v>250</v>
      </c>
      <c r="AP201" s="6">
        <v>347</v>
      </c>
      <c r="AQ201" s="6"/>
      <c r="AR201" s="34">
        <f t="shared" si="73"/>
        <v>226</v>
      </c>
      <c r="AS201" s="35">
        <v>100</v>
      </c>
      <c r="AT201" s="35">
        <v>419</v>
      </c>
      <c r="AU201" s="35">
        <f t="shared" si="74"/>
        <v>172</v>
      </c>
      <c r="AV201" s="6">
        <v>339</v>
      </c>
      <c r="AW201" s="6"/>
      <c r="AX201" s="35">
        <f t="shared" si="75"/>
        <v>239</v>
      </c>
      <c r="AY201" s="6">
        <v>418</v>
      </c>
      <c r="AZ201" s="6"/>
      <c r="BA201" s="35">
        <f t="shared" si="76"/>
        <v>79</v>
      </c>
      <c r="BB201" s="35">
        <v>218</v>
      </c>
      <c r="BC201" s="35">
        <v>420</v>
      </c>
      <c r="BD201" s="35">
        <f t="shared" si="77"/>
        <v>220</v>
      </c>
      <c r="BE201" s="6"/>
      <c r="BF201" s="6"/>
      <c r="BG201" s="35"/>
      <c r="BH201" s="35">
        <v>452</v>
      </c>
      <c r="BI201" s="6"/>
      <c r="BJ201" s="35">
        <f t="shared" si="78"/>
        <v>234</v>
      </c>
      <c r="BK201" s="6">
        <v>679</v>
      </c>
      <c r="BL201" s="6"/>
      <c r="BM201" s="6">
        <f t="shared" si="79"/>
        <v>227</v>
      </c>
      <c r="BN201" s="6">
        <v>267</v>
      </c>
      <c r="BO201" s="305">
        <v>682</v>
      </c>
      <c r="BP201" s="7">
        <f t="shared" si="80"/>
        <v>270</v>
      </c>
      <c r="BQ201" s="7">
        <v>648</v>
      </c>
      <c r="BR201" s="7"/>
      <c r="BS201" s="35">
        <f t="shared" si="81"/>
        <v>381</v>
      </c>
      <c r="BT201" s="35">
        <v>1028</v>
      </c>
      <c r="BU201" s="6"/>
      <c r="BV201" s="6">
        <f t="shared" si="82"/>
        <v>380</v>
      </c>
      <c r="BW201" s="35">
        <v>1387</v>
      </c>
      <c r="BX201" s="6"/>
      <c r="BY201" s="35">
        <f t="shared" si="83"/>
        <v>359</v>
      </c>
      <c r="BZ201" s="6"/>
      <c r="CA201" s="6"/>
      <c r="CB201" s="6"/>
      <c r="CC201" s="6">
        <v>209</v>
      </c>
      <c r="CD201" s="6">
        <v>1560</v>
      </c>
      <c r="CE201" s="6">
        <f t="shared" si="84"/>
        <v>382</v>
      </c>
      <c r="CF201" s="6">
        <v>579</v>
      </c>
      <c r="CG201" s="6"/>
      <c r="CH201" s="6">
        <f t="shared" si="85"/>
        <v>370</v>
      </c>
      <c r="CI201" s="6">
        <v>949</v>
      </c>
      <c r="CJ201" s="6"/>
      <c r="CK201" s="6">
        <f t="shared" si="86"/>
        <v>370</v>
      </c>
      <c r="CL201" s="6">
        <v>1320</v>
      </c>
      <c r="CM201" s="6"/>
      <c r="CN201" s="6">
        <f t="shared" si="87"/>
        <v>371</v>
      </c>
      <c r="CO201" s="6">
        <v>114</v>
      </c>
      <c r="CP201" s="6">
        <v>1561</v>
      </c>
      <c r="CQ201" s="6">
        <f t="shared" si="88"/>
        <v>355</v>
      </c>
      <c r="CR201" s="6">
        <v>461</v>
      </c>
      <c r="CS201" s="6"/>
      <c r="CT201" s="6">
        <f t="shared" si="89"/>
        <v>347</v>
      </c>
      <c r="CU201" s="6"/>
      <c r="CV201" s="6"/>
      <c r="CW201" s="6"/>
      <c r="CX201" s="6">
        <v>831</v>
      </c>
      <c r="CY201" s="6"/>
      <c r="CZ201" s="6">
        <f t="shared" si="90"/>
        <v>370</v>
      </c>
      <c r="DA201" s="6">
        <v>1196</v>
      </c>
      <c r="DB201" s="6"/>
      <c r="DC201" s="6">
        <f t="shared" si="91"/>
        <v>365</v>
      </c>
      <c r="DD201" s="6">
        <v>1549</v>
      </c>
      <c r="DE201" s="6"/>
      <c r="DF201" s="6">
        <f t="shared" si="92"/>
        <v>353</v>
      </c>
      <c r="DG201" s="6">
        <v>350</v>
      </c>
      <c r="DH201" s="10">
        <v>1560</v>
      </c>
      <c r="DI201" s="6">
        <f t="shared" si="93"/>
        <v>361</v>
      </c>
      <c r="DJ201" s="6">
        <v>729</v>
      </c>
      <c r="DK201" s="10"/>
      <c r="DL201" s="6">
        <f t="shared" si="94"/>
        <v>379</v>
      </c>
      <c r="DM201" s="6">
        <v>289</v>
      </c>
      <c r="DN201" s="10">
        <v>769</v>
      </c>
      <c r="DO201" s="6">
        <f t="shared" si="95"/>
        <v>329</v>
      </c>
    </row>
    <row r="202" spans="1:119">
      <c r="A202" s="6">
        <v>198</v>
      </c>
      <c r="B202" s="6">
        <v>599</v>
      </c>
      <c r="C202" s="10"/>
      <c r="D202" s="6">
        <v>124</v>
      </c>
      <c r="E202" s="33" t="s">
        <v>72</v>
      </c>
      <c r="F202" s="33" t="s">
        <v>72</v>
      </c>
      <c r="G202" s="33" t="s">
        <v>72</v>
      </c>
      <c r="H202" s="33" t="s">
        <v>72</v>
      </c>
      <c r="I202" s="33" t="s">
        <v>72</v>
      </c>
      <c r="J202" s="33" t="s">
        <v>72</v>
      </c>
      <c r="K202" s="33" t="s">
        <v>72</v>
      </c>
      <c r="L202" s="33" t="s">
        <v>72</v>
      </c>
      <c r="M202" s="148" t="s">
        <v>37</v>
      </c>
      <c r="N202" s="33" t="s">
        <v>37</v>
      </c>
      <c r="O202" s="33" t="s">
        <v>37</v>
      </c>
      <c r="P202" s="33" t="s">
        <v>37</v>
      </c>
      <c r="Q202" s="33" t="s">
        <v>37</v>
      </c>
      <c r="R202" s="33" t="s">
        <v>37</v>
      </c>
      <c r="S202" s="33" t="s">
        <v>37</v>
      </c>
      <c r="T202" s="33" t="s">
        <v>37</v>
      </c>
      <c r="U202" s="33" t="s">
        <v>37</v>
      </c>
      <c r="V202" s="33" t="s">
        <v>37</v>
      </c>
      <c r="W202" s="33" t="s">
        <v>37</v>
      </c>
      <c r="X202" s="33" t="s">
        <v>37</v>
      </c>
      <c r="Y202" s="33" t="s">
        <v>37</v>
      </c>
      <c r="Z202" s="33" t="s">
        <v>37</v>
      </c>
      <c r="AA202" s="33" t="s">
        <v>37</v>
      </c>
      <c r="AB202" s="33" t="s">
        <v>37</v>
      </c>
      <c r="AC202" s="33" t="s">
        <v>37</v>
      </c>
      <c r="AD202" s="6"/>
      <c r="AE202" s="6"/>
      <c r="AF202" s="35"/>
      <c r="AG202" s="6"/>
      <c r="AH202" s="6"/>
      <c r="AI202" s="35"/>
      <c r="AJ202" s="35"/>
      <c r="AK202" s="35"/>
      <c r="AL202" s="35"/>
      <c r="AM202" s="6">
        <v>847</v>
      </c>
      <c r="AN202" s="6"/>
      <c r="AO202" s="35">
        <f t="shared" si="72"/>
        <v>248</v>
      </c>
      <c r="AP202" s="6">
        <v>1079</v>
      </c>
      <c r="AQ202" s="6"/>
      <c r="AR202" s="34">
        <f t="shared" si="73"/>
        <v>232</v>
      </c>
      <c r="AS202" s="35">
        <v>211</v>
      </c>
      <c r="AT202" s="35">
        <v>1100</v>
      </c>
      <c r="AU202" s="35">
        <f t="shared" si="74"/>
        <v>232</v>
      </c>
      <c r="AV202" s="6">
        <v>447</v>
      </c>
      <c r="AW202" s="6"/>
      <c r="AX202" s="35">
        <f t="shared" si="75"/>
        <v>236</v>
      </c>
      <c r="AY202" s="6">
        <v>679</v>
      </c>
      <c r="AZ202" s="6"/>
      <c r="BA202" s="35">
        <f t="shared" si="76"/>
        <v>232</v>
      </c>
      <c r="BB202" s="35">
        <v>905</v>
      </c>
      <c r="BC202" s="35"/>
      <c r="BD202" s="35">
        <f t="shared" si="77"/>
        <v>226</v>
      </c>
      <c r="BE202" s="6"/>
      <c r="BF202" s="6"/>
      <c r="BG202" s="35"/>
      <c r="BH202" s="35">
        <v>0</v>
      </c>
      <c r="BI202" s="6">
        <v>1060</v>
      </c>
      <c r="BJ202" s="35">
        <f t="shared" si="78"/>
        <v>155</v>
      </c>
      <c r="BK202" s="6">
        <v>332</v>
      </c>
      <c r="BL202" s="6"/>
      <c r="BM202" s="6">
        <f t="shared" si="79"/>
        <v>332</v>
      </c>
      <c r="BN202" s="6">
        <v>204</v>
      </c>
      <c r="BO202" s="305">
        <v>495</v>
      </c>
      <c r="BP202" s="7">
        <f t="shared" si="80"/>
        <v>367</v>
      </c>
      <c r="BQ202" s="7">
        <v>587</v>
      </c>
      <c r="BR202" s="7"/>
      <c r="BS202" s="35">
        <f t="shared" si="81"/>
        <v>383</v>
      </c>
      <c r="BT202" s="35">
        <v>970</v>
      </c>
      <c r="BU202" s="6"/>
      <c r="BV202" s="6">
        <f t="shared" si="82"/>
        <v>383</v>
      </c>
      <c r="BW202" s="35">
        <v>1324</v>
      </c>
      <c r="BX202" s="6"/>
      <c r="BY202" s="35">
        <f t="shared" si="83"/>
        <v>354</v>
      </c>
      <c r="BZ202" s="6"/>
      <c r="CA202" s="6"/>
      <c r="CB202" s="6"/>
      <c r="CC202" s="6">
        <v>135</v>
      </c>
      <c r="CD202" s="6">
        <v>1560</v>
      </c>
      <c r="CE202" s="6">
        <f t="shared" si="84"/>
        <v>371</v>
      </c>
      <c r="CF202" s="6">
        <v>514</v>
      </c>
      <c r="CG202" s="6"/>
      <c r="CH202" s="6">
        <f t="shared" si="85"/>
        <v>379</v>
      </c>
      <c r="CI202" s="6">
        <v>886</v>
      </c>
      <c r="CJ202" s="6"/>
      <c r="CK202" s="6">
        <f t="shared" si="86"/>
        <v>372</v>
      </c>
      <c r="CL202" s="6">
        <v>1259</v>
      </c>
      <c r="CM202" s="6"/>
      <c r="CN202" s="6">
        <f t="shared" si="87"/>
        <v>373</v>
      </c>
      <c r="CO202" s="6">
        <v>57</v>
      </c>
      <c r="CP202" s="6">
        <v>1560</v>
      </c>
      <c r="CQ202" s="6">
        <f t="shared" si="88"/>
        <v>358</v>
      </c>
      <c r="CR202" s="6">
        <v>418</v>
      </c>
      <c r="CS202" s="6"/>
      <c r="CT202" s="6">
        <f t="shared" si="89"/>
        <v>361</v>
      </c>
      <c r="CU202" s="6"/>
      <c r="CV202" s="6"/>
      <c r="CW202" s="6"/>
      <c r="CX202" s="6">
        <v>799</v>
      </c>
      <c r="CY202" s="6"/>
      <c r="CZ202" s="6">
        <f t="shared" si="90"/>
        <v>381</v>
      </c>
      <c r="DA202" s="6">
        <v>1171</v>
      </c>
      <c r="DB202" s="6"/>
      <c r="DC202" s="6">
        <f t="shared" si="91"/>
        <v>372</v>
      </c>
      <c r="DD202" s="6">
        <v>1553</v>
      </c>
      <c r="DE202" s="6"/>
      <c r="DF202" s="6">
        <f t="shared" si="92"/>
        <v>382</v>
      </c>
      <c r="DG202" s="6">
        <v>369</v>
      </c>
      <c r="DH202" s="10">
        <v>1560</v>
      </c>
      <c r="DI202" s="6">
        <f t="shared" si="93"/>
        <v>376</v>
      </c>
      <c r="DJ202" s="6">
        <v>732</v>
      </c>
      <c r="DK202" s="10"/>
      <c r="DL202" s="6">
        <f t="shared" si="94"/>
        <v>363</v>
      </c>
      <c r="DM202" s="6">
        <v>157</v>
      </c>
      <c r="DN202" s="10">
        <v>913</v>
      </c>
      <c r="DO202" s="6">
        <f t="shared" si="95"/>
        <v>338</v>
      </c>
    </row>
    <row r="203" spans="1:119">
      <c r="A203" s="6">
        <v>199</v>
      </c>
      <c r="B203" s="6">
        <v>214</v>
      </c>
      <c r="C203" s="10"/>
      <c r="D203" s="6">
        <v>125</v>
      </c>
      <c r="E203" s="33" t="s">
        <v>291</v>
      </c>
      <c r="F203" s="33" t="s">
        <v>291</v>
      </c>
      <c r="G203" s="33" t="s">
        <v>291</v>
      </c>
      <c r="H203" s="33" t="s">
        <v>291</v>
      </c>
      <c r="I203" s="33" t="s">
        <v>291</v>
      </c>
      <c r="J203" s="33" t="s">
        <v>291</v>
      </c>
      <c r="K203" s="33" t="s">
        <v>291</v>
      </c>
      <c r="L203" s="33" t="s">
        <v>291</v>
      </c>
      <c r="M203" s="33" t="s">
        <v>291</v>
      </c>
      <c r="N203" s="148" t="s">
        <v>37</v>
      </c>
      <c r="O203" s="33" t="s">
        <v>37</v>
      </c>
      <c r="P203" s="33" t="s">
        <v>37</v>
      </c>
      <c r="Q203" s="33" t="s">
        <v>37</v>
      </c>
      <c r="R203" s="33" t="s">
        <v>37</v>
      </c>
      <c r="S203" s="33" t="s">
        <v>37</v>
      </c>
      <c r="T203" s="33" t="s">
        <v>37</v>
      </c>
      <c r="U203" s="33" t="s">
        <v>37</v>
      </c>
      <c r="V203" s="33" t="s">
        <v>37</v>
      </c>
      <c r="W203" s="33" t="s">
        <v>37</v>
      </c>
      <c r="X203" s="33" t="s">
        <v>37</v>
      </c>
      <c r="Y203" s="33" t="s">
        <v>37</v>
      </c>
      <c r="Z203" s="33" t="s">
        <v>37</v>
      </c>
      <c r="AA203" s="33" t="s">
        <v>37</v>
      </c>
      <c r="AB203" s="33" t="s">
        <v>37</v>
      </c>
      <c r="AC203" s="33" t="s">
        <v>37</v>
      </c>
      <c r="AD203" s="6"/>
      <c r="AE203" s="6"/>
      <c r="AF203" s="35"/>
      <c r="AG203" s="6"/>
      <c r="AH203" s="6"/>
      <c r="AI203" s="35"/>
      <c r="AJ203" s="35"/>
      <c r="AK203" s="35"/>
      <c r="AL203" s="35"/>
      <c r="AM203" s="6">
        <v>471</v>
      </c>
      <c r="AN203" s="6"/>
      <c r="AO203" s="35">
        <f t="shared" si="72"/>
        <v>257</v>
      </c>
      <c r="AP203" s="6">
        <v>701</v>
      </c>
      <c r="AQ203" s="6"/>
      <c r="AR203" s="34">
        <f t="shared" si="73"/>
        <v>230</v>
      </c>
      <c r="AS203" s="35">
        <v>934</v>
      </c>
      <c r="AT203" s="35"/>
      <c r="AU203" s="35">
        <f t="shared" si="74"/>
        <v>233</v>
      </c>
      <c r="AV203" s="6">
        <v>73</v>
      </c>
      <c r="AW203" s="6">
        <v>1100</v>
      </c>
      <c r="AX203" s="35">
        <f t="shared" si="75"/>
        <v>239</v>
      </c>
      <c r="AY203" s="6">
        <v>313</v>
      </c>
      <c r="AZ203" s="6"/>
      <c r="BA203" s="35">
        <f t="shared" si="76"/>
        <v>240</v>
      </c>
      <c r="BB203" s="35">
        <v>542</v>
      </c>
      <c r="BC203" s="35"/>
      <c r="BD203" s="35">
        <f t="shared" si="77"/>
        <v>229</v>
      </c>
      <c r="BE203" s="6"/>
      <c r="BF203" s="6"/>
      <c r="BG203" s="35"/>
      <c r="BH203" s="35">
        <v>781</v>
      </c>
      <c r="BI203" s="6"/>
      <c r="BJ203" s="35">
        <f t="shared" si="78"/>
        <v>239</v>
      </c>
      <c r="BK203" s="6">
        <v>0</v>
      </c>
      <c r="BL203" s="6">
        <v>969</v>
      </c>
      <c r="BM203" s="6">
        <f t="shared" si="79"/>
        <v>188</v>
      </c>
      <c r="BN203" s="6">
        <v>330</v>
      </c>
      <c r="BO203" s="305"/>
      <c r="BP203" s="7">
        <f t="shared" si="80"/>
        <v>330</v>
      </c>
      <c r="BQ203" s="7">
        <v>710</v>
      </c>
      <c r="BR203" s="7"/>
      <c r="BS203" s="35">
        <f t="shared" si="81"/>
        <v>380</v>
      </c>
      <c r="BT203" s="35">
        <v>1086</v>
      </c>
      <c r="BU203" s="6"/>
      <c r="BV203" s="6">
        <f t="shared" si="82"/>
        <v>376</v>
      </c>
      <c r="BW203" s="35">
        <v>1433</v>
      </c>
      <c r="BX203" s="6"/>
      <c r="BY203" s="35">
        <f t="shared" si="83"/>
        <v>347</v>
      </c>
      <c r="BZ203" s="6"/>
      <c r="CA203" s="6"/>
      <c r="CB203" s="6"/>
      <c r="CC203" s="6">
        <v>244</v>
      </c>
      <c r="CD203" s="6">
        <v>1560</v>
      </c>
      <c r="CE203" s="6">
        <f t="shared" si="84"/>
        <v>371</v>
      </c>
      <c r="CF203" s="6">
        <v>608</v>
      </c>
      <c r="CG203" s="6"/>
      <c r="CH203" s="6">
        <f t="shared" si="85"/>
        <v>364</v>
      </c>
      <c r="CI203" s="6">
        <v>968</v>
      </c>
      <c r="CJ203" s="6"/>
      <c r="CK203" s="6">
        <f t="shared" si="86"/>
        <v>360</v>
      </c>
      <c r="CL203" s="6">
        <v>1336</v>
      </c>
      <c r="CM203" s="6"/>
      <c r="CN203" s="6">
        <f t="shared" si="87"/>
        <v>368</v>
      </c>
      <c r="CO203" s="6">
        <v>142</v>
      </c>
      <c r="CP203" s="6">
        <v>1560</v>
      </c>
      <c r="CQ203" s="6">
        <f t="shared" si="88"/>
        <v>366</v>
      </c>
      <c r="CR203" s="6">
        <v>488</v>
      </c>
      <c r="CS203" s="6"/>
      <c r="CT203" s="6">
        <f t="shared" si="89"/>
        <v>346</v>
      </c>
      <c r="CU203" s="6"/>
      <c r="CV203" s="6"/>
      <c r="CW203" s="6"/>
      <c r="CX203" s="6">
        <v>859</v>
      </c>
      <c r="CY203" s="6"/>
      <c r="CZ203" s="6">
        <f t="shared" si="90"/>
        <v>371</v>
      </c>
      <c r="DA203" s="6">
        <v>1228</v>
      </c>
      <c r="DB203" s="6"/>
      <c r="DC203" s="6">
        <f t="shared" si="91"/>
        <v>369</v>
      </c>
      <c r="DD203" s="6">
        <v>321</v>
      </c>
      <c r="DE203" s="6">
        <v>1268</v>
      </c>
      <c r="DF203" s="6">
        <f t="shared" si="92"/>
        <v>361</v>
      </c>
      <c r="DG203" s="6">
        <v>690</v>
      </c>
      <c r="DH203" s="10"/>
      <c r="DI203" s="6">
        <f t="shared" si="93"/>
        <v>369</v>
      </c>
      <c r="DJ203" s="6">
        <v>1064</v>
      </c>
      <c r="DK203" s="10"/>
      <c r="DL203" s="6">
        <f t="shared" si="94"/>
        <v>374</v>
      </c>
      <c r="DM203" s="6">
        <v>1405</v>
      </c>
      <c r="DN203" s="10"/>
      <c r="DO203" s="6">
        <f t="shared" si="95"/>
        <v>341</v>
      </c>
    </row>
    <row r="204" spans="1:119">
      <c r="A204" s="6">
        <v>200</v>
      </c>
      <c r="B204" s="6">
        <v>1086</v>
      </c>
      <c r="C204" s="10"/>
      <c r="D204" s="6">
        <v>121</v>
      </c>
      <c r="E204" s="33" t="s">
        <v>72</v>
      </c>
      <c r="F204" s="33" t="s">
        <v>72</v>
      </c>
      <c r="G204" s="33" t="s">
        <v>72</v>
      </c>
      <c r="H204" s="33" t="s">
        <v>72</v>
      </c>
      <c r="I204" s="33" t="s">
        <v>72</v>
      </c>
      <c r="J204" s="33" t="s">
        <v>72</v>
      </c>
      <c r="K204" s="33" t="s">
        <v>72</v>
      </c>
      <c r="L204" s="33" t="s">
        <v>72</v>
      </c>
      <c r="M204" s="33" t="s">
        <v>72</v>
      </c>
      <c r="N204" s="148" t="s">
        <v>307</v>
      </c>
      <c r="O204" s="33" t="s">
        <v>307</v>
      </c>
      <c r="P204" s="33" t="s">
        <v>307</v>
      </c>
      <c r="Q204" s="33" t="s">
        <v>307</v>
      </c>
      <c r="R204" s="33" t="s">
        <v>307</v>
      </c>
      <c r="S204" s="33" t="s">
        <v>307</v>
      </c>
      <c r="T204" s="33" t="s">
        <v>307</v>
      </c>
      <c r="U204" s="33" t="s">
        <v>307</v>
      </c>
      <c r="V204" s="33" t="s">
        <v>307</v>
      </c>
      <c r="W204" s="33" t="s">
        <v>307</v>
      </c>
      <c r="X204" s="33" t="s">
        <v>307</v>
      </c>
      <c r="Y204" s="33" t="s">
        <v>307</v>
      </c>
      <c r="Z204" s="33" t="s">
        <v>307</v>
      </c>
      <c r="AA204" s="33" t="s">
        <v>307</v>
      </c>
      <c r="AB204" s="33" t="s">
        <v>307</v>
      </c>
      <c r="AC204" s="33" t="s">
        <v>307</v>
      </c>
      <c r="AD204" s="6"/>
      <c r="AE204" s="6"/>
      <c r="AF204" s="35"/>
      <c r="AG204" s="6"/>
      <c r="AH204" s="6"/>
      <c r="AI204" s="35"/>
      <c r="AJ204" s="35"/>
      <c r="AK204" s="35"/>
      <c r="AL204" s="35"/>
      <c r="AM204" s="6">
        <v>224</v>
      </c>
      <c r="AN204" s="6">
        <v>1100</v>
      </c>
      <c r="AO204" s="35">
        <f t="shared" si="72"/>
        <v>238</v>
      </c>
      <c r="AP204" s="6">
        <v>449</v>
      </c>
      <c r="AQ204" s="6"/>
      <c r="AR204" s="34">
        <f t="shared" si="73"/>
        <v>225</v>
      </c>
      <c r="AS204" s="35">
        <v>688</v>
      </c>
      <c r="AT204" s="35"/>
      <c r="AU204" s="35">
        <f t="shared" si="74"/>
        <v>239</v>
      </c>
      <c r="AV204" s="6">
        <v>920</v>
      </c>
      <c r="AW204" s="6"/>
      <c r="AX204" s="35">
        <f t="shared" si="75"/>
        <v>232</v>
      </c>
      <c r="AY204" s="6">
        <v>55</v>
      </c>
      <c r="AZ204" s="6">
        <v>1100</v>
      </c>
      <c r="BA204" s="35">
        <f t="shared" si="76"/>
        <v>235</v>
      </c>
      <c r="BB204" s="35">
        <v>287</v>
      </c>
      <c r="BC204" s="35"/>
      <c r="BD204" s="35">
        <f t="shared" si="77"/>
        <v>232</v>
      </c>
      <c r="BE204" s="6"/>
      <c r="BF204" s="6"/>
      <c r="BG204" s="35"/>
      <c r="BH204" s="35">
        <v>190</v>
      </c>
      <c r="BI204" s="6">
        <v>336</v>
      </c>
      <c r="BJ204" s="35">
        <f t="shared" si="78"/>
        <v>239</v>
      </c>
      <c r="BK204" s="6">
        <v>424</v>
      </c>
      <c r="BL204" s="6"/>
      <c r="BM204" s="6">
        <f t="shared" si="79"/>
        <v>234</v>
      </c>
      <c r="BN204" s="35">
        <v>252</v>
      </c>
      <c r="BO204" s="305">
        <v>475</v>
      </c>
      <c r="BP204" s="7">
        <f t="shared" si="80"/>
        <v>303</v>
      </c>
      <c r="BQ204" s="305">
        <v>237</v>
      </c>
      <c r="BR204" s="7">
        <v>302</v>
      </c>
      <c r="BS204" s="35">
        <f t="shared" si="81"/>
        <v>287</v>
      </c>
      <c r="BT204" s="35">
        <v>594</v>
      </c>
      <c r="BU204" s="6"/>
      <c r="BV204" s="6">
        <f t="shared" si="82"/>
        <v>357</v>
      </c>
      <c r="BW204" s="35">
        <v>931</v>
      </c>
      <c r="BX204" s="6"/>
      <c r="BY204" s="35">
        <f t="shared" si="83"/>
        <v>337</v>
      </c>
      <c r="BZ204" s="6"/>
      <c r="CA204" s="6"/>
      <c r="CB204" s="6"/>
      <c r="CC204" s="6">
        <v>1291</v>
      </c>
      <c r="CD204" s="6"/>
      <c r="CE204" s="6">
        <f t="shared" si="84"/>
        <v>360</v>
      </c>
      <c r="CF204" s="6">
        <v>98</v>
      </c>
      <c r="CG204" s="6">
        <v>1538</v>
      </c>
      <c r="CH204" s="6">
        <f t="shared" si="85"/>
        <v>345</v>
      </c>
      <c r="CI204" s="6">
        <v>458</v>
      </c>
      <c r="CJ204" s="6"/>
      <c r="CK204" s="6">
        <f t="shared" si="86"/>
        <v>360</v>
      </c>
      <c r="CL204" s="6">
        <v>816</v>
      </c>
      <c r="CM204" s="6"/>
      <c r="CN204" s="6">
        <f t="shared" si="87"/>
        <v>358</v>
      </c>
      <c r="CO204" s="6">
        <v>1168</v>
      </c>
      <c r="CP204" s="6"/>
      <c r="CQ204" s="6">
        <f t="shared" si="88"/>
        <v>352</v>
      </c>
      <c r="CR204" s="6">
        <v>1515</v>
      </c>
      <c r="CS204" s="6"/>
      <c r="CT204" s="6">
        <f t="shared" si="89"/>
        <v>347</v>
      </c>
      <c r="CU204" s="6"/>
      <c r="CV204" s="6"/>
      <c r="CW204" s="6"/>
      <c r="CX204" s="6">
        <v>315</v>
      </c>
      <c r="CY204" s="6">
        <v>1566</v>
      </c>
      <c r="CZ204" s="6">
        <f t="shared" si="90"/>
        <v>366</v>
      </c>
      <c r="DA204" s="6">
        <v>642</v>
      </c>
      <c r="DB204" s="6"/>
      <c r="DC204" s="6">
        <f t="shared" si="91"/>
        <v>327</v>
      </c>
      <c r="DD204" s="6">
        <v>1003</v>
      </c>
      <c r="DE204" s="6"/>
      <c r="DF204" s="6">
        <f t="shared" si="92"/>
        <v>361</v>
      </c>
      <c r="DG204" s="6">
        <v>1358</v>
      </c>
      <c r="DH204" s="10"/>
      <c r="DI204" s="6">
        <f t="shared" si="93"/>
        <v>355</v>
      </c>
      <c r="DJ204" s="6">
        <v>156</v>
      </c>
      <c r="DK204" s="10">
        <v>1560</v>
      </c>
      <c r="DL204" s="6">
        <f t="shared" si="94"/>
        <v>358</v>
      </c>
      <c r="DM204" s="6">
        <v>497</v>
      </c>
      <c r="DN204" s="10"/>
      <c r="DO204" s="6">
        <f t="shared" si="95"/>
        <v>341</v>
      </c>
    </row>
    <row r="205" spans="1:119">
      <c r="A205" s="6">
        <v>201</v>
      </c>
      <c r="B205" s="6">
        <v>67</v>
      </c>
      <c r="C205" s="10"/>
      <c r="D205" s="6">
        <v>67</v>
      </c>
      <c r="E205" s="163" t="s">
        <v>72</v>
      </c>
      <c r="F205" s="141" t="s">
        <v>72</v>
      </c>
      <c r="G205" s="141" t="s">
        <v>72</v>
      </c>
      <c r="H205" s="141" t="s">
        <v>72</v>
      </c>
      <c r="I205" s="141" t="s">
        <v>72</v>
      </c>
      <c r="J205" s="141" t="s">
        <v>72</v>
      </c>
      <c r="K205" s="141" t="s">
        <v>72</v>
      </c>
      <c r="L205" s="141" t="s">
        <v>72</v>
      </c>
      <c r="M205" s="141" t="s">
        <v>72</v>
      </c>
      <c r="N205" s="141" t="s">
        <v>72</v>
      </c>
      <c r="O205" s="141" t="s">
        <v>72</v>
      </c>
      <c r="P205" s="141" t="s">
        <v>72</v>
      </c>
      <c r="Q205" s="141" t="s">
        <v>72</v>
      </c>
      <c r="R205" s="141" t="s">
        <v>72</v>
      </c>
      <c r="S205" s="141" t="s">
        <v>72</v>
      </c>
      <c r="T205" s="141" t="s">
        <v>72</v>
      </c>
      <c r="U205" s="141" t="s">
        <v>72</v>
      </c>
      <c r="V205" s="141" t="s">
        <v>72</v>
      </c>
      <c r="W205" s="141" t="s">
        <v>72</v>
      </c>
      <c r="X205" s="141" t="s">
        <v>72</v>
      </c>
      <c r="Y205" s="141" t="s">
        <v>72</v>
      </c>
      <c r="Z205" s="163" t="s">
        <v>72</v>
      </c>
      <c r="AA205" s="141" t="s">
        <v>72</v>
      </c>
      <c r="AB205" s="141" t="s">
        <v>72</v>
      </c>
      <c r="AC205" s="141" t="s">
        <v>72</v>
      </c>
      <c r="AD205" s="6"/>
      <c r="AE205" s="6"/>
      <c r="AF205" s="35"/>
      <c r="AG205" s="6"/>
      <c r="AH205" s="6"/>
      <c r="AI205" s="35"/>
      <c r="AJ205" s="35"/>
      <c r="AK205" s="35"/>
      <c r="AL205" s="35"/>
      <c r="AM205" s="6">
        <v>318</v>
      </c>
      <c r="AN205" s="6"/>
      <c r="AO205" s="35">
        <f t="shared" si="72"/>
        <v>251</v>
      </c>
      <c r="AP205" s="6">
        <v>553</v>
      </c>
      <c r="AQ205" s="6"/>
      <c r="AR205" s="34">
        <f t="shared" si="73"/>
        <v>235</v>
      </c>
      <c r="AS205" s="35">
        <v>792</v>
      </c>
      <c r="AT205" s="35"/>
      <c r="AU205" s="35">
        <f t="shared" si="74"/>
        <v>239</v>
      </c>
      <c r="AV205" s="6">
        <v>1029</v>
      </c>
      <c r="AW205" s="6"/>
      <c r="AX205" s="35">
        <f t="shared" si="75"/>
        <v>237</v>
      </c>
      <c r="AY205" s="6">
        <v>163</v>
      </c>
      <c r="AZ205" s="6">
        <v>1100</v>
      </c>
      <c r="BA205" s="35">
        <f t="shared" si="76"/>
        <v>234</v>
      </c>
      <c r="BB205" s="35">
        <v>381</v>
      </c>
      <c r="BC205" s="35"/>
      <c r="BD205" s="35">
        <f t="shared" si="77"/>
        <v>218</v>
      </c>
      <c r="BE205" s="6"/>
      <c r="BF205" s="6"/>
      <c r="BG205" s="35"/>
      <c r="BH205" s="35">
        <v>620</v>
      </c>
      <c r="BI205" s="6"/>
      <c r="BJ205" s="35">
        <f t="shared" si="78"/>
        <v>239</v>
      </c>
      <c r="BK205" s="6">
        <v>856</v>
      </c>
      <c r="BL205" s="6"/>
      <c r="BM205" s="6">
        <f t="shared" si="79"/>
        <v>236</v>
      </c>
      <c r="BN205" s="35">
        <v>123</v>
      </c>
      <c r="BO205" s="305">
        <v>967</v>
      </c>
      <c r="BP205" s="7">
        <f t="shared" si="80"/>
        <v>234</v>
      </c>
      <c r="BQ205" s="305">
        <v>361</v>
      </c>
      <c r="BR205" s="305"/>
      <c r="BS205" s="35">
        <f t="shared" si="81"/>
        <v>238</v>
      </c>
      <c r="BT205" s="35">
        <v>597</v>
      </c>
      <c r="BU205" s="35"/>
      <c r="BV205" s="6">
        <f t="shared" si="82"/>
        <v>236</v>
      </c>
      <c r="BW205" s="35">
        <v>823</v>
      </c>
      <c r="BX205" s="35"/>
      <c r="BY205" s="35">
        <f t="shared" si="83"/>
        <v>226</v>
      </c>
      <c r="BZ205" s="35"/>
      <c r="CA205" s="6"/>
      <c r="CB205" s="6"/>
      <c r="CC205" s="6">
        <v>207</v>
      </c>
      <c r="CD205" s="6">
        <v>851</v>
      </c>
      <c r="CE205" s="6">
        <f t="shared" si="84"/>
        <v>235</v>
      </c>
      <c r="CF205" s="6">
        <v>443</v>
      </c>
      <c r="CG205" s="6"/>
      <c r="CH205" s="6">
        <f t="shared" si="85"/>
        <v>236</v>
      </c>
      <c r="CI205" s="6">
        <v>680</v>
      </c>
      <c r="CJ205" s="6"/>
      <c r="CK205" s="6">
        <f t="shared" si="86"/>
        <v>237</v>
      </c>
      <c r="CL205" s="6">
        <v>910</v>
      </c>
      <c r="CM205" s="6"/>
      <c r="CN205" s="6">
        <f t="shared" si="87"/>
        <v>230</v>
      </c>
      <c r="CO205" s="6">
        <v>223</v>
      </c>
      <c r="CP205" s="6">
        <v>912</v>
      </c>
      <c r="CQ205" s="6">
        <f t="shared" si="88"/>
        <v>225</v>
      </c>
      <c r="CR205" s="6">
        <v>438</v>
      </c>
      <c r="CS205" s="6"/>
      <c r="CT205" s="6">
        <f t="shared" si="89"/>
        <v>215</v>
      </c>
      <c r="CU205" s="6"/>
      <c r="CV205" s="6"/>
      <c r="CW205" s="6"/>
      <c r="CX205" s="6">
        <v>654</v>
      </c>
      <c r="CY205" s="6"/>
      <c r="CZ205" s="6">
        <f t="shared" si="90"/>
        <v>216</v>
      </c>
      <c r="DA205" s="6">
        <v>888</v>
      </c>
      <c r="DB205" s="6"/>
      <c r="DC205" s="6">
        <f t="shared" si="91"/>
        <v>234</v>
      </c>
      <c r="DD205" s="6">
        <v>165</v>
      </c>
      <c r="DE205" s="6">
        <v>943</v>
      </c>
      <c r="DF205" s="6">
        <f t="shared" si="92"/>
        <v>220</v>
      </c>
      <c r="DG205" s="6">
        <v>404</v>
      </c>
      <c r="DH205" s="10"/>
      <c r="DI205" s="6">
        <f t="shared" si="93"/>
        <v>239</v>
      </c>
      <c r="DJ205" s="6">
        <v>642</v>
      </c>
      <c r="DK205" s="10"/>
      <c r="DL205" s="6">
        <f t="shared" si="94"/>
        <v>238</v>
      </c>
      <c r="DM205" s="6">
        <v>841</v>
      </c>
      <c r="DN205" s="10"/>
      <c r="DO205" s="6">
        <f t="shared" si="95"/>
        <v>199</v>
      </c>
    </row>
    <row r="206" spans="1:119">
      <c r="A206" s="6">
        <v>202</v>
      </c>
      <c r="B206" s="6">
        <v>621</v>
      </c>
      <c r="C206" s="10"/>
      <c r="D206" s="6">
        <v>123</v>
      </c>
      <c r="E206" s="141" t="s">
        <v>72</v>
      </c>
      <c r="F206" s="141" t="s">
        <v>72</v>
      </c>
      <c r="G206" s="141" t="s">
        <v>72</v>
      </c>
      <c r="H206" s="141" t="s">
        <v>72</v>
      </c>
      <c r="I206" s="141" t="s">
        <v>72</v>
      </c>
      <c r="J206" s="141" t="s">
        <v>72</v>
      </c>
      <c r="K206" s="141" t="s">
        <v>72</v>
      </c>
      <c r="L206" s="141" t="s">
        <v>72</v>
      </c>
      <c r="M206" s="141" t="s">
        <v>72</v>
      </c>
      <c r="N206" s="141" t="s">
        <v>72</v>
      </c>
      <c r="O206" s="141" t="s">
        <v>72</v>
      </c>
      <c r="P206" s="163" t="s">
        <v>72</v>
      </c>
      <c r="Q206" s="141" t="s">
        <v>72</v>
      </c>
      <c r="R206" s="141" t="s">
        <v>72</v>
      </c>
      <c r="S206" s="141" t="s">
        <v>72</v>
      </c>
      <c r="T206" s="141" t="s">
        <v>72</v>
      </c>
      <c r="U206" s="141" t="s">
        <v>72</v>
      </c>
      <c r="V206" s="141" t="s">
        <v>72</v>
      </c>
      <c r="W206" s="141" t="s">
        <v>72</v>
      </c>
      <c r="X206" s="141" t="s">
        <v>72</v>
      </c>
      <c r="Y206" s="163" t="s">
        <v>72</v>
      </c>
      <c r="Z206" s="141" t="s">
        <v>72</v>
      </c>
      <c r="AA206" s="141" t="s">
        <v>72</v>
      </c>
      <c r="AB206" s="141" t="s">
        <v>72</v>
      </c>
      <c r="AC206" s="141" t="s">
        <v>72</v>
      </c>
      <c r="AD206" s="6"/>
      <c r="AE206" s="6"/>
      <c r="AF206" s="35"/>
      <c r="AG206" s="6"/>
      <c r="AH206" s="6"/>
      <c r="AI206" s="35"/>
      <c r="AJ206" s="35"/>
      <c r="AK206" s="35"/>
      <c r="AL206" s="35"/>
      <c r="AM206" s="6">
        <v>876</v>
      </c>
      <c r="AN206" s="6"/>
      <c r="AO206" s="35">
        <f t="shared" si="72"/>
        <v>255</v>
      </c>
      <c r="AP206" s="6">
        <v>8</v>
      </c>
      <c r="AQ206" s="6">
        <v>1100</v>
      </c>
      <c r="AR206" s="34">
        <f t="shared" si="73"/>
        <v>232</v>
      </c>
      <c r="AS206" s="35">
        <v>242</v>
      </c>
      <c r="AT206" s="35"/>
      <c r="AU206" s="35">
        <f t="shared" si="74"/>
        <v>234</v>
      </c>
      <c r="AV206" s="6">
        <v>478</v>
      </c>
      <c r="AW206" s="6"/>
      <c r="AX206" s="35">
        <f t="shared" si="75"/>
        <v>236</v>
      </c>
      <c r="AY206" s="6">
        <v>719</v>
      </c>
      <c r="AZ206" s="6"/>
      <c r="BA206" s="35">
        <f t="shared" si="76"/>
        <v>241</v>
      </c>
      <c r="BB206" s="35">
        <v>942</v>
      </c>
      <c r="BC206" s="35"/>
      <c r="BD206" s="35">
        <f t="shared" si="77"/>
        <v>223</v>
      </c>
      <c r="BE206" s="35"/>
      <c r="BF206" s="6"/>
      <c r="BG206" s="35"/>
      <c r="BH206" s="6">
        <v>66</v>
      </c>
      <c r="BI206" s="6">
        <v>1100</v>
      </c>
      <c r="BJ206" s="35">
        <f t="shared" si="78"/>
        <v>224</v>
      </c>
      <c r="BK206" s="6">
        <v>298</v>
      </c>
      <c r="BL206" s="6"/>
      <c r="BM206" s="6">
        <f t="shared" si="79"/>
        <v>232</v>
      </c>
      <c r="BN206" s="35">
        <v>182</v>
      </c>
      <c r="BO206" s="305">
        <v>350</v>
      </c>
      <c r="BP206" s="7">
        <f t="shared" si="80"/>
        <v>234</v>
      </c>
      <c r="BQ206" s="305">
        <v>0</v>
      </c>
      <c r="BR206" s="305">
        <v>284</v>
      </c>
      <c r="BS206" s="35">
        <f t="shared" si="81"/>
        <v>102</v>
      </c>
      <c r="BT206" s="35">
        <v>216</v>
      </c>
      <c r="BU206" s="35"/>
      <c r="BV206" s="6">
        <f t="shared" si="82"/>
        <v>216</v>
      </c>
      <c r="BW206" s="35">
        <v>441</v>
      </c>
      <c r="BX206" s="35"/>
      <c r="BY206" s="35">
        <f t="shared" si="83"/>
        <v>225</v>
      </c>
      <c r="BZ206" s="35"/>
      <c r="CA206" s="6"/>
      <c r="CB206" s="6"/>
      <c r="CC206" s="6">
        <v>678</v>
      </c>
      <c r="CD206" s="6"/>
      <c r="CE206" s="6">
        <f t="shared" si="84"/>
        <v>237</v>
      </c>
      <c r="CF206" s="6">
        <v>911</v>
      </c>
      <c r="CG206" s="6"/>
      <c r="CH206" s="6">
        <f t="shared" si="85"/>
        <v>233</v>
      </c>
      <c r="CI206" s="6">
        <v>46</v>
      </c>
      <c r="CJ206" s="6">
        <v>1100</v>
      </c>
      <c r="CK206" s="6">
        <f t="shared" si="86"/>
        <v>235</v>
      </c>
      <c r="CL206" s="6">
        <v>283</v>
      </c>
      <c r="CM206" s="6"/>
      <c r="CN206" s="6">
        <f t="shared" si="87"/>
        <v>237</v>
      </c>
      <c r="CO206" s="6">
        <v>9</v>
      </c>
      <c r="CP206" s="6">
        <v>500</v>
      </c>
      <c r="CQ206" s="6">
        <f t="shared" si="88"/>
        <v>226</v>
      </c>
      <c r="CR206" s="6">
        <v>227</v>
      </c>
      <c r="CS206" s="6"/>
      <c r="CT206" s="6">
        <f t="shared" si="89"/>
        <v>218</v>
      </c>
      <c r="CU206" s="6"/>
      <c r="CV206" s="6"/>
      <c r="CW206" s="6"/>
      <c r="CX206" s="6">
        <v>460</v>
      </c>
      <c r="CY206" s="6"/>
      <c r="CZ206" s="6">
        <f t="shared" si="90"/>
        <v>233</v>
      </c>
      <c r="DA206" s="6">
        <v>188</v>
      </c>
      <c r="DB206" s="6">
        <v>484</v>
      </c>
      <c r="DC206" s="6">
        <f t="shared" si="91"/>
        <v>212</v>
      </c>
      <c r="DD206" s="6">
        <v>423</v>
      </c>
      <c r="DE206" s="6"/>
      <c r="DF206" s="6">
        <f t="shared" si="92"/>
        <v>235</v>
      </c>
      <c r="DG206" s="6">
        <v>652</v>
      </c>
      <c r="DH206" s="10"/>
      <c r="DI206" s="6">
        <f t="shared" si="93"/>
        <v>229</v>
      </c>
      <c r="DJ206" s="6">
        <v>886</v>
      </c>
      <c r="DK206" s="10"/>
      <c r="DL206" s="6">
        <f t="shared" si="94"/>
        <v>234</v>
      </c>
      <c r="DM206" s="6">
        <v>1100</v>
      </c>
      <c r="DN206" s="10"/>
      <c r="DO206" s="6">
        <f t="shared" si="95"/>
        <v>214</v>
      </c>
    </row>
    <row r="207" spans="1:119">
      <c r="A207" s="6">
        <v>203</v>
      </c>
      <c r="B207" s="6">
        <v>238</v>
      </c>
      <c r="C207" s="10"/>
      <c r="D207" s="6">
        <v>138</v>
      </c>
      <c r="E207" s="141" t="s">
        <v>291</v>
      </c>
      <c r="F207" s="141" t="s">
        <v>291</v>
      </c>
      <c r="G207" s="141" t="s">
        <v>291</v>
      </c>
      <c r="H207" s="141" t="s">
        <v>291</v>
      </c>
      <c r="I207" s="141" t="s">
        <v>291</v>
      </c>
      <c r="J207" s="141" t="s">
        <v>291</v>
      </c>
      <c r="K207" s="141" t="s">
        <v>291</v>
      </c>
      <c r="L207" s="141" t="s">
        <v>291</v>
      </c>
      <c r="M207" s="141" t="s">
        <v>291</v>
      </c>
      <c r="N207" s="141" t="s">
        <v>291</v>
      </c>
      <c r="O207" s="141" t="s">
        <v>291</v>
      </c>
      <c r="P207" s="141" t="s">
        <v>291</v>
      </c>
      <c r="Q207" s="141" t="s">
        <v>291</v>
      </c>
      <c r="R207" s="141" t="s">
        <v>291</v>
      </c>
      <c r="S207" s="141" t="s">
        <v>291</v>
      </c>
      <c r="T207" s="163" t="s">
        <v>75</v>
      </c>
      <c r="U207" s="141" t="s">
        <v>75</v>
      </c>
      <c r="V207" s="141" t="s">
        <v>75</v>
      </c>
      <c r="W207" s="141" t="s">
        <v>75</v>
      </c>
      <c r="X207" s="141" t="s">
        <v>75</v>
      </c>
      <c r="Y207" s="141" t="s">
        <v>75</v>
      </c>
      <c r="Z207" s="141" t="s">
        <v>75</v>
      </c>
      <c r="AA207" s="141" t="s">
        <v>75</v>
      </c>
      <c r="AB207" s="141" t="s">
        <v>75</v>
      </c>
      <c r="AC207" s="141" t="s">
        <v>75</v>
      </c>
      <c r="AD207" s="6"/>
      <c r="AE207" s="6"/>
      <c r="AF207" s="35"/>
      <c r="AG207" s="6"/>
      <c r="AH207" s="6"/>
      <c r="AI207" s="35"/>
      <c r="AJ207" s="35"/>
      <c r="AK207" s="35"/>
      <c r="AL207" s="35"/>
      <c r="AM207" s="6">
        <v>518</v>
      </c>
      <c r="AN207" s="6"/>
      <c r="AO207" s="35">
        <f t="shared" si="72"/>
        <v>280</v>
      </c>
      <c r="AP207" s="6">
        <v>766</v>
      </c>
      <c r="AQ207" s="6"/>
      <c r="AR207" s="34">
        <f t="shared" si="73"/>
        <v>248</v>
      </c>
      <c r="AS207" s="35">
        <v>1024</v>
      </c>
      <c r="AT207" s="35"/>
      <c r="AU207" s="35">
        <f t="shared" si="74"/>
        <v>258</v>
      </c>
      <c r="AV207" s="6">
        <v>186</v>
      </c>
      <c r="AW207" s="6">
        <v>1100</v>
      </c>
      <c r="AX207" s="35">
        <f t="shared" si="75"/>
        <v>262</v>
      </c>
      <c r="AY207" s="6">
        <v>450</v>
      </c>
      <c r="AZ207" s="6"/>
      <c r="BA207" s="35">
        <f t="shared" si="76"/>
        <v>264</v>
      </c>
      <c r="BB207" s="35">
        <v>701</v>
      </c>
      <c r="BC207" s="35"/>
      <c r="BD207" s="35">
        <f t="shared" si="77"/>
        <v>251</v>
      </c>
      <c r="BE207" s="35"/>
      <c r="BF207" s="6"/>
      <c r="BG207" s="35"/>
      <c r="BH207" s="6">
        <v>944</v>
      </c>
      <c r="BI207" s="6"/>
      <c r="BJ207" s="35">
        <f t="shared" si="78"/>
        <v>243</v>
      </c>
      <c r="BK207" s="6">
        <v>99</v>
      </c>
      <c r="BL207" s="6">
        <v>1100</v>
      </c>
      <c r="BM207" s="6">
        <f t="shared" si="79"/>
        <v>255</v>
      </c>
      <c r="BN207" s="35">
        <v>363</v>
      </c>
      <c r="BO207" s="305"/>
      <c r="BP207" s="7">
        <f t="shared" si="80"/>
        <v>264</v>
      </c>
      <c r="BQ207" s="305">
        <v>622</v>
      </c>
      <c r="BR207" s="305"/>
      <c r="BS207" s="35">
        <f t="shared" si="81"/>
        <v>259</v>
      </c>
      <c r="BT207" s="35">
        <v>888</v>
      </c>
      <c r="BU207" s="35"/>
      <c r="BV207" s="6">
        <f t="shared" si="82"/>
        <v>266</v>
      </c>
      <c r="BW207" s="35">
        <v>39</v>
      </c>
      <c r="BX207" s="35">
        <v>1100</v>
      </c>
      <c r="BY207" s="35">
        <f t="shared" si="83"/>
        <v>251</v>
      </c>
      <c r="BZ207" s="35"/>
      <c r="CA207" s="6"/>
      <c r="CB207" s="6"/>
      <c r="CC207" s="6">
        <v>306</v>
      </c>
      <c r="CD207" s="6"/>
      <c r="CE207" s="6">
        <f t="shared" si="84"/>
        <v>267</v>
      </c>
      <c r="CF207" s="6">
        <v>570</v>
      </c>
      <c r="CG207" s="6"/>
      <c r="CH207" s="6">
        <f t="shared" si="85"/>
        <v>264</v>
      </c>
      <c r="CI207" s="6">
        <v>238</v>
      </c>
      <c r="CJ207" s="6">
        <v>577</v>
      </c>
      <c r="CK207" s="6">
        <f t="shared" si="86"/>
        <v>245</v>
      </c>
      <c r="CL207" s="6">
        <v>503</v>
      </c>
      <c r="CM207" s="6"/>
      <c r="CN207" s="6">
        <f t="shared" si="87"/>
        <v>265</v>
      </c>
      <c r="CO207" s="6">
        <v>758</v>
      </c>
      <c r="CP207" s="6"/>
      <c r="CQ207" s="6">
        <f t="shared" si="88"/>
        <v>255</v>
      </c>
      <c r="CR207" s="6">
        <v>1010</v>
      </c>
      <c r="CS207" s="6"/>
      <c r="CT207" s="6">
        <f t="shared" si="89"/>
        <v>252</v>
      </c>
      <c r="CU207" s="6"/>
      <c r="CV207" s="6"/>
      <c r="CW207" s="6"/>
      <c r="CX207" s="6">
        <v>176</v>
      </c>
      <c r="CY207" s="6">
        <v>1100</v>
      </c>
      <c r="CZ207" s="6">
        <f t="shared" si="90"/>
        <v>266</v>
      </c>
      <c r="DA207" s="6">
        <v>439</v>
      </c>
      <c r="DB207" s="6"/>
      <c r="DC207" s="6">
        <f t="shared" si="91"/>
        <v>263</v>
      </c>
      <c r="DD207" s="6">
        <v>701</v>
      </c>
      <c r="DE207" s="6"/>
      <c r="DF207" s="6">
        <f t="shared" si="92"/>
        <v>262</v>
      </c>
      <c r="DG207" s="6">
        <v>965</v>
      </c>
      <c r="DH207" s="10"/>
      <c r="DI207" s="6">
        <f t="shared" si="93"/>
        <v>264</v>
      </c>
      <c r="DJ207" s="6">
        <v>126</v>
      </c>
      <c r="DK207" s="10">
        <v>1100</v>
      </c>
      <c r="DL207" s="6">
        <f t="shared" si="94"/>
        <v>261</v>
      </c>
      <c r="DM207" s="6">
        <v>366</v>
      </c>
      <c r="DN207" s="10"/>
      <c r="DO207" s="6">
        <f t="shared" si="95"/>
        <v>240</v>
      </c>
    </row>
    <row r="208" spans="1:119">
      <c r="A208" s="6">
        <v>204</v>
      </c>
      <c r="B208" s="6">
        <v>28</v>
      </c>
      <c r="C208" s="10">
        <v>1100</v>
      </c>
      <c r="D208" s="6">
        <v>126</v>
      </c>
      <c r="E208" s="141" t="s">
        <v>72</v>
      </c>
      <c r="F208" s="141" t="s">
        <v>72</v>
      </c>
      <c r="G208" s="141" t="s">
        <v>72</v>
      </c>
      <c r="H208" s="141" t="s">
        <v>72</v>
      </c>
      <c r="I208" s="141" t="s">
        <v>72</v>
      </c>
      <c r="J208" s="141" t="s">
        <v>72</v>
      </c>
      <c r="K208" s="141" t="s">
        <v>72</v>
      </c>
      <c r="L208" s="163" t="s">
        <v>72</v>
      </c>
      <c r="M208" s="141" t="s">
        <v>72</v>
      </c>
      <c r="N208" s="141" t="s">
        <v>72</v>
      </c>
      <c r="O208" s="141" t="s">
        <v>72</v>
      </c>
      <c r="P208" s="141" t="s">
        <v>72</v>
      </c>
      <c r="Q208" s="141" t="s">
        <v>72</v>
      </c>
      <c r="R208" s="141" t="s">
        <v>72</v>
      </c>
      <c r="S208" s="141" t="s">
        <v>72</v>
      </c>
      <c r="T208" s="141" t="s">
        <v>72</v>
      </c>
      <c r="U208" s="163" t="s">
        <v>72</v>
      </c>
      <c r="V208" s="141" t="s">
        <v>72</v>
      </c>
      <c r="W208" s="141" t="s">
        <v>72</v>
      </c>
      <c r="X208" s="141" t="s">
        <v>72</v>
      </c>
      <c r="Y208" s="141" t="s">
        <v>72</v>
      </c>
      <c r="Z208" s="141" t="s">
        <v>72</v>
      </c>
      <c r="AA208" s="141" t="s">
        <v>72</v>
      </c>
      <c r="AB208" s="141" t="s">
        <v>72</v>
      </c>
      <c r="AC208" s="141" t="s">
        <v>72</v>
      </c>
      <c r="AD208" s="6"/>
      <c r="AE208" s="6"/>
      <c r="AF208" s="35"/>
      <c r="AG208" s="6"/>
      <c r="AH208" s="6"/>
      <c r="AI208" s="35"/>
      <c r="AJ208" s="35"/>
      <c r="AK208" s="35"/>
      <c r="AL208" s="35"/>
      <c r="AM208" s="6">
        <v>278</v>
      </c>
      <c r="AN208" s="6"/>
      <c r="AO208" s="35">
        <f t="shared" si="72"/>
        <v>250</v>
      </c>
      <c r="AP208" s="6">
        <v>174</v>
      </c>
      <c r="AQ208" s="6">
        <v>339</v>
      </c>
      <c r="AR208" s="34">
        <f t="shared" si="73"/>
        <v>235</v>
      </c>
      <c r="AS208" s="35">
        <v>412</v>
      </c>
      <c r="AT208" s="35"/>
      <c r="AU208" s="35">
        <f t="shared" si="74"/>
        <v>238</v>
      </c>
      <c r="AV208" s="6">
        <v>658</v>
      </c>
      <c r="AW208" s="6"/>
      <c r="AX208" s="35">
        <f t="shared" si="75"/>
        <v>246</v>
      </c>
      <c r="AY208" s="6">
        <v>906</v>
      </c>
      <c r="AZ208" s="6"/>
      <c r="BA208" s="35">
        <f t="shared" si="76"/>
        <v>248</v>
      </c>
      <c r="BB208" s="35">
        <v>0</v>
      </c>
      <c r="BC208" s="35">
        <v>1033</v>
      </c>
      <c r="BD208" s="35">
        <f t="shared" si="77"/>
        <v>127</v>
      </c>
      <c r="BE208" s="35"/>
      <c r="BF208" s="6"/>
      <c r="BG208" s="35"/>
      <c r="BH208" s="6">
        <v>228</v>
      </c>
      <c r="BI208" s="6"/>
      <c r="BJ208" s="35">
        <f t="shared" si="78"/>
        <v>228</v>
      </c>
      <c r="BK208" s="6">
        <v>473</v>
      </c>
      <c r="BL208" s="6"/>
      <c r="BM208" s="6">
        <f t="shared" si="79"/>
        <v>245</v>
      </c>
      <c r="BN208" s="35">
        <v>717</v>
      </c>
      <c r="BO208" s="35"/>
      <c r="BP208" s="6">
        <f t="shared" si="80"/>
        <v>244</v>
      </c>
      <c r="BQ208" s="35">
        <v>954</v>
      </c>
      <c r="BR208" s="35"/>
      <c r="BS208" s="35">
        <f t="shared" si="81"/>
        <v>237</v>
      </c>
      <c r="BT208" s="35">
        <v>87</v>
      </c>
      <c r="BU208" s="35">
        <v>1100</v>
      </c>
      <c r="BV208" s="6">
        <f t="shared" si="82"/>
        <v>233</v>
      </c>
      <c r="BW208" s="35">
        <v>304</v>
      </c>
      <c r="BX208" s="35"/>
      <c r="BY208" s="35">
        <f t="shared" si="83"/>
        <v>217</v>
      </c>
      <c r="BZ208" s="35"/>
      <c r="CA208" s="6"/>
      <c r="CB208" s="6"/>
      <c r="CC208" s="35">
        <v>537</v>
      </c>
      <c r="CD208" s="6"/>
      <c r="CE208" s="6">
        <f t="shared" si="84"/>
        <v>233</v>
      </c>
      <c r="CF208" s="6">
        <v>754</v>
      </c>
      <c r="CG208" s="6"/>
      <c r="CH208" s="6">
        <f t="shared" si="85"/>
        <v>217</v>
      </c>
      <c r="CI208" s="6">
        <v>993</v>
      </c>
      <c r="CJ208" s="6"/>
      <c r="CK208" s="6">
        <f t="shared" si="86"/>
        <v>239</v>
      </c>
      <c r="CL208" s="6">
        <v>185</v>
      </c>
      <c r="CM208" s="6">
        <v>1006</v>
      </c>
      <c r="CN208" s="6">
        <f>CM208+CL208-CI208</f>
        <v>198</v>
      </c>
      <c r="CO208" s="6">
        <v>421</v>
      </c>
      <c r="CP208" s="6"/>
      <c r="CQ208" s="6">
        <f t="shared" si="88"/>
        <v>236</v>
      </c>
      <c r="CR208" s="6">
        <v>645</v>
      </c>
      <c r="CS208" s="6"/>
      <c r="CT208" s="6">
        <f t="shared" si="89"/>
        <v>224</v>
      </c>
      <c r="CU208" s="6"/>
      <c r="CV208" s="6"/>
      <c r="CW208" s="6"/>
      <c r="CX208" s="6">
        <v>884</v>
      </c>
      <c r="CY208" s="6"/>
      <c r="CZ208" s="6">
        <f t="shared" si="90"/>
        <v>239</v>
      </c>
      <c r="DA208" s="6">
        <v>13</v>
      </c>
      <c r="DB208" s="6">
        <v>1100</v>
      </c>
      <c r="DC208" s="6">
        <f t="shared" si="91"/>
        <v>229</v>
      </c>
      <c r="DD208" s="6">
        <v>246</v>
      </c>
      <c r="DE208" s="6"/>
      <c r="DF208" s="6">
        <f t="shared" si="92"/>
        <v>233</v>
      </c>
      <c r="DG208" s="6">
        <v>485</v>
      </c>
      <c r="DH208" s="10"/>
      <c r="DI208" s="6">
        <f t="shared" si="93"/>
        <v>239</v>
      </c>
      <c r="DJ208" s="6">
        <v>726</v>
      </c>
      <c r="DK208" s="10"/>
      <c r="DL208" s="6">
        <f t="shared" si="94"/>
        <v>241</v>
      </c>
      <c r="DM208" s="6">
        <v>941</v>
      </c>
      <c r="DN208" s="10"/>
      <c r="DO208" s="6">
        <f t="shared" si="95"/>
        <v>215</v>
      </c>
    </row>
    <row r="209" spans="1:119">
      <c r="A209" s="6">
        <v>205</v>
      </c>
      <c r="B209" s="6">
        <v>461</v>
      </c>
      <c r="C209" s="10"/>
      <c r="D209" s="6">
        <v>127</v>
      </c>
      <c r="E209" s="141" t="s">
        <v>72</v>
      </c>
      <c r="F209" s="141" t="s">
        <v>72</v>
      </c>
      <c r="G209" s="141" t="s">
        <v>72</v>
      </c>
      <c r="H209" s="141" t="s">
        <v>72</v>
      </c>
      <c r="I209" s="141" t="s">
        <v>72</v>
      </c>
      <c r="J209" s="141" t="s">
        <v>72</v>
      </c>
      <c r="K209" s="141" t="s">
        <v>72</v>
      </c>
      <c r="L209" s="141" t="s">
        <v>72</v>
      </c>
      <c r="M209" s="141" t="s">
        <v>72</v>
      </c>
      <c r="N209" s="141" t="s">
        <v>72</v>
      </c>
      <c r="O209" s="163" t="s">
        <v>72</v>
      </c>
      <c r="P209" s="141" t="s">
        <v>72</v>
      </c>
      <c r="Q209" s="141" t="s">
        <v>72</v>
      </c>
      <c r="R209" s="163" t="s">
        <v>72</v>
      </c>
      <c r="S209" s="141" t="s">
        <v>72</v>
      </c>
      <c r="T209" s="141" t="s">
        <v>72</v>
      </c>
      <c r="U209" s="141" t="s">
        <v>72</v>
      </c>
      <c r="V209" s="141" t="s">
        <v>72</v>
      </c>
      <c r="W209" s="141" t="s">
        <v>72</v>
      </c>
      <c r="X209" s="163" t="s">
        <v>72</v>
      </c>
      <c r="Y209" s="141" t="s">
        <v>72</v>
      </c>
      <c r="Z209" s="141" t="s">
        <v>72</v>
      </c>
      <c r="AA209" s="141" t="s">
        <v>72</v>
      </c>
      <c r="AB209" s="141" t="s">
        <v>72</v>
      </c>
      <c r="AC209" s="141" t="s">
        <v>72</v>
      </c>
      <c r="AD209" s="6"/>
      <c r="AE209" s="6"/>
      <c r="AF209" s="35"/>
      <c r="AG209" s="6"/>
      <c r="AH209" s="6"/>
      <c r="AI209" s="35"/>
      <c r="AJ209" s="35"/>
      <c r="AK209" s="35"/>
      <c r="AL209" s="35"/>
      <c r="AM209" s="6">
        <v>721</v>
      </c>
      <c r="AN209" s="6"/>
      <c r="AO209" s="35">
        <f t="shared" si="72"/>
        <v>260</v>
      </c>
      <c r="AP209" s="6">
        <v>951</v>
      </c>
      <c r="AQ209" s="6"/>
      <c r="AR209" s="34">
        <f t="shared" si="73"/>
        <v>230</v>
      </c>
      <c r="AS209" s="35">
        <v>92</v>
      </c>
      <c r="AT209" s="35">
        <v>1100</v>
      </c>
      <c r="AU209" s="35">
        <f t="shared" si="74"/>
        <v>241</v>
      </c>
      <c r="AV209" s="6">
        <v>336</v>
      </c>
      <c r="AW209" s="6"/>
      <c r="AX209" s="35">
        <f t="shared" si="75"/>
        <v>244</v>
      </c>
      <c r="AY209" s="6">
        <v>27</v>
      </c>
      <c r="AZ209" s="6">
        <v>550</v>
      </c>
      <c r="BA209" s="35">
        <f t="shared" si="76"/>
        <v>241</v>
      </c>
      <c r="BB209" s="35">
        <v>263</v>
      </c>
      <c r="BC209" s="35"/>
      <c r="BD209" s="35">
        <f t="shared" si="77"/>
        <v>236</v>
      </c>
      <c r="BE209" s="35"/>
      <c r="BF209" s="6"/>
      <c r="BG209" s="35"/>
      <c r="BH209" s="6">
        <v>51</v>
      </c>
      <c r="BI209" s="6">
        <v>456</v>
      </c>
      <c r="BJ209" s="35">
        <f t="shared" si="78"/>
        <v>244</v>
      </c>
      <c r="BK209" s="6">
        <v>294</v>
      </c>
      <c r="BL209" s="6"/>
      <c r="BM209" s="6">
        <f t="shared" si="79"/>
        <v>243</v>
      </c>
      <c r="BN209" s="35">
        <v>0</v>
      </c>
      <c r="BO209" s="35">
        <v>466</v>
      </c>
      <c r="BP209" s="6">
        <f t="shared" si="80"/>
        <v>172</v>
      </c>
      <c r="BQ209" s="35">
        <v>232</v>
      </c>
      <c r="BR209" s="35"/>
      <c r="BS209" s="35">
        <f t="shared" si="81"/>
        <v>232</v>
      </c>
      <c r="BT209" s="35">
        <v>478</v>
      </c>
      <c r="BU209" s="35"/>
      <c r="BV209" s="6">
        <f t="shared" si="82"/>
        <v>246</v>
      </c>
      <c r="BW209" s="35">
        <v>0</v>
      </c>
      <c r="BX209" s="35">
        <v>656</v>
      </c>
      <c r="BY209" s="35">
        <f t="shared" si="83"/>
        <v>178</v>
      </c>
      <c r="BZ209" s="35"/>
      <c r="CA209" s="6"/>
      <c r="CB209" s="6"/>
      <c r="CC209" s="6">
        <v>173</v>
      </c>
      <c r="CD209" s="6"/>
      <c r="CE209" s="6">
        <f t="shared" si="84"/>
        <v>173</v>
      </c>
      <c r="CF209" s="6">
        <v>417</v>
      </c>
      <c r="CG209" s="6"/>
      <c r="CH209" s="6">
        <f t="shared" si="85"/>
        <v>244</v>
      </c>
      <c r="CI209" s="6">
        <v>660</v>
      </c>
      <c r="CJ209" s="6"/>
      <c r="CK209" s="6">
        <f t="shared" si="86"/>
        <v>243</v>
      </c>
      <c r="CL209" s="6">
        <v>904</v>
      </c>
      <c r="CM209" s="6"/>
      <c r="CN209" s="6">
        <f t="shared" si="87"/>
        <v>244</v>
      </c>
      <c r="CO209" s="6">
        <v>1144</v>
      </c>
      <c r="CP209" s="6"/>
      <c r="CQ209" s="6">
        <f t="shared" si="88"/>
        <v>240</v>
      </c>
      <c r="CR209" s="6">
        <v>0</v>
      </c>
      <c r="CS209" s="6">
        <v>1210</v>
      </c>
      <c r="CT209" s="6">
        <f t="shared" si="89"/>
        <v>66</v>
      </c>
      <c r="CU209" s="6"/>
      <c r="CV209" s="6"/>
      <c r="CW209" s="6"/>
      <c r="CX209" s="6">
        <v>221</v>
      </c>
      <c r="CY209" s="6"/>
      <c r="CZ209" s="6">
        <f t="shared" si="90"/>
        <v>221</v>
      </c>
      <c r="DA209" s="6">
        <v>468</v>
      </c>
      <c r="DB209" s="6"/>
      <c r="DC209" s="6">
        <f t="shared" si="91"/>
        <v>247</v>
      </c>
      <c r="DD209" s="6">
        <v>709</v>
      </c>
      <c r="DE209" s="6"/>
      <c r="DF209" s="6">
        <f t="shared" si="92"/>
        <v>241</v>
      </c>
      <c r="DG209" s="6">
        <v>942</v>
      </c>
      <c r="DH209" s="10"/>
      <c r="DI209" s="6">
        <f t="shared" si="93"/>
        <v>233</v>
      </c>
      <c r="DJ209" s="6">
        <v>80</v>
      </c>
      <c r="DK209" s="10">
        <v>1100</v>
      </c>
      <c r="DL209" s="6">
        <f t="shared" si="94"/>
        <v>238</v>
      </c>
      <c r="DM209" s="6">
        <v>303</v>
      </c>
      <c r="DN209" s="10"/>
      <c r="DO209" s="6">
        <f t="shared" si="95"/>
        <v>223</v>
      </c>
    </row>
    <row r="210" spans="1:119">
      <c r="A210" s="6">
        <v>206</v>
      </c>
      <c r="B210" s="6">
        <v>27</v>
      </c>
      <c r="C210" s="10">
        <v>1100</v>
      </c>
      <c r="D210" s="6">
        <v>124</v>
      </c>
      <c r="E210" s="141" t="s">
        <v>72</v>
      </c>
      <c r="F210" s="141" t="s">
        <v>72</v>
      </c>
      <c r="G210" s="141" t="s">
        <v>72</v>
      </c>
      <c r="H210" s="141" t="s">
        <v>72</v>
      </c>
      <c r="I210" s="141" t="s">
        <v>72</v>
      </c>
      <c r="J210" s="141" t="s">
        <v>72</v>
      </c>
      <c r="K210" s="141" t="s">
        <v>72</v>
      </c>
      <c r="L210" s="141" t="s">
        <v>72</v>
      </c>
      <c r="M210" s="141" t="s">
        <v>72</v>
      </c>
      <c r="N210" s="141" t="s">
        <v>72</v>
      </c>
      <c r="O210" s="141" t="s">
        <v>72</v>
      </c>
      <c r="P210" s="141" t="s">
        <v>72</v>
      </c>
      <c r="Q210" s="163" t="s">
        <v>72</v>
      </c>
      <c r="R210" s="141" t="s">
        <v>72</v>
      </c>
      <c r="S210" s="141" t="s">
        <v>72</v>
      </c>
      <c r="T210" s="141" t="s">
        <v>72</v>
      </c>
      <c r="U210" s="141" t="s">
        <v>72</v>
      </c>
      <c r="V210" s="141" t="s">
        <v>72</v>
      </c>
      <c r="W210" s="141" t="s">
        <v>72</v>
      </c>
      <c r="X210" s="141" t="s">
        <v>72</v>
      </c>
      <c r="Y210" s="141" t="s">
        <v>72</v>
      </c>
      <c r="Z210" s="141" t="s">
        <v>72</v>
      </c>
      <c r="AA210" s="141" t="s">
        <v>72</v>
      </c>
      <c r="AB210" s="141" t="s">
        <v>72</v>
      </c>
      <c r="AC210" s="141" t="s">
        <v>72</v>
      </c>
      <c r="AD210" s="6"/>
      <c r="AE210" s="6"/>
      <c r="AF210" s="35"/>
      <c r="AG210" s="6"/>
      <c r="AH210" s="6"/>
      <c r="AI210" s="35"/>
      <c r="AJ210" s="35"/>
      <c r="AK210" s="35"/>
      <c r="AL210" s="35"/>
      <c r="AM210" s="6">
        <v>281</v>
      </c>
      <c r="AN210" s="6"/>
      <c r="AO210" s="35">
        <f t="shared" si="72"/>
        <v>254</v>
      </c>
      <c r="AP210" s="6">
        <v>511</v>
      </c>
      <c r="AQ210" s="6"/>
      <c r="AR210" s="34">
        <f t="shared" si="73"/>
        <v>230</v>
      </c>
      <c r="AS210" s="35">
        <v>748</v>
      </c>
      <c r="AT210" s="35"/>
      <c r="AU210" s="35">
        <f t="shared" si="74"/>
        <v>237</v>
      </c>
      <c r="AV210" s="6">
        <v>989</v>
      </c>
      <c r="AW210" s="6"/>
      <c r="AX210" s="35">
        <f t="shared" si="75"/>
        <v>241</v>
      </c>
      <c r="AY210" s="6">
        <v>128</v>
      </c>
      <c r="AZ210" s="6">
        <v>1100</v>
      </c>
      <c r="BA210" s="35">
        <f t="shared" si="76"/>
        <v>239</v>
      </c>
      <c r="BB210" s="35">
        <v>358</v>
      </c>
      <c r="BC210" s="35"/>
      <c r="BD210" s="35">
        <f t="shared" si="77"/>
        <v>230</v>
      </c>
      <c r="BE210" s="35"/>
      <c r="BF210" s="6"/>
      <c r="BG210" s="35"/>
      <c r="BH210" s="6">
        <v>600</v>
      </c>
      <c r="BI210" s="6"/>
      <c r="BJ210" s="35">
        <f t="shared" si="78"/>
        <v>242</v>
      </c>
      <c r="BK210" s="6">
        <v>836</v>
      </c>
      <c r="BL210" s="6"/>
      <c r="BM210" s="6">
        <f t="shared" si="79"/>
        <v>236</v>
      </c>
      <c r="BN210" s="35">
        <v>1077</v>
      </c>
      <c r="BO210" s="35"/>
      <c r="BP210" s="6">
        <f t="shared" si="80"/>
        <v>241</v>
      </c>
      <c r="BQ210" s="35">
        <v>1320</v>
      </c>
      <c r="BR210" s="35"/>
      <c r="BS210" s="35">
        <f t="shared" si="81"/>
        <v>243</v>
      </c>
      <c r="BT210" s="35">
        <v>0</v>
      </c>
      <c r="BU210" s="35">
        <v>1500</v>
      </c>
      <c r="BV210" s="6">
        <f t="shared" si="82"/>
        <v>180</v>
      </c>
      <c r="BW210" s="35">
        <v>198</v>
      </c>
      <c r="BX210" s="35"/>
      <c r="BY210" s="35">
        <f t="shared" si="83"/>
        <v>198</v>
      </c>
      <c r="BZ210" s="35"/>
      <c r="CA210" s="6"/>
      <c r="CB210" s="6"/>
      <c r="CC210" s="6">
        <v>422</v>
      </c>
      <c r="CD210" s="6"/>
      <c r="CE210" s="6">
        <f t="shared" si="84"/>
        <v>224</v>
      </c>
      <c r="CF210" s="6">
        <v>647</v>
      </c>
      <c r="CG210" s="6"/>
      <c r="CH210" s="6">
        <f t="shared" si="85"/>
        <v>225</v>
      </c>
      <c r="CI210" s="6">
        <v>884</v>
      </c>
      <c r="CJ210" s="6"/>
      <c r="CK210" s="6">
        <f t="shared" si="86"/>
        <v>237</v>
      </c>
      <c r="CL210" s="6">
        <v>20</v>
      </c>
      <c r="CM210" s="6">
        <v>1100</v>
      </c>
      <c r="CN210" s="6">
        <f t="shared" si="87"/>
        <v>236</v>
      </c>
      <c r="CO210" s="6">
        <v>255</v>
      </c>
      <c r="CP210" s="6"/>
      <c r="CQ210" s="6">
        <f t="shared" si="88"/>
        <v>235</v>
      </c>
      <c r="CR210" s="6">
        <v>475</v>
      </c>
      <c r="CS210" s="6"/>
      <c r="CT210" s="6">
        <f t="shared" si="89"/>
        <v>220</v>
      </c>
      <c r="CU210" s="6"/>
      <c r="CV210" s="6"/>
      <c r="CW210" s="6"/>
      <c r="CX210" s="6">
        <v>108</v>
      </c>
      <c r="CY210" s="6">
        <v>605</v>
      </c>
      <c r="CZ210" s="6">
        <f t="shared" si="90"/>
        <v>238</v>
      </c>
      <c r="DA210" s="6">
        <v>344</v>
      </c>
      <c r="DB210" s="6"/>
      <c r="DC210" s="6">
        <f t="shared" si="91"/>
        <v>236</v>
      </c>
      <c r="DD210" s="6">
        <v>579</v>
      </c>
      <c r="DE210" s="6"/>
      <c r="DF210" s="6">
        <f t="shared" si="92"/>
        <v>235</v>
      </c>
      <c r="DG210" s="6">
        <v>161</v>
      </c>
      <c r="DH210" s="10">
        <v>627</v>
      </c>
      <c r="DI210" s="6">
        <f t="shared" si="93"/>
        <v>209</v>
      </c>
      <c r="DJ210" s="6">
        <v>402</v>
      </c>
      <c r="DK210" s="10"/>
      <c r="DL210" s="6">
        <f t="shared" si="94"/>
        <v>241</v>
      </c>
      <c r="DM210" s="6">
        <v>621</v>
      </c>
      <c r="DN210" s="10"/>
      <c r="DO210" s="6">
        <f t="shared" si="95"/>
        <v>219</v>
      </c>
    </row>
    <row r="211" spans="1:119">
      <c r="A211" s="6">
        <v>207</v>
      </c>
      <c r="B211" s="6">
        <v>226</v>
      </c>
      <c r="C211" s="10"/>
      <c r="D211" s="6">
        <v>134</v>
      </c>
      <c r="E211" s="141" t="s">
        <v>291</v>
      </c>
      <c r="F211" s="141" t="s">
        <v>291</v>
      </c>
      <c r="G211" s="141" t="s">
        <v>291</v>
      </c>
      <c r="H211" s="141" t="s">
        <v>291</v>
      </c>
      <c r="I211" s="141" t="s">
        <v>291</v>
      </c>
      <c r="J211" s="141" t="s">
        <v>291</v>
      </c>
      <c r="K211" s="141" t="s">
        <v>291</v>
      </c>
      <c r="L211" s="141" t="s">
        <v>291</v>
      </c>
      <c r="M211" s="141" t="s">
        <v>291</v>
      </c>
      <c r="N211" s="141" t="s">
        <v>291</v>
      </c>
      <c r="O211" s="141" t="s">
        <v>291</v>
      </c>
      <c r="P211" s="141" t="s">
        <v>291</v>
      </c>
      <c r="Q211" s="141" t="s">
        <v>291</v>
      </c>
      <c r="R211" s="141" t="s">
        <v>291</v>
      </c>
      <c r="S211" s="141" t="s">
        <v>291</v>
      </c>
      <c r="T211" s="141" t="s">
        <v>291</v>
      </c>
      <c r="U211" s="163" t="s">
        <v>75</v>
      </c>
      <c r="V211" s="141" t="s">
        <v>75</v>
      </c>
      <c r="W211" s="141" t="s">
        <v>75</v>
      </c>
      <c r="X211" s="141" t="s">
        <v>75</v>
      </c>
      <c r="Y211" s="141" t="s">
        <v>75</v>
      </c>
      <c r="Z211" s="141" t="s">
        <v>75</v>
      </c>
      <c r="AA211" s="141" t="s">
        <v>75</v>
      </c>
      <c r="AB211" s="141" t="s">
        <v>75</v>
      </c>
      <c r="AC211" s="141" t="s">
        <v>75</v>
      </c>
      <c r="AD211" s="6"/>
      <c r="AE211" s="6"/>
      <c r="AF211" s="35"/>
      <c r="AG211" s="6"/>
      <c r="AH211" s="6"/>
      <c r="AI211" s="35"/>
      <c r="AJ211" s="35"/>
      <c r="AK211" s="35"/>
      <c r="AL211" s="35"/>
      <c r="AM211" s="6">
        <v>505</v>
      </c>
      <c r="AN211" s="6"/>
      <c r="AO211" s="35">
        <f t="shared" si="72"/>
        <v>279</v>
      </c>
      <c r="AP211" s="6">
        <v>757</v>
      </c>
      <c r="AQ211" s="6"/>
      <c r="AR211" s="34">
        <f t="shared" si="73"/>
        <v>252</v>
      </c>
      <c r="AS211" s="35">
        <v>1013</v>
      </c>
      <c r="AT211" s="35"/>
      <c r="AU211" s="35">
        <f t="shared" si="74"/>
        <v>256</v>
      </c>
      <c r="AV211" s="6">
        <v>173</v>
      </c>
      <c r="AW211" s="6">
        <v>1100</v>
      </c>
      <c r="AX211" s="35">
        <f t="shared" si="75"/>
        <v>260</v>
      </c>
      <c r="AY211" s="6">
        <v>434</v>
      </c>
      <c r="AZ211" s="6"/>
      <c r="BA211" s="35">
        <f t="shared" si="76"/>
        <v>261</v>
      </c>
      <c r="BB211" s="35">
        <v>681</v>
      </c>
      <c r="BC211" s="35"/>
      <c r="BD211" s="35">
        <f t="shared" si="77"/>
        <v>247</v>
      </c>
      <c r="BE211" s="35"/>
      <c r="BF211" s="6"/>
      <c r="BG211" s="35"/>
      <c r="BH211" s="6">
        <v>943</v>
      </c>
      <c r="BI211" s="6"/>
      <c r="BJ211" s="35">
        <f t="shared" si="78"/>
        <v>262</v>
      </c>
      <c r="BK211" s="6">
        <v>98</v>
      </c>
      <c r="BL211" s="6">
        <v>1100</v>
      </c>
      <c r="BM211" s="6">
        <f t="shared" si="79"/>
        <v>255</v>
      </c>
      <c r="BN211" s="35">
        <v>358</v>
      </c>
      <c r="BO211" s="35"/>
      <c r="BP211" s="6">
        <f t="shared" si="80"/>
        <v>260</v>
      </c>
      <c r="BQ211" s="35">
        <v>92</v>
      </c>
      <c r="BR211" s="35">
        <v>525</v>
      </c>
      <c r="BS211" s="35">
        <f t="shared" si="81"/>
        <v>259</v>
      </c>
      <c r="BT211" s="35">
        <v>352</v>
      </c>
      <c r="BU211" s="35"/>
      <c r="BV211" s="6">
        <f t="shared" si="82"/>
        <v>260</v>
      </c>
      <c r="BW211" s="35">
        <v>599</v>
      </c>
      <c r="BX211" s="35"/>
      <c r="BY211" s="35">
        <f t="shared" si="83"/>
        <v>247</v>
      </c>
      <c r="BZ211" s="35"/>
      <c r="CA211" s="6"/>
      <c r="CB211" s="6"/>
      <c r="CC211" s="6">
        <v>863</v>
      </c>
      <c r="CD211" s="6"/>
      <c r="CE211" s="6">
        <f t="shared" si="84"/>
        <v>264</v>
      </c>
      <c r="CF211" s="6">
        <v>1120</v>
      </c>
      <c r="CG211" s="6"/>
      <c r="CH211" s="6">
        <f t="shared" si="85"/>
        <v>257</v>
      </c>
      <c r="CI211" s="6">
        <v>0</v>
      </c>
      <c r="CJ211" s="6">
        <v>1298</v>
      </c>
      <c r="CK211" s="6">
        <f t="shared" si="86"/>
        <v>178</v>
      </c>
      <c r="CL211" s="6">
        <v>241</v>
      </c>
      <c r="CM211" s="6"/>
      <c r="CN211" s="6">
        <f t="shared" si="87"/>
        <v>241</v>
      </c>
      <c r="CO211" s="6">
        <v>501</v>
      </c>
      <c r="CP211" s="6"/>
      <c r="CQ211" s="6">
        <f t="shared" si="88"/>
        <v>260</v>
      </c>
      <c r="CR211" s="6">
        <v>750</v>
      </c>
      <c r="CS211" s="6"/>
      <c r="CT211" s="6">
        <f t="shared" si="89"/>
        <v>249</v>
      </c>
      <c r="CU211" s="6"/>
      <c r="CV211" s="6"/>
      <c r="CW211" s="6"/>
      <c r="CX211" s="6">
        <v>1011</v>
      </c>
      <c r="CY211" s="6"/>
      <c r="CZ211" s="6">
        <f t="shared" si="90"/>
        <v>261</v>
      </c>
      <c r="DA211" s="6">
        <v>168</v>
      </c>
      <c r="DB211" s="6">
        <v>1100</v>
      </c>
      <c r="DC211" s="6">
        <f t="shared" si="91"/>
        <v>257</v>
      </c>
      <c r="DD211" s="6">
        <v>426</v>
      </c>
      <c r="DE211" s="6"/>
      <c r="DF211" s="6">
        <f t="shared" si="92"/>
        <v>258</v>
      </c>
      <c r="DG211" s="6">
        <v>685</v>
      </c>
      <c r="DH211" s="10"/>
      <c r="DI211" s="6">
        <f t="shared" si="93"/>
        <v>259</v>
      </c>
      <c r="DJ211" s="6">
        <v>944</v>
      </c>
      <c r="DK211" s="10"/>
      <c r="DL211" s="6">
        <f t="shared" si="94"/>
        <v>259</v>
      </c>
      <c r="DM211" s="6">
        <v>66</v>
      </c>
      <c r="DN211" s="10">
        <v>1100</v>
      </c>
      <c r="DO211" s="6">
        <f t="shared" si="95"/>
        <v>222</v>
      </c>
    </row>
    <row r="212" spans="1:119">
      <c r="A212" s="6">
        <v>208</v>
      </c>
      <c r="B212" s="6">
        <v>806</v>
      </c>
      <c r="C212" s="10"/>
      <c r="D212" s="6">
        <v>123</v>
      </c>
      <c r="E212" s="141" t="s">
        <v>72</v>
      </c>
      <c r="F212" s="141" t="s">
        <v>72</v>
      </c>
      <c r="G212" s="141" t="s">
        <v>72</v>
      </c>
      <c r="H212" s="141" t="s">
        <v>72</v>
      </c>
      <c r="I212" s="141" t="s">
        <v>72</v>
      </c>
      <c r="J212" s="141" t="s">
        <v>72</v>
      </c>
      <c r="K212" s="141" t="s">
        <v>72</v>
      </c>
      <c r="L212" s="141" t="s">
        <v>72</v>
      </c>
      <c r="M212" s="141" t="s">
        <v>72</v>
      </c>
      <c r="N212" s="141" t="s">
        <v>72</v>
      </c>
      <c r="O212" s="163" t="s">
        <v>72</v>
      </c>
      <c r="P212" s="141" t="s">
        <v>72</v>
      </c>
      <c r="Q212" s="141" t="s">
        <v>72</v>
      </c>
      <c r="R212" s="141" t="s">
        <v>72</v>
      </c>
      <c r="S212" s="141" t="s">
        <v>72</v>
      </c>
      <c r="T212" s="141" t="s">
        <v>72</v>
      </c>
      <c r="U212" s="141" t="s">
        <v>72</v>
      </c>
      <c r="V212" s="141" t="s">
        <v>72</v>
      </c>
      <c r="W212" s="141" t="s">
        <v>72</v>
      </c>
      <c r="X212" s="163" t="s">
        <v>72</v>
      </c>
      <c r="Y212" s="141" t="s">
        <v>72</v>
      </c>
      <c r="Z212" s="141" t="s">
        <v>72</v>
      </c>
      <c r="AA212" s="141" t="s">
        <v>72</v>
      </c>
      <c r="AB212" s="141" t="s">
        <v>72</v>
      </c>
      <c r="AC212" s="141" t="s">
        <v>72</v>
      </c>
      <c r="AD212" s="6"/>
      <c r="AE212" s="6"/>
      <c r="AF212" s="35"/>
      <c r="AG212" s="6"/>
      <c r="AH212" s="6"/>
      <c r="AI212" s="35"/>
      <c r="AJ212" s="35"/>
      <c r="AK212" s="35"/>
      <c r="AL212" s="35"/>
      <c r="AM212" s="6">
        <v>1069</v>
      </c>
      <c r="AN212" s="6"/>
      <c r="AO212" s="35">
        <f t="shared" si="72"/>
        <v>263</v>
      </c>
      <c r="AP212" s="6">
        <v>203</v>
      </c>
      <c r="AQ212" s="6">
        <v>1100</v>
      </c>
      <c r="AR212" s="34">
        <f t="shared" si="73"/>
        <v>234</v>
      </c>
      <c r="AS212" s="35">
        <v>446</v>
      </c>
      <c r="AT212" s="35"/>
      <c r="AU212" s="35">
        <f t="shared" si="74"/>
        <v>243</v>
      </c>
      <c r="AV212" s="6">
        <v>688</v>
      </c>
      <c r="AW212" s="6"/>
      <c r="AX212" s="35">
        <f t="shared" si="75"/>
        <v>242</v>
      </c>
      <c r="AY212" s="6">
        <v>918</v>
      </c>
      <c r="AZ212" s="6"/>
      <c r="BA212" s="35">
        <f t="shared" si="76"/>
        <v>230</v>
      </c>
      <c r="BB212" s="35">
        <v>56</v>
      </c>
      <c r="BC212" s="35">
        <v>1088</v>
      </c>
      <c r="BD212" s="35">
        <f t="shared" si="77"/>
        <v>226</v>
      </c>
      <c r="BE212" s="35"/>
      <c r="BF212" s="6"/>
      <c r="BG212" s="35"/>
      <c r="BH212" s="6">
        <v>286</v>
      </c>
      <c r="BI212" s="6"/>
      <c r="BJ212" s="35">
        <f t="shared" si="78"/>
        <v>230</v>
      </c>
      <c r="BK212" s="6">
        <v>526</v>
      </c>
      <c r="BL212" s="6"/>
      <c r="BM212" s="6">
        <f t="shared" si="79"/>
        <v>240</v>
      </c>
      <c r="BN212" s="35">
        <v>0</v>
      </c>
      <c r="BO212" s="35">
        <v>705</v>
      </c>
      <c r="BP212" s="6">
        <f t="shared" si="80"/>
        <v>179</v>
      </c>
      <c r="BQ212" s="35">
        <v>224</v>
      </c>
      <c r="BR212" s="35"/>
      <c r="BS212" s="35">
        <f t="shared" si="81"/>
        <v>224</v>
      </c>
      <c r="BT212" s="35">
        <v>471</v>
      </c>
      <c r="BU212" s="35"/>
      <c r="BV212" s="6">
        <f t="shared" si="82"/>
        <v>247</v>
      </c>
      <c r="BW212" s="35">
        <v>705</v>
      </c>
      <c r="BX212" s="35"/>
      <c r="BY212" s="35">
        <f t="shared" si="83"/>
        <v>234</v>
      </c>
      <c r="BZ212" s="35"/>
      <c r="CA212" s="6"/>
      <c r="CB212" s="6"/>
      <c r="CC212" s="6">
        <v>952</v>
      </c>
      <c r="CD212" s="6"/>
      <c r="CE212" s="6">
        <f t="shared" si="84"/>
        <v>247</v>
      </c>
      <c r="CF212" s="6">
        <v>95</v>
      </c>
      <c r="CG212" s="6">
        <v>1100</v>
      </c>
      <c r="CH212" s="6">
        <f t="shared" si="85"/>
        <v>243</v>
      </c>
      <c r="CI212" s="6">
        <v>339</v>
      </c>
      <c r="CJ212" s="6"/>
      <c r="CK212" s="6">
        <f t="shared" si="86"/>
        <v>244</v>
      </c>
      <c r="CL212" s="6">
        <v>186</v>
      </c>
      <c r="CM212" s="6">
        <v>393</v>
      </c>
      <c r="CN212" s="6">
        <f t="shared" si="87"/>
        <v>240</v>
      </c>
      <c r="CO212" s="6">
        <v>430</v>
      </c>
      <c r="CP212" s="6"/>
      <c r="CQ212" s="6">
        <f t="shared" si="88"/>
        <v>244</v>
      </c>
      <c r="CR212" s="6">
        <v>661</v>
      </c>
      <c r="CS212" s="6"/>
      <c r="CT212" s="6">
        <f t="shared" si="89"/>
        <v>231</v>
      </c>
      <c r="CU212" s="6"/>
      <c r="CV212" s="35"/>
      <c r="CW212" s="6"/>
      <c r="CX212" s="6">
        <v>181</v>
      </c>
      <c r="CY212" s="6">
        <v>713</v>
      </c>
      <c r="CZ212" s="6">
        <f t="shared" si="90"/>
        <v>233</v>
      </c>
      <c r="DA212" s="6">
        <v>422</v>
      </c>
      <c r="DB212" s="6"/>
      <c r="DC212" s="6">
        <f t="shared" si="91"/>
        <v>241</v>
      </c>
      <c r="DD212" s="6">
        <v>668</v>
      </c>
      <c r="DE212" s="6"/>
      <c r="DF212" s="6">
        <f t="shared" si="92"/>
        <v>246</v>
      </c>
      <c r="DG212" s="6">
        <v>913</v>
      </c>
      <c r="DH212" s="10"/>
      <c r="DI212" s="6">
        <f t="shared" si="93"/>
        <v>245</v>
      </c>
      <c r="DJ212" s="6">
        <v>58</v>
      </c>
      <c r="DK212" s="10">
        <v>1100</v>
      </c>
      <c r="DL212" s="6">
        <f t="shared" si="94"/>
        <v>245</v>
      </c>
      <c r="DM212" s="6">
        <v>281</v>
      </c>
      <c r="DN212" s="10"/>
      <c r="DO212" s="6">
        <f t="shared" si="95"/>
        <v>223</v>
      </c>
    </row>
    <row r="213" spans="1:119" ht="15.75" customHeight="1">
      <c r="A213" s="6">
        <v>209</v>
      </c>
      <c r="B213" s="6">
        <v>1001</v>
      </c>
      <c r="C213" s="10"/>
      <c r="D213" s="6">
        <v>132</v>
      </c>
      <c r="E213" s="141" t="s">
        <v>291</v>
      </c>
      <c r="F213" s="141" t="s">
        <v>291</v>
      </c>
      <c r="G213" s="141" t="s">
        <v>291</v>
      </c>
      <c r="H213" s="141" t="s">
        <v>291</v>
      </c>
      <c r="I213" s="141" t="s">
        <v>291</v>
      </c>
      <c r="J213" s="141" t="s">
        <v>291</v>
      </c>
      <c r="K213" s="141" t="s">
        <v>291</v>
      </c>
      <c r="L213" s="141" t="s">
        <v>291</v>
      </c>
      <c r="M213" s="141" t="s">
        <v>291</v>
      </c>
      <c r="N213" s="141" t="s">
        <v>291</v>
      </c>
      <c r="O213" s="141" t="s">
        <v>291</v>
      </c>
      <c r="P213" s="141" t="s">
        <v>291</v>
      </c>
      <c r="Q213" s="163" t="s">
        <v>291</v>
      </c>
      <c r="R213" s="141" t="s">
        <v>291</v>
      </c>
      <c r="S213" s="141" t="s">
        <v>291</v>
      </c>
      <c r="T213" s="141" t="s">
        <v>291</v>
      </c>
      <c r="U213" s="141" t="s">
        <v>291</v>
      </c>
      <c r="V213" s="141" t="s">
        <v>291</v>
      </c>
      <c r="W213" s="141" t="s">
        <v>291</v>
      </c>
      <c r="X213" s="141" t="s">
        <v>291</v>
      </c>
      <c r="Y213" s="141" t="s">
        <v>291</v>
      </c>
      <c r="Z213" s="141" t="s">
        <v>291</v>
      </c>
      <c r="AA213" s="141" t="s">
        <v>291</v>
      </c>
      <c r="AB213" s="163" t="s">
        <v>75</v>
      </c>
      <c r="AC213" s="141" t="s">
        <v>75</v>
      </c>
      <c r="AD213" s="6"/>
      <c r="AE213" s="6"/>
      <c r="AF213" s="35"/>
      <c r="AG213" s="6"/>
      <c r="AH213" s="6"/>
      <c r="AI213" s="35"/>
      <c r="AJ213" s="35"/>
      <c r="AK213" s="35"/>
      <c r="AL213" s="35"/>
      <c r="AM213" s="6">
        <v>175</v>
      </c>
      <c r="AN213" s="6">
        <v>1100</v>
      </c>
      <c r="AO213" s="35">
        <f t="shared" si="72"/>
        <v>274</v>
      </c>
      <c r="AP213" s="6">
        <v>425</v>
      </c>
      <c r="AQ213" s="6"/>
      <c r="AR213" s="34">
        <f t="shared" si="73"/>
        <v>250</v>
      </c>
      <c r="AS213" s="35">
        <v>681</v>
      </c>
      <c r="AT213" s="35"/>
      <c r="AU213" s="35">
        <f t="shared" si="74"/>
        <v>256</v>
      </c>
      <c r="AV213" s="6">
        <v>938</v>
      </c>
      <c r="AW213" s="6"/>
      <c r="AX213" s="35">
        <f t="shared" si="75"/>
        <v>257</v>
      </c>
      <c r="AY213" s="6">
        <v>92</v>
      </c>
      <c r="AZ213" s="6">
        <v>1100</v>
      </c>
      <c r="BA213" s="35">
        <f t="shared" si="76"/>
        <v>254</v>
      </c>
      <c r="BB213" s="35">
        <v>332</v>
      </c>
      <c r="BC213" s="35"/>
      <c r="BD213" s="35">
        <f t="shared" si="77"/>
        <v>240</v>
      </c>
      <c r="BE213" s="35"/>
      <c r="BF213" s="6"/>
      <c r="BG213" s="35"/>
      <c r="BH213" s="6">
        <v>565</v>
      </c>
      <c r="BI213" s="6"/>
      <c r="BJ213" s="35">
        <f t="shared" si="78"/>
        <v>233</v>
      </c>
      <c r="BK213" s="6">
        <v>806</v>
      </c>
      <c r="BL213" s="6"/>
      <c r="BM213" s="6">
        <f t="shared" si="79"/>
        <v>241</v>
      </c>
      <c r="BN213" s="35">
        <v>1055</v>
      </c>
      <c r="BO213" s="35"/>
      <c r="BP213" s="6">
        <f t="shared" si="80"/>
        <v>249</v>
      </c>
      <c r="BQ213" s="35">
        <v>205</v>
      </c>
      <c r="BR213" s="35">
        <v>1100</v>
      </c>
      <c r="BS213" s="35">
        <f t="shared" si="81"/>
        <v>250</v>
      </c>
      <c r="BT213" s="35">
        <v>0</v>
      </c>
      <c r="BU213" s="35">
        <v>382</v>
      </c>
      <c r="BV213" s="6">
        <f t="shared" si="82"/>
        <v>177</v>
      </c>
      <c r="BW213" s="35">
        <v>214</v>
      </c>
      <c r="BX213" s="35"/>
      <c r="BY213" s="35">
        <f t="shared" si="83"/>
        <v>214</v>
      </c>
      <c r="BZ213" s="35"/>
      <c r="CA213" s="6"/>
      <c r="CB213" s="6"/>
      <c r="CC213" s="6">
        <v>461</v>
      </c>
      <c r="CD213" s="6"/>
      <c r="CE213" s="6">
        <f t="shared" si="84"/>
        <v>247</v>
      </c>
      <c r="CF213" s="6">
        <v>703</v>
      </c>
      <c r="CG213" s="6"/>
      <c r="CH213" s="6">
        <f t="shared" si="85"/>
        <v>242</v>
      </c>
      <c r="CI213" s="6">
        <v>952</v>
      </c>
      <c r="CJ213" s="6"/>
      <c r="CK213" s="6">
        <f t="shared" si="86"/>
        <v>249</v>
      </c>
      <c r="CL213" s="6">
        <v>100</v>
      </c>
      <c r="CM213" s="6">
        <v>1100</v>
      </c>
      <c r="CN213" s="6">
        <f t="shared" si="87"/>
        <v>248</v>
      </c>
      <c r="CO213" s="6">
        <v>339</v>
      </c>
      <c r="CP213" s="6"/>
      <c r="CQ213" s="6">
        <f t="shared" si="88"/>
        <v>239</v>
      </c>
      <c r="CR213" s="6">
        <v>575</v>
      </c>
      <c r="CS213" s="6"/>
      <c r="CT213" s="6">
        <f t="shared" si="89"/>
        <v>236</v>
      </c>
      <c r="CU213" s="6"/>
      <c r="CV213" s="6"/>
      <c r="CW213" s="6"/>
      <c r="CX213" s="6">
        <v>816</v>
      </c>
      <c r="CY213" s="6"/>
      <c r="CZ213" s="6">
        <f t="shared" si="90"/>
        <v>241</v>
      </c>
      <c r="DA213" s="6">
        <v>1063</v>
      </c>
      <c r="DB213" s="6"/>
      <c r="DC213" s="6">
        <f t="shared" si="91"/>
        <v>247</v>
      </c>
      <c r="DD213" s="6">
        <v>212</v>
      </c>
      <c r="DE213" s="6">
        <v>1100</v>
      </c>
      <c r="DF213" s="6">
        <f t="shared" si="92"/>
        <v>249</v>
      </c>
      <c r="DG213" s="6">
        <v>0</v>
      </c>
      <c r="DH213" s="10">
        <v>341</v>
      </c>
      <c r="DI213" s="6">
        <f t="shared" si="93"/>
        <v>129</v>
      </c>
      <c r="DJ213" s="6">
        <v>233</v>
      </c>
      <c r="DK213" s="10"/>
      <c r="DL213" s="6">
        <f t="shared" si="94"/>
        <v>233</v>
      </c>
      <c r="DM213" s="6">
        <v>457</v>
      </c>
      <c r="DN213" s="10"/>
      <c r="DO213" s="6">
        <f t="shared" si="95"/>
        <v>224</v>
      </c>
    </row>
    <row r="214" spans="1:119">
      <c r="A214" s="6">
        <v>210</v>
      </c>
      <c r="B214" s="6">
        <v>52</v>
      </c>
      <c r="C214" s="10">
        <v>1100</v>
      </c>
      <c r="D214" s="6">
        <v>124</v>
      </c>
      <c r="E214" s="141" t="s">
        <v>72</v>
      </c>
      <c r="F214" s="141" t="s">
        <v>72</v>
      </c>
      <c r="G214" s="141" t="s">
        <v>72</v>
      </c>
      <c r="H214" s="141" t="s">
        <v>72</v>
      </c>
      <c r="I214" s="141" t="s">
        <v>72</v>
      </c>
      <c r="J214" s="141" t="s">
        <v>72</v>
      </c>
      <c r="K214" s="141" t="s">
        <v>72</v>
      </c>
      <c r="L214" s="163" t="s">
        <v>72</v>
      </c>
      <c r="M214" s="141" t="s">
        <v>72</v>
      </c>
      <c r="N214" s="141" t="s">
        <v>72</v>
      </c>
      <c r="O214" s="141" t="s">
        <v>72</v>
      </c>
      <c r="P214" s="141" t="s">
        <v>72</v>
      </c>
      <c r="Q214" s="163" t="s">
        <v>72</v>
      </c>
      <c r="R214" s="141" t="s">
        <v>72</v>
      </c>
      <c r="S214" s="141" t="s">
        <v>72</v>
      </c>
      <c r="T214" s="141" t="s">
        <v>72</v>
      </c>
      <c r="U214" s="141" t="s">
        <v>72</v>
      </c>
      <c r="V214" s="141" t="s">
        <v>72</v>
      </c>
      <c r="W214" s="141" t="s">
        <v>72</v>
      </c>
      <c r="X214" s="141" t="s">
        <v>72</v>
      </c>
      <c r="Y214" s="141" t="s">
        <v>72</v>
      </c>
      <c r="Z214" s="141" t="s">
        <v>72</v>
      </c>
      <c r="AA214" s="163" t="s">
        <v>72</v>
      </c>
      <c r="AB214" s="141" t="s">
        <v>72</v>
      </c>
      <c r="AC214" s="141" t="s">
        <v>72</v>
      </c>
      <c r="AD214" s="6"/>
      <c r="AE214" s="6"/>
      <c r="AF214" s="35"/>
      <c r="AG214" s="6"/>
      <c r="AH214" s="6"/>
      <c r="AI214" s="35"/>
      <c r="AJ214" s="35"/>
      <c r="AK214" s="35"/>
      <c r="AL214" s="35"/>
      <c r="AM214" s="6">
        <v>311</v>
      </c>
      <c r="AN214" s="6"/>
      <c r="AO214" s="35">
        <f t="shared" si="72"/>
        <v>259</v>
      </c>
      <c r="AP214" s="6">
        <v>548</v>
      </c>
      <c r="AQ214" s="6"/>
      <c r="AR214" s="34">
        <f t="shared" si="73"/>
        <v>237</v>
      </c>
      <c r="AS214" s="35">
        <v>787</v>
      </c>
      <c r="AT214" s="35"/>
      <c r="AU214" s="35">
        <f t="shared" si="74"/>
        <v>239</v>
      </c>
      <c r="AV214" s="6">
        <v>1030</v>
      </c>
      <c r="AW214" s="6"/>
      <c r="AX214" s="35">
        <f t="shared" si="75"/>
        <v>243</v>
      </c>
      <c r="AY214" s="35">
        <v>173</v>
      </c>
      <c r="AZ214" s="6">
        <v>1100</v>
      </c>
      <c r="BA214" s="35">
        <f t="shared" si="76"/>
        <v>243</v>
      </c>
      <c r="BB214" s="35">
        <v>0</v>
      </c>
      <c r="BC214" s="35">
        <v>371</v>
      </c>
      <c r="BD214" s="35">
        <f t="shared" si="77"/>
        <v>198</v>
      </c>
      <c r="BE214" s="35"/>
      <c r="BF214" s="6"/>
      <c r="BG214" s="35"/>
      <c r="BH214" s="6">
        <v>230</v>
      </c>
      <c r="BI214" s="6"/>
      <c r="BJ214" s="35">
        <f t="shared" si="78"/>
        <v>230</v>
      </c>
      <c r="BK214" s="6">
        <v>468</v>
      </c>
      <c r="BL214" s="6"/>
      <c r="BM214" s="6">
        <f t="shared" si="79"/>
        <v>238</v>
      </c>
      <c r="BN214" s="35">
        <v>711</v>
      </c>
      <c r="BO214" s="35"/>
      <c r="BP214" s="6">
        <f t="shared" si="80"/>
        <v>243</v>
      </c>
      <c r="BQ214" s="35">
        <v>950</v>
      </c>
      <c r="BR214" s="35"/>
      <c r="BS214" s="35">
        <f t="shared" si="81"/>
        <v>239</v>
      </c>
      <c r="BT214" s="35">
        <v>0</v>
      </c>
      <c r="BU214" s="35">
        <f>1100+84</f>
        <v>1184</v>
      </c>
      <c r="BV214" s="6">
        <f t="shared" si="82"/>
        <v>234</v>
      </c>
      <c r="BW214" s="35">
        <v>207</v>
      </c>
      <c r="BX214" s="35"/>
      <c r="BY214" s="35">
        <f t="shared" si="83"/>
        <v>207</v>
      </c>
      <c r="BZ214" s="35"/>
      <c r="CA214" s="6"/>
      <c r="CB214" s="6"/>
      <c r="CC214" s="6">
        <v>444</v>
      </c>
      <c r="CD214" s="6"/>
      <c r="CE214" s="6">
        <f t="shared" si="84"/>
        <v>237</v>
      </c>
      <c r="CF214" s="6">
        <v>680</v>
      </c>
      <c r="CG214" s="6"/>
      <c r="CH214" s="6">
        <f t="shared" si="85"/>
        <v>236</v>
      </c>
      <c r="CI214" s="6">
        <v>2</v>
      </c>
      <c r="CJ214" s="6">
        <v>914</v>
      </c>
      <c r="CK214" s="6">
        <f t="shared" si="86"/>
        <v>236</v>
      </c>
      <c r="CL214" s="6">
        <v>238</v>
      </c>
      <c r="CM214" s="6"/>
      <c r="CN214" s="6">
        <f t="shared" si="87"/>
        <v>236</v>
      </c>
      <c r="CO214" s="6">
        <v>470</v>
      </c>
      <c r="CP214" s="6"/>
      <c r="CQ214" s="6">
        <f t="shared" si="88"/>
        <v>232</v>
      </c>
      <c r="CR214" s="6">
        <v>696</v>
      </c>
      <c r="CS214" s="6"/>
      <c r="CT214" s="6">
        <f t="shared" si="89"/>
        <v>226</v>
      </c>
      <c r="CU214" s="6"/>
      <c r="CV214" s="6"/>
      <c r="CW214" s="6"/>
      <c r="CX214" s="6">
        <v>934</v>
      </c>
      <c r="CY214" s="6"/>
      <c r="CZ214" s="6">
        <f t="shared" si="90"/>
        <v>238</v>
      </c>
      <c r="DA214" s="6">
        <v>69</v>
      </c>
      <c r="DB214" s="6">
        <v>1100</v>
      </c>
      <c r="DC214" s="6">
        <f t="shared" si="91"/>
        <v>235</v>
      </c>
      <c r="DD214" s="6">
        <v>0</v>
      </c>
      <c r="DE214" s="6">
        <v>268</v>
      </c>
      <c r="DF214" s="6">
        <f t="shared" si="92"/>
        <v>199</v>
      </c>
      <c r="DG214" s="6">
        <v>206</v>
      </c>
      <c r="DH214" s="10"/>
      <c r="DI214" s="6">
        <f t="shared" si="93"/>
        <v>206</v>
      </c>
      <c r="DJ214" s="6">
        <v>445</v>
      </c>
      <c r="DK214" s="10"/>
      <c r="DL214" s="6">
        <f t="shared" si="94"/>
        <v>239</v>
      </c>
      <c r="DM214" s="6">
        <v>658</v>
      </c>
      <c r="DN214" s="10"/>
      <c r="DO214" s="6">
        <f t="shared" si="95"/>
        <v>213</v>
      </c>
    </row>
    <row r="215" spans="1:119">
      <c r="A215" s="6">
        <v>211</v>
      </c>
      <c r="B215" s="6">
        <v>241</v>
      </c>
      <c r="C215" s="10"/>
      <c r="D215" s="6">
        <v>137</v>
      </c>
      <c r="E215" s="141" t="s">
        <v>291</v>
      </c>
      <c r="F215" s="141" t="s">
        <v>291</v>
      </c>
      <c r="G215" s="141" t="s">
        <v>291</v>
      </c>
      <c r="H215" s="141" t="s">
        <v>291</v>
      </c>
      <c r="I215" s="141" t="s">
        <v>291</v>
      </c>
      <c r="J215" s="141" t="s">
        <v>291</v>
      </c>
      <c r="K215" s="141" t="s">
        <v>291</v>
      </c>
      <c r="L215" s="163" t="s">
        <v>75</v>
      </c>
      <c r="M215" s="141" t="s">
        <v>75</v>
      </c>
      <c r="N215" s="141" t="s">
        <v>75</v>
      </c>
      <c r="O215" s="141" t="s">
        <v>75</v>
      </c>
      <c r="P215" s="141" t="s">
        <v>75</v>
      </c>
      <c r="Q215" s="141" t="s">
        <v>75</v>
      </c>
      <c r="R215" s="141" t="s">
        <v>75</v>
      </c>
      <c r="S215" s="141" t="s">
        <v>75</v>
      </c>
      <c r="T215" s="141" t="s">
        <v>75</v>
      </c>
      <c r="U215" s="141" t="s">
        <v>75</v>
      </c>
      <c r="V215" s="141" t="s">
        <v>75</v>
      </c>
      <c r="W215" s="141" t="s">
        <v>75</v>
      </c>
      <c r="X215" s="141" t="s">
        <v>75</v>
      </c>
      <c r="Y215" s="141" t="s">
        <v>75</v>
      </c>
      <c r="Z215" s="141" t="s">
        <v>75</v>
      </c>
      <c r="AA215" s="141" t="s">
        <v>75</v>
      </c>
      <c r="AB215" s="141" t="s">
        <v>75</v>
      </c>
      <c r="AC215" s="141" t="s">
        <v>75</v>
      </c>
      <c r="AD215" s="6"/>
      <c r="AE215" s="6"/>
      <c r="AF215" s="35"/>
      <c r="AG215" s="6"/>
      <c r="AH215" s="6"/>
      <c r="AI215" s="35"/>
      <c r="AJ215" s="35"/>
      <c r="AK215" s="35"/>
      <c r="AL215" s="35"/>
      <c r="AM215" s="6">
        <v>521</v>
      </c>
      <c r="AN215" s="6"/>
      <c r="AO215" s="35">
        <f t="shared" si="72"/>
        <v>280</v>
      </c>
      <c r="AP215" s="6">
        <v>770</v>
      </c>
      <c r="AQ215" s="6"/>
      <c r="AR215" s="34">
        <f t="shared" si="73"/>
        <v>249</v>
      </c>
      <c r="AS215" s="35">
        <v>251</v>
      </c>
      <c r="AT215" s="35">
        <v>771</v>
      </c>
      <c r="AU215" s="35">
        <f t="shared" si="74"/>
        <v>252</v>
      </c>
      <c r="AV215" s="6">
        <v>512</v>
      </c>
      <c r="AW215" s="6"/>
      <c r="AX215" s="35">
        <f t="shared" si="75"/>
        <v>261</v>
      </c>
      <c r="AY215" s="6">
        <v>775</v>
      </c>
      <c r="AZ215" s="6"/>
      <c r="BA215" s="35">
        <f t="shared" si="76"/>
        <v>263</v>
      </c>
      <c r="BB215" s="35">
        <v>0</v>
      </c>
      <c r="BC215" s="35">
        <v>1005</v>
      </c>
      <c r="BD215" s="35">
        <f t="shared" si="77"/>
        <v>230</v>
      </c>
      <c r="BE215" s="35"/>
      <c r="BF215" s="6"/>
      <c r="BG215" s="35"/>
      <c r="BH215" s="6">
        <v>251</v>
      </c>
      <c r="BI215" s="6"/>
      <c r="BJ215" s="35">
        <f t="shared" si="78"/>
        <v>251</v>
      </c>
      <c r="BK215" s="6">
        <v>507</v>
      </c>
      <c r="BL215" s="6"/>
      <c r="BM215" s="6">
        <f t="shared" si="79"/>
        <v>256</v>
      </c>
      <c r="BN215" s="35">
        <v>765</v>
      </c>
      <c r="BO215" s="35"/>
      <c r="BP215" s="6">
        <f t="shared" si="80"/>
        <v>258</v>
      </c>
      <c r="BQ215" s="35">
        <v>1027</v>
      </c>
      <c r="BR215" s="35"/>
      <c r="BS215" s="35">
        <f t="shared" si="81"/>
        <v>262</v>
      </c>
      <c r="BT215" s="35">
        <v>186</v>
      </c>
      <c r="BU215" s="35">
        <v>1100</v>
      </c>
      <c r="BV215" s="6">
        <f t="shared" si="82"/>
        <v>259</v>
      </c>
      <c r="BW215" s="35">
        <v>428</v>
      </c>
      <c r="BX215" s="35"/>
      <c r="BY215" s="35">
        <f t="shared" si="83"/>
        <v>242</v>
      </c>
      <c r="BZ215" s="35"/>
      <c r="CA215" s="6"/>
      <c r="CB215" s="6"/>
      <c r="CC215" s="6">
        <v>692</v>
      </c>
      <c r="CD215" s="6"/>
      <c r="CE215" s="6">
        <f t="shared" si="84"/>
        <v>264</v>
      </c>
      <c r="CF215" s="6">
        <v>948</v>
      </c>
      <c r="CG215" s="6"/>
      <c r="CH215" s="6">
        <f t="shared" si="85"/>
        <v>256</v>
      </c>
      <c r="CI215" s="6">
        <v>110</v>
      </c>
      <c r="CJ215" s="6">
        <v>1100</v>
      </c>
      <c r="CK215" s="6">
        <f t="shared" si="86"/>
        <v>262</v>
      </c>
      <c r="CL215" s="6">
        <v>375</v>
      </c>
      <c r="CM215" s="6"/>
      <c r="CN215" s="6">
        <f t="shared" si="87"/>
        <v>265</v>
      </c>
      <c r="CO215" s="6">
        <v>640</v>
      </c>
      <c r="CP215" s="6"/>
      <c r="CQ215" s="6">
        <f t="shared" si="88"/>
        <v>265</v>
      </c>
      <c r="CR215" s="6">
        <v>892</v>
      </c>
      <c r="CS215" s="6"/>
      <c r="CT215" s="6">
        <f t="shared" si="89"/>
        <v>252</v>
      </c>
      <c r="CU215" s="6"/>
      <c r="CV215" s="35"/>
      <c r="CW215" s="6"/>
      <c r="CX215" s="6">
        <v>57</v>
      </c>
      <c r="CY215" s="6">
        <v>1100</v>
      </c>
      <c r="CZ215" s="6">
        <f t="shared" si="90"/>
        <v>265</v>
      </c>
      <c r="DA215" s="6">
        <v>311</v>
      </c>
      <c r="DB215" s="6"/>
      <c r="DC215" s="6">
        <f t="shared" si="91"/>
        <v>254</v>
      </c>
      <c r="DD215" s="6">
        <v>571</v>
      </c>
      <c r="DE215" s="6"/>
      <c r="DF215" s="6">
        <f t="shared" si="92"/>
        <v>260</v>
      </c>
      <c r="DG215" s="6">
        <v>833</v>
      </c>
      <c r="DH215" s="10"/>
      <c r="DI215" s="6">
        <f t="shared" si="93"/>
        <v>262</v>
      </c>
      <c r="DJ215" s="6">
        <v>1095</v>
      </c>
      <c r="DK215" s="10"/>
      <c r="DL215" s="6">
        <f t="shared" si="94"/>
        <v>262</v>
      </c>
      <c r="DM215" s="6">
        <v>234</v>
      </c>
      <c r="DN215" s="10">
        <v>1100</v>
      </c>
      <c r="DO215" s="6">
        <f t="shared" si="95"/>
        <v>239</v>
      </c>
    </row>
    <row r="216" spans="1:119">
      <c r="A216" s="6">
        <v>212</v>
      </c>
      <c r="B216" s="6">
        <v>470</v>
      </c>
      <c r="C216" s="10"/>
      <c r="D216" s="6">
        <v>135</v>
      </c>
      <c r="E216" s="141" t="s">
        <v>291</v>
      </c>
      <c r="F216" s="141" t="s">
        <v>291</v>
      </c>
      <c r="G216" s="141" t="s">
        <v>291</v>
      </c>
      <c r="H216" s="141" t="s">
        <v>291</v>
      </c>
      <c r="I216" s="141" t="s">
        <v>291</v>
      </c>
      <c r="J216" s="141" t="s">
        <v>291</v>
      </c>
      <c r="K216" s="141" t="s">
        <v>291</v>
      </c>
      <c r="L216" s="141" t="s">
        <v>291</v>
      </c>
      <c r="M216" s="141" t="s">
        <v>291</v>
      </c>
      <c r="N216" s="141" t="s">
        <v>291</v>
      </c>
      <c r="O216" s="141" t="s">
        <v>291</v>
      </c>
      <c r="P216" s="141" t="s">
        <v>291</v>
      </c>
      <c r="Q216" s="141" t="s">
        <v>291</v>
      </c>
      <c r="R216" s="163" t="s">
        <v>291</v>
      </c>
      <c r="S216" s="141" t="s">
        <v>291</v>
      </c>
      <c r="T216" s="141" t="s">
        <v>291</v>
      </c>
      <c r="U216" s="141" t="s">
        <v>291</v>
      </c>
      <c r="V216" s="141" t="s">
        <v>291</v>
      </c>
      <c r="W216" s="141" t="s">
        <v>291</v>
      </c>
      <c r="X216" s="141" t="s">
        <v>291</v>
      </c>
      <c r="Y216" s="141" t="s">
        <v>291</v>
      </c>
      <c r="Z216" s="141" t="s">
        <v>291</v>
      </c>
      <c r="AA216" s="141" t="s">
        <v>291</v>
      </c>
      <c r="AB216" s="141" t="s">
        <v>291</v>
      </c>
      <c r="AC216" s="141" t="s">
        <v>291</v>
      </c>
      <c r="AD216" s="6"/>
      <c r="AE216" s="6"/>
      <c r="AF216" s="35"/>
      <c r="AG216" s="6"/>
      <c r="AH216" s="6"/>
      <c r="AI216" s="35"/>
      <c r="AJ216" s="35"/>
      <c r="AK216" s="35"/>
      <c r="AL216" s="35"/>
      <c r="AM216" s="6">
        <v>725</v>
      </c>
      <c r="AN216" s="6"/>
      <c r="AO216" s="35">
        <f t="shared" si="72"/>
        <v>255</v>
      </c>
      <c r="AP216" s="6">
        <v>976</v>
      </c>
      <c r="AQ216" s="35"/>
      <c r="AR216" s="34">
        <f t="shared" si="73"/>
        <v>251</v>
      </c>
      <c r="AS216" s="35">
        <v>133</v>
      </c>
      <c r="AT216" s="35">
        <v>1100</v>
      </c>
      <c r="AU216" s="35">
        <f t="shared" si="74"/>
        <v>257</v>
      </c>
      <c r="AV216" s="35">
        <v>38</v>
      </c>
      <c r="AW216" s="6">
        <v>348</v>
      </c>
      <c r="AX216" s="35">
        <f t="shared" si="75"/>
        <v>253</v>
      </c>
      <c r="AY216" s="6">
        <v>299</v>
      </c>
      <c r="AZ216" s="6"/>
      <c r="BA216" s="35">
        <f t="shared" si="76"/>
        <v>261</v>
      </c>
      <c r="BB216" s="35">
        <v>548</v>
      </c>
      <c r="BC216" s="35"/>
      <c r="BD216" s="35">
        <f t="shared" si="77"/>
        <v>249</v>
      </c>
      <c r="BE216" s="35"/>
      <c r="BF216" s="6"/>
      <c r="BG216" s="35"/>
      <c r="BH216" s="6">
        <v>811</v>
      </c>
      <c r="BI216" s="6"/>
      <c r="BJ216" s="35">
        <f t="shared" si="78"/>
        <v>263</v>
      </c>
      <c r="BK216" s="6">
        <v>1068</v>
      </c>
      <c r="BL216" s="6"/>
      <c r="BM216" s="6">
        <f t="shared" si="79"/>
        <v>257</v>
      </c>
      <c r="BN216" s="35">
        <v>229</v>
      </c>
      <c r="BO216" s="35">
        <v>1100</v>
      </c>
      <c r="BP216" s="6">
        <f t="shared" si="80"/>
        <v>261</v>
      </c>
      <c r="BQ216" s="35">
        <v>490</v>
      </c>
      <c r="BR216" s="35"/>
      <c r="BS216" s="35">
        <f t="shared" si="81"/>
        <v>261</v>
      </c>
      <c r="BT216" s="35">
        <v>750</v>
      </c>
      <c r="BU216" s="35"/>
      <c r="BV216" s="6">
        <f t="shared" si="82"/>
        <v>260</v>
      </c>
      <c r="BW216" s="35">
        <v>996</v>
      </c>
      <c r="BX216" s="35"/>
      <c r="BY216" s="35">
        <f t="shared" si="83"/>
        <v>246</v>
      </c>
      <c r="BZ216" s="35"/>
      <c r="CA216" s="6"/>
      <c r="CB216" s="6"/>
      <c r="CC216" s="6">
        <v>175</v>
      </c>
      <c r="CD216" s="6">
        <v>1018</v>
      </c>
      <c r="CE216" s="6">
        <f t="shared" si="84"/>
        <v>197</v>
      </c>
      <c r="CF216" s="6">
        <v>428</v>
      </c>
      <c r="CG216" s="6"/>
      <c r="CH216" s="6">
        <f t="shared" si="85"/>
        <v>253</v>
      </c>
      <c r="CI216" s="6">
        <v>683</v>
      </c>
      <c r="CJ216" s="6"/>
      <c r="CK216" s="6">
        <f t="shared" si="86"/>
        <v>255</v>
      </c>
      <c r="CL216" s="6">
        <v>940</v>
      </c>
      <c r="CM216" s="6"/>
      <c r="CN216" s="6">
        <f t="shared" si="87"/>
        <v>257</v>
      </c>
      <c r="CO216" s="6">
        <v>99</v>
      </c>
      <c r="CP216" s="6">
        <v>1100</v>
      </c>
      <c r="CQ216" s="6">
        <f t="shared" si="88"/>
        <v>259</v>
      </c>
      <c r="CR216" s="6">
        <v>345</v>
      </c>
      <c r="CS216" s="6"/>
      <c r="CT216" s="6">
        <f t="shared" si="89"/>
        <v>246</v>
      </c>
      <c r="CU216" s="6"/>
      <c r="CV216" s="6"/>
      <c r="CW216" s="6"/>
      <c r="CX216" s="6">
        <v>83</v>
      </c>
      <c r="CY216" s="6">
        <v>508</v>
      </c>
      <c r="CZ216" s="6">
        <f t="shared" si="90"/>
        <v>246</v>
      </c>
      <c r="DA216" s="6">
        <v>329</v>
      </c>
      <c r="DB216" s="6"/>
      <c r="DC216" s="6">
        <f t="shared" si="91"/>
        <v>246</v>
      </c>
      <c r="DD216" s="6">
        <v>572</v>
      </c>
      <c r="DE216" s="6"/>
      <c r="DF216" s="6">
        <f t="shared" si="92"/>
        <v>243</v>
      </c>
      <c r="DG216" s="6">
        <v>52</v>
      </c>
      <c r="DH216" s="10">
        <v>774</v>
      </c>
      <c r="DI216" s="6">
        <f t="shared" si="93"/>
        <v>254</v>
      </c>
      <c r="DJ216" s="6">
        <v>286</v>
      </c>
      <c r="DK216" s="10"/>
      <c r="DL216" s="6">
        <f t="shared" si="94"/>
        <v>234</v>
      </c>
      <c r="DM216" s="6">
        <v>524</v>
      </c>
      <c r="DN216" s="10"/>
      <c r="DO216" s="6">
        <f t="shared" si="95"/>
        <v>238</v>
      </c>
    </row>
    <row r="217" spans="1:119">
      <c r="A217" s="151">
        <v>213</v>
      </c>
      <c r="B217" s="6">
        <v>153</v>
      </c>
      <c r="C217" s="10"/>
      <c r="D217" s="6">
        <v>131</v>
      </c>
      <c r="E217" s="141" t="s">
        <v>72</v>
      </c>
      <c r="F217" s="141" t="s">
        <v>72</v>
      </c>
      <c r="G217" s="141" t="s">
        <v>72</v>
      </c>
      <c r="H217" s="141" t="s">
        <v>72</v>
      </c>
      <c r="I217" s="141" t="s">
        <v>72</v>
      </c>
      <c r="J217" s="141" t="s">
        <v>72</v>
      </c>
      <c r="K217" s="141" t="s">
        <v>72</v>
      </c>
      <c r="L217" s="163" t="s">
        <v>72</v>
      </c>
      <c r="M217" s="141" t="s">
        <v>72</v>
      </c>
      <c r="N217" s="141" t="s">
        <v>72</v>
      </c>
      <c r="O217" s="141" t="s">
        <v>72</v>
      </c>
      <c r="P217" s="141" t="s">
        <v>72</v>
      </c>
      <c r="Q217" s="163" t="s">
        <v>72</v>
      </c>
      <c r="R217" s="141" t="s">
        <v>72</v>
      </c>
      <c r="S217" s="141" t="s">
        <v>72</v>
      </c>
      <c r="T217" s="141" t="s">
        <v>72</v>
      </c>
      <c r="U217" s="141" t="s">
        <v>72</v>
      </c>
      <c r="V217" s="141" t="s">
        <v>72</v>
      </c>
      <c r="W217" s="141" t="s">
        <v>72</v>
      </c>
      <c r="X217" s="141" t="s">
        <v>72</v>
      </c>
      <c r="Y217" s="141" t="s">
        <v>72</v>
      </c>
      <c r="Z217" s="141" t="s">
        <v>72</v>
      </c>
      <c r="AA217" s="141" t="s">
        <v>72</v>
      </c>
      <c r="AB217" s="141" t="s">
        <v>72</v>
      </c>
      <c r="AC217" s="141" t="s">
        <v>72</v>
      </c>
      <c r="AD217" s="6"/>
      <c r="AE217" s="6"/>
      <c r="AF217" s="35"/>
      <c r="AG217" s="6"/>
      <c r="AH217" s="6"/>
      <c r="AI217" s="35"/>
      <c r="AJ217" s="35"/>
      <c r="AK217" s="35"/>
      <c r="AL217" s="35"/>
      <c r="AM217" s="6">
        <v>2</v>
      </c>
      <c r="AN217" s="6">
        <v>417</v>
      </c>
      <c r="AO217" s="35">
        <f t="shared" si="72"/>
        <v>266</v>
      </c>
      <c r="AP217" s="6">
        <v>244</v>
      </c>
      <c r="AQ217" s="6"/>
      <c r="AR217" s="34">
        <f t="shared" si="73"/>
        <v>242</v>
      </c>
      <c r="AS217" s="35">
        <v>490</v>
      </c>
      <c r="AT217" s="35"/>
      <c r="AU217" s="35">
        <f t="shared" si="74"/>
        <v>246</v>
      </c>
      <c r="AV217" s="6">
        <v>737</v>
      </c>
      <c r="AW217" s="6"/>
      <c r="AX217" s="35">
        <f t="shared" si="75"/>
        <v>247</v>
      </c>
      <c r="AY217" s="6">
        <v>979</v>
      </c>
      <c r="AZ217" s="6"/>
      <c r="BA217" s="35">
        <f t="shared" si="76"/>
        <v>242</v>
      </c>
      <c r="BB217" s="35">
        <v>0</v>
      </c>
      <c r="BC217" s="35">
        <v>1066</v>
      </c>
      <c r="BD217" s="35">
        <f t="shared" si="77"/>
        <v>87</v>
      </c>
      <c r="BE217" s="35"/>
      <c r="BF217" s="6"/>
      <c r="BG217" s="35"/>
      <c r="BH217" s="6">
        <v>236</v>
      </c>
      <c r="BI217" s="6"/>
      <c r="BJ217" s="35">
        <f t="shared" si="78"/>
        <v>236</v>
      </c>
      <c r="BK217" s="6">
        <v>485</v>
      </c>
      <c r="BL217" s="6"/>
      <c r="BM217" s="6">
        <f t="shared" si="79"/>
        <v>249</v>
      </c>
      <c r="BN217" s="35">
        <v>737</v>
      </c>
      <c r="BO217" s="35"/>
      <c r="BP217" s="6">
        <f t="shared" si="80"/>
        <v>252</v>
      </c>
      <c r="BQ217" s="35">
        <v>985</v>
      </c>
      <c r="BR217" s="35"/>
      <c r="BS217" s="35">
        <f t="shared" si="81"/>
        <v>248</v>
      </c>
      <c r="BT217" s="35">
        <v>0</v>
      </c>
      <c r="BU217" s="35">
        <f>1100+28</f>
        <v>1128</v>
      </c>
      <c r="BV217" s="6">
        <f t="shared" si="82"/>
        <v>143</v>
      </c>
      <c r="BW217" s="35">
        <v>219</v>
      </c>
      <c r="BX217" s="35"/>
      <c r="BY217" s="35">
        <f t="shared" si="83"/>
        <v>219</v>
      </c>
      <c r="BZ217" s="35"/>
      <c r="CA217" s="6"/>
      <c r="CB217" s="6"/>
      <c r="CC217" s="35">
        <v>463</v>
      </c>
      <c r="CD217" s="6"/>
      <c r="CE217" s="6">
        <f t="shared" si="84"/>
        <v>244</v>
      </c>
      <c r="CF217" s="6">
        <v>711</v>
      </c>
      <c r="CG217" s="6"/>
      <c r="CH217" s="6">
        <f t="shared" si="85"/>
        <v>248</v>
      </c>
      <c r="CI217" s="6">
        <v>127</v>
      </c>
      <c r="CJ217" s="6">
        <v>824</v>
      </c>
      <c r="CK217" s="6">
        <f t="shared" si="86"/>
        <v>240</v>
      </c>
      <c r="CL217" s="6">
        <v>379</v>
      </c>
      <c r="CM217" s="6"/>
      <c r="CN217" s="6">
        <f t="shared" si="87"/>
        <v>252</v>
      </c>
      <c r="CO217" s="6">
        <v>620</v>
      </c>
      <c r="CP217" s="6"/>
      <c r="CQ217" s="6">
        <f t="shared" si="88"/>
        <v>241</v>
      </c>
      <c r="CR217" s="6">
        <v>856</v>
      </c>
      <c r="CS217" s="6"/>
      <c r="CT217" s="6">
        <f t="shared" si="89"/>
        <v>236</v>
      </c>
      <c r="CU217" s="6"/>
      <c r="CV217" s="6"/>
      <c r="CW217" s="6"/>
      <c r="CX217" s="6">
        <v>8</v>
      </c>
      <c r="CY217" s="6">
        <v>1100</v>
      </c>
      <c r="CZ217" s="6">
        <f t="shared" si="90"/>
        <v>252</v>
      </c>
      <c r="DA217" s="6">
        <v>258</v>
      </c>
      <c r="DB217" s="6"/>
      <c r="DC217" s="6">
        <f t="shared" si="91"/>
        <v>250</v>
      </c>
      <c r="DD217" s="6">
        <v>499</v>
      </c>
      <c r="DE217" s="6"/>
      <c r="DF217" s="6">
        <f t="shared" si="92"/>
        <v>241</v>
      </c>
      <c r="DG217" s="6">
        <v>752</v>
      </c>
      <c r="DH217" s="10"/>
      <c r="DI217" s="6">
        <f t="shared" si="93"/>
        <v>253</v>
      </c>
      <c r="DJ217" s="6">
        <v>99</v>
      </c>
      <c r="DK217" s="10">
        <v>883</v>
      </c>
      <c r="DL217" s="6">
        <f t="shared" si="94"/>
        <v>230</v>
      </c>
      <c r="DM217" s="6">
        <v>327</v>
      </c>
      <c r="DN217" s="10"/>
      <c r="DO217" s="6">
        <f t="shared" si="95"/>
        <v>228</v>
      </c>
    </row>
    <row r="218" spans="1:119">
      <c r="A218" s="6">
        <v>214</v>
      </c>
      <c r="B218" s="6">
        <v>575</v>
      </c>
      <c r="C218" s="10"/>
      <c r="D218" s="6">
        <v>136</v>
      </c>
      <c r="E218" s="141" t="s">
        <v>291</v>
      </c>
      <c r="F218" s="141" t="s">
        <v>291</v>
      </c>
      <c r="G218" s="141" t="s">
        <v>291</v>
      </c>
      <c r="H218" s="141" t="s">
        <v>291</v>
      </c>
      <c r="I218" s="141" t="s">
        <v>291</v>
      </c>
      <c r="J218" s="141" t="s">
        <v>291</v>
      </c>
      <c r="K218" s="141" t="s">
        <v>291</v>
      </c>
      <c r="L218" s="141" t="s">
        <v>291</v>
      </c>
      <c r="M218" s="141" t="s">
        <v>291</v>
      </c>
      <c r="N218" s="141" t="s">
        <v>291</v>
      </c>
      <c r="O218" s="141" t="s">
        <v>291</v>
      </c>
      <c r="P218" s="141" t="s">
        <v>291</v>
      </c>
      <c r="Q218" s="141" t="s">
        <v>291</v>
      </c>
      <c r="R218" s="163" t="s">
        <v>291</v>
      </c>
      <c r="S218" s="141" t="s">
        <v>291</v>
      </c>
      <c r="T218" s="141" t="s">
        <v>291</v>
      </c>
      <c r="U218" s="141" t="s">
        <v>291</v>
      </c>
      <c r="V218" s="141" t="s">
        <v>291</v>
      </c>
      <c r="W218" s="141" t="s">
        <v>291</v>
      </c>
      <c r="X218" s="141" t="s">
        <v>291</v>
      </c>
      <c r="Y218" s="141" t="s">
        <v>291</v>
      </c>
      <c r="Z218" s="141" t="s">
        <v>291</v>
      </c>
      <c r="AA218" s="141" t="s">
        <v>291</v>
      </c>
      <c r="AB218" s="141" t="s">
        <v>291</v>
      </c>
      <c r="AC218" s="141" t="s">
        <v>291</v>
      </c>
      <c r="AD218" s="6"/>
      <c r="AE218" s="6"/>
      <c r="AF218" s="35"/>
      <c r="AG218" s="6"/>
      <c r="AH218" s="6"/>
      <c r="AI218" s="35"/>
      <c r="AJ218" s="35"/>
      <c r="AK218" s="35"/>
      <c r="AL218" s="35"/>
      <c r="AM218" s="6">
        <v>849</v>
      </c>
      <c r="AN218" s="6"/>
      <c r="AO218" s="35">
        <f t="shared" si="72"/>
        <v>274</v>
      </c>
      <c r="AP218" s="6">
        <v>1</v>
      </c>
      <c r="AQ218" s="6">
        <v>1100</v>
      </c>
      <c r="AR218" s="34">
        <f t="shared" si="73"/>
        <v>252</v>
      </c>
      <c r="AS218" s="35">
        <v>262</v>
      </c>
      <c r="AT218" s="35"/>
      <c r="AU218" s="35">
        <f t="shared" si="74"/>
        <v>261</v>
      </c>
      <c r="AV218" s="6">
        <v>523</v>
      </c>
      <c r="AW218" s="6"/>
      <c r="AX218" s="35">
        <f t="shared" si="75"/>
        <v>261</v>
      </c>
      <c r="AY218" s="6">
        <v>779</v>
      </c>
      <c r="AZ218" s="6"/>
      <c r="BA218" s="35">
        <f t="shared" si="76"/>
        <v>256</v>
      </c>
      <c r="BB218" s="35">
        <v>1035</v>
      </c>
      <c r="BC218" s="35"/>
      <c r="BD218" s="35">
        <f t="shared" si="77"/>
        <v>256</v>
      </c>
      <c r="BE218" s="35"/>
      <c r="BF218" s="6"/>
      <c r="BG218" s="35"/>
      <c r="BH218" s="6">
        <v>203</v>
      </c>
      <c r="BI218" s="6">
        <v>1100</v>
      </c>
      <c r="BJ218" s="35">
        <f t="shared" si="78"/>
        <v>268</v>
      </c>
      <c r="BK218" s="6">
        <v>464</v>
      </c>
      <c r="BL218" s="6"/>
      <c r="BM218" s="6">
        <f t="shared" si="79"/>
        <v>261</v>
      </c>
      <c r="BN218" s="35">
        <v>730</v>
      </c>
      <c r="BO218" s="35"/>
      <c r="BP218" s="6">
        <f t="shared" si="80"/>
        <v>266</v>
      </c>
      <c r="BQ218" s="35">
        <v>988</v>
      </c>
      <c r="BR218" s="35"/>
      <c r="BS218" s="35">
        <f t="shared" si="81"/>
        <v>258</v>
      </c>
      <c r="BT218" s="35">
        <v>152</v>
      </c>
      <c r="BU218" s="35">
        <v>1100</v>
      </c>
      <c r="BV218" s="6">
        <f t="shared" si="82"/>
        <v>264</v>
      </c>
      <c r="BW218" s="35">
        <v>0</v>
      </c>
      <c r="BX218" s="35">
        <v>332</v>
      </c>
      <c r="BY218" s="35">
        <f t="shared" si="83"/>
        <v>180</v>
      </c>
      <c r="BZ218" s="35"/>
      <c r="CA218" s="6"/>
      <c r="CB218" s="6"/>
      <c r="CC218" s="6">
        <v>192</v>
      </c>
      <c r="CD218" s="6"/>
      <c r="CE218" s="6">
        <f t="shared" si="84"/>
        <v>192</v>
      </c>
      <c r="CF218" s="6">
        <v>449</v>
      </c>
      <c r="CG218" s="6"/>
      <c r="CH218" s="6">
        <f t="shared" si="85"/>
        <v>257</v>
      </c>
      <c r="CI218" s="6">
        <v>710</v>
      </c>
      <c r="CJ218" s="6"/>
      <c r="CK218" s="6">
        <f t="shared" si="86"/>
        <v>261</v>
      </c>
      <c r="CL218" s="6">
        <v>967</v>
      </c>
      <c r="CM218" s="6"/>
      <c r="CN218" s="6">
        <f t="shared" si="87"/>
        <v>257</v>
      </c>
      <c r="CO218" s="6">
        <v>118</v>
      </c>
      <c r="CP218" s="6">
        <v>1100</v>
      </c>
      <c r="CQ218" s="6">
        <f t="shared" si="88"/>
        <v>251</v>
      </c>
      <c r="CR218" s="6">
        <v>363</v>
      </c>
      <c r="CS218" s="6"/>
      <c r="CT218" s="6">
        <f t="shared" si="89"/>
        <v>245</v>
      </c>
      <c r="CU218" s="6"/>
      <c r="CV218" s="6"/>
      <c r="CW218" s="6"/>
      <c r="CX218" s="6">
        <v>624</v>
      </c>
      <c r="CY218" s="6"/>
      <c r="CZ218" s="6">
        <f t="shared" si="90"/>
        <v>261</v>
      </c>
      <c r="DA218" s="6">
        <v>879</v>
      </c>
      <c r="DB218" s="6"/>
      <c r="DC218" s="6">
        <f t="shared" si="91"/>
        <v>255</v>
      </c>
      <c r="DD218" s="6">
        <v>37</v>
      </c>
      <c r="DE218" s="6">
        <v>1100</v>
      </c>
      <c r="DF218" s="6">
        <f t="shared" si="92"/>
        <v>258</v>
      </c>
      <c r="DG218" s="6">
        <v>296</v>
      </c>
      <c r="DH218" s="10"/>
      <c r="DI218" s="6">
        <f t="shared" si="93"/>
        <v>259</v>
      </c>
      <c r="DJ218" s="6">
        <v>558</v>
      </c>
      <c r="DK218" s="10"/>
      <c r="DL218" s="6">
        <f t="shared" si="94"/>
        <v>262</v>
      </c>
      <c r="DM218" s="6">
        <v>794</v>
      </c>
      <c r="DN218" s="10"/>
      <c r="DO218" s="6">
        <f t="shared" si="95"/>
        <v>236</v>
      </c>
    </row>
    <row r="219" spans="1:119">
      <c r="A219" s="6">
        <v>215</v>
      </c>
      <c r="B219" s="6">
        <v>462</v>
      </c>
      <c r="C219" s="10"/>
      <c r="D219" s="6">
        <v>129</v>
      </c>
      <c r="E219" s="141" t="s">
        <v>72</v>
      </c>
      <c r="F219" s="141" t="s">
        <v>72</v>
      </c>
      <c r="G219" s="141" t="s">
        <v>72</v>
      </c>
      <c r="H219" s="141" t="s">
        <v>72</v>
      </c>
      <c r="I219" s="141" t="s">
        <v>72</v>
      </c>
      <c r="J219" s="141" t="s">
        <v>72</v>
      </c>
      <c r="K219" s="141" t="s">
        <v>72</v>
      </c>
      <c r="L219" s="141" t="s">
        <v>72</v>
      </c>
      <c r="M219" s="163" t="s">
        <v>72</v>
      </c>
      <c r="N219" s="141" t="s">
        <v>72</v>
      </c>
      <c r="O219" s="163" t="s">
        <v>72</v>
      </c>
      <c r="P219" s="141" t="s">
        <v>72</v>
      </c>
      <c r="Q219" s="141" t="s">
        <v>72</v>
      </c>
      <c r="R219" s="141" t="s">
        <v>72</v>
      </c>
      <c r="S219" s="163" t="s">
        <v>72</v>
      </c>
      <c r="T219" s="141" t="s">
        <v>72</v>
      </c>
      <c r="U219" s="141" t="s">
        <v>72</v>
      </c>
      <c r="V219" s="141" t="s">
        <v>72</v>
      </c>
      <c r="W219" s="141" t="s">
        <v>72</v>
      </c>
      <c r="X219" s="141" t="s">
        <v>72</v>
      </c>
      <c r="Y219" s="141" t="s">
        <v>72</v>
      </c>
      <c r="Z219" s="141" t="s">
        <v>72</v>
      </c>
      <c r="AA219" s="141" t="s">
        <v>72</v>
      </c>
      <c r="AB219" s="163" t="s">
        <v>72</v>
      </c>
      <c r="AC219" s="141" t="s">
        <v>72</v>
      </c>
      <c r="AD219" s="6"/>
      <c r="AE219" s="6"/>
      <c r="AF219" s="35"/>
      <c r="AG219" s="6"/>
      <c r="AH219" s="6"/>
      <c r="AI219" s="35"/>
      <c r="AJ219" s="35"/>
      <c r="AK219" s="35"/>
      <c r="AL219" s="35"/>
      <c r="AM219" s="6">
        <v>726</v>
      </c>
      <c r="AN219" s="6"/>
      <c r="AO219" s="35">
        <f t="shared" si="72"/>
        <v>264</v>
      </c>
      <c r="AP219" s="6">
        <v>966</v>
      </c>
      <c r="AQ219" s="6"/>
      <c r="AR219" s="34">
        <f t="shared" si="73"/>
        <v>240</v>
      </c>
      <c r="AS219" s="35">
        <v>114</v>
      </c>
      <c r="AT219" s="35">
        <v>1100</v>
      </c>
      <c r="AU219" s="35">
        <f t="shared" si="74"/>
        <v>248</v>
      </c>
      <c r="AV219" s="6">
        <v>362</v>
      </c>
      <c r="AW219" s="6"/>
      <c r="AX219" s="35">
        <f t="shared" si="75"/>
        <v>248</v>
      </c>
      <c r="AY219" s="6">
        <v>609</v>
      </c>
      <c r="AZ219" s="6"/>
      <c r="BA219" s="35">
        <f t="shared" si="76"/>
        <v>247</v>
      </c>
      <c r="BB219" s="35">
        <v>849</v>
      </c>
      <c r="BC219" s="35"/>
      <c r="BD219" s="35">
        <f t="shared" si="77"/>
        <v>240</v>
      </c>
      <c r="BE219" s="35"/>
      <c r="BF219" s="6"/>
      <c r="BG219" s="35"/>
      <c r="BH219" s="6">
        <v>0</v>
      </c>
      <c r="BI219" s="6">
        <v>959</v>
      </c>
      <c r="BJ219" s="35">
        <f t="shared" si="78"/>
        <v>110</v>
      </c>
      <c r="BK219" s="6">
        <v>237</v>
      </c>
      <c r="BL219" s="6"/>
      <c r="BM219" s="6">
        <f t="shared" si="79"/>
        <v>237</v>
      </c>
      <c r="BN219" s="35">
        <v>484</v>
      </c>
      <c r="BO219" s="35"/>
      <c r="BP219" s="6">
        <f t="shared" si="80"/>
        <v>247</v>
      </c>
      <c r="BQ219" s="35">
        <v>171</v>
      </c>
      <c r="BR219" s="35">
        <v>555</v>
      </c>
      <c r="BS219" s="35">
        <f t="shared" si="81"/>
        <v>242</v>
      </c>
      <c r="BT219" s="35">
        <v>422</v>
      </c>
      <c r="BU219" s="35"/>
      <c r="BV219" s="6">
        <f t="shared" si="82"/>
        <v>251</v>
      </c>
      <c r="BW219" s="35">
        <v>656</v>
      </c>
      <c r="BX219" s="35"/>
      <c r="BY219" s="35">
        <f t="shared" si="83"/>
        <v>234</v>
      </c>
      <c r="BZ219" s="35"/>
      <c r="CA219" s="6"/>
      <c r="CB219" s="6"/>
      <c r="CC219" s="6">
        <v>899</v>
      </c>
      <c r="CD219" s="6"/>
      <c r="CE219" s="6">
        <f t="shared" si="84"/>
        <v>243</v>
      </c>
      <c r="CF219" s="6">
        <v>164</v>
      </c>
      <c r="CG219" s="6">
        <v>965</v>
      </c>
      <c r="CH219" s="6">
        <f t="shared" si="85"/>
        <v>230</v>
      </c>
      <c r="CI219" s="6">
        <v>416</v>
      </c>
      <c r="CJ219" s="6"/>
      <c r="CK219" s="6">
        <f t="shared" si="86"/>
        <v>252</v>
      </c>
      <c r="CL219" s="6">
        <v>663</v>
      </c>
      <c r="CM219" s="6"/>
      <c r="CN219" s="6">
        <f t="shared" si="87"/>
        <v>247</v>
      </c>
      <c r="CO219" s="6">
        <v>912</v>
      </c>
      <c r="CP219" s="6"/>
      <c r="CQ219" s="6">
        <f t="shared" si="88"/>
        <v>249</v>
      </c>
      <c r="CR219" s="6">
        <v>45</v>
      </c>
      <c r="CS219" s="6">
        <v>1100</v>
      </c>
      <c r="CT219" s="6">
        <f t="shared" si="89"/>
        <v>233</v>
      </c>
      <c r="CU219" s="6"/>
      <c r="CV219" s="6"/>
      <c r="CW219" s="6"/>
      <c r="CX219" s="6">
        <v>299</v>
      </c>
      <c r="CY219" s="6"/>
      <c r="CZ219" s="6">
        <f t="shared" si="90"/>
        <v>254</v>
      </c>
      <c r="DA219" s="6">
        <v>529</v>
      </c>
      <c r="DB219" s="6"/>
      <c r="DC219" s="6">
        <f t="shared" si="91"/>
        <v>230</v>
      </c>
      <c r="DD219" s="6">
        <v>781</v>
      </c>
      <c r="DE219" s="6"/>
      <c r="DF219" s="6">
        <f t="shared" si="92"/>
        <v>252</v>
      </c>
      <c r="DG219" s="6">
        <v>0</v>
      </c>
      <c r="DH219" s="10">
        <v>869</v>
      </c>
      <c r="DI219" s="6">
        <f t="shared" si="93"/>
        <v>88</v>
      </c>
      <c r="DJ219" s="6">
        <v>150</v>
      </c>
      <c r="DK219" s="10"/>
      <c r="DL219" s="6">
        <f t="shared" si="94"/>
        <v>150</v>
      </c>
      <c r="DM219" s="6">
        <v>346</v>
      </c>
      <c r="DN219" s="10"/>
      <c r="DO219" s="6">
        <f t="shared" si="95"/>
        <v>196</v>
      </c>
    </row>
    <row r="220" spans="1:119">
      <c r="A220" s="6">
        <v>216</v>
      </c>
      <c r="B220" s="6">
        <v>255</v>
      </c>
      <c r="C220" s="10"/>
      <c r="D220" s="6">
        <v>130</v>
      </c>
      <c r="E220" s="141" t="s">
        <v>291</v>
      </c>
      <c r="F220" s="141" t="s">
        <v>291</v>
      </c>
      <c r="G220" s="141" t="s">
        <v>291</v>
      </c>
      <c r="H220" s="141" t="s">
        <v>291</v>
      </c>
      <c r="I220" s="141" t="s">
        <v>291</v>
      </c>
      <c r="J220" s="141" t="s">
        <v>291</v>
      </c>
      <c r="K220" s="141" t="s">
        <v>291</v>
      </c>
      <c r="L220" s="141" t="s">
        <v>291</v>
      </c>
      <c r="M220" s="141" t="s">
        <v>291</v>
      </c>
      <c r="N220" s="141" t="s">
        <v>291</v>
      </c>
      <c r="O220" s="141" t="s">
        <v>291</v>
      </c>
      <c r="P220" s="141" t="s">
        <v>291</v>
      </c>
      <c r="Q220" s="141" t="s">
        <v>291</v>
      </c>
      <c r="R220" s="163" t="s">
        <v>75</v>
      </c>
      <c r="S220" s="141" t="s">
        <v>75</v>
      </c>
      <c r="T220" s="141" t="s">
        <v>75</v>
      </c>
      <c r="U220" s="141" t="s">
        <v>75</v>
      </c>
      <c r="V220" s="141" t="s">
        <v>75</v>
      </c>
      <c r="W220" s="141" t="s">
        <v>75</v>
      </c>
      <c r="X220" s="141" t="s">
        <v>75</v>
      </c>
      <c r="Y220" s="141" t="s">
        <v>75</v>
      </c>
      <c r="Z220" s="141" t="s">
        <v>75</v>
      </c>
      <c r="AA220" s="141" t="s">
        <v>75</v>
      </c>
      <c r="AB220" s="141" t="s">
        <v>75</v>
      </c>
      <c r="AC220" s="141" t="s">
        <v>75</v>
      </c>
      <c r="AD220" s="6"/>
      <c r="AE220" s="6"/>
      <c r="AF220" s="35"/>
      <c r="AG220" s="6"/>
      <c r="AH220" s="6"/>
      <c r="AI220" s="35"/>
      <c r="AJ220" s="35"/>
      <c r="AK220" s="35"/>
      <c r="AL220" s="35"/>
      <c r="AM220" s="6">
        <v>516</v>
      </c>
      <c r="AN220" s="6"/>
      <c r="AO220" s="35">
        <f t="shared" si="72"/>
        <v>261</v>
      </c>
      <c r="AP220" s="6">
        <v>31</v>
      </c>
      <c r="AQ220" s="6">
        <v>724</v>
      </c>
      <c r="AR220" s="34">
        <f t="shared" si="73"/>
        <v>239</v>
      </c>
      <c r="AS220" s="35">
        <v>278</v>
      </c>
      <c r="AT220" s="35"/>
      <c r="AU220" s="35">
        <f t="shared" si="74"/>
        <v>247</v>
      </c>
      <c r="AV220" s="6">
        <v>529</v>
      </c>
      <c r="AW220" s="6"/>
      <c r="AX220" s="35">
        <f t="shared" si="75"/>
        <v>251</v>
      </c>
      <c r="AY220" s="6">
        <v>775</v>
      </c>
      <c r="AZ220" s="6"/>
      <c r="BA220" s="35">
        <f t="shared" si="76"/>
        <v>246</v>
      </c>
      <c r="BB220" s="35">
        <v>1013</v>
      </c>
      <c r="BC220" s="35"/>
      <c r="BD220" s="35">
        <f t="shared" si="77"/>
        <v>238</v>
      </c>
      <c r="BE220" s="35"/>
      <c r="BF220" s="6"/>
      <c r="BG220" s="35"/>
      <c r="BH220" s="6">
        <v>167</v>
      </c>
      <c r="BI220" s="35">
        <v>1100</v>
      </c>
      <c r="BJ220" s="35">
        <f t="shared" si="78"/>
        <v>254</v>
      </c>
      <c r="BK220" s="35">
        <v>413</v>
      </c>
      <c r="BL220" s="35"/>
      <c r="BM220" s="6">
        <f t="shared" si="79"/>
        <v>246</v>
      </c>
      <c r="BN220" s="35">
        <v>665</v>
      </c>
      <c r="BO220" s="35"/>
      <c r="BP220" s="6">
        <f t="shared" si="80"/>
        <v>252</v>
      </c>
      <c r="BQ220" s="35">
        <v>916</v>
      </c>
      <c r="BR220" s="35"/>
      <c r="BS220" s="35">
        <f t="shared" si="81"/>
        <v>251</v>
      </c>
      <c r="BT220" s="35">
        <v>1163</v>
      </c>
      <c r="BU220" s="35"/>
      <c r="BV220" s="6">
        <f t="shared" si="82"/>
        <v>247</v>
      </c>
      <c r="BW220" s="35">
        <v>0</v>
      </c>
      <c r="BX220" s="35">
        <v>1289</v>
      </c>
      <c r="BY220" s="35">
        <f t="shared" si="83"/>
        <v>126</v>
      </c>
      <c r="BZ220" s="35"/>
      <c r="CA220" s="6"/>
      <c r="CB220" s="6"/>
      <c r="CC220" s="6">
        <v>187</v>
      </c>
      <c r="CD220" s="6"/>
      <c r="CE220" s="6">
        <f t="shared" si="84"/>
        <v>187</v>
      </c>
      <c r="CF220" s="6">
        <v>437</v>
      </c>
      <c r="CG220" s="6"/>
      <c r="CH220" s="6">
        <f t="shared" si="85"/>
        <v>250</v>
      </c>
      <c r="CI220" s="6">
        <v>688</v>
      </c>
      <c r="CJ220" s="6"/>
      <c r="CK220" s="6">
        <f t="shared" si="86"/>
        <v>251</v>
      </c>
      <c r="CL220" s="6">
        <v>940</v>
      </c>
      <c r="CM220" s="6"/>
      <c r="CN220" s="6">
        <f t="shared" si="87"/>
        <v>252</v>
      </c>
      <c r="CO220" s="6">
        <v>123</v>
      </c>
      <c r="CP220" s="6">
        <v>1056</v>
      </c>
      <c r="CQ220" s="6">
        <f t="shared" si="88"/>
        <v>239</v>
      </c>
      <c r="CR220" s="6">
        <v>367</v>
      </c>
      <c r="CS220" s="6"/>
      <c r="CT220" s="6">
        <f t="shared" si="89"/>
        <v>244</v>
      </c>
      <c r="CU220" s="6"/>
      <c r="CV220" s="6"/>
      <c r="CW220" s="6"/>
      <c r="CX220" s="6">
        <v>623</v>
      </c>
      <c r="CY220" s="6"/>
      <c r="CZ220" s="6">
        <f t="shared" si="90"/>
        <v>256</v>
      </c>
      <c r="DA220" s="6">
        <v>866</v>
      </c>
      <c r="DB220" s="6"/>
      <c r="DC220" s="6">
        <f t="shared" si="91"/>
        <v>243</v>
      </c>
      <c r="DD220" s="6">
        <v>12</v>
      </c>
      <c r="DE220" s="6">
        <v>1107</v>
      </c>
      <c r="DF220" s="6">
        <f t="shared" si="92"/>
        <v>253</v>
      </c>
      <c r="DG220" s="6">
        <v>266</v>
      </c>
      <c r="DH220" s="10"/>
      <c r="DI220" s="6">
        <f t="shared" si="93"/>
        <v>254</v>
      </c>
      <c r="DJ220" s="6">
        <v>523</v>
      </c>
      <c r="DK220" s="10"/>
      <c r="DL220" s="6">
        <f t="shared" si="94"/>
        <v>257</v>
      </c>
      <c r="DM220" s="6">
        <v>755</v>
      </c>
      <c r="DN220" s="10"/>
      <c r="DO220" s="6">
        <f t="shared" si="95"/>
        <v>232</v>
      </c>
    </row>
    <row r="221" spans="1:119">
      <c r="A221" s="6">
        <v>217</v>
      </c>
      <c r="B221" s="6"/>
      <c r="C221" s="10"/>
      <c r="D221" s="6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6"/>
      <c r="AE221" s="6"/>
      <c r="AF221" s="35"/>
      <c r="AG221" s="6"/>
      <c r="AH221" s="6"/>
      <c r="AI221" s="35"/>
      <c r="AJ221" s="35"/>
      <c r="AK221" s="35"/>
      <c r="AL221" s="35"/>
      <c r="AM221" s="6"/>
      <c r="AN221" s="6"/>
      <c r="AO221" s="35"/>
      <c r="AP221" s="6"/>
      <c r="AQ221" s="6"/>
      <c r="AR221" s="34"/>
      <c r="AS221" s="35"/>
      <c r="AT221" s="35"/>
      <c r="AU221" s="35"/>
      <c r="AV221" s="35"/>
      <c r="AW221" s="35"/>
      <c r="AX221" s="35"/>
      <c r="AY221" s="6"/>
      <c r="AZ221" s="6"/>
      <c r="BA221" s="35"/>
      <c r="BB221" s="35"/>
      <c r="BC221" s="35"/>
      <c r="BD221" s="35"/>
      <c r="BE221" s="35"/>
      <c r="BF221" s="6"/>
      <c r="BG221" s="35"/>
      <c r="BH221" s="6"/>
      <c r="BI221" s="35"/>
      <c r="BJ221" s="35"/>
      <c r="BK221" s="35"/>
      <c r="BL221" s="35"/>
      <c r="BM221" s="6"/>
      <c r="BN221" s="35"/>
      <c r="BO221" s="35"/>
      <c r="BP221" s="6"/>
      <c r="BQ221" s="35"/>
      <c r="BR221" s="35"/>
      <c r="BS221" s="35"/>
      <c r="BT221" s="35"/>
      <c r="BU221" s="35"/>
      <c r="BV221" s="6"/>
      <c r="BW221" s="35"/>
      <c r="BX221" s="35"/>
      <c r="BY221" s="35"/>
      <c r="BZ221" s="35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10"/>
      <c r="DI221" s="6"/>
      <c r="DJ221" s="6"/>
      <c r="DK221" s="10"/>
      <c r="DL221" s="6"/>
      <c r="DM221" s="6"/>
      <c r="DN221" s="10"/>
      <c r="DO221" s="6"/>
    </row>
    <row r="222" spans="1:119">
      <c r="A222" s="6">
        <v>218</v>
      </c>
      <c r="B222" s="6"/>
      <c r="C222" s="10"/>
      <c r="D222" s="6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6"/>
      <c r="AE222" s="6"/>
      <c r="AF222" s="35"/>
      <c r="AG222" s="6"/>
      <c r="AH222" s="6"/>
      <c r="AI222" s="35"/>
      <c r="AJ222" s="35"/>
      <c r="AK222" s="35"/>
      <c r="AL222" s="35"/>
      <c r="AM222" s="6"/>
      <c r="AN222" s="6"/>
      <c r="AO222" s="35"/>
      <c r="AP222" s="6"/>
      <c r="AQ222" s="6"/>
      <c r="AR222" s="34"/>
      <c r="AS222" s="35"/>
      <c r="AT222" s="35"/>
      <c r="AU222" s="35"/>
      <c r="AV222" s="35"/>
      <c r="AW222" s="6"/>
      <c r="AX222" s="35"/>
      <c r="AY222" s="6"/>
      <c r="AZ222" s="6"/>
      <c r="BA222" s="35"/>
      <c r="BB222" s="35"/>
      <c r="BC222" s="35"/>
      <c r="BD222" s="35"/>
      <c r="BE222" s="35"/>
      <c r="BF222" s="6"/>
      <c r="BG222" s="35"/>
      <c r="BH222" s="6"/>
      <c r="BI222" s="35"/>
      <c r="BJ222" s="35"/>
      <c r="BK222" s="35"/>
      <c r="BL222" s="35"/>
      <c r="BM222" s="6"/>
      <c r="BN222" s="35"/>
      <c r="BO222" s="35"/>
      <c r="BP222" s="6"/>
      <c r="BQ222" s="35"/>
      <c r="BR222" s="35"/>
      <c r="BS222" s="35"/>
      <c r="BT222" s="35"/>
      <c r="BU222" s="35"/>
      <c r="BV222" s="6"/>
      <c r="BW222" s="35"/>
      <c r="BX222" s="35"/>
      <c r="BY222" s="35"/>
      <c r="BZ222" s="35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10"/>
      <c r="DI222" s="6"/>
      <c r="DJ222" s="6"/>
      <c r="DK222" s="10"/>
      <c r="DL222" s="6"/>
      <c r="DM222" s="6"/>
      <c r="DN222" s="10"/>
      <c r="DO222" s="6"/>
    </row>
    <row r="223" spans="1:119">
      <c r="A223" s="6">
        <v>219</v>
      </c>
      <c r="B223" s="6"/>
      <c r="C223" s="10"/>
      <c r="D223" s="6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6"/>
      <c r="AE223" s="6"/>
      <c r="AF223" s="35"/>
      <c r="AG223" s="6"/>
      <c r="AH223" s="6"/>
      <c r="AI223" s="35"/>
      <c r="AJ223" s="35"/>
      <c r="AK223" s="35"/>
      <c r="AL223" s="35"/>
      <c r="AM223" s="6"/>
      <c r="AN223" s="6"/>
      <c r="AO223" s="35"/>
      <c r="AP223" s="6"/>
      <c r="AQ223" s="6"/>
      <c r="AR223" s="34"/>
      <c r="AS223" s="35"/>
      <c r="AT223" s="35"/>
      <c r="AU223" s="35"/>
      <c r="AV223" s="6"/>
      <c r="AW223" s="6"/>
      <c r="AX223" s="35"/>
      <c r="AY223" s="6"/>
      <c r="AZ223" s="6"/>
      <c r="BA223" s="35"/>
      <c r="BB223" s="35"/>
      <c r="BC223" s="35"/>
      <c r="BD223" s="35"/>
      <c r="BE223" s="35"/>
      <c r="BF223" s="6"/>
      <c r="BG223" s="35"/>
      <c r="BH223" s="6"/>
      <c r="BI223" s="35"/>
      <c r="BJ223" s="35"/>
      <c r="BK223" s="35"/>
      <c r="BL223" s="35"/>
      <c r="BM223" s="6"/>
      <c r="BN223" s="35"/>
      <c r="BO223" s="35"/>
      <c r="BP223" s="6"/>
      <c r="BQ223" s="35"/>
      <c r="BR223" s="35"/>
      <c r="BS223" s="35"/>
      <c r="BT223" s="35"/>
      <c r="BU223" s="35"/>
      <c r="BV223" s="6"/>
      <c r="BW223" s="35"/>
      <c r="BX223" s="35"/>
      <c r="BY223" s="35"/>
      <c r="BZ223" s="35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10"/>
      <c r="DI223" s="6"/>
      <c r="DJ223" s="6"/>
      <c r="DK223" s="10"/>
      <c r="DL223" s="6"/>
      <c r="DM223" s="6"/>
      <c r="DN223" s="10"/>
      <c r="DO223" s="6"/>
    </row>
    <row r="224" spans="1:119">
      <c r="A224" s="6">
        <v>220</v>
      </c>
      <c r="B224" s="6"/>
      <c r="C224" s="10"/>
      <c r="D224" s="6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6"/>
      <c r="AE224" s="6"/>
      <c r="AF224" s="35"/>
      <c r="AG224" s="6"/>
      <c r="AH224" s="6"/>
      <c r="AI224" s="35"/>
      <c r="AJ224" s="35"/>
      <c r="AK224" s="35"/>
      <c r="AL224" s="35"/>
      <c r="AM224" s="6"/>
      <c r="AN224" s="6"/>
      <c r="AO224" s="35"/>
      <c r="AP224" s="6"/>
      <c r="AQ224" s="6"/>
      <c r="AR224" s="34"/>
      <c r="AS224" s="35"/>
      <c r="AT224" s="35"/>
      <c r="AU224" s="35"/>
      <c r="AV224" s="6"/>
      <c r="AW224" s="6"/>
      <c r="AX224" s="35"/>
      <c r="AY224" s="6"/>
      <c r="AZ224" s="6"/>
      <c r="BA224" s="35"/>
      <c r="BB224" s="35"/>
      <c r="BC224" s="35"/>
      <c r="BD224" s="35"/>
      <c r="BE224" s="35"/>
      <c r="BF224" s="6"/>
      <c r="BG224" s="35"/>
      <c r="BH224" s="6"/>
      <c r="BI224" s="35"/>
      <c r="BJ224" s="35"/>
      <c r="BK224" s="35"/>
      <c r="BL224" s="35"/>
      <c r="BM224" s="6"/>
      <c r="BN224" s="35"/>
      <c r="BO224" s="35"/>
      <c r="BP224" s="6"/>
      <c r="BQ224" s="35"/>
      <c r="BR224" s="35"/>
      <c r="BS224" s="35"/>
      <c r="BT224" s="35"/>
      <c r="BU224" s="35"/>
      <c r="BV224" s="6"/>
      <c r="BW224" s="35"/>
      <c r="BX224" s="35"/>
      <c r="BY224" s="35"/>
      <c r="BZ224" s="35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10"/>
      <c r="DI224" s="6"/>
      <c r="DJ224" s="6"/>
      <c r="DK224" s="10"/>
      <c r="DL224" s="6"/>
      <c r="DM224" s="6"/>
      <c r="DN224" s="10"/>
      <c r="DO224" s="6"/>
    </row>
    <row r="225" spans="1:119">
      <c r="A225" s="6">
        <v>221</v>
      </c>
      <c r="B225" s="6"/>
      <c r="C225" s="10"/>
      <c r="D225" s="6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6"/>
      <c r="AE225" s="6"/>
      <c r="AF225" s="35"/>
      <c r="AG225" s="6"/>
      <c r="AH225" s="6"/>
      <c r="AI225" s="35"/>
      <c r="AJ225" s="35"/>
      <c r="AK225" s="35"/>
      <c r="AL225" s="35"/>
      <c r="AM225" s="6"/>
      <c r="AN225" s="6"/>
      <c r="AO225" s="35"/>
      <c r="AP225" s="6"/>
      <c r="AQ225" s="6"/>
      <c r="AR225" s="34"/>
      <c r="AS225" s="35"/>
      <c r="AT225" s="35"/>
      <c r="AU225" s="35"/>
      <c r="AV225" s="6"/>
      <c r="AW225" s="6"/>
      <c r="AX225" s="35"/>
      <c r="AY225" s="6"/>
      <c r="AZ225" s="6"/>
      <c r="BA225" s="35"/>
      <c r="BB225" s="35"/>
      <c r="BC225" s="35"/>
      <c r="BD225" s="35"/>
      <c r="BE225" s="35"/>
      <c r="BF225" s="6"/>
      <c r="BG225" s="35"/>
      <c r="BH225" s="6"/>
      <c r="BI225" s="35"/>
      <c r="BJ225" s="35"/>
      <c r="BK225" s="35"/>
      <c r="BL225" s="35"/>
      <c r="BM225" s="6"/>
      <c r="BN225" s="35"/>
      <c r="BO225" s="35"/>
      <c r="BP225" s="6"/>
      <c r="BQ225" s="35"/>
      <c r="BR225" s="35"/>
      <c r="BS225" s="35"/>
      <c r="BT225" s="35"/>
      <c r="BU225" s="35"/>
      <c r="BV225" s="6"/>
      <c r="BW225" s="6"/>
      <c r="BX225" s="35"/>
      <c r="BY225" s="35"/>
      <c r="BZ225" s="35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10"/>
      <c r="DI225" s="6"/>
      <c r="DJ225" s="6"/>
      <c r="DK225" s="10"/>
      <c r="DL225" s="6"/>
      <c r="DM225" s="6"/>
      <c r="DN225" s="10"/>
      <c r="DO225" s="6"/>
    </row>
    <row r="226" spans="1:119">
      <c r="A226" s="6">
        <v>222</v>
      </c>
      <c r="B226" s="6"/>
      <c r="C226" s="10"/>
      <c r="D226" s="6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6"/>
      <c r="AE226" s="6"/>
      <c r="AF226" s="35"/>
      <c r="AG226" s="6"/>
      <c r="AH226" s="6"/>
      <c r="AI226" s="35"/>
      <c r="AJ226" s="35"/>
      <c r="AK226" s="35"/>
      <c r="AL226" s="35"/>
      <c r="AM226" s="6"/>
      <c r="AN226" s="6"/>
      <c r="AO226" s="35"/>
      <c r="AP226" s="6"/>
      <c r="AQ226" s="35"/>
      <c r="AR226" s="34"/>
      <c r="AS226" s="35"/>
      <c r="AT226" s="35"/>
      <c r="AU226" s="35"/>
      <c r="AV226" s="6"/>
      <c r="AW226" s="6"/>
      <c r="AX226" s="35"/>
      <c r="AY226" s="6"/>
      <c r="AZ226" s="6"/>
      <c r="BA226" s="35"/>
      <c r="BB226" s="35"/>
      <c r="BC226" s="35"/>
      <c r="BD226" s="35"/>
      <c r="BE226" s="35"/>
      <c r="BF226" s="6"/>
      <c r="BG226" s="35"/>
      <c r="BH226" s="6"/>
      <c r="BI226" s="35"/>
      <c r="BJ226" s="35"/>
      <c r="BK226" s="35"/>
      <c r="BL226" s="35"/>
      <c r="BM226" s="6"/>
      <c r="BN226" s="35"/>
      <c r="BO226" s="35"/>
      <c r="BP226" s="6"/>
      <c r="BQ226" s="35"/>
      <c r="BR226" s="35"/>
      <c r="BS226" s="35"/>
      <c r="BT226" s="35"/>
      <c r="BU226" s="35"/>
      <c r="BV226" s="6"/>
      <c r="BW226" s="6"/>
      <c r="BX226" s="35"/>
      <c r="BY226" s="35"/>
      <c r="BZ226" s="35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10"/>
      <c r="DI226" s="6"/>
      <c r="DJ226" s="6"/>
      <c r="DK226" s="10"/>
      <c r="DL226" s="6"/>
      <c r="DM226" s="6"/>
      <c r="DN226" s="10"/>
      <c r="DO226" s="6"/>
    </row>
    <row r="227" spans="1:119">
      <c r="A227" s="6">
        <v>223</v>
      </c>
      <c r="B227" s="6"/>
      <c r="C227" s="10"/>
      <c r="D227" s="6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6"/>
      <c r="AE227" s="6"/>
      <c r="AF227" s="35"/>
      <c r="AG227" s="6"/>
      <c r="AH227" s="6"/>
      <c r="AI227" s="35"/>
      <c r="AJ227" s="35"/>
      <c r="AK227" s="35"/>
      <c r="AL227" s="35"/>
      <c r="AM227" s="6"/>
      <c r="AN227" s="6"/>
      <c r="AO227" s="35"/>
      <c r="AP227" s="6"/>
      <c r="AQ227" s="6"/>
      <c r="AR227" s="34"/>
      <c r="AS227" s="35"/>
      <c r="AT227" s="35"/>
      <c r="AU227" s="35"/>
      <c r="AV227" s="6"/>
      <c r="AW227" s="6"/>
      <c r="AX227" s="35"/>
      <c r="AY227" s="6"/>
      <c r="AZ227" s="6"/>
      <c r="BA227" s="35"/>
      <c r="BB227" s="35"/>
      <c r="BC227" s="35"/>
      <c r="BD227" s="35"/>
      <c r="BE227" s="35"/>
      <c r="BF227" s="6"/>
      <c r="BG227" s="35"/>
      <c r="BH227" s="6"/>
      <c r="BI227" s="35"/>
      <c r="BJ227" s="35"/>
      <c r="BK227" s="35"/>
      <c r="BL227" s="35"/>
      <c r="BM227" s="6"/>
      <c r="BN227" s="35"/>
      <c r="BO227" s="35"/>
      <c r="BP227" s="6"/>
      <c r="BQ227" s="35"/>
      <c r="BR227" s="35"/>
      <c r="BS227" s="35"/>
      <c r="BT227" s="35"/>
      <c r="BU227" s="35"/>
      <c r="BV227" s="6"/>
      <c r="BW227" s="6"/>
      <c r="BX227" s="35"/>
      <c r="BY227" s="35"/>
      <c r="BZ227" s="35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10"/>
      <c r="DI227" s="6"/>
      <c r="DJ227" s="6"/>
      <c r="DK227" s="10"/>
      <c r="DL227" s="6"/>
      <c r="DM227" s="6"/>
      <c r="DN227" s="10"/>
      <c r="DO227" s="6"/>
    </row>
    <row r="228" spans="1:119">
      <c r="A228" s="6">
        <v>224</v>
      </c>
      <c r="B228" s="6"/>
      <c r="C228" s="10"/>
      <c r="D228" s="6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6"/>
      <c r="AE228" s="6"/>
      <c r="AF228" s="35"/>
      <c r="AG228" s="6"/>
      <c r="AH228" s="6"/>
      <c r="AI228" s="35"/>
      <c r="AJ228" s="35"/>
      <c r="AK228" s="35"/>
      <c r="AL228" s="35"/>
      <c r="AM228" s="6"/>
      <c r="AN228" s="6"/>
      <c r="AO228" s="35"/>
      <c r="AP228" s="6"/>
      <c r="AQ228" s="6"/>
      <c r="AR228" s="34"/>
      <c r="AS228" s="35"/>
      <c r="AT228" s="35"/>
      <c r="AU228" s="35"/>
      <c r="AV228" s="6"/>
      <c r="AW228" s="6"/>
      <c r="AX228" s="35"/>
      <c r="AY228" s="6"/>
      <c r="AZ228" s="6"/>
      <c r="BA228" s="35"/>
      <c r="BB228" s="35"/>
      <c r="BC228" s="35"/>
      <c r="BD228" s="35"/>
      <c r="BE228" s="35"/>
      <c r="BF228" s="6"/>
      <c r="BG228" s="35"/>
      <c r="BH228" s="6"/>
      <c r="BI228" s="35"/>
      <c r="BJ228" s="35"/>
      <c r="BK228" s="35"/>
      <c r="BL228" s="35"/>
      <c r="BM228" s="6"/>
      <c r="BN228" s="35"/>
      <c r="BO228" s="35"/>
      <c r="BP228" s="6"/>
      <c r="BQ228" s="35"/>
      <c r="BR228" s="35"/>
      <c r="BS228" s="35"/>
      <c r="BT228" s="35"/>
      <c r="BU228" s="35"/>
      <c r="BV228" s="6"/>
      <c r="BW228" s="6"/>
      <c r="BX228" s="35"/>
      <c r="BY228" s="35"/>
      <c r="BZ228" s="35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10"/>
      <c r="DI228" s="6"/>
      <c r="DJ228" s="6"/>
      <c r="DK228" s="10"/>
      <c r="DL228" s="6"/>
      <c r="DM228" s="6"/>
      <c r="DN228" s="10"/>
      <c r="DO228" s="6"/>
    </row>
    <row r="229" spans="1:119">
      <c r="A229" s="6">
        <v>225</v>
      </c>
      <c r="B229" s="6"/>
      <c r="C229" s="10"/>
      <c r="D229" s="6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6"/>
      <c r="AE229" s="6"/>
      <c r="AF229" s="35"/>
      <c r="AG229" s="6"/>
      <c r="AH229" s="6"/>
      <c r="AI229" s="35"/>
      <c r="AJ229" s="35"/>
      <c r="AK229" s="35"/>
      <c r="AL229" s="35"/>
      <c r="AM229" s="6"/>
      <c r="AN229" s="6"/>
      <c r="AO229" s="35"/>
      <c r="AP229" s="6"/>
      <c r="AQ229" s="6"/>
      <c r="AR229" s="34"/>
      <c r="AS229" s="35"/>
      <c r="AT229" s="35"/>
      <c r="AU229" s="35"/>
      <c r="AV229" s="6"/>
      <c r="AW229" s="6"/>
      <c r="AX229" s="35"/>
      <c r="AY229" s="6"/>
      <c r="AZ229" s="6"/>
      <c r="BA229" s="35"/>
      <c r="BB229" s="35"/>
      <c r="BC229" s="35"/>
      <c r="BD229" s="35"/>
      <c r="BE229" s="35"/>
      <c r="BF229" s="6"/>
      <c r="BG229" s="35"/>
      <c r="BH229" s="6"/>
      <c r="BI229" s="35"/>
      <c r="BJ229" s="35"/>
      <c r="BK229" s="35"/>
      <c r="BL229" s="35"/>
      <c r="BM229" s="6"/>
      <c r="BN229" s="35"/>
      <c r="BO229" s="35"/>
      <c r="BP229" s="6"/>
      <c r="BQ229" s="35"/>
      <c r="BR229" s="35"/>
      <c r="BS229" s="35"/>
      <c r="BT229" s="35"/>
      <c r="BU229" s="35"/>
      <c r="BV229" s="6"/>
      <c r="BW229" s="6"/>
      <c r="BX229" s="35"/>
      <c r="BY229" s="35"/>
      <c r="BZ229" s="35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10"/>
      <c r="DI229" s="6"/>
      <c r="DJ229" s="6"/>
      <c r="DK229" s="10"/>
      <c r="DL229" s="6"/>
      <c r="DM229" s="6"/>
      <c r="DN229" s="10"/>
      <c r="DO229" s="6"/>
    </row>
    <row r="230" spans="1:119">
      <c r="A230" s="6">
        <v>226</v>
      </c>
      <c r="B230" s="6"/>
      <c r="C230" s="10"/>
      <c r="D230" s="6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6"/>
      <c r="AE230" s="6"/>
      <c r="AF230" s="35"/>
      <c r="AG230" s="6"/>
      <c r="AH230" s="6"/>
      <c r="AI230" s="35"/>
      <c r="AJ230" s="35"/>
      <c r="AK230" s="35"/>
      <c r="AL230" s="35"/>
      <c r="AM230" s="6"/>
      <c r="AN230" s="6"/>
      <c r="AO230" s="35"/>
      <c r="AP230" s="6"/>
      <c r="AQ230" s="6"/>
      <c r="AR230" s="34"/>
      <c r="AS230" s="35"/>
      <c r="AT230" s="35"/>
      <c r="AU230" s="35"/>
      <c r="AV230" s="6"/>
      <c r="AW230" s="6"/>
      <c r="AX230" s="35"/>
      <c r="AY230" s="6"/>
      <c r="AZ230" s="6"/>
      <c r="BA230" s="35"/>
      <c r="BB230" s="35"/>
      <c r="BC230" s="35"/>
      <c r="BD230" s="35"/>
      <c r="BE230" s="35"/>
      <c r="BF230" s="6"/>
      <c r="BG230" s="35"/>
      <c r="BH230" s="6"/>
      <c r="BI230" s="35"/>
      <c r="BJ230" s="35"/>
      <c r="BK230" s="35"/>
      <c r="BL230" s="35"/>
      <c r="BM230" s="6"/>
      <c r="BN230" s="35"/>
      <c r="BO230" s="35"/>
      <c r="BP230" s="6"/>
      <c r="BQ230" s="35"/>
      <c r="BR230" s="35"/>
      <c r="BS230" s="35"/>
      <c r="BT230" s="35"/>
      <c r="BU230" s="35"/>
      <c r="BV230" s="6"/>
      <c r="BW230" s="6"/>
      <c r="BX230" s="35"/>
      <c r="BY230" s="35"/>
      <c r="BZ230" s="35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10"/>
      <c r="DI230" s="6"/>
      <c r="DJ230" s="6"/>
      <c r="DK230" s="10"/>
      <c r="DL230" s="6"/>
      <c r="DM230" s="6"/>
      <c r="DN230" s="10"/>
      <c r="DO230" s="6"/>
    </row>
    <row r="231" spans="1:119">
      <c r="A231" s="151">
        <v>227</v>
      </c>
      <c r="B231" s="6"/>
      <c r="C231" s="10"/>
      <c r="D231" s="6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6"/>
      <c r="AE231" s="6"/>
      <c r="AF231" s="35"/>
      <c r="AG231" s="6"/>
      <c r="AH231" s="6"/>
      <c r="AI231" s="35"/>
      <c r="AJ231" s="35"/>
      <c r="AK231" s="35"/>
      <c r="AL231" s="35"/>
      <c r="AM231" s="6"/>
      <c r="AN231" s="6"/>
      <c r="AO231" s="35"/>
      <c r="AP231" s="6"/>
      <c r="AQ231" s="6"/>
      <c r="AR231" s="34"/>
      <c r="AS231" s="35"/>
      <c r="AT231" s="35"/>
      <c r="AU231" s="35"/>
      <c r="AV231" s="6"/>
      <c r="AW231" s="6"/>
      <c r="AX231" s="35"/>
      <c r="AY231" s="6"/>
      <c r="AZ231" s="6"/>
      <c r="BA231" s="35"/>
      <c r="BB231" s="35"/>
      <c r="BC231" s="35"/>
      <c r="BD231" s="35"/>
      <c r="BE231" s="35"/>
      <c r="BF231" s="6"/>
      <c r="BG231" s="35"/>
      <c r="BH231" s="6"/>
      <c r="BI231" s="35"/>
      <c r="BJ231" s="35"/>
      <c r="BK231" s="35"/>
      <c r="BL231" s="35"/>
      <c r="BM231" s="6"/>
      <c r="BN231" s="35"/>
      <c r="BO231" s="35"/>
      <c r="BP231" s="6"/>
      <c r="BQ231" s="35"/>
      <c r="BR231" s="35"/>
      <c r="BS231" s="35"/>
      <c r="BT231" s="35"/>
      <c r="BU231" s="35"/>
      <c r="BV231" s="6"/>
      <c r="BW231" s="6"/>
      <c r="BX231" s="35"/>
      <c r="BY231" s="35"/>
      <c r="BZ231" s="35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10"/>
      <c r="DI231" s="6"/>
      <c r="DJ231" s="6"/>
      <c r="DK231" s="10"/>
      <c r="DL231" s="6"/>
      <c r="DM231" s="6"/>
      <c r="DN231" s="10"/>
      <c r="DO231" s="6"/>
    </row>
    <row r="232" spans="1:119">
      <c r="A232" s="151">
        <v>228</v>
      </c>
      <c r="B232" s="6"/>
      <c r="C232" s="10"/>
      <c r="D232" s="6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6"/>
      <c r="AE232" s="6"/>
      <c r="AF232" s="35"/>
      <c r="AG232" s="6"/>
      <c r="AH232" s="6"/>
      <c r="AI232" s="35"/>
      <c r="AJ232" s="35"/>
      <c r="AK232" s="35"/>
      <c r="AL232" s="35"/>
      <c r="AM232" s="6"/>
      <c r="AN232" s="6"/>
      <c r="AO232" s="35"/>
      <c r="AP232" s="6"/>
      <c r="AQ232" s="6"/>
      <c r="AR232" s="34"/>
      <c r="AS232" s="35"/>
      <c r="AT232" s="35"/>
      <c r="AU232" s="35"/>
      <c r="AV232" s="6"/>
      <c r="AW232" s="35"/>
      <c r="AX232" s="35"/>
      <c r="AY232" s="6"/>
      <c r="AZ232" s="6"/>
      <c r="BA232" s="35"/>
      <c r="BB232" s="35"/>
      <c r="BC232" s="35"/>
      <c r="BD232" s="35"/>
      <c r="BE232" s="35"/>
      <c r="BF232" s="6"/>
      <c r="BG232" s="35"/>
      <c r="BH232" s="6"/>
      <c r="BI232" s="35"/>
      <c r="BJ232" s="35"/>
      <c r="BK232" s="35"/>
      <c r="BL232" s="35"/>
      <c r="BM232" s="6"/>
      <c r="BN232" s="35"/>
      <c r="BO232" s="35"/>
      <c r="BP232" s="6"/>
      <c r="BQ232" s="35"/>
      <c r="BR232" s="35"/>
      <c r="BS232" s="35"/>
      <c r="BT232" s="35"/>
      <c r="BU232" s="35"/>
      <c r="BV232" s="6"/>
      <c r="BW232" s="6"/>
      <c r="BX232" s="35"/>
      <c r="BY232" s="35"/>
      <c r="BZ232" s="35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10"/>
      <c r="DI232" s="6"/>
      <c r="DJ232" s="6"/>
      <c r="DK232" s="10"/>
      <c r="DL232" s="6"/>
      <c r="DM232" s="6"/>
      <c r="DN232" s="10"/>
      <c r="DO232" s="6"/>
    </row>
    <row r="233" spans="1:119">
      <c r="A233" s="151">
        <v>229</v>
      </c>
      <c r="B233" s="6"/>
      <c r="C233" s="10"/>
      <c r="D233" s="6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6"/>
      <c r="AE233" s="6"/>
      <c r="AF233" s="35"/>
      <c r="AG233" s="6"/>
      <c r="AH233" s="6"/>
      <c r="AI233" s="35"/>
      <c r="AJ233" s="35"/>
      <c r="AK233" s="35"/>
      <c r="AL233" s="35"/>
      <c r="AM233" s="6"/>
      <c r="AN233" s="6"/>
      <c r="AO233" s="35"/>
      <c r="AP233" s="6"/>
      <c r="AQ233" s="6"/>
      <c r="AR233" s="34"/>
      <c r="AS233" s="35"/>
      <c r="AT233" s="35"/>
      <c r="AU233" s="35"/>
      <c r="AV233" s="6"/>
      <c r="AW233" s="6"/>
      <c r="AX233" s="35"/>
      <c r="AY233" s="6"/>
      <c r="AZ233" s="6"/>
      <c r="BA233" s="35"/>
      <c r="BB233" s="35"/>
      <c r="BC233" s="35"/>
      <c r="BD233" s="35"/>
      <c r="BE233" s="35"/>
      <c r="BF233" s="6"/>
      <c r="BG233" s="35"/>
      <c r="BH233" s="6"/>
      <c r="BI233" s="35"/>
      <c r="BJ233" s="35"/>
      <c r="BK233" s="35"/>
      <c r="BL233" s="35"/>
      <c r="BM233" s="6"/>
      <c r="BN233" s="35"/>
      <c r="BO233" s="35"/>
      <c r="BP233" s="6"/>
      <c r="BQ233" s="35"/>
      <c r="BR233" s="35"/>
      <c r="BS233" s="35"/>
      <c r="BT233" s="35"/>
      <c r="BU233" s="35"/>
      <c r="BV233" s="6"/>
      <c r="BW233" s="6"/>
      <c r="BX233" s="35"/>
      <c r="BY233" s="35"/>
      <c r="BZ233" s="35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10"/>
      <c r="DI233" s="6"/>
      <c r="DJ233" s="6"/>
      <c r="DK233" s="10"/>
      <c r="DL233" s="6"/>
      <c r="DM233" s="6"/>
      <c r="DN233" s="10"/>
      <c r="DO233" s="6"/>
    </row>
    <row r="234" spans="1:119">
      <c r="A234" s="151">
        <v>230</v>
      </c>
      <c r="B234" s="6"/>
      <c r="C234" s="10"/>
      <c r="D234" s="6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6"/>
      <c r="AE234" s="6"/>
      <c r="AF234" s="35"/>
      <c r="AG234" s="6"/>
      <c r="AH234" s="6"/>
      <c r="AI234" s="35"/>
      <c r="AJ234" s="35"/>
      <c r="AK234" s="35"/>
      <c r="AL234" s="35"/>
      <c r="AM234" s="6"/>
      <c r="AN234" s="6"/>
      <c r="AO234" s="35"/>
      <c r="AP234" s="6"/>
      <c r="AQ234" s="6"/>
      <c r="AR234" s="34"/>
      <c r="AS234" s="35"/>
      <c r="AT234" s="35"/>
      <c r="AU234" s="35"/>
      <c r="AV234" s="6"/>
      <c r="AW234" s="6"/>
      <c r="AX234" s="35"/>
      <c r="AY234" s="6"/>
      <c r="AZ234" s="6"/>
      <c r="BA234" s="35"/>
      <c r="BB234" s="35"/>
      <c r="BC234" s="35"/>
      <c r="BD234" s="35"/>
      <c r="BE234" s="35"/>
      <c r="BF234" s="6"/>
      <c r="BG234" s="35"/>
      <c r="BH234" s="6"/>
      <c r="BI234" s="35"/>
      <c r="BJ234" s="35"/>
      <c r="BK234" s="35"/>
      <c r="BL234" s="35"/>
      <c r="BM234" s="6"/>
      <c r="BN234" s="35"/>
      <c r="BO234" s="35"/>
      <c r="BP234" s="6"/>
      <c r="BQ234" s="35"/>
      <c r="BR234" s="35"/>
      <c r="BS234" s="35"/>
      <c r="BT234" s="35"/>
      <c r="BU234" s="35"/>
      <c r="BV234" s="6"/>
      <c r="BW234" s="6"/>
      <c r="BX234" s="35"/>
      <c r="BY234" s="35"/>
      <c r="BZ234" s="35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10"/>
      <c r="DI234" s="6"/>
      <c r="DJ234" s="6"/>
      <c r="DK234" s="10"/>
      <c r="DL234" s="6"/>
      <c r="DM234" s="6"/>
      <c r="DN234" s="10"/>
      <c r="DO234" s="6"/>
    </row>
    <row r="235" spans="1:119">
      <c r="A235" s="151">
        <v>231</v>
      </c>
      <c r="B235" s="6"/>
      <c r="C235" s="10"/>
      <c r="D235" s="6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6"/>
      <c r="AE235" s="6"/>
      <c r="AF235" s="35"/>
      <c r="AG235" s="6"/>
      <c r="AH235" s="6"/>
      <c r="AI235" s="35"/>
      <c r="AJ235" s="35"/>
      <c r="AK235" s="35"/>
      <c r="AL235" s="35"/>
      <c r="AM235" s="6"/>
      <c r="AN235" s="6"/>
      <c r="AO235" s="35"/>
      <c r="AP235" s="6"/>
      <c r="AQ235" s="6"/>
      <c r="AR235" s="34"/>
      <c r="AS235" s="35"/>
      <c r="AT235" s="35"/>
      <c r="AU235" s="35"/>
      <c r="AV235" s="6"/>
      <c r="AW235" s="6"/>
      <c r="AX235" s="35"/>
      <c r="AY235" s="6"/>
      <c r="AZ235" s="6"/>
      <c r="BA235" s="35"/>
      <c r="BB235" s="35"/>
      <c r="BC235" s="35"/>
      <c r="BD235" s="35"/>
      <c r="BE235" s="35"/>
      <c r="BF235" s="6"/>
      <c r="BG235" s="35"/>
      <c r="BH235" s="6"/>
      <c r="BI235" s="35"/>
      <c r="BJ235" s="35"/>
      <c r="BK235" s="35"/>
      <c r="BL235" s="35"/>
      <c r="BM235" s="6"/>
      <c r="BN235" s="35"/>
      <c r="BO235" s="35"/>
      <c r="BP235" s="6"/>
      <c r="BQ235" s="35"/>
      <c r="BR235" s="35"/>
      <c r="BS235" s="35"/>
      <c r="BT235" s="35"/>
      <c r="BU235" s="35"/>
      <c r="BV235" s="6"/>
      <c r="BW235" s="6"/>
      <c r="BX235" s="35"/>
      <c r="BY235" s="35"/>
      <c r="BZ235" s="35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10"/>
      <c r="DI235" s="6"/>
      <c r="DJ235" s="6"/>
      <c r="DK235" s="10"/>
      <c r="DL235" s="6"/>
      <c r="DM235" s="6"/>
      <c r="DN235" s="10"/>
      <c r="DO235" s="6"/>
    </row>
    <row r="236" spans="1:119">
      <c r="A236" s="151">
        <v>232</v>
      </c>
      <c r="B236" s="6"/>
      <c r="C236" s="10"/>
      <c r="D236" s="6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6"/>
      <c r="AE236" s="6"/>
      <c r="AF236" s="35"/>
      <c r="AG236" s="6"/>
      <c r="AH236" s="6"/>
      <c r="AI236" s="35"/>
      <c r="AJ236" s="35"/>
      <c r="AK236" s="35"/>
      <c r="AL236" s="35"/>
      <c r="AM236" s="6"/>
      <c r="AN236" s="6"/>
      <c r="AO236" s="35"/>
      <c r="AP236" s="6"/>
      <c r="AQ236" s="6"/>
      <c r="AR236" s="34"/>
      <c r="AS236" s="35"/>
      <c r="AT236" s="35"/>
      <c r="AU236" s="35"/>
      <c r="AV236" s="6"/>
      <c r="AW236" s="35"/>
      <c r="AX236" s="35"/>
      <c r="AY236" s="6"/>
      <c r="AZ236" s="6"/>
      <c r="BA236" s="35"/>
      <c r="BB236" s="35"/>
      <c r="BC236" s="35"/>
      <c r="BD236" s="35"/>
      <c r="BE236" s="35"/>
      <c r="BF236" s="6"/>
      <c r="BG236" s="35"/>
      <c r="BH236" s="6"/>
      <c r="BI236" s="35"/>
      <c r="BJ236" s="35"/>
      <c r="BK236" s="35"/>
      <c r="BL236" s="35"/>
      <c r="BM236" s="6"/>
      <c r="BN236" s="35"/>
      <c r="BO236" s="35"/>
      <c r="BP236" s="6"/>
      <c r="BQ236" s="35"/>
      <c r="BR236" s="35"/>
      <c r="BS236" s="35"/>
      <c r="BT236" s="35"/>
      <c r="BU236" s="35"/>
      <c r="BV236" s="6"/>
      <c r="BW236" s="6"/>
      <c r="BX236" s="35"/>
      <c r="BY236" s="35"/>
      <c r="BZ236" s="35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10"/>
      <c r="DI236" s="6"/>
      <c r="DJ236" s="6"/>
      <c r="DK236" s="10"/>
      <c r="DL236" s="6"/>
      <c r="DM236" s="6"/>
      <c r="DN236" s="10"/>
      <c r="DO236" s="6"/>
    </row>
    <row r="237" spans="1:119">
      <c r="A237" s="151">
        <v>233</v>
      </c>
      <c r="B237" s="6"/>
      <c r="C237" s="10"/>
      <c r="D237" s="6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6"/>
      <c r="AE237" s="6"/>
      <c r="AF237" s="35"/>
      <c r="AG237" s="6"/>
      <c r="AH237" s="6"/>
      <c r="AI237" s="35"/>
      <c r="AJ237" s="35"/>
      <c r="AK237" s="35"/>
      <c r="AL237" s="35"/>
      <c r="AM237" s="6"/>
      <c r="AN237" s="6"/>
      <c r="AO237" s="35"/>
      <c r="AP237" s="6"/>
      <c r="AQ237" s="6"/>
      <c r="AR237" s="34"/>
      <c r="AS237" s="35"/>
      <c r="AT237" s="35"/>
      <c r="AU237" s="35"/>
      <c r="AV237" s="6"/>
      <c r="AW237" s="6"/>
      <c r="AX237" s="35"/>
      <c r="AY237" s="6"/>
      <c r="AZ237" s="6"/>
      <c r="BA237" s="35"/>
      <c r="BB237" s="35"/>
      <c r="BC237" s="35"/>
      <c r="BD237" s="35"/>
      <c r="BE237" s="35"/>
      <c r="BF237" s="6"/>
      <c r="BG237" s="35"/>
      <c r="BH237" s="6"/>
      <c r="BI237" s="35"/>
      <c r="BJ237" s="35"/>
      <c r="BK237" s="35"/>
      <c r="BL237" s="35"/>
      <c r="BM237" s="6"/>
      <c r="BN237" s="35"/>
      <c r="BO237" s="35"/>
      <c r="BP237" s="6"/>
      <c r="BQ237" s="35"/>
      <c r="BR237" s="35"/>
      <c r="BS237" s="35"/>
      <c r="BT237" s="35"/>
      <c r="BU237" s="35"/>
      <c r="BV237" s="6"/>
      <c r="BW237" s="6"/>
      <c r="BX237" s="35"/>
      <c r="BY237" s="35"/>
      <c r="BZ237" s="35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10"/>
      <c r="DI237" s="6"/>
      <c r="DJ237" s="6"/>
      <c r="DK237" s="10"/>
      <c r="DL237" s="6"/>
      <c r="DM237" s="6"/>
      <c r="DN237" s="10"/>
      <c r="DO237" s="6"/>
    </row>
    <row r="238" spans="1:119">
      <c r="A238" s="151">
        <v>234</v>
      </c>
      <c r="B238" s="6"/>
      <c r="C238" s="10"/>
      <c r="D238" s="6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6"/>
      <c r="AE238" s="6"/>
      <c r="AF238" s="35"/>
      <c r="AG238" s="6"/>
      <c r="AH238" s="6"/>
      <c r="AI238" s="35"/>
      <c r="AJ238" s="35"/>
      <c r="AK238" s="35"/>
      <c r="AL238" s="35"/>
      <c r="AM238" s="6"/>
      <c r="AN238" s="6"/>
      <c r="AO238" s="35"/>
      <c r="AP238" s="6"/>
      <c r="AQ238" s="6"/>
      <c r="AR238" s="34"/>
      <c r="AS238" s="35"/>
      <c r="AT238" s="35"/>
      <c r="AU238" s="35"/>
      <c r="AV238" s="35"/>
      <c r="AW238" s="6"/>
      <c r="AX238" s="35"/>
      <c r="AY238" s="6"/>
      <c r="AZ238" s="6"/>
      <c r="BA238" s="35"/>
      <c r="BB238" s="35"/>
      <c r="BC238" s="35"/>
      <c r="BD238" s="35"/>
      <c r="BE238" s="35"/>
      <c r="BF238" s="6"/>
      <c r="BG238" s="35"/>
      <c r="BH238" s="6"/>
      <c r="BI238" s="35"/>
      <c r="BJ238" s="35"/>
      <c r="BK238" s="35"/>
      <c r="BL238" s="35"/>
      <c r="BM238" s="6"/>
      <c r="BN238" s="35"/>
      <c r="BO238" s="35"/>
      <c r="BP238" s="6"/>
      <c r="BQ238" s="35"/>
      <c r="BR238" s="35"/>
      <c r="BS238" s="35"/>
      <c r="BT238" s="35"/>
      <c r="BU238" s="35"/>
      <c r="BV238" s="6"/>
      <c r="BW238" s="6"/>
      <c r="BX238" s="35"/>
      <c r="BY238" s="35"/>
      <c r="BZ238" s="35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10"/>
      <c r="DI238" s="6"/>
      <c r="DJ238" s="6"/>
      <c r="DK238" s="10"/>
      <c r="DL238" s="6"/>
      <c r="DM238" s="6"/>
      <c r="DN238" s="10"/>
      <c r="DO238" s="6"/>
    </row>
    <row r="239" spans="1:119">
      <c r="A239" s="151">
        <v>235</v>
      </c>
      <c r="B239" s="6"/>
      <c r="C239" s="10"/>
      <c r="D239" s="6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6"/>
      <c r="AE239" s="6"/>
      <c r="AF239" s="35"/>
      <c r="AG239" s="6"/>
      <c r="AH239" s="6"/>
      <c r="AI239" s="35"/>
      <c r="AJ239" s="35"/>
      <c r="AK239" s="35"/>
      <c r="AL239" s="35"/>
      <c r="AM239" s="6"/>
      <c r="AN239" s="6"/>
      <c r="AO239" s="35"/>
      <c r="AP239" s="6"/>
      <c r="AQ239" s="6"/>
      <c r="AR239" s="34"/>
      <c r="AS239" s="35"/>
      <c r="AT239" s="35"/>
      <c r="AU239" s="35"/>
      <c r="AV239" s="6"/>
      <c r="AW239" s="6"/>
      <c r="AX239" s="35"/>
      <c r="AY239" s="6"/>
      <c r="AZ239" s="6"/>
      <c r="BA239" s="35"/>
      <c r="BB239" s="35"/>
      <c r="BC239" s="35"/>
      <c r="BD239" s="35"/>
      <c r="BE239" s="35"/>
      <c r="BF239" s="6"/>
      <c r="BG239" s="35"/>
      <c r="BH239" s="6"/>
      <c r="BI239" s="6"/>
      <c r="BJ239" s="35"/>
      <c r="BK239" s="6"/>
      <c r="BL239" s="6"/>
      <c r="BM239" s="6"/>
      <c r="BN239" s="35"/>
      <c r="BO239" s="35"/>
      <c r="BP239" s="6"/>
      <c r="BQ239" s="35"/>
      <c r="BR239" s="35"/>
      <c r="BS239" s="35"/>
      <c r="BT239" s="35"/>
      <c r="BU239" s="35"/>
      <c r="BV239" s="6"/>
      <c r="BW239" s="35"/>
      <c r="BX239" s="35"/>
      <c r="BY239" s="35"/>
      <c r="BZ239" s="35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10"/>
      <c r="DI239" s="6"/>
      <c r="DJ239" s="6"/>
      <c r="DK239" s="10"/>
      <c r="DL239" s="6"/>
      <c r="DM239" s="6"/>
      <c r="DN239" s="10"/>
      <c r="DO239" s="6"/>
    </row>
    <row r="240" spans="1:119">
      <c r="A240" s="151">
        <v>236</v>
      </c>
      <c r="B240" s="6"/>
      <c r="C240" s="10"/>
      <c r="D240" s="6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6"/>
      <c r="AE240" s="6"/>
      <c r="AF240" s="35"/>
      <c r="AG240" s="6"/>
      <c r="AH240" s="6"/>
      <c r="AI240" s="35"/>
      <c r="AJ240" s="35"/>
      <c r="AK240" s="35"/>
      <c r="AL240" s="35"/>
      <c r="AM240" s="6"/>
      <c r="AN240" s="6"/>
      <c r="AO240" s="35"/>
      <c r="AP240" s="6"/>
      <c r="AQ240" s="6"/>
      <c r="AR240" s="34"/>
      <c r="AS240" s="35"/>
      <c r="AT240" s="35"/>
      <c r="AU240" s="35"/>
      <c r="AV240" s="6"/>
      <c r="AW240" s="6"/>
      <c r="AX240" s="35"/>
      <c r="AY240" s="6"/>
      <c r="AZ240" s="6"/>
      <c r="BA240" s="35"/>
      <c r="BB240" s="35"/>
      <c r="BC240" s="35"/>
      <c r="BD240" s="35"/>
      <c r="BE240" s="35"/>
      <c r="BF240" s="6"/>
      <c r="BG240" s="35"/>
      <c r="BH240" s="6"/>
      <c r="BI240" s="6"/>
      <c r="BJ240" s="35"/>
      <c r="BK240" s="6"/>
      <c r="BL240" s="6"/>
      <c r="BM240" s="6"/>
      <c r="BN240" s="35"/>
      <c r="BO240" s="35"/>
      <c r="BP240" s="6"/>
      <c r="BQ240" s="35"/>
      <c r="BR240" s="35"/>
      <c r="BS240" s="35"/>
      <c r="BT240" s="35"/>
      <c r="BU240" s="35"/>
      <c r="BV240" s="6"/>
      <c r="BW240" s="35"/>
      <c r="BX240" s="35"/>
      <c r="BY240" s="35"/>
      <c r="BZ240" s="35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10"/>
      <c r="DI240" s="6"/>
      <c r="DJ240" s="6"/>
      <c r="DK240" s="10"/>
      <c r="DL240" s="6"/>
      <c r="DM240" s="6"/>
      <c r="DN240" s="10"/>
      <c r="DO240" s="6"/>
    </row>
    <row r="241" spans="1:119">
      <c r="A241" s="151">
        <v>237</v>
      </c>
      <c r="B241" s="6"/>
      <c r="C241" s="10"/>
      <c r="D241" s="6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63" t="s">
        <v>79</v>
      </c>
      <c r="W241" s="141" t="s">
        <v>79</v>
      </c>
      <c r="X241" s="141" t="s">
        <v>79</v>
      </c>
      <c r="Y241" s="141" t="s">
        <v>79</v>
      </c>
      <c r="Z241" s="141" t="s">
        <v>79</v>
      </c>
      <c r="AA241" s="141" t="s">
        <v>79</v>
      </c>
      <c r="AB241" s="141" t="s">
        <v>79</v>
      </c>
      <c r="AC241" s="141" t="s">
        <v>79</v>
      </c>
      <c r="AD241" s="6"/>
      <c r="AE241" s="6"/>
      <c r="AF241" s="35"/>
      <c r="AG241" s="6"/>
      <c r="AH241" s="6"/>
      <c r="AI241" s="35"/>
      <c r="AJ241" s="35"/>
      <c r="AK241" s="35"/>
      <c r="AL241" s="35"/>
      <c r="AM241" s="6"/>
      <c r="AN241" s="6"/>
      <c r="AO241" s="35"/>
      <c r="AP241" s="6"/>
      <c r="AQ241" s="6"/>
      <c r="AR241" s="34"/>
      <c r="AS241" s="35"/>
      <c r="AT241" s="35"/>
      <c r="AU241" s="35"/>
      <c r="AV241" s="6"/>
      <c r="AW241" s="6"/>
      <c r="AX241" s="35"/>
      <c r="AY241" s="6"/>
      <c r="AZ241" s="6"/>
      <c r="BA241" s="35"/>
      <c r="BB241" s="35"/>
      <c r="BC241" s="35"/>
      <c r="BD241" s="35"/>
      <c r="BE241" s="35"/>
      <c r="BF241" s="6"/>
      <c r="BG241" s="35"/>
      <c r="BH241" s="6"/>
      <c r="BI241" s="6"/>
      <c r="BJ241" s="35"/>
      <c r="BK241" s="6"/>
      <c r="BL241" s="6"/>
      <c r="BM241" s="6"/>
      <c r="BN241" s="35"/>
      <c r="BO241" s="35"/>
      <c r="BP241" s="6"/>
      <c r="BQ241" s="35"/>
      <c r="BR241" s="35"/>
      <c r="BS241" s="35"/>
      <c r="BT241" s="35"/>
      <c r="BU241" s="35"/>
      <c r="BV241" s="6"/>
      <c r="BW241" s="35"/>
      <c r="BX241" s="35"/>
      <c r="BY241" s="35"/>
      <c r="BZ241" s="35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>
        <v>191</v>
      </c>
      <c r="CP241" s="6"/>
      <c r="CQ241" s="6">
        <f t="shared" si="88"/>
        <v>191</v>
      </c>
      <c r="CR241" s="6">
        <v>418</v>
      </c>
      <c r="CS241" s="6"/>
      <c r="CT241" s="6">
        <f t="shared" si="89"/>
        <v>227</v>
      </c>
      <c r="CU241" s="6"/>
      <c r="CV241" s="6"/>
      <c r="CW241" s="6"/>
      <c r="CX241" s="6">
        <v>654</v>
      </c>
      <c r="CY241" s="6"/>
      <c r="CZ241" s="6">
        <f t="shared" si="90"/>
        <v>236</v>
      </c>
      <c r="DA241" s="6">
        <v>883</v>
      </c>
      <c r="DB241" s="6"/>
      <c r="DC241" s="6">
        <f t="shared" si="91"/>
        <v>229</v>
      </c>
      <c r="DD241" s="6">
        <v>180</v>
      </c>
      <c r="DE241" s="6">
        <v>930</v>
      </c>
      <c r="DF241" s="6">
        <f t="shared" si="92"/>
        <v>227</v>
      </c>
      <c r="DG241" s="6">
        <v>417</v>
      </c>
      <c r="DH241" s="10"/>
      <c r="DI241" s="6">
        <f t="shared" si="93"/>
        <v>237</v>
      </c>
      <c r="DJ241" s="6">
        <v>654</v>
      </c>
      <c r="DK241" s="10"/>
      <c r="DL241" s="6">
        <f t="shared" si="94"/>
        <v>237</v>
      </c>
      <c r="DM241" s="6">
        <v>871</v>
      </c>
      <c r="DN241" s="10"/>
      <c r="DO241" s="6">
        <f t="shared" si="95"/>
        <v>217</v>
      </c>
    </row>
    <row r="242" spans="1:119">
      <c r="A242" s="151">
        <v>238</v>
      </c>
      <c r="B242" s="6"/>
      <c r="C242" s="10"/>
      <c r="D242" s="6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6"/>
      <c r="AE242" s="6"/>
      <c r="AF242" s="35"/>
      <c r="AG242" s="6"/>
      <c r="AH242" s="6"/>
      <c r="AI242" s="35"/>
      <c r="AJ242" s="35"/>
      <c r="AK242" s="35"/>
      <c r="AL242" s="35"/>
      <c r="AM242" s="6"/>
      <c r="AN242" s="6"/>
      <c r="AO242" s="35"/>
      <c r="AP242" s="6"/>
      <c r="AQ242" s="6"/>
      <c r="AR242" s="34"/>
      <c r="AS242" s="35"/>
      <c r="AT242" s="35"/>
      <c r="AU242" s="35"/>
      <c r="AV242" s="6"/>
      <c r="AW242" s="6"/>
      <c r="AX242" s="35"/>
      <c r="AY242" s="6"/>
      <c r="AZ242" s="6"/>
      <c r="BA242" s="35"/>
      <c r="BB242" s="35"/>
      <c r="BC242" s="35"/>
      <c r="BD242" s="35"/>
      <c r="BE242" s="35"/>
      <c r="BF242" s="6"/>
      <c r="BG242" s="35"/>
      <c r="BH242" s="6"/>
      <c r="BI242" s="6"/>
      <c r="BJ242" s="35"/>
      <c r="BK242" s="6"/>
      <c r="BL242" s="6"/>
      <c r="BM242" s="6"/>
      <c r="BN242" s="35"/>
      <c r="BO242" s="35"/>
      <c r="BP242" s="6"/>
      <c r="BQ242" s="35"/>
      <c r="BR242" s="35"/>
      <c r="BS242" s="35"/>
      <c r="BT242" s="35"/>
      <c r="BU242" s="35"/>
      <c r="BV242" s="6"/>
      <c r="BW242" s="35"/>
      <c r="BX242" s="35"/>
      <c r="BY242" s="35"/>
      <c r="BZ242" s="35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10"/>
      <c r="DI242" s="6"/>
      <c r="DJ242" s="6"/>
      <c r="DK242" s="10"/>
      <c r="DL242" s="6"/>
      <c r="DM242" s="6"/>
      <c r="DN242" s="10"/>
      <c r="DO242" s="6"/>
    </row>
    <row r="243" spans="1:119">
      <c r="A243" s="151">
        <v>239</v>
      </c>
      <c r="B243" s="6"/>
      <c r="C243" s="10"/>
      <c r="D243" s="6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63" t="s">
        <v>79</v>
      </c>
      <c r="W243" s="141" t="s">
        <v>79</v>
      </c>
      <c r="X243" s="141" t="s">
        <v>79</v>
      </c>
      <c r="Y243" s="141" t="s">
        <v>79</v>
      </c>
      <c r="Z243" s="141" t="s">
        <v>79</v>
      </c>
      <c r="AA243" s="141" t="s">
        <v>79</v>
      </c>
      <c r="AB243" s="141" t="s">
        <v>79</v>
      </c>
      <c r="AC243" s="141" t="s">
        <v>79</v>
      </c>
      <c r="AD243" s="6"/>
      <c r="AE243" s="6"/>
      <c r="AF243" s="35"/>
      <c r="AG243" s="6"/>
      <c r="AH243" s="6"/>
      <c r="AI243" s="35"/>
      <c r="AJ243" s="35"/>
      <c r="AK243" s="35"/>
      <c r="AL243" s="35"/>
      <c r="AM243" s="6"/>
      <c r="AN243" s="6"/>
      <c r="AO243" s="35"/>
      <c r="AP243" s="6"/>
      <c r="AQ243" s="6"/>
      <c r="AR243" s="34"/>
      <c r="AS243" s="35"/>
      <c r="AT243" s="35"/>
      <c r="AU243" s="35"/>
      <c r="AV243" s="6"/>
      <c r="AW243" s="6"/>
      <c r="AX243" s="35"/>
      <c r="AY243" s="6"/>
      <c r="AZ243" s="6"/>
      <c r="BA243" s="35"/>
      <c r="BB243" s="35"/>
      <c r="BC243" s="35"/>
      <c r="BD243" s="35"/>
      <c r="BE243" s="35"/>
      <c r="BF243" s="6"/>
      <c r="BG243" s="35"/>
      <c r="BH243" s="6"/>
      <c r="BI243" s="6"/>
      <c r="BJ243" s="35"/>
      <c r="BK243" s="6"/>
      <c r="BL243" s="6"/>
      <c r="BM243" s="6"/>
      <c r="BN243" s="35"/>
      <c r="BO243" s="35"/>
      <c r="BP243" s="6"/>
      <c r="BQ243" s="35"/>
      <c r="BR243" s="35"/>
      <c r="BS243" s="35"/>
      <c r="BT243" s="35"/>
      <c r="BU243" s="35"/>
      <c r="BV243" s="6"/>
      <c r="BW243" s="6"/>
      <c r="BX243" s="35"/>
      <c r="BY243" s="35"/>
      <c r="BZ243" s="35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>
        <v>184</v>
      </c>
      <c r="CP243" s="6"/>
      <c r="CQ243" s="6">
        <f t="shared" si="88"/>
        <v>184</v>
      </c>
      <c r="CR243" s="6">
        <v>407</v>
      </c>
      <c r="CS243" s="6"/>
      <c r="CT243" s="6">
        <f t="shared" si="89"/>
        <v>223</v>
      </c>
      <c r="CU243" s="6"/>
      <c r="CV243" s="6"/>
      <c r="CW243" s="6"/>
      <c r="CX243" s="6">
        <v>647</v>
      </c>
      <c r="CY243" s="6"/>
      <c r="CZ243" s="6">
        <f t="shared" si="90"/>
        <v>240</v>
      </c>
      <c r="DA243" s="6">
        <v>870</v>
      </c>
      <c r="DB243" s="6"/>
      <c r="DC243" s="6">
        <f t="shared" si="91"/>
        <v>223</v>
      </c>
      <c r="DD243" s="6">
        <v>1098</v>
      </c>
      <c r="DE243" s="6"/>
      <c r="DF243" s="6">
        <f t="shared" si="92"/>
        <v>228</v>
      </c>
      <c r="DG243" s="6">
        <v>222</v>
      </c>
      <c r="DH243" s="10">
        <v>1100</v>
      </c>
      <c r="DI243" s="6">
        <f t="shared" si="93"/>
        <v>224</v>
      </c>
      <c r="DJ243" s="6">
        <v>475</v>
      </c>
      <c r="DK243" s="10"/>
      <c r="DL243" s="6">
        <f t="shared" si="94"/>
        <v>253</v>
      </c>
      <c r="DM243" s="6">
        <v>705</v>
      </c>
      <c r="DN243" s="10"/>
      <c r="DO243" s="6">
        <f t="shared" si="95"/>
        <v>230</v>
      </c>
    </row>
    <row r="244" spans="1:119">
      <c r="A244" s="151">
        <v>240</v>
      </c>
      <c r="B244" s="6"/>
      <c r="C244" s="10"/>
      <c r="D244" s="6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6"/>
      <c r="AE244" s="6"/>
      <c r="AF244" s="35"/>
      <c r="AG244" s="6"/>
      <c r="AH244" s="6"/>
      <c r="AI244" s="35"/>
      <c r="AJ244" s="35"/>
      <c r="AK244" s="35"/>
      <c r="AL244" s="35"/>
      <c r="AM244" s="6"/>
      <c r="AN244" s="6"/>
      <c r="AO244" s="35"/>
      <c r="AP244" s="6"/>
      <c r="AQ244" s="6"/>
      <c r="AR244" s="34"/>
      <c r="AS244" s="35"/>
      <c r="AT244" s="35"/>
      <c r="AU244" s="35"/>
      <c r="AV244" s="6"/>
      <c r="AW244" s="6"/>
      <c r="AX244" s="35"/>
      <c r="AY244" s="6"/>
      <c r="AZ244" s="6"/>
      <c r="BA244" s="35"/>
      <c r="BB244" s="35"/>
      <c r="BC244" s="35"/>
      <c r="BD244" s="35"/>
      <c r="BE244" s="35"/>
      <c r="BF244" s="6"/>
      <c r="BG244" s="35"/>
      <c r="BH244" s="6"/>
      <c r="BI244" s="6"/>
      <c r="BJ244" s="35"/>
      <c r="BK244" s="6"/>
      <c r="BL244" s="6"/>
      <c r="BM244" s="6"/>
      <c r="BN244" s="35"/>
      <c r="BO244" s="35"/>
      <c r="BP244" s="6"/>
      <c r="BQ244" s="35"/>
      <c r="BR244" s="35"/>
      <c r="BS244" s="35"/>
      <c r="BT244" s="35"/>
      <c r="BU244" s="35"/>
      <c r="BV244" s="6"/>
      <c r="BW244" s="6"/>
      <c r="BX244" s="35"/>
      <c r="BY244" s="35"/>
      <c r="BZ244" s="35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10"/>
      <c r="DI244" s="6"/>
      <c r="DJ244" s="6"/>
      <c r="DK244" s="10"/>
      <c r="DL244" s="6"/>
      <c r="DM244" s="6"/>
      <c r="DN244" s="10"/>
      <c r="DO244" s="6"/>
    </row>
    <row r="245" spans="1:119">
      <c r="A245" s="151">
        <v>241</v>
      </c>
      <c r="B245" s="6"/>
      <c r="C245" s="10"/>
      <c r="D245" s="6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63" t="s">
        <v>79</v>
      </c>
      <c r="W245" s="141" t="s">
        <v>79</v>
      </c>
      <c r="X245" s="141" t="s">
        <v>79</v>
      </c>
      <c r="Y245" s="141" t="s">
        <v>79</v>
      </c>
      <c r="Z245" s="141" t="s">
        <v>79</v>
      </c>
      <c r="AA245" s="141" t="s">
        <v>79</v>
      </c>
      <c r="AB245" s="141" t="s">
        <v>79</v>
      </c>
      <c r="AC245" s="141" t="s">
        <v>79</v>
      </c>
      <c r="AD245" s="6"/>
      <c r="AE245" s="6"/>
      <c r="AF245" s="35"/>
      <c r="AG245" s="6"/>
      <c r="AH245" s="6"/>
      <c r="AI245" s="35"/>
      <c r="AJ245" s="35"/>
      <c r="AK245" s="35"/>
      <c r="AL245" s="35"/>
      <c r="AM245" s="6"/>
      <c r="AN245" s="6"/>
      <c r="AO245" s="35"/>
      <c r="AP245" s="6"/>
      <c r="AQ245" s="6"/>
      <c r="AR245" s="34"/>
      <c r="AS245" s="35"/>
      <c r="AT245" s="35"/>
      <c r="AU245" s="35"/>
      <c r="AV245" s="6"/>
      <c r="AW245" s="6"/>
      <c r="AX245" s="35"/>
      <c r="AY245" s="6"/>
      <c r="AZ245" s="6"/>
      <c r="BA245" s="35"/>
      <c r="BB245" s="35"/>
      <c r="BC245" s="35"/>
      <c r="BD245" s="35"/>
      <c r="BE245" s="35"/>
      <c r="BF245" s="6"/>
      <c r="BG245" s="35"/>
      <c r="BH245" s="6"/>
      <c r="BI245" s="6"/>
      <c r="BJ245" s="35"/>
      <c r="BK245" s="6"/>
      <c r="BL245" s="6"/>
      <c r="BM245" s="6"/>
      <c r="BN245" s="35"/>
      <c r="BO245" s="35"/>
      <c r="BP245" s="6"/>
      <c r="BQ245" s="35"/>
      <c r="BR245" s="35"/>
      <c r="BS245" s="35"/>
      <c r="BT245" s="35"/>
      <c r="BU245" s="35"/>
      <c r="BV245" s="6"/>
      <c r="BW245" s="6"/>
      <c r="BX245" s="35"/>
      <c r="BY245" s="35"/>
      <c r="BZ245" s="35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>
        <v>221</v>
      </c>
      <c r="CP245" s="6"/>
      <c r="CQ245" s="6">
        <f t="shared" si="88"/>
        <v>221</v>
      </c>
      <c r="CR245" s="6">
        <v>453</v>
      </c>
      <c r="CS245" s="6"/>
      <c r="CT245" s="6">
        <f t="shared" si="89"/>
        <v>232</v>
      </c>
      <c r="CU245" s="6"/>
      <c r="CV245" s="6"/>
      <c r="CW245" s="6"/>
      <c r="CX245" s="6">
        <v>705</v>
      </c>
      <c r="CY245" s="6"/>
      <c r="CZ245" s="6">
        <f t="shared" si="90"/>
        <v>252</v>
      </c>
      <c r="DA245" s="6">
        <v>130</v>
      </c>
      <c r="DB245" s="6">
        <v>800</v>
      </c>
      <c r="DC245" s="6">
        <f t="shared" si="91"/>
        <v>225</v>
      </c>
      <c r="DD245" s="6">
        <v>372</v>
      </c>
      <c r="DE245" s="6"/>
      <c r="DF245" s="6">
        <f t="shared" si="92"/>
        <v>242</v>
      </c>
      <c r="DG245" s="6">
        <v>620</v>
      </c>
      <c r="DH245" s="10"/>
      <c r="DI245" s="6">
        <f t="shared" si="93"/>
        <v>248</v>
      </c>
      <c r="DJ245" s="6">
        <v>158</v>
      </c>
      <c r="DK245" s="10">
        <v>708</v>
      </c>
      <c r="DL245" s="6">
        <f t="shared" si="94"/>
        <v>246</v>
      </c>
      <c r="DM245" s="6">
        <v>392</v>
      </c>
      <c r="DN245" s="10"/>
      <c r="DO245" s="6">
        <f t="shared" si="95"/>
        <v>234</v>
      </c>
    </row>
    <row r="246" spans="1:119">
      <c r="A246" s="151">
        <v>242</v>
      </c>
      <c r="B246" s="6"/>
      <c r="C246" s="10"/>
      <c r="D246" s="6"/>
      <c r="E246" s="141"/>
      <c r="F246" s="141"/>
      <c r="G246" s="141"/>
      <c r="H246" s="141"/>
      <c r="I246" s="141"/>
      <c r="J246" s="141"/>
      <c r="K246" s="141"/>
      <c r="L246" s="141"/>
      <c r="M246" s="163" t="s">
        <v>371</v>
      </c>
      <c r="N246" s="141" t="s">
        <v>371</v>
      </c>
      <c r="O246" s="141" t="s">
        <v>371</v>
      </c>
      <c r="P246" s="141" t="s">
        <v>371</v>
      </c>
      <c r="Q246" s="141" t="s">
        <v>371</v>
      </c>
      <c r="R246" s="141" t="s">
        <v>371</v>
      </c>
      <c r="S246" s="141" t="s">
        <v>371</v>
      </c>
      <c r="T246" s="141" t="s">
        <v>371</v>
      </c>
      <c r="U246" s="141" t="s">
        <v>371</v>
      </c>
      <c r="V246" s="141" t="s">
        <v>371</v>
      </c>
      <c r="W246" s="141" t="s">
        <v>371</v>
      </c>
      <c r="X246" s="141" t="s">
        <v>371</v>
      </c>
      <c r="Y246" s="141" t="s">
        <v>371</v>
      </c>
      <c r="Z246" s="141" t="s">
        <v>371</v>
      </c>
      <c r="AA246" s="141" t="s">
        <v>371</v>
      </c>
      <c r="AB246" s="141" t="s">
        <v>371</v>
      </c>
      <c r="AC246" s="141" t="s">
        <v>371</v>
      </c>
      <c r="AD246" s="6"/>
      <c r="AE246" s="6"/>
      <c r="AF246" s="35"/>
      <c r="AG246" s="6"/>
      <c r="AH246" s="6"/>
      <c r="AI246" s="35"/>
      <c r="AJ246" s="35"/>
      <c r="AK246" s="35"/>
      <c r="AL246" s="35"/>
      <c r="AM246" s="6"/>
      <c r="AN246" s="6"/>
      <c r="AO246" s="35"/>
      <c r="AP246" s="6"/>
      <c r="AQ246" s="6"/>
      <c r="AR246" s="34"/>
      <c r="AS246" s="35"/>
      <c r="AT246" s="35"/>
      <c r="AU246" s="35"/>
      <c r="AV246" s="6"/>
      <c r="AW246" s="6"/>
      <c r="AX246" s="35"/>
      <c r="AY246" s="6"/>
      <c r="AZ246" s="6"/>
      <c r="BA246" s="35"/>
      <c r="BB246" s="35"/>
      <c r="BC246" s="35"/>
      <c r="BD246" s="35"/>
      <c r="BE246" s="35"/>
      <c r="BF246" s="6"/>
      <c r="BG246" s="35"/>
      <c r="BH246" s="6"/>
      <c r="BI246" s="6"/>
      <c r="BJ246" s="35"/>
      <c r="BK246" s="6">
        <v>261</v>
      </c>
      <c r="BL246" s="6"/>
      <c r="BM246" s="6">
        <f t="shared" si="79"/>
        <v>261</v>
      </c>
      <c r="BN246" s="35">
        <v>1</v>
      </c>
      <c r="BO246" s="35">
        <v>541</v>
      </c>
      <c r="BP246" s="6">
        <f t="shared" si="80"/>
        <v>281</v>
      </c>
      <c r="BQ246" s="35">
        <v>288</v>
      </c>
      <c r="BR246" s="35"/>
      <c r="BS246" s="35">
        <f t="shared" si="81"/>
        <v>287</v>
      </c>
      <c r="BT246" s="35">
        <v>555</v>
      </c>
      <c r="BU246" s="35"/>
      <c r="BV246" s="6">
        <f t="shared" si="82"/>
        <v>267</v>
      </c>
      <c r="BW246" s="6">
        <v>823</v>
      </c>
      <c r="BX246" s="35"/>
      <c r="BY246" s="35">
        <f t="shared" si="83"/>
        <v>268</v>
      </c>
      <c r="BZ246" s="35"/>
      <c r="CA246" s="6"/>
      <c r="CB246" s="6"/>
      <c r="CC246" s="6">
        <v>1099</v>
      </c>
      <c r="CD246" s="6"/>
      <c r="CE246" s="6">
        <f t="shared" si="84"/>
        <v>276</v>
      </c>
      <c r="CF246" s="6">
        <v>265</v>
      </c>
      <c r="CG246" s="6">
        <v>1100</v>
      </c>
      <c r="CH246" s="6">
        <f t="shared" si="85"/>
        <v>266</v>
      </c>
      <c r="CI246" s="6">
        <v>550</v>
      </c>
      <c r="CJ246" s="6"/>
      <c r="CK246" s="6">
        <f t="shared" si="86"/>
        <v>285</v>
      </c>
      <c r="CL246" s="6">
        <v>827</v>
      </c>
      <c r="CM246" s="6"/>
      <c r="CN246" s="6">
        <f t="shared" si="87"/>
        <v>277</v>
      </c>
      <c r="CO246" s="6">
        <v>2</v>
      </c>
      <c r="CP246" s="6">
        <v>1100</v>
      </c>
      <c r="CQ246" s="6">
        <f t="shared" si="88"/>
        <v>275</v>
      </c>
      <c r="CR246" s="6">
        <v>249</v>
      </c>
      <c r="CS246" s="6"/>
      <c r="CT246" s="6">
        <f t="shared" si="89"/>
        <v>247</v>
      </c>
      <c r="CU246" s="6"/>
      <c r="CV246" s="6"/>
      <c r="CW246" s="6"/>
      <c r="CX246" s="6">
        <v>513</v>
      </c>
      <c r="CY246" s="6"/>
      <c r="CZ246" s="6">
        <f t="shared" si="90"/>
        <v>264</v>
      </c>
      <c r="DA246" s="6">
        <v>780</v>
      </c>
      <c r="DB246" s="6"/>
      <c r="DC246" s="6">
        <f t="shared" si="91"/>
        <v>267</v>
      </c>
      <c r="DD246" s="6">
        <v>1054</v>
      </c>
      <c r="DE246" s="6"/>
      <c r="DF246" s="6">
        <f t="shared" si="92"/>
        <v>274</v>
      </c>
      <c r="DG246" s="6">
        <v>213</v>
      </c>
      <c r="DH246" s="10">
        <v>1100</v>
      </c>
      <c r="DI246" s="6">
        <f t="shared" si="93"/>
        <v>259</v>
      </c>
      <c r="DJ246" s="6">
        <v>482</v>
      </c>
      <c r="DK246" s="10"/>
      <c r="DL246" s="6">
        <f t="shared" si="94"/>
        <v>269</v>
      </c>
      <c r="DM246" s="6">
        <v>728</v>
      </c>
      <c r="DN246" s="10"/>
      <c r="DO246" s="6">
        <f t="shared" si="95"/>
        <v>246</v>
      </c>
    </row>
    <row r="247" spans="1:119">
      <c r="A247" s="151">
        <v>243</v>
      </c>
      <c r="B247" s="6"/>
      <c r="C247" s="10"/>
      <c r="D247" s="6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63" t="s">
        <v>79</v>
      </c>
      <c r="W247" s="141" t="s">
        <v>79</v>
      </c>
      <c r="X247" s="141" t="s">
        <v>79</v>
      </c>
      <c r="Y247" s="141" t="s">
        <v>79</v>
      </c>
      <c r="Z247" s="141" t="s">
        <v>79</v>
      </c>
      <c r="AA247" s="141" t="s">
        <v>79</v>
      </c>
      <c r="AB247" s="141" t="s">
        <v>79</v>
      </c>
      <c r="AC247" s="141" t="s">
        <v>79</v>
      </c>
      <c r="AD247" s="6"/>
      <c r="AE247" s="6"/>
      <c r="AF247" s="35"/>
      <c r="AG247" s="6"/>
      <c r="AH247" s="6"/>
      <c r="AI247" s="35"/>
      <c r="AJ247" s="35"/>
      <c r="AK247" s="35"/>
      <c r="AL247" s="35"/>
      <c r="AM247" s="6"/>
      <c r="AN247" s="6"/>
      <c r="AO247" s="35"/>
      <c r="AP247" s="6"/>
      <c r="AQ247" s="6"/>
      <c r="AR247" s="34"/>
      <c r="AS247" s="35"/>
      <c r="AT247" s="35"/>
      <c r="AU247" s="35"/>
      <c r="AV247" s="6"/>
      <c r="AW247" s="6"/>
      <c r="AX247" s="35"/>
      <c r="AY247" s="6"/>
      <c r="AZ247" s="6"/>
      <c r="BA247" s="35"/>
      <c r="BB247" s="35"/>
      <c r="BC247" s="35"/>
      <c r="BD247" s="35"/>
      <c r="BE247" s="35"/>
      <c r="BF247" s="6"/>
      <c r="BG247" s="35"/>
      <c r="BH247" s="6"/>
      <c r="BI247" s="6"/>
      <c r="BJ247" s="35"/>
      <c r="BK247" s="6"/>
      <c r="BL247" s="6"/>
      <c r="BM247" s="6"/>
      <c r="BN247" s="35"/>
      <c r="BO247" s="35"/>
      <c r="BP247" s="6"/>
      <c r="BQ247" s="35"/>
      <c r="BR247" s="35"/>
      <c r="BS247" s="35"/>
      <c r="BT247" s="35"/>
      <c r="BU247" s="35"/>
      <c r="BV247" s="6"/>
      <c r="BW247" s="6"/>
      <c r="BX247" s="35"/>
      <c r="BY247" s="35"/>
      <c r="BZ247" s="35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>
        <v>196</v>
      </c>
      <c r="CP247" s="6"/>
      <c r="CQ247" s="6">
        <f t="shared" si="88"/>
        <v>196</v>
      </c>
      <c r="CR247" s="6">
        <v>429</v>
      </c>
      <c r="CS247" s="6"/>
      <c r="CT247" s="6">
        <f t="shared" si="89"/>
        <v>233</v>
      </c>
      <c r="CU247" s="6"/>
      <c r="CV247" s="6"/>
      <c r="CW247" s="6"/>
      <c r="CX247" s="6">
        <v>659</v>
      </c>
      <c r="CY247" s="6"/>
      <c r="CZ247" s="6">
        <f t="shared" si="90"/>
        <v>230</v>
      </c>
      <c r="DA247" s="6">
        <v>88</v>
      </c>
      <c r="DB247" s="6">
        <v>800</v>
      </c>
      <c r="DC247" s="6">
        <f t="shared" si="91"/>
        <v>229</v>
      </c>
      <c r="DD247" s="6">
        <v>323</v>
      </c>
      <c r="DE247" s="6"/>
      <c r="DF247" s="6">
        <f t="shared" si="92"/>
        <v>235</v>
      </c>
      <c r="DG247" s="6">
        <v>560</v>
      </c>
      <c r="DH247" s="10"/>
      <c r="DI247" s="6">
        <f t="shared" si="93"/>
        <v>237</v>
      </c>
      <c r="DJ247" s="6">
        <v>783</v>
      </c>
      <c r="DK247" s="10"/>
      <c r="DL247" s="6">
        <f t="shared" si="94"/>
        <v>223</v>
      </c>
      <c r="DM247" s="6">
        <v>978</v>
      </c>
      <c r="DN247" s="10"/>
      <c r="DO247" s="6">
        <f t="shared" si="95"/>
        <v>195</v>
      </c>
    </row>
    <row r="248" spans="1:119">
      <c r="A248" s="151">
        <v>244</v>
      </c>
      <c r="B248" s="6"/>
      <c r="C248" s="10"/>
      <c r="D248" s="6"/>
      <c r="E248" s="141"/>
      <c r="F248" s="141"/>
      <c r="G248" s="141"/>
      <c r="H248" s="141"/>
      <c r="I248" s="141"/>
      <c r="J248" s="141"/>
      <c r="K248" s="141"/>
      <c r="L248" s="163" t="s">
        <v>372</v>
      </c>
      <c r="M248" s="141" t="s">
        <v>372</v>
      </c>
      <c r="N248" s="141" t="s">
        <v>372</v>
      </c>
      <c r="O248" s="141" t="s">
        <v>372</v>
      </c>
      <c r="P248" s="141" t="s">
        <v>372</v>
      </c>
      <c r="Q248" s="141" t="s">
        <v>372</v>
      </c>
      <c r="R248" s="141" t="s">
        <v>372</v>
      </c>
      <c r="S248" s="141" t="s">
        <v>372</v>
      </c>
      <c r="T248" s="141" t="s">
        <v>372</v>
      </c>
      <c r="U248" s="141" t="s">
        <v>372</v>
      </c>
      <c r="V248" s="141" t="s">
        <v>372</v>
      </c>
      <c r="W248" s="141" t="s">
        <v>372</v>
      </c>
      <c r="X248" s="141" t="s">
        <v>372</v>
      </c>
      <c r="Y248" s="141" t="s">
        <v>372</v>
      </c>
      <c r="Z248" s="141" t="s">
        <v>372</v>
      </c>
      <c r="AA248" s="141" t="s">
        <v>372</v>
      </c>
      <c r="AB248" s="141" t="s">
        <v>372</v>
      </c>
      <c r="AC248" s="141" t="s">
        <v>372</v>
      </c>
      <c r="AD248" s="6"/>
      <c r="AE248" s="6"/>
      <c r="AF248" s="35"/>
      <c r="AG248" s="6"/>
      <c r="AH248" s="6"/>
      <c r="AI248" s="35"/>
      <c r="AJ248" s="35"/>
      <c r="AK248" s="35"/>
      <c r="AL248" s="35"/>
      <c r="AM248" s="35"/>
      <c r="AN248" s="6"/>
      <c r="AO248" s="35"/>
      <c r="AP248" s="6"/>
      <c r="AQ248" s="6"/>
      <c r="AR248" s="34"/>
      <c r="AS248" s="35"/>
      <c r="AT248" s="35"/>
      <c r="AU248" s="35"/>
      <c r="AV248" s="6"/>
      <c r="AW248" s="6"/>
      <c r="AX248" s="35"/>
      <c r="AY248" s="6"/>
      <c r="AZ248" s="6"/>
      <c r="BA248" s="35"/>
      <c r="BB248" s="35"/>
      <c r="BC248" s="35"/>
      <c r="BD248" s="35"/>
      <c r="BE248" s="35"/>
      <c r="BF248" s="6"/>
      <c r="BG248" s="35"/>
      <c r="BH248" s="6">
        <v>230</v>
      </c>
      <c r="BI248" s="6"/>
      <c r="BJ248" s="35">
        <f t="shared" si="78"/>
        <v>230</v>
      </c>
      <c r="BK248" s="6">
        <v>464</v>
      </c>
      <c r="BL248" s="35"/>
      <c r="BM248" s="6">
        <f t="shared" si="79"/>
        <v>234</v>
      </c>
      <c r="BN248" s="35">
        <v>4</v>
      </c>
      <c r="BO248" s="35">
        <v>747</v>
      </c>
      <c r="BP248" s="6">
        <f t="shared" si="80"/>
        <v>287</v>
      </c>
      <c r="BQ248" s="35">
        <v>288</v>
      </c>
      <c r="BR248" s="35"/>
      <c r="BS248" s="35">
        <f t="shared" si="81"/>
        <v>284</v>
      </c>
      <c r="BT248" s="35">
        <v>578</v>
      </c>
      <c r="BU248" s="35"/>
      <c r="BV248" s="6">
        <f t="shared" si="82"/>
        <v>290</v>
      </c>
      <c r="BW248" s="6">
        <v>854</v>
      </c>
      <c r="BX248" s="35"/>
      <c r="BY248" s="35">
        <f t="shared" si="83"/>
        <v>276</v>
      </c>
      <c r="BZ248" s="35"/>
      <c r="CA248" s="6"/>
      <c r="CB248" s="6"/>
      <c r="CC248" s="6">
        <v>45</v>
      </c>
      <c r="CD248" s="6">
        <v>1100</v>
      </c>
      <c r="CE248" s="6">
        <f t="shared" si="84"/>
        <v>291</v>
      </c>
      <c r="CF248" s="6">
        <v>323</v>
      </c>
      <c r="CG248" s="6"/>
      <c r="CH248" s="6">
        <f t="shared" si="85"/>
        <v>278</v>
      </c>
      <c r="CI248" s="6">
        <v>611</v>
      </c>
      <c r="CJ248" s="6"/>
      <c r="CK248" s="6">
        <f t="shared" si="86"/>
        <v>288</v>
      </c>
      <c r="CL248" s="6">
        <v>887</v>
      </c>
      <c r="CM248" s="6"/>
      <c r="CN248" s="6">
        <f t="shared" si="87"/>
        <v>276</v>
      </c>
      <c r="CO248" s="6">
        <v>56</v>
      </c>
      <c r="CP248" s="6">
        <v>1100</v>
      </c>
      <c r="CQ248" s="6">
        <f t="shared" si="88"/>
        <v>269</v>
      </c>
      <c r="CR248" s="6">
        <v>331</v>
      </c>
      <c r="CS248" s="6"/>
      <c r="CT248" s="6">
        <f t="shared" si="89"/>
        <v>275</v>
      </c>
      <c r="CU248" s="6"/>
      <c r="CV248" s="6"/>
      <c r="CW248" s="6"/>
      <c r="CX248" s="6">
        <v>621</v>
      </c>
      <c r="CY248" s="6"/>
      <c r="CZ248" s="6">
        <f t="shared" si="90"/>
        <v>290</v>
      </c>
      <c r="DA248" s="6">
        <v>898</v>
      </c>
      <c r="DB248" s="6"/>
      <c r="DC248" s="6">
        <f t="shared" si="91"/>
        <v>277</v>
      </c>
      <c r="DD248" s="6">
        <v>78</v>
      </c>
      <c r="DE248" s="6">
        <v>1100</v>
      </c>
      <c r="DF248" s="6">
        <f t="shared" si="92"/>
        <v>280</v>
      </c>
      <c r="DG248" s="6">
        <v>360</v>
      </c>
      <c r="DH248" s="10"/>
      <c r="DI248" s="6">
        <f t="shared" si="93"/>
        <v>282</v>
      </c>
      <c r="DJ248" s="6">
        <v>640</v>
      </c>
      <c r="DK248" s="10"/>
      <c r="DL248" s="6">
        <f t="shared" si="94"/>
        <v>280</v>
      </c>
      <c r="DM248" s="6">
        <v>0</v>
      </c>
      <c r="DN248" s="10">
        <v>746</v>
      </c>
      <c r="DO248" s="6">
        <f t="shared" si="95"/>
        <v>106</v>
      </c>
    </row>
    <row r="249" spans="1:119">
      <c r="A249" s="151">
        <v>245</v>
      </c>
      <c r="B249" s="6"/>
      <c r="C249" s="10"/>
      <c r="D249" s="6"/>
      <c r="E249" s="141"/>
      <c r="F249" s="141"/>
      <c r="G249" s="141"/>
      <c r="H249" s="141"/>
      <c r="I249" s="141"/>
      <c r="J249" s="141"/>
      <c r="K249" s="141"/>
      <c r="L249" s="141"/>
      <c r="M249" s="163" t="s">
        <v>291</v>
      </c>
      <c r="N249" s="141" t="s">
        <v>291</v>
      </c>
      <c r="O249" s="141" t="s">
        <v>291</v>
      </c>
      <c r="P249" s="141" t="s">
        <v>291</v>
      </c>
      <c r="Q249" s="141" t="s">
        <v>291</v>
      </c>
      <c r="R249" s="141" t="s">
        <v>291</v>
      </c>
      <c r="S249" s="163" t="s">
        <v>75</v>
      </c>
      <c r="T249" s="141" t="s">
        <v>75</v>
      </c>
      <c r="U249" s="141" t="s">
        <v>75</v>
      </c>
      <c r="V249" s="141" t="s">
        <v>75</v>
      </c>
      <c r="W249" s="141" t="s">
        <v>75</v>
      </c>
      <c r="X249" s="141" t="s">
        <v>75</v>
      </c>
      <c r="Y249" s="141" t="s">
        <v>75</v>
      </c>
      <c r="Z249" s="141" t="s">
        <v>75</v>
      </c>
      <c r="AA249" s="141" t="s">
        <v>75</v>
      </c>
      <c r="AB249" s="141" t="s">
        <v>75</v>
      </c>
      <c r="AC249" s="141" t="s">
        <v>75</v>
      </c>
      <c r="AD249" s="6"/>
      <c r="AE249" s="6"/>
      <c r="AF249" s="35"/>
      <c r="AG249" s="6"/>
      <c r="AH249" s="6"/>
      <c r="AI249" s="35"/>
      <c r="AJ249" s="35"/>
      <c r="AK249" s="35"/>
      <c r="AL249" s="35"/>
      <c r="AM249" s="6"/>
      <c r="AN249" s="6"/>
      <c r="AO249" s="35"/>
      <c r="AP249" s="6"/>
      <c r="AQ249" s="6"/>
      <c r="AR249" s="34"/>
      <c r="AS249" s="35"/>
      <c r="AT249" s="35"/>
      <c r="AU249" s="35"/>
      <c r="AV249" s="6"/>
      <c r="AW249" s="6"/>
      <c r="AX249" s="35"/>
      <c r="AY249" s="6"/>
      <c r="AZ249" s="6"/>
      <c r="BA249" s="35"/>
      <c r="BB249" s="35"/>
      <c r="BC249" s="35"/>
      <c r="BD249" s="35"/>
      <c r="BE249" s="35"/>
      <c r="BF249" s="6"/>
      <c r="BG249" s="35"/>
      <c r="BH249" s="6"/>
      <c r="BI249" s="6"/>
      <c r="BJ249" s="35"/>
      <c r="BK249" s="6">
        <v>234</v>
      </c>
      <c r="BL249" s="6"/>
      <c r="BM249" s="6">
        <f t="shared" si="79"/>
        <v>234</v>
      </c>
      <c r="BN249" s="35">
        <v>494</v>
      </c>
      <c r="BO249" s="35"/>
      <c r="BP249" s="6">
        <f t="shared" si="80"/>
        <v>260</v>
      </c>
      <c r="BQ249" s="35">
        <v>755</v>
      </c>
      <c r="BR249" s="35"/>
      <c r="BS249" s="35">
        <f t="shared" si="81"/>
        <v>261</v>
      </c>
      <c r="BT249" s="35">
        <v>1017</v>
      </c>
      <c r="BU249" s="35"/>
      <c r="BV249" s="6">
        <f t="shared" si="82"/>
        <v>262</v>
      </c>
      <c r="BW249" s="6">
        <v>157</v>
      </c>
      <c r="BX249" s="35">
        <v>1100</v>
      </c>
      <c r="BY249" s="35">
        <f t="shared" si="83"/>
        <v>240</v>
      </c>
      <c r="BZ249" s="35"/>
      <c r="CA249" s="6"/>
      <c r="CB249" s="6"/>
      <c r="CC249" s="6">
        <v>0</v>
      </c>
      <c r="CD249" s="6">
        <v>364</v>
      </c>
      <c r="CE249" s="6">
        <f t="shared" si="84"/>
        <v>207</v>
      </c>
      <c r="CF249" s="6">
        <v>211</v>
      </c>
      <c r="CG249" s="6"/>
      <c r="CH249" s="6">
        <f t="shared" si="85"/>
        <v>211</v>
      </c>
      <c r="CI249" s="6">
        <v>471</v>
      </c>
      <c r="CJ249" s="6"/>
      <c r="CK249" s="6">
        <f t="shared" si="86"/>
        <v>260</v>
      </c>
      <c r="CL249" s="6">
        <v>729</v>
      </c>
      <c r="CM249" s="6"/>
      <c r="CN249" s="6">
        <f t="shared" si="87"/>
        <v>258</v>
      </c>
      <c r="CO249" s="6">
        <v>991</v>
      </c>
      <c r="CP249" s="6"/>
      <c r="CQ249" s="6">
        <f t="shared" si="88"/>
        <v>262</v>
      </c>
      <c r="CR249" s="6">
        <v>137</v>
      </c>
      <c r="CS249" s="6">
        <v>1096</v>
      </c>
      <c r="CT249" s="6">
        <f t="shared" si="89"/>
        <v>242</v>
      </c>
      <c r="CU249" s="6"/>
      <c r="CV249" s="6"/>
      <c r="CW249" s="6"/>
      <c r="CX249" s="6">
        <v>401</v>
      </c>
      <c r="CY249" s="6"/>
      <c r="CZ249" s="6">
        <f t="shared" si="90"/>
        <v>264</v>
      </c>
      <c r="DA249" s="6">
        <v>658</v>
      </c>
      <c r="DB249" s="6"/>
      <c r="DC249" s="6">
        <f t="shared" si="91"/>
        <v>257</v>
      </c>
      <c r="DD249" s="6">
        <v>920</v>
      </c>
      <c r="DE249" s="6"/>
      <c r="DF249" s="6">
        <f t="shared" si="92"/>
        <v>262</v>
      </c>
      <c r="DG249" s="6">
        <v>80</v>
      </c>
      <c r="DH249" s="10">
        <v>1100</v>
      </c>
      <c r="DI249" s="6">
        <f t="shared" si="93"/>
        <v>260</v>
      </c>
      <c r="DJ249" s="6">
        <v>338</v>
      </c>
      <c r="DK249" s="10"/>
      <c r="DL249" s="6">
        <f t="shared" si="94"/>
        <v>258</v>
      </c>
      <c r="DM249" s="6">
        <v>561</v>
      </c>
      <c r="DN249" s="10"/>
      <c r="DO249" s="6">
        <f t="shared" si="95"/>
        <v>223</v>
      </c>
    </row>
    <row r="250" spans="1:119">
      <c r="A250" s="151">
        <v>246</v>
      </c>
      <c r="B250" s="6">
        <v>367</v>
      </c>
      <c r="C250" s="10"/>
      <c r="D250" s="6">
        <v>124</v>
      </c>
      <c r="E250" s="141" t="s">
        <v>291</v>
      </c>
      <c r="F250" s="141" t="s">
        <v>291</v>
      </c>
      <c r="G250" s="141" t="s">
        <v>291</v>
      </c>
      <c r="H250" s="141" t="s">
        <v>291</v>
      </c>
      <c r="I250" s="141" t="s">
        <v>291</v>
      </c>
      <c r="J250" s="141" t="s">
        <v>291</v>
      </c>
      <c r="K250" s="141" t="s">
        <v>291</v>
      </c>
      <c r="L250" s="141" t="s">
        <v>291</v>
      </c>
      <c r="M250" s="163" t="s">
        <v>372</v>
      </c>
      <c r="N250" s="141" t="s">
        <v>372</v>
      </c>
      <c r="O250" s="141" t="s">
        <v>372</v>
      </c>
      <c r="P250" s="141" t="s">
        <v>372</v>
      </c>
      <c r="Q250" s="141" t="s">
        <v>372</v>
      </c>
      <c r="R250" s="141" t="s">
        <v>372</v>
      </c>
      <c r="S250" s="141" t="s">
        <v>372</v>
      </c>
      <c r="T250" s="141" t="s">
        <v>372</v>
      </c>
      <c r="U250" s="141" t="s">
        <v>372</v>
      </c>
      <c r="V250" s="141" t="s">
        <v>372</v>
      </c>
      <c r="W250" s="141" t="s">
        <v>372</v>
      </c>
      <c r="X250" s="141" t="s">
        <v>372</v>
      </c>
      <c r="Y250" s="141" t="s">
        <v>372</v>
      </c>
      <c r="Z250" s="141" t="s">
        <v>372</v>
      </c>
      <c r="AA250" s="141" t="s">
        <v>372</v>
      </c>
      <c r="AB250" s="141" t="s">
        <v>372</v>
      </c>
      <c r="AC250" s="141" t="s">
        <v>372</v>
      </c>
      <c r="AD250" s="6"/>
      <c r="AE250" s="6"/>
      <c r="AF250" s="35"/>
      <c r="AG250" s="6"/>
      <c r="AH250" s="6"/>
      <c r="AI250" s="35"/>
      <c r="AJ250" s="35"/>
      <c r="AK250" s="35"/>
      <c r="AL250" s="35"/>
      <c r="AM250" s="6">
        <v>75</v>
      </c>
      <c r="AN250" s="6">
        <v>558</v>
      </c>
      <c r="AO250" s="35">
        <f t="shared" ref="AO250:AO256" si="96">AN250+AM250-B250</f>
        <v>266</v>
      </c>
      <c r="AP250" s="6">
        <v>323</v>
      </c>
      <c r="AQ250" s="6"/>
      <c r="AR250" s="34">
        <f t="shared" si="73"/>
        <v>248</v>
      </c>
      <c r="AS250" s="35">
        <v>575</v>
      </c>
      <c r="AT250" s="35"/>
      <c r="AU250" s="35">
        <f t="shared" si="74"/>
        <v>252</v>
      </c>
      <c r="AV250" s="6">
        <v>70</v>
      </c>
      <c r="AW250" s="6">
        <v>754</v>
      </c>
      <c r="AX250" s="35">
        <f t="shared" si="75"/>
        <v>249</v>
      </c>
      <c r="AY250" s="6">
        <v>321</v>
      </c>
      <c r="AZ250" s="6"/>
      <c r="BA250" s="35">
        <f t="shared" si="76"/>
        <v>251</v>
      </c>
      <c r="BB250" s="35">
        <v>121</v>
      </c>
      <c r="BC250" s="35">
        <v>449</v>
      </c>
      <c r="BD250" s="35">
        <f t="shared" si="77"/>
        <v>249</v>
      </c>
      <c r="BE250" s="35"/>
      <c r="BF250" s="6"/>
      <c r="BG250" s="35"/>
      <c r="BH250" s="6">
        <v>0</v>
      </c>
      <c r="BI250" s="6">
        <v>378</v>
      </c>
      <c r="BJ250" s="35">
        <f t="shared" si="78"/>
        <v>257</v>
      </c>
      <c r="BK250" s="6">
        <v>258</v>
      </c>
      <c r="BL250" s="6"/>
      <c r="BM250" s="6">
        <f t="shared" si="79"/>
        <v>258</v>
      </c>
      <c r="BN250" s="35">
        <v>3</v>
      </c>
      <c r="BO250" s="35">
        <v>538</v>
      </c>
      <c r="BP250" s="6">
        <f t="shared" si="80"/>
        <v>283</v>
      </c>
      <c r="BQ250" s="35">
        <v>293</v>
      </c>
      <c r="BR250" s="35"/>
      <c r="BS250" s="35">
        <f t="shared" si="81"/>
        <v>290</v>
      </c>
      <c r="BT250" s="35">
        <v>582</v>
      </c>
      <c r="BU250" s="35"/>
      <c r="BV250" s="6">
        <f t="shared" si="82"/>
        <v>289</v>
      </c>
      <c r="BW250" s="6">
        <v>856</v>
      </c>
      <c r="BX250" s="35"/>
      <c r="BY250" s="35">
        <f t="shared" si="83"/>
        <v>274</v>
      </c>
      <c r="BZ250" s="6"/>
      <c r="CA250" s="6"/>
      <c r="CB250" s="6"/>
      <c r="CC250" s="6">
        <v>43</v>
      </c>
      <c r="CD250" s="6">
        <v>1100</v>
      </c>
      <c r="CE250" s="6">
        <f t="shared" si="84"/>
        <v>287</v>
      </c>
      <c r="CF250" s="6">
        <v>330</v>
      </c>
      <c r="CG250" s="6"/>
      <c r="CH250" s="6">
        <f t="shared" si="85"/>
        <v>287</v>
      </c>
      <c r="CI250" s="6">
        <v>619</v>
      </c>
      <c r="CJ250" s="6"/>
      <c r="CK250" s="6">
        <f t="shared" si="86"/>
        <v>289</v>
      </c>
      <c r="CL250" s="6">
        <v>908</v>
      </c>
      <c r="CM250" s="6"/>
      <c r="CN250" s="6">
        <f t="shared" si="87"/>
        <v>289</v>
      </c>
      <c r="CO250" s="6">
        <v>96</v>
      </c>
      <c r="CP250" s="6">
        <v>1100</v>
      </c>
      <c r="CQ250" s="6">
        <f t="shared" si="88"/>
        <v>288</v>
      </c>
      <c r="CR250" s="6">
        <v>357</v>
      </c>
      <c r="CS250" s="6"/>
      <c r="CT250" s="6">
        <f t="shared" si="89"/>
        <v>261</v>
      </c>
      <c r="CU250" s="6"/>
      <c r="CV250" s="6"/>
      <c r="CW250" s="6"/>
      <c r="CX250" s="6">
        <v>644</v>
      </c>
      <c r="CY250" s="6"/>
      <c r="CZ250" s="6">
        <f t="shared" si="90"/>
        <v>287</v>
      </c>
      <c r="DA250" s="6">
        <v>932</v>
      </c>
      <c r="DB250" s="6"/>
      <c r="DC250" s="6">
        <f t="shared" si="91"/>
        <v>288</v>
      </c>
      <c r="DD250" s="6">
        <v>111</v>
      </c>
      <c r="DE250" s="6">
        <v>1095</v>
      </c>
      <c r="DF250" s="6">
        <f t="shared" si="92"/>
        <v>274</v>
      </c>
      <c r="DG250" s="6">
        <v>383</v>
      </c>
      <c r="DH250" s="10"/>
      <c r="DI250" s="6">
        <f t="shared" si="93"/>
        <v>272</v>
      </c>
      <c r="DJ250" s="6">
        <v>659</v>
      </c>
      <c r="DK250" s="10"/>
      <c r="DL250" s="6">
        <f t="shared" si="94"/>
        <v>276</v>
      </c>
      <c r="DM250" s="6">
        <v>905</v>
      </c>
      <c r="DN250" s="10"/>
      <c r="DO250" s="6">
        <f t="shared" si="95"/>
        <v>246</v>
      </c>
    </row>
    <row r="251" spans="1:119">
      <c r="A251" s="151">
        <v>247</v>
      </c>
      <c r="B251" s="6">
        <v>359</v>
      </c>
      <c r="C251" s="10"/>
      <c r="D251" s="6">
        <v>0</v>
      </c>
      <c r="E251" s="141" t="s">
        <v>79</v>
      </c>
      <c r="F251" s="141" t="s">
        <v>79</v>
      </c>
      <c r="G251" s="141" t="s">
        <v>79</v>
      </c>
      <c r="H251" s="141" t="s">
        <v>79</v>
      </c>
      <c r="I251" s="141" t="s">
        <v>79</v>
      </c>
      <c r="J251" s="141" t="s">
        <v>79</v>
      </c>
      <c r="K251" s="141" t="s">
        <v>79</v>
      </c>
      <c r="L251" s="141" t="s">
        <v>79</v>
      </c>
      <c r="M251" s="141" t="s">
        <v>79</v>
      </c>
      <c r="N251" s="141" t="s">
        <v>79</v>
      </c>
      <c r="O251" s="141" t="s">
        <v>79</v>
      </c>
      <c r="P251" s="141" t="s">
        <v>79</v>
      </c>
      <c r="Q251" s="141" t="s">
        <v>79</v>
      </c>
      <c r="R251" s="141" t="s">
        <v>79</v>
      </c>
      <c r="S251" s="141" t="s">
        <v>79</v>
      </c>
      <c r="T251" s="141" t="s">
        <v>79</v>
      </c>
      <c r="U251" s="141" t="s">
        <v>79</v>
      </c>
      <c r="V251" s="141" t="s">
        <v>79</v>
      </c>
      <c r="W251" s="141" t="s">
        <v>79</v>
      </c>
      <c r="X251" s="141" t="s">
        <v>79</v>
      </c>
      <c r="Y251" s="141" t="s">
        <v>79</v>
      </c>
      <c r="Z251" s="141" t="s">
        <v>79</v>
      </c>
      <c r="AA251" s="141" t="s">
        <v>79</v>
      </c>
      <c r="AB251" s="141" t="s">
        <v>79</v>
      </c>
      <c r="AC251" s="141" t="s">
        <v>79</v>
      </c>
      <c r="AD251" s="6"/>
      <c r="AE251" s="6"/>
      <c r="AF251" s="35"/>
      <c r="AG251" s="6"/>
      <c r="AH251" s="6"/>
      <c r="AI251" s="35"/>
      <c r="AJ251" s="35"/>
      <c r="AK251" s="35"/>
      <c r="AL251" s="35"/>
      <c r="AM251" s="6">
        <v>359</v>
      </c>
      <c r="AN251" s="6"/>
      <c r="AO251" s="35">
        <f t="shared" si="96"/>
        <v>0</v>
      </c>
      <c r="AP251" s="6">
        <v>359</v>
      </c>
      <c r="AQ251" s="6"/>
      <c r="AR251" s="34">
        <f t="shared" si="73"/>
        <v>0</v>
      </c>
      <c r="AS251" s="35">
        <v>359</v>
      </c>
      <c r="AT251" s="35"/>
      <c r="AU251" s="35">
        <f t="shared" si="74"/>
        <v>0</v>
      </c>
      <c r="AV251" s="6">
        <v>359</v>
      </c>
      <c r="AW251" s="6"/>
      <c r="AX251" s="35">
        <f t="shared" si="75"/>
        <v>0</v>
      </c>
      <c r="AY251" s="6">
        <v>359</v>
      </c>
      <c r="AZ251" s="6"/>
      <c r="BA251" s="35">
        <f t="shared" si="76"/>
        <v>0</v>
      </c>
      <c r="BB251" s="35">
        <v>359</v>
      </c>
      <c r="BC251" s="35"/>
      <c r="BD251" s="35">
        <f t="shared" si="77"/>
        <v>0</v>
      </c>
      <c r="BE251" s="35"/>
      <c r="BF251" s="6"/>
      <c r="BG251" s="35"/>
      <c r="BH251" s="6">
        <v>359</v>
      </c>
      <c r="BI251" s="6"/>
      <c r="BJ251" s="35">
        <f t="shared" si="78"/>
        <v>0</v>
      </c>
      <c r="BK251" s="6">
        <v>359</v>
      </c>
      <c r="BL251" s="6"/>
      <c r="BM251" s="6">
        <f t="shared" si="79"/>
        <v>0</v>
      </c>
      <c r="BN251" s="35">
        <v>359</v>
      </c>
      <c r="BO251" s="35"/>
      <c r="BP251" s="6">
        <f t="shared" si="80"/>
        <v>0</v>
      </c>
      <c r="BQ251" s="35">
        <v>359</v>
      </c>
      <c r="BR251" s="35"/>
      <c r="BS251" s="35">
        <f t="shared" si="81"/>
        <v>0</v>
      </c>
      <c r="BT251" s="35">
        <v>359</v>
      </c>
      <c r="BU251" s="35"/>
      <c r="BV251" s="6">
        <f t="shared" si="82"/>
        <v>0</v>
      </c>
      <c r="BW251" s="6">
        <v>359</v>
      </c>
      <c r="BX251" s="6"/>
      <c r="BY251" s="35">
        <f t="shared" si="83"/>
        <v>0</v>
      </c>
      <c r="BZ251" s="6"/>
      <c r="CA251" s="6"/>
      <c r="CB251" s="6"/>
      <c r="CC251" s="6">
        <v>359</v>
      </c>
      <c r="CD251" s="6"/>
      <c r="CE251" s="6">
        <f t="shared" si="84"/>
        <v>0</v>
      </c>
      <c r="CF251" s="6">
        <v>359</v>
      </c>
      <c r="CG251" s="6"/>
      <c r="CH251" s="6">
        <f t="shared" si="85"/>
        <v>0</v>
      </c>
      <c r="CI251" s="6">
        <v>359</v>
      </c>
      <c r="CJ251" s="6"/>
      <c r="CK251" s="6">
        <f t="shared" si="86"/>
        <v>0</v>
      </c>
      <c r="CL251" s="6">
        <v>359</v>
      </c>
      <c r="CM251" s="6"/>
      <c r="CN251" s="6">
        <f t="shared" si="87"/>
        <v>0</v>
      </c>
      <c r="CO251" s="6">
        <v>359</v>
      </c>
      <c r="CP251" s="6"/>
      <c r="CQ251" s="6">
        <f t="shared" si="88"/>
        <v>0</v>
      </c>
      <c r="CR251" s="6">
        <v>360</v>
      </c>
      <c r="CS251" s="6"/>
      <c r="CT251" s="6">
        <f t="shared" si="89"/>
        <v>1</v>
      </c>
      <c r="CU251" s="6"/>
      <c r="CV251" s="6"/>
      <c r="CW251" s="6"/>
      <c r="CX251" s="6">
        <v>523</v>
      </c>
      <c r="CY251" s="6"/>
      <c r="CZ251" s="6">
        <f t="shared" si="90"/>
        <v>163</v>
      </c>
      <c r="DA251" s="6">
        <v>743</v>
      </c>
      <c r="DB251" s="6"/>
      <c r="DC251" s="6">
        <f t="shared" si="91"/>
        <v>220</v>
      </c>
      <c r="DD251" s="6">
        <v>981</v>
      </c>
      <c r="DE251" s="6"/>
      <c r="DF251" s="6">
        <f t="shared" si="92"/>
        <v>238</v>
      </c>
      <c r="DG251" s="6">
        <v>119</v>
      </c>
      <c r="DH251" s="10">
        <v>1100</v>
      </c>
      <c r="DI251" s="6">
        <f t="shared" si="93"/>
        <v>238</v>
      </c>
      <c r="DJ251" s="6">
        <v>356</v>
      </c>
      <c r="DK251" s="10"/>
      <c r="DL251" s="6">
        <f t="shared" si="94"/>
        <v>237</v>
      </c>
      <c r="DM251" s="6">
        <v>572</v>
      </c>
      <c r="DN251" s="10"/>
      <c r="DO251" s="6">
        <f t="shared" si="95"/>
        <v>216</v>
      </c>
    </row>
    <row r="252" spans="1:119">
      <c r="A252" s="151">
        <v>248</v>
      </c>
      <c r="B252" s="6">
        <v>0</v>
      </c>
      <c r="C252" s="10"/>
      <c r="D252" s="6">
        <v>0</v>
      </c>
      <c r="E252" s="141" t="s">
        <v>296</v>
      </c>
      <c r="F252" s="141" t="s">
        <v>296</v>
      </c>
      <c r="G252" s="141" t="s">
        <v>296</v>
      </c>
      <c r="H252" s="141" t="s">
        <v>296</v>
      </c>
      <c r="I252" s="141" t="s">
        <v>296</v>
      </c>
      <c r="J252" s="141" t="s">
        <v>296</v>
      </c>
      <c r="K252" s="141" t="s">
        <v>296</v>
      </c>
      <c r="L252" s="163" t="s">
        <v>370</v>
      </c>
      <c r="M252" s="141" t="s">
        <v>370</v>
      </c>
      <c r="N252" s="141" t="s">
        <v>370</v>
      </c>
      <c r="O252" s="141" t="s">
        <v>370</v>
      </c>
      <c r="P252" s="141" t="s">
        <v>370</v>
      </c>
      <c r="Q252" s="141" t="s">
        <v>370</v>
      </c>
      <c r="R252" s="141" t="s">
        <v>370</v>
      </c>
      <c r="S252" s="141" t="s">
        <v>370</v>
      </c>
      <c r="T252" s="141" t="s">
        <v>370</v>
      </c>
      <c r="U252" s="141" t="s">
        <v>370</v>
      </c>
      <c r="V252" s="141" t="s">
        <v>370</v>
      </c>
      <c r="W252" s="141" t="s">
        <v>370</v>
      </c>
      <c r="X252" s="141" t="s">
        <v>370</v>
      </c>
      <c r="Y252" s="141" t="s">
        <v>370</v>
      </c>
      <c r="Z252" s="141" t="s">
        <v>370</v>
      </c>
      <c r="AA252" s="141" t="s">
        <v>370</v>
      </c>
      <c r="AB252" s="141" t="s">
        <v>370</v>
      </c>
      <c r="AC252" s="163" t="s">
        <v>388</v>
      </c>
      <c r="AD252" s="6"/>
      <c r="AE252" s="6"/>
      <c r="AF252" s="35"/>
      <c r="AG252" s="6"/>
      <c r="AH252" s="6"/>
      <c r="AI252" s="35"/>
      <c r="AJ252" s="35"/>
      <c r="AK252" s="35"/>
      <c r="AL252" s="35"/>
      <c r="AM252" s="6">
        <v>171</v>
      </c>
      <c r="AN252" s="6"/>
      <c r="AO252" s="35">
        <f t="shared" si="96"/>
        <v>171</v>
      </c>
      <c r="AP252" s="6">
        <v>441</v>
      </c>
      <c r="AQ252" s="6"/>
      <c r="AR252" s="34">
        <f t="shared" si="73"/>
        <v>270</v>
      </c>
      <c r="AS252" s="35">
        <v>717</v>
      </c>
      <c r="AT252" s="35"/>
      <c r="AU252" s="35">
        <f t="shared" si="74"/>
        <v>276</v>
      </c>
      <c r="AV252" s="6">
        <v>995</v>
      </c>
      <c r="AW252" s="6"/>
      <c r="AX252" s="35">
        <f t="shared" si="75"/>
        <v>278</v>
      </c>
      <c r="AY252" s="6">
        <v>270</v>
      </c>
      <c r="AZ252" s="6">
        <v>1000</v>
      </c>
      <c r="BA252" s="35">
        <f t="shared" si="76"/>
        <v>275</v>
      </c>
      <c r="BB252" s="35">
        <v>0</v>
      </c>
      <c r="BC252" s="35">
        <v>419</v>
      </c>
      <c r="BD252" s="35">
        <f t="shared" si="77"/>
        <v>149</v>
      </c>
      <c r="BE252" s="35"/>
      <c r="BF252" s="6"/>
      <c r="BG252" s="35"/>
      <c r="BH252" s="6">
        <v>215</v>
      </c>
      <c r="BI252" s="6"/>
      <c r="BJ252" s="35">
        <f t="shared" si="78"/>
        <v>215</v>
      </c>
      <c r="BK252" s="6">
        <v>497</v>
      </c>
      <c r="BL252" s="6"/>
      <c r="BM252" s="6">
        <f t="shared" si="79"/>
        <v>282</v>
      </c>
      <c r="BN252" s="35">
        <v>3</v>
      </c>
      <c r="BO252" s="35">
        <v>781</v>
      </c>
      <c r="BP252" s="6">
        <f t="shared" si="80"/>
        <v>287</v>
      </c>
      <c r="BQ252" s="35">
        <v>289</v>
      </c>
      <c r="BR252" s="35"/>
      <c r="BS252" s="35">
        <f t="shared" si="81"/>
        <v>286</v>
      </c>
      <c r="BT252" s="35">
        <v>29</v>
      </c>
      <c r="BU252" s="35">
        <v>548</v>
      </c>
      <c r="BV252" s="6">
        <f t="shared" si="82"/>
        <v>288</v>
      </c>
      <c r="BW252" s="6">
        <v>300</v>
      </c>
      <c r="BX252" s="6"/>
      <c r="BY252" s="35">
        <f t="shared" si="83"/>
        <v>271</v>
      </c>
      <c r="BZ252" s="6"/>
      <c r="CA252" s="6"/>
      <c r="CB252" s="6"/>
      <c r="CC252" s="6">
        <v>590</v>
      </c>
      <c r="CD252" s="6"/>
      <c r="CE252" s="6">
        <f t="shared" si="84"/>
        <v>290</v>
      </c>
      <c r="CF252" s="6">
        <v>868</v>
      </c>
      <c r="CG252" s="6"/>
      <c r="CH252" s="6">
        <f t="shared" si="85"/>
        <v>278</v>
      </c>
      <c r="CI252" s="6">
        <v>58</v>
      </c>
      <c r="CJ252" s="6">
        <v>1100</v>
      </c>
      <c r="CK252" s="6">
        <f t="shared" si="86"/>
        <v>290</v>
      </c>
      <c r="CL252" s="6">
        <v>346</v>
      </c>
      <c r="CM252" s="6"/>
      <c r="CN252" s="6">
        <f t="shared" si="87"/>
        <v>288</v>
      </c>
      <c r="CO252" s="6">
        <v>634</v>
      </c>
      <c r="CP252" s="6"/>
      <c r="CQ252" s="6">
        <f t="shared" si="88"/>
        <v>288</v>
      </c>
      <c r="CR252" s="6">
        <v>909</v>
      </c>
      <c r="CS252" s="6"/>
      <c r="CT252" s="6">
        <f t="shared" si="89"/>
        <v>275</v>
      </c>
      <c r="CU252" s="6"/>
      <c r="CV252" s="6"/>
      <c r="CW252" s="6"/>
      <c r="CX252" s="6">
        <v>98</v>
      </c>
      <c r="CY252" s="6">
        <v>1100</v>
      </c>
      <c r="CZ252" s="6">
        <f t="shared" si="90"/>
        <v>289</v>
      </c>
      <c r="DA252" s="6">
        <v>373</v>
      </c>
      <c r="DB252" s="6"/>
      <c r="DC252" s="6">
        <f t="shared" si="91"/>
        <v>275</v>
      </c>
      <c r="DD252" s="6">
        <v>648</v>
      </c>
      <c r="DE252" s="6"/>
      <c r="DF252" s="6">
        <f t="shared" si="92"/>
        <v>275</v>
      </c>
      <c r="DG252" s="6">
        <v>924</v>
      </c>
      <c r="DH252" s="10"/>
      <c r="DI252" s="6">
        <f t="shared" si="93"/>
        <v>276</v>
      </c>
      <c r="DJ252" s="6">
        <v>1200</v>
      </c>
      <c r="DK252" s="10"/>
      <c r="DL252" s="6">
        <f t="shared" si="94"/>
        <v>276</v>
      </c>
      <c r="DM252" s="6">
        <v>153</v>
      </c>
      <c r="DN252" s="10">
        <v>1278</v>
      </c>
      <c r="DO252" s="6">
        <f t="shared" si="95"/>
        <v>231</v>
      </c>
    </row>
    <row r="253" spans="1:119">
      <c r="A253" s="151">
        <v>249</v>
      </c>
      <c r="B253" s="6">
        <v>410</v>
      </c>
      <c r="C253" s="10"/>
      <c r="D253" s="6">
        <v>124</v>
      </c>
      <c r="E253" s="33" t="s">
        <v>75</v>
      </c>
      <c r="F253" s="33" t="s">
        <v>75</v>
      </c>
      <c r="G253" s="33" t="s">
        <v>75</v>
      </c>
      <c r="H253" s="33" t="s">
        <v>75</v>
      </c>
      <c r="I253" s="33" t="s">
        <v>75</v>
      </c>
      <c r="J253" s="33" t="s">
        <v>75</v>
      </c>
      <c r="K253" s="33" t="s">
        <v>75</v>
      </c>
      <c r="L253" s="33" t="s">
        <v>75</v>
      </c>
      <c r="M253" s="33" t="s">
        <v>75</v>
      </c>
      <c r="N253" s="148" t="s">
        <v>291</v>
      </c>
      <c r="O253" s="33" t="s">
        <v>291</v>
      </c>
      <c r="P253" s="33" t="s">
        <v>291</v>
      </c>
      <c r="Q253" s="33" t="s">
        <v>291</v>
      </c>
      <c r="R253" s="33" t="s">
        <v>291</v>
      </c>
      <c r="S253" s="33" t="s">
        <v>291</v>
      </c>
      <c r="T253" s="33" t="s">
        <v>291</v>
      </c>
      <c r="U253" s="33" t="s">
        <v>291</v>
      </c>
      <c r="V253" s="33" t="s">
        <v>291</v>
      </c>
      <c r="W253" s="33" t="s">
        <v>291</v>
      </c>
      <c r="X253" s="33" t="s">
        <v>291</v>
      </c>
      <c r="Y253" s="33" t="s">
        <v>291</v>
      </c>
      <c r="Z253" s="148" t="s">
        <v>75</v>
      </c>
      <c r="AA253" s="33" t="s">
        <v>75</v>
      </c>
      <c r="AB253" s="33" t="s">
        <v>75</v>
      </c>
      <c r="AC253" s="33" t="s">
        <v>75</v>
      </c>
      <c r="AD253" s="6"/>
      <c r="AE253" s="6"/>
      <c r="AF253" s="35"/>
      <c r="AG253" s="6"/>
      <c r="AH253" s="6"/>
      <c r="AI253" s="35"/>
      <c r="AJ253" s="35"/>
      <c r="AK253" s="35"/>
      <c r="AL253" s="35"/>
      <c r="AM253" s="6">
        <v>672</v>
      </c>
      <c r="AN253" s="6"/>
      <c r="AO253" s="35">
        <f t="shared" si="96"/>
        <v>262</v>
      </c>
      <c r="AP253" s="6">
        <v>912</v>
      </c>
      <c r="AQ253" s="6"/>
      <c r="AR253" s="34">
        <f t="shared" si="73"/>
        <v>240</v>
      </c>
      <c r="AS253" s="35">
        <v>62</v>
      </c>
      <c r="AT253" s="35">
        <v>1100</v>
      </c>
      <c r="AU253" s="35">
        <f t="shared" si="74"/>
        <v>250</v>
      </c>
      <c r="AV253" s="6">
        <v>321</v>
      </c>
      <c r="AW253" s="6"/>
      <c r="AX253" s="35">
        <f t="shared" si="75"/>
        <v>259</v>
      </c>
      <c r="AY253" s="6">
        <v>581</v>
      </c>
      <c r="AZ253" s="6"/>
      <c r="BA253" s="35">
        <f t="shared" si="76"/>
        <v>260</v>
      </c>
      <c r="BB253" s="35">
        <v>830</v>
      </c>
      <c r="BC253" s="35"/>
      <c r="BD253" s="35">
        <f t="shared" si="77"/>
        <v>249</v>
      </c>
      <c r="BE253" s="35"/>
      <c r="BF253" s="6"/>
      <c r="BG253" s="35"/>
      <c r="BH253" s="6">
        <v>1039</v>
      </c>
      <c r="BI253" s="6"/>
      <c r="BJ253" s="35">
        <f t="shared" si="78"/>
        <v>209</v>
      </c>
      <c r="BK253" s="6">
        <v>0</v>
      </c>
      <c r="BL253" s="6">
        <v>1265</v>
      </c>
      <c r="BM253" s="6">
        <f t="shared" si="79"/>
        <v>226</v>
      </c>
      <c r="BN253" s="35">
        <v>233</v>
      </c>
      <c r="BO253" s="35"/>
      <c r="BP253" s="6">
        <f t="shared" si="80"/>
        <v>233</v>
      </c>
      <c r="BQ253" s="35">
        <v>485</v>
      </c>
      <c r="BR253" s="35"/>
      <c r="BS253" s="35">
        <f t="shared" si="81"/>
        <v>252</v>
      </c>
      <c r="BT253" s="35">
        <v>744</v>
      </c>
      <c r="BU253" s="35"/>
      <c r="BV253" s="6">
        <f t="shared" si="82"/>
        <v>259</v>
      </c>
      <c r="BW253" s="6">
        <v>989</v>
      </c>
      <c r="BX253" s="6"/>
      <c r="BY253" s="35">
        <f t="shared" si="83"/>
        <v>245</v>
      </c>
      <c r="BZ253" s="6"/>
      <c r="CA253" s="6"/>
      <c r="CB253" s="6"/>
      <c r="CC253" s="6">
        <v>143</v>
      </c>
      <c r="CD253" s="6">
        <v>1100</v>
      </c>
      <c r="CE253" s="6">
        <f t="shared" si="84"/>
        <v>254</v>
      </c>
      <c r="CF253" s="6">
        <v>397</v>
      </c>
      <c r="CG253" s="6"/>
      <c r="CH253" s="6">
        <f t="shared" si="85"/>
        <v>254</v>
      </c>
      <c r="CI253" s="6">
        <v>652</v>
      </c>
      <c r="CJ253" s="6"/>
      <c r="CK253" s="6">
        <f t="shared" si="86"/>
        <v>255</v>
      </c>
      <c r="CL253" s="6">
        <v>910</v>
      </c>
      <c r="CM253" s="6"/>
      <c r="CN253" s="6">
        <f t="shared" si="87"/>
        <v>258</v>
      </c>
      <c r="CO253" s="6">
        <v>62</v>
      </c>
      <c r="CP253" s="6">
        <v>1100</v>
      </c>
      <c r="CQ253" s="6">
        <f t="shared" si="88"/>
        <v>252</v>
      </c>
      <c r="CR253" s="6">
        <v>303</v>
      </c>
      <c r="CS253" s="6"/>
      <c r="CT253" s="6">
        <f t="shared" si="89"/>
        <v>241</v>
      </c>
      <c r="CU253" s="6"/>
      <c r="CV253" s="6"/>
      <c r="CW253" s="6"/>
      <c r="CX253" s="6">
        <v>562</v>
      </c>
      <c r="CY253" s="6"/>
      <c r="CZ253" s="6">
        <f t="shared" si="90"/>
        <v>259</v>
      </c>
      <c r="DA253" s="6">
        <v>0</v>
      </c>
      <c r="DB253" s="6">
        <v>685</v>
      </c>
      <c r="DC253" s="6">
        <f t="shared" si="91"/>
        <v>123</v>
      </c>
      <c r="DD253" s="6">
        <v>233</v>
      </c>
      <c r="DE253" s="6"/>
      <c r="DF253" s="6">
        <f t="shared" si="92"/>
        <v>233</v>
      </c>
      <c r="DG253" s="6">
        <v>486</v>
      </c>
      <c r="DH253" s="10"/>
      <c r="DI253" s="6">
        <f t="shared" si="93"/>
        <v>253</v>
      </c>
      <c r="DJ253" s="6">
        <v>745</v>
      </c>
      <c r="DK253" s="10"/>
      <c r="DL253" s="6">
        <f t="shared" si="94"/>
        <v>259</v>
      </c>
      <c r="DM253" s="6">
        <v>979</v>
      </c>
      <c r="DN253" s="10"/>
      <c r="DO253" s="6">
        <f t="shared" si="95"/>
        <v>234</v>
      </c>
    </row>
    <row r="254" spans="1:119">
      <c r="A254" s="151">
        <v>250</v>
      </c>
      <c r="B254" s="6">
        <v>235</v>
      </c>
      <c r="C254" s="10"/>
      <c r="D254" s="6">
        <v>136</v>
      </c>
      <c r="E254" s="141" t="s">
        <v>291</v>
      </c>
      <c r="F254" s="141" t="s">
        <v>291</v>
      </c>
      <c r="G254" s="141" t="s">
        <v>291</v>
      </c>
      <c r="H254" s="141" t="s">
        <v>291</v>
      </c>
      <c r="I254" s="141" t="s">
        <v>291</v>
      </c>
      <c r="J254" s="141" t="s">
        <v>291</v>
      </c>
      <c r="K254" s="141" t="s">
        <v>291</v>
      </c>
      <c r="L254" s="141" t="s">
        <v>291</v>
      </c>
      <c r="M254" s="141" t="s">
        <v>291</v>
      </c>
      <c r="N254" s="141" t="s">
        <v>291</v>
      </c>
      <c r="O254" s="163" t="s">
        <v>291</v>
      </c>
      <c r="P254" s="141" t="s">
        <v>291</v>
      </c>
      <c r="Q254" s="141" t="s">
        <v>291</v>
      </c>
      <c r="R254" s="163" t="s">
        <v>380</v>
      </c>
      <c r="S254" s="141" t="s">
        <v>380</v>
      </c>
      <c r="T254" s="141" t="s">
        <v>380</v>
      </c>
      <c r="U254" s="141" t="s">
        <v>380</v>
      </c>
      <c r="V254" s="141" t="s">
        <v>380</v>
      </c>
      <c r="W254" s="141" t="s">
        <v>380</v>
      </c>
      <c r="X254" s="141" t="s">
        <v>380</v>
      </c>
      <c r="Y254" s="141" t="s">
        <v>380</v>
      </c>
      <c r="Z254" s="163" t="s">
        <v>380</v>
      </c>
      <c r="AA254" s="141" t="s">
        <v>380</v>
      </c>
      <c r="AB254" s="141" t="s">
        <v>380</v>
      </c>
      <c r="AC254" s="141" t="s">
        <v>380</v>
      </c>
      <c r="AD254" s="6"/>
      <c r="AE254" s="6"/>
      <c r="AF254" s="35"/>
      <c r="AG254" s="6"/>
      <c r="AH254" s="6"/>
      <c r="AI254" s="35"/>
      <c r="AJ254" s="35"/>
      <c r="AK254" s="35"/>
      <c r="AL254" s="35"/>
      <c r="AM254" s="6">
        <v>513</v>
      </c>
      <c r="AN254" s="6"/>
      <c r="AO254" s="35">
        <f t="shared" si="96"/>
        <v>278</v>
      </c>
      <c r="AP254" s="6">
        <v>768</v>
      </c>
      <c r="AQ254" s="6"/>
      <c r="AR254" s="34">
        <f t="shared" si="73"/>
        <v>255</v>
      </c>
      <c r="AS254" s="35">
        <v>1026</v>
      </c>
      <c r="AT254" s="35"/>
      <c r="AU254" s="35">
        <f t="shared" si="74"/>
        <v>258</v>
      </c>
      <c r="AV254" s="6">
        <v>187</v>
      </c>
      <c r="AW254" s="6">
        <v>1100</v>
      </c>
      <c r="AX254" s="35">
        <f t="shared" si="75"/>
        <v>261</v>
      </c>
      <c r="AY254" s="6">
        <v>447</v>
      </c>
      <c r="AZ254" s="6"/>
      <c r="BA254" s="35">
        <f t="shared" si="76"/>
        <v>260</v>
      </c>
      <c r="BB254" s="35">
        <v>697</v>
      </c>
      <c r="BC254" s="35"/>
      <c r="BD254" s="35">
        <f t="shared" si="77"/>
        <v>250</v>
      </c>
      <c r="BE254" s="35"/>
      <c r="BF254" s="6"/>
      <c r="BG254" s="35"/>
      <c r="BH254" s="6">
        <v>959</v>
      </c>
      <c r="BI254" s="6"/>
      <c r="BJ254" s="35">
        <f t="shared" si="78"/>
        <v>262</v>
      </c>
      <c r="BK254" s="6">
        <v>115</v>
      </c>
      <c r="BL254" s="6">
        <v>1100</v>
      </c>
      <c r="BM254" s="6">
        <f t="shared" si="79"/>
        <v>256</v>
      </c>
      <c r="BN254" s="35">
        <v>376</v>
      </c>
      <c r="BO254" s="35"/>
      <c r="BP254" s="6">
        <f t="shared" si="80"/>
        <v>261</v>
      </c>
      <c r="BQ254" s="35">
        <v>198</v>
      </c>
      <c r="BR254" s="35">
        <v>419</v>
      </c>
      <c r="BS254" s="35">
        <f t="shared" si="81"/>
        <v>241</v>
      </c>
      <c r="BT254" s="35">
        <v>459</v>
      </c>
      <c r="BU254" s="35"/>
      <c r="BV254" s="6">
        <f t="shared" si="82"/>
        <v>261</v>
      </c>
      <c r="BW254" s="35">
        <v>706</v>
      </c>
      <c r="BX254" s="6"/>
      <c r="BY254" s="35">
        <f t="shared" si="83"/>
        <v>247</v>
      </c>
      <c r="BZ254" s="6"/>
      <c r="CA254" s="6"/>
      <c r="CB254" s="6"/>
      <c r="CC254" s="6">
        <v>178</v>
      </c>
      <c r="CD254" s="6">
        <v>742</v>
      </c>
      <c r="CE254" s="6">
        <f t="shared" si="84"/>
        <v>214</v>
      </c>
      <c r="CF254" s="6">
        <v>434</v>
      </c>
      <c r="CG254" s="6"/>
      <c r="CH254" s="6">
        <f t="shared" si="85"/>
        <v>256</v>
      </c>
      <c r="CI254" s="6">
        <v>696</v>
      </c>
      <c r="CJ254" s="6"/>
      <c r="CK254" s="6">
        <f t="shared" si="86"/>
        <v>262</v>
      </c>
      <c r="CL254" s="6">
        <v>954</v>
      </c>
      <c r="CM254" s="6"/>
      <c r="CN254" s="6">
        <f t="shared" si="87"/>
        <v>258</v>
      </c>
      <c r="CO254" s="6">
        <v>93</v>
      </c>
      <c r="CP254" s="6">
        <v>1100</v>
      </c>
      <c r="CQ254" s="6">
        <f t="shared" si="88"/>
        <v>239</v>
      </c>
      <c r="CR254" s="6">
        <v>341</v>
      </c>
      <c r="CS254" s="6"/>
      <c r="CT254" s="6">
        <f t="shared" si="89"/>
        <v>248</v>
      </c>
      <c r="CU254" s="6"/>
      <c r="CV254" s="6"/>
      <c r="CW254" s="6"/>
      <c r="CX254" s="6">
        <v>602</v>
      </c>
      <c r="CY254" s="6"/>
      <c r="CZ254" s="6">
        <f t="shared" si="90"/>
        <v>261</v>
      </c>
      <c r="DA254" s="6">
        <v>0</v>
      </c>
      <c r="DB254" s="6">
        <v>701</v>
      </c>
      <c r="DC254" s="6">
        <f t="shared" si="91"/>
        <v>99</v>
      </c>
      <c r="DD254" s="6">
        <v>228</v>
      </c>
      <c r="DE254" s="6"/>
      <c r="DF254" s="6">
        <f t="shared" si="92"/>
        <v>228</v>
      </c>
      <c r="DG254" s="6">
        <v>488</v>
      </c>
      <c r="DH254" s="10"/>
      <c r="DI254" s="6">
        <f t="shared" si="93"/>
        <v>260</v>
      </c>
      <c r="DJ254" s="6">
        <v>745</v>
      </c>
      <c r="DK254" s="10"/>
      <c r="DL254" s="6">
        <f t="shared" si="94"/>
        <v>257</v>
      </c>
      <c r="DM254" s="6">
        <v>980</v>
      </c>
      <c r="DN254" s="10"/>
      <c r="DO254" s="6">
        <f t="shared" si="95"/>
        <v>235</v>
      </c>
    </row>
    <row r="255" spans="1:119">
      <c r="A255" s="151">
        <v>251</v>
      </c>
      <c r="B255" s="6">
        <v>648</v>
      </c>
      <c r="C255" s="10"/>
      <c r="D255" s="6">
        <v>137</v>
      </c>
      <c r="E255" s="33" t="s">
        <v>75</v>
      </c>
      <c r="F255" s="33" t="s">
        <v>75</v>
      </c>
      <c r="G255" s="33" t="s">
        <v>75</v>
      </c>
      <c r="H255" s="33" t="s">
        <v>75</v>
      </c>
      <c r="I255" s="33" t="s">
        <v>75</v>
      </c>
      <c r="J255" s="33" t="s">
        <v>75</v>
      </c>
      <c r="K255" s="33" t="s">
        <v>75</v>
      </c>
      <c r="L255" s="33" t="s">
        <v>75</v>
      </c>
      <c r="M255" s="33" t="s">
        <v>75</v>
      </c>
      <c r="N255" s="148" t="s">
        <v>291</v>
      </c>
      <c r="O255" s="33" t="s">
        <v>291</v>
      </c>
      <c r="P255" s="33" t="s">
        <v>291</v>
      </c>
      <c r="Q255" s="33" t="s">
        <v>291</v>
      </c>
      <c r="R255" s="33" t="s">
        <v>291</v>
      </c>
      <c r="S255" s="33" t="s">
        <v>291</v>
      </c>
      <c r="T255" s="33" t="s">
        <v>291</v>
      </c>
      <c r="U255" s="33" t="s">
        <v>291</v>
      </c>
      <c r="V255" s="33" t="s">
        <v>291</v>
      </c>
      <c r="W255" s="148" t="s">
        <v>75</v>
      </c>
      <c r="X255" s="33" t="s">
        <v>75</v>
      </c>
      <c r="Y255" s="33" t="s">
        <v>75</v>
      </c>
      <c r="Z255" s="33" t="s">
        <v>75</v>
      </c>
      <c r="AA255" s="33" t="s">
        <v>75</v>
      </c>
      <c r="AB255" s="33" t="s">
        <v>75</v>
      </c>
      <c r="AC255" s="33" t="s">
        <v>75</v>
      </c>
      <c r="AD255" s="6"/>
      <c r="AE255" s="6"/>
      <c r="AF255" s="35"/>
      <c r="AG255" s="6"/>
      <c r="AH255" s="6"/>
      <c r="AI255" s="35"/>
      <c r="AJ255" s="35"/>
      <c r="AK255" s="35"/>
      <c r="AL255" s="35"/>
      <c r="AM255" s="6">
        <v>927</v>
      </c>
      <c r="AN255" s="6"/>
      <c r="AO255" s="35">
        <f t="shared" si="96"/>
        <v>279</v>
      </c>
      <c r="AP255" s="6">
        <v>77</v>
      </c>
      <c r="AQ255" s="6">
        <v>1100</v>
      </c>
      <c r="AR255" s="34">
        <f t="shared" si="73"/>
        <v>250</v>
      </c>
      <c r="AS255" s="35">
        <v>320</v>
      </c>
      <c r="AT255" s="35"/>
      <c r="AU255" s="35">
        <f t="shared" si="74"/>
        <v>243</v>
      </c>
      <c r="AV255" s="6">
        <v>572</v>
      </c>
      <c r="AW255" s="6"/>
      <c r="AX255" s="35">
        <f t="shared" si="75"/>
        <v>252</v>
      </c>
      <c r="AY255" s="6">
        <v>825</v>
      </c>
      <c r="AZ255" s="6"/>
      <c r="BA255" s="35">
        <f t="shared" si="76"/>
        <v>253</v>
      </c>
      <c r="BB255" s="35">
        <v>1054</v>
      </c>
      <c r="BC255" s="35"/>
      <c r="BD255" s="35">
        <f t="shared" si="77"/>
        <v>229</v>
      </c>
      <c r="BE255" s="35"/>
      <c r="BF255" s="6"/>
      <c r="BG255" s="35"/>
      <c r="BH255" s="6">
        <v>204</v>
      </c>
      <c r="BI255" s="6">
        <v>1100</v>
      </c>
      <c r="BJ255" s="35">
        <f t="shared" si="78"/>
        <v>250</v>
      </c>
      <c r="BK255" s="6">
        <v>0</v>
      </c>
      <c r="BL255" s="6">
        <v>394</v>
      </c>
      <c r="BM255" s="6">
        <f t="shared" si="79"/>
        <v>190</v>
      </c>
      <c r="BN255" s="35">
        <v>242</v>
      </c>
      <c r="BO255" s="35"/>
      <c r="BP255" s="6">
        <f t="shared" si="80"/>
        <v>242</v>
      </c>
      <c r="BQ255" s="35">
        <v>500</v>
      </c>
      <c r="BR255" s="35"/>
      <c r="BS255" s="35">
        <f t="shared" si="81"/>
        <v>258</v>
      </c>
      <c r="BT255" s="35">
        <v>760</v>
      </c>
      <c r="BU255" s="35"/>
      <c r="BV255" s="6">
        <f t="shared" si="82"/>
        <v>260</v>
      </c>
      <c r="BW255" s="6">
        <v>1005</v>
      </c>
      <c r="BX255" s="6"/>
      <c r="BY255" s="35">
        <f t="shared" si="83"/>
        <v>245</v>
      </c>
      <c r="BZ255" s="6"/>
      <c r="CA255" s="6"/>
      <c r="CB255" s="6"/>
      <c r="CC255" s="6">
        <v>165</v>
      </c>
      <c r="CD255" s="6">
        <v>1100</v>
      </c>
      <c r="CE255" s="6">
        <f t="shared" si="84"/>
        <v>260</v>
      </c>
      <c r="CF255" s="6">
        <v>421</v>
      </c>
      <c r="CG255" s="6"/>
      <c r="CH255" s="6">
        <f t="shared" si="85"/>
        <v>256</v>
      </c>
      <c r="CI255" s="6">
        <v>682</v>
      </c>
      <c r="CJ255" s="6"/>
      <c r="CK255" s="6">
        <f t="shared" si="86"/>
        <v>261</v>
      </c>
      <c r="CL255" s="6">
        <v>940</v>
      </c>
      <c r="CM255" s="6"/>
      <c r="CN255" s="6">
        <f t="shared" si="87"/>
        <v>258</v>
      </c>
      <c r="CO255" s="6">
        <v>0</v>
      </c>
      <c r="CP255" s="6">
        <v>1157</v>
      </c>
      <c r="CQ255" s="6">
        <f t="shared" si="88"/>
        <v>217</v>
      </c>
      <c r="CR255" s="6">
        <v>221</v>
      </c>
      <c r="CS255" s="6"/>
      <c r="CT255" s="6">
        <f t="shared" si="89"/>
        <v>221</v>
      </c>
      <c r="CU255" s="6"/>
      <c r="CV255" s="6"/>
      <c r="CW255" s="6"/>
      <c r="CX255" s="6">
        <v>481</v>
      </c>
      <c r="CY255" s="6"/>
      <c r="CZ255" s="6">
        <f t="shared" si="90"/>
        <v>260</v>
      </c>
      <c r="DA255" s="6">
        <v>53</v>
      </c>
      <c r="DB255" s="6">
        <v>631</v>
      </c>
      <c r="DC255" s="6">
        <f t="shared" si="91"/>
        <v>203</v>
      </c>
      <c r="DD255" s="6">
        <v>294</v>
      </c>
      <c r="DE255" s="6"/>
      <c r="DF255" s="6">
        <f t="shared" si="92"/>
        <v>241</v>
      </c>
      <c r="DG255" s="6">
        <v>535</v>
      </c>
      <c r="DH255" s="10"/>
      <c r="DI255" s="6">
        <f t="shared" si="93"/>
        <v>241</v>
      </c>
      <c r="DJ255" s="6">
        <v>777</v>
      </c>
      <c r="DK255" s="10"/>
      <c r="DL255" s="6">
        <f t="shared" si="94"/>
        <v>242</v>
      </c>
      <c r="DM255" s="6">
        <v>993</v>
      </c>
      <c r="DN255" s="10"/>
      <c r="DO255" s="6">
        <f t="shared" si="95"/>
        <v>216</v>
      </c>
    </row>
    <row r="256" spans="1:119">
      <c r="A256" s="151">
        <v>252</v>
      </c>
      <c r="B256" s="6">
        <v>236</v>
      </c>
      <c r="C256" s="10"/>
      <c r="D256" s="6">
        <v>134</v>
      </c>
      <c r="E256" s="33" t="s">
        <v>291</v>
      </c>
      <c r="F256" s="33" t="s">
        <v>291</v>
      </c>
      <c r="G256" s="33" t="s">
        <v>291</v>
      </c>
      <c r="H256" s="33" t="s">
        <v>291</v>
      </c>
      <c r="I256" s="33" t="s">
        <v>291</v>
      </c>
      <c r="J256" s="33" t="s">
        <v>291</v>
      </c>
      <c r="K256" s="33" t="s">
        <v>291</v>
      </c>
      <c r="L256" s="33" t="s">
        <v>291</v>
      </c>
      <c r="M256" s="33" t="s">
        <v>291</v>
      </c>
      <c r="N256" s="33" t="s">
        <v>291</v>
      </c>
      <c r="O256" s="33" t="s">
        <v>291</v>
      </c>
      <c r="P256" s="148" t="s">
        <v>291</v>
      </c>
      <c r="Q256" s="33" t="s">
        <v>291</v>
      </c>
      <c r="R256" s="33" t="s">
        <v>291</v>
      </c>
      <c r="S256" s="33" t="s">
        <v>291</v>
      </c>
      <c r="T256" s="33" t="s">
        <v>291</v>
      </c>
      <c r="U256" s="33" t="s">
        <v>291</v>
      </c>
      <c r="V256" s="33" t="s">
        <v>291</v>
      </c>
      <c r="W256" s="33" t="s">
        <v>291</v>
      </c>
      <c r="X256" s="33" t="s">
        <v>291</v>
      </c>
      <c r="Y256" s="33" t="s">
        <v>291</v>
      </c>
      <c r="Z256" s="33" t="s">
        <v>291</v>
      </c>
      <c r="AA256" s="33" t="s">
        <v>291</v>
      </c>
      <c r="AB256" s="148" t="s">
        <v>75</v>
      </c>
      <c r="AC256" s="33" t="s">
        <v>75</v>
      </c>
      <c r="AD256" s="6"/>
      <c r="AE256" s="6"/>
      <c r="AF256" s="35"/>
      <c r="AG256" s="6"/>
      <c r="AH256" s="6"/>
      <c r="AI256" s="35"/>
      <c r="AJ256" s="35"/>
      <c r="AK256" s="35"/>
      <c r="AL256" s="35"/>
      <c r="AM256" s="6">
        <v>509</v>
      </c>
      <c r="AN256" s="6"/>
      <c r="AO256" s="35">
        <f t="shared" si="96"/>
        <v>273</v>
      </c>
      <c r="AP256" s="6">
        <v>763</v>
      </c>
      <c r="AQ256" s="6"/>
      <c r="AR256" s="34">
        <f t="shared" si="73"/>
        <v>254</v>
      </c>
      <c r="AS256" s="35">
        <v>1018</v>
      </c>
      <c r="AT256" s="35"/>
      <c r="AU256" s="35">
        <f t="shared" si="74"/>
        <v>255</v>
      </c>
      <c r="AV256" s="6">
        <v>106</v>
      </c>
      <c r="AW256" s="6">
        <v>1170</v>
      </c>
      <c r="AX256" s="35">
        <f t="shared" si="75"/>
        <v>258</v>
      </c>
      <c r="AY256" s="6">
        <v>353</v>
      </c>
      <c r="AZ256" s="6"/>
      <c r="BA256" s="35">
        <f t="shared" si="76"/>
        <v>247</v>
      </c>
      <c r="BB256" s="35">
        <v>577</v>
      </c>
      <c r="BC256" s="35"/>
      <c r="BD256" s="35">
        <f t="shared" si="77"/>
        <v>224</v>
      </c>
      <c r="BE256" s="35"/>
      <c r="BF256" s="6"/>
      <c r="BG256" s="35"/>
      <c r="BH256" s="6">
        <v>837</v>
      </c>
      <c r="BI256" s="6"/>
      <c r="BJ256" s="35">
        <f t="shared" si="78"/>
        <v>260</v>
      </c>
      <c r="BK256" s="6">
        <v>1073</v>
      </c>
      <c r="BL256" s="6"/>
      <c r="BM256" s="6">
        <f t="shared" si="79"/>
        <v>236</v>
      </c>
      <c r="BN256" s="35">
        <v>231</v>
      </c>
      <c r="BO256" s="35">
        <v>1100</v>
      </c>
      <c r="BP256" s="6">
        <f t="shared" si="80"/>
        <v>258</v>
      </c>
      <c r="BQ256" s="35">
        <v>0</v>
      </c>
      <c r="BR256" s="35">
        <v>356</v>
      </c>
      <c r="BS256" s="35">
        <f t="shared" si="81"/>
        <v>125</v>
      </c>
      <c r="BT256" s="35">
        <v>235</v>
      </c>
      <c r="BU256" s="35"/>
      <c r="BV256" s="6">
        <f t="shared" si="82"/>
        <v>235</v>
      </c>
      <c r="BW256" s="35">
        <v>479</v>
      </c>
      <c r="BX256" s="6"/>
      <c r="BY256" s="35">
        <f t="shared" si="83"/>
        <v>244</v>
      </c>
      <c r="BZ256" s="6"/>
      <c r="CA256" s="6"/>
      <c r="CB256" s="6"/>
      <c r="CC256" s="6">
        <v>97</v>
      </c>
      <c r="CD256" s="6">
        <v>635</v>
      </c>
      <c r="CE256" s="6">
        <f t="shared" si="84"/>
        <v>253</v>
      </c>
      <c r="CF256" s="6">
        <v>354</v>
      </c>
      <c r="CG256" s="6"/>
      <c r="CH256" s="6">
        <f t="shared" si="85"/>
        <v>257</v>
      </c>
      <c r="CI256" s="6">
        <v>615</v>
      </c>
      <c r="CJ256" s="6"/>
      <c r="CK256" s="6">
        <f t="shared" si="86"/>
        <v>261</v>
      </c>
      <c r="CL256" s="6">
        <v>874</v>
      </c>
      <c r="CM256" s="6"/>
      <c r="CN256" s="6">
        <f t="shared" si="87"/>
        <v>259</v>
      </c>
      <c r="CO256" s="6">
        <v>2</v>
      </c>
      <c r="CP256" s="6">
        <v>1100</v>
      </c>
      <c r="CQ256" s="6">
        <f t="shared" si="88"/>
        <v>228</v>
      </c>
      <c r="CR256" s="6">
        <v>242</v>
      </c>
      <c r="CS256" s="6"/>
      <c r="CT256" s="6">
        <f t="shared" si="89"/>
        <v>240</v>
      </c>
      <c r="CU256" s="6"/>
      <c r="CV256" s="6"/>
      <c r="CW256" s="6"/>
      <c r="CX256" s="6">
        <v>504</v>
      </c>
      <c r="CY256" s="6"/>
      <c r="CZ256" s="6">
        <f t="shared" si="90"/>
        <v>262</v>
      </c>
      <c r="DA256" s="6">
        <v>763</v>
      </c>
      <c r="DB256" s="6"/>
      <c r="DC256" s="6">
        <f t="shared" si="91"/>
        <v>259</v>
      </c>
      <c r="DD256" s="6">
        <v>1008</v>
      </c>
      <c r="DE256" s="6"/>
      <c r="DF256" s="6">
        <f t="shared" si="92"/>
        <v>245</v>
      </c>
      <c r="DG256" s="6">
        <v>0</v>
      </c>
      <c r="DH256" s="10">
        <v>1213</v>
      </c>
      <c r="DI256" s="6">
        <f t="shared" si="93"/>
        <v>205</v>
      </c>
      <c r="DJ256" s="6">
        <v>244</v>
      </c>
      <c r="DK256" s="10"/>
      <c r="DL256" s="6">
        <f t="shared" si="94"/>
        <v>244</v>
      </c>
      <c r="DM256" s="6">
        <v>478</v>
      </c>
      <c r="DN256" s="10"/>
      <c r="DO256" s="6">
        <f t="shared" si="95"/>
        <v>234</v>
      </c>
    </row>
    <row r="257" spans="1:119">
      <c r="A257" s="6">
        <v>253</v>
      </c>
      <c r="B257" s="6"/>
      <c r="C257" s="10"/>
      <c r="D257" s="6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6"/>
      <c r="AE257" s="6"/>
      <c r="AF257" s="35"/>
      <c r="AG257" s="6"/>
      <c r="AH257" s="6"/>
      <c r="AI257" s="35"/>
      <c r="AJ257" s="35"/>
      <c r="AK257" s="35"/>
      <c r="AL257" s="35"/>
      <c r="AM257" s="6"/>
      <c r="AN257" s="6"/>
      <c r="AO257" s="35"/>
      <c r="AP257" s="6"/>
      <c r="AQ257" s="6"/>
      <c r="AR257" s="34"/>
      <c r="AS257" s="35"/>
      <c r="AT257" s="35"/>
      <c r="AU257" s="35"/>
      <c r="AV257" s="6"/>
      <c r="AW257" s="6"/>
      <c r="AX257" s="35"/>
      <c r="AY257" s="6"/>
      <c r="AZ257" s="6"/>
      <c r="BA257" s="35"/>
      <c r="BB257" s="35"/>
      <c r="BC257" s="35"/>
      <c r="BD257" s="35"/>
      <c r="BE257" s="269"/>
      <c r="BF257" s="6"/>
      <c r="BG257" s="35"/>
      <c r="BH257" s="6"/>
      <c r="BI257" s="6"/>
      <c r="BJ257" s="35"/>
      <c r="BK257" s="6"/>
      <c r="BL257" s="6"/>
      <c r="BM257" s="6"/>
      <c r="BN257" s="35"/>
      <c r="BO257" s="35"/>
      <c r="BP257" s="6"/>
      <c r="BQ257" s="35"/>
      <c r="BR257" s="35"/>
      <c r="BS257" s="35"/>
      <c r="BT257" s="35"/>
      <c r="BU257" s="35"/>
      <c r="BV257" s="6"/>
      <c r="BW257" s="6"/>
      <c r="BX257" s="6"/>
      <c r="BY257" s="35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10"/>
      <c r="DI257" s="6"/>
      <c r="DJ257" s="6"/>
      <c r="DK257" s="10"/>
      <c r="DL257" s="6"/>
      <c r="DM257" s="6"/>
      <c r="DN257" s="10"/>
      <c r="DO257" s="6"/>
    </row>
    <row r="258" spans="1:119">
      <c r="A258" s="6">
        <v>254</v>
      </c>
      <c r="B258" s="6"/>
      <c r="C258" s="10"/>
      <c r="D258" s="6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6"/>
      <c r="AE258" s="6"/>
      <c r="AF258" s="35"/>
      <c r="AG258" s="6"/>
      <c r="AH258" s="6"/>
      <c r="AI258" s="35"/>
      <c r="AJ258" s="35"/>
      <c r="AK258" s="35"/>
      <c r="AL258" s="35"/>
      <c r="AM258" s="6"/>
      <c r="AN258" s="6"/>
      <c r="AO258" s="35"/>
      <c r="AP258" s="6"/>
      <c r="AQ258" s="6"/>
      <c r="AR258" s="34"/>
      <c r="AS258" s="35"/>
      <c r="AT258" s="35"/>
      <c r="AU258" s="35"/>
      <c r="AV258" s="6"/>
      <c r="AW258" s="6"/>
      <c r="AX258" s="35"/>
      <c r="AY258" s="6"/>
      <c r="AZ258" s="6"/>
      <c r="BA258" s="35"/>
      <c r="BB258" s="35"/>
      <c r="BC258" s="35"/>
      <c r="BD258" s="35"/>
      <c r="BE258" s="35"/>
      <c r="BF258" s="6"/>
      <c r="BG258" s="35"/>
      <c r="BH258" s="6"/>
      <c r="BI258" s="6"/>
      <c r="BJ258" s="35"/>
      <c r="BK258" s="6"/>
      <c r="BL258" s="6"/>
      <c r="BM258" s="6"/>
      <c r="BN258" s="35"/>
      <c r="BO258" s="35"/>
      <c r="BP258" s="6"/>
      <c r="BQ258" s="35"/>
      <c r="BR258" s="35"/>
      <c r="BS258" s="35"/>
      <c r="BT258" s="35"/>
      <c r="BU258" s="35"/>
      <c r="BV258" s="6"/>
      <c r="BW258" s="6"/>
      <c r="BX258" s="6"/>
      <c r="BY258" s="35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10"/>
      <c r="DI258" s="6"/>
      <c r="DJ258" s="6"/>
      <c r="DK258" s="10"/>
      <c r="DL258" s="6"/>
      <c r="DM258" s="6"/>
      <c r="DN258" s="10"/>
      <c r="DO258" s="6"/>
    </row>
    <row r="259" spans="1:119">
      <c r="A259" s="6">
        <v>255</v>
      </c>
      <c r="B259" s="6"/>
      <c r="C259" s="10"/>
      <c r="D259" s="6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6"/>
      <c r="AE259" s="6"/>
      <c r="AF259" s="35"/>
      <c r="AG259" s="6"/>
      <c r="AH259" s="6"/>
      <c r="AI259" s="35"/>
      <c r="AJ259" s="35"/>
      <c r="AK259" s="35"/>
      <c r="AL259" s="35"/>
      <c r="AM259" s="6"/>
      <c r="AN259" s="6"/>
      <c r="AO259" s="35"/>
      <c r="AP259" s="6"/>
      <c r="AQ259" s="6"/>
      <c r="AR259" s="34"/>
      <c r="AS259" s="35"/>
      <c r="AT259" s="35"/>
      <c r="AU259" s="35"/>
      <c r="AV259" s="6"/>
      <c r="AW259" s="6"/>
      <c r="AX259" s="35"/>
      <c r="AY259" s="6"/>
      <c r="AZ259" s="6"/>
      <c r="BA259" s="35"/>
      <c r="BB259" s="35"/>
      <c r="BC259" s="35"/>
      <c r="BD259" s="35"/>
      <c r="BE259" s="35"/>
      <c r="BF259" s="6"/>
      <c r="BG259" s="35"/>
      <c r="BH259" s="6"/>
      <c r="BI259" s="6"/>
      <c r="BJ259" s="35"/>
      <c r="BK259" s="6"/>
      <c r="BL259" s="6"/>
      <c r="BM259" s="6"/>
      <c r="BN259" s="35"/>
      <c r="BO259" s="35"/>
      <c r="BP259" s="6"/>
      <c r="BQ259" s="35"/>
      <c r="BR259" s="35"/>
      <c r="BS259" s="35"/>
      <c r="BT259" s="35"/>
      <c r="BU259" s="35"/>
      <c r="BV259" s="6"/>
      <c r="BW259" s="6"/>
      <c r="BX259" s="6"/>
      <c r="BY259" s="35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10"/>
      <c r="DI259" s="6"/>
      <c r="DJ259" s="6"/>
      <c r="DK259" s="10"/>
      <c r="DL259" s="6"/>
      <c r="DM259" s="6"/>
      <c r="DN259" s="10"/>
      <c r="DO259" s="6"/>
    </row>
    <row r="260" spans="1:119">
      <c r="A260" s="6">
        <v>256</v>
      </c>
      <c r="B260" s="6"/>
      <c r="C260" s="10"/>
      <c r="D260" s="6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6"/>
      <c r="AE260" s="6"/>
      <c r="AF260" s="35"/>
      <c r="AG260" s="6"/>
      <c r="AH260" s="6"/>
      <c r="AI260" s="35"/>
      <c r="AJ260" s="35"/>
      <c r="AK260" s="35"/>
      <c r="AL260" s="35"/>
      <c r="AM260" s="6"/>
      <c r="AN260" s="6"/>
      <c r="AO260" s="35"/>
      <c r="AP260" s="6"/>
      <c r="AQ260" s="6"/>
      <c r="AR260" s="34"/>
      <c r="AS260" s="35"/>
      <c r="AT260" s="35"/>
      <c r="AU260" s="35"/>
      <c r="AV260" s="6"/>
      <c r="AW260" s="6"/>
      <c r="AX260" s="35"/>
      <c r="AY260" s="6"/>
      <c r="AZ260" s="6"/>
      <c r="BA260" s="35"/>
      <c r="BB260" s="35"/>
      <c r="BC260" s="35"/>
      <c r="BD260" s="35"/>
      <c r="BE260" s="35"/>
      <c r="BF260" s="6"/>
      <c r="BG260" s="35"/>
      <c r="BH260" s="6"/>
      <c r="BI260" s="6"/>
      <c r="BJ260" s="35"/>
      <c r="BK260" s="6"/>
      <c r="BL260" s="6"/>
      <c r="BM260" s="6"/>
      <c r="BN260" s="35"/>
      <c r="BO260" s="35"/>
      <c r="BP260" s="6"/>
      <c r="BQ260" s="35"/>
      <c r="BR260" s="35"/>
      <c r="BS260" s="35"/>
      <c r="BT260" s="35"/>
      <c r="BU260" s="35"/>
      <c r="BV260" s="6"/>
      <c r="BW260" s="6"/>
      <c r="BX260" s="6"/>
      <c r="BY260" s="35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10"/>
      <c r="DI260" s="6"/>
      <c r="DJ260" s="6"/>
      <c r="DK260" s="10"/>
      <c r="DL260" s="6"/>
      <c r="DM260" s="6"/>
      <c r="DN260" s="10"/>
      <c r="DO260" s="6"/>
    </row>
    <row r="261" spans="1:119">
      <c r="A261" s="6">
        <v>257</v>
      </c>
      <c r="B261" s="6"/>
      <c r="C261" s="10"/>
      <c r="D261" s="6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6"/>
      <c r="AE261" s="6"/>
      <c r="AF261" s="35"/>
      <c r="AG261" s="6"/>
      <c r="AH261" s="6"/>
      <c r="AI261" s="35"/>
      <c r="AJ261" s="35"/>
      <c r="AK261" s="35"/>
      <c r="AL261" s="35"/>
      <c r="AM261" s="6"/>
      <c r="AN261" s="6"/>
      <c r="AO261" s="35"/>
      <c r="AP261" s="6"/>
      <c r="AQ261" s="6"/>
      <c r="AR261" s="34"/>
      <c r="AS261" s="35"/>
      <c r="AT261" s="35"/>
      <c r="AU261" s="35"/>
      <c r="AV261" s="6"/>
      <c r="AW261" s="6"/>
      <c r="AX261" s="35"/>
      <c r="AY261" s="6"/>
      <c r="AZ261" s="6"/>
      <c r="BA261" s="35"/>
      <c r="BB261" s="35"/>
      <c r="BC261" s="35"/>
      <c r="BD261" s="35"/>
      <c r="BE261" s="35"/>
      <c r="BF261" s="6"/>
      <c r="BG261" s="35"/>
      <c r="BH261" s="6"/>
      <c r="BI261" s="6"/>
      <c r="BJ261" s="35"/>
      <c r="BK261" s="6"/>
      <c r="BL261" s="6"/>
      <c r="BM261" s="6"/>
      <c r="BN261" s="35"/>
      <c r="BO261" s="35"/>
      <c r="BP261" s="6"/>
      <c r="BQ261" s="35"/>
      <c r="BR261" s="35"/>
      <c r="BS261" s="35"/>
      <c r="BT261" s="35"/>
      <c r="BU261" s="35"/>
      <c r="BV261" s="6"/>
      <c r="BW261" s="6"/>
      <c r="BX261" s="6"/>
      <c r="BY261" s="35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10"/>
      <c r="DI261" s="6"/>
      <c r="DJ261" s="6"/>
      <c r="DK261" s="10"/>
      <c r="DL261" s="6"/>
      <c r="DM261" s="6"/>
      <c r="DN261" s="10"/>
      <c r="DO261" s="6"/>
    </row>
    <row r="262" spans="1:119">
      <c r="A262" s="6">
        <v>258</v>
      </c>
      <c r="B262" s="6"/>
      <c r="C262" s="10"/>
      <c r="D262" s="6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6"/>
      <c r="AE262" s="6"/>
      <c r="AF262" s="35"/>
      <c r="AG262" s="6"/>
      <c r="AH262" s="6"/>
      <c r="AI262" s="35"/>
      <c r="AJ262" s="35"/>
      <c r="AK262" s="35"/>
      <c r="AL262" s="35"/>
      <c r="AM262" s="6"/>
      <c r="AN262" s="6"/>
      <c r="AO262" s="35"/>
      <c r="AP262" s="6"/>
      <c r="AQ262" s="6"/>
      <c r="AR262" s="34"/>
      <c r="AS262" s="35"/>
      <c r="AT262" s="35"/>
      <c r="AU262" s="35"/>
      <c r="AV262" s="6"/>
      <c r="AW262" s="6"/>
      <c r="AX262" s="35"/>
      <c r="AY262" s="6"/>
      <c r="AZ262" s="6"/>
      <c r="BA262" s="35"/>
      <c r="BB262" s="35"/>
      <c r="BC262" s="35"/>
      <c r="BD262" s="35"/>
      <c r="BE262" s="35"/>
      <c r="BF262" s="6"/>
      <c r="BG262" s="35"/>
      <c r="BH262" s="6"/>
      <c r="BI262" s="6"/>
      <c r="BJ262" s="35"/>
      <c r="BK262" s="6"/>
      <c r="BL262" s="6"/>
      <c r="BM262" s="6"/>
      <c r="BN262" s="35"/>
      <c r="BO262" s="35"/>
      <c r="BP262" s="6"/>
      <c r="BQ262" s="35"/>
      <c r="BR262" s="35"/>
      <c r="BS262" s="35"/>
      <c r="BT262" s="35"/>
      <c r="BU262" s="35"/>
      <c r="BV262" s="6"/>
      <c r="BW262" s="6"/>
      <c r="BX262" s="6"/>
      <c r="BY262" s="35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10"/>
      <c r="DI262" s="6"/>
      <c r="DJ262" s="6"/>
      <c r="DK262" s="10"/>
      <c r="DL262" s="6"/>
      <c r="DM262" s="6"/>
      <c r="DN262" s="10"/>
      <c r="DO262" s="6"/>
    </row>
    <row r="263" spans="1:119" ht="14.25" customHeight="1">
      <c r="A263" s="6">
        <v>259</v>
      </c>
      <c r="B263" s="6"/>
      <c r="C263" s="10"/>
      <c r="D263" s="6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6"/>
      <c r="AE263" s="6"/>
      <c r="AF263" s="35"/>
      <c r="AG263" s="6"/>
      <c r="AH263" s="6"/>
      <c r="AI263" s="35"/>
      <c r="AJ263" s="35"/>
      <c r="AK263" s="35"/>
      <c r="AL263" s="35"/>
      <c r="AM263" s="6"/>
      <c r="AN263" s="6"/>
      <c r="AO263" s="35"/>
      <c r="AP263" s="6"/>
      <c r="AQ263" s="6"/>
      <c r="AR263" s="34"/>
      <c r="AS263" s="35"/>
      <c r="AT263" s="35"/>
      <c r="AU263" s="35"/>
      <c r="AV263" s="6"/>
      <c r="AW263" s="6"/>
      <c r="AX263" s="35"/>
      <c r="AY263" s="6"/>
      <c r="AZ263" s="6"/>
      <c r="BA263" s="35"/>
      <c r="BB263" s="35"/>
      <c r="BC263" s="35"/>
      <c r="BD263" s="35"/>
      <c r="BE263" s="35"/>
      <c r="BF263" s="6"/>
      <c r="BG263" s="35"/>
      <c r="BH263" s="6"/>
      <c r="BI263" s="6"/>
      <c r="BJ263" s="35"/>
      <c r="BK263" s="6"/>
      <c r="BL263" s="6"/>
      <c r="BM263" s="6"/>
      <c r="BN263" s="35"/>
      <c r="BO263" s="35"/>
      <c r="BP263" s="6"/>
      <c r="BQ263" s="35"/>
      <c r="BR263" s="35"/>
      <c r="BS263" s="35"/>
      <c r="BT263" s="35"/>
      <c r="BU263" s="35"/>
      <c r="BV263" s="6"/>
      <c r="BW263" s="6"/>
      <c r="BX263" s="6"/>
      <c r="BY263" s="35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10"/>
      <c r="DI263" s="6"/>
      <c r="DJ263" s="6"/>
      <c r="DK263" s="10"/>
      <c r="DL263" s="6"/>
      <c r="DM263" s="6"/>
      <c r="DN263" s="10"/>
      <c r="DO263" s="6"/>
    </row>
    <row r="264" spans="1:119">
      <c r="A264" s="6">
        <v>260</v>
      </c>
      <c r="B264" s="6"/>
      <c r="C264" s="10"/>
      <c r="D264" s="6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6"/>
      <c r="AE264" s="6"/>
      <c r="AF264" s="35"/>
      <c r="AG264" s="6"/>
      <c r="AH264" s="6"/>
      <c r="AI264" s="35"/>
      <c r="AJ264" s="35"/>
      <c r="AK264" s="35"/>
      <c r="AL264" s="35"/>
      <c r="AM264" s="6"/>
      <c r="AN264" s="6"/>
      <c r="AO264" s="35"/>
      <c r="AP264" s="6"/>
      <c r="AQ264" s="6"/>
      <c r="AR264" s="34"/>
      <c r="AS264" s="35"/>
      <c r="AT264" s="35"/>
      <c r="AU264" s="35"/>
      <c r="AV264" s="6"/>
      <c r="AW264" s="6"/>
      <c r="AX264" s="35"/>
      <c r="AY264" s="6"/>
      <c r="AZ264" s="6"/>
      <c r="BA264" s="35"/>
      <c r="BB264" s="35"/>
      <c r="BC264" s="35"/>
      <c r="BD264" s="35"/>
      <c r="BE264" s="35"/>
      <c r="BF264" s="6"/>
      <c r="BG264" s="35"/>
      <c r="BH264" s="6"/>
      <c r="BI264" s="6"/>
      <c r="BJ264" s="35"/>
      <c r="BK264" s="6"/>
      <c r="BL264" s="6"/>
      <c r="BM264" s="6"/>
      <c r="BN264" s="35"/>
      <c r="BO264" s="35"/>
      <c r="BP264" s="6"/>
      <c r="BQ264" s="35"/>
      <c r="BR264" s="35"/>
      <c r="BS264" s="35"/>
      <c r="BT264" s="35"/>
      <c r="BU264" s="35"/>
      <c r="BV264" s="6"/>
      <c r="BW264" s="6"/>
      <c r="BX264" s="6"/>
      <c r="BY264" s="35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10"/>
      <c r="DI264" s="6"/>
      <c r="DJ264" s="6"/>
      <c r="DK264" s="10"/>
      <c r="DL264" s="6"/>
      <c r="DM264" s="6"/>
      <c r="DN264" s="10"/>
      <c r="DO264" s="6"/>
    </row>
    <row r="265" spans="1:119">
      <c r="A265" s="6">
        <v>261</v>
      </c>
      <c r="B265" s="6"/>
      <c r="C265" s="10"/>
      <c r="D265" s="6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63" t="s">
        <v>248</v>
      </c>
      <c r="W265" s="141" t="s">
        <v>248</v>
      </c>
      <c r="X265" s="141" t="s">
        <v>248</v>
      </c>
      <c r="Y265" s="141" t="s">
        <v>248</v>
      </c>
      <c r="Z265" s="141" t="s">
        <v>248</v>
      </c>
      <c r="AA265" s="141" t="s">
        <v>248</v>
      </c>
      <c r="AB265" s="141" t="s">
        <v>248</v>
      </c>
      <c r="AC265" s="141" t="s">
        <v>248</v>
      </c>
      <c r="AD265" s="6"/>
      <c r="AE265" s="6"/>
      <c r="AF265" s="35"/>
      <c r="AG265" s="6"/>
      <c r="AH265" s="6"/>
      <c r="AI265" s="35"/>
      <c r="AJ265" s="35"/>
      <c r="AK265" s="35"/>
      <c r="AL265" s="35"/>
      <c r="AM265" s="6"/>
      <c r="AN265" s="6"/>
      <c r="AO265" s="35"/>
      <c r="AP265" s="6"/>
      <c r="AQ265" s="6"/>
      <c r="AR265" s="34"/>
      <c r="AS265" s="35"/>
      <c r="AT265" s="35"/>
      <c r="AU265" s="35"/>
      <c r="AV265" s="6"/>
      <c r="AW265" s="6"/>
      <c r="AX265" s="35"/>
      <c r="AY265" s="6"/>
      <c r="AZ265" s="6"/>
      <c r="BA265" s="35"/>
      <c r="BB265" s="35"/>
      <c r="BC265" s="35"/>
      <c r="BD265" s="35"/>
      <c r="BE265" s="35"/>
      <c r="BF265" s="6"/>
      <c r="BG265" s="35"/>
      <c r="BH265" s="6"/>
      <c r="BI265" s="6"/>
      <c r="BJ265" s="35"/>
      <c r="BK265" s="6"/>
      <c r="BL265" s="6"/>
      <c r="BM265" s="6"/>
      <c r="BN265" s="35"/>
      <c r="BO265" s="35"/>
      <c r="BP265" s="6"/>
      <c r="BQ265" s="35"/>
      <c r="BR265" s="35"/>
      <c r="BS265" s="35"/>
      <c r="BT265" s="35"/>
      <c r="BU265" s="35"/>
      <c r="BV265" s="6"/>
      <c r="BW265" s="6"/>
      <c r="BX265" s="6"/>
      <c r="BY265" s="35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>
        <v>400</v>
      </c>
      <c r="CS265" s="6"/>
      <c r="CT265" s="6">
        <f t="shared" ref="CT265:CT305" si="97">CS265+CR265-CO265</f>
        <v>400</v>
      </c>
      <c r="CU265" s="6"/>
      <c r="CV265" s="6"/>
      <c r="CW265" s="6"/>
      <c r="CX265" s="6">
        <v>179</v>
      </c>
      <c r="CY265" s="6">
        <v>800</v>
      </c>
      <c r="CZ265" s="6">
        <f t="shared" ref="CZ265:CZ305" si="98">CY265+CX265-CR265</f>
        <v>579</v>
      </c>
      <c r="DA265" s="6">
        <v>617</v>
      </c>
      <c r="DB265" s="6"/>
      <c r="DC265" s="6">
        <f t="shared" ref="DC265:DC305" si="99">DB265+DA265-CX265</f>
        <v>438</v>
      </c>
      <c r="DD265" s="6">
        <v>0</v>
      </c>
      <c r="DE265" s="6">
        <v>800</v>
      </c>
      <c r="DF265" s="6">
        <f t="shared" ref="DF265:DF305" si="100">DE265+DD265-DA265</f>
        <v>183</v>
      </c>
      <c r="DG265" s="6">
        <v>0</v>
      </c>
      <c r="DH265" s="10"/>
      <c r="DI265" s="6">
        <f t="shared" ref="DI265:DI305" si="101">DH265+DG265-DD265</f>
        <v>0</v>
      </c>
      <c r="DJ265" s="6">
        <v>0</v>
      </c>
      <c r="DK265" s="10"/>
      <c r="DL265" s="6">
        <f t="shared" ref="DL265:DL305" si="102">DK265+DJ265-DG265</f>
        <v>0</v>
      </c>
      <c r="DM265" s="6">
        <v>0</v>
      </c>
      <c r="DN265" s="10"/>
      <c r="DO265" s="6">
        <f t="shared" ref="DO265:DO305" si="103">DN265+DM265-DJ265</f>
        <v>0</v>
      </c>
    </row>
    <row r="266" spans="1:119">
      <c r="A266" s="6">
        <v>262</v>
      </c>
      <c r="B266" s="6"/>
      <c r="C266" s="10"/>
      <c r="D266" s="6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63" t="s">
        <v>248</v>
      </c>
      <c r="W266" s="141" t="s">
        <v>248</v>
      </c>
      <c r="X266" s="141" t="s">
        <v>248</v>
      </c>
      <c r="Y266" s="141" t="s">
        <v>248</v>
      </c>
      <c r="Z266" s="141" t="s">
        <v>248</v>
      </c>
      <c r="AA266" s="141" t="s">
        <v>248</v>
      </c>
      <c r="AB266" s="141" t="s">
        <v>248</v>
      </c>
      <c r="AC266" s="141" t="s">
        <v>248</v>
      </c>
      <c r="AD266" s="6"/>
      <c r="AE266" s="6"/>
      <c r="AF266" s="35"/>
      <c r="AG266" s="6"/>
      <c r="AH266" s="6"/>
      <c r="AI266" s="35"/>
      <c r="AJ266" s="35"/>
      <c r="AK266" s="35"/>
      <c r="AL266" s="35"/>
      <c r="AM266" s="6"/>
      <c r="AN266" s="6"/>
      <c r="AO266" s="35"/>
      <c r="AP266" s="6"/>
      <c r="AQ266" s="6"/>
      <c r="AR266" s="34"/>
      <c r="AS266" s="35"/>
      <c r="AT266" s="35"/>
      <c r="AU266" s="35"/>
      <c r="AV266" s="6"/>
      <c r="AW266" s="6"/>
      <c r="AX266" s="35"/>
      <c r="AY266" s="6"/>
      <c r="AZ266" s="6"/>
      <c r="BA266" s="35"/>
      <c r="BB266" s="35"/>
      <c r="BC266" s="35"/>
      <c r="BD266" s="35"/>
      <c r="BE266" s="35"/>
      <c r="BF266" s="6"/>
      <c r="BG266" s="35"/>
      <c r="BH266" s="6"/>
      <c r="BI266" s="6"/>
      <c r="BJ266" s="35"/>
      <c r="BK266" s="6"/>
      <c r="BL266" s="6"/>
      <c r="BM266" s="6"/>
      <c r="BN266" s="35"/>
      <c r="BO266" s="35"/>
      <c r="BP266" s="6"/>
      <c r="BQ266" s="35"/>
      <c r="BR266" s="35"/>
      <c r="BS266" s="35"/>
      <c r="BT266" s="35"/>
      <c r="BU266" s="35"/>
      <c r="BV266" s="6"/>
      <c r="BW266" s="6"/>
      <c r="BX266" s="6"/>
      <c r="BY266" s="35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>
        <f t="shared" ref="CQ266:CQ305" si="104">CP266+CO266-CL266</f>
        <v>0</v>
      </c>
      <c r="CR266" s="6">
        <v>417</v>
      </c>
      <c r="CS266" s="6"/>
      <c r="CT266" s="6">
        <f t="shared" si="97"/>
        <v>417</v>
      </c>
      <c r="CU266" s="6"/>
      <c r="CV266" s="6"/>
      <c r="CW266" s="6"/>
      <c r="CX266" s="6">
        <v>193</v>
      </c>
      <c r="CY266" s="6">
        <v>800</v>
      </c>
      <c r="CZ266" s="6">
        <f t="shared" si="98"/>
        <v>576</v>
      </c>
      <c r="DA266" s="6">
        <v>183</v>
      </c>
      <c r="DB266" s="6">
        <v>560</v>
      </c>
      <c r="DC266" s="6">
        <f t="shared" si="99"/>
        <v>550</v>
      </c>
      <c r="DD266" s="6">
        <v>717</v>
      </c>
      <c r="DE266" s="6"/>
      <c r="DF266" s="6">
        <f t="shared" si="100"/>
        <v>534</v>
      </c>
      <c r="DG266" s="6">
        <v>0</v>
      </c>
      <c r="DH266" s="10">
        <v>800</v>
      </c>
      <c r="DI266" s="6">
        <f t="shared" si="101"/>
        <v>83</v>
      </c>
      <c r="DJ266" s="6">
        <v>0</v>
      </c>
      <c r="DK266" s="10"/>
      <c r="DL266" s="6">
        <f t="shared" si="102"/>
        <v>0</v>
      </c>
      <c r="DM266" s="6">
        <v>0</v>
      </c>
      <c r="DN266" s="10"/>
      <c r="DO266" s="6">
        <f t="shared" si="103"/>
        <v>0</v>
      </c>
    </row>
    <row r="267" spans="1:119">
      <c r="A267" s="6">
        <v>263</v>
      </c>
      <c r="B267" s="6"/>
      <c r="C267" s="10"/>
      <c r="D267" s="6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63" t="s">
        <v>248</v>
      </c>
      <c r="W267" s="141" t="s">
        <v>248</v>
      </c>
      <c r="X267" s="141" t="s">
        <v>248</v>
      </c>
      <c r="Y267" s="141" t="s">
        <v>248</v>
      </c>
      <c r="Z267" s="141" t="s">
        <v>248</v>
      </c>
      <c r="AA267" s="141" t="s">
        <v>248</v>
      </c>
      <c r="AB267" s="141" t="s">
        <v>248</v>
      </c>
      <c r="AC267" s="141" t="s">
        <v>248</v>
      </c>
      <c r="AD267" s="6"/>
      <c r="AE267" s="6"/>
      <c r="AF267" s="35"/>
      <c r="AG267" s="6"/>
      <c r="AH267" s="6"/>
      <c r="AI267" s="35"/>
      <c r="AJ267" s="35"/>
      <c r="AK267" s="35"/>
      <c r="AL267" s="35"/>
      <c r="AM267" s="6"/>
      <c r="AN267" s="6"/>
      <c r="AO267" s="35"/>
      <c r="AP267" s="6"/>
      <c r="AQ267" s="6"/>
      <c r="AR267" s="34"/>
      <c r="AS267" s="35"/>
      <c r="AT267" s="35"/>
      <c r="AU267" s="35"/>
      <c r="AV267" s="6"/>
      <c r="AW267" s="6"/>
      <c r="AX267" s="35"/>
      <c r="AY267" s="6"/>
      <c r="AZ267" s="6"/>
      <c r="BA267" s="35"/>
      <c r="BB267" s="35"/>
      <c r="BC267" s="35"/>
      <c r="BD267" s="35"/>
      <c r="BE267" s="35"/>
      <c r="BF267" s="6"/>
      <c r="BG267" s="35"/>
      <c r="BH267" s="6"/>
      <c r="BI267" s="6"/>
      <c r="BJ267" s="35"/>
      <c r="BK267" s="6"/>
      <c r="BL267" s="6"/>
      <c r="BM267" s="6"/>
      <c r="BN267" s="35"/>
      <c r="BO267" s="35"/>
      <c r="BP267" s="6"/>
      <c r="BQ267" s="35"/>
      <c r="BR267" s="35"/>
      <c r="BS267" s="35"/>
      <c r="BT267" s="35"/>
      <c r="BU267" s="35"/>
      <c r="BV267" s="6"/>
      <c r="BW267" s="6"/>
      <c r="BX267" s="6"/>
      <c r="BY267" s="35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>
        <f t="shared" si="104"/>
        <v>0</v>
      </c>
      <c r="CR267" s="6">
        <v>529</v>
      </c>
      <c r="CS267" s="6"/>
      <c r="CT267" s="6">
        <f t="shared" si="97"/>
        <v>529</v>
      </c>
      <c r="CU267" s="6"/>
      <c r="CV267" s="6"/>
      <c r="CW267" s="6"/>
      <c r="CX267" s="6">
        <v>289</v>
      </c>
      <c r="CY267" s="6">
        <v>800</v>
      </c>
      <c r="CZ267" s="6">
        <f t="shared" si="98"/>
        <v>560</v>
      </c>
      <c r="DA267" s="6">
        <v>830</v>
      </c>
      <c r="DB267" s="6"/>
      <c r="DC267" s="6">
        <f t="shared" si="99"/>
        <v>541</v>
      </c>
      <c r="DD267" s="6">
        <v>501</v>
      </c>
      <c r="DE267" s="6">
        <v>848</v>
      </c>
      <c r="DF267" s="6">
        <f t="shared" si="100"/>
        <v>519</v>
      </c>
      <c r="DG267" s="6">
        <v>0</v>
      </c>
      <c r="DH267" s="10">
        <v>667</v>
      </c>
      <c r="DI267" s="6">
        <f t="shared" si="101"/>
        <v>166</v>
      </c>
      <c r="DJ267" s="6">
        <v>0</v>
      </c>
      <c r="DK267" s="10"/>
      <c r="DL267" s="6">
        <f t="shared" si="102"/>
        <v>0</v>
      </c>
      <c r="DM267" s="6">
        <v>0</v>
      </c>
      <c r="DN267" s="10"/>
      <c r="DO267" s="6">
        <f t="shared" si="103"/>
        <v>0</v>
      </c>
    </row>
    <row r="268" spans="1:119">
      <c r="A268" s="6">
        <v>264</v>
      </c>
      <c r="B268" s="6"/>
      <c r="C268" s="10"/>
      <c r="D268" s="6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63" t="s">
        <v>248</v>
      </c>
      <c r="W268" s="141" t="s">
        <v>248</v>
      </c>
      <c r="X268" s="141" t="s">
        <v>248</v>
      </c>
      <c r="Y268" s="141" t="s">
        <v>248</v>
      </c>
      <c r="Z268" s="141" t="s">
        <v>248</v>
      </c>
      <c r="AA268" s="141" t="s">
        <v>248</v>
      </c>
      <c r="AB268" s="141" t="s">
        <v>248</v>
      </c>
      <c r="AC268" s="141" t="s">
        <v>248</v>
      </c>
      <c r="AD268" s="6"/>
      <c r="AE268" s="6"/>
      <c r="AF268" s="35"/>
      <c r="AG268" s="6"/>
      <c r="AH268" s="6"/>
      <c r="AI268" s="35"/>
      <c r="AJ268" s="35"/>
      <c r="AK268" s="35"/>
      <c r="AL268" s="35"/>
      <c r="AM268" s="6"/>
      <c r="AN268" s="6"/>
      <c r="AO268" s="35"/>
      <c r="AP268" s="6"/>
      <c r="AQ268" s="6"/>
      <c r="AR268" s="34"/>
      <c r="AS268" s="35"/>
      <c r="AT268" s="35"/>
      <c r="AU268" s="35"/>
      <c r="AV268" s="6"/>
      <c r="AW268" s="6"/>
      <c r="AX268" s="35"/>
      <c r="AY268" s="6"/>
      <c r="AZ268" s="6"/>
      <c r="BA268" s="35"/>
      <c r="BB268" s="35"/>
      <c r="BC268" s="35"/>
      <c r="BD268" s="35"/>
      <c r="BE268" s="35"/>
      <c r="BF268" s="6"/>
      <c r="BG268" s="35"/>
      <c r="BH268" s="6"/>
      <c r="BI268" s="6"/>
      <c r="BJ268" s="35"/>
      <c r="BK268" s="6"/>
      <c r="BL268" s="6"/>
      <c r="BM268" s="6"/>
      <c r="BN268" s="35"/>
      <c r="BO268" s="35"/>
      <c r="BP268" s="6"/>
      <c r="BQ268" s="35"/>
      <c r="BR268" s="35"/>
      <c r="BS268" s="35"/>
      <c r="BT268" s="35"/>
      <c r="BU268" s="35"/>
      <c r="BV268" s="6"/>
      <c r="BW268" s="6"/>
      <c r="BX268" s="6"/>
      <c r="BY268" s="35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>
        <f t="shared" si="104"/>
        <v>0</v>
      </c>
      <c r="CR268" s="6">
        <v>540</v>
      </c>
      <c r="CS268" s="6"/>
      <c r="CT268" s="6">
        <f t="shared" si="97"/>
        <v>540</v>
      </c>
      <c r="CU268" s="6"/>
      <c r="CV268" s="6"/>
      <c r="CW268" s="6"/>
      <c r="CX268" s="6">
        <v>429</v>
      </c>
      <c r="CY268" s="6">
        <v>674</v>
      </c>
      <c r="CZ268" s="6">
        <f t="shared" si="98"/>
        <v>563</v>
      </c>
      <c r="DA268" s="6">
        <v>197</v>
      </c>
      <c r="DB268" s="6">
        <v>780</v>
      </c>
      <c r="DC268" s="6">
        <f t="shared" si="99"/>
        <v>548</v>
      </c>
      <c r="DD268" s="6">
        <v>752</v>
      </c>
      <c r="DE268" s="6"/>
      <c r="DF268" s="6">
        <f t="shared" si="100"/>
        <v>555</v>
      </c>
      <c r="DG268" s="6">
        <v>0</v>
      </c>
      <c r="DH268" s="10">
        <v>800</v>
      </c>
      <c r="DI268" s="6">
        <f t="shared" si="101"/>
        <v>48</v>
      </c>
      <c r="DJ268" s="6">
        <v>0</v>
      </c>
      <c r="DK268" s="10"/>
      <c r="DL268" s="6">
        <f t="shared" si="102"/>
        <v>0</v>
      </c>
      <c r="DM268" s="6">
        <v>0</v>
      </c>
      <c r="DN268" s="10"/>
      <c r="DO268" s="6">
        <f t="shared" si="103"/>
        <v>0</v>
      </c>
    </row>
    <row r="269" spans="1:119">
      <c r="A269" s="6">
        <v>265</v>
      </c>
      <c r="B269" s="6"/>
      <c r="C269" s="10"/>
      <c r="D269" s="6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63" t="s">
        <v>248</v>
      </c>
      <c r="V269" s="141" t="s">
        <v>248</v>
      </c>
      <c r="W269" s="141" t="s">
        <v>248</v>
      </c>
      <c r="X269" s="141" t="s">
        <v>248</v>
      </c>
      <c r="Y269" s="141" t="s">
        <v>248</v>
      </c>
      <c r="Z269" s="141" t="s">
        <v>248</v>
      </c>
      <c r="AA269" s="141" t="s">
        <v>248</v>
      </c>
      <c r="AB269" s="141" t="s">
        <v>248</v>
      </c>
      <c r="AC269" s="141" t="s">
        <v>248</v>
      </c>
      <c r="AD269" s="6"/>
      <c r="AE269" s="6"/>
      <c r="AF269" s="35"/>
      <c r="AG269" s="6"/>
      <c r="AH269" s="6"/>
      <c r="AI269" s="35"/>
      <c r="AJ269" s="35"/>
      <c r="AK269" s="35"/>
      <c r="AL269" s="35"/>
      <c r="AM269" s="6"/>
      <c r="AN269" s="6"/>
      <c r="AO269" s="35"/>
      <c r="AP269" s="6"/>
      <c r="AQ269" s="6"/>
      <c r="AR269" s="34"/>
      <c r="AS269" s="35"/>
      <c r="AT269" s="35"/>
      <c r="AU269" s="35"/>
      <c r="AV269" s="6"/>
      <c r="AW269" s="6"/>
      <c r="AX269" s="35"/>
      <c r="AY269" s="6"/>
      <c r="AZ269" s="6"/>
      <c r="BA269" s="35"/>
      <c r="BB269" s="35"/>
      <c r="BC269" s="35"/>
      <c r="BD269" s="35"/>
      <c r="BE269" s="35"/>
      <c r="BF269" s="6"/>
      <c r="BG269" s="35"/>
      <c r="BH269" s="6"/>
      <c r="BI269" s="6"/>
      <c r="BJ269" s="35"/>
      <c r="BK269" s="6"/>
      <c r="BL269" s="6"/>
      <c r="BM269" s="6"/>
      <c r="BN269" s="35"/>
      <c r="BO269" s="35"/>
      <c r="BP269" s="6"/>
      <c r="BQ269" s="35"/>
      <c r="BR269" s="35"/>
      <c r="BS269" s="35"/>
      <c r="BT269" s="35"/>
      <c r="BU269" s="35"/>
      <c r="BV269" s="6"/>
      <c r="BW269" s="6"/>
      <c r="BX269" s="6"/>
      <c r="BY269" s="35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>
        <v>0</v>
      </c>
      <c r="CM269" s="6"/>
      <c r="CN269" s="6">
        <f t="shared" ref="CN269:CN304" si="105">CM269+CL269-CI269</f>
        <v>0</v>
      </c>
      <c r="CO269" s="6"/>
      <c r="CP269" s="6"/>
      <c r="CQ269" s="6">
        <f t="shared" si="104"/>
        <v>0</v>
      </c>
      <c r="CR269" s="6">
        <v>578</v>
      </c>
      <c r="CS269" s="6"/>
      <c r="CT269" s="6">
        <f t="shared" si="97"/>
        <v>578</v>
      </c>
      <c r="CU269" s="6"/>
      <c r="CV269" s="6"/>
      <c r="CW269" s="6"/>
      <c r="CX269" s="6">
        <v>311</v>
      </c>
      <c r="CY269" s="6">
        <f>800+52</f>
        <v>852</v>
      </c>
      <c r="CZ269" s="6">
        <f t="shared" si="98"/>
        <v>585</v>
      </c>
      <c r="DA269" s="6">
        <v>76</v>
      </c>
      <c r="DB269" s="6">
        <v>805</v>
      </c>
      <c r="DC269" s="6">
        <f t="shared" si="99"/>
        <v>570</v>
      </c>
      <c r="DD269" s="6">
        <v>645</v>
      </c>
      <c r="DE269" s="6"/>
      <c r="DF269" s="6">
        <f t="shared" si="100"/>
        <v>569</v>
      </c>
      <c r="DG269" s="6">
        <v>0</v>
      </c>
      <c r="DH269" s="10">
        <v>800</v>
      </c>
      <c r="DI269" s="6">
        <f t="shared" si="101"/>
        <v>155</v>
      </c>
      <c r="DJ269" s="6">
        <v>0</v>
      </c>
      <c r="DK269" s="10"/>
      <c r="DL269" s="6">
        <f t="shared" si="102"/>
        <v>0</v>
      </c>
      <c r="DM269" s="6">
        <v>0</v>
      </c>
      <c r="DN269" s="10"/>
      <c r="DO269" s="6">
        <f t="shared" si="103"/>
        <v>0</v>
      </c>
    </row>
    <row r="270" spans="1:119">
      <c r="A270" s="6">
        <v>266</v>
      </c>
      <c r="B270" s="6"/>
      <c r="C270" s="10"/>
      <c r="D270" s="6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63" t="s">
        <v>248</v>
      </c>
      <c r="V270" s="141" t="s">
        <v>248</v>
      </c>
      <c r="W270" s="141" t="s">
        <v>248</v>
      </c>
      <c r="X270" s="141" t="s">
        <v>248</v>
      </c>
      <c r="Y270" s="141" t="s">
        <v>248</v>
      </c>
      <c r="Z270" s="141" t="s">
        <v>248</v>
      </c>
      <c r="AA270" s="141" t="s">
        <v>248</v>
      </c>
      <c r="AB270" s="141" t="s">
        <v>248</v>
      </c>
      <c r="AC270" s="141" t="s">
        <v>248</v>
      </c>
      <c r="AD270" s="6"/>
      <c r="AE270" s="6"/>
      <c r="AF270" s="35"/>
      <c r="AG270" s="6"/>
      <c r="AH270" s="6"/>
      <c r="AI270" s="35"/>
      <c r="AJ270" s="35"/>
      <c r="AK270" s="35"/>
      <c r="AL270" s="35"/>
      <c r="AM270" s="6"/>
      <c r="AN270" s="6"/>
      <c r="AO270" s="35"/>
      <c r="AP270" s="6"/>
      <c r="AQ270" s="6"/>
      <c r="AR270" s="34"/>
      <c r="AS270" s="35"/>
      <c r="AT270" s="35"/>
      <c r="AU270" s="35"/>
      <c r="AV270" s="6"/>
      <c r="AW270" s="6"/>
      <c r="AX270" s="35"/>
      <c r="AY270" s="6"/>
      <c r="AZ270" s="6"/>
      <c r="BA270" s="35"/>
      <c r="BB270" s="35"/>
      <c r="BC270" s="35"/>
      <c r="BD270" s="35"/>
      <c r="BE270" s="35"/>
      <c r="BF270" s="6"/>
      <c r="BG270" s="35"/>
      <c r="BH270" s="6"/>
      <c r="BI270" s="6"/>
      <c r="BJ270" s="35"/>
      <c r="BK270" s="6"/>
      <c r="BL270" s="6"/>
      <c r="BM270" s="6"/>
      <c r="BN270" s="35"/>
      <c r="BO270" s="35"/>
      <c r="BP270" s="6"/>
      <c r="BQ270" s="35"/>
      <c r="BR270" s="35"/>
      <c r="BS270" s="35"/>
      <c r="BT270" s="35"/>
      <c r="BU270" s="35"/>
      <c r="BV270" s="6"/>
      <c r="BW270" s="6"/>
      <c r="BX270" s="6"/>
      <c r="BY270" s="35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>
        <v>0</v>
      </c>
      <c r="CM270" s="6"/>
      <c r="CN270" s="6">
        <f t="shared" si="105"/>
        <v>0</v>
      </c>
      <c r="CO270" s="6"/>
      <c r="CP270" s="6"/>
      <c r="CQ270" s="6">
        <f t="shared" si="104"/>
        <v>0</v>
      </c>
      <c r="CR270" s="6">
        <v>532</v>
      </c>
      <c r="CS270" s="6"/>
      <c r="CT270" s="6">
        <f t="shared" si="97"/>
        <v>532</v>
      </c>
      <c r="CU270" s="6"/>
      <c r="CV270" s="6"/>
      <c r="CW270" s="6"/>
      <c r="CX270" s="6">
        <v>261</v>
      </c>
      <c r="CY270" s="6">
        <v>808</v>
      </c>
      <c r="CZ270" s="6">
        <f t="shared" si="98"/>
        <v>537</v>
      </c>
      <c r="DA270" s="6">
        <v>813</v>
      </c>
      <c r="DB270" s="6"/>
      <c r="DC270" s="6">
        <f t="shared" si="99"/>
        <v>552</v>
      </c>
      <c r="DD270" s="6">
        <v>535</v>
      </c>
      <c r="DE270" s="6">
        <v>826</v>
      </c>
      <c r="DF270" s="6">
        <f t="shared" si="100"/>
        <v>548</v>
      </c>
      <c r="DG270" s="6">
        <v>0</v>
      </c>
      <c r="DH270" s="10">
        <v>706</v>
      </c>
      <c r="DI270" s="6">
        <f t="shared" si="101"/>
        <v>171</v>
      </c>
      <c r="DJ270" s="6">
        <v>0</v>
      </c>
      <c r="DK270" s="10"/>
      <c r="DL270" s="6">
        <f t="shared" si="102"/>
        <v>0</v>
      </c>
      <c r="DM270" s="6">
        <v>0</v>
      </c>
      <c r="DN270" s="10"/>
      <c r="DO270" s="6">
        <f t="shared" si="103"/>
        <v>0</v>
      </c>
    </row>
    <row r="271" spans="1:119">
      <c r="A271" s="6">
        <v>267</v>
      </c>
      <c r="B271" s="6"/>
      <c r="C271" s="10"/>
      <c r="D271" s="6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63" t="s">
        <v>248</v>
      </c>
      <c r="V271" s="141" t="s">
        <v>248</v>
      </c>
      <c r="W271" s="141" t="s">
        <v>248</v>
      </c>
      <c r="X271" s="141" t="s">
        <v>248</v>
      </c>
      <c r="Y271" s="141" t="s">
        <v>248</v>
      </c>
      <c r="Z271" s="141" t="s">
        <v>248</v>
      </c>
      <c r="AA271" s="141" t="s">
        <v>248</v>
      </c>
      <c r="AB271" s="141" t="s">
        <v>248</v>
      </c>
      <c r="AC271" s="141" t="s">
        <v>248</v>
      </c>
      <c r="AD271" s="6"/>
      <c r="AE271" s="6"/>
      <c r="AF271" s="35"/>
      <c r="AG271" s="6"/>
      <c r="AH271" s="6"/>
      <c r="AI271" s="35"/>
      <c r="AJ271" s="35"/>
      <c r="AK271" s="35"/>
      <c r="AL271" s="35"/>
      <c r="AM271" s="6"/>
      <c r="AN271" s="6"/>
      <c r="AO271" s="35"/>
      <c r="AP271" s="6"/>
      <c r="AQ271" s="6"/>
      <c r="AR271" s="34"/>
      <c r="AS271" s="35"/>
      <c r="AT271" s="35"/>
      <c r="AU271" s="35"/>
      <c r="AV271" s="6"/>
      <c r="AW271" s="6"/>
      <c r="AX271" s="35"/>
      <c r="AY271" s="6"/>
      <c r="AZ271" s="6"/>
      <c r="BA271" s="35"/>
      <c r="BB271" s="35"/>
      <c r="BC271" s="35"/>
      <c r="BD271" s="35"/>
      <c r="BE271" s="35"/>
      <c r="BF271" s="6"/>
      <c r="BG271" s="35"/>
      <c r="BH271" s="6"/>
      <c r="BI271" s="6"/>
      <c r="BJ271" s="35"/>
      <c r="BK271" s="6"/>
      <c r="BL271" s="6"/>
      <c r="BM271" s="6"/>
      <c r="BN271" s="35"/>
      <c r="BO271" s="35"/>
      <c r="BP271" s="6"/>
      <c r="BQ271" s="35"/>
      <c r="BR271" s="35"/>
      <c r="BS271" s="35"/>
      <c r="BT271" s="35"/>
      <c r="BU271" s="35"/>
      <c r="BV271" s="6"/>
      <c r="BW271" s="6"/>
      <c r="BX271" s="6"/>
      <c r="BY271" s="35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>
        <v>0</v>
      </c>
      <c r="CM271" s="6"/>
      <c r="CN271" s="6">
        <f t="shared" si="105"/>
        <v>0</v>
      </c>
      <c r="CO271" s="6">
        <v>426</v>
      </c>
      <c r="CP271" s="6"/>
      <c r="CQ271" s="6">
        <f t="shared" si="104"/>
        <v>426</v>
      </c>
      <c r="CR271" s="6">
        <v>196</v>
      </c>
      <c r="CS271" s="6">
        <v>800</v>
      </c>
      <c r="CT271" s="6">
        <f t="shared" si="97"/>
        <v>570</v>
      </c>
      <c r="CU271" s="6"/>
      <c r="CV271" s="6"/>
      <c r="CW271" s="6"/>
      <c r="CX271" s="6">
        <v>762</v>
      </c>
      <c r="CY271" s="6"/>
      <c r="CZ271" s="6">
        <f t="shared" si="98"/>
        <v>566</v>
      </c>
      <c r="DA271" s="6">
        <v>521</v>
      </c>
      <c r="DB271" s="6">
        <v>771</v>
      </c>
      <c r="DC271" s="6">
        <f t="shared" si="99"/>
        <v>530</v>
      </c>
      <c r="DD271" s="6">
        <v>0</v>
      </c>
      <c r="DE271" s="6">
        <v>800</v>
      </c>
      <c r="DF271" s="6">
        <f t="shared" si="100"/>
        <v>279</v>
      </c>
      <c r="DG271" s="6">
        <v>0</v>
      </c>
      <c r="DH271" s="10"/>
      <c r="DI271" s="6">
        <f t="shared" si="101"/>
        <v>0</v>
      </c>
      <c r="DJ271" s="6">
        <v>0</v>
      </c>
      <c r="DK271" s="10"/>
      <c r="DL271" s="6">
        <f t="shared" si="102"/>
        <v>0</v>
      </c>
      <c r="DM271" s="6">
        <v>0</v>
      </c>
      <c r="DN271" s="10"/>
      <c r="DO271" s="6">
        <f t="shared" si="103"/>
        <v>0</v>
      </c>
    </row>
    <row r="272" spans="1:119">
      <c r="A272" s="6">
        <v>268</v>
      </c>
      <c r="B272" s="6"/>
      <c r="C272" s="10"/>
      <c r="D272" s="6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63" t="s">
        <v>248</v>
      </c>
      <c r="U272" s="141" t="s">
        <v>248</v>
      </c>
      <c r="V272" s="141" t="s">
        <v>248</v>
      </c>
      <c r="W272" s="141" t="s">
        <v>248</v>
      </c>
      <c r="X272" s="141" t="s">
        <v>248</v>
      </c>
      <c r="Y272" s="141" t="s">
        <v>248</v>
      </c>
      <c r="Z272" s="141" t="s">
        <v>248</v>
      </c>
      <c r="AA272" s="141" t="s">
        <v>248</v>
      </c>
      <c r="AB272" s="141" t="s">
        <v>248</v>
      </c>
      <c r="AC272" s="141" t="s">
        <v>248</v>
      </c>
      <c r="AD272" s="6"/>
      <c r="AE272" s="6"/>
      <c r="AF272" s="35"/>
      <c r="AG272" s="6"/>
      <c r="AH272" s="6"/>
      <c r="AI272" s="35"/>
      <c r="AJ272" s="35"/>
      <c r="AK272" s="35"/>
      <c r="AL272" s="35"/>
      <c r="AM272" s="6"/>
      <c r="AN272" s="6"/>
      <c r="AO272" s="35"/>
      <c r="AP272" s="6"/>
      <c r="AQ272" s="6"/>
      <c r="AR272" s="34"/>
      <c r="AS272" s="35"/>
      <c r="AT272" s="35"/>
      <c r="AU272" s="35"/>
      <c r="AV272" s="6"/>
      <c r="AW272" s="6"/>
      <c r="AX272" s="35"/>
      <c r="AY272" s="6"/>
      <c r="AZ272" s="6"/>
      <c r="BA272" s="35"/>
      <c r="BB272" s="35"/>
      <c r="BC272" s="35"/>
      <c r="BD272" s="35"/>
      <c r="BE272" s="35"/>
      <c r="BF272" s="6"/>
      <c r="BG272" s="35"/>
      <c r="BH272" s="6"/>
      <c r="BI272" s="6"/>
      <c r="BJ272" s="35"/>
      <c r="BK272" s="6"/>
      <c r="BL272" s="6"/>
      <c r="BM272" s="6"/>
      <c r="BN272" s="35"/>
      <c r="BO272" s="35"/>
      <c r="BP272" s="6"/>
      <c r="BQ272" s="35"/>
      <c r="BR272" s="35"/>
      <c r="BS272" s="35"/>
      <c r="BT272" s="35"/>
      <c r="BU272" s="35"/>
      <c r="BV272" s="6"/>
      <c r="BW272" s="6"/>
      <c r="BX272" s="6"/>
      <c r="BY272" s="35"/>
      <c r="BZ272" s="6"/>
      <c r="CA272" s="6"/>
      <c r="CB272" s="6"/>
      <c r="CC272" s="6"/>
      <c r="CD272" s="6"/>
      <c r="CE272" s="6"/>
      <c r="CF272" s="6"/>
      <c r="CG272" s="6"/>
      <c r="CH272" s="6"/>
      <c r="CI272" s="6">
        <v>0</v>
      </c>
      <c r="CJ272" s="6"/>
      <c r="CK272" s="6">
        <f t="shared" ref="CK272:CK305" si="106">CJ272+CI272-CF272</f>
        <v>0</v>
      </c>
      <c r="CL272" s="6">
        <v>0</v>
      </c>
      <c r="CM272" s="6"/>
      <c r="CN272" s="6">
        <f t="shared" si="105"/>
        <v>0</v>
      </c>
      <c r="CO272" s="6">
        <v>387</v>
      </c>
      <c r="CP272" s="6"/>
      <c r="CQ272" s="6">
        <f t="shared" si="104"/>
        <v>387</v>
      </c>
      <c r="CR272" s="6">
        <v>127</v>
      </c>
      <c r="CS272" s="6">
        <v>800</v>
      </c>
      <c r="CT272" s="6">
        <f t="shared" si="97"/>
        <v>540</v>
      </c>
      <c r="CU272" s="6"/>
      <c r="CV272" s="6"/>
      <c r="CW272" s="6"/>
      <c r="CX272" s="6">
        <v>94</v>
      </c>
      <c r="CY272" s="6">
        <v>590</v>
      </c>
      <c r="CZ272" s="6">
        <f t="shared" si="98"/>
        <v>557</v>
      </c>
      <c r="DA272" s="6">
        <v>75</v>
      </c>
      <c r="DB272" s="6">
        <v>555</v>
      </c>
      <c r="DC272" s="6">
        <f t="shared" si="99"/>
        <v>536</v>
      </c>
      <c r="DD272" s="6">
        <v>0</v>
      </c>
      <c r="DE272" s="6">
        <v>226</v>
      </c>
      <c r="DF272" s="6">
        <f t="shared" si="100"/>
        <v>151</v>
      </c>
      <c r="DG272" s="6">
        <v>0</v>
      </c>
      <c r="DH272" s="10"/>
      <c r="DI272" s="6">
        <f t="shared" si="101"/>
        <v>0</v>
      </c>
      <c r="DJ272" s="6">
        <v>0</v>
      </c>
      <c r="DK272" s="10"/>
      <c r="DL272" s="6">
        <f t="shared" si="102"/>
        <v>0</v>
      </c>
      <c r="DM272" s="6">
        <v>0</v>
      </c>
      <c r="DN272" s="10"/>
      <c r="DO272" s="6">
        <f t="shared" si="103"/>
        <v>0</v>
      </c>
    </row>
    <row r="273" spans="1:119">
      <c r="A273" s="6">
        <v>269</v>
      </c>
      <c r="B273" s="6"/>
      <c r="C273" s="10"/>
      <c r="D273" s="6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63" t="s">
        <v>248</v>
      </c>
      <c r="U273" s="141" t="s">
        <v>248</v>
      </c>
      <c r="V273" s="141" t="s">
        <v>248</v>
      </c>
      <c r="W273" s="141" t="s">
        <v>248</v>
      </c>
      <c r="X273" s="141" t="s">
        <v>248</v>
      </c>
      <c r="Y273" s="141" t="s">
        <v>248</v>
      </c>
      <c r="Z273" s="141" t="s">
        <v>248</v>
      </c>
      <c r="AA273" s="141" t="s">
        <v>248</v>
      </c>
      <c r="AB273" s="141" t="s">
        <v>248</v>
      </c>
      <c r="AC273" s="141" t="s">
        <v>248</v>
      </c>
      <c r="AD273" s="6"/>
      <c r="AE273" s="6"/>
      <c r="AF273" s="35"/>
      <c r="AG273" s="6"/>
      <c r="AH273" s="6"/>
      <c r="AI273" s="35"/>
      <c r="AJ273" s="35"/>
      <c r="AK273" s="35"/>
      <c r="AL273" s="35"/>
      <c r="AM273" s="6"/>
      <c r="AN273" s="6"/>
      <c r="AO273" s="35"/>
      <c r="AP273" s="6"/>
      <c r="AQ273" s="6"/>
      <c r="AR273" s="34"/>
      <c r="AS273" s="35"/>
      <c r="AT273" s="35"/>
      <c r="AU273" s="35"/>
      <c r="AV273" s="6"/>
      <c r="AW273" s="6"/>
      <c r="AX273" s="35"/>
      <c r="AY273" s="6"/>
      <c r="AZ273" s="6"/>
      <c r="BA273" s="35"/>
      <c r="BB273" s="35"/>
      <c r="BC273" s="35"/>
      <c r="BD273" s="35"/>
      <c r="BE273" s="35"/>
      <c r="BF273" s="6"/>
      <c r="BG273" s="35"/>
      <c r="BH273" s="6"/>
      <c r="BI273" s="6"/>
      <c r="BJ273" s="35"/>
      <c r="BK273" s="6"/>
      <c r="BL273" s="6"/>
      <c r="BM273" s="6"/>
      <c r="BN273" s="35"/>
      <c r="BO273" s="35"/>
      <c r="BP273" s="6"/>
      <c r="BQ273" s="35"/>
      <c r="BR273" s="35"/>
      <c r="BS273" s="35"/>
      <c r="BT273" s="35"/>
      <c r="BU273" s="35"/>
      <c r="BV273" s="6"/>
      <c r="BW273" s="6"/>
      <c r="BX273" s="6"/>
      <c r="BY273" s="35"/>
      <c r="BZ273" s="6"/>
      <c r="CA273" s="6"/>
      <c r="CB273" s="6"/>
      <c r="CC273" s="6"/>
      <c r="CD273" s="6"/>
      <c r="CE273" s="6"/>
      <c r="CF273" s="6"/>
      <c r="CG273" s="6"/>
      <c r="CH273" s="6"/>
      <c r="CI273" s="6">
        <v>0</v>
      </c>
      <c r="CJ273" s="6"/>
      <c r="CK273" s="6">
        <f t="shared" si="106"/>
        <v>0</v>
      </c>
      <c r="CL273" s="6">
        <v>0</v>
      </c>
      <c r="CM273" s="6"/>
      <c r="CN273" s="6">
        <f t="shared" si="105"/>
        <v>0</v>
      </c>
      <c r="CO273" s="6">
        <v>447</v>
      </c>
      <c r="CP273" s="6"/>
      <c r="CQ273" s="6">
        <f t="shared" si="104"/>
        <v>447</v>
      </c>
      <c r="CR273" s="6">
        <v>495</v>
      </c>
      <c r="CS273" s="6">
        <v>500</v>
      </c>
      <c r="CT273" s="6">
        <f t="shared" si="97"/>
        <v>548</v>
      </c>
      <c r="CU273" s="6"/>
      <c r="CV273" s="6"/>
      <c r="CW273" s="6"/>
      <c r="CX273" s="6">
        <v>275</v>
      </c>
      <c r="CY273" s="6">
        <v>800</v>
      </c>
      <c r="CZ273" s="6">
        <f t="shared" si="98"/>
        <v>580</v>
      </c>
      <c r="DA273" s="6">
        <v>817</v>
      </c>
      <c r="DB273" s="6"/>
      <c r="DC273" s="6">
        <f t="shared" si="99"/>
        <v>542</v>
      </c>
      <c r="DD273" s="6">
        <v>169</v>
      </c>
      <c r="DE273" s="6">
        <f>841+343</f>
        <v>1184</v>
      </c>
      <c r="DF273" s="6">
        <f t="shared" si="100"/>
        <v>536</v>
      </c>
      <c r="DG273" s="6">
        <v>334</v>
      </c>
      <c r="DH273" s="10"/>
      <c r="DI273" s="6">
        <f t="shared" si="101"/>
        <v>165</v>
      </c>
      <c r="DJ273" s="6">
        <v>334</v>
      </c>
      <c r="DK273" s="10"/>
      <c r="DL273" s="6">
        <f t="shared" si="102"/>
        <v>0</v>
      </c>
      <c r="DM273" s="6">
        <v>334</v>
      </c>
      <c r="DN273" s="10"/>
      <c r="DO273" s="6">
        <f t="shared" si="103"/>
        <v>0</v>
      </c>
    </row>
    <row r="274" spans="1:119">
      <c r="A274" s="6">
        <v>270</v>
      </c>
      <c r="B274" s="6"/>
      <c r="C274" s="10"/>
      <c r="D274" s="6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63" t="s">
        <v>248</v>
      </c>
      <c r="U274" s="141" t="s">
        <v>248</v>
      </c>
      <c r="V274" s="141" t="s">
        <v>248</v>
      </c>
      <c r="W274" s="141" t="s">
        <v>248</v>
      </c>
      <c r="X274" s="141" t="s">
        <v>248</v>
      </c>
      <c r="Y274" s="141" t="s">
        <v>248</v>
      </c>
      <c r="Z274" s="141" t="s">
        <v>248</v>
      </c>
      <c r="AA274" s="141" t="s">
        <v>248</v>
      </c>
      <c r="AB274" s="141" t="s">
        <v>248</v>
      </c>
      <c r="AC274" s="141" t="s">
        <v>248</v>
      </c>
      <c r="AD274" s="6"/>
      <c r="AE274" s="6"/>
      <c r="AF274" s="35"/>
      <c r="AG274" s="6"/>
      <c r="AH274" s="6"/>
      <c r="AI274" s="35"/>
      <c r="AJ274" s="35"/>
      <c r="AK274" s="35"/>
      <c r="AL274" s="35"/>
      <c r="AM274" s="6"/>
      <c r="AN274" s="6"/>
      <c r="AO274" s="35"/>
      <c r="AP274" s="6"/>
      <c r="AQ274" s="6"/>
      <c r="AR274" s="34"/>
      <c r="AS274" s="35"/>
      <c r="AT274" s="35"/>
      <c r="AU274" s="35"/>
      <c r="AV274" s="6"/>
      <c r="AW274" s="6"/>
      <c r="AX274" s="35"/>
      <c r="AY274" s="6"/>
      <c r="AZ274" s="6"/>
      <c r="BA274" s="35"/>
      <c r="BB274" s="35"/>
      <c r="BC274" s="35"/>
      <c r="BD274" s="35"/>
      <c r="BE274" s="35"/>
      <c r="BF274" s="6"/>
      <c r="BG274" s="35"/>
      <c r="BH274" s="6"/>
      <c r="BI274" s="6"/>
      <c r="BJ274" s="35"/>
      <c r="BK274" s="6"/>
      <c r="BL274" s="6"/>
      <c r="BM274" s="6"/>
      <c r="BN274" s="35"/>
      <c r="BO274" s="35"/>
      <c r="BP274" s="6"/>
      <c r="BQ274" s="35"/>
      <c r="BR274" s="35"/>
      <c r="BS274" s="35"/>
      <c r="BT274" s="35"/>
      <c r="BU274" s="35"/>
      <c r="BV274" s="6"/>
      <c r="BW274" s="6"/>
      <c r="BX274" s="6"/>
      <c r="BY274" s="35"/>
      <c r="BZ274" s="6"/>
      <c r="CA274" s="6"/>
      <c r="CB274" s="6"/>
      <c r="CC274" s="6"/>
      <c r="CD274" s="6"/>
      <c r="CE274" s="6"/>
      <c r="CF274" s="6"/>
      <c r="CG274" s="6"/>
      <c r="CH274" s="6"/>
      <c r="CI274" s="6">
        <v>0</v>
      </c>
      <c r="CJ274" s="6"/>
      <c r="CK274" s="6">
        <f t="shared" si="106"/>
        <v>0</v>
      </c>
      <c r="CL274" s="6">
        <v>0</v>
      </c>
      <c r="CM274" s="6"/>
      <c r="CN274" s="6">
        <f t="shared" si="105"/>
        <v>0</v>
      </c>
      <c r="CO274" s="6">
        <v>544</v>
      </c>
      <c r="CP274" s="6"/>
      <c r="CQ274" s="6">
        <f t="shared" si="104"/>
        <v>544</v>
      </c>
      <c r="CR274" s="6">
        <v>226</v>
      </c>
      <c r="CS274" s="6">
        <v>800</v>
      </c>
      <c r="CT274" s="6">
        <f t="shared" si="97"/>
        <v>482</v>
      </c>
      <c r="CU274" s="6"/>
      <c r="CV274" s="6"/>
      <c r="CW274" s="6"/>
      <c r="CX274" s="6">
        <v>790</v>
      </c>
      <c r="CY274" s="6"/>
      <c r="CZ274" s="6">
        <f t="shared" si="98"/>
        <v>564</v>
      </c>
      <c r="DA274" s="6">
        <v>530</v>
      </c>
      <c r="DB274" s="6">
        <v>800</v>
      </c>
      <c r="DC274" s="6">
        <f t="shared" si="99"/>
        <v>540</v>
      </c>
      <c r="DD274" s="6">
        <v>0</v>
      </c>
      <c r="DE274" s="6">
        <v>630</v>
      </c>
      <c r="DF274" s="6">
        <f t="shared" si="100"/>
        <v>100</v>
      </c>
      <c r="DG274" s="6">
        <v>0</v>
      </c>
      <c r="DH274" s="10"/>
      <c r="DI274" s="6">
        <f t="shared" si="101"/>
        <v>0</v>
      </c>
      <c r="DJ274" s="6">
        <v>0</v>
      </c>
      <c r="DK274" s="10"/>
      <c r="DL274" s="6">
        <f t="shared" si="102"/>
        <v>0</v>
      </c>
      <c r="DM274" s="6">
        <v>0</v>
      </c>
      <c r="DN274" s="10"/>
      <c r="DO274" s="6">
        <f t="shared" si="103"/>
        <v>0</v>
      </c>
    </row>
    <row r="275" spans="1:119">
      <c r="A275" s="6">
        <v>271</v>
      </c>
      <c r="B275" s="6"/>
      <c r="C275" s="10"/>
      <c r="D275" s="6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63" t="s">
        <v>248</v>
      </c>
      <c r="U275" s="141" t="s">
        <v>248</v>
      </c>
      <c r="V275" s="141" t="s">
        <v>248</v>
      </c>
      <c r="W275" s="141" t="s">
        <v>248</v>
      </c>
      <c r="X275" s="141" t="s">
        <v>248</v>
      </c>
      <c r="Y275" s="141" t="s">
        <v>248</v>
      </c>
      <c r="Z275" s="141" t="s">
        <v>248</v>
      </c>
      <c r="AA275" s="141" t="s">
        <v>248</v>
      </c>
      <c r="AB275" s="141" t="s">
        <v>248</v>
      </c>
      <c r="AC275" s="141" t="s">
        <v>248</v>
      </c>
      <c r="AD275" s="6"/>
      <c r="AE275" s="6"/>
      <c r="AF275" s="35"/>
      <c r="AG275" s="6"/>
      <c r="AH275" s="6"/>
      <c r="AI275" s="35"/>
      <c r="AJ275" s="35"/>
      <c r="AK275" s="35"/>
      <c r="AL275" s="35"/>
      <c r="AM275" s="6"/>
      <c r="AN275" s="6"/>
      <c r="AO275" s="35"/>
      <c r="AP275" s="6"/>
      <c r="AQ275" s="6"/>
      <c r="AR275" s="34"/>
      <c r="AS275" s="35"/>
      <c r="AT275" s="35"/>
      <c r="AU275" s="35"/>
      <c r="AV275" s="6"/>
      <c r="AW275" s="6"/>
      <c r="AX275" s="35"/>
      <c r="AY275" s="6"/>
      <c r="AZ275" s="6"/>
      <c r="BA275" s="35"/>
      <c r="BB275" s="35"/>
      <c r="BC275" s="35"/>
      <c r="BD275" s="35"/>
      <c r="BE275" s="35"/>
      <c r="BF275" s="6"/>
      <c r="BG275" s="35"/>
      <c r="BH275" s="6"/>
      <c r="BI275" s="6"/>
      <c r="BJ275" s="35"/>
      <c r="BK275" s="6"/>
      <c r="BL275" s="6"/>
      <c r="BM275" s="6"/>
      <c r="BN275" s="35"/>
      <c r="BO275" s="35"/>
      <c r="BP275" s="6"/>
      <c r="BQ275" s="35"/>
      <c r="BR275" s="35"/>
      <c r="BS275" s="35"/>
      <c r="BT275" s="35"/>
      <c r="BU275" s="35"/>
      <c r="BV275" s="6"/>
      <c r="BW275" s="6"/>
      <c r="BX275" s="6"/>
      <c r="BY275" s="35"/>
      <c r="BZ275" s="6"/>
      <c r="CA275" s="6"/>
      <c r="CB275" s="6"/>
      <c r="CC275" s="6"/>
      <c r="CD275" s="6"/>
      <c r="CE275" s="6"/>
      <c r="CF275" s="6"/>
      <c r="CG275" s="6"/>
      <c r="CH275" s="6"/>
      <c r="CI275" s="6">
        <v>0</v>
      </c>
      <c r="CJ275" s="6"/>
      <c r="CK275" s="6">
        <f t="shared" si="106"/>
        <v>0</v>
      </c>
      <c r="CL275" s="6">
        <v>0</v>
      </c>
      <c r="CM275" s="6"/>
      <c r="CN275" s="6">
        <f t="shared" si="105"/>
        <v>0</v>
      </c>
      <c r="CO275" s="6">
        <v>556</v>
      </c>
      <c r="CP275" s="6"/>
      <c r="CQ275" s="6">
        <f t="shared" si="104"/>
        <v>556</v>
      </c>
      <c r="CR275" s="6">
        <v>266</v>
      </c>
      <c r="CS275" s="6">
        <v>800</v>
      </c>
      <c r="CT275" s="6">
        <f t="shared" si="97"/>
        <v>510</v>
      </c>
      <c r="CU275" s="6"/>
      <c r="CV275" s="6"/>
      <c r="CW275" s="6"/>
      <c r="CX275" s="6">
        <v>3</v>
      </c>
      <c r="CY275" s="6">
        <v>800</v>
      </c>
      <c r="CZ275" s="6">
        <f t="shared" si="98"/>
        <v>537</v>
      </c>
      <c r="DA275" s="6">
        <v>527</v>
      </c>
      <c r="DB275" s="6"/>
      <c r="DC275" s="6">
        <f t="shared" si="99"/>
        <v>524</v>
      </c>
      <c r="DD275" s="6">
        <v>0</v>
      </c>
      <c r="DE275" s="6">
        <v>800</v>
      </c>
      <c r="DF275" s="6">
        <f t="shared" si="100"/>
        <v>273</v>
      </c>
      <c r="DG275" s="6">
        <v>0</v>
      </c>
      <c r="DH275" s="10"/>
      <c r="DI275" s="6">
        <f t="shared" si="101"/>
        <v>0</v>
      </c>
      <c r="DJ275" s="6">
        <v>0</v>
      </c>
      <c r="DK275" s="10"/>
      <c r="DL275" s="6">
        <f t="shared" si="102"/>
        <v>0</v>
      </c>
      <c r="DM275" s="6">
        <v>0</v>
      </c>
      <c r="DN275" s="10"/>
      <c r="DO275" s="6">
        <f t="shared" si="103"/>
        <v>0</v>
      </c>
    </row>
    <row r="276" spans="1:119">
      <c r="A276" s="6">
        <v>272</v>
      </c>
      <c r="B276" s="6"/>
      <c r="C276" s="10"/>
      <c r="D276" s="6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63" t="s">
        <v>248</v>
      </c>
      <c r="U276" s="141" t="s">
        <v>248</v>
      </c>
      <c r="V276" s="141" t="s">
        <v>248</v>
      </c>
      <c r="W276" s="141" t="s">
        <v>248</v>
      </c>
      <c r="X276" s="141" t="s">
        <v>248</v>
      </c>
      <c r="Y276" s="141" t="s">
        <v>248</v>
      </c>
      <c r="Z276" s="141" t="s">
        <v>248</v>
      </c>
      <c r="AA276" s="141" t="s">
        <v>248</v>
      </c>
      <c r="AB276" s="141" t="s">
        <v>248</v>
      </c>
      <c r="AC276" s="141" t="s">
        <v>248</v>
      </c>
      <c r="AD276" s="6"/>
      <c r="AE276" s="6"/>
      <c r="AF276" s="35"/>
      <c r="AG276" s="6"/>
      <c r="AH276" s="6"/>
      <c r="AI276" s="35"/>
      <c r="AJ276" s="35"/>
      <c r="AK276" s="35"/>
      <c r="AL276" s="35"/>
      <c r="AM276" s="6"/>
      <c r="AN276" s="6"/>
      <c r="AO276" s="35"/>
      <c r="AP276" s="6"/>
      <c r="AQ276" s="6"/>
      <c r="AR276" s="34"/>
      <c r="AS276" s="35"/>
      <c r="AT276" s="35"/>
      <c r="AU276" s="35"/>
      <c r="AV276" s="6"/>
      <c r="AW276" s="6"/>
      <c r="AX276" s="35"/>
      <c r="AY276" s="6"/>
      <c r="AZ276" s="6"/>
      <c r="BA276" s="35"/>
      <c r="BB276" s="35"/>
      <c r="BC276" s="35"/>
      <c r="BD276" s="35"/>
      <c r="BE276" s="35"/>
      <c r="BF276" s="6"/>
      <c r="BG276" s="35"/>
      <c r="BH276" s="6"/>
      <c r="BI276" s="6"/>
      <c r="BJ276" s="35"/>
      <c r="BK276" s="6"/>
      <c r="BL276" s="6"/>
      <c r="BM276" s="6"/>
      <c r="BN276" s="35"/>
      <c r="BO276" s="35"/>
      <c r="BP276" s="6"/>
      <c r="BQ276" s="35"/>
      <c r="BR276" s="35"/>
      <c r="BS276" s="35"/>
      <c r="BT276" s="35"/>
      <c r="BU276" s="35"/>
      <c r="BV276" s="6"/>
      <c r="BW276" s="6"/>
      <c r="BX276" s="6"/>
      <c r="BY276" s="35"/>
      <c r="BZ276" s="6"/>
      <c r="CA276" s="6"/>
      <c r="CB276" s="6"/>
      <c r="CC276" s="6"/>
      <c r="CD276" s="6"/>
      <c r="CE276" s="6"/>
      <c r="CF276" s="6"/>
      <c r="CG276" s="6"/>
      <c r="CH276" s="6"/>
      <c r="CI276" s="6">
        <v>0</v>
      </c>
      <c r="CJ276" s="6"/>
      <c r="CK276" s="6">
        <f t="shared" si="106"/>
        <v>0</v>
      </c>
      <c r="CL276" s="6">
        <v>0</v>
      </c>
      <c r="CM276" s="6"/>
      <c r="CN276" s="6">
        <f t="shared" si="105"/>
        <v>0</v>
      </c>
      <c r="CO276" s="6">
        <v>563</v>
      </c>
      <c r="CP276" s="6"/>
      <c r="CQ276" s="6">
        <f t="shared" si="104"/>
        <v>563</v>
      </c>
      <c r="CR276" s="6">
        <v>290</v>
      </c>
      <c r="CS276" s="6">
        <v>800</v>
      </c>
      <c r="CT276" s="6">
        <f t="shared" si="97"/>
        <v>527</v>
      </c>
      <c r="CU276" s="6"/>
      <c r="CV276" s="6"/>
      <c r="CW276" s="6"/>
      <c r="CX276" s="6">
        <v>9</v>
      </c>
      <c r="CY276" s="6">
        <v>800</v>
      </c>
      <c r="CZ276" s="6">
        <f t="shared" si="98"/>
        <v>519</v>
      </c>
      <c r="DA276" s="6">
        <v>511</v>
      </c>
      <c r="DB276" s="6"/>
      <c r="DC276" s="6">
        <f t="shared" si="99"/>
        <v>502</v>
      </c>
      <c r="DD276" s="6">
        <v>0</v>
      </c>
      <c r="DE276" s="6">
        <v>800</v>
      </c>
      <c r="DF276" s="6">
        <f t="shared" si="100"/>
        <v>289</v>
      </c>
      <c r="DG276" s="6">
        <v>0</v>
      </c>
      <c r="DH276" s="10"/>
      <c r="DI276" s="6">
        <f t="shared" si="101"/>
        <v>0</v>
      </c>
      <c r="DJ276" s="6">
        <v>0</v>
      </c>
      <c r="DK276" s="10"/>
      <c r="DL276" s="6">
        <f t="shared" si="102"/>
        <v>0</v>
      </c>
      <c r="DM276" s="6">
        <v>0</v>
      </c>
      <c r="DN276" s="10"/>
      <c r="DO276" s="6">
        <f t="shared" si="103"/>
        <v>0</v>
      </c>
    </row>
    <row r="277" spans="1:119">
      <c r="A277" s="6">
        <v>273</v>
      </c>
      <c r="B277" s="6"/>
      <c r="C277" s="10"/>
      <c r="D277" s="6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63" t="s">
        <v>248</v>
      </c>
      <c r="U277" s="141" t="s">
        <v>248</v>
      </c>
      <c r="V277" s="141" t="s">
        <v>248</v>
      </c>
      <c r="W277" s="141" t="s">
        <v>248</v>
      </c>
      <c r="X277" s="141" t="s">
        <v>248</v>
      </c>
      <c r="Y277" s="141" t="s">
        <v>248</v>
      </c>
      <c r="Z277" s="141" t="s">
        <v>248</v>
      </c>
      <c r="AA277" s="141" t="s">
        <v>248</v>
      </c>
      <c r="AB277" s="141" t="s">
        <v>248</v>
      </c>
      <c r="AC277" s="141" t="s">
        <v>248</v>
      </c>
      <c r="AD277" s="6"/>
      <c r="AE277" s="6"/>
      <c r="AF277" s="35"/>
      <c r="AG277" s="6"/>
      <c r="AH277" s="6"/>
      <c r="AI277" s="35"/>
      <c r="AJ277" s="35"/>
      <c r="AK277" s="35"/>
      <c r="AL277" s="35"/>
      <c r="AM277" s="6"/>
      <c r="AN277" s="6"/>
      <c r="AO277" s="35"/>
      <c r="AP277" s="6"/>
      <c r="AQ277" s="6"/>
      <c r="AR277" s="34"/>
      <c r="AS277" s="35"/>
      <c r="AT277" s="35"/>
      <c r="AU277" s="35"/>
      <c r="AV277" s="6"/>
      <c r="AW277" s="6"/>
      <c r="AX277" s="35"/>
      <c r="AY277" s="6"/>
      <c r="AZ277" s="6"/>
      <c r="BA277" s="35"/>
      <c r="BB277" s="35"/>
      <c r="BC277" s="35"/>
      <c r="BD277" s="35"/>
      <c r="BE277" s="35"/>
      <c r="BF277" s="6"/>
      <c r="BG277" s="35"/>
      <c r="BH277" s="6"/>
      <c r="BI277" s="6"/>
      <c r="BJ277" s="35"/>
      <c r="BK277" s="6"/>
      <c r="BL277" s="6"/>
      <c r="BM277" s="6"/>
      <c r="BN277" s="35"/>
      <c r="BO277" s="35"/>
      <c r="BP277" s="6"/>
      <c r="BQ277" s="35"/>
      <c r="BR277" s="35"/>
      <c r="BS277" s="35"/>
      <c r="BT277" s="35"/>
      <c r="BU277" s="35"/>
      <c r="BV277" s="6"/>
      <c r="BW277" s="6"/>
      <c r="BX277" s="6"/>
      <c r="BY277" s="35"/>
      <c r="BZ277" s="6"/>
      <c r="CA277" s="6"/>
      <c r="CB277" s="6"/>
      <c r="CC277" s="6"/>
      <c r="CD277" s="6"/>
      <c r="CE277" s="6"/>
      <c r="CF277" s="6"/>
      <c r="CG277" s="6"/>
      <c r="CH277" s="6"/>
      <c r="CI277" s="6">
        <v>0</v>
      </c>
      <c r="CJ277" s="6"/>
      <c r="CK277" s="6">
        <f t="shared" si="106"/>
        <v>0</v>
      </c>
      <c r="CL277" s="6">
        <v>280</v>
      </c>
      <c r="CM277" s="6"/>
      <c r="CN277" s="6">
        <f t="shared" si="105"/>
        <v>280</v>
      </c>
      <c r="CO277" s="6">
        <v>49</v>
      </c>
      <c r="CP277" s="6">
        <v>800</v>
      </c>
      <c r="CQ277" s="6">
        <f t="shared" si="104"/>
        <v>569</v>
      </c>
      <c r="CR277" s="6">
        <v>604</v>
      </c>
      <c r="CS277" s="6"/>
      <c r="CT277" s="6">
        <f t="shared" si="97"/>
        <v>555</v>
      </c>
      <c r="CU277" s="6"/>
      <c r="CV277" s="6"/>
      <c r="CW277" s="6"/>
      <c r="CX277" s="6">
        <v>382</v>
      </c>
      <c r="CY277" s="6">
        <v>800</v>
      </c>
      <c r="CZ277" s="6">
        <f t="shared" si="98"/>
        <v>578</v>
      </c>
      <c r="DA277" s="6">
        <v>416</v>
      </c>
      <c r="DB277" s="6">
        <v>446</v>
      </c>
      <c r="DC277" s="6">
        <f t="shared" si="99"/>
        <v>480</v>
      </c>
      <c r="DD277" s="6">
        <v>160</v>
      </c>
      <c r="DE277" s="6">
        <v>800</v>
      </c>
      <c r="DF277" s="6">
        <f t="shared" si="100"/>
        <v>544</v>
      </c>
      <c r="DG277" s="6">
        <v>335</v>
      </c>
      <c r="DH277" s="10"/>
      <c r="DI277" s="6">
        <f t="shared" si="101"/>
        <v>175</v>
      </c>
      <c r="DJ277" s="6">
        <v>335</v>
      </c>
      <c r="DK277" s="10"/>
      <c r="DL277" s="6">
        <f t="shared" si="102"/>
        <v>0</v>
      </c>
      <c r="DM277" s="6">
        <v>335</v>
      </c>
      <c r="DN277" s="10"/>
      <c r="DO277" s="6">
        <f t="shared" si="103"/>
        <v>0</v>
      </c>
    </row>
    <row r="278" spans="1:119">
      <c r="A278" s="6">
        <v>274</v>
      </c>
      <c r="B278" s="6"/>
      <c r="C278" s="10"/>
      <c r="D278" s="6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63" t="s">
        <v>248</v>
      </c>
      <c r="U278" s="141" t="s">
        <v>248</v>
      </c>
      <c r="V278" s="141" t="s">
        <v>248</v>
      </c>
      <c r="W278" s="141" t="s">
        <v>248</v>
      </c>
      <c r="X278" s="141" t="s">
        <v>248</v>
      </c>
      <c r="Y278" s="141" t="s">
        <v>248</v>
      </c>
      <c r="Z278" s="141" t="s">
        <v>248</v>
      </c>
      <c r="AA278" s="141" t="s">
        <v>248</v>
      </c>
      <c r="AB278" s="141" t="s">
        <v>248</v>
      </c>
      <c r="AC278" s="141" t="s">
        <v>248</v>
      </c>
      <c r="AD278" s="6"/>
      <c r="AE278" s="6"/>
      <c r="AF278" s="35"/>
      <c r="AG278" s="6"/>
      <c r="AH278" s="6"/>
      <c r="AI278" s="35"/>
      <c r="AJ278" s="35"/>
      <c r="AK278" s="35"/>
      <c r="AL278" s="35"/>
      <c r="AM278" s="6"/>
      <c r="AN278" s="6"/>
      <c r="AO278" s="35"/>
      <c r="AP278" s="6"/>
      <c r="AQ278" s="6"/>
      <c r="AR278" s="34"/>
      <c r="AS278" s="35"/>
      <c r="AT278" s="35"/>
      <c r="AU278" s="35"/>
      <c r="AV278" s="6"/>
      <c r="AW278" s="6"/>
      <c r="AX278" s="35"/>
      <c r="AY278" s="6"/>
      <c r="AZ278" s="6"/>
      <c r="BA278" s="35"/>
      <c r="BB278" s="35"/>
      <c r="BC278" s="35"/>
      <c r="BD278" s="35"/>
      <c r="BE278" s="35"/>
      <c r="BF278" s="6"/>
      <c r="BG278" s="35"/>
      <c r="BH278" s="6"/>
      <c r="BI278" s="6"/>
      <c r="BJ278" s="35"/>
      <c r="BK278" s="6"/>
      <c r="BL278" s="6"/>
      <c r="BM278" s="6"/>
      <c r="BN278" s="35"/>
      <c r="BO278" s="35"/>
      <c r="BP278" s="6"/>
      <c r="BQ278" s="35"/>
      <c r="BR278" s="35"/>
      <c r="BS278" s="35"/>
      <c r="BT278" s="35"/>
      <c r="BU278" s="35"/>
      <c r="BV278" s="6"/>
      <c r="BW278" s="6"/>
      <c r="BX278" s="6"/>
      <c r="BY278" s="35"/>
      <c r="BZ278" s="6"/>
      <c r="CA278" s="6"/>
      <c r="CB278" s="6"/>
      <c r="CC278" s="6"/>
      <c r="CD278" s="6"/>
      <c r="CE278" s="6"/>
      <c r="CF278" s="6"/>
      <c r="CG278" s="6"/>
      <c r="CH278" s="6"/>
      <c r="CI278" s="6">
        <v>0</v>
      </c>
      <c r="CJ278" s="6"/>
      <c r="CK278" s="6">
        <f t="shared" si="106"/>
        <v>0</v>
      </c>
      <c r="CL278" s="6">
        <v>500</v>
      </c>
      <c r="CM278" s="6"/>
      <c r="CN278" s="6">
        <f t="shared" si="105"/>
        <v>500</v>
      </c>
      <c r="CO278" s="6">
        <v>304</v>
      </c>
      <c r="CP278" s="6">
        <v>800</v>
      </c>
      <c r="CQ278" s="6">
        <f t="shared" si="104"/>
        <v>604</v>
      </c>
      <c r="CR278" s="6">
        <v>81</v>
      </c>
      <c r="CS278" s="6">
        <v>800</v>
      </c>
      <c r="CT278" s="6">
        <f t="shared" si="97"/>
        <v>577</v>
      </c>
      <c r="CU278" s="6"/>
      <c r="CV278" s="6"/>
      <c r="CW278" s="6"/>
      <c r="CX278" s="6">
        <v>241</v>
      </c>
      <c r="CY278" s="6">
        <v>409</v>
      </c>
      <c r="CZ278" s="6">
        <f t="shared" si="98"/>
        <v>569</v>
      </c>
      <c r="DA278" s="6">
        <v>58</v>
      </c>
      <c r="DB278" s="6">
        <v>751</v>
      </c>
      <c r="DC278" s="6">
        <f t="shared" si="99"/>
        <v>568</v>
      </c>
      <c r="DD278" s="6">
        <v>622</v>
      </c>
      <c r="DE278" s="6"/>
      <c r="DF278" s="6">
        <f t="shared" si="100"/>
        <v>564</v>
      </c>
      <c r="DG278" s="6">
        <v>0</v>
      </c>
      <c r="DH278" s="10">
        <v>800</v>
      </c>
      <c r="DI278" s="6">
        <f t="shared" si="101"/>
        <v>178</v>
      </c>
      <c r="DJ278" s="6">
        <v>0</v>
      </c>
      <c r="DK278" s="10"/>
      <c r="DL278" s="6">
        <f t="shared" si="102"/>
        <v>0</v>
      </c>
      <c r="DM278" s="6">
        <v>0</v>
      </c>
      <c r="DN278" s="10"/>
      <c r="DO278" s="6">
        <f t="shared" si="103"/>
        <v>0</v>
      </c>
    </row>
    <row r="279" spans="1:119">
      <c r="A279" s="6">
        <v>275</v>
      </c>
      <c r="B279" s="6"/>
      <c r="C279" s="10"/>
      <c r="D279" s="6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63" t="s">
        <v>248</v>
      </c>
      <c r="S279" s="141" t="s">
        <v>248</v>
      </c>
      <c r="T279" s="141" t="s">
        <v>248</v>
      </c>
      <c r="U279" s="141" t="s">
        <v>248</v>
      </c>
      <c r="V279" s="141" t="s">
        <v>248</v>
      </c>
      <c r="W279" s="141" t="s">
        <v>248</v>
      </c>
      <c r="X279" s="141" t="s">
        <v>248</v>
      </c>
      <c r="Y279" s="141" t="s">
        <v>248</v>
      </c>
      <c r="Z279" s="141" t="s">
        <v>248</v>
      </c>
      <c r="AA279" s="141" t="s">
        <v>248</v>
      </c>
      <c r="AB279" s="141" t="s">
        <v>248</v>
      </c>
      <c r="AC279" s="141" t="s">
        <v>248</v>
      </c>
      <c r="AD279" s="6"/>
      <c r="AE279" s="6"/>
      <c r="AF279" s="35"/>
      <c r="AG279" s="6"/>
      <c r="AH279" s="6"/>
      <c r="AI279" s="35"/>
      <c r="AJ279" s="35"/>
      <c r="AK279" s="35"/>
      <c r="AL279" s="35"/>
      <c r="AM279" s="6"/>
      <c r="AN279" s="6"/>
      <c r="AO279" s="35"/>
      <c r="AP279" s="6"/>
      <c r="AQ279" s="6"/>
      <c r="AR279" s="34"/>
      <c r="AS279" s="35"/>
      <c r="AT279" s="35"/>
      <c r="AU279" s="35"/>
      <c r="AV279" s="6"/>
      <c r="AW279" s="6"/>
      <c r="AX279" s="35"/>
      <c r="AY279" s="6"/>
      <c r="AZ279" s="6"/>
      <c r="BA279" s="35"/>
      <c r="BB279" s="35"/>
      <c r="BC279" s="35"/>
      <c r="BD279" s="35"/>
      <c r="BE279" s="35"/>
      <c r="BF279" s="6"/>
      <c r="BG279" s="35"/>
      <c r="BH279" s="6"/>
      <c r="BI279" s="6"/>
      <c r="BJ279" s="35"/>
      <c r="BK279" s="6"/>
      <c r="BL279" s="6"/>
      <c r="BM279" s="6"/>
      <c r="BN279" s="35"/>
      <c r="BO279" s="35"/>
      <c r="BP279" s="6"/>
      <c r="BQ279" s="35"/>
      <c r="BR279" s="35"/>
      <c r="BS279" s="35"/>
      <c r="BT279" s="35"/>
      <c r="BU279" s="35"/>
      <c r="BV279" s="6"/>
      <c r="BW279" s="6"/>
      <c r="BX279" s="6"/>
      <c r="BY279" s="35"/>
      <c r="BZ279" s="6"/>
      <c r="CA279" s="6"/>
      <c r="CB279" s="6"/>
      <c r="CC279" s="6"/>
      <c r="CD279" s="6"/>
      <c r="CE279" s="6">
        <f t="shared" ref="CE279:CE284" si="107">CD279+CC279-BW279</f>
        <v>0</v>
      </c>
      <c r="CF279" s="6"/>
      <c r="CG279" s="6"/>
      <c r="CH279" s="6">
        <f t="shared" ref="CH279:CH305" si="108">CG279+CF279-CC279</f>
        <v>0</v>
      </c>
      <c r="CI279" s="6">
        <v>0</v>
      </c>
      <c r="CJ279" s="6"/>
      <c r="CK279" s="6">
        <f t="shared" si="106"/>
        <v>0</v>
      </c>
      <c r="CL279" s="6">
        <v>430</v>
      </c>
      <c r="CM279" s="6"/>
      <c r="CN279" s="6">
        <f t="shared" si="105"/>
        <v>430</v>
      </c>
      <c r="CO279" s="6">
        <v>548</v>
      </c>
      <c r="CP279" s="6">
        <v>433</v>
      </c>
      <c r="CQ279" s="6">
        <f t="shared" si="104"/>
        <v>551</v>
      </c>
      <c r="CR279" s="6">
        <v>279</v>
      </c>
      <c r="CS279" s="6">
        <v>800</v>
      </c>
      <c r="CT279" s="6">
        <f t="shared" si="97"/>
        <v>531</v>
      </c>
      <c r="CU279" s="6"/>
      <c r="CV279" s="6"/>
      <c r="CW279" s="6"/>
      <c r="CX279" s="6">
        <v>42</v>
      </c>
      <c r="CY279" s="6">
        <v>800</v>
      </c>
      <c r="CZ279" s="6">
        <f t="shared" si="98"/>
        <v>563</v>
      </c>
      <c r="DA279" s="6">
        <v>175</v>
      </c>
      <c r="DB279" s="6">
        <v>421</v>
      </c>
      <c r="DC279" s="6">
        <f t="shared" si="99"/>
        <v>554</v>
      </c>
      <c r="DD279" s="6">
        <v>5</v>
      </c>
      <c r="DE279" s="6">
        <v>675</v>
      </c>
      <c r="DF279" s="6">
        <f t="shared" si="100"/>
        <v>505</v>
      </c>
      <c r="DG279" s="6">
        <v>5</v>
      </c>
      <c r="DH279" s="10"/>
      <c r="DI279" s="6">
        <f t="shared" si="101"/>
        <v>0</v>
      </c>
      <c r="DJ279" s="6">
        <v>5</v>
      </c>
      <c r="DK279" s="10"/>
      <c r="DL279" s="6">
        <f t="shared" si="102"/>
        <v>0</v>
      </c>
      <c r="DM279" s="6">
        <v>5</v>
      </c>
      <c r="DN279" s="10"/>
      <c r="DO279" s="6">
        <f t="shared" si="103"/>
        <v>0</v>
      </c>
    </row>
    <row r="280" spans="1:119">
      <c r="A280" s="6">
        <v>276</v>
      </c>
      <c r="B280" s="6"/>
      <c r="C280" s="10"/>
      <c r="D280" s="6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63"/>
      <c r="S280" s="141"/>
      <c r="T280" s="163" t="s">
        <v>248</v>
      </c>
      <c r="U280" s="141" t="s">
        <v>248</v>
      </c>
      <c r="V280" s="141" t="s">
        <v>248</v>
      </c>
      <c r="W280" s="141" t="s">
        <v>248</v>
      </c>
      <c r="X280" s="141" t="s">
        <v>248</v>
      </c>
      <c r="Y280" s="141" t="s">
        <v>248</v>
      </c>
      <c r="Z280" s="141" t="s">
        <v>248</v>
      </c>
      <c r="AA280" s="141" t="s">
        <v>248</v>
      </c>
      <c r="AB280" s="141" t="s">
        <v>248</v>
      </c>
      <c r="AC280" s="141" t="s">
        <v>248</v>
      </c>
      <c r="AD280" s="6"/>
      <c r="AE280" s="6"/>
      <c r="AF280" s="35"/>
      <c r="AG280" s="6"/>
      <c r="AH280" s="6"/>
      <c r="AI280" s="35"/>
      <c r="AJ280" s="35"/>
      <c r="AK280" s="35"/>
      <c r="AL280" s="35"/>
      <c r="AM280" s="6"/>
      <c r="AN280" s="6"/>
      <c r="AO280" s="35"/>
      <c r="AP280" s="6"/>
      <c r="AQ280" s="6"/>
      <c r="AR280" s="34"/>
      <c r="AS280" s="35"/>
      <c r="AT280" s="35"/>
      <c r="AU280" s="35"/>
      <c r="AV280" s="6"/>
      <c r="AW280" s="6"/>
      <c r="AX280" s="35"/>
      <c r="AY280" s="6"/>
      <c r="AZ280" s="6"/>
      <c r="BA280" s="35"/>
      <c r="BB280" s="35"/>
      <c r="BC280" s="35"/>
      <c r="BD280" s="35"/>
      <c r="BE280" s="35"/>
      <c r="BF280" s="6"/>
      <c r="BG280" s="35"/>
      <c r="BH280" s="6"/>
      <c r="BI280" s="6"/>
      <c r="BJ280" s="35"/>
      <c r="BK280" s="6"/>
      <c r="BL280" s="6"/>
      <c r="BM280" s="6"/>
      <c r="BN280" s="35"/>
      <c r="BO280" s="35"/>
      <c r="BP280" s="6"/>
      <c r="BQ280" s="35"/>
      <c r="BR280" s="35"/>
      <c r="BS280" s="35"/>
      <c r="BT280" s="35"/>
      <c r="BU280" s="35"/>
      <c r="BV280" s="6"/>
      <c r="BW280" s="6"/>
      <c r="BX280" s="6"/>
      <c r="BY280" s="35"/>
      <c r="BZ280" s="6"/>
      <c r="CA280" s="6"/>
      <c r="CB280" s="6"/>
      <c r="CC280" s="6"/>
      <c r="CD280" s="6"/>
      <c r="CE280" s="6"/>
      <c r="CF280" s="6"/>
      <c r="CG280" s="6"/>
      <c r="CH280" s="6"/>
      <c r="CI280" s="6">
        <v>0</v>
      </c>
      <c r="CJ280" s="6"/>
      <c r="CK280" s="6">
        <f t="shared" si="106"/>
        <v>0</v>
      </c>
      <c r="CL280" s="6">
        <v>506</v>
      </c>
      <c r="CM280" s="6"/>
      <c r="CN280" s="6">
        <f t="shared" si="105"/>
        <v>506</v>
      </c>
      <c r="CO280" s="6">
        <v>248</v>
      </c>
      <c r="CP280" s="6">
        <v>800</v>
      </c>
      <c r="CQ280" s="6">
        <f t="shared" si="104"/>
        <v>542</v>
      </c>
      <c r="CR280" s="6">
        <v>31</v>
      </c>
      <c r="CS280" s="6">
        <v>765</v>
      </c>
      <c r="CT280" s="6">
        <f t="shared" si="97"/>
        <v>548</v>
      </c>
      <c r="CU280" s="6"/>
      <c r="CV280" s="6"/>
      <c r="CW280" s="6"/>
      <c r="CX280" s="6">
        <v>609</v>
      </c>
      <c r="CY280" s="6"/>
      <c r="CZ280" s="6">
        <f t="shared" si="98"/>
        <v>578</v>
      </c>
      <c r="DA280" s="6">
        <v>353</v>
      </c>
      <c r="DB280" s="6">
        <v>800</v>
      </c>
      <c r="DC280" s="6">
        <f t="shared" si="99"/>
        <v>544</v>
      </c>
      <c r="DD280" s="6">
        <v>123</v>
      </c>
      <c r="DE280" s="6">
        <v>800</v>
      </c>
      <c r="DF280" s="6">
        <f t="shared" si="100"/>
        <v>570</v>
      </c>
      <c r="DG280" s="6">
        <v>316</v>
      </c>
      <c r="DH280" s="10"/>
      <c r="DI280" s="6">
        <f t="shared" si="101"/>
        <v>193</v>
      </c>
      <c r="DJ280" s="6">
        <v>316</v>
      </c>
      <c r="DK280" s="10"/>
      <c r="DL280" s="6">
        <f t="shared" si="102"/>
        <v>0</v>
      </c>
      <c r="DM280" s="6">
        <v>316</v>
      </c>
      <c r="DN280" s="10"/>
      <c r="DO280" s="6">
        <f t="shared" si="103"/>
        <v>0</v>
      </c>
    </row>
    <row r="281" spans="1:119">
      <c r="A281" s="6">
        <v>277</v>
      </c>
      <c r="B281" s="6"/>
      <c r="C281" s="10"/>
      <c r="D281" s="6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63" t="s">
        <v>248</v>
      </c>
      <c r="S281" s="141" t="s">
        <v>248</v>
      </c>
      <c r="T281" s="141" t="s">
        <v>248</v>
      </c>
      <c r="U281" s="141" t="s">
        <v>248</v>
      </c>
      <c r="V281" s="141" t="s">
        <v>248</v>
      </c>
      <c r="W281" s="141" t="s">
        <v>248</v>
      </c>
      <c r="X281" s="141" t="s">
        <v>248</v>
      </c>
      <c r="Y281" s="141" t="s">
        <v>248</v>
      </c>
      <c r="Z281" s="141" t="s">
        <v>248</v>
      </c>
      <c r="AA281" s="141" t="s">
        <v>248</v>
      </c>
      <c r="AB281" s="141" t="s">
        <v>248</v>
      </c>
      <c r="AC281" s="141" t="s">
        <v>248</v>
      </c>
      <c r="AD281" s="6"/>
      <c r="AE281" s="6"/>
      <c r="AF281" s="35"/>
      <c r="AG281" s="6"/>
      <c r="AH281" s="6"/>
      <c r="AI281" s="35"/>
      <c r="AJ281" s="35"/>
      <c r="AK281" s="35"/>
      <c r="AL281" s="35"/>
      <c r="AM281" s="6"/>
      <c r="AN281" s="6"/>
      <c r="AO281" s="35"/>
      <c r="AP281" s="6"/>
      <c r="AQ281" s="6"/>
      <c r="AR281" s="34"/>
      <c r="AS281" s="35"/>
      <c r="AT281" s="35"/>
      <c r="AU281" s="35"/>
      <c r="AV281" s="6"/>
      <c r="AW281" s="6"/>
      <c r="AX281" s="35"/>
      <c r="AY281" s="6"/>
      <c r="AZ281" s="6"/>
      <c r="BA281" s="35"/>
      <c r="BB281" s="35"/>
      <c r="BC281" s="35"/>
      <c r="BD281" s="35"/>
      <c r="BE281" s="35"/>
      <c r="BF281" s="6"/>
      <c r="BG281" s="35"/>
      <c r="BH281" s="6"/>
      <c r="BI281" s="6"/>
      <c r="BJ281" s="35"/>
      <c r="BK281" s="6"/>
      <c r="BL281" s="6"/>
      <c r="BM281" s="6"/>
      <c r="BN281" s="35"/>
      <c r="BO281" s="35"/>
      <c r="BP281" s="6"/>
      <c r="BQ281" s="35"/>
      <c r="BR281" s="35"/>
      <c r="BS281" s="35"/>
      <c r="BT281" s="35"/>
      <c r="BU281" s="35"/>
      <c r="BV281" s="6"/>
      <c r="BW281" s="6"/>
      <c r="BX281" s="6"/>
      <c r="BY281" s="35"/>
      <c r="BZ281" s="6"/>
      <c r="CA281" s="6"/>
      <c r="CB281" s="6"/>
      <c r="CC281" s="6"/>
      <c r="CD281" s="6"/>
      <c r="CE281" s="6">
        <f t="shared" si="107"/>
        <v>0</v>
      </c>
      <c r="CF281" s="6">
        <v>315</v>
      </c>
      <c r="CG281" s="6"/>
      <c r="CH281" s="6">
        <f t="shared" si="108"/>
        <v>315</v>
      </c>
      <c r="CI281" s="6">
        <v>234</v>
      </c>
      <c r="CJ281" s="6">
        <v>565</v>
      </c>
      <c r="CK281" s="6">
        <f t="shared" si="106"/>
        <v>484</v>
      </c>
      <c r="CL281" s="6">
        <v>766</v>
      </c>
      <c r="CM281" s="6"/>
      <c r="CN281" s="6">
        <f t="shared" si="105"/>
        <v>532</v>
      </c>
      <c r="CO281" s="6">
        <v>528</v>
      </c>
      <c r="CP281" s="6">
        <v>800</v>
      </c>
      <c r="CQ281" s="6">
        <f t="shared" si="104"/>
        <v>562</v>
      </c>
      <c r="CR281" s="6">
        <v>287</v>
      </c>
      <c r="CS281" s="6">
        <v>800</v>
      </c>
      <c r="CT281" s="6">
        <f t="shared" si="97"/>
        <v>559</v>
      </c>
      <c r="CU281" s="6"/>
      <c r="CV281" s="6"/>
      <c r="CW281" s="6"/>
      <c r="CX281" s="6">
        <v>50</v>
      </c>
      <c r="CY281" s="6">
        <v>800</v>
      </c>
      <c r="CZ281" s="6">
        <f t="shared" si="98"/>
        <v>563</v>
      </c>
      <c r="DA281" s="6">
        <v>618</v>
      </c>
      <c r="DB281" s="6"/>
      <c r="DC281" s="6">
        <f t="shared" si="99"/>
        <v>568</v>
      </c>
      <c r="DD281" s="6">
        <v>0</v>
      </c>
      <c r="DE281" s="6">
        <v>934</v>
      </c>
      <c r="DF281" s="6">
        <f t="shared" si="100"/>
        <v>316</v>
      </c>
      <c r="DG281" s="6">
        <v>0</v>
      </c>
      <c r="DH281" s="10"/>
      <c r="DI281" s="6">
        <f t="shared" si="101"/>
        <v>0</v>
      </c>
      <c r="DJ281" s="6">
        <v>0</v>
      </c>
      <c r="DK281" s="10"/>
      <c r="DL281" s="6">
        <f t="shared" si="102"/>
        <v>0</v>
      </c>
      <c r="DM281" s="6">
        <v>0</v>
      </c>
      <c r="DN281" s="10"/>
      <c r="DO281" s="6">
        <f t="shared" si="103"/>
        <v>0</v>
      </c>
    </row>
    <row r="282" spans="1:119">
      <c r="A282" s="6">
        <v>278</v>
      </c>
      <c r="B282" s="6"/>
      <c r="C282" s="10"/>
      <c r="D282" s="6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63"/>
      <c r="S282" s="141"/>
      <c r="T282" s="163" t="s">
        <v>248</v>
      </c>
      <c r="U282" s="141" t="s">
        <v>248</v>
      </c>
      <c r="V282" s="141" t="s">
        <v>248</v>
      </c>
      <c r="W282" s="141" t="s">
        <v>248</v>
      </c>
      <c r="X282" s="141" t="s">
        <v>248</v>
      </c>
      <c r="Y282" s="141" t="s">
        <v>248</v>
      </c>
      <c r="Z282" s="141" t="s">
        <v>248</v>
      </c>
      <c r="AA282" s="141" t="s">
        <v>248</v>
      </c>
      <c r="AB282" s="141" t="s">
        <v>248</v>
      </c>
      <c r="AC282" s="141" t="s">
        <v>248</v>
      </c>
      <c r="AD282" s="6"/>
      <c r="AE282" s="6"/>
      <c r="AF282" s="35"/>
      <c r="AG282" s="6"/>
      <c r="AH282" s="6"/>
      <c r="AI282" s="35"/>
      <c r="AJ282" s="35"/>
      <c r="AK282" s="35"/>
      <c r="AL282" s="35"/>
      <c r="AM282" s="6"/>
      <c r="AN282" s="6"/>
      <c r="AO282" s="35"/>
      <c r="AP282" s="6"/>
      <c r="AQ282" s="6"/>
      <c r="AR282" s="34"/>
      <c r="AS282" s="35"/>
      <c r="AT282" s="35"/>
      <c r="AU282" s="35"/>
      <c r="AV282" s="6"/>
      <c r="AW282" s="6"/>
      <c r="AX282" s="35"/>
      <c r="AY282" s="6"/>
      <c r="AZ282" s="6"/>
      <c r="BA282" s="35"/>
      <c r="BB282" s="35"/>
      <c r="BC282" s="35"/>
      <c r="BD282" s="35"/>
      <c r="BE282" s="35"/>
      <c r="BF282" s="6"/>
      <c r="BG282" s="35"/>
      <c r="BH282" s="6"/>
      <c r="BI282" s="6"/>
      <c r="BJ282" s="35"/>
      <c r="BK282" s="6"/>
      <c r="BL282" s="6"/>
      <c r="BM282" s="6"/>
      <c r="BN282" s="35"/>
      <c r="BO282" s="35"/>
      <c r="BP282" s="6"/>
      <c r="BQ282" s="35"/>
      <c r="BR282" s="35"/>
      <c r="BS282" s="35"/>
      <c r="BT282" s="35"/>
      <c r="BU282" s="35"/>
      <c r="BV282" s="6"/>
      <c r="BW282" s="6"/>
      <c r="BX282" s="6"/>
      <c r="BY282" s="35"/>
      <c r="BZ282" s="6"/>
      <c r="CA282" s="6"/>
      <c r="CB282" s="6"/>
      <c r="CC282" s="6"/>
      <c r="CD282" s="6"/>
      <c r="CE282" s="6"/>
      <c r="CF282" s="6"/>
      <c r="CG282" s="6"/>
      <c r="CH282" s="6"/>
      <c r="CI282" s="6">
        <v>11</v>
      </c>
      <c r="CJ282" s="6"/>
      <c r="CK282" s="6">
        <f t="shared" si="106"/>
        <v>11</v>
      </c>
      <c r="CL282" s="6">
        <v>575</v>
      </c>
      <c r="CM282" s="6"/>
      <c r="CN282" s="6">
        <f t="shared" si="105"/>
        <v>564</v>
      </c>
      <c r="CO282" s="6">
        <v>369</v>
      </c>
      <c r="CP282" s="6">
        <v>800</v>
      </c>
      <c r="CQ282" s="6">
        <f t="shared" si="104"/>
        <v>594</v>
      </c>
      <c r="CR282" s="6">
        <v>133</v>
      </c>
      <c r="CS282" s="6">
        <v>800</v>
      </c>
      <c r="CT282" s="6">
        <f t="shared" si="97"/>
        <v>564</v>
      </c>
      <c r="CU282" s="6"/>
      <c r="CV282" s="6"/>
      <c r="CW282" s="6"/>
      <c r="CX282" s="6">
        <v>703</v>
      </c>
      <c r="CY282" s="6"/>
      <c r="CZ282" s="6">
        <f t="shared" si="98"/>
        <v>570</v>
      </c>
      <c r="DA282" s="6">
        <v>422</v>
      </c>
      <c r="DB282" s="6">
        <v>800</v>
      </c>
      <c r="DC282" s="6">
        <f t="shared" si="99"/>
        <v>519</v>
      </c>
      <c r="DD282" s="6">
        <v>200</v>
      </c>
      <c r="DE282" s="6">
        <v>791</v>
      </c>
      <c r="DF282" s="6">
        <f t="shared" si="100"/>
        <v>569</v>
      </c>
      <c r="DG282" s="6">
        <v>395</v>
      </c>
      <c r="DH282" s="10"/>
      <c r="DI282" s="6">
        <f t="shared" si="101"/>
        <v>195</v>
      </c>
      <c r="DJ282" s="6">
        <v>395</v>
      </c>
      <c r="DK282" s="10"/>
      <c r="DL282" s="6">
        <f t="shared" si="102"/>
        <v>0</v>
      </c>
      <c r="DM282" s="6">
        <v>395</v>
      </c>
      <c r="DN282" s="10"/>
      <c r="DO282" s="6">
        <f t="shared" si="103"/>
        <v>0</v>
      </c>
    </row>
    <row r="283" spans="1:119">
      <c r="A283" s="6">
        <v>279</v>
      </c>
      <c r="B283" s="6"/>
      <c r="C283" s="10"/>
      <c r="D283" s="6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148" t="s">
        <v>248</v>
      </c>
      <c r="R283" s="33" t="s">
        <v>248</v>
      </c>
      <c r="S283" s="33" t="s">
        <v>248</v>
      </c>
      <c r="T283" s="33" t="s">
        <v>248</v>
      </c>
      <c r="U283" s="33" t="s">
        <v>248</v>
      </c>
      <c r="V283" s="33" t="s">
        <v>248</v>
      </c>
      <c r="W283" s="33" t="s">
        <v>248</v>
      </c>
      <c r="X283" s="33" t="s">
        <v>248</v>
      </c>
      <c r="Y283" s="33" t="s">
        <v>248</v>
      </c>
      <c r="Z283" s="33" t="s">
        <v>248</v>
      </c>
      <c r="AA283" s="33" t="s">
        <v>248</v>
      </c>
      <c r="AB283" s="33" t="s">
        <v>248</v>
      </c>
      <c r="AC283" s="33" t="s">
        <v>248</v>
      </c>
      <c r="AD283" s="6"/>
      <c r="AE283" s="6"/>
      <c r="AF283" s="35"/>
      <c r="AG283" s="6"/>
      <c r="AH283" s="6"/>
      <c r="AI283" s="35"/>
      <c r="AJ283" s="35"/>
      <c r="AK283" s="35"/>
      <c r="AL283" s="35"/>
      <c r="AM283" s="6"/>
      <c r="AN283" s="6"/>
      <c r="AO283" s="35"/>
      <c r="AP283" s="6"/>
      <c r="AQ283" s="34"/>
      <c r="AR283" s="34"/>
      <c r="AS283" s="35"/>
      <c r="AT283" s="35"/>
      <c r="AU283" s="35"/>
      <c r="AV283" s="6"/>
      <c r="AW283" s="6"/>
      <c r="AX283" s="35"/>
      <c r="AY283" s="6"/>
      <c r="AZ283" s="6"/>
      <c r="BA283" s="35"/>
      <c r="BB283" s="35"/>
      <c r="BC283" s="6"/>
      <c r="BD283" s="35"/>
      <c r="BE283" s="35"/>
      <c r="BF283" s="6"/>
      <c r="BG283" s="35"/>
      <c r="BH283" s="6"/>
      <c r="BI283" s="6"/>
      <c r="BJ283" s="35"/>
      <c r="BK283" s="6"/>
      <c r="BL283" s="6"/>
      <c r="BM283" s="6"/>
      <c r="BN283" s="35"/>
      <c r="BO283" s="35"/>
      <c r="BP283" s="6"/>
      <c r="BQ283" s="35"/>
      <c r="BR283" s="35"/>
      <c r="BS283" s="35"/>
      <c r="BT283" s="35"/>
      <c r="BU283" s="35"/>
      <c r="BV283" s="6"/>
      <c r="BW283" s="6"/>
      <c r="BX283" s="6"/>
      <c r="BY283" s="35">
        <f>BX283+BW283-BT283</f>
        <v>0</v>
      </c>
      <c r="BZ283" s="6"/>
      <c r="CA283" s="6"/>
      <c r="CB283" s="6"/>
      <c r="CC283" s="6"/>
      <c r="CD283" s="6"/>
      <c r="CE283" s="6">
        <f t="shared" si="107"/>
        <v>0</v>
      </c>
      <c r="CF283" s="6">
        <v>463</v>
      </c>
      <c r="CG283" s="6"/>
      <c r="CH283" s="6">
        <f t="shared" si="108"/>
        <v>463</v>
      </c>
      <c r="CI283" s="6">
        <v>207</v>
      </c>
      <c r="CJ283" s="6">
        <v>800</v>
      </c>
      <c r="CK283" s="6">
        <f t="shared" si="106"/>
        <v>544</v>
      </c>
      <c r="CL283" s="6">
        <v>765</v>
      </c>
      <c r="CM283" s="6"/>
      <c r="CN283" s="6">
        <f t="shared" si="105"/>
        <v>558</v>
      </c>
      <c r="CO283" s="6">
        <v>531</v>
      </c>
      <c r="CP283" s="6">
        <v>800</v>
      </c>
      <c r="CQ283" s="6">
        <f t="shared" si="104"/>
        <v>566</v>
      </c>
      <c r="CR283" s="6">
        <v>236</v>
      </c>
      <c r="CS283" s="6">
        <v>800</v>
      </c>
      <c r="CT283" s="6">
        <f t="shared" si="97"/>
        <v>505</v>
      </c>
      <c r="CU283" s="6"/>
      <c r="CV283" s="6"/>
      <c r="CW283" s="6"/>
      <c r="CX283" s="6">
        <v>330</v>
      </c>
      <c r="CY283" s="6">
        <v>434</v>
      </c>
      <c r="CZ283" s="6">
        <f t="shared" si="98"/>
        <v>528</v>
      </c>
      <c r="DA283" s="6">
        <v>107</v>
      </c>
      <c r="DB283" s="6">
        <v>782</v>
      </c>
      <c r="DC283" s="6">
        <f t="shared" si="99"/>
        <v>559</v>
      </c>
      <c r="DD283" s="6">
        <v>0</v>
      </c>
      <c r="DE283" s="6">
        <v>298</v>
      </c>
      <c r="DF283" s="6">
        <f t="shared" si="100"/>
        <v>191</v>
      </c>
      <c r="DG283" s="6">
        <v>0</v>
      </c>
      <c r="DH283" s="10"/>
      <c r="DI283" s="6">
        <f t="shared" si="101"/>
        <v>0</v>
      </c>
      <c r="DJ283" s="6">
        <v>0</v>
      </c>
      <c r="DK283" s="10"/>
      <c r="DL283" s="6">
        <f t="shared" si="102"/>
        <v>0</v>
      </c>
      <c r="DM283" s="6">
        <v>0</v>
      </c>
      <c r="DN283" s="10"/>
      <c r="DO283" s="6">
        <f t="shared" si="103"/>
        <v>0</v>
      </c>
    </row>
    <row r="284" spans="1:119">
      <c r="A284" s="6">
        <v>280</v>
      </c>
      <c r="B284" s="6"/>
      <c r="C284" s="10"/>
      <c r="D284" s="6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163" t="s">
        <v>248</v>
      </c>
      <c r="S284" s="141" t="s">
        <v>248</v>
      </c>
      <c r="T284" s="141" t="s">
        <v>248</v>
      </c>
      <c r="U284" s="141" t="s">
        <v>248</v>
      </c>
      <c r="V284" s="141" t="s">
        <v>248</v>
      </c>
      <c r="W284" s="141" t="s">
        <v>248</v>
      </c>
      <c r="X284" s="141" t="s">
        <v>248</v>
      </c>
      <c r="Y284" s="141" t="s">
        <v>248</v>
      </c>
      <c r="Z284" s="141" t="s">
        <v>248</v>
      </c>
      <c r="AA284" s="141" t="s">
        <v>248</v>
      </c>
      <c r="AB284" s="141" t="s">
        <v>248</v>
      </c>
      <c r="AC284" s="141" t="s">
        <v>248</v>
      </c>
      <c r="AD284" s="6"/>
      <c r="AE284" s="6"/>
      <c r="AF284" s="35"/>
      <c r="AG284" s="6"/>
      <c r="AH284" s="6"/>
      <c r="AI284" s="35"/>
      <c r="AJ284" s="35"/>
      <c r="AK284" s="35"/>
      <c r="AL284" s="35"/>
      <c r="AM284" s="6"/>
      <c r="AN284" s="6"/>
      <c r="AO284" s="35"/>
      <c r="AP284" s="6"/>
      <c r="AQ284" s="34"/>
      <c r="AR284" s="34"/>
      <c r="AS284" s="35"/>
      <c r="AT284" s="35"/>
      <c r="AU284" s="35"/>
      <c r="AV284" s="6"/>
      <c r="AW284" s="6"/>
      <c r="AX284" s="35"/>
      <c r="AY284" s="6"/>
      <c r="AZ284" s="6"/>
      <c r="BA284" s="35"/>
      <c r="BB284" s="35"/>
      <c r="BC284" s="6"/>
      <c r="BD284" s="35"/>
      <c r="BE284" s="35"/>
      <c r="BF284" s="6"/>
      <c r="BG284" s="35"/>
      <c r="BH284" s="6"/>
      <c r="BI284" s="6"/>
      <c r="BJ284" s="35"/>
      <c r="BK284" s="6"/>
      <c r="BL284" s="6"/>
      <c r="BM284" s="6"/>
      <c r="BN284" s="35"/>
      <c r="BO284" s="35"/>
      <c r="BP284" s="6"/>
      <c r="BQ284" s="35"/>
      <c r="BR284" s="35"/>
      <c r="BS284" s="35"/>
      <c r="BT284" s="35"/>
      <c r="BU284" s="35"/>
      <c r="BV284" s="6"/>
      <c r="BW284" s="6"/>
      <c r="BX284" s="6"/>
      <c r="BY284" s="35"/>
      <c r="BZ284" s="6"/>
      <c r="CA284" s="6"/>
      <c r="CB284" s="6"/>
      <c r="CC284" s="6"/>
      <c r="CD284" s="6"/>
      <c r="CE284" s="6">
        <f t="shared" si="107"/>
        <v>0</v>
      </c>
      <c r="CF284" s="6"/>
      <c r="CG284" s="6"/>
      <c r="CH284" s="6">
        <f t="shared" si="108"/>
        <v>0</v>
      </c>
      <c r="CI284" s="6">
        <v>361</v>
      </c>
      <c r="CJ284" s="6"/>
      <c r="CK284" s="6">
        <f t="shared" si="106"/>
        <v>361</v>
      </c>
      <c r="CL284" s="6">
        <v>113</v>
      </c>
      <c r="CM284" s="6">
        <v>800</v>
      </c>
      <c r="CN284" s="6">
        <f t="shared" si="105"/>
        <v>552</v>
      </c>
      <c r="CO284" s="6">
        <v>671</v>
      </c>
      <c r="CP284" s="6"/>
      <c r="CQ284" s="6">
        <f t="shared" si="104"/>
        <v>558</v>
      </c>
      <c r="CR284" s="6">
        <v>334</v>
      </c>
      <c r="CS284" s="6">
        <v>800</v>
      </c>
      <c r="CT284" s="6">
        <f t="shared" si="97"/>
        <v>463</v>
      </c>
      <c r="CU284" s="6"/>
      <c r="CV284" s="6"/>
      <c r="CW284" s="6"/>
      <c r="CX284" s="6">
        <v>288</v>
      </c>
      <c r="CY284" s="6">
        <v>527</v>
      </c>
      <c r="CZ284" s="6">
        <f t="shared" si="98"/>
        <v>481</v>
      </c>
      <c r="DA284" s="6">
        <v>1</v>
      </c>
      <c r="DB284" s="6">
        <v>768</v>
      </c>
      <c r="DC284" s="6">
        <f t="shared" si="99"/>
        <v>481</v>
      </c>
      <c r="DD284" s="6">
        <v>388</v>
      </c>
      <c r="DE284" s="6"/>
      <c r="DF284" s="6">
        <f t="shared" si="100"/>
        <v>387</v>
      </c>
      <c r="DG284" s="6">
        <v>0</v>
      </c>
      <c r="DH284" s="10">
        <v>388</v>
      </c>
      <c r="DI284" s="6">
        <f t="shared" si="101"/>
        <v>0</v>
      </c>
      <c r="DJ284" s="6">
        <v>0</v>
      </c>
      <c r="DK284" s="10"/>
      <c r="DL284" s="6">
        <f t="shared" si="102"/>
        <v>0</v>
      </c>
      <c r="DM284" s="6">
        <v>0</v>
      </c>
      <c r="DN284" s="10"/>
      <c r="DO284" s="6">
        <f t="shared" si="103"/>
        <v>0</v>
      </c>
    </row>
    <row r="285" spans="1:119">
      <c r="A285" s="6">
        <v>281</v>
      </c>
      <c r="B285" s="6"/>
      <c r="C285" s="10"/>
      <c r="D285" s="6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148" t="s">
        <v>248</v>
      </c>
      <c r="R285" s="33" t="s">
        <v>248</v>
      </c>
      <c r="S285" s="33" t="s">
        <v>248</v>
      </c>
      <c r="T285" s="33" t="s">
        <v>248</v>
      </c>
      <c r="U285" s="33" t="s">
        <v>248</v>
      </c>
      <c r="V285" s="33" t="s">
        <v>248</v>
      </c>
      <c r="W285" s="33" t="s">
        <v>248</v>
      </c>
      <c r="X285" s="33" t="s">
        <v>248</v>
      </c>
      <c r="Y285" s="33" t="s">
        <v>248</v>
      </c>
      <c r="Z285" s="148" t="s">
        <v>248</v>
      </c>
      <c r="AA285" s="33" t="s">
        <v>248</v>
      </c>
      <c r="AB285" s="33" t="s">
        <v>248</v>
      </c>
      <c r="AC285" s="33" t="s">
        <v>248</v>
      </c>
      <c r="AD285" s="6"/>
      <c r="AE285" s="6"/>
      <c r="AF285" s="35"/>
      <c r="AG285" s="6"/>
      <c r="AH285" s="6"/>
      <c r="AI285" s="35"/>
      <c r="AJ285" s="35"/>
      <c r="AK285" s="35"/>
      <c r="AL285" s="35"/>
      <c r="AM285" s="6"/>
      <c r="AN285" s="6"/>
      <c r="AO285" s="35"/>
      <c r="AP285" s="6"/>
      <c r="AQ285" s="34"/>
      <c r="AR285" s="34"/>
      <c r="AS285" s="35"/>
      <c r="AT285" s="35"/>
      <c r="AU285" s="35"/>
      <c r="AV285" s="6"/>
      <c r="AW285" s="6"/>
      <c r="AX285" s="35"/>
      <c r="AY285" s="6"/>
      <c r="AZ285" s="6"/>
      <c r="BA285" s="35"/>
      <c r="BB285" s="35"/>
      <c r="BC285" s="6"/>
      <c r="BD285" s="35"/>
      <c r="BE285" s="35"/>
      <c r="BF285" s="6"/>
      <c r="BG285" s="35"/>
      <c r="BH285" s="6"/>
      <c r="BI285" s="6"/>
      <c r="BJ285" s="35"/>
      <c r="BK285" s="6"/>
      <c r="BL285" s="6"/>
      <c r="BM285" s="6"/>
      <c r="BN285" s="35"/>
      <c r="BO285" s="35"/>
      <c r="BP285" s="6"/>
      <c r="BQ285" s="35"/>
      <c r="BR285" s="35"/>
      <c r="BS285" s="35"/>
      <c r="BT285" s="35"/>
      <c r="BU285" s="35"/>
      <c r="BV285" s="6"/>
      <c r="BW285" s="6"/>
      <c r="BX285" s="6"/>
      <c r="BY285" s="35">
        <f>BX285+BW285-BT285</f>
        <v>0</v>
      </c>
      <c r="BZ285" s="6"/>
      <c r="CA285" s="6"/>
      <c r="CB285" s="6"/>
      <c r="CC285" s="6">
        <v>233</v>
      </c>
      <c r="CD285" s="6"/>
      <c r="CE285" s="6">
        <f t="shared" ref="CE285:CE305" si="109">CD285+CC285-BW285</f>
        <v>233</v>
      </c>
      <c r="CF285" s="6">
        <v>541</v>
      </c>
      <c r="CG285" s="6"/>
      <c r="CH285" s="6">
        <f t="shared" si="108"/>
        <v>308</v>
      </c>
      <c r="CI285" s="6">
        <v>255</v>
      </c>
      <c r="CJ285" s="6">
        <v>814</v>
      </c>
      <c r="CK285" s="6">
        <f t="shared" si="106"/>
        <v>528</v>
      </c>
      <c r="CL285" s="6">
        <v>413</v>
      </c>
      <c r="CM285" s="6">
        <v>355</v>
      </c>
      <c r="CN285" s="6">
        <f t="shared" si="105"/>
        <v>513</v>
      </c>
      <c r="CO285" s="6">
        <v>215</v>
      </c>
      <c r="CP285" s="6">
        <v>800</v>
      </c>
      <c r="CQ285" s="6">
        <f t="shared" si="104"/>
        <v>602</v>
      </c>
      <c r="CR285" s="6">
        <v>18</v>
      </c>
      <c r="CS285" s="6">
        <v>532</v>
      </c>
      <c r="CT285" s="6">
        <f t="shared" si="97"/>
        <v>335</v>
      </c>
      <c r="CU285" s="6"/>
      <c r="CV285" s="6"/>
      <c r="CW285" s="6"/>
      <c r="CX285" s="6">
        <v>219</v>
      </c>
      <c r="CY285" s="6">
        <v>387</v>
      </c>
      <c r="CZ285" s="6">
        <f t="shared" si="98"/>
        <v>588</v>
      </c>
      <c r="DA285" s="6">
        <v>97</v>
      </c>
      <c r="DB285" s="6">
        <v>669</v>
      </c>
      <c r="DC285" s="6">
        <f t="shared" si="99"/>
        <v>547</v>
      </c>
      <c r="DD285" s="6">
        <v>522</v>
      </c>
      <c r="DE285" s="6"/>
      <c r="DF285" s="6">
        <f t="shared" si="100"/>
        <v>425</v>
      </c>
      <c r="DG285" s="6">
        <v>0</v>
      </c>
      <c r="DH285" s="10">
        <v>679</v>
      </c>
      <c r="DI285" s="6">
        <f t="shared" si="101"/>
        <v>157</v>
      </c>
      <c r="DJ285" s="6">
        <v>0</v>
      </c>
      <c r="DK285" s="10"/>
      <c r="DL285" s="6">
        <f t="shared" si="102"/>
        <v>0</v>
      </c>
      <c r="DM285" s="6">
        <v>0</v>
      </c>
      <c r="DN285" s="10"/>
      <c r="DO285" s="6">
        <f t="shared" si="103"/>
        <v>0</v>
      </c>
    </row>
    <row r="286" spans="1:119">
      <c r="A286" s="6">
        <v>282</v>
      </c>
      <c r="B286" s="6"/>
      <c r="C286" s="10"/>
      <c r="D286" s="6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148" t="s">
        <v>248</v>
      </c>
      <c r="S286" s="33" t="s">
        <v>248</v>
      </c>
      <c r="T286" s="33" t="s">
        <v>248</v>
      </c>
      <c r="U286" s="33" t="s">
        <v>248</v>
      </c>
      <c r="V286" s="33" t="s">
        <v>248</v>
      </c>
      <c r="W286" s="33" t="s">
        <v>248</v>
      </c>
      <c r="X286" s="33" t="s">
        <v>248</v>
      </c>
      <c r="Y286" s="33" t="s">
        <v>248</v>
      </c>
      <c r="Z286" s="33" t="s">
        <v>248</v>
      </c>
      <c r="AA286" s="33" t="s">
        <v>248</v>
      </c>
      <c r="AB286" s="33" t="s">
        <v>248</v>
      </c>
      <c r="AC286" s="33" t="s">
        <v>248</v>
      </c>
      <c r="AD286" s="6"/>
      <c r="AE286" s="6"/>
      <c r="AF286" s="35"/>
      <c r="AG286" s="6"/>
      <c r="AH286" s="6"/>
      <c r="AI286" s="35"/>
      <c r="AJ286" s="35"/>
      <c r="AK286" s="35"/>
      <c r="AL286" s="35"/>
      <c r="AM286" s="6"/>
      <c r="AN286" s="6"/>
      <c r="AO286" s="35"/>
      <c r="AP286" s="6"/>
      <c r="AQ286" s="34"/>
      <c r="AR286" s="34"/>
      <c r="AS286" s="35"/>
      <c r="AT286" s="35"/>
      <c r="AU286" s="35"/>
      <c r="AV286" s="6"/>
      <c r="AW286" s="6"/>
      <c r="AX286" s="35"/>
      <c r="AY286" s="6"/>
      <c r="AZ286" s="6"/>
      <c r="BA286" s="35"/>
      <c r="BB286" s="35"/>
      <c r="BC286" s="6"/>
      <c r="BD286" s="35"/>
      <c r="BE286" s="35"/>
      <c r="BF286" s="6"/>
      <c r="BG286" s="35"/>
      <c r="BH286" s="6"/>
      <c r="BI286" s="6"/>
      <c r="BJ286" s="35"/>
      <c r="BK286" s="6"/>
      <c r="BL286" s="6"/>
      <c r="BM286" s="6"/>
      <c r="BN286" s="35"/>
      <c r="BO286" s="35"/>
      <c r="BP286" s="6"/>
      <c r="BQ286" s="35"/>
      <c r="BR286" s="35"/>
      <c r="BS286" s="35"/>
      <c r="BT286" s="35"/>
      <c r="BU286" s="35"/>
      <c r="BV286" s="6"/>
      <c r="BW286" s="6"/>
      <c r="BX286" s="6"/>
      <c r="BY286" s="35"/>
      <c r="BZ286" s="6"/>
      <c r="CA286" s="6"/>
      <c r="CB286" s="6"/>
      <c r="CC286" s="6"/>
      <c r="CD286" s="6"/>
      <c r="CE286" s="6">
        <f t="shared" si="109"/>
        <v>0</v>
      </c>
      <c r="CF286" s="6"/>
      <c r="CG286" s="6"/>
      <c r="CH286" s="6">
        <f t="shared" si="108"/>
        <v>0</v>
      </c>
      <c r="CI286" s="6">
        <v>389</v>
      </c>
      <c r="CJ286" s="6"/>
      <c r="CK286" s="6">
        <f t="shared" si="106"/>
        <v>389</v>
      </c>
      <c r="CL286" s="6">
        <v>126</v>
      </c>
      <c r="CM286" s="6">
        <v>800</v>
      </c>
      <c r="CN286" s="6">
        <f t="shared" si="105"/>
        <v>537</v>
      </c>
      <c r="CO286" s="6">
        <v>681</v>
      </c>
      <c r="CP286" s="6"/>
      <c r="CQ286" s="6">
        <f t="shared" si="104"/>
        <v>555</v>
      </c>
      <c r="CR286" s="6">
        <v>406</v>
      </c>
      <c r="CS286" s="6">
        <v>800</v>
      </c>
      <c r="CT286" s="6">
        <f t="shared" si="97"/>
        <v>525</v>
      </c>
      <c r="CU286" s="6"/>
      <c r="CV286" s="6"/>
      <c r="CW286" s="6"/>
      <c r="CX286" s="6">
        <v>145</v>
      </c>
      <c r="CY286" s="6">
        <v>800</v>
      </c>
      <c r="CZ286" s="6">
        <f t="shared" si="98"/>
        <v>539</v>
      </c>
      <c r="DA286" s="6">
        <v>677</v>
      </c>
      <c r="DB286" s="6"/>
      <c r="DC286" s="6">
        <f t="shared" si="99"/>
        <v>532</v>
      </c>
      <c r="DD286" s="6">
        <v>498</v>
      </c>
      <c r="DE286" s="6">
        <v>705</v>
      </c>
      <c r="DF286" s="6">
        <f t="shared" si="100"/>
        <v>526</v>
      </c>
      <c r="DG286" s="6">
        <v>0</v>
      </c>
      <c r="DH286" s="10">
        <v>583</v>
      </c>
      <c r="DI286" s="6">
        <f t="shared" si="101"/>
        <v>85</v>
      </c>
      <c r="DJ286" s="6">
        <v>0</v>
      </c>
      <c r="DK286" s="10"/>
      <c r="DL286" s="6">
        <f t="shared" si="102"/>
        <v>0</v>
      </c>
      <c r="DM286" s="6">
        <v>0</v>
      </c>
      <c r="DN286" s="10"/>
      <c r="DO286" s="6">
        <f t="shared" si="103"/>
        <v>0</v>
      </c>
    </row>
    <row r="287" spans="1:119">
      <c r="A287" s="6">
        <v>283</v>
      </c>
      <c r="B287" s="6"/>
      <c r="C287" s="10"/>
      <c r="D287" s="6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148" t="s">
        <v>248</v>
      </c>
      <c r="R287" s="33" t="s">
        <v>248</v>
      </c>
      <c r="S287" s="33" t="s">
        <v>248</v>
      </c>
      <c r="T287" s="33" t="s">
        <v>248</v>
      </c>
      <c r="U287" s="33" t="s">
        <v>248</v>
      </c>
      <c r="V287" s="33" t="s">
        <v>248</v>
      </c>
      <c r="W287" s="33" t="s">
        <v>248</v>
      </c>
      <c r="X287" s="33" t="s">
        <v>248</v>
      </c>
      <c r="Y287" s="33" t="s">
        <v>248</v>
      </c>
      <c r="Z287" s="148" t="s">
        <v>248</v>
      </c>
      <c r="AA287" s="33" t="s">
        <v>248</v>
      </c>
      <c r="AB287" s="33" t="s">
        <v>248</v>
      </c>
      <c r="AC287" s="33" t="s">
        <v>248</v>
      </c>
      <c r="AD287" s="6"/>
      <c r="AE287" s="6"/>
      <c r="AF287" s="35"/>
      <c r="AG287" s="6"/>
      <c r="AH287" s="6"/>
      <c r="AI287" s="35"/>
      <c r="AJ287" s="35"/>
      <c r="AK287" s="35"/>
      <c r="AL287" s="35"/>
      <c r="AM287" s="6"/>
      <c r="AN287" s="6"/>
      <c r="AO287" s="35"/>
      <c r="AP287" s="6"/>
      <c r="AQ287" s="34"/>
      <c r="AR287" s="34"/>
      <c r="AS287" s="35"/>
      <c r="AT287" s="35"/>
      <c r="AU287" s="35"/>
      <c r="AV287" s="6"/>
      <c r="AW287" s="6"/>
      <c r="AX287" s="35"/>
      <c r="AY287" s="6"/>
      <c r="AZ287" s="6"/>
      <c r="BA287" s="35"/>
      <c r="BB287" s="35"/>
      <c r="BC287" s="6"/>
      <c r="BD287" s="35"/>
      <c r="BE287" s="35"/>
      <c r="BF287" s="6"/>
      <c r="BG287" s="35"/>
      <c r="BH287" s="6"/>
      <c r="BI287" s="6"/>
      <c r="BJ287" s="35"/>
      <c r="BK287" s="6"/>
      <c r="BL287" s="6"/>
      <c r="BM287" s="6"/>
      <c r="BN287" s="35"/>
      <c r="BO287" s="35"/>
      <c r="BP287" s="6"/>
      <c r="BQ287" s="35"/>
      <c r="BR287" s="35"/>
      <c r="BS287" s="35"/>
      <c r="BT287" s="35"/>
      <c r="BU287" s="35"/>
      <c r="BV287" s="6"/>
      <c r="BW287" s="6"/>
      <c r="BX287" s="6"/>
      <c r="BY287" s="35">
        <f>BX287+BW287-BT287</f>
        <v>0</v>
      </c>
      <c r="BZ287" s="6"/>
      <c r="CA287" s="6"/>
      <c r="CB287" s="6"/>
      <c r="CC287" s="6">
        <v>373</v>
      </c>
      <c r="CD287" s="6"/>
      <c r="CE287" s="6">
        <f t="shared" si="109"/>
        <v>373</v>
      </c>
      <c r="CF287" s="6">
        <v>72</v>
      </c>
      <c r="CG287" s="6">
        <v>801</v>
      </c>
      <c r="CH287" s="6">
        <f t="shared" si="108"/>
        <v>500</v>
      </c>
      <c r="CI287" s="6">
        <v>609</v>
      </c>
      <c r="CJ287" s="6"/>
      <c r="CK287" s="6">
        <f t="shared" si="106"/>
        <v>537</v>
      </c>
      <c r="CL287" s="6">
        <v>350</v>
      </c>
      <c r="CM287" s="6">
        <v>800</v>
      </c>
      <c r="CN287" s="6">
        <f t="shared" si="105"/>
        <v>541</v>
      </c>
      <c r="CO287" s="6">
        <v>133</v>
      </c>
      <c r="CP287" s="6">
        <v>800</v>
      </c>
      <c r="CQ287" s="6">
        <f t="shared" si="104"/>
        <v>583</v>
      </c>
      <c r="CR287" s="6">
        <v>688</v>
      </c>
      <c r="CS287" s="6"/>
      <c r="CT287" s="6">
        <f t="shared" si="97"/>
        <v>555</v>
      </c>
      <c r="CU287" s="6"/>
      <c r="CV287" s="6"/>
      <c r="CW287" s="6"/>
      <c r="CX287" s="6">
        <v>439</v>
      </c>
      <c r="CY287" s="6">
        <v>800</v>
      </c>
      <c r="CZ287" s="6">
        <f t="shared" si="98"/>
        <v>551</v>
      </c>
      <c r="DA287" s="6">
        <v>1</v>
      </c>
      <c r="DB287" s="6">
        <v>711</v>
      </c>
      <c r="DC287" s="6">
        <f t="shared" si="99"/>
        <v>273</v>
      </c>
      <c r="DD287" s="6">
        <v>362</v>
      </c>
      <c r="DE287" s="6"/>
      <c r="DF287" s="6">
        <f t="shared" si="100"/>
        <v>361</v>
      </c>
      <c r="DG287" s="6">
        <v>0</v>
      </c>
      <c r="DH287" s="10">
        <v>719</v>
      </c>
      <c r="DI287" s="6">
        <f t="shared" si="101"/>
        <v>357</v>
      </c>
      <c r="DJ287" s="6">
        <v>0</v>
      </c>
      <c r="DK287" s="10"/>
      <c r="DL287" s="6">
        <f t="shared" si="102"/>
        <v>0</v>
      </c>
      <c r="DM287" s="6">
        <v>0</v>
      </c>
      <c r="DN287" s="10"/>
      <c r="DO287" s="6">
        <f t="shared" si="103"/>
        <v>0</v>
      </c>
    </row>
    <row r="288" spans="1:119">
      <c r="A288" s="6">
        <v>284</v>
      </c>
      <c r="B288" s="6"/>
      <c r="C288" s="10"/>
      <c r="D288" s="6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148" t="s">
        <v>248</v>
      </c>
      <c r="S288" s="33" t="s">
        <v>248</v>
      </c>
      <c r="T288" s="33" t="s">
        <v>248</v>
      </c>
      <c r="U288" s="33" t="s">
        <v>248</v>
      </c>
      <c r="V288" s="33" t="s">
        <v>248</v>
      </c>
      <c r="W288" s="33" t="s">
        <v>248</v>
      </c>
      <c r="X288" s="33" t="s">
        <v>248</v>
      </c>
      <c r="Y288" s="33" t="s">
        <v>248</v>
      </c>
      <c r="Z288" s="33" t="s">
        <v>248</v>
      </c>
      <c r="AA288" s="33" t="s">
        <v>248</v>
      </c>
      <c r="AB288" s="33" t="s">
        <v>248</v>
      </c>
      <c r="AC288" s="33" t="s">
        <v>248</v>
      </c>
      <c r="AD288" s="6"/>
      <c r="AE288" s="6"/>
      <c r="AF288" s="35"/>
      <c r="AG288" s="6"/>
      <c r="AH288" s="6"/>
      <c r="AI288" s="35"/>
      <c r="AJ288" s="35"/>
      <c r="AK288" s="35"/>
      <c r="AL288" s="35"/>
      <c r="AM288" s="6"/>
      <c r="AN288" s="6"/>
      <c r="AO288" s="35"/>
      <c r="AP288" s="6"/>
      <c r="AQ288" s="34"/>
      <c r="AR288" s="34"/>
      <c r="AS288" s="35"/>
      <c r="AT288" s="35"/>
      <c r="AU288" s="35"/>
      <c r="AV288" s="6"/>
      <c r="AW288" s="6"/>
      <c r="AX288" s="35"/>
      <c r="AY288" s="6"/>
      <c r="AZ288" s="6"/>
      <c r="BA288" s="35"/>
      <c r="BB288" s="35"/>
      <c r="BC288" s="6"/>
      <c r="BD288" s="35"/>
      <c r="BE288" s="35"/>
      <c r="BF288" s="6"/>
      <c r="BG288" s="35"/>
      <c r="BH288" s="6"/>
      <c r="BI288" s="6"/>
      <c r="BJ288" s="35"/>
      <c r="BK288" s="6"/>
      <c r="BL288" s="6"/>
      <c r="BM288" s="6"/>
      <c r="BN288" s="35"/>
      <c r="BO288" s="35"/>
      <c r="BP288" s="6"/>
      <c r="BQ288" s="35"/>
      <c r="BR288" s="35"/>
      <c r="BS288" s="35"/>
      <c r="BT288" s="35"/>
      <c r="BU288" s="35"/>
      <c r="BV288" s="6"/>
      <c r="BW288" s="6"/>
      <c r="BX288" s="6"/>
      <c r="BY288" s="35"/>
      <c r="BZ288" s="6"/>
      <c r="CA288" s="6"/>
      <c r="CB288" s="6"/>
      <c r="CC288" s="6"/>
      <c r="CD288" s="6"/>
      <c r="CE288" s="6">
        <f t="shared" si="109"/>
        <v>0</v>
      </c>
      <c r="CF288" s="6"/>
      <c r="CG288" s="6"/>
      <c r="CH288" s="6">
        <f t="shared" si="108"/>
        <v>0</v>
      </c>
      <c r="CI288" s="6">
        <v>456</v>
      </c>
      <c r="CJ288" s="6"/>
      <c r="CK288" s="6">
        <f t="shared" si="106"/>
        <v>456</v>
      </c>
      <c r="CL288" s="6">
        <v>190</v>
      </c>
      <c r="CM288" s="6">
        <v>800</v>
      </c>
      <c r="CN288" s="6">
        <f t="shared" si="105"/>
        <v>534</v>
      </c>
      <c r="CO288" s="6">
        <v>737</v>
      </c>
      <c r="CP288" s="6"/>
      <c r="CQ288" s="6">
        <f t="shared" si="104"/>
        <v>547</v>
      </c>
      <c r="CR288" s="6">
        <v>30</v>
      </c>
      <c r="CS288" s="6">
        <f>800+399</f>
        <v>1199</v>
      </c>
      <c r="CT288" s="6">
        <f t="shared" si="97"/>
        <v>492</v>
      </c>
      <c r="CU288" s="6"/>
      <c r="CV288" s="6"/>
      <c r="CW288" s="6"/>
      <c r="CX288" s="6">
        <v>548</v>
      </c>
      <c r="CY288" s="6"/>
      <c r="CZ288" s="6">
        <f t="shared" si="98"/>
        <v>518</v>
      </c>
      <c r="DA288" s="6">
        <v>346</v>
      </c>
      <c r="DB288" s="6">
        <v>800</v>
      </c>
      <c r="DC288" s="6">
        <f t="shared" si="99"/>
        <v>598</v>
      </c>
      <c r="DD288" s="6">
        <v>764</v>
      </c>
      <c r="DE288" s="6"/>
      <c r="DF288" s="6">
        <f t="shared" si="100"/>
        <v>418</v>
      </c>
      <c r="DG288" s="6">
        <v>0</v>
      </c>
      <c r="DH288" s="10">
        <v>800</v>
      </c>
      <c r="DI288" s="6">
        <f t="shared" si="101"/>
        <v>36</v>
      </c>
      <c r="DJ288" s="6">
        <v>0</v>
      </c>
      <c r="DK288" s="10"/>
      <c r="DL288" s="6">
        <f t="shared" si="102"/>
        <v>0</v>
      </c>
      <c r="DM288" s="6">
        <v>0</v>
      </c>
      <c r="DN288" s="10"/>
      <c r="DO288" s="6">
        <f t="shared" si="103"/>
        <v>0</v>
      </c>
    </row>
    <row r="289" spans="1:119">
      <c r="A289" s="6">
        <v>285</v>
      </c>
      <c r="B289" s="6"/>
      <c r="C289" s="10"/>
      <c r="D289" s="6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148" t="s">
        <v>248</v>
      </c>
      <c r="R289" s="33" t="s">
        <v>248</v>
      </c>
      <c r="S289" s="33" t="s">
        <v>248</v>
      </c>
      <c r="T289" s="33" t="s">
        <v>248</v>
      </c>
      <c r="U289" s="33" t="s">
        <v>248</v>
      </c>
      <c r="V289" s="33" t="s">
        <v>248</v>
      </c>
      <c r="W289" s="33" t="s">
        <v>248</v>
      </c>
      <c r="X289" s="33" t="s">
        <v>248</v>
      </c>
      <c r="Y289" s="148" t="s">
        <v>248</v>
      </c>
      <c r="Z289" s="33" t="s">
        <v>248</v>
      </c>
      <c r="AA289" s="33" t="s">
        <v>248</v>
      </c>
      <c r="AB289" s="33" t="s">
        <v>248</v>
      </c>
      <c r="AC289" s="33" t="s">
        <v>248</v>
      </c>
      <c r="AD289" s="6"/>
      <c r="AE289" s="6"/>
      <c r="AF289" s="35"/>
      <c r="AG289" s="6"/>
      <c r="AH289" s="6"/>
      <c r="AI289" s="35"/>
      <c r="AJ289" s="35"/>
      <c r="AK289" s="35"/>
      <c r="AL289" s="35"/>
      <c r="AM289" s="6"/>
      <c r="AN289" s="6"/>
      <c r="AO289" s="35"/>
      <c r="AP289" s="6"/>
      <c r="AQ289" s="34"/>
      <c r="AR289" s="34"/>
      <c r="AS289" s="35"/>
      <c r="AT289" s="35"/>
      <c r="AU289" s="35"/>
      <c r="AV289" s="6"/>
      <c r="AW289" s="6"/>
      <c r="AX289" s="35"/>
      <c r="AY289" s="6"/>
      <c r="AZ289" s="6"/>
      <c r="BA289" s="35"/>
      <c r="BB289" s="35"/>
      <c r="BC289" s="6"/>
      <c r="BD289" s="35"/>
      <c r="BE289" s="35"/>
      <c r="BF289" s="6"/>
      <c r="BG289" s="35"/>
      <c r="BH289" s="6"/>
      <c r="BI289" s="6"/>
      <c r="BJ289" s="35"/>
      <c r="BK289" s="6"/>
      <c r="BL289" s="6"/>
      <c r="BM289" s="6"/>
      <c r="BN289" s="35"/>
      <c r="BO289" s="35"/>
      <c r="BP289" s="6"/>
      <c r="BQ289" s="35"/>
      <c r="BR289" s="35"/>
      <c r="BS289" s="35"/>
      <c r="BT289" s="35"/>
      <c r="BU289" s="35"/>
      <c r="BV289" s="6"/>
      <c r="BW289" s="6">
        <v>500</v>
      </c>
      <c r="BX289" s="6"/>
      <c r="BY289" s="35">
        <f>BX289+BW289-BT289</f>
        <v>500</v>
      </c>
      <c r="BZ289" s="6"/>
      <c r="CA289" s="6"/>
      <c r="CB289" s="6"/>
      <c r="CC289" s="6">
        <v>291</v>
      </c>
      <c r="CD289" s="6">
        <v>722</v>
      </c>
      <c r="CE289" s="6">
        <f t="shared" si="109"/>
        <v>513</v>
      </c>
      <c r="CF289" s="6">
        <v>768</v>
      </c>
      <c r="CG289" s="6"/>
      <c r="CH289" s="6">
        <f t="shared" si="108"/>
        <v>477</v>
      </c>
      <c r="CI289" s="6">
        <v>512</v>
      </c>
      <c r="CJ289" s="6">
        <v>800</v>
      </c>
      <c r="CK289" s="6">
        <f t="shared" si="106"/>
        <v>544</v>
      </c>
      <c r="CL289" s="6">
        <v>258</v>
      </c>
      <c r="CM289" s="6">
        <v>800</v>
      </c>
      <c r="CN289" s="6">
        <f t="shared" si="105"/>
        <v>546</v>
      </c>
      <c r="CO289" s="6">
        <v>2</v>
      </c>
      <c r="CP289" s="6">
        <v>800</v>
      </c>
      <c r="CQ289" s="6">
        <f t="shared" si="104"/>
        <v>544</v>
      </c>
      <c r="CR289" s="6">
        <v>528</v>
      </c>
      <c r="CS289" s="6"/>
      <c r="CT289" s="6">
        <f t="shared" si="97"/>
        <v>526</v>
      </c>
      <c r="CU289" s="6"/>
      <c r="CV289" s="6"/>
      <c r="CW289" s="6"/>
      <c r="CX289" s="6">
        <v>0</v>
      </c>
      <c r="CY289" s="6">
        <v>922</v>
      </c>
      <c r="CZ289" s="6">
        <f t="shared" si="98"/>
        <v>394</v>
      </c>
      <c r="DA289" s="6">
        <v>21</v>
      </c>
      <c r="DB289" s="6">
        <v>494</v>
      </c>
      <c r="DC289" s="6">
        <f t="shared" si="99"/>
        <v>515</v>
      </c>
      <c r="DD289" s="6">
        <v>128</v>
      </c>
      <c r="DE289" s="6">
        <v>446</v>
      </c>
      <c r="DF289" s="6">
        <f t="shared" si="100"/>
        <v>553</v>
      </c>
      <c r="DG289" s="6">
        <v>318</v>
      </c>
      <c r="DH289" s="10"/>
      <c r="DI289" s="6">
        <f t="shared" si="101"/>
        <v>190</v>
      </c>
      <c r="DJ289" s="6">
        <v>318</v>
      </c>
      <c r="DK289" s="10"/>
      <c r="DL289" s="6">
        <f t="shared" si="102"/>
        <v>0</v>
      </c>
      <c r="DM289" s="6">
        <v>318</v>
      </c>
      <c r="DN289" s="10"/>
      <c r="DO289" s="6">
        <f t="shared" si="103"/>
        <v>0</v>
      </c>
    </row>
    <row r="290" spans="1:119">
      <c r="A290" s="6">
        <v>286</v>
      </c>
      <c r="B290" s="6"/>
      <c r="C290" s="10"/>
      <c r="D290" s="6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148" t="s">
        <v>248</v>
      </c>
      <c r="R290" s="33" t="s">
        <v>248</v>
      </c>
      <c r="S290" s="33" t="s">
        <v>248</v>
      </c>
      <c r="T290" s="33" t="s">
        <v>248</v>
      </c>
      <c r="U290" s="33" t="s">
        <v>248</v>
      </c>
      <c r="V290" s="33" t="s">
        <v>248</v>
      </c>
      <c r="W290" s="33" t="s">
        <v>248</v>
      </c>
      <c r="X290" s="33" t="s">
        <v>248</v>
      </c>
      <c r="Y290" s="148" t="s">
        <v>248</v>
      </c>
      <c r="Z290" s="33" t="s">
        <v>248</v>
      </c>
      <c r="AA290" s="33" t="s">
        <v>248</v>
      </c>
      <c r="AB290" s="33" t="s">
        <v>248</v>
      </c>
      <c r="AC290" s="33" t="s">
        <v>248</v>
      </c>
      <c r="AD290" s="6"/>
      <c r="AE290" s="6"/>
      <c r="AF290" s="35"/>
      <c r="AG290" s="6"/>
      <c r="AH290" s="6"/>
      <c r="AI290" s="35"/>
      <c r="AJ290" s="35"/>
      <c r="AK290" s="35"/>
      <c r="AL290" s="35"/>
      <c r="AM290" s="6"/>
      <c r="AN290" s="6"/>
      <c r="AO290" s="35"/>
      <c r="AP290" s="6"/>
      <c r="AQ290" s="34"/>
      <c r="AR290" s="34"/>
      <c r="AS290" s="35"/>
      <c r="AT290" s="35"/>
      <c r="AU290" s="35"/>
      <c r="AV290" s="6"/>
      <c r="AW290" s="6"/>
      <c r="AX290" s="35"/>
      <c r="AY290" s="6"/>
      <c r="AZ290" s="6"/>
      <c r="BA290" s="35"/>
      <c r="BB290" s="35"/>
      <c r="BC290" s="6"/>
      <c r="BD290" s="35"/>
      <c r="BE290" s="35"/>
      <c r="BF290" s="6"/>
      <c r="BG290" s="35"/>
      <c r="BH290" s="6"/>
      <c r="BI290" s="6"/>
      <c r="BJ290" s="35"/>
      <c r="BK290" s="6"/>
      <c r="BL290" s="6"/>
      <c r="BM290" s="6"/>
      <c r="BN290" s="35"/>
      <c r="BO290" s="35"/>
      <c r="BP290" s="6"/>
      <c r="BQ290" s="35"/>
      <c r="BR290" s="35"/>
      <c r="BS290" s="35"/>
      <c r="BT290" s="35"/>
      <c r="BU290" s="35"/>
      <c r="BV290" s="6"/>
      <c r="BW290" s="6">
        <v>306</v>
      </c>
      <c r="BX290" s="6"/>
      <c r="BY290" s="35">
        <f>BX290+BW290-BT290</f>
        <v>306</v>
      </c>
      <c r="BZ290" s="6"/>
      <c r="CA290" s="6"/>
      <c r="CB290" s="6"/>
      <c r="CC290" s="6">
        <v>45</v>
      </c>
      <c r="CD290" s="6">
        <v>800</v>
      </c>
      <c r="CE290" s="6">
        <f t="shared" si="109"/>
        <v>539</v>
      </c>
      <c r="CF290" s="6">
        <v>536</v>
      </c>
      <c r="CG290" s="6"/>
      <c r="CH290" s="6">
        <f t="shared" si="108"/>
        <v>491</v>
      </c>
      <c r="CI290" s="6">
        <v>355</v>
      </c>
      <c r="CJ290" s="6">
        <v>722</v>
      </c>
      <c r="CK290" s="6">
        <f t="shared" si="106"/>
        <v>541</v>
      </c>
      <c r="CL290" s="6">
        <v>93</v>
      </c>
      <c r="CM290" s="6">
        <v>800</v>
      </c>
      <c r="CN290" s="6">
        <f t="shared" si="105"/>
        <v>538</v>
      </c>
      <c r="CO290" s="6">
        <v>634</v>
      </c>
      <c r="CP290" s="6"/>
      <c r="CQ290" s="6">
        <f t="shared" si="104"/>
        <v>541</v>
      </c>
      <c r="CR290" s="6">
        <v>346</v>
      </c>
      <c r="CS290" s="6">
        <v>800</v>
      </c>
      <c r="CT290" s="6">
        <f t="shared" si="97"/>
        <v>512</v>
      </c>
      <c r="CU290" s="6"/>
      <c r="CV290" s="6"/>
      <c r="CW290" s="6"/>
      <c r="CX290" s="6">
        <v>0</v>
      </c>
      <c r="CY290" s="6">
        <v>800</v>
      </c>
      <c r="CZ290" s="6">
        <f t="shared" si="98"/>
        <v>454</v>
      </c>
      <c r="DA290" s="6">
        <v>528</v>
      </c>
      <c r="DB290" s="6"/>
      <c r="DC290" s="6">
        <f t="shared" si="99"/>
        <v>528</v>
      </c>
      <c r="DD290" s="6">
        <v>0</v>
      </c>
      <c r="DE290" s="6">
        <v>800</v>
      </c>
      <c r="DF290" s="6">
        <f t="shared" si="100"/>
        <v>272</v>
      </c>
      <c r="DG290" s="6">
        <v>0</v>
      </c>
      <c r="DH290" s="10"/>
      <c r="DI290" s="6">
        <f t="shared" si="101"/>
        <v>0</v>
      </c>
      <c r="DJ290" s="6">
        <v>0</v>
      </c>
      <c r="DK290" s="10"/>
      <c r="DL290" s="6">
        <f t="shared" si="102"/>
        <v>0</v>
      </c>
      <c r="DM290" s="6">
        <v>0</v>
      </c>
      <c r="DN290" s="10"/>
      <c r="DO290" s="6">
        <f t="shared" si="103"/>
        <v>0</v>
      </c>
    </row>
    <row r="291" spans="1:119">
      <c r="A291" s="6">
        <v>287</v>
      </c>
      <c r="B291" s="6"/>
      <c r="C291" s="10"/>
      <c r="D291" s="6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148" t="s">
        <v>248</v>
      </c>
      <c r="P291" s="33" t="s">
        <v>248</v>
      </c>
      <c r="Q291" s="33" t="s">
        <v>248</v>
      </c>
      <c r="R291" s="33" t="s">
        <v>248</v>
      </c>
      <c r="S291" s="33" t="s">
        <v>248</v>
      </c>
      <c r="T291" s="33" t="s">
        <v>248</v>
      </c>
      <c r="U291" s="33" t="s">
        <v>248</v>
      </c>
      <c r="V291" s="148" t="s">
        <v>248</v>
      </c>
      <c r="W291" s="33" t="s">
        <v>248</v>
      </c>
      <c r="X291" s="33" t="s">
        <v>248</v>
      </c>
      <c r="Y291" s="33" t="s">
        <v>248</v>
      </c>
      <c r="Z291" s="33" t="s">
        <v>248</v>
      </c>
      <c r="AA291" s="33" t="s">
        <v>248</v>
      </c>
      <c r="AB291" s="33" t="s">
        <v>248</v>
      </c>
      <c r="AC291" s="33" t="s">
        <v>248</v>
      </c>
      <c r="AD291" s="6"/>
      <c r="AE291" s="6"/>
      <c r="AF291" s="35"/>
      <c r="AG291" s="6"/>
      <c r="AH291" s="6"/>
      <c r="AI291" s="35"/>
      <c r="AJ291" s="35"/>
      <c r="AK291" s="35"/>
      <c r="AL291" s="35"/>
      <c r="AM291" s="6"/>
      <c r="AN291" s="6"/>
      <c r="AO291" s="35"/>
      <c r="AP291" s="6"/>
      <c r="AQ291" s="34"/>
      <c r="AR291" s="34"/>
      <c r="AS291" s="35"/>
      <c r="AT291" s="35"/>
      <c r="AU291" s="35"/>
      <c r="AV291" s="6"/>
      <c r="AW291" s="6"/>
      <c r="AX291" s="35"/>
      <c r="AY291" s="6"/>
      <c r="AZ291" s="6"/>
      <c r="BA291" s="35"/>
      <c r="BB291" s="35"/>
      <c r="BC291" s="6"/>
      <c r="BD291" s="35"/>
      <c r="BE291" s="35"/>
      <c r="BF291" s="6"/>
      <c r="BG291" s="35"/>
      <c r="BH291" s="6"/>
      <c r="BI291" s="6"/>
      <c r="BJ291" s="35"/>
      <c r="BK291" s="6"/>
      <c r="BL291" s="6"/>
      <c r="BM291" s="6"/>
      <c r="BN291" s="35"/>
      <c r="BO291" s="35"/>
      <c r="BP291" s="6"/>
      <c r="BQ291" s="35">
        <v>415</v>
      </c>
      <c r="BR291" s="35"/>
      <c r="BS291" s="35">
        <f>BR291+BQ291-BN291</f>
        <v>415</v>
      </c>
      <c r="BT291" s="35">
        <v>489</v>
      </c>
      <c r="BU291" s="35">
        <v>500</v>
      </c>
      <c r="BV291" s="6">
        <f>BU291+BT291-BQ291</f>
        <v>574</v>
      </c>
      <c r="BW291" s="6">
        <v>229</v>
      </c>
      <c r="BX291" s="6">
        <v>800</v>
      </c>
      <c r="BY291" s="35">
        <f>BX291+BW291-BT291</f>
        <v>540</v>
      </c>
      <c r="BZ291" s="6"/>
      <c r="CA291" s="6"/>
      <c r="CB291" s="6"/>
      <c r="CC291" s="6">
        <v>755</v>
      </c>
      <c r="CD291" s="6"/>
      <c r="CE291" s="6">
        <f t="shared" si="109"/>
        <v>526</v>
      </c>
      <c r="CF291" s="6">
        <v>536</v>
      </c>
      <c r="CG291" s="6">
        <v>800</v>
      </c>
      <c r="CH291" s="6">
        <f t="shared" si="108"/>
        <v>581</v>
      </c>
      <c r="CI291" s="6">
        <v>332</v>
      </c>
      <c r="CJ291" s="6">
        <v>800</v>
      </c>
      <c r="CK291" s="6">
        <f t="shared" si="106"/>
        <v>596</v>
      </c>
      <c r="CL291" s="6">
        <v>124</v>
      </c>
      <c r="CM291" s="6">
        <v>800</v>
      </c>
      <c r="CN291" s="6">
        <f t="shared" si="105"/>
        <v>592</v>
      </c>
      <c r="CO291" s="6">
        <v>443</v>
      </c>
      <c r="CP291" s="6">
        <v>211</v>
      </c>
      <c r="CQ291" s="6">
        <f t="shared" si="104"/>
        <v>530</v>
      </c>
      <c r="CR291" s="6">
        <v>216</v>
      </c>
      <c r="CS291" s="6">
        <v>800</v>
      </c>
      <c r="CT291" s="6">
        <f t="shared" si="97"/>
        <v>573</v>
      </c>
      <c r="CU291" s="6"/>
      <c r="CV291" s="6"/>
      <c r="CW291" s="6"/>
      <c r="CX291" s="6">
        <v>763</v>
      </c>
      <c r="CY291" s="6"/>
      <c r="CZ291" s="6">
        <f t="shared" si="98"/>
        <v>547</v>
      </c>
      <c r="DA291" s="6">
        <v>520</v>
      </c>
      <c r="DB291" s="6">
        <v>800</v>
      </c>
      <c r="DC291" s="6">
        <f t="shared" si="99"/>
        <v>557</v>
      </c>
      <c r="DD291" s="6">
        <v>0</v>
      </c>
      <c r="DE291" s="6">
        <v>800</v>
      </c>
      <c r="DF291" s="6">
        <f t="shared" si="100"/>
        <v>280</v>
      </c>
      <c r="DG291" s="6">
        <v>0</v>
      </c>
      <c r="DH291" s="10"/>
      <c r="DI291" s="6">
        <f t="shared" si="101"/>
        <v>0</v>
      </c>
      <c r="DJ291" s="6">
        <v>0</v>
      </c>
      <c r="DK291" s="10"/>
      <c r="DL291" s="6">
        <f t="shared" si="102"/>
        <v>0</v>
      </c>
      <c r="DM291" s="6">
        <v>0</v>
      </c>
      <c r="DN291" s="10"/>
      <c r="DO291" s="6">
        <f t="shared" si="103"/>
        <v>0</v>
      </c>
    </row>
    <row r="292" spans="1:119">
      <c r="A292" s="6">
        <v>288</v>
      </c>
      <c r="B292" s="6"/>
      <c r="C292" s="10"/>
      <c r="D292" s="6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148"/>
      <c r="P292" s="33"/>
      <c r="Q292" s="148" t="s">
        <v>248</v>
      </c>
      <c r="R292" s="33" t="s">
        <v>248</v>
      </c>
      <c r="S292" s="33" t="s">
        <v>248</v>
      </c>
      <c r="T292" s="33" t="s">
        <v>248</v>
      </c>
      <c r="U292" s="33" t="s">
        <v>248</v>
      </c>
      <c r="V292" s="33" t="s">
        <v>248</v>
      </c>
      <c r="W292" s="33" t="s">
        <v>248</v>
      </c>
      <c r="X292" s="33" t="s">
        <v>248</v>
      </c>
      <c r="Y292" s="148" t="s">
        <v>248</v>
      </c>
      <c r="Z292" s="33" t="s">
        <v>248</v>
      </c>
      <c r="AA292" s="33" t="s">
        <v>248</v>
      </c>
      <c r="AB292" s="33" t="s">
        <v>248</v>
      </c>
      <c r="AC292" s="33" t="s">
        <v>248</v>
      </c>
      <c r="AD292" s="6"/>
      <c r="AE292" s="6"/>
      <c r="AF292" s="35"/>
      <c r="AG292" s="6"/>
      <c r="AH292" s="6"/>
      <c r="AI292" s="35"/>
      <c r="AJ292" s="35"/>
      <c r="AK292" s="35"/>
      <c r="AL292" s="35"/>
      <c r="AM292" s="6"/>
      <c r="AN292" s="6"/>
      <c r="AO292" s="35"/>
      <c r="AP292" s="6"/>
      <c r="AQ292" s="34"/>
      <c r="AR292" s="34"/>
      <c r="AS292" s="35"/>
      <c r="AT292" s="35"/>
      <c r="AU292" s="35"/>
      <c r="AV292" s="6"/>
      <c r="AW292" s="6"/>
      <c r="AX292" s="35"/>
      <c r="AY292" s="6"/>
      <c r="AZ292" s="6"/>
      <c r="BA292" s="35"/>
      <c r="BB292" s="35"/>
      <c r="BC292" s="6"/>
      <c r="BD292" s="35"/>
      <c r="BE292" s="35"/>
      <c r="BF292" s="6"/>
      <c r="BG292" s="35"/>
      <c r="BH292" s="6"/>
      <c r="BI292" s="6"/>
      <c r="BJ292" s="35"/>
      <c r="BK292" s="6"/>
      <c r="BL292" s="6"/>
      <c r="BM292" s="6"/>
      <c r="BN292" s="35"/>
      <c r="BO292" s="35"/>
      <c r="BP292" s="6"/>
      <c r="BQ292" s="35"/>
      <c r="BR292" s="35"/>
      <c r="BS292" s="35"/>
      <c r="BT292" s="35"/>
      <c r="BU292" s="35"/>
      <c r="BV292" s="6"/>
      <c r="BW292" s="6">
        <v>441</v>
      </c>
      <c r="BX292" s="6"/>
      <c r="BY292" s="35">
        <f>BX292+BW292-BT292</f>
        <v>441</v>
      </c>
      <c r="BZ292" s="6"/>
      <c r="CA292" s="6"/>
      <c r="CB292" s="6"/>
      <c r="CC292" s="6">
        <v>174</v>
      </c>
      <c r="CD292" s="6">
        <v>800</v>
      </c>
      <c r="CE292" s="6">
        <f t="shared" si="109"/>
        <v>533</v>
      </c>
      <c r="CF292" s="6">
        <v>693</v>
      </c>
      <c r="CG292" s="6"/>
      <c r="CH292" s="6">
        <f t="shared" si="108"/>
        <v>519</v>
      </c>
      <c r="CI292" s="6">
        <v>425</v>
      </c>
      <c r="CJ292" s="6">
        <v>800</v>
      </c>
      <c r="CK292" s="6">
        <f t="shared" si="106"/>
        <v>532</v>
      </c>
      <c r="CL292" s="6">
        <v>9</v>
      </c>
      <c r="CM292" s="6">
        <f>800+155</f>
        <v>955</v>
      </c>
      <c r="CN292" s="6">
        <f t="shared" si="105"/>
        <v>539</v>
      </c>
      <c r="CO292" s="6">
        <v>554</v>
      </c>
      <c r="CP292" s="6"/>
      <c r="CQ292" s="6">
        <f t="shared" si="104"/>
        <v>545</v>
      </c>
      <c r="CR292" s="6">
        <v>471</v>
      </c>
      <c r="CS292" s="6">
        <v>607</v>
      </c>
      <c r="CT292" s="6">
        <f t="shared" si="97"/>
        <v>524</v>
      </c>
      <c r="CU292" s="6"/>
      <c r="CV292" s="6"/>
      <c r="CW292" s="6"/>
      <c r="CX292" s="6">
        <v>0</v>
      </c>
      <c r="CY292" s="6">
        <v>749</v>
      </c>
      <c r="CZ292" s="6">
        <f t="shared" si="98"/>
        <v>278</v>
      </c>
      <c r="DA292" s="6">
        <v>496</v>
      </c>
      <c r="DB292" s="6"/>
      <c r="DC292" s="6">
        <f t="shared" si="99"/>
        <v>496</v>
      </c>
      <c r="DD292" s="6">
        <v>0</v>
      </c>
      <c r="DE292" s="6">
        <v>800</v>
      </c>
      <c r="DF292" s="6">
        <f t="shared" si="100"/>
        <v>304</v>
      </c>
      <c r="DG292" s="6">
        <v>0</v>
      </c>
      <c r="DH292" s="10"/>
      <c r="DI292" s="6">
        <f t="shared" si="101"/>
        <v>0</v>
      </c>
      <c r="DJ292" s="6">
        <v>0</v>
      </c>
      <c r="DK292" s="10"/>
      <c r="DL292" s="6">
        <f t="shared" si="102"/>
        <v>0</v>
      </c>
      <c r="DM292" s="6">
        <v>0</v>
      </c>
      <c r="DN292" s="10"/>
      <c r="DO292" s="6">
        <f t="shared" si="103"/>
        <v>0</v>
      </c>
    </row>
    <row r="293" spans="1:119">
      <c r="A293" s="6">
        <v>319</v>
      </c>
      <c r="B293" s="6"/>
      <c r="C293" s="10"/>
      <c r="D293" s="6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148"/>
      <c r="P293" s="33"/>
      <c r="Q293" s="148"/>
      <c r="R293" s="33"/>
      <c r="S293" s="33"/>
      <c r="T293" s="33"/>
      <c r="U293" s="33"/>
      <c r="V293" s="33"/>
      <c r="W293" s="33"/>
      <c r="X293" s="33"/>
      <c r="Y293" s="33"/>
      <c r="Z293" s="148" t="s">
        <v>108</v>
      </c>
      <c r="AA293" s="33" t="s">
        <v>108</v>
      </c>
      <c r="AB293" s="33" t="s">
        <v>108</v>
      </c>
      <c r="AC293" s="33" t="s">
        <v>108</v>
      </c>
      <c r="AD293" s="6"/>
      <c r="AE293" s="6"/>
      <c r="AF293" s="35"/>
      <c r="AG293" s="6"/>
      <c r="AH293" s="6"/>
      <c r="AI293" s="35"/>
      <c r="AJ293" s="35"/>
      <c r="AK293" s="35"/>
      <c r="AL293" s="35"/>
      <c r="AM293" s="6"/>
      <c r="AN293" s="6"/>
      <c r="AO293" s="35"/>
      <c r="AP293" s="6"/>
      <c r="AQ293" s="34"/>
      <c r="AR293" s="34"/>
      <c r="AS293" s="35"/>
      <c r="AT293" s="35"/>
      <c r="AU293" s="35"/>
      <c r="AV293" s="6"/>
      <c r="AW293" s="6"/>
      <c r="AX293" s="35"/>
      <c r="AY293" s="6"/>
      <c r="AZ293" s="6"/>
      <c r="BA293" s="35"/>
      <c r="BB293" s="35"/>
      <c r="BC293" s="6"/>
      <c r="BD293" s="35"/>
      <c r="BE293" s="35"/>
      <c r="BF293" s="6"/>
      <c r="BG293" s="35"/>
      <c r="BH293" s="6"/>
      <c r="BI293" s="6"/>
      <c r="BJ293" s="35"/>
      <c r="BK293" s="6"/>
      <c r="BL293" s="6"/>
      <c r="BM293" s="6"/>
      <c r="BN293" s="35"/>
      <c r="BO293" s="35"/>
      <c r="BP293" s="6"/>
      <c r="BQ293" s="35"/>
      <c r="BR293" s="35"/>
      <c r="BS293" s="35"/>
      <c r="BT293" s="35"/>
      <c r="BU293" s="35"/>
      <c r="BV293" s="6"/>
      <c r="BW293" s="6"/>
      <c r="BX293" s="6"/>
      <c r="BY293" s="35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>
        <v>235</v>
      </c>
      <c r="DE293" s="6"/>
      <c r="DF293" s="6">
        <f t="shared" si="100"/>
        <v>235</v>
      </c>
      <c r="DG293" s="6">
        <v>378</v>
      </c>
      <c r="DH293" s="10"/>
      <c r="DI293" s="6">
        <f t="shared" si="101"/>
        <v>143</v>
      </c>
      <c r="DJ293" s="6">
        <v>558</v>
      </c>
      <c r="DK293" s="10"/>
      <c r="DL293" s="6">
        <f t="shared" si="102"/>
        <v>180</v>
      </c>
      <c r="DM293" s="6">
        <v>144</v>
      </c>
      <c r="DN293" s="10">
        <v>800</v>
      </c>
      <c r="DO293" s="6">
        <f t="shared" si="103"/>
        <v>386</v>
      </c>
    </row>
    <row r="294" spans="1:119">
      <c r="A294" s="6">
        <v>320</v>
      </c>
      <c r="B294" s="6"/>
      <c r="C294" s="10"/>
      <c r="D294" s="6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148"/>
      <c r="P294" s="33"/>
      <c r="Q294" s="148"/>
      <c r="R294" s="33"/>
      <c r="S294" s="33"/>
      <c r="T294" s="33"/>
      <c r="U294" s="33"/>
      <c r="V294" s="33"/>
      <c r="W294" s="33"/>
      <c r="X294" s="33"/>
      <c r="Y294" s="148" t="s">
        <v>108</v>
      </c>
      <c r="Z294" s="33" t="s">
        <v>108</v>
      </c>
      <c r="AA294" s="33" t="s">
        <v>108</v>
      </c>
      <c r="AB294" s="33" t="s">
        <v>108</v>
      </c>
      <c r="AC294" s="33" t="s">
        <v>108</v>
      </c>
      <c r="AD294" s="6"/>
      <c r="AE294" s="6"/>
      <c r="AF294" s="35"/>
      <c r="AG294" s="6"/>
      <c r="AH294" s="6"/>
      <c r="AI294" s="35"/>
      <c r="AJ294" s="35"/>
      <c r="AK294" s="35"/>
      <c r="AL294" s="35"/>
      <c r="AM294" s="6"/>
      <c r="AN294" s="6"/>
      <c r="AO294" s="35"/>
      <c r="AP294" s="6"/>
      <c r="AQ294" s="34"/>
      <c r="AR294" s="34"/>
      <c r="AS294" s="35"/>
      <c r="AT294" s="35"/>
      <c r="AU294" s="35"/>
      <c r="AV294" s="6"/>
      <c r="AW294" s="6"/>
      <c r="AX294" s="35"/>
      <c r="AY294" s="6"/>
      <c r="AZ294" s="6"/>
      <c r="BA294" s="35"/>
      <c r="BB294" s="35"/>
      <c r="BC294" s="6"/>
      <c r="BD294" s="35"/>
      <c r="BE294" s="35"/>
      <c r="BF294" s="6"/>
      <c r="BG294" s="35"/>
      <c r="BH294" s="6"/>
      <c r="BI294" s="6"/>
      <c r="BJ294" s="35"/>
      <c r="BK294" s="6"/>
      <c r="BL294" s="6"/>
      <c r="BM294" s="6"/>
      <c r="BN294" s="35"/>
      <c r="BO294" s="35"/>
      <c r="BP294" s="6"/>
      <c r="BQ294" s="35"/>
      <c r="BR294" s="35"/>
      <c r="BS294" s="35"/>
      <c r="BT294" s="35"/>
      <c r="BU294" s="35"/>
      <c r="BV294" s="6"/>
      <c r="BW294" s="6"/>
      <c r="BX294" s="6"/>
      <c r="BY294" s="35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>
        <v>276</v>
      </c>
      <c r="DB294" s="6"/>
      <c r="DC294" s="6">
        <f t="shared" si="99"/>
        <v>276</v>
      </c>
      <c r="DD294" s="6">
        <v>696</v>
      </c>
      <c r="DE294" s="6"/>
      <c r="DF294" s="6">
        <f t="shared" si="100"/>
        <v>420</v>
      </c>
      <c r="DG294" s="6">
        <v>866</v>
      </c>
      <c r="DH294" s="10"/>
      <c r="DI294" s="6">
        <f t="shared" si="101"/>
        <v>170</v>
      </c>
      <c r="DJ294" s="6">
        <v>158</v>
      </c>
      <c r="DK294" s="10">
        <v>894</v>
      </c>
      <c r="DL294" s="6">
        <f t="shared" si="102"/>
        <v>186</v>
      </c>
      <c r="DM294" s="6">
        <v>538</v>
      </c>
      <c r="DN294" s="10"/>
      <c r="DO294" s="6">
        <f t="shared" si="103"/>
        <v>380</v>
      </c>
    </row>
    <row r="295" spans="1:119">
      <c r="A295" s="6">
        <v>321</v>
      </c>
      <c r="B295" s="6"/>
      <c r="C295" s="10"/>
      <c r="D295" s="6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148"/>
      <c r="P295" s="33"/>
      <c r="Q295" s="148"/>
      <c r="R295" s="33"/>
      <c r="S295" s="33"/>
      <c r="T295" s="33"/>
      <c r="U295" s="33"/>
      <c r="V295" s="33"/>
      <c r="W295" s="148" t="s">
        <v>248</v>
      </c>
      <c r="X295" s="33" t="s">
        <v>248</v>
      </c>
      <c r="Y295" s="33" t="s">
        <v>248</v>
      </c>
      <c r="Z295" s="33" t="s">
        <v>248</v>
      </c>
      <c r="AA295" s="33" t="s">
        <v>248</v>
      </c>
      <c r="AB295" s="33" t="s">
        <v>248</v>
      </c>
      <c r="AC295" s="33" t="s">
        <v>248</v>
      </c>
      <c r="AD295" s="6"/>
      <c r="AE295" s="6"/>
      <c r="AF295" s="35"/>
      <c r="AG295" s="6"/>
      <c r="AH295" s="6"/>
      <c r="AI295" s="35"/>
      <c r="AJ295" s="35"/>
      <c r="AK295" s="35"/>
      <c r="AL295" s="35"/>
      <c r="AM295" s="6"/>
      <c r="AN295" s="6"/>
      <c r="AO295" s="35"/>
      <c r="AP295" s="6"/>
      <c r="AQ295" s="34"/>
      <c r="AR295" s="34"/>
      <c r="AS295" s="35"/>
      <c r="AT295" s="35"/>
      <c r="AU295" s="35"/>
      <c r="AV295" s="6"/>
      <c r="AW295" s="6"/>
      <c r="AX295" s="35"/>
      <c r="AY295" s="6"/>
      <c r="AZ295" s="6"/>
      <c r="BA295" s="35"/>
      <c r="BB295" s="35"/>
      <c r="BC295" s="6"/>
      <c r="BD295" s="35"/>
      <c r="BE295" s="35"/>
      <c r="BF295" s="6"/>
      <c r="BG295" s="35"/>
      <c r="BH295" s="6"/>
      <c r="BI295" s="6"/>
      <c r="BJ295" s="35"/>
      <c r="BK295" s="6"/>
      <c r="BL295" s="6"/>
      <c r="BM295" s="6"/>
      <c r="BN295" s="35"/>
      <c r="BO295" s="35"/>
      <c r="BP295" s="6"/>
      <c r="BQ295" s="35"/>
      <c r="BR295" s="35"/>
      <c r="BS295" s="35"/>
      <c r="BT295" s="35"/>
      <c r="BU295" s="35"/>
      <c r="BV295" s="6"/>
      <c r="BW295" s="6"/>
      <c r="BX295" s="6"/>
      <c r="BY295" s="35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>
        <v>0</v>
      </c>
      <c r="CS295" s="6"/>
      <c r="CT295" s="6">
        <f t="shared" si="97"/>
        <v>0</v>
      </c>
      <c r="CU295" s="6"/>
      <c r="CV295" s="6"/>
      <c r="CW295" s="6"/>
      <c r="CX295" s="6">
        <v>0</v>
      </c>
      <c r="CY295" s="6"/>
      <c r="CZ295" s="6">
        <f t="shared" si="98"/>
        <v>0</v>
      </c>
      <c r="DA295" s="6">
        <v>373</v>
      </c>
      <c r="DB295" s="6"/>
      <c r="DC295" s="6">
        <f t="shared" si="99"/>
        <v>373</v>
      </c>
      <c r="DD295" s="6">
        <v>106</v>
      </c>
      <c r="DE295" s="6">
        <v>800</v>
      </c>
      <c r="DF295" s="6">
        <f t="shared" si="100"/>
        <v>533</v>
      </c>
      <c r="DG295" s="6">
        <v>300</v>
      </c>
      <c r="DH295" s="10"/>
      <c r="DI295" s="6">
        <f t="shared" si="101"/>
        <v>194</v>
      </c>
      <c r="DJ295" s="6">
        <v>419</v>
      </c>
      <c r="DK295" s="10"/>
      <c r="DL295" s="6">
        <f t="shared" si="102"/>
        <v>119</v>
      </c>
      <c r="DM295" s="6">
        <v>419</v>
      </c>
      <c r="DN295" s="10"/>
      <c r="DO295" s="6">
        <f t="shared" si="103"/>
        <v>0</v>
      </c>
    </row>
    <row r="296" spans="1:119">
      <c r="A296" s="6">
        <v>322</v>
      </c>
      <c r="B296" s="6"/>
      <c r="C296" s="10"/>
      <c r="D296" s="6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148"/>
      <c r="P296" s="33"/>
      <c r="Q296" s="148"/>
      <c r="R296" s="33"/>
      <c r="S296" s="33"/>
      <c r="T296" s="33"/>
      <c r="U296" s="33"/>
      <c r="V296" s="33"/>
      <c r="W296" s="148" t="s">
        <v>248</v>
      </c>
      <c r="X296" s="33" t="s">
        <v>248</v>
      </c>
      <c r="Y296" s="33" t="s">
        <v>248</v>
      </c>
      <c r="Z296" s="33" t="s">
        <v>248</v>
      </c>
      <c r="AA296" s="33" t="s">
        <v>248</v>
      </c>
      <c r="AB296" s="33" t="s">
        <v>248</v>
      </c>
      <c r="AC296" s="33" t="s">
        <v>248</v>
      </c>
      <c r="AD296" s="6"/>
      <c r="AE296" s="6"/>
      <c r="AF296" s="35"/>
      <c r="AG296" s="6"/>
      <c r="AH296" s="6"/>
      <c r="AI296" s="35"/>
      <c r="AJ296" s="35"/>
      <c r="AK296" s="35"/>
      <c r="AL296" s="35"/>
      <c r="AM296" s="6"/>
      <c r="AN296" s="6"/>
      <c r="AO296" s="35"/>
      <c r="AP296" s="6"/>
      <c r="AQ296" s="34"/>
      <c r="AR296" s="34"/>
      <c r="AS296" s="35"/>
      <c r="AT296" s="35"/>
      <c r="AU296" s="35"/>
      <c r="AV296" s="6"/>
      <c r="AW296" s="6"/>
      <c r="AX296" s="35"/>
      <c r="AY296" s="6"/>
      <c r="AZ296" s="6"/>
      <c r="BA296" s="35"/>
      <c r="BB296" s="35"/>
      <c r="BC296" s="6"/>
      <c r="BD296" s="35"/>
      <c r="BE296" s="35"/>
      <c r="BF296" s="6"/>
      <c r="BG296" s="35"/>
      <c r="BH296" s="6"/>
      <c r="BI296" s="6"/>
      <c r="BJ296" s="35"/>
      <c r="BK296" s="6"/>
      <c r="BL296" s="6"/>
      <c r="BM296" s="6"/>
      <c r="BN296" s="35"/>
      <c r="BO296" s="35"/>
      <c r="BP296" s="6"/>
      <c r="BQ296" s="35"/>
      <c r="BR296" s="35"/>
      <c r="BS296" s="35"/>
      <c r="BT296" s="35"/>
      <c r="BU296" s="35"/>
      <c r="BV296" s="6"/>
      <c r="BW296" s="6"/>
      <c r="BX296" s="6"/>
      <c r="BY296" s="35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>
        <v>0</v>
      </c>
      <c r="CS296" s="6"/>
      <c r="CT296" s="6">
        <f t="shared" si="97"/>
        <v>0</v>
      </c>
      <c r="CU296" s="6"/>
      <c r="CV296" s="6"/>
      <c r="CW296" s="6"/>
      <c r="CX296" s="6">
        <v>0</v>
      </c>
      <c r="CY296" s="6"/>
      <c r="CZ296" s="6">
        <f t="shared" si="98"/>
        <v>0</v>
      </c>
      <c r="DA296" s="6">
        <v>0</v>
      </c>
      <c r="DB296" s="6"/>
      <c r="DC296" s="6">
        <f t="shared" si="99"/>
        <v>0</v>
      </c>
      <c r="DD296" s="6">
        <v>0</v>
      </c>
      <c r="DE296" s="6"/>
      <c r="DF296" s="6">
        <f t="shared" si="100"/>
        <v>0</v>
      </c>
      <c r="DG296" s="6">
        <v>0</v>
      </c>
      <c r="DH296" s="10"/>
      <c r="DI296" s="6">
        <f t="shared" si="101"/>
        <v>0</v>
      </c>
      <c r="DJ296" s="6">
        <v>0</v>
      </c>
      <c r="DK296" s="10"/>
      <c r="DL296" s="6">
        <f t="shared" si="102"/>
        <v>0</v>
      </c>
      <c r="DM296" s="6">
        <v>0</v>
      </c>
      <c r="DN296" s="10"/>
      <c r="DO296" s="6">
        <f t="shared" si="103"/>
        <v>0</v>
      </c>
    </row>
    <row r="297" spans="1:119">
      <c r="A297" s="6">
        <v>323</v>
      </c>
      <c r="B297" s="6"/>
      <c r="C297" s="10"/>
      <c r="D297" s="6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148"/>
      <c r="P297" s="33"/>
      <c r="Q297" s="148"/>
      <c r="R297" s="33"/>
      <c r="S297" s="33"/>
      <c r="T297" s="33"/>
      <c r="U297" s="33"/>
      <c r="V297" s="33"/>
      <c r="W297" s="148" t="s">
        <v>248</v>
      </c>
      <c r="X297" s="33" t="s">
        <v>248</v>
      </c>
      <c r="Y297" s="33" t="s">
        <v>248</v>
      </c>
      <c r="Z297" s="33" t="s">
        <v>248</v>
      </c>
      <c r="AA297" s="33" t="s">
        <v>248</v>
      </c>
      <c r="AB297" s="33" t="s">
        <v>248</v>
      </c>
      <c r="AC297" s="33" t="s">
        <v>248</v>
      </c>
      <c r="AD297" s="6"/>
      <c r="AE297" s="6"/>
      <c r="AF297" s="35"/>
      <c r="AG297" s="6"/>
      <c r="AH297" s="6"/>
      <c r="AI297" s="35"/>
      <c r="AJ297" s="35"/>
      <c r="AK297" s="35"/>
      <c r="AL297" s="35"/>
      <c r="AM297" s="6"/>
      <c r="AN297" s="6"/>
      <c r="AO297" s="35"/>
      <c r="AP297" s="6"/>
      <c r="AQ297" s="34"/>
      <c r="AR297" s="34"/>
      <c r="AS297" s="35"/>
      <c r="AT297" s="35"/>
      <c r="AU297" s="35"/>
      <c r="AV297" s="6"/>
      <c r="AW297" s="6"/>
      <c r="AX297" s="35"/>
      <c r="AY297" s="6"/>
      <c r="AZ297" s="6"/>
      <c r="BA297" s="35"/>
      <c r="BB297" s="35"/>
      <c r="BC297" s="6"/>
      <c r="BD297" s="35"/>
      <c r="BE297" s="35"/>
      <c r="BF297" s="6"/>
      <c r="BG297" s="35"/>
      <c r="BH297" s="6"/>
      <c r="BI297" s="6"/>
      <c r="BJ297" s="35"/>
      <c r="BK297" s="6"/>
      <c r="BL297" s="6"/>
      <c r="BM297" s="6"/>
      <c r="BN297" s="35"/>
      <c r="BO297" s="35"/>
      <c r="BP297" s="6"/>
      <c r="BQ297" s="35"/>
      <c r="BR297" s="35"/>
      <c r="BS297" s="35"/>
      <c r="BT297" s="35"/>
      <c r="BU297" s="35"/>
      <c r="BV297" s="6"/>
      <c r="BW297" s="6"/>
      <c r="BX297" s="6"/>
      <c r="BY297" s="35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>
        <v>0</v>
      </c>
      <c r="CS297" s="6"/>
      <c r="CT297" s="6">
        <f t="shared" si="97"/>
        <v>0</v>
      </c>
      <c r="CU297" s="6"/>
      <c r="CV297" s="6"/>
      <c r="CW297" s="6"/>
      <c r="CX297" s="6">
        <v>0</v>
      </c>
      <c r="CY297" s="6"/>
      <c r="CZ297" s="6">
        <f t="shared" si="98"/>
        <v>0</v>
      </c>
      <c r="DA297" s="6">
        <v>591</v>
      </c>
      <c r="DB297" s="6"/>
      <c r="DC297" s="6">
        <f t="shared" si="99"/>
        <v>591</v>
      </c>
      <c r="DD297" s="6">
        <v>0</v>
      </c>
      <c r="DE297" s="6">
        <v>800</v>
      </c>
      <c r="DF297" s="6">
        <f t="shared" si="100"/>
        <v>209</v>
      </c>
      <c r="DG297" s="6">
        <v>0</v>
      </c>
      <c r="DH297" s="10"/>
      <c r="DI297" s="6">
        <f t="shared" si="101"/>
        <v>0</v>
      </c>
      <c r="DJ297" s="6">
        <v>0</v>
      </c>
      <c r="DK297" s="10"/>
      <c r="DL297" s="6">
        <f t="shared" si="102"/>
        <v>0</v>
      </c>
      <c r="DM297" s="6">
        <v>0</v>
      </c>
      <c r="DN297" s="10"/>
      <c r="DO297" s="6">
        <f t="shared" si="103"/>
        <v>0</v>
      </c>
    </row>
    <row r="298" spans="1:119">
      <c r="A298" s="6">
        <v>324</v>
      </c>
      <c r="B298" s="6"/>
      <c r="C298" s="10"/>
      <c r="D298" s="6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148"/>
      <c r="P298" s="33"/>
      <c r="Q298" s="148"/>
      <c r="R298" s="33"/>
      <c r="S298" s="33"/>
      <c r="T298" s="33"/>
      <c r="U298" s="33"/>
      <c r="V298" s="33"/>
      <c r="W298" s="148" t="s">
        <v>248</v>
      </c>
      <c r="X298" s="33" t="s">
        <v>248</v>
      </c>
      <c r="Y298" s="33" t="s">
        <v>248</v>
      </c>
      <c r="Z298" s="148" t="s">
        <v>248</v>
      </c>
      <c r="AA298" s="33" t="s">
        <v>248</v>
      </c>
      <c r="AB298" s="33" t="s">
        <v>248</v>
      </c>
      <c r="AC298" s="33" t="s">
        <v>248</v>
      </c>
      <c r="AD298" s="6"/>
      <c r="AE298" s="6"/>
      <c r="AF298" s="35"/>
      <c r="AG298" s="6"/>
      <c r="AH298" s="6"/>
      <c r="AI298" s="35"/>
      <c r="AJ298" s="35"/>
      <c r="AK298" s="35"/>
      <c r="AL298" s="35"/>
      <c r="AM298" s="6"/>
      <c r="AN298" s="6"/>
      <c r="AO298" s="35"/>
      <c r="AP298" s="6"/>
      <c r="AQ298" s="34"/>
      <c r="AR298" s="34"/>
      <c r="AS298" s="35"/>
      <c r="AT298" s="35"/>
      <c r="AU298" s="35"/>
      <c r="AV298" s="6"/>
      <c r="AW298" s="6"/>
      <c r="AX298" s="35"/>
      <c r="AY298" s="6"/>
      <c r="AZ298" s="6"/>
      <c r="BA298" s="35"/>
      <c r="BB298" s="35"/>
      <c r="BC298" s="6"/>
      <c r="BD298" s="35"/>
      <c r="BE298" s="35"/>
      <c r="BF298" s="6"/>
      <c r="BG298" s="35"/>
      <c r="BH298" s="6"/>
      <c r="BI298" s="6"/>
      <c r="BJ298" s="35"/>
      <c r="BK298" s="6"/>
      <c r="BL298" s="6"/>
      <c r="BM298" s="6"/>
      <c r="BN298" s="35"/>
      <c r="BO298" s="35"/>
      <c r="BP298" s="6"/>
      <c r="BQ298" s="35"/>
      <c r="BR298" s="35"/>
      <c r="BS298" s="35"/>
      <c r="BT298" s="35"/>
      <c r="BU298" s="35"/>
      <c r="BV298" s="6"/>
      <c r="BW298" s="6"/>
      <c r="BX298" s="6"/>
      <c r="BY298" s="35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>
        <v>0</v>
      </c>
      <c r="CS298" s="6"/>
      <c r="CT298" s="6">
        <f t="shared" si="97"/>
        <v>0</v>
      </c>
      <c r="CU298" s="6"/>
      <c r="CV298" s="6"/>
      <c r="CW298" s="6"/>
      <c r="CX298" s="6">
        <v>0</v>
      </c>
      <c r="CY298" s="6"/>
      <c r="CZ298" s="6">
        <f t="shared" si="98"/>
        <v>0</v>
      </c>
      <c r="DA298" s="6">
        <v>0</v>
      </c>
      <c r="DB298" s="6"/>
      <c r="DC298" s="6">
        <f t="shared" si="99"/>
        <v>0</v>
      </c>
      <c r="DD298" s="6">
        <v>0</v>
      </c>
      <c r="DE298" s="6"/>
      <c r="DF298" s="6">
        <f t="shared" si="100"/>
        <v>0</v>
      </c>
      <c r="DG298" s="6">
        <v>0</v>
      </c>
      <c r="DH298" s="10"/>
      <c r="DI298" s="6">
        <f t="shared" si="101"/>
        <v>0</v>
      </c>
      <c r="DJ298" s="6">
        <v>0</v>
      </c>
      <c r="DK298" s="10"/>
      <c r="DL298" s="6">
        <f t="shared" si="102"/>
        <v>0</v>
      </c>
      <c r="DM298" s="6">
        <v>0</v>
      </c>
      <c r="DN298" s="10"/>
      <c r="DO298" s="6">
        <f t="shared" si="103"/>
        <v>0</v>
      </c>
    </row>
    <row r="299" spans="1:119">
      <c r="A299" s="6">
        <v>361</v>
      </c>
      <c r="B299" s="6">
        <v>47</v>
      </c>
      <c r="C299" s="10"/>
      <c r="D299" s="6">
        <v>0</v>
      </c>
      <c r="E299" s="33" t="s">
        <v>110</v>
      </c>
      <c r="F299" s="33" t="s">
        <v>110</v>
      </c>
      <c r="G299" s="33" t="s">
        <v>110</v>
      </c>
      <c r="H299" s="33" t="s">
        <v>110</v>
      </c>
      <c r="I299" s="33" t="s">
        <v>110</v>
      </c>
      <c r="J299" s="33" t="s">
        <v>110</v>
      </c>
      <c r="K299" s="33" t="s">
        <v>110</v>
      </c>
      <c r="L299" s="33" t="s">
        <v>110</v>
      </c>
      <c r="M299" s="33" t="s">
        <v>110</v>
      </c>
      <c r="N299" s="33" t="s">
        <v>110</v>
      </c>
      <c r="O299" s="33" t="s">
        <v>110</v>
      </c>
      <c r="P299" s="33" t="s">
        <v>110</v>
      </c>
      <c r="Q299" s="33" t="s">
        <v>110</v>
      </c>
      <c r="R299" s="33" t="s">
        <v>110</v>
      </c>
      <c r="S299" s="33" t="s">
        <v>110</v>
      </c>
      <c r="T299" s="33" t="s">
        <v>110</v>
      </c>
      <c r="U299" s="33" t="s">
        <v>110</v>
      </c>
      <c r="V299" s="33" t="s">
        <v>110</v>
      </c>
      <c r="W299" s="33" t="s">
        <v>110</v>
      </c>
      <c r="X299" s="33" t="s">
        <v>110</v>
      </c>
      <c r="Y299" s="33" t="s">
        <v>110</v>
      </c>
      <c r="Z299" s="33" t="s">
        <v>110</v>
      </c>
      <c r="AA299" s="33" t="s">
        <v>110</v>
      </c>
      <c r="AB299" s="33" t="s">
        <v>110</v>
      </c>
      <c r="AC299" s="33" t="s">
        <v>110</v>
      </c>
      <c r="AD299" s="6"/>
      <c r="AE299" s="6"/>
      <c r="AF299" s="35"/>
      <c r="AG299" s="6"/>
      <c r="AH299" s="6"/>
      <c r="AI299" s="35"/>
      <c r="AJ299" s="35"/>
      <c r="AK299" s="35"/>
      <c r="AL299" s="35"/>
      <c r="AM299" s="6">
        <v>47</v>
      </c>
      <c r="AN299" s="6"/>
      <c r="AO299" s="35">
        <f>AN299+AM299-B299</f>
        <v>0</v>
      </c>
      <c r="AP299" s="6">
        <v>47</v>
      </c>
      <c r="AQ299" s="34"/>
      <c r="AR299" s="34">
        <f t="shared" ref="AR299:AR305" si="110">AQ299+AP299-AM299</f>
        <v>0</v>
      </c>
      <c r="AS299" s="35">
        <v>47</v>
      </c>
      <c r="AT299" s="35"/>
      <c r="AU299" s="35">
        <f t="shared" ref="AU299:AU305" si="111">AT299+AS299-AP299</f>
        <v>0</v>
      </c>
      <c r="AV299" s="6">
        <v>47</v>
      </c>
      <c r="AW299" s="6"/>
      <c r="AX299" s="35">
        <f t="shared" ref="AX299:AX305" si="112">AW299+AV299-AS299</f>
        <v>0</v>
      </c>
      <c r="AY299" s="6">
        <v>47</v>
      </c>
      <c r="AZ299" s="6"/>
      <c r="BA299" s="35">
        <f t="shared" ref="BA299:BA305" si="113">AZ299+AY299-AV299</f>
        <v>0</v>
      </c>
      <c r="BB299" s="35">
        <v>47</v>
      </c>
      <c r="BC299" s="6"/>
      <c r="BD299" s="35">
        <f t="shared" ref="BD299:BD305" si="114">BC299+BB299-AY299</f>
        <v>0</v>
      </c>
      <c r="BE299" s="35"/>
      <c r="BF299" s="6"/>
      <c r="BG299" s="35"/>
      <c r="BH299" s="6">
        <v>47</v>
      </c>
      <c r="BI299" s="6"/>
      <c r="BJ299" s="35">
        <f t="shared" ref="BJ299:BJ305" si="115">BI299+BH299-BB299</f>
        <v>0</v>
      </c>
      <c r="BK299" s="6">
        <v>47</v>
      </c>
      <c r="BL299" s="6"/>
      <c r="BM299" s="6">
        <f t="shared" ref="BM299:BM305" si="116">BL299+BK299-BH299</f>
        <v>0</v>
      </c>
      <c r="BN299" s="35">
        <v>47</v>
      </c>
      <c r="BO299" s="35"/>
      <c r="BP299" s="6">
        <f t="shared" ref="BP299:BP305" si="117">BO299+BN299-BK299</f>
        <v>0</v>
      </c>
      <c r="BQ299" s="35">
        <v>47</v>
      </c>
      <c r="BR299" s="35"/>
      <c r="BS299" s="35">
        <f t="shared" ref="BS299:BS305" si="118">BR299+BQ299-BN299</f>
        <v>0</v>
      </c>
      <c r="BT299" s="35">
        <v>47</v>
      </c>
      <c r="BU299" s="35"/>
      <c r="BV299" s="6">
        <f t="shared" ref="BV299:BV305" si="119">BU299+BT299-BQ299</f>
        <v>0</v>
      </c>
      <c r="BW299" s="6">
        <v>47</v>
      </c>
      <c r="BX299" s="6"/>
      <c r="BY299" s="35">
        <f t="shared" ref="BY299:BY305" si="120">BX299+BW299-BT299</f>
        <v>0</v>
      </c>
      <c r="BZ299" s="6"/>
      <c r="CA299" s="6"/>
      <c r="CB299" s="6"/>
      <c r="CC299" s="6">
        <v>47</v>
      </c>
      <c r="CD299" s="6"/>
      <c r="CE299" s="6">
        <f t="shared" si="109"/>
        <v>0</v>
      </c>
      <c r="CF299" s="6">
        <v>47</v>
      </c>
      <c r="CG299" s="6"/>
      <c r="CH299" s="6">
        <f t="shared" si="108"/>
        <v>0</v>
      </c>
      <c r="CI299" s="6">
        <v>47</v>
      </c>
      <c r="CJ299" s="6"/>
      <c r="CK299" s="6">
        <f t="shared" si="106"/>
        <v>0</v>
      </c>
      <c r="CL299" s="6">
        <v>47</v>
      </c>
      <c r="CM299" s="6"/>
      <c r="CN299" s="6">
        <f t="shared" si="105"/>
        <v>0</v>
      </c>
      <c r="CO299" s="6">
        <v>47</v>
      </c>
      <c r="CP299" s="6"/>
      <c r="CQ299" s="6">
        <f t="shared" si="104"/>
        <v>0</v>
      </c>
      <c r="CR299" s="6">
        <v>47</v>
      </c>
      <c r="CS299" s="6"/>
      <c r="CT299" s="6">
        <f t="shared" si="97"/>
        <v>0</v>
      </c>
      <c r="CU299" s="6"/>
      <c r="CV299" s="6"/>
      <c r="CW299" s="6"/>
      <c r="CX299" s="6">
        <v>47</v>
      </c>
      <c r="CY299" s="6"/>
      <c r="CZ299" s="6">
        <f t="shared" si="98"/>
        <v>0</v>
      </c>
      <c r="DA299" s="6">
        <v>47</v>
      </c>
      <c r="DB299" s="6"/>
      <c r="DC299" s="6">
        <f t="shared" si="99"/>
        <v>0</v>
      </c>
      <c r="DD299" s="6">
        <v>47</v>
      </c>
      <c r="DE299" s="6"/>
      <c r="DF299" s="6">
        <f t="shared" si="100"/>
        <v>0</v>
      </c>
      <c r="DG299" s="6">
        <v>47</v>
      </c>
      <c r="DH299" s="10"/>
      <c r="DI299" s="6">
        <f t="shared" si="101"/>
        <v>0</v>
      </c>
      <c r="DJ299" s="6">
        <v>47</v>
      </c>
      <c r="DK299" s="10"/>
      <c r="DL299" s="6">
        <f t="shared" si="102"/>
        <v>0</v>
      </c>
      <c r="DM299" s="6">
        <v>47</v>
      </c>
      <c r="DN299" s="10"/>
      <c r="DO299" s="6">
        <f t="shared" si="103"/>
        <v>0</v>
      </c>
    </row>
    <row r="300" spans="1:119">
      <c r="A300" s="6">
        <v>362</v>
      </c>
      <c r="B300" s="6">
        <v>34</v>
      </c>
      <c r="C300" s="10"/>
      <c r="D300" s="6">
        <v>0</v>
      </c>
      <c r="E300" s="33" t="s">
        <v>111</v>
      </c>
      <c r="F300" s="33" t="s">
        <v>111</v>
      </c>
      <c r="G300" s="33" t="s">
        <v>111</v>
      </c>
      <c r="H300" s="33" t="s">
        <v>111</v>
      </c>
      <c r="I300" s="33" t="s">
        <v>111</v>
      </c>
      <c r="J300" s="33" t="s">
        <v>111</v>
      </c>
      <c r="K300" s="33" t="s">
        <v>111</v>
      </c>
      <c r="L300" s="33" t="s">
        <v>111</v>
      </c>
      <c r="M300" s="33" t="s">
        <v>111</v>
      </c>
      <c r="N300" s="33" t="s">
        <v>111</v>
      </c>
      <c r="O300" s="33" t="s">
        <v>111</v>
      </c>
      <c r="P300" s="33" t="s">
        <v>111</v>
      </c>
      <c r="Q300" s="33" t="s">
        <v>111</v>
      </c>
      <c r="R300" s="33" t="s">
        <v>111</v>
      </c>
      <c r="S300" s="33" t="s">
        <v>111</v>
      </c>
      <c r="T300" s="33" t="s">
        <v>111</v>
      </c>
      <c r="U300" s="33" t="s">
        <v>111</v>
      </c>
      <c r="V300" s="33" t="s">
        <v>111</v>
      </c>
      <c r="W300" s="33" t="s">
        <v>111</v>
      </c>
      <c r="X300" s="33" t="s">
        <v>111</v>
      </c>
      <c r="Y300" s="33" t="s">
        <v>111</v>
      </c>
      <c r="Z300" s="33" t="s">
        <v>111</v>
      </c>
      <c r="AA300" s="33" t="s">
        <v>111</v>
      </c>
      <c r="AB300" s="33" t="s">
        <v>111</v>
      </c>
      <c r="AC300" s="33" t="s">
        <v>111</v>
      </c>
      <c r="AD300" s="6"/>
      <c r="AE300" s="6"/>
      <c r="AF300" s="35"/>
      <c r="AG300" s="6"/>
      <c r="AH300" s="6"/>
      <c r="AI300" s="35"/>
      <c r="AJ300" s="35"/>
      <c r="AK300" s="35"/>
      <c r="AL300" s="35"/>
      <c r="AM300" s="6">
        <v>34</v>
      </c>
      <c r="AN300" s="6"/>
      <c r="AO300" s="35">
        <f>AN300+AM300-B300</f>
        <v>0</v>
      </c>
      <c r="AP300" s="6">
        <v>34</v>
      </c>
      <c r="AQ300" s="34"/>
      <c r="AR300" s="34">
        <f t="shared" si="110"/>
        <v>0</v>
      </c>
      <c r="AS300" s="35">
        <v>34</v>
      </c>
      <c r="AT300" s="35"/>
      <c r="AU300" s="35">
        <f t="shared" si="111"/>
        <v>0</v>
      </c>
      <c r="AV300" s="6">
        <v>34</v>
      </c>
      <c r="AW300" s="6"/>
      <c r="AX300" s="35">
        <f t="shared" si="112"/>
        <v>0</v>
      </c>
      <c r="AY300" s="6">
        <v>34</v>
      </c>
      <c r="AZ300" s="6"/>
      <c r="BA300" s="35">
        <f t="shared" si="113"/>
        <v>0</v>
      </c>
      <c r="BB300" s="35">
        <v>34</v>
      </c>
      <c r="BC300" s="6"/>
      <c r="BD300" s="35">
        <f t="shared" si="114"/>
        <v>0</v>
      </c>
      <c r="BE300" s="35"/>
      <c r="BF300" s="6"/>
      <c r="BG300" s="35"/>
      <c r="BH300" s="6">
        <v>34</v>
      </c>
      <c r="BI300" s="6"/>
      <c r="BJ300" s="35">
        <f t="shared" si="115"/>
        <v>0</v>
      </c>
      <c r="BK300" s="6">
        <v>34</v>
      </c>
      <c r="BL300" s="6"/>
      <c r="BM300" s="6">
        <f t="shared" si="116"/>
        <v>0</v>
      </c>
      <c r="BN300" s="35">
        <v>34</v>
      </c>
      <c r="BO300" s="35"/>
      <c r="BP300" s="6">
        <f t="shared" si="117"/>
        <v>0</v>
      </c>
      <c r="BQ300" s="35">
        <v>34</v>
      </c>
      <c r="BR300" s="35"/>
      <c r="BS300" s="35">
        <f t="shared" si="118"/>
        <v>0</v>
      </c>
      <c r="BT300" s="35">
        <v>34</v>
      </c>
      <c r="BU300" s="35"/>
      <c r="BV300" s="6">
        <f t="shared" si="119"/>
        <v>0</v>
      </c>
      <c r="BW300" s="6">
        <v>34</v>
      </c>
      <c r="BX300" s="6"/>
      <c r="BY300" s="35">
        <f t="shared" si="120"/>
        <v>0</v>
      </c>
      <c r="BZ300" s="6"/>
      <c r="CA300" s="6"/>
      <c r="CB300" s="6"/>
      <c r="CC300" s="6">
        <v>34</v>
      </c>
      <c r="CD300" s="6"/>
      <c r="CE300" s="6">
        <f t="shared" si="109"/>
        <v>0</v>
      </c>
      <c r="CF300" s="6">
        <v>34</v>
      </c>
      <c r="CG300" s="6"/>
      <c r="CH300" s="6">
        <f t="shared" si="108"/>
        <v>0</v>
      </c>
      <c r="CI300" s="6">
        <v>34</v>
      </c>
      <c r="CJ300" s="6"/>
      <c r="CK300" s="6">
        <f t="shared" si="106"/>
        <v>0</v>
      </c>
      <c r="CL300" s="6">
        <v>34</v>
      </c>
      <c r="CM300" s="6"/>
      <c r="CN300" s="6">
        <f t="shared" si="105"/>
        <v>0</v>
      </c>
      <c r="CO300" s="6">
        <v>34</v>
      </c>
      <c r="CP300" s="6"/>
      <c r="CQ300" s="6">
        <f t="shared" si="104"/>
        <v>0</v>
      </c>
      <c r="CR300" s="6">
        <v>34</v>
      </c>
      <c r="CS300" s="6"/>
      <c r="CT300" s="6">
        <f t="shared" si="97"/>
        <v>0</v>
      </c>
      <c r="CU300" s="6"/>
      <c r="CV300" s="6"/>
      <c r="CW300" s="6"/>
      <c r="CX300" s="6">
        <v>34</v>
      </c>
      <c r="CY300" s="6"/>
      <c r="CZ300" s="6">
        <f t="shared" si="98"/>
        <v>0</v>
      </c>
      <c r="DA300" s="6">
        <v>34</v>
      </c>
      <c r="DB300" s="6"/>
      <c r="DC300" s="6">
        <f t="shared" si="99"/>
        <v>0</v>
      </c>
      <c r="DD300" s="6">
        <v>34</v>
      </c>
      <c r="DE300" s="6"/>
      <c r="DF300" s="6">
        <f t="shared" si="100"/>
        <v>0</v>
      </c>
      <c r="DG300" s="6">
        <v>34</v>
      </c>
      <c r="DH300" s="10"/>
      <c r="DI300" s="6">
        <f t="shared" si="101"/>
        <v>0</v>
      </c>
      <c r="DJ300" s="6">
        <v>34</v>
      </c>
      <c r="DK300" s="10"/>
      <c r="DL300" s="6">
        <f t="shared" si="102"/>
        <v>0</v>
      </c>
      <c r="DM300" s="6">
        <v>34</v>
      </c>
      <c r="DN300" s="10"/>
      <c r="DO300" s="6">
        <f t="shared" si="103"/>
        <v>0</v>
      </c>
    </row>
    <row r="301" spans="1:119">
      <c r="A301" s="6">
        <v>363</v>
      </c>
      <c r="B301" s="6"/>
      <c r="C301" s="10"/>
      <c r="D301" s="6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148" t="s">
        <v>382</v>
      </c>
      <c r="T301" s="33" t="s">
        <v>382</v>
      </c>
      <c r="U301" s="33" t="s">
        <v>382</v>
      </c>
      <c r="V301" s="33" t="s">
        <v>382</v>
      </c>
      <c r="W301" s="33" t="s">
        <v>382</v>
      </c>
      <c r="X301" s="33" t="s">
        <v>382</v>
      </c>
      <c r="Y301" s="33" t="s">
        <v>382</v>
      </c>
      <c r="Z301" s="33" t="s">
        <v>382</v>
      </c>
      <c r="AA301" s="33" t="s">
        <v>382</v>
      </c>
      <c r="AB301" s="33" t="s">
        <v>382</v>
      </c>
      <c r="AC301" s="33" t="s">
        <v>382</v>
      </c>
      <c r="AD301" s="6"/>
      <c r="AE301" s="6"/>
      <c r="AF301" s="35"/>
      <c r="AG301" s="6"/>
      <c r="AH301" s="6"/>
      <c r="AI301" s="35"/>
      <c r="AJ301" s="35"/>
      <c r="AK301" s="35"/>
      <c r="AL301" s="35"/>
      <c r="AM301" s="6"/>
      <c r="AN301" s="6"/>
      <c r="AO301" s="35"/>
      <c r="AP301" s="6"/>
      <c r="AQ301" s="34"/>
      <c r="AR301" s="34"/>
      <c r="AS301" s="35"/>
      <c r="AT301" s="35"/>
      <c r="AU301" s="35"/>
      <c r="AV301" s="6"/>
      <c r="AW301" s="6"/>
      <c r="AX301" s="35"/>
      <c r="AY301" s="6"/>
      <c r="AZ301" s="6"/>
      <c r="BA301" s="35"/>
      <c r="BB301" s="35"/>
      <c r="BC301" s="6"/>
      <c r="BD301" s="35"/>
      <c r="BE301" s="35"/>
      <c r="BF301" s="6"/>
      <c r="BG301" s="35"/>
      <c r="BH301" s="6"/>
      <c r="BI301" s="6"/>
      <c r="BJ301" s="35"/>
      <c r="BK301" s="6"/>
      <c r="BL301" s="6"/>
      <c r="BM301" s="6"/>
      <c r="BN301" s="35"/>
      <c r="BO301" s="35"/>
      <c r="BP301" s="6"/>
      <c r="BQ301" s="35"/>
      <c r="BR301" s="35"/>
      <c r="BS301" s="35"/>
      <c r="BT301" s="35"/>
      <c r="BU301" s="35"/>
      <c r="BV301" s="6"/>
      <c r="BW301" s="6"/>
      <c r="BX301" s="6"/>
      <c r="BY301" s="35"/>
      <c r="BZ301" s="6"/>
      <c r="CA301" s="6"/>
      <c r="CB301" s="6"/>
      <c r="CC301" s="6"/>
      <c r="CD301" s="6"/>
      <c r="CE301" s="6"/>
      <c r="CF301" s="6">
        <v>0</v>
      </c>
      <c r="CG301" s="6"/>
      <c r="CH301" s="6">
        <f t="shared" si="108"/>
        <v>0</v>
      </c>
      <c r="CI301" s="6">
        <v>140</v>
      </c>
      <c r="CJ301" s="6"/>
      <c r="CK301" s="6">
        <f t="shared" si="106"/>
        <v>140</v>
      </c>
      <c r="CL301" s="6">
        <v>391</v>
      </c>
      <c r="CM301" s="6"/>
      <c r="CN301" s="6">
        <f t="shared" si="105"/>
        <v>251</v>
      </c>
      <c r="CO301" s="6">
        <v>650</v>
      </c>
      <c r="CP301" s="6"/>
      <c r="CQ301" s="6">
        <f t="shared" si="104"/>
        <v>259</v>
      </c>
      <c r="CR301" s="6">
        <v>201</v>
      </c>
      <c r="CS301" s="6">
        <v>674</v>
      </c>
      <c r="CT301" s="6">
        <f t="shared" si="97"/>
        <v>225</v>
      </c>
      <c r="CU301" s="6"/>
      <c r="CV301" s="6"/>
      <c r="CW301" s="6"/>
      <c r="CX301" s="6">
        <v>402</v>
      </c>
      <c r="CY301" s="6"/>
      <c r="CZ301" s="6">
        <f t="shared" si="98"/>
        <v>201</v>
      </c>
      <c r="DA301" s="6">
        <v>608</v>
      </c>
      <c r="DB301" s="6"/>
      <c r="DC301" s="6">
        <f t="shared" si="99"/>
        <v>206</v>
      </c>
      <c r="DD301" s="6">
        <v>608</v>
      </c>
      <c r="DE301" s="6"/>
      <c r="DF301" s="6">
        <f t="shared" si="100"/>
        <v>0</v>
      </c>
      <c r="DG301" s="6">
        <v>0</v>
      </c>
      <c r="DH301" s="10">
        <v>608</v>
      </c>
      <c r="DI301" s="6">
        <f t="shared" si="101"/>
        <v>0</v>
      </c>
      <c r="DJ301" s="6">
        <v>272</v>
      </c>
      <c r="DK301" s="10"/>
      <c r="DL301" s="6">
        <f t="shared" si="102"/>
        <v>272</v>
      </c>
      <c r="DM301" s="6">
        <v>531</v>
      </c>
      <c r="DN301" s="10"/>
      <c r="DO301" s="6">
        <f t="shared" si="103"/>
        <v>259</v>
      </c>
    </row>
    <row r="302" spans="1:119">
      <c r="A302" s="6" t="s">
        <v>293</v>
      </c>
      <c r="B302" s="6">
        <v>782</v>
      </c>
      <c r="C302" s="10"/>
      <c r="D302" s="6">
        <v>124</v>
      </c>
      <c r="E302" s="33" t="s">
        <v>246</v>
      </c>
      <c r="F302" s="33" t="s">
        <v>246</v>
      </c>
      <c r="G302" s="33" t="s">
        <v>246</v>
      </c>
      <c r="H302" s="33" t="s">
        <v>246</v>
      </c>
      <c r="I302" s="33" t="s">
        <v>246</v>
      </c>
      <c r="J302" s="33" t="s">
        <v>246</v>
      </c>
      <c r="K302" s="148" t="s">
        <v>246</v>
      </c>
      <c r="L302" s="33" t="s">
        <v>246</v>
      </c>
      <c r="M302" s="33" t="s">
        <v>246</v>
      </c>
      <c r="N302" s="33" t="s">
        <v>246</v>
      </c>
      <c r="O302" s="33" t="s">
        <v>246</v>
      </c>
      <c r="P302" s="33" t="s">
        <v>246</v>
      </c>
      <c r="Q302" s="33" t="s">
        <v>246</v>
      </c>
      <c r="R302" s="33" t="s">
        <v>246</v>
      </c>
      <c r="S302" s="33" t="s">
        <v>246</v>
      </c>
      <c r="T302" s="33" t="s">
        <v>246</v>
      </c>
      <c r="U302" s="33" t="s">
        <v>246</v>
      </c>
      <c r="V302" s="33" t="s">
        <v>246</v>
      </c>
      <c r="W302" s="33" t="s">
        <v>246</v>
      </c>
      <c r="X302" s="33" t="s">
        <v>246</v>
      </c>
      <c r="Y302" s="33" t="s">
        <v>246</v>
      </c>
      <c r="Z302" s="33" t="s">
        <v>246</v>
      </c>
      <c r="AA302" s="33" t="s">
        <v>246</v>
      </c>
      <c r="AB302" s="33" t="s">
        <v>246</v>
      </c>
      <c r="AC302" s="33" t="s">
        <v>246</v>
      </c>
      <c r="AD302" s="6"/>
      <c r="AE302" s="6"/>
      <c r="AF302" s="35"/>
      <c r="AG302" s="6"/>
      <c r="AH302" s="6"/>
      <c r="AI302" s="35"/>
      <c r="AJ302" s="35"/>
      <c r="AK302" s="35"/>
      <c r="AL302" s="35"/>
      <c r="AM302" s="6">
        <v>1024</v>
      </c>
      <c r="AN302" s="6"/>
      <c r="AO302" s="35">
        <f>AN302+AM302-B302</f>
        <v>242</v>
      </c>
      <c r="AP302" s="6">
        <v>1271</v>
      </c>
      <c r="AQ302" s="34"/>
      <c r="AR302" s="34">
        <f t="shared" si="110"/>
        <v>247</v>
      </c>
      <c r="AS302" s="35">
        <v>1516</v>
      </c>
      <c r="AT302" s="35"/>
      <c r="AU302" s="35">
        <f t="shared" si="111"/>
        <v>245</v>
      </c>
      <c r="AV302" s="6">
        <v>1768</v>
      </c>
      <c r="AW302" s="6"/>
      <c r="AX302" s="35">
        <f t="shared" si="112"/>
        <v>252</v>
      </c>
      <c r="AY302" s="6">
        <v>1992</v>
      </c>
      <c r="AZ302" s="6"/>
      <c r="BA302" s="35">
        <f t="shared" si="113"/>
        <v>224</v>
      </c>
      <c r="BB302" s="35">
        <v>209</v>
      </c>
      <c r="BC302" s="6">
        <v>1922</v>
      </c>
      <c r="BD302" s="35">
        <f t="shared" si="114"/>
        <v>139</v>
      </c>
      <c r="BE302" s="35"/>
      <c r="BF302" s="6"/>
      <c r="BG302" s="35"/>
      <c r="BH302" s="6">
        <v>449</v>
      </c>
      <c r="BI302" s="6"/>
      <c r="BJ302" s="35">
        <f t="shared" si="115"/>
        <v>240</v>
      </c>
      <c r="BK302" s="6">
        <v>679</v>
      </c>
      <c r="BL302" s="6"/>
      <c r="BM302" s="6">
        <f t="shared" si="116"/>
        <v>230</v>
      </c>
      <c r="BN302" s="35">
        <v>917</v>
      </c>
      <c r="BO302" s="35"/>
      <c r="BP302" s="6">
        <f t="shared" si="117"/>
        <v>238</v>
      </c>
      <c r="BQ302" s="35">
        <v>1158</v>
      </c>
      <c r="BR302" s="35"/>
      <c r="BS302" s="35">
        <f t="shared" si="118"/>
        <v>241</v>
      </c>
      <c r="BT302" s="35">
        <v>1404</v>
      </c>
      <c r="BU302" s="35"/>
      <c r="BV302" s="6">
        <f t="shared" si="119"/>
        <v>246</v>
      </c>
      <c r="BW302" s="6">
        <v>141</v>
      </c>
      <c r="BX302" s="6">
        <v>1500</v>
      </c>
      <c r="BY302" s="35">
        <f t="shared" si="120"/>
        <v>237</v>
      </c>
      <c r="BZ302" s="6"/>
      <c r="CA302" s="6"/>
      <c r="CB302" s="6"/>
      <c r="CC302" s="6">
        <v>377</v>
      </c>
      <c r="CD302" s="6"/>
      <c r="CE302" s="6">
        <f t="shared" si="109"/>
        <v>236</v>
      </c>
      <c r="CF302" s="6">
        <v>612</v>
      </c>
      <c r="CG302" s="6"/>
      <c r="CH302" s="6">
        <f t="shared" si="108"/>
        <v>235</v>
      </c>
      <c r="CI302" s="6">
        <v>866</v>
      </c>
      <c r="CJ302" s="6"/>
      <c r="CK302" s="6">
        <f t="shared" si="106"/>
        <v>254</v>
      </c>
      <c r="CL302" s="6">
        <v>1115</v>
      </c>
      <c r="CM302" s="6"/>
      <c r="CN302" s="6">
        <f t="shared" si="105"/>
        <v>249</v>
      </c>
      <c r="CO302" s="6">
        <v>1367</v>
      </c>
      <c r="CP302" s="6"/>
      <c r="CQ302" s="6">
        <f t="shared" si="104"/>
        <v>252</v>
      </c>
      <c r="CR302" s="6">
        <v>1588</v>
      </c>
      <c r="CS302" s="6"/>
      <c r="CT302" s="6">
        <f t="shared" si="97"/>
        <v>221</v>
      </c>
      <c r="CU302" s="6"/>
      <c r="CV302" s="6"/>
      <c r="CW302" s="6"/>
      <c r="CX302" s="6">
        <v>1814</v>
      </c>
      <c r="CY302" s="6"/>
      <c r="CZ302" s="6">
        <f t="shared" si="98"/>
        <v>226</v>
      </c>
      <c r="DA302" s="6">
        <v>2009</v>
      </c>
      <c r="DB302" s="6"/>
      <c r="DC302" s="6">
        <f t="shared" si="99"/>
        <v>195</v>
      </c>
      <c r="DD302" s="6">
        <v>2039</v>
      </c>
      <c r="DE302" s="6"/>
      <c r="DF302" s="6">
        <f t="shared" si="100"/>
        <v>30</v>
      </c>
      <c r="DG302" s="6">
        <v>0</v>
      </c>
      <c r="DH302" s="10">
        <v>2039</v>
      </c>
      <c r="DI302" s="6">
        <f t="shared" si="101"/>
        <v>0</v>
      </c>
      <c r="DJ302" s="6">
        <v>0</v>
      </c>
      <c r="DK302" s="10"/>
      <c r="DL302" s="6">
        <f t="shared" si="102"/>
        <v>0</v>
      </c>
      <c r="DM302" s="6">
        <v>0</v>
      </c>
      <c r="DN302" s="10"/>
      <c r="DO302" s="6">
        <f t="shared" si="103"/>
        <v>0</v>
      </c>
    </row>
    <row r="303" spans="1:119">
      <c r="A303" s="6" t="s">
        <v>294</v>
      </c>
      <c r="B303" s="6">
        <v>757</v>
      </c>
      <c r="C303" s="10"/>
      <c r="D303" s="6">
        <v>160</v>
      </c>
      <c r="E303" s="33" t="s">
        <v>291</v>
      </c>
      <c r="F303" s="33" t="s">
        <v>291</v>
      </c>
      <c r="G303" s="148" t="s">
        <v>246</v>
      </c>
      <c r="H303" s="33" t="s">
        <v>246</v>
      </c>
      <c r="I303" s="33" t="s">
        <v>246</v>
      </c>
      <c r="J303" s="33" t="s">
        <v>246</v>
      </c>
      <c r="K303" s="33" t="s">
        <v>246</v>
      </c>
      <c r="L303" s="33" t="s">
        <v>246</v>
      </c>
      <c r="M303" s="33" t="s">
        <v>246</v>
      </c>
      <c r="N303" s="33" t="s">
        <v>246</v>
      </c>
      <c r="O303" s="33" t="s">
        <v>246</v>
      </c>
      <c r="P303" s="33" t="s">
        <v>246</v>
      </c>
      <c r="Q303" s="33" t="s">
        <v>246</v>
      </c>
      <c r="R303" s="33" t="s">
        <v>246</v>
      </c>
      <c r="S303" s="33" t="s">
        <v>246</v>
      </c>
      <c r="T303" s="33" t="s">
        <v>246</v>
      </c>
      <c r="U303" s="33" t="s">
        <v>246</v>
      </c>
      <c r="V303" s="33" t="s">
        <v>246</v>
      </c>
      <c r="W303" s="33" t="s">
        <v>246</v>
      </c>
      <c r="X303" s="33" t="s">
        <v>246</v>
      </c>
      <c r="Y303" s="33" t="s">
        <v>246</v>
      </c>
      <c r="Z303" s="33" t="s">
        <v>246</v>
      </c>
      <c r="AA303" s="33" t="s">
        <v>246</v>
      </c>
      <c r="AB303" s="33" t="s">
        <v>246</v>
      </c>
      <c r="AC303" s="33" t="s">
        <v>246</v>
      </c>
      <c r="AD303" s="6"/>
      <c r="AE303" s="6"/>
      <c r="AF303" s="35"/>
      <c r="AG303" s="6"/>
      <c r="AH303" s="6"/>
      <c r="AI303" s="35"/>
      <c r="AJ303" s="35"/>
      <c r="AK303" s="35"/>
      <c r="AL303" s="35"/>
      <c r="AM303" s="6">
        <v>104</v>
      </c>
      <c r="AN303" s="6">
        <v>781</v>
      </c>
      <c r="AO303" s="35">
        <f>AN303+AM303-B303</f>
        <v>128</v>
      </c>
      <c r="AP303" s="6">
        <v>192</v>
      </c>
      <c r="AQ303" s="34">
        <v>104</v>
      </c>
      <c r="AR303" s="34">
        <f t="shared" si="110"/>
        <v>192</v>
      </c>
      <c r="AS303" s="35">
        <v>450</v>
      </c>
      <c r="AT303" s="35"/>
      <c r="AU303" s="35">
        <f t="shared" si="111"/>
        <v>258</v>
      </c>
      <c r="AV303" s="6">
        <v>710</v>
      </c>
      <c r="AW303" s="6"/>
      <c r="AX303" s="35">
        <f t="shared" si="112"/>
        <v>260</v>
      </c>
      <c r="AY303" s="6">
        <v>962</v>
      </c>
      <c r="AZ303" s="6"/>
      <c r="BA303" s="35">
        <f t="shared" si="113"/>
        <v>252</v>
      </c>
      <c r="BB303" s="35">
        <v>1209</v>
      </c>
      <c r="BC303" s="6"/>
      <c r="BD303" s="35">
        <f t="shared" si="114"/>
        <v>247</v>
      </c>
      <c r="BE303" s="35"/>
      <c r="BF303" s="6"/>
      <c r="BG303" s="35"/>
      <c r="BH303" s="6">
        <v>1468</v>
      </c>
      <c r="BI303" s="6"/>
      <c r="BJ303" s="35">
        <f t="shared" si="115"/>
        <v>259</v>
      </c>
      <c r="BK303" s="6">
        <v>222</v>
      </c>
      <c r="BL303" s="6">
        <v>1500</v>
      </c>
      <c r="BM303" s="6">
        <f t="shared" si="116"/>
        <v>254</v>
      </c>
      <c r="BN303" s="35">
        <v>481</v>
      </c>
      <c r="BO303" s="35"/>
      <c r="BP303" s="6">
        <f t="shared" si="117"/>
        <v>259</v>
      </c>
      <c r="BQ303" s="35">
        <v>164</v>
      </c>
      <c r="BR303" s="35">
        <v>565</v>
      </c>
      <c r="BS303" s="35">
        <f t="shared" si="118"/>
        <v>248</v>
      </c>
      <c r="BT303" s="35">
        <v>423</v>
      </c>
      <c r="BU303" s="35"/>
      <c r="BV303" s="6">
        <f t="shared" si="119"/>
        <v>259</v>
      </c>
      <c r="BW303" s="6">
        <v>665</v>
      </c>
      <c r="BX303" s="6"/>
      <c r="BY303" s="35">
        <f t="shared" si="120"/>
        <v>242</v>
      </c>
      <c r="BZ303" s="6"/>
      <c r="CA303" s="6"/>
      <c r="CB303" s="6"/>
      <c r="CC303" s="6">
        <v>916</v>
      </c>
      <c r="CD303" s="6"/>
      <c r="CE303" s="6">
        <f t="shared" si="109"/>
        <v>251</v>
      </c>
      <c r="CF303" s="6">
        <v>1166</v>
      </c>
      <c r="CG303" s="6"/>
      <c r="CH303" s="6">
        <f t="shared" si="108"/>
        <v>250</v>
      </c>
      <c r="CI303" s="6">
        <v>1426</v>
      </c>
      <c r="CJ303" s="6"/>
      <c r="CK303" s="6">
        <f t="shared" si="106"/>
        <v>260</v>
      </c>
      <c r="CL303" s="6">
        <v>1682</v>
      </c>
      <c r="CM303" s="6"/>
      <c r="CN303" s="6">
        <f t="shared" si="105"/>
        <v>256</v>
      </c>
      <c r="CO303" s="6">
        <v>1930</v>
      </c>
      <c r="CP303" s="6"/>
      <c r="CQ303" s="6">
        <f t="shared" si="104"/>
        <v>248</v>
      </c>
      <c r="CR303" s="6">
        <v>0</v>
      </c>
      <c r="CS303" s="6">
        <v>2000</v>
      </c>
      <c r="CT303" s="6">
        <f t="shared" si="97"/>
        <v>70</v>
      </c>
      <c r="CU303" s="6"/>
      <c r="CV303" s="6"/>
      <c r="CW303" s="6"/>
      <c r="CX303" s="6">
        <v>0</v>
      </c>
      <c r="CY303" s="6"/>
      <c r="CZ303" s="6">
        <f t="shared" si="98"/>
        <v>0</v>
      </c>
      <c r="DA303" s="6">
        <v>0</v>
      </c>
      <c r="DB303" s="6"/>
      <c r="DC303" s="6">
        <f t="shared" si="99"/>
        <v>0</v>
      </c>
      <c r="DD303" s="6">
        <v>0</v>
      </c>
      <c r="DE303" s="6"/>
      <c r="DF303" s="6">
        <f t="shared" si="100"/>
        <v>0</v>
      </c>
      <c r="DG303" s="6">
        <v>0</v>
      </c>
      <c r="DH303" s="10"/>
      <c r="DI303" s="6">
        <f t="shared" si="101"/>
        <v>0</v>
      </c>
      <c r="DJ303" s="6">
        <v>0</v>
      </c>
      <c r="DK303" s="10"/>
      <c r="DL303" s="6">
        <f t="shared" si="102"/>
        <v>0</v>
      </c>
      <c r="DM303" s="6">
        <v>0</v>
      </c>
      <c r="DN303" s="10"/>
      <c r="DO303" s="6">
        <f t="shared" si="103"/>
        <v>0</v>
      </c>
    </row>
    <row r="304" spans="1:119">
      <c r="A304" s="6" t="s">
        <v>321</v>
      </c>
      <c r="B304" s="6">
        <v>561</v>
      </c>
      <c r="C304" s="10"/>
      <c r="D304" s="6">
        <v>128</v>
      </c>
      <c r="E304" s="33" t="s">
        <v>246</v>
      </c>
      <c r="F304" s="33" t="s">
        <v>246</v>
      </c>
      <c r="G304" s="33" t="s">
        <v>246</v>
      </c>
      <c r="H304" s="33" t="s">
        <v>246</v>
      </c>
      <c r="I304" s="33" t="s">
        <v>246</v>
      </c>
      <c r="J304" s="33" t="s">
        <v>246</v>
      </c>
      <c r="K304" s="33" t="s">
        <v>246</v>
      </c>
      <c r="L304" s="33" t="s">
        <v>246</v>
      </c>
      <c r="M304" s="33" t="s">
        <v>246</v>
      </c>
      <c r="N304" s="33" t="s">
        <v>246</v>
      </c>
      <c r="O304" s="33" t="s">
        <v>246</v>
      </c>
      <c r="P304" s="33" t="s">
        <v>246</v>
      </c>
      <c r="Q304" s="33" t="s">
        <v>246</v>
      </c>
      <c r="R304" s="33" t="s">
        <v>246</v>
      </c>
      <c r="S304" s="33" t="s">
        <v>246</v>
      </c>
      <c r="T304" s="33" t="s">
        <v>246</v>
      </c>
      <c r="U304" s="33" t="s">
        <v>246</v>
      </c>
      <c r="V304" s="33" t="s">
        <v>246</v>
      </c>
      <c r="W304" s="33" t="s">
        <v>246</v>
      </c>
      <c r="X304" s="33" t="s">
        <v>246</v>
      </c>
      <c r="Y304" s="33" t="s">
        <v>246</v>
      </c>
      <c r="Z304" s="33" t="s">
        <v>246</v>
      </c>
      <c r="AA304" s="33" t="s">
        <v>246</v>
      </c>
      <c r="AB304" s="33" t="s">
        <v>246</v>
      </c>
      <c r="AC304" s="33" t="s">
        <v>246</v>
      </c>
      <c r="AD304" s="6"/>
      <c r="AE304" s="6"/>
      <c r="AF304" s="35"/>
      <c r="AG304" s="6"/>
      <c r="AH304" s="6"/>
      <c r="AI304" s="35"/>
      <c r="AJ304" s="35"/>
      <c r="AK304" s="35"/>
      <c r="AL304" s="35"/>
      <c r="AM304" s="6">
        <v>796</v>
      </c>
      <c r="AN304" s="6"/>
      <c r="AO304" s="35">
        <f>AN304+AM304-B304</f>
        <v>235</v>
      </c>
      <c r="AP304" s="6">
        <v>1043</v>
      </c>
      <c r="AQ304" s="34"/>
      <c r="AR304" s="34">
        <f t="shared" si="110"/>
        <v>247</v>
      </c>
      <c r="AS304" s="35">
        <v>1286</v>
      </c>
      <c r="AT304" s="35"/>
      <c r="AU304" s="35">
        <f t="shared" si="111"/>
        <v>243</v>
      </c>
      <c r="AV304" s="6">
        <v>1532</v>
      </c>
      <c r="AW304" s="6"/>
      <c r="AX304" s="35">
        <f t="shared" si="112"/>
        <v>246</v>
      </c>
      <c r="AY304" s="6">
        <v>1783</v>
      </c>
      <c r="AZ304" s="6"/>
      <c r="BA304" s="35">
        <f t="shared" si="113"/>
        <v>251</v>
      </c>
      <c r="BB304" s="35">
        <v>2010</v>
      </c>
      <c r="BC304" s="6"/>
      <c r="BD304" s="35">
        <f t="shared" si="114"/>
        <v>227</v>
      </c>
      <c r="BE304" s="35"/>
      <c r="BF304" s="6"/>
      <c r="BG304" s="35"/>
      <c r="BH304" s="6">
        <v>245</v>
      </c>
      <c r="BI304" s="6">
        <v>2012</v>
      </c>
      <c r="BJ304" s="35">
        <f t="shared" si="115"/>
        <v>247</v>
      </c>
      <c r="BK304" s="6">
        <v>484</v>
      </c>
      <c r="BL304" s="6"/>
      <c r="BM304" s="6">
        <f t="shared" si="116"/>
        <v>239</v>
      </c>
      <c r="BN304" s="35">
        <v>733</v>
      </c>
      <c r="BO304" s="35"/>
      <c r="BP304" s="6">
        <f t="shared" si="117"/>
        <v>249</v>
      </c>
      <c r="BQ304" s="35">
        <v>980</v>
      </c>
      <c r="BR304" s="35"/>
      <c r="BS304" s="35">
        <f t="shared" si="118"/>
        <v>247</v>
      </c>
      <c r="BT304" s="35">
        <v>1217</v>
      </c>
      <c r="BU304" s="35"/>
      <c r="BV304" s="6">
        <f t="shared" si="119"/>
        <v>237</v>
      </c>
      <c r="BW304" s="6">
        <v>0</v>
      </c>
      <c r="BX304" s="6">
        <v>1441</v>
      </c>
      <c r="BY304" s="35">
        <f t="shared" si="120"/>
        <v>224</v>
      </c>
      <c r="BZ304" s="6"/>
      <c r="CA304" s="6"/>
      <c r="CB304" s="6"/>
      <c r="CC304" s="6">
        <v>239</v>
      </c>
      <c r="CD304" s="6"/>
      <c r="CE304" s="6">
        <f t="shared" si="109"/>
        <v>239</v>
      </c>
      <c r="CF304" s="6">
        <v>454</v>
      </c>
      <c r="CG304" s="6"/>
      <c r="CH304" s="6">
        <f t="shared" si="108"/>
        <v>215</v>
      </c>
      <c r="CI304" s="6">
        <v>459</v>
      </c>
      <c r="CJ304" s="6"/>
      <c r="CK304" s="6">
        <f t="shared" si="106"/>
        <v>5</v>
      </c>
      <c r="CL304" s="6">
        <v>459</v>
      </c>
      <c r="CM304" s="6"/>
      <c r="CN304" s="6">
        <f t="shared" si="105"/>
        <v>0</v>
      </c>
      <c r="CO304" s="6">
        <v>459</v>
      </c>
      <c r="CP304" s="6"/>
      <c r="CQ304" s="6">
        <f t="shared" si="104"/>
        <v>0</v>
      </c>
      <c r="CR304" s="6">
        <v>459</v>
      </c>
      <c r="CS304" s="6"/>
      <c r="CT304" s="6">
        <f t="shared" si="97"/>
        <v>0</v>
      </c>
      <c r="CU304" s="6"/>
      <c r="CV304" s="6"/>
      <c r="CW304" s="6"/>
      <c r="CX304" s="6">
        <f>25+459</f>
        <v>484</v>
      </c>
      <c r="CY304" s="6"/>
      <c r="CZ304" s="6">
        <f t="shared" si="98"/>
        <v>25</v>
      </c>
      <c r="DA304" s="6">
        <f>25+459</f>
        <v>484</v>
      </c>
      <c r="DB304" s="6"/>
      <c r="DC304" s="6">
        <f t="shared" si="99"/>
        <v>0</v>
      </c>
      <c r="DD304" s="6">
        <f>25+459</f>
        <v>484</v>
      </c>
      <c r="DE304" s="6"/>
      <c r="DF304" s="6">
        <f t="shared" si="100"/>
        <v>0</v>
      </c>
      <c r="DG304" s="6">
        <f>221+459</f>
        <v>680</v>
      </c>
      <c r="DH304" s="10"/>
      <c r="DI304" s="6">
        <f t="shared" si="101"/>
        <v>196</v>
      </c>
      <c r="DJ304" s="6">
        <f>445+459</f>
        <v>904</v>
      </c>
      <c r="DK304" s="10"/>
      <c r="DL304" s="6">
        <f t="shared" si="102"/>
        <v>224</v>
      </c>
      <c r="DM304" s="6">
        <f>527+459</f>
        <v>986</v>
      </c>
      <c r="DN304" s="10"/>
      <c r="DO304" s="6">
        <f t="shared" si="103"/>
        <v>82</v>
      </c>
    </row>
    <row r="305" spans="1:121">
      <c r="A305" s="6" t="s">
        <v>322</v>
      </c>
      <c r="B305" s="6">
        <v>513</v>
      </c>
      <c r="C305" s="10"/>
      <c r="D305" s="6">
        <v>121</v>
      </c>
      <c r="E305" s="33" t="s">
        <v>246</v>
      </c>
      <c r="F305" s="33" t="s">
        <v>246</v>
      </c>
      <c r="G305" s="33" t="s">
        <v>246</v>
      </c>
      <c r="H305" s="33" t="s">
        <v>246</v>
      </c>
      <c r="I305" s="33" t="s">
        <v>246</v>
      </c>
      <c r="J305" s="33" t="s">
        <v>246</v>
      </c>
      <c r="K305" s="33" t="s">
        <v>246</v>
      </c>
      <c r="L305" s="33" t="s">
        <v>246</v>
      </c>
      <c r="M305" s="33" t="s">
        <v>246</v>
      </c>
      <c r="N305" s="33" t="s">
        <v>246</v>
      </c>
      <c r="O305" s="33" t="s">
        <v>246</v>
      </c>
      <c r="P305" s="33" t="s">
        <v>246</v>
      </c>
      <c r="Q305" s="33" t="s">
        <v>246</v>
      </c>
      <c r="R305" s="33" t="s">
        <v>246</v>
      </c>
      <c r="S305" s="33" t="s">
        <v>246</v>
      </c>
      <c r="T305" s="33" t="s">
        <v>246</v>
      </c>
      <c r="U305" s="33" t="s">
        <v>246</v>
      </c>
      <c r="V305" s="33" t="s">
        <v>246</v>
      </c>
      <c r="W305" s="33" t="s">
        <v>246</v>
      </c>
      <c r="X305" s="33" t="s">
        <v>246</v>
      </c>
      <c r="Y305" s="33" t="s">
        <v>246</v>
      </c>
      <c r="Z305" s="33" t="s">
        <v>246</v>
      </c>
      <c r="AA305" s="33" t="s">
        <v>246</v>
      </c>
      <c r="AB305" s="33" t="s">
        <v>246</v>
      </c>
      <c r="AC305" s="33" t="s">
        <v>246</v>
      </c>
      <c r="AD305" s="6"/>
      <c r="AE305" s="6"/>
      <c r="AF305" s="35"/>
      <c r="AG305" s="6"/>
      <c r="AH305" s="6"/>
      <c r="AI305" s="35"/>
      <c r="AJ305" s="35"/>
      <c r="AK305" s="35"/>
      <c r="AL305" s="35"/>
      <c r="AM305" s="6">
        <v>739</v>
      </c>
      <c r="AN305" s="6"/>
      <c r="AO305" s="35">
        <f>AN305+AM305-B305</f>
        <v>226</v>
      </c>
      <c r="AP305" s="6">
        <v>985</v>
      </c>
      <c r="AQ305" s="34"/>
      <c r="AR305" s="34">
        <f t="shared" si="110"/>
        <v>246</v>
      </c>
      <c r="AS305" s="35">
        <v>1242</v>
      </c>
      <c r="AT305" s="35"/>
      <c r="AU305" s="35">
        <f t="shared" si="111"/>
        <v>257</v>
      </c>
      <c r="AV305" s="6">
        <v>1502</v>
      </c>
      <c r="AW305" s="6"/>
      <c r="AX305" s="35">
        <f t="shared" si="112"/>
        <v>260</v>
      </c>
      <c r="AY305" s="6">
        <v>1761</v>
      </c>
      <c r="AZ305" s="6"/>
      <c r="BA305" s="35">
        <f t="shared" si="113"/>
        <v>259</v>
      </c>
      <c r="BB305" s="35">
        <v>1999</v>
      </c>
      <c r="BC305" s="6"/>
      <c r="BD305" s="35">
        <f t="shared" si="114"/>
        <v>238</v>
      </c>
      <c r="BE305" s="35"/>
      <c r="BF305" s="6"/>
      <c r="BG305" s="35"/>
      <c r="BH305" s="6">
        <v>250</v>
      </c>
      <c r="BI305" s="6">
        <v>2000</v>
      </c>
      <c r="BJ305" s="35">
        <f t="shared" si="115"/>
        <v>251</v>
      </c>
      <c r="BK305" s="6">
        <v>499</v>
      </c>
      <c r="BL305" s="6"/>
      <c r="BM305" s="6">
        <f t="shared" si="116"/>
        <v>249</v>
      </c>
      <c r="BN305" s="35">
        <v>756</v>
      </c>
      <c r="BO305" s="35"/>
      <c r="BP305" s="6">
        <f t="shared" si="117"/>
        <v>257</v>
      </c>
      <c r="BQ305" s="35">
        <v>1011</v>
      </c>
      <c r="BR305" s="35"/>
      <c r="BS305" s="35">
        <f t="shared" si="118"/>
        <v>255</v>
      </c>
      <c r="BT305" s="35">
        <v>1266</v>
      </c>
      <c r="BU305" s="35"/>
      <c r="BV305" s="6">
        <f t="shared" si="119"/>
        <v>255</v>
      </c>
      <c r="BW305" s="6">
        <v>1483</v>
      </c>
      <c r="BX305" s="6"/>
      <c r="BY305" s="35">
        <f t="shared" si="120"/>
        <v>217</v>
      </c>
      <c r="BZ305" s="6"/>
      <c r="CA305" s="6"/>
      <c r="CB305" s="6"/>
      <c r="CC305" s="6">
        <v>1728</v>
      </c>
      <c r="CD305" s="6"/>
      <c r="CE305" s="6">
        <f t="shared" si="109"/>
        <v>245</v>
      </c>
      <c r="CF305" s="6">
        <v>1977</v>
      </c>
      <c r="CG305" s="6"/>
      <c r="CH305" s="6">
        <f t="shared" si="108"/>
        <v>249</v>
      </c>
      <c r="CI305" s="6">
        <v>2223</v>
      </c>
      <c r="CJ305" s="6"/>
      <c r="CK305" s="6">
        <f t="shared" si="106"/>
        <v>246</v>
      </c>
      <c r="CL305" s="6">
        <v>212</v>
      </c>
      <c r="CM305" s="6">
        <v>2248</v>
      </c>
      <c r="CN305" s="6">
        <f>CM305+CL305-CI305</f>
        <v>237</v>
      </c>
      <c r="CO305" s="6">
        <v>451</v>
      </c>
      <c r="CP305" s="6"/>
      <c r="CQ305" s="6">
        <f t="shared" si="104"/>
        <v>239</v>
      </c>
      <c r="CR305" s="6">
        <v>665</v>
      </c>
      <c r="CS305" s="6"/>
      <c r="CT305" s="6">
        <f t="shared" si="97"/>
        <v>214</v>
      </c>
      <c r="CU305" s="6"/>
      <c r="CV305" s="6"/>
      <c r="CW305" s="6"/>
      <c r="CX305" s="6">
        <v>896</v>
      </c>
      <c r="CY305" s="6"/>
      <c r="CZ305" s="6">
        <f t="shared" si="98"/>
        <v>231</v>
      </c>
      <c r="DA305" s="6">
        <v>1127</v>
      </c>
      <c r="DB305" s="6"/>
      <c r="DC305" s="6">
        <f t="shared" si="99"/>
        <v>231</v>
      </c>
      <c r="DD305" s="6">
        <v>1362</v>
      </c>
      <c r="DE305" s="6"/>
      <c r="DF305" s="6">
        <f t="shared" si="100"/>
        <v>235</v>
      </c>
      <c r="DG305" s="6">
        <v>1597</v>
      </c>
      <c r="DH305" s="10"/>
      <c r="DI305" s="6">
        <f t="shared" si="101"/>
        <v>235</v>
      </c>
      <c r="DJ305" s="6">
        <v>1832</v>
      </c>
      <c r="DK305" s="10"/>
      <c r="DL305" s="6">
        <f t="shared" si="102"/>
        <v>235</v>
      </c>
      <c r="DM305" s="6">
        <v>2041</v>
      </c>
      <c r="DN305" s="10"/>
      <c r="DO305" s="6">
        <f t="shared" si="103"/>
        <v>209</v>
      </c>
    </row>
    <row r="306" spans="1:121">
      <c r="A306" s="6" t="s">
        <v>1</v>
      </c>
      <c r="B306" s="35"/>
      <c r="C306" s="35">
        <f>SUM(C5:C305)</f>
        <v>37795</v>
      </c>
      <c r="D306" s="35">
        <f>SUM(D5:D305)</f>
        <v>40073</v>
      </c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  <c r="AA306" s="142"/>
      <c r="AB306" s="142"/>
      <c r="AC306" s="142"/>
      <c r="AD306" s="35"/>
      <c r="AE306" s="35">
        <f t="shared" ref="AE306:AL306" si="121">SUBTOTAL(9,AE4:AE305)</f>
        <v>0</v>
      </c>
      <c r="AF306" s="35">
        <f t="shared" si="121"/>
        <v>0</v>
      </c>
      <c r="AG306" s="35">
        <f t="shared" si="121"/>
        <v>0</v>
      </c>
      <c r="AH306" s="35">
        <f t="shared" si="121"/>
        <v>0</v>
      </c>
      <c r="AI306" s="35">
        <f t="shared" si="121"/>
        <v>0</v>
      </c>
      <c r="AJ306" s="35">
        <f t="shared" si="121"/>
        <v>0</v>
      </c>
      <c r="AK306" s="35">
        <f t="shared" si="121"/>
        <v>0</v>
      </c>
      <c r="AL306" s="35">
        <f t="shared" si="121"/>
        <v>0</v>
      </c>
      <c r="AM306" s="35"/>
      <c r="AN306" s="35">
        <f>SUBTOTAL(9,AN5:AN305)</f>
        <v>93191</v>
      </c>
      <c r="AO306" s="35">
        <f>SUBTOTAL(9,AO5:AO305)</f>
        <v>78334</v>
      </c>
      <c r="AP306" s="35"/>
      <c r="AQ306" s="35">
        <f>SUBTOTAL(9,AQ5:AQ305)</f>
        <v>57695</v>
      </c>
      <c r="AR306" s="35">
        <f>SUBTOTAL(9,AR5:AR305)</f>
        <v>74604</v>
      </c>
      <c r="AS306" s="35"/>
      <c r="AT306" s="35">
        <f>SUBTOTAL(9,AT5:AT305)</f>
        <v>79190</v>
      </c>
      <c r="AU306" s="35">
        <f>SUBTOTAL(9,AU5:AU305)</f>
        <v>75879</v>
      </c>
      <c r="AV306" s="35"/>
      <c r="AW306" s="35">
        <f>SUBTOTAL(9,AW5:AW305)</f>
        <v>75228</v>
      </c>
      <c r="AX306" s="35">
        <f>SUBTOTAL(9,AX5:AX305)</f>
        <v>76942</v>
      </c>
      <c r="AY306" s="35"/>
      <c r="AZ306" s="35">
        <f>SUBTOTAL(9,AZ5:AZ305)</f>
        <v>73913</v>
      </c>
      <c r="BA306" s="35">
        <f>SUBTOTAL(9,BA5:BA305)</f>
        <v>77092</v>
      </c>
      <c r="BB306" s="35"/>
      <c r="BC306" s="35">
        <f>SUBTOTAL(9,BC5:BC305)</f>
        <v>80464</v>
      </c>
      <c r="BD306" s="35">
        <f>SUBTOTAL(9,BD5:BD305)</f>
        <v>74641</v>
      </c>
      <c r="BE306" s="35">
        <f>SUBTOTAL(9,BE5:BE305)</f>
        <v>0</v>
      </c>
      <c r="BF306" s="35">
        <f>SUBTOTAL(9,BF5:BF305)</f>
        <v>0</v>
      </c>
      <c r="BG306" s="35">
        <f>SUBTOTAL(9,BG5:BG305)</f>
        <v>0</v>
      </c>
      <c r="BH306" s="35"/>
      <c r="BI306" s="35">
        <f>SUBTOTAL(9,BI5:BI305)</f>
        <v>88873</v>
      </c>
      <c r="BJ306" s="35">
        <f>SUBTOTAL(9,BJ5:BJ305)</f>
        <v>78500</v>
      </c>
      <c r="BK306" s="35"/>
      <c r="BL306" s="35">
        <f>SUBTOTAL(9,BL5:BL305)</f>
        <v>63255</v>
      </c>
      <c r="BM306" s="35">
        <f>SUBTOTAL(9,BM5:BM305)</f>
        <v>78233</v>
      </c>
      <c r="BN306" s="35"/>
      <c r="BO306" s="35">
        <f>SUBTOTAL(9,BO5:BO305)</f>
        <v>70989</v>
      </c>
      <c r="BP306" s="35">
        <f>SUBTOTAL(9,BP5:BP305)</f>
        <v>80697</v>
      </c>
      <c r="BQ306" s="35"/>
      <c r="BR306" s="35">
        <f>SUBTOTAL(9,BR5:BR305)</f>
        <v>78810</v>
      </c>
      <c r="BS306" s="35">
        <f>SUBTOTAL(9,BS5:BS305)</f>
        <v>80788</v>
      </c>
      <c r="BT306" s="35"/>
      <c r="BU306" s="35">
        <f>SUBTOTAL(9,BU5:BU305)</f>
        <v>85808</v>
      </c>
      <c r="BV306" s="35">
        <f>SUBTOTAL(9,BV5:BV305)</f>
        <v>81390</v>
      </c>
      <c r="BW306" s="35"/>
      <c r="BX306" s="35">
        <f t="shared" ref="BX306:DO306" si="122">SUBTOTAL(9,BX5:BX305)</f>
        <v>75455</v>
      </c>
      <c r="BY306" s="35">
        <f t="shared" si="122"/>
        <v>77764</v>
      </c>
      <c r="BZ306" s="35">
        <f t="shared" si="122"/>
        <v>0</v>
      </c>
      <c r="CA306" s="35">
        <f t="shared" si="122"/>
        <v>0</v>
      </c>
      <c r="CB306" s="35">
        <f t="shared" si="122"/>
        <v>0</v>
      </c>
      <c r="CC306" s="35"/>
      <c r="CD306" s="35">
        <f>SUBTOTAL(9,CD5:CD305)</f>
        <v>88087</v>
      </c>
      <c r="CE306" s="35">
        <f t="shared" si="122"/>
        <v>82791</v>
      </c>
      <c r="CF306" s="35"/>
      <c r="CG306" s="35">
        <f t="shared" si="122"/>
        <v>82577</v>
      </c>
      <c r="CH306" s="35">
        <f t="shared" si="122"/>
        <v>83081</v>
      </c>
      <c r="CI306" s="35"/>
      <c r="CJ306" s="35">
        <f>SUBTOTAL(9,CJ5:CJ305)</f>
        <v>82638</v>
      </c>
      <c r="CK306" s="35">
        <f>SUBTOTAL(9,CK5:CK305)</f>
        <v>86059</v>
      </c>
      <c r="CL306" s="35"/>
      <c r="CM306" s="35">
        <f t="shared" si="122"/>
        <v>68132</v>
      </c>
      <c r="CN306" s="35">
        <f t="shared" si="122"/>
        <v>88448</v>
      </c>
      <c r="CO306" s="35"/>
      <c r="CP306" s="35">
        <f t="shared" si="122"/>
        <v>97075</v>
      </c>
      <c r="CQ306" s="35">
        <f t="shared" si="122"/>
        <v>91857</v>
      </c>
      <c r="CR306" s="35"/>
      <c r="CS306" s="35">
        <f>SUBTOTAL(9,CS5:CS305)</f>
        <v>91147</v>
      </c>
      <c r="CT306" s="35">
        <f>SUBTOTAL(9,CT5:CT305)</f>
        <v>89859</v>
      </c>
      <c r="CU306" s="35">
        <f t="shared" si="122"/>
        <v>0</v>
      </c>
      <c r="CV306" s="35">
        <f t="shared" si="122"/>
        <v>0</v>
      </c>
      <c r="CW306" s="35">
        <f t="shared" si="122"/>
        <v>0</v>
      </c>
      <c r="CX306" s="35"/>
      <c r="CY306" s="35">
        <f>SUBTOTAL(9,CY5:CY305)</f>
        <v>105773</v>
      </c>
      <c r="CZ306" s="35">
        <f>SUBTOTAL(9,CZ5:CZ305)</f>
        <v>95598</v>
      </c>
      <c r="DA306" s="35"/>
      <c r="DB306" s="35">
        <f t="shared" si="122"/>
        <v>90347</v>
      </c>
      <c r="DC306" s="35">
        <f t="shared" si="122"/>
        <v>94964</v>
      </c>
      <c r="DD306" s="35"/>
      <c r="DE306" s="35">
        <f t="shared" si="122"/>
        <v>91169</v>
      </c>
      <c r="DF306" s="35">
        <f t="shared" si="122"/>
        <v>91382</v>
      </c>
      <c r="DG306" s="35"/>
      <c r="DH306" s="35">
        <f t="shared" si="122"/>
        <v>96426</v>
      </c>
      <c r="DI306" s="35">
        <f t="shared" si="122"/>
        <v>83503</v>
      </c>
      <c r="DJ306" s="35"/>
      <c r="DK306" s="35">
        <f t="shared" si="122"/>
        <v>65802</v>
      </c>
      <c r="DL306" s="35">
        <f t="shared" si="122"/>
        <v>81986</v>
      </c>
      <c r="DM306" s="35"/>
      <c r="DN306" s="35">
        <f t="shared" si="122"/>
        <v>76562</v>
      </c>
      <c r="DO306" s="35">
        <f t="shared" si="122"/>
        <v>74714</v>
      </c>
    </row>
    <row r="307" spans="1:121">
      <c r="A307" s="5"/>
      <c r="B307" s="29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P307" s="29"/>
      <c r="BB307" s="29"/>
      <c r="BD307" s="29"/>
      <c r="BE307" s="29"/>
      <c r="BH307" s="29"/>
      <c r="BI307" s="29"/>
      <c r="BJ307" s="29"/>
      <c r="BT307" s="29"/>
      <c r="BU307" s="29"/>
      <c r="BV307" s="29"/>
      <c r="BW307" s="29"/>
      <c r="BX307" s="29"/>
      <c r="BY307" s="29"/>
      <c r="CA307" s="29"/>
      <c r="CB307" s="29"/>
      <c r="CC307" s="29"/>
      <c r="CD307" s="29"/>
      <c r="CE307" s="29"/>
      <c r="CG307" s="29"/>
      <c r="CH307" s="29"/>
      <c r="CK307" s="29"/>
      <c r="CM307" s="29"/>
      <c r="CN307" s="29"/>
      <c r="CP307" s="29"/>
      <c r="CQ307" s="29"/>
      <c r="CS307" s="29"/>
      <c r="CT307" s="29"/>
      <c r="CY307" s="29"/>
      <c r="CZ307" s="29"/>
    </row>
    <row r="308" spans="1:121">
      <c r="A308" s="5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L308" s="29"/>
      <c r="BG308" s="29"/>
      <c r="BH308" s="29"/>
      <c r="BM308" s="29"/>
      <c r="BU308" s="29"/>
      <c r="BV308" s="29"/>
      <c r="BX308" s="29"/>
      <c r="BY308" s="29"/>
      <c r="CA308" s="29"/>
      <c r="CB308" s="29"/>
      <c r="CD308" s="29"/>
      <c r="CE308" s="29"/>
      <c r="CH308" s="29"/>
      <c r="CN308" s="29"/>
    </row>
    <row r="309" spans="1:121">
      <c r="B309" s="9"/>
      <c r="AD309" s="9" t="s">
        <v>330</v>
      </c>
      <c r="AG309" s="9" t="s">
        <v>331</v>
      </c>
      <c r="AJ309" s="9" t="s">
        <v>332</v>
      </c>
      <c r="AM309" s="9" t="s">
        <v>333</v>
      </c>
      <c r="AP309" s="9" t="s">
        <v>334</v>
      </c>
      <c r="AS309" s="9" t="s">
        <v>335</v>
      </c>
      <c r="AV309" s="4" t="s">
        <v>336</v>
      </c>
      <c r="AY309" s="9" t="s">
        <v>337</v>
      </c>
      <c r="BB309" s="9" t="s">
        <v>338</v>
      </c>
      <c r="BE309" s="9" t="s">
        <v>339</v>
      </c>
      <c r="BH309" s="9" t="s">
        <v>340</v>
      </c>
      <c r="BK309" s="9" t="s">
        <v>341</v>
      </c>
      <c r="BN309" s="9" t="s">
        <v>342</v>
      </c>
      <c r="BQ309" s="9" t="s">
        <v>343</v>
      </c>
      <c r="BT309" s="9" t="s">
        <v>344</v>
      </c>
      <c r="BW309" s="9" t="s">
        <v>345</v>
      </c>
      <c r="BZ309" s="9" t="s">
        <v>346</v>
      </c>
      <c r="CC309" s="9" t="s">
        <v>347</v>
      </c>
      <c r="CF309" s="9" t="s">
        <v>348</v>
      </c>
      <c r="CI309" s="9" t="s">
        <v>349</v>
      </c>
      <c r="CL309" s="9" t="s">
        <v>350</v>
      </c>
      <c r="CO309" s="9" t="s">
        <v>351</v>
      </c>
      <c r="CR309" s="9" t="s">
        <v>352</v>
      </c>
      <c r="CU309" s="9" t="s">
        <v>353</v>
      </c>
      <c r="CX309" s="9" t="s">
        <v>354</v>
      </c>
      <c r="DA309" s="9" t="s">
        <v>355</v>
      </c>
      <c r="DD309" s="4" t="s">
        <v>356</v>
      </c>
      <c r="DF309" s="9"/>
      <c r="DG309" s="4" t="s">
        <v>357</v>
      </c>
      <c r="DI309" s="9"/>
      <c r="DJ309" s="4" t="s">
        <v>358</v>
      </c>
      <c r="DL309" s="9"/>
      <c r="DM309" s="4" t="s">
        <v>359</v>
      </c>
      <c r="DO309" s="9"/>
    </row>
    <row r="310" spans="1:121" s="4" customFormat="1">
      <c r="A310" s="23"/>
      <c r="B310" s="24"/>
      <c r="C310" s="24"/>
      <c r="D310" s="2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24" t="s">
        <v>41</v>
      </c>
      <c r="AE310" s="24" t="s">
        <v>4</v>
      </c>
      <c r="AF310" s="24" t="s">
        <v>2</v>
      </c>
      <c r="AG310" s="24" t="s">
        <v>41</v>
      </c>
      <c r="AH310" s="24" t="s">
        <v>4</v>
      </c>
      <c r="AI310" s="24" t="s">
        <v>2</v>
      </c>
      <c r="AJ310" s="24" t="s">
        <v>41</v>
      </c>
      <c r="AK310" s="24" t="s">
        <v>4</v>
      </c>
      <c r="AL310" s="24" t="s">
        <v>2</v>
      </c>
      <c r="AM310" s="24" t="s">
        <v>41</v>
      </c>
      <c r="AN310" s="24" t="s">
        <v>4</v>
      </c>
      <c r="AO310" s="24" t="s">
        <v>2</v>
      </c>
      <c r="AP310" s="24" t="s">
        <v>41</v>
      </c>
      <c r="AQ310" s="24" t="s">
        <v>4</v>
      </c>
      <c r="AR310" s="24" t="s">
        <v>2</v>
      </c>
      <c r="AS310" s="24" t="s">
        <v>41</v>
      </c>
      <c r="AT310" s="24" t="s">
        <v>4</v>
      </c>
      <c r="AU310" s="24" t="s">
        <v>2</v>
      </c>
      <c r="AV310" s="24" t="s">
        <v>41</v>
      </c>
      <c r="AW310" s="24" t="s">
        <v>4</v>
      </c>
      <c r="AX310" s="24" t="s">
        <v>2</v>
      </c>
      <c r="AY310" s="24" t="s">
        <v>41</v>
      </c>
      <c r="AZ310" s="24" t="s">
        <v>4</v>
      </c>
      <c r="BA310" s="24" t="s">
        <v>2</v>
      </c>
      <c r="BB310" s="24" t="s">
        <v>41</v>
      </c>
      <c r="BC310" s="24" t="s">
        <v>4</v>
      </c>
      <c r="BD310" s="24" t="s">
        <v>2</v>
      </c>
      <c r="BE310" s="24" t="s">
        <v>41</v>
      </c>
      <c r="BF310" s="24" t="s">
        <v>4</v>
      </c>
      <c r="BG310" s="24" t="s">
        <v>2</v>
      </c>
      <c r="BH310" s="24" t="s">
        <v>41</v>
      </c>
      <c r="BI310" s="24" t="s">
        <v>4</v>
      </c>
      <c r="BJ310" s="24" t="s">
        <v>2</v>
      </c>
      <c r="BK310" s="24" t="s">
        <v>41</v>
      </c>
      <c r="BL310" s="24" t="s">
        <v>4</v>
      </c>
      <c r="BM310" s="24" t="s">
        <v>2</v>
      </c>
      <c r="BN310" s="24" t="s">
        <v>41</v>
      </c>
      <c r="BO310" s="24" t="s">
        <v>4</v>
      </c>
      <c r="BP310" s="24" t="s">
        <v>2</v>
      </c>
      <c r="BQ310" s="24" t="s">
        <v>41</v>
      </c>
      <c r="BR310" s="24" t="s">
        <v>4</v>
      </c>
      <c r="BS310" s="24" t="s">
        <v>2</v>
      </c>
      <c r="BT310" s="24" t="s">
        <v>41</v>
      </c>
      <c r="BU310" s="24" t="s">
        <v>4</v>
      </c>
      <c r="BV310" s="24" t="s">
        <v>2</v>
      </c>
      <c r="BW310" s="24" t="s">
        <v>41</v>
      </c>
      <c r="BX310" s="24" t="s">
        <v>4</v>
      </c>
      <c r="BY310" s="24" t="s">
        <v>2</v>
      </c>
      <c r="BZ310" s="24" t="s">
        <v>41</v>
      </c>
      <c r="CA310" s="24" t="s">
        <v>4</v>
      </c>
      <c r="CB310" s="24" t="s">
        <v>2</v>
      </c>
      <c r="CC310" s="24" t="s">
        <v>41</v>
      </c>
      <c r="CD310" s="24" t="s">
        <v>4</v>
      </c>
      <c r="CE310" s="24" t="s">
        <v>2</v>
      </c>
      <c r="CF310" s="24" t="s">
        <v>41</v>
      </c>
      <c r="CG310" s="24" t="s">
        <v>4</v>
      </c>
      <c r="CH310" s="24" t="s">
        <v>2</v>
      </c>
      <c r="CI310" s="24" t="s">
        <v>41</v>
      </c>
      <c r="CJ310" s="24" t="s">
        <v>4</v>
      </c>
      <c r="CK310" s="24" t="s">
        <v>2</v>
      </c>
      <c r="CL310" s="24" t="s">
        <v>41</v>
      </c>
      <c r="CM310" s="24" t="s">
        <v>4</v>
      </c>
      <c r="CN310" s="24" t="s">
        <v>2</v>
      </c>
      <c r="CO310" s="24" t="s">
        <v>41</v>
      </c>
      <c r="CP310" s="24" t="s">
        <v>4</v>
      </c>
      <c r="CQ310" s="24" t="s">
        <v>2</v>
      </c>
      <c r="CR310" s="24" t="s">
        <v>41</v>
      </c>
      <c r="CS310" s="24" t="s">
        <v>4</v>
      </c>
      <c r="CT310" s="24" t="s">
        <v>2</v>
      </c>
      <c r="CU310" s="24" t="s">
        <v>41</v>
      </c>
      <c r="CV310" s="24" t="s">
        <v>4</v>
      </c>
      <c r="CW310" s="24" t="s">
        <v>2</v>
      </c>
      <c r="CX310" s="24" t="s">
        <v>41</v>
      </c>
      <c r="CY310" s="24" t="s">
        <v>4</v>
      </c>
      <c r="CZ310" s="24" t="s">
        <v>2</v>
      </c>
      <c r="DA310" s="24" t="s">
        <v>41</v>
      </c>
      <c r="DB310" s="24" t="s">
        <v>4</v>
      </c>
      <c r="DC310" s="24" t="s">
        <v>2</v>
      </c>
      <c r="DD310" s="24" t="s">
        <v>41</v>
      </c>
      <c r="DE310" s="24" t="s">
        <v>4</v>
      </c>
      <c r="DF310" s="24" t="s">
        <v>2</v>
      </c>
      <c r="DG310" s="24" t="s">
        <v>41</v>
      </c>
      <c r="DH310" s="24" t="s">
        <v>4</v>
      </c>
      <c r="DI310" s="24" t="s">
        <v>2</v>
      </c>
      <c r="DJ310" s="24" t="s">
        <v>41</v>
      </c>
      <c r="DK310" s="24" t="s">
        <v>4</v>
      </c>
      <c r="DL310" s="24" t="s">
        <v>2</v>
      </c>
      <c r="DM310" s="24" t="s">
        <v>41</v>
      </c>
      <c r="DN310" s="24" t="s">
        <v>4</v>
      </c>
      <c r="DO310" s="24" t="s">
        <v>2</v>
      </c>
    </row>
    <row r="311" spans="1:121" s="4" customFormat="1" ht="16.5" customHeight="1">
      <c r="A311" s="73" t="s">
        <v>143</v>
      </c>
      <c r="B311" s="25"/>
      <c r="C311" s="25"/>
      <c r="D311" s="2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  <c r="AB311" s="145"/>
      <c r="AC311" s="14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>
        <v>50</v>
      </c>
      <c r="AN311" s="25">
        <v>25202</v>
      </c>
      <c r="AO311" s="25">
        <v>19491</v>
      </c>
      <c r="AP311" s="25">
        <v>56</v>
      </c>
      <c r="AQ311" s="25">
        <v>6345</v>
      </c>
      <c r="AR311" s="25">
        <v>20490</v>
      </c>
      <c r="AS311" s="25">
        <v>62</v>
      </c>
      <c r="AT311" s="25">
        <v>22085</v>
      </c>
      <c r="AU311" s="25">
        <v>22637</v>
      </c>
      <c r="AV311" s="25">
        <v>64</v>
      </c>
      <c r="AW311" s="25">
        <v>23207</v>
      </c>
      <c r="AX311" s="25">
        <v>23921</v>
      </c>
      <c r="AY311" s="25">
        <v>65</v>
      </c>
      <c r="AZ311" s="25">
        <v>25744</v>
      </c>
      <c r="BA311" s="25">
        <v>24427</v>
      </c>
      <c r="BB311" s="25">
        <v>71</v>
      </c>
      <c r="BC311" s="25">
        <v>20521</v>
      </c>
      <c r="BD311" s="25">
        <v>25168</v>
      </c>
      <c r="BE311" s="25"/>
      <c r="BF311" s="25"/>
      <c r="BG311" s="25"/>
      <c r="BH311" s="25">
        <v>76</v>
      </c>
      <c r="BI311" s="25">
        <v>24954</v>
      </c>
      <c r="BJ311" s="25">
        <v>28369</v>
      </c>
      <c r="BK311" s="25">
        <v>81</v>
      </c>
      <c r="BL311" s="25">
        <v>26284</v>
      </c>
      <c r="BM311" s="25">
        <v>29060</v>
      </c>
      <c r="BN311" s="25">
        <v>89</v>
      </c>
      <c r="BO311" s="25">
        <v>21622</v>
      </c>
      <c r="BP311" s="25">
        <v>32868</v>
      </c>
      <c r="BQ311" s="25">
        <v>87</v>
      </c>
      <c r="BR311" s="25">
        <f>2649+25425</f>
        <v>28074</v>
      </c>
      <c r="BS311" s="25">
        <f>105+32277</f>
        <v>32382</v>
      </c>
      <c r="BT311" s="25">
        <v>86</v>
      </c>
      <c r="BU311" s="25">
        <v>34932</v>
      </c>
      <c r="BV311" s="25">
        <v>31916</v>
      </c>
      <c r="BW311" s="25">
        <v>86</v>
      </c>
      <c r="BX311" s="25">
        <v>27906</v>
      </c>
      <c r="BY311" s="25">
        <v>30312</v>
      </c>
      <c r="BZ311" s="25"/>
      <c r="CA311" s="25"/>
      <c r="CB311" s="25"/>
      <c r="CC311" s="91">
        <v>92</v>
      </c>
      <c r="CD311" s="91">
        <v>37126</v>
      </c>
      <c r="CE311" s="91">
        <v>34571</v>
      </c>
      <c r="CF311" s="25">
        <v>92</v>
      </c>
      <c r="CG311" s="25">
        <v>33924</v>
      </c>
      <c r="CH311" s="25">
        <v>33690</v>
      </c>
      <c r="CI311" s="25">
        <v>92</v>
      </c>
      <c r="CJ311" s="25">
        <v>31153</v>
      </c>
      <c r="CK311" s="25">
        <v>34772</v>
      </c>
      <c r="CL311" s="25">
        <v>92</v>
      </c>
      <c r="CM311" s="25">
        <v>24925</v>
      </c>
      <c r="CN311" s="25">
        <v>34176</v>
      </c>
      <c r="CO311" s="25">
        <v>95</v>
      </c>
      <c r="CP311" s="25">
        <v>51380</v>
      </c>
      <c r="CQ311" s="25">
        <v>34762</v>
      </c>
      <c r="CR311" s="25">
        <v>94</v>
      </c>
      <c r="CS311" s="25">
        <v>22332</v>
      </c>
      <c r="CT311" s="25">
        <v>32740</v>
      </c>
      <c r="CU311" s="25"/>
      <c r="CV311" s="25"/>
      <c r="CW311" s="25"/>
      <c r="CX311" s="25">
        <v>93</v>
      </c>
      <c r="CY311" s="25">
        <v>33411</v>
      </c>
      <c r="CZ311" s="25">
        <v>34626</v>
      </c>
      <c r="DA311" s="25">
        <v>92</v>
      </c>
      <c r="DB311" s="25">
        <v>37424</v>
      </c>
      <c r="DC311" s="25">
        <v>33389</v>
      </c>
      <c r="DD311" s="25">
        <v>92</v>
      </c>
      <c r="DE311" s="25">
        <v>45568</v>
      </c>
      <c r="DF311" s="25">
        <v>32489</v>
      </c>
      <c r="DG311" s="25">
        <v>91</v>
      </c>
      <c r="DH311" s="25">
        <f>705+26849</f>
        <v>27554</v>
      </c>
      <c r="DI311" s="25">
        <f>20+33433</f>
        <v>33453</v>
      </c>
      <c r="DJ311" s="25">
        <v>91</v>
      </c>
      <c r="DK311" s="25">
        <v>26616</v>
      </c>
      <c r="DL311" s="25">
        <v>33127</v>
      </c>
      <c r="DM311" s="25">
        <v>91</v>
      </c>
      <c r="DN311" s="25">
        <v>25991</v>
      </c>
      <c r="DO311" s="25">
        <v>30166</v>
      </c>
    </row>
    <row r="312" spans="1:121" s="28" customFormat="1">
      <c r="A312" s="74" t="s">
        <v>146</v>
      </c>
      <c r="B312" s="27"/>
      <c r="C312" s="27"/>
      <c r="D312" s="27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>
        <v>46</v>
      </c>
      <c r="AN312" s="27">
        <v>19237</v>
      </c>
      <c r="AO312" s="27">
        <v>18134</v>
      </c>
      <c r="AP312" s="27">
        <v>41</v>
      </c>
      <c r="AQ312" s="27">
        <f>1602+11740</f>
        <v>13342</v>
      </c>
      <c r="AR312" s="27">
        <f>22+15546</f>
        <v>15568</v>
      </c>
      <c r="AS312" s="27">
        <v>35</v>
      </c>
      <c r="AT312" s="27">
        <f>1666+1585+434+19040</f>
        <v>22725</v>
      </c>
      <c r="AU312" s="27">
        <f>8+87+44+13421</f>
        <v>13560</v>
      </c>
      <c r="AV312" s="27">
        <v>34</v>
      </c>
      <c r="AW312" s="27">
        <v>16160</v>
      </c>
      <c r="AX312" s="27">
        <v>12771</v>
      </c>
      <c r="AY312" s="27">
        <v>33</v>
      </c>
      <c r="AZ312" s="27">
        <v>10372</v>
      </c>
      <c r="BA312" s="27">
        <v>12488</v>
      </c>
      <c r="BB312" s="76">
        <v>32</v>
      </c>
      <c r="BC312" s="76">
        <v>9512</v>
      </c>
      <c r="BD312" s="76">
        <v>11674</v>
      </c>
      <c r="BE312" s="27"/>
      <c r="BF312" s="27"/>
      <c r="BG312" s="27"/>
      <c r="BH312" s="27">
        <v>27</v>
      </c>
      <c r="BI312" s="27">
        <v>17272</v>
      </c>
      <c r="BJ312" s="27">
        <v>10435</v>
      </c>
      <c r="BK312" s="27">
        <v>25</v>
      </c>
      <c r="BL312" s="27">
        <v>9701</v>
      </c>
      <c r="BM312" s="27">
        <v>9481</v>
      </c>
      <c r="BN312" s="27">
        <v>24</v>
      </c>
      <c r="BO312" s="27">
        <v>10798</v>
      </c>
      <c r="BP312" s="27">
        <v>9010</v>
      </c>
      <c r="BQ312" s="27">
        <v>20</v>
      </c>
      <c r="BR312" s="27">
        <v>8489</v>
      </c>
      <c r="BS312" s="27">
        <v>7368</v>
      </c>
      <c r="BT312" s="27">
        <v>17</v>
      </c>
      <c r="BU312" s="27">
        <v>11170</v>
      </c>
      <c r="BV312" s="27">
        <v>6319</v>
      </c>
      <c r="BW312" s="27">
        <v>12</v>
      </c>
      <c r="BX312" s="27">
        <v>6427</v>
      </c>
      <c r="BY312" s="27">
        <v>3611</v>
      </c>
      <c r="BZ312" s="27"/>
      <c r="CA312" s="27"/>
      <c r="CB312" s="27"/>
      <c r="CC312" s="27">
        <v>5</v>
      </c>
      <c r="CD312" s="27">
        <v>8436</v>
      </c>
      <c r="CE312" s="27">
        <v>1323</v>
      </c>
      <c r="CF312" s="27"/>
      <c r="CG312" s="27">
        <v>961</v>
      </c>
      <c r="CH312" s="27">
        <v>117</v>
      </c>
      <c r="CI312" s="27"/>
      <c r="CJ312" s="27"/>
      <c r="CK312" s="27"/>
      <c r="CL312" s="179"/>
      <c r="CM312" s="27"/>
      <c r="CN312" s="27"/>
      <c r="CO312" s="27"/>
      <c r="CP312" s="27"/>
      <c r="CQ312" s="27"/>
      <c r="CR312" s="25"/>
      <c r="CS312" s="27"/>
      <c r="CT312" s="25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</row>
    <row r="313" spans="1:121" s="28" customFormat="1">
      <c r="A313" s="74" t="s">
        <v>312</v>
      </c>
      <c r="B313" s="27"/>
      <c r="C313" s="27"/>
      <c r="D313" s="27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>
        <v>50</v>
      </c>
      <c r="AN313" s="27">
        <v>22941</v>
      </c>
      <c r="AO313" s="27">
        <v>20235</v>
      </c>
      <c r="AP313" s="27">
        <v>50</v>
      </c>
      <c r="AQ313" s="27">
        <v>20580</v>
      </c>
      <c r="AR313" s="27">
        <v>19230</v>
      </c>
      <c r="AS313" s="27">
        <v>50</v>
      </c>
      <c r="AT313" s="27">
        <v>19183</v>
      </c>
      <c r="AU313" s="27">
        <v>19430</v>
      </c>
      <c r="AV313" s="27">
        <v>50</v>
      </c>
      <c r="AW313" s="27">
        <v>16068</v>
      </c>
      <c r="AX313" s="27">
        <v>19450</v>
      </c>
      <c r="AY313" s="27">
        <v>50</v>
      </c>
      <c r="AZ313" s="27">
        <v>16324</v>
      </c>
      <c r="BA313" s="27">
        <v>19561</v>
      </c>
      <c r="BB313" s="76">
        <v>50</v>
      </c>
      <c r="BC313" s="76">
        <v>25137</v>
      </c>
      <c r="BD313" s="76">
        <v>18767</v>
      </c>
      <c r="BE313" s="27"/>
      <c r="BF313" s="27"/>
      <c r="BG313" s="27"/>
      <c r="BH313" s="27">
        <v>50</v>
      </c>
      <c r="BI313" s="27">
        <v>23497</v>
      </c>
      <c r="BJ313" s="27">
        <v>19357</v>
      </c>
      <c r="BK313" s="27">
        <v>50</v>
      </c>
      <c r="BL313" s="27">
        <v>11453</v>
      </c>
      <c r="BM313" s="27">
        <v>19134</v>
      </c>
      <c r="BN313" s="27">
        <v>53</v>
      </c>
      <c r="BO313" s="27">
        <v>11181</v>
      </c>
      <c r="BP313" s="27">
        <v>20359</v>
      </c>
      <c r="BQ313" s="27">
        <v>59</v>
      </c>
      <c r="BR313" s="27">
        <v>30769</v>
      </c>
      <c r="BS313" s="27">
        <v>22649</v>
      </c>
      <c r="BT313" s="27">
        <v>62</v>
      </c>
      <c r="BU313" s="27">
        <v>19805</v>
      </c>
      <c r="BV313" s="27">
        <v>24059</v>
      </c>
      <c r="BW313" s="27">
        <v>66</v>
      </c>
      <c r="BX313" s="27">
        <v>18444</v>
      </c>
      <c r="BY313" s="27">
        <v>24023</v>
      </c>
      <c r="BZ313" s="27"/>
      <c r="CA313" s="27"/>
      <c r="CB313" s="27"/>
      <c r="CC313" s="27">
        <v>65</v>
      </c>
      <c r="CD313" s="27">
        <v>17192</v>
      </c>
      <c r="CE313" s="27">
        <v>24728</v>
      </c>
      <c r="CF313" s="27">
        <v>70</v>
      </c>
      <c r="CG313" s="27">
        <v>35888</v>
      </c>
      <c r="CH313" s="27">
        <v>25908</v>
      </c>
      <c r="CI313" s="27">
        <v>69</v>
      </c>
      <c r="CJ313" s="27">
        <f>479+29647</f>
        <v>30126</v>
      </c>
      <c r="CK313" s="27">
        <f>72+25584</f>
        <v>25656</v>
      </c>
      <c r="CL313" s="179">
        <v>70</v>
      </c>
      <c r="CM313" s="27">
        <v>16713</v>
      </c>
      <c r="CN313" s="27">
        <v>25786</v>
      </c>
      <c r="CO313" s="27">
        <v>68</v>
      </c>
      <c r="CP313" s="27">
        <v>12478</v>
      </c>
      <c r="CQ313" s="27">
        <v>25052</v>
      </c>
      <c r="CR313" s="25">
        <v>71</v>
      </c>
      <c r="CS313" s="27">
        <v>37424</v>
      </c>
      <c r="CT313" s="25">
        <v>24240</v>
      </c>
      <c r="CU313" s="27"/>
      <c r="CV313" s="27"/>
      <c r="CW313" s="27"/>
      <c r="CX313" s="27">
        <v>72</v>
      </c>
      <c r="CY313" s="27">
        <v>30052</v>
      </c>
      <c r="CZ313" s="27">
        <v>26921</v>
      </c>
      <c r="DA313" s="27">
        <v>73</v>
      </c>
      <c r="DB313" s="27">
        <v>24898</v>
      </c>
      <c r="DC313" s="27">
        <v>26947</v>
      </c>
      <c r="DD313" s="27">
        <v>74</v>
      </c>
      <c r="DE313" s="27">
        <v>10816</v>
      </c>
      <c r="DF313" s="27">
        <v>27886</v>
      </c>
      <c r="DG313" s="27">
        <v>74</v>
      </c>
      <c r="DH313" s="27">
        <v>38793</v>
      </c>
      <c r="DI313" s="27">
        <v>28071</v>
      </c>
      <c r="DJ313" s="27">
        <v>75</v>
      </c>
      <c r="DK313" s="27">
        <v>24270</v>
      </c>
      <c r="DL313" s="27">
        <v>28990</v>
      </c>
      <c r="DM313" s="27">
        <v>75</v>
      </c>
      <c r="DN313" s="27">
        <v>33796</v>
      </c>
      <c r="DO313" s="27">
        <v>26153</v>
      </c>
    </row>
    <row r="314" spans="1:121" s="4" customFormat="1">
      <c r="A314" s="74" t="s">
        <v>150</v>
      </c>
      <c r="B314" s="25"/>
      <c r="C314" s="25"/>
      <c r="D314" s="25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69"/>
      <c r="AE314" s="69"/>
      <c r="AF314" s="69"/>
      <c r="AG314" s="69"/>
      <c r="AH314" s="69"/>
      <c r="AI314" s="69"/>
      <c r="AJ314" s="68"/>
      <c r="AK314" s="68"/>
      <c r="AL314" s="68"/>
      <c r="AM314" s="70">
        <v>19</v>
      </c>
      <c r="AN314" s="70">
        <v>9896</v>
      </c>
      <c r="AO314" s="70">
        <v>6290</v>
      </c>
      <c r="AP314" s="70">
        <v>19</v>
      </c>
      <c r="AQ314" s="25">
        <v>2997</v>
      </c>
      <c r="AR314" s="25">
        <v>6314</v>
      </c>
      <c r="AS314" s="71">
        <v>18</v>
      </c>
      <c r="AT314" s="71">
        <f>4586+1095</f>
        <v>5681</v>
      </c>
      <c r="AU314" s="71">
        <f>6105+39</f>
        <v>6144</v>
      </c>
      <c r="AV314" s="72">
        <v>16</v>
      </c>
      <c r="AW314" s="72">
        <v>5893</v>
      </c>
      <c r="AX314" s="72">
        <v>5531</v>
      </c>
      <c r="AY314" s="75">
        <v>16</v>
      </c>
      <c r="AZ314" s="75">
        <v>8370</v>
      </c>
      <c r="BA314" s="174">
        <v>5395</v>
      </c>
      <c r="BB314" s="76">
        <v>15</v>
      </c>
      <c r="BC314" s="76">
        <v>5289</v>
      </c>
      <c r="BD314" s="76">
        <v>4924</v>
      </c>
      <c r="BE314" s="25"/>
      <c r="BF314" s="25"/>
      <c r="BG314" s="25"/>
      <c r="BH314" s="25">
        <v>15</v>
      </c>
      <c r="BI314" s="25">
        <v>3355</v>
      </c>
      <c r="BJ314" s="25">
        <v>5159</v>
      </c>
      <c r="BK314" s="25">
        <v>15</v>
      </c>
      <c r="BL314" s="25">
        <v>3600</v>
      </c>
      <c r="BM314" s="25">
        <v>5121</v>
      </c>
      <c r="BN314" s="25">
        <v>15</v>
      </c>
      <c r="BO314" s="25">
        <v>9422</v>
      </c>
      <c r="BP314" s="25">
        <v>5121</v>
      </c>
      <c r="BQ314" s="25">
        <v>14</v>
      </c>
      <c r="BR314" s="25">
        <v>4974</v>
      </c>
      <c r="BS314" s="25">
        <v>4528</v>
      </c>
      <c r="BT314" s="25">
        <v>12</v>
      </c>
      <c r="BU314" s="25">
        <v>1200</v>
      </c>
      <c r="BV314" s="25">
        <v>4134</v>
      </c>
      <c r="BW314" s="25">
        <v>12</v>
      </c>
      <c r="BX314" s="25">
        <v>7345</v>
      </c>
      <c r="BY314" s="25">
        <v>3792</v>
      </c>
      <c r="BZ314" s="25"/>
      <c r="CA314" s="25"/>
      <c r="CB314" s="25"/>
      <c r="CC314" s="25">
        <v>9</v>
      </c>
      <c r="CD314" s="25">
        <v>5030</v>
      </c>
      <c r="CE314" s="25">
        <v>3005</v>
      </c>
      <c r="CF314" s="25">
        <v>8</v>
      </c>
      <c r="CG314" s="25">
        <v>2310</v>
      </c>
      <c r="CH314" s="25">
        <v>2652</v>
      </c>
      <c r="CI314" s="25">
        <v>7</v>
      </c>
      <c r="CJ314" s="25">
        <v>1735</v>
      </c>
      <c r="CK314" s="25">
        <v>2259</v>
      </c>
      <c r="CL314" s="25">
        <v>6</v>
      </c>
      <c r="CM314" s="25">
        <v>3301</v>
      </c>
      <c r="CN314" s="25">
        <v>2039</v>
      </c>
      <c r="CO314" s="25">
        <v>6</v>
      </c>
      <c r="CP314" s="25">
        <v>1200</v>
      </c>
      <c r="CQ314" s="25">
        <v>2037</v>
      </c>
      <c r="CR314" s="25">
        <v>6</v>
      </c>
      <c r="CS314" s="25">
        <v>3337</v>
      </c>
      <c r="CT314" s="25">
        <v>1665</v>
      </c>
      <c r="CU314" s="25"/>
      <c r="CV314" s="25"/>
      <c r="CW314" s="25"/>
      <c r="CX314" s="25">
        <v>3</v>
      </c>
      <c r="CY314" s="25">
        <v>2911</v>
      </c>
      <c r="CZ314" s="25">
        <v>751</v>
      </c>
      <c r="DA314" s="25">
        <v>1</v>
      </c>
      <c r="DB314" s="25"/>
      <c r="DC314" s="25">
        <v>331</v>
      </c>
      <c r="DD314" s="25">
        <v>1</v>
      </c>
      <c r="DE314" s="25">
        <v>977</v>
      </c>
      <c r="DF314" s="25">
        <v>179</v>
      </c>
      <c r="DG314" s="25"/>
      <c r="DH314" s="25"/>
      <c r="DI314" s="25"/>
      <c r="DJ314" s="25"/>
      <c r="DK314" s="25"/>
      <c r="DL314" s="25"/>
      <c r="DM314" s="25"/>
      <c r="DN314" s="25"/>
      <c r="DO314" s="25"/>
      <c r="DP314" s="29"/>
      <c r="DQ314" s="29"/>
    </row>
    <row r="315" spans="1:121" s="4" customFormat="1">
      <c r="A315" s="74" t="s">
        <v>323</v>
      </c>
      <c r="B315" s="25"/>
      <c r="C315" s="25"/>
      <c r="D315" s="25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69"/>
      <c r="AE315" s="69"/>
      <c r="AF315" s="69"/>
      <c r="AG315" s="69"/>
      <c r="AH315" s="69"/>
      <c r="AI315" s="69"/>
      <c r="AJ315" s="68"/>
      <c r="AK315" s="68"/>
      <c r="AL315" s="68"/>
      <c r="AM315" s="70">
        <v>1</v>
      </c>
      <c r="AN315" s="70">
        <v>794</v>
      </c>
      <c r="AO315" s="70">
        <v>342</v>
      </c>
      <c r="AP315" s="70">
        <v>1</v>
      </c>
      <c r="AQ315" s="25"/>
      <c r="AR315" s="25">
        <v>331</v>
      </c>
      <c r="AS315" s="71">
        <v>2</v>
      </c>
      <c r="AT315" s="71"/>
      <c r="AU315" s="71">
        <v>607</v>
      </c>
      <c r="AV315" s="72">
        <v>4</v>
      </c>
      <c r="AW315" s="72">
        <v>1200</v>
      </c>
      <c r="AX315" s="72">
        <v>1292</v>
      </c>
      <c r="AY315" s="75">
        <v>4</v>
      </c>
      <c r="AZ315" s="75">
        <v>538</v>
      </c>
      <c r="BA315" s="174">
        <v>1358</v>
      </c>
      <c r="BB315" s="76">
        <v>4</v>
      </c>
      <c r="BC315" s="76">
        <v>1968</v>
      </c>
      <c r="BD315" s="76">
        <v>1285</v>
      </c>
      <c r="BE315" s="25"/>
      <c r="BF315" s="25"/>
      <c r="BG315" s="25"/>
      <c r="BH315" s="25">
        <v>4</v>
      </c>
      <c r="BI315" s="25">
        <v>286</v>
      </c>
      <c r="BJ315" s="25">
        <v>1306</v>
      </c>
      <c r="BK315" s="25">
        <v>4</v>
      </c>
      <c r="BL315" s="25">
        <v>1200</v>
      </c>
      <c r="BM315" s="25">
        <v>1337</v>
      </c>
      <c r="BN315" s="25">
        <v>4</v>
      </c>
      <c r="BO315" s="25">
        <v>1200</v>
      </c>
      <c r="BP315" s="25">
        <v>1371</v>
      </c>
      <c r="BQ315" s="25">
        <v>5</v>
      </c>
      <c r="BR315" s="25">
        <v>1200</v>
      </c>
      <c r="BS315" s="25">
        <v>1684</v>
      </c>
      <c r="BT315" s="25">
        <v>7</v>
      </c>
      <c r="BU315" s="25">
        <v>2400</v>
      </c>
      <c r="BV315" s="25">
        <v>2359</v>
      </c>
      <c r="BW315" s="25">
        <v>7</v>
      </c>
      <c r="BX315" s="25">
        <v>1170</v>
      </c>
      <c r="BY315" s="25">
        <v>2213</v>
      </c>
      <c r="BZ315" s="25"/>
      <c r="CA315" s="25"/>
      <c r="CB315" s="25"/>
      <c r="CC315" s="25">
        <v>5</v>
      </c>
      <c r="CD315" s="25">
        <v>3649</v>
      </c>
      <c r="CE315" s="25">
        <v>1740</v>
      </c>
      <c r="CF315" s="25">
        <v>6</v>
      </c>
      <c r="CG315" s="25">
        <v>1200</v>
      </c>
      <c r="CH315" s="25">
        <v>2014</v>
      </c>
      <c r="CI315" s="25">
        <v>7</v>
      </c>
      <c r="CJ315" s="25">
        <v>0</v>
      </c>
      <c r="CK315" s="25">
        <v>2388</v>
      </c>
      <c r="CL315" s="25">
        <v>8</v>
      </c>
      <c r="CM315" s="25">
        <v>2577</v>
      </c>
      <c r="CN315" s="25">
        <v>2686</v>
      </c>
      <c r="CO315" s="25">
        <v>8</v>
      </c>
      <c r="CP315" s="25">
        <v>4800</v>
      </c>
      <c r="CQ315" s="25">
        <v>2726</v>
      </c>
      <c r="CR315" s="25">
        <v>8</v>
      </c>
      <c r="CS315" s="25">
        <v>1200</v>
      </c>
      <c r="CT315" s="25">
        <v>2580</v>
      </c>
      <c r="CU315" s="25"/>
      <c r="CV315" s="25"/>
      <c r="CW315" s="25"/>
      <c r="CX315" s="25">
        <v>11</v>
      </c>
      <c r="CY315" s="25">
        <v>3600</v>
      </c>
      <c r="CZ315" s="25">
        <v>3566</v>
      </c>
      <c r="DA315" s="25">
        <v>13</v>
      </c>
      <c r="DB315" s="25">
        <v>2301</v>
      </c>
      <c r="DC315" s="25">
        <v>4087</v>
      </c>
      <c r="DD315" s="25">
        <v>13</v>
      </c>
      <c r="DE315" s="25">
        <v>2994</v>
      </c>
      <c r="DF315" s="25">
        <v>4188</v>
      </c>
      <c r="DG315" s="25">
        <v>14</v>
      </c>
      <c r="DH315" s="25">
        <v>5248</v>
      </c>
      <c r="DI315" s="25">
        <v>4687</v>
      </c>
      <c r="DJ315" s="25">
        <v>14</v>
      </c>
      <c r="DK315" s="25">
        <v>4800</v>
      </c>
      <c r="DL315" s="25">
        <v>4761</v>
      </c>
      <c r="DM315" s="25">
        <v>14</v>
      </c>
      <c r="DN315" s="25">
        <v>3270</v>
      </c>
      <c r="DO315" s="25">
        <v>4315</v>
      </c>
      <c r="DP315" s="29"/>
      <c r="DQ315" s="29"/>
    </row>
    <row r="316" spans="1:121" s="4" customFormat="1">
      <c r="A316" s="74" t="s">
        <v>303</v>
      </c>
      <c r="B316" s="25"/>
      <c r="C316" s="25"/>
      <c r="D316" s="25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69"/>
      <c r="AE316" s="69"/>
      <c r="AF316" s="69"/>
      <c r="AG316" s="69"/>
      <c r="AH316" s="69"/>
      <c r="AI316" s="69"/>
      <c r="AJ316" s="68"/>
      <c r="AK316" s="68"/>
      <c r="AL316" s="68"/>
      <c r="AM316" s="70">
        <v>1</v>
      </c>
      <c r="AN316" s="70"/>
      <c r="AO316" s="70"/>
      <c r="AP316" s="70">
        <v>1</v>
      </c>
      <c r="AQ316" s="25"/>
      <c r="AR316" s="25"/>
      <c r="AS316" s="71">
        <v>1</v>
      </c>
      <c r="AT316" s="71"/>
      <c r="AU316" s="71"/>
      <c r="AV316" s="72">
        <v>1</v>
      </c>
      <c r="AW316" s="72"/>
      <c r="AX316" s="72"/>
      <c r="AY316" s="75">
        <v>1</v>
      </c>
      <c r="AZ316" s="75"/>
      <c r="BA316" s="174"/>
      <c r="BB316" s="76">
        <v>1</v>
      </c>
      <c r="BC316" s="76"/>
      <c r="BD316" s="76"/>
      <c r="BE316" s="25"/>
      <c r="BF316" s="25"/>
      <c r="BG316" s="25"/>
      <c r="BH316" s="25">
        <v>1</v>
      </c>
      <c r="BI316" s="25"/>
      <c r="BJ316" s="25"/>
      <c r="BK316" s="25">
        <v>1</v>
      </c>
      <c r="BL316" s="25"/>
      <c r="BM316" s="25"/>
      <c r="BN316" s="25">
        <v>1</v>
      </c>
      <c r="BO316" s="25"/>
      <c r="BP316" s="25"/>
      <c r="BQ316" s="25">
        <v>1</v>
      </c>
      <c r="BR316" s="25"/>
      <c r="BS316" s="25"/>
      <c r="BT316" s="25">
        <v>1</v>
      </c>
      <c r="BU316" s="25"/>
      <c r="BV316" s="25"/>
      <c r="BW316" s="25"/>
      <c r="BX316" s="25">
        <v>68</v>
      </c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5"/>
      <c r="DN316" s="25"/>
      <c r="DO316" s="25"/>
      <c r="DP316" s="29"/>
      <c r="DQ316" s="29"/>
    </row>
    <row r="317" spans="1:121" s="4" customFormat="1">
      <c r="A317" s="74" t="s">
        <v>151</v>
      </c>
      <c r="B317" s="25"/>
      <c r="C317" s="25"/>
      <c r="D317" s="25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25"/>
      <c r="AE317" s="25"/>
      <c r="AF317" s="25"/>
      <c r="AG317" s="25"/>
      <c r="AH317" s="25"/>
      <c r="AI317" s="25"/>
      <c r="AJ317" s="68"/>
      <c r="AK317" s="68"/>
      <c r="AL317" s="68"/>
      <c r="AM317" s="70">
        <v>2</v>
      </c>
      <c r="AN317" s="99"/>
      <c r="AO317" s="70">
        <v>541</v>
      </c>
      <c r="AP317" s="70">
        <v>2</v>
      </c>
      <c r="AQ317" s="25">
        <v>1100</v>
      </c>
      <c r="AR317" s="25">
        <v>490</v>
      </c>
      <c r="AS317" s="71">
        <v>2</v>
      </c>
      <c r="AT317" s="71">
        <v>1100</v>
      </c>
      <c r="AU317" s="71">
        <v>493</v>
      </c>
      <c r="AV317" s="72">
        <v>2</v>
      </c>
      <c r="AW317" s="72"/>
      <c r="AX317" s="72">
        <v>511</v>
      </c>
      <c r="AY317" s="75">
        <v>2</v>
      </c>
      <c r="AZ317" s="75"/>
      <c r="BA317" s="75">
        <v>513</v>
      </c>
      <c r="BB317" s="76">
        <v>2</v>
      </c>
      <c r="BC317" s="76"/>
      <c r="BD317" s="76">
        <v>478</v>
      </c>
      <c r="BE317" s="106"/>
      <c r="BF317" s="106"/>
      <c r="BG317" s="106"/>
      <c r="BH317" s="25">
        <v>3</v>
      </c>
      <c r="BI317" s="25">
        <v>1100</v>
      </c>
      <c r="BJ317" s="25">
        <v>710</v>
      </c>
      <c r="BK317" s="25">
        <v>3</v>
      </c>
      <c r="BL317" s="25">
        <v>1659</v>
      </c>
      <c r="BM317" s="25">
        <v>672</v>
      </c>
      <c r="BN317" s="25">
        <v>1</v>
      </c>
      <c r="BO317" s="25"/>
      <c r="BP317" s="25">
        <v>258</v>
      </c>
      <c r="BQ317" s="25">
        <v>1</v>
      </c>
      <c r="BR317" s="25"/>
      <c r="BS317" s="56">
        <v>262</v>
      </c>
      <c r="BT317" s="25">
        <v>1</v>
      </c>
      <c r="BU317" s="25">
        <v>1100</v>
      </c>
      <c r="BV317" s="25">
        <v>259</v>
      </c>
      <c r="BW317" s="25">
        <v>1</v>
      </c>
      <c r="BX317" s="25"/>
      <c r="BY317" s="25">
        <v>242</v>
      </c>
      <c r="BZ317" s="25"/>
      <c r="CA317" s="25"/>
      <c r="CB317" s="25"/>
      <c r="CC317" s="91">
        <v>3</v>
      </c>
      <c r="CD317" s="91"/>
      <c r="CE317" s="91">
        <v>629</v>
      </c>
      <c r="CF317" s="25">
        <v>4</v>
      </c>
      <c r="CG317" s="25"/>
      <c r="CH317" s="25">
        <v>973</v>
      </c>
      <c r="CI317" s="25">
        <v>5</v>
      </c>
      <c r="CJ317" s="25">
        <v>1100</v>
      </c>
      <c r="CK317" s="25">
        <v>1273</v>
      </c>
      <c r="CL317" s="25">
        <v>6</v>
      </c>
      <c r="CM317" s="25"/>
      <c r="CN317" s="25">
        <v>1539</v>
      </c>
      <c r="CO317" s="25">
        <v>6</v>
      </c>
      <c r="CP317" s="25">
        <v>2156</v>
      </c>
      <c r="CQ317" s="25">
        <v>1520</v>
      </c>
      <c r="CR317" s="25">
        <v>7</v>
      </c>
      <c r="CS317" s="25">
        <v>1096</v>
      </c>
      <c r="CT317" s="25">
        <v>1708</v>
      </c>
      <c r="CU317" s="25"/>
      <c r="CV317" s="25"/>
      <c r="CW317" s="25"/>
      <c r="CX317" s="25">
        <v>7</v>
      </c>
      <c r="CY317" s="25">
        <v>2200</v>
      </c>
      <c r="CZ317" s="25">
        <v>1833</v>
      </c>
      <c r="DA317" s="25">
        <v>7</v>
      </c>
      <c r="DB317" s="25">
        <v>2432</v>
      </c>
      <c r="DC317" s="25">
        <v>1576</v>
      </c>
      <c r="DD317" s="25">
        <v>8</v>
      </c>
      <c r="DE317" s="25">
        <v>1107</v>
      </c>
      <c r="DF317" s="25">
        <v>1997</v>
      </c>
      <c r="DG317" s="25">
        <v>8</v>
      </c>
      <c r="DH317" s="25">
        <v>1100</v>
      </c>
      <c r="DI317" s="25">
        <v>2053</v>
      </c>
      <c r="DJ317" s="25">
        <v>10</v>
      </c>
      <c r="DK317" s="25">
        <v>1100</v>
      </c>
      <c r="DL317" s="25">
        <v>2532</v>
      </c>
      <c r="DM317" s="25">
        <v>10</v>
      </c>
      <c r="DN317" s="25">
        <v>2200</v>
      </c>
      <c r="DO317" s="25">
        <v>2299</v>
      </c>
    </row>
    <row r="318" spans="1:121" s="4" customFormat="1">
      <c r="A318" s="74" t="s">
        <v>302</v>
      </c>
      <c r="B318" s="25"/>
      <c r="C318" s="25"/>
      <c r="D318" s="25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25"/>
      <c r="AE318" s="25"/>
      <c r="AF318" s="25"/>
      <c r="AG318" s="25"/>
      <c r="AH318" s="25"/>
      <c r="AI318" s="25"/>
      <c r="AJ318" s="68"/>
      <c r="AK318" s="68"/>
      <c r="AL318" s="68"/>
      <c r="AM318" s="70">
        <v>16</v>
      </c>
      <c r="AN318" s="99">
        <v>1658</v>
      </c>
      <c r="AO318" s="70">
        <v>4164</v>
      </c>
      <c r="AP318" s="70">
        <v>16</v>
      </c>
      <c r="AQ318" s="25">
        <v>3658</v>
      </c>
      <c r="AR318" s="25">
        <v>3668</v>
      </c>
      <c r="AS318" s="71">
        <v>15</v>
      </c>
      <c r="AT318" s="71">
        <v>1871</v>
      </c>
      <c r="AU318" s="71">
        <v>3743</v>
      </c>
      <c r="AV318" s="72">
        <v>15</v>
      </c>
      <c r="AW318" s="72">
        <v>7772</v>
      </c>
      <c r="AX318" s="72">
        <v>3778</v>
      </c>
      <c r="AY318" s="75">
        <v>15</v>
      </c>
      <c r="AZ318" s="75">
        <v>2200</v>
      </c>
      <c r="BA318" s="75">
        <v>3774</v>
      </c>
      <c r="BB318" s="76">
        <v>15</v>
      </c>
      <c r="BC318" s="76">
        <v>2705</v>
      </c>
      <c r="BD318" s="76">
        <v>3577</v>
      </c>
      <c r="BE318" s="106"/>
      <c r="BF318" s="106"/>
      <c r="BG318" s="106"/>
      <c r="BH318" s="25">
        <v>14</v>
      </c>
      <c r="BI318" s="25">
        <v>4445</v>
      </c>
      <c r="BJ318" s="25">
        <v>3531</v>
      </c>
      <c r="BK318" s="25">
        <v>13</v>
      </c>
      <c r="BL318" s="25">
        <v>5403</v>
      </c>
      <c r="BM318" s="25">
        <v>3171</v>
      </c>
      <c r="BN318" s="25">
        <v>11</v>
      </c>
      <c r="BO318" s="25">
        <f>1001+2200</f>
        <v>3201</v>
      </c>
      <c r="BP318" s="25">
        <f>57+2806</f>
        <v>2863</v>
      </c>
      <c r="BQ318" s="25">
        <v>11</v>
      </c>
      <c r="BR318" s="25">
        <v>2400</v>
      </c>
      <c r="BS318" s="56">
        <v>2675</v>
      </c>
      <c r="BT318" s="25">
        <v>11</v>
      </c>
      <c r="BU318" s="25">
        <v>1482</v>
      </c>
      <c r="BV318" s="25">
        <v>2751</v>
      </c>
      <c r="BW318" s="25">
        <v>11</v>
      </c>
      <c r="BX318" s="25">
        <v>3821</v>
      </c>
      <c r="BY318" s="25">
        <v>2485</v>
      </c>
      <c r="BZ318" s="25"/>
      <c r="CA318" s="25"/>
      <c r="CB318" s="25"/>
      <c r="CC318" s="91">
        <v>9</v>
      </c>
      <c r="CD318" s="91">
        <v>4959</v>
      </c>
      <c r="CE318" s="91">
        <v>2177</v>
      </c>
      <c r="CF318" s="25">
        <v>8</v>
      </c>
      <c r="CG318" s="25"/>
      <c r="CH318" s="25">
        <v>2040</v>
      </c>
      <c r="CI318" s="25">
        <v>7</v>
      </c>
      <c r="CJ318" s="25">
        <f>577+1298</f>
        <v>1875</v>
      </c>
      <c r="CK318" s="25">
        <f>7+1720</f>
        <v>1727</v>
      </c>
      <c r="CL318" s="25">
        <v>6</v>
      </c>
      <c r="CM318" s="25">
        <v>1100</v>
      </c>
      <c r="CN318" s="25">
        <v>1537</v>
      </c>
      <c r="CO318" s="25">
        <v>6</v>
      </c>
      <c r="CP318" s="25">
        <v>5557</v>
      </c>
      <c r="CQ318" s="25">
        <v>1446</v>
      </c>
      <c r="CR318" s="25">
        <v>5</v>
      </c>
      <c r="CS318" s="25"/>
      <c r="CT318" s="25">
        <v>1208</v>
      </c>
      <c r="CU318" s="25"/>
      <c r="CV318" s="25"/>
      <c r="CW318" s="25"/>
      <c r="CX318" s="25">
        <v>5</v>
      </c>
      <c r="CY318" s="25">
        <v>508</v>
      </c>
      <c r="CZ318" s="25">
        <v>1269</v>
      </c>
      <c r="DA318" s="25">
        <v>5</v>
      </c>
      <c r="DB318" s="25">
        <v>685</v>
      </c>
      <c r="DC318" s="25">
        <v>1130</v>
      </c>
      <c r="DD318" s="25">
        <v>4</v>
      </c>
      <c r="DE318" s="25">
        <v>2200</v>
      </c>
      <c r="DF318" s="25">
        <v>995</v>
      </c>
      <c r="DG318" s="25">
        <v>4</v>
      </c>
      <c r="DH318" s="25">
        <v>2328</v>
      </c>
      <c r="DI318" s="25">
        <v>847</v>
      </c>
      <c r="DJ318" s="25">
        <v>2</v>
      </c>
      <c r="DK318" s="25"/>
      <c r="DL318" s="25">
        <v>496</v>
      </c>
      <c r="DM318" s="25">
        <v>2</v>
      </c>
      <c r="DN318" s="25"/>
      <c r="DO318" s="25">
        <v>474</v>
      </c>
    </row>
    <row r="319" spans="1:121" s="4" customFormat="1">
      <c r="A319" s="74" t="s">
        <v>152</v>
      </c>
      <c r="B319" s="25"/>
      <c r="C319" s="25"/>
      <c r="D319" s="25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25"/>
      <c r="AE319" s="25"/>
      <c r="AF319" s="25"/>
      <c r="AG319" s="25"/>
      <c r="AH319" s="25"/>
      <c r="AI319" s="25"/>
      <c r="AJ319" s="68"/>
      <c r="AK319" s="68"/>
      <c r="AL319" s="68"/>
      <c r="AM319" s="70">
        <v>23</v>
      </c>
      <c r="AN319" s="70">
        <v>6275</v>
      </c>
      <c r="AO319" s="70">
        <v>5887</v>
      </c>
      <c r="AP319" s="70">
        <v>20</v>
      </c>
      <c r="AQ319" s="25">
        <f>3017+4739</f>
        <v>7756</v>
      </c>
      <c r="AR319" s="25">
        <f>47+4642</f>
        <v>4689</v>
      </c>
      <c r="AS319" s="71">
        <v>18</v>
      </c>
      <c r="AT319" s="71">
        <f>755+5790</f>
        <v>6545</v>
      </c>
      <c r="AU319" s="71">
        <f>23+4204</f>
        <v>4227</v>
      </c>
      <c r="AV319" s="86">
        <v>16</v>
      </c>
      <c r="AW319" s="86">
        <v>1014</v>
      </c>
      <c r="AX319" s="86">
        <v>3950</v>
      </c>
      <c r="AY319" s="75">
        <v>16</v>
      </c>
      <c r="AZ319" s="75">
        <v>6050</v>
      </c>
      <c r="BA319" s="75">
        <v>3675</v>
      </c>
      <c r="BB319" s="76">
        <v>16</v>
      </c>
      <c r="BC319" s="76">
        <v>5078</v>
      </c>
      <c r="BD319" s="76">
        <v>3369</v>
      </c>
      <c r="BE319" s="106"/>
      <c r="BF319" s="106"/>
      <c r="BG319" s="106"/>
      <c r="BH319" s="88">
        <v>16</v>
      </c>
      <c r="BI319" s="88">
        <v>5456</v>
      </c>
      <c r="BJ319" s="88">
        <v>3581</v>
      </c>
      <c r="BK319" s="25">
        <v>14</v>
      </c>
      <c r="BL319" s="25">
        <v>1091</v>
      </c>
      <c r="BM319" s="25">
        <v>3331</v>
      </c>
      <c r="BN319" s="25">
        <v>9</v>
      </c>
      <c r="BO319" s="25">
        <f>2497+2488</f>
        <v>4985</v>
      </c>
      <c r="BP319" s="25">
        <f>111+2046</f>
        <v>2157</v>
      </c>
      <c r="BQ319" s="25">
        <v>9</v>
      </c>
      <c r="BR319" s="25">
        <v>839</v>
      </c>
      <c r="BS319" s="56">
        <v>2005</v>
      </c>
      <c r="BT319" s="25">
        <v>9</v>
      </c>
      <c r="BU319" s="25">
        <v>4912</v>
      </c>
      <c r="BV319" s="25">
        <v>1986</v>
      </c>
      <c r="BW319" s="25">
        <v>9</v>
      </c>
      <c r="BX319" s="25">
        <v>656</v>
      </c>
      <c r="BY319" s="25">
        <v>1938</v>
      </c>
      <c r="BZ319" s="25"/>
      <c r="CA319" s="25"/>
      <c r="CB319" s="25"/>
      <c r="CC319" s="91">
        <v>9</v>
      </c>
      <c r="CD319" s="91">
        <v>851</v>
      </c>
      <c r="CE319" s="91">
        <v>2073</v>
      </c>
      <c r="CF319" s="25">
        <v>9</v>
      </c>
      <c r="CG319" s="25">
        <v>2065</v>
      </c>
      <c r="CH319" s="25">
        <v>2112</v>
      </c>
      <c r="CI319" s="25">
        <v>9</v>
      </c>
      <c r="CJ319" s="25">
        <v>2838</v>
      </c>
      <c r="CK319" s="25">
        <v>2163</v>
      </c>
      <c r="CL319" s="25">
        <v>9</v>
      </c>
      <c r="CM319" s="25">
        <v>2499</v>
      </c>
      <c r="CN319" s="25">
        <v>2120</v>
      </c>
      <c r="CO319" s="313">
        <v>9</v>
      </c>
      <c r="CP319" s="25">
        <v>1412</v>
      </c>
      <c r="CQ319" s="25">
        <v>2128</v>
      </c>
      <c r="CR319" s="149">
        <v>9</v>
      </c>
      <c r="CS319" s="149">
        <v>2310</v>
      </c>
      <c r="CT319" s="149">
        <v>1869</v>
      </c>
      <c r="CU319" s="25"/>
      <c r="CV319" s="25"/>
      <c r="CW319" s="25"/>
      <c r="CX319" s="25">
        <v>9</v>
      </c>
      <c r="CY319" s="25">
        <v>2418</v>
      </c>
      <c r="CZ319" s="25">
        <v>2124</v>
      </c>
      <c r="DA319" s="25">
        <v>9</v>
      </c>
      <c r="DB319" s="25">
        <v>2684</v>
      </c>
      <c r="DC319" s="25">
        <v>2114</v>
      </c>
      <c r="DD319" s="25">
        <v>9</v>
      </c>
      <c r="DE319" s="25">
        <v>1211</v>
      </c>
      <c r="DF319" s="25">
        <v>2102</v>
      </c>
      <c r="DG319" s="25">
        <v>9</v>
      </c>
      <c r="DH319" s="25">
        <v>1496</v>
      </c>
      <c r="DI319" s="25">
        <v>1941</v>
      </c>
      <c r="DJ319" s="25">
        <v>9</v>
      </c>
      <c r="DK319" s="25">
        <v>3083</v>
      </c>
      <c r="DL319" s="25">
        <v>2056</v>
      </c>
      <c r="DM319" s="25">
        <v>9</v>
      </c>
      <c r="DN319" s="25"/>
      <c r="DO319" s="25">
        <v>1930</v>
      </c>
    </row>
    <row r="320" spans="1:121" s="205" customFormat="1">
      <c r="A320" s="209" t="s">
        <v>153</v>
      </c>
      <c r="B320" s="202"/>
      <c r="C320" s="202"/>
      <c r="D320" s="202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202"/>
      <c r="AE320" s="202"/>
      <c r="AF320" s="202"/>
      <c r="AG320" s="202"/>
      <c r="AH320" s="202"/>
      <c r="AI320" s="202"/>
      <c r="AJ320" s="202"/>
      <c r="AK320" s="202"/>
      <c r="AL320" s="202"/>
      <c r="AM320" s="202">
        <v>1</v>
      </c>
      <c r="AN320" s="202"/>
      <c r="AO320" s="202"/>
      <c r="AP320" s="202">
        <v>1</v>
      </c>
      <c r="AQ320" s="202"/>
      <c r="AR320" s="202"/>
      <c r="AS320" s="202">
        <v>1</v>
      </c>
      <c r="AT320" s="202"/>
      <c r="AU320" s="202"/>
      <c r="AV320" s="202">
        <v>1</v>
      </c>
      <c r="AW320" s="202"/>
      <c r="AX320" s="202"/>
      <c r="AY320" s="202">
        <v>1</v>
      </c>
      <c r="AZ320" s="202"/>
      <c r="BA320" s="202"/>
      <c r="BB320" s="202">
        <v>1</v>
      </c>
      <c r="BC320" s="202"/>
      <c r="BD320" s="202"/>
      <c r="BE320" s="202"/>
      <c r="BF320" s="202"/>
      <c r="BG320" s="202"/>
      <c r="BH320" s="202">
        <v>1</v>
      </c>
      <c r="BI320" s="202"/>
      <c r="BJ320" s="202"/>
      <c r="BK320" s="202">
        <v>1</v>
      </c>
      <c r="BL320" s="202"/>
      <c r="BM320" s="202"/>
      <c r="BN320" s="202">
        <v>1</v>
      </c>
      <c r="BO320" s="202"/>
      <c r="BP320" s="202"/>
      <c r="BQ320" s="202">
        <v>1</v>
      </c>
      <c r="BR320" s="202"/>
      <c r="BS320" s="203"/>
      <c r="BT320" s="202">
        <v>1</v>
      </c>
      <c r="BU320" s="202"/>
      <c r="BV320" s="202"/>
      <c r="BW320" s="202">
        <v>1</v>
      </c>
      <c r="BX320" s="202"/>
      <c r="BY320" s="202"/>
      <c r="BZ320" s="202"/>
      <c r="CA320" s="202"/>
      <c r="CB320" s="202"/>
      <c r="CC320" s="202">
        <v>1</v>
      </c>
      <c r="CD320" s="202"/>
      <c r="CE320" s="202"/>
      <c r="CF320" s="202">
        <v>1</v>
      </c>
      <c r="CG320" s="202"/>
      <c r="CH320" s="202"/>
      <c r="CI320" s="202">
        <v>1</v>
      </c>
      <c r="CJ320" s="202"/>
      <c r="CK320" s="202"/>
      <c r="CL320" s="202">
        <v>1</v>
      </c>
      <c r="CM320" s="202"/>
      <c r="CN320" s="202"/>
      <c r="CO320" s="314">
        <v>5</v>
      </c>
      <c r="CP320" s="202"/>
      <c r="CQ320" s="202">
        <v>792</v>
      </c>
      <c r="CR320" s="204">
        <v>5</v>
      </c>
      <c r="CS320" s="202"/>
      <c r="CT320" s="204">
        <v>916</v>
      </c>
      <c r="CU320" s="202"/>
      <c r="CV320" s="202"/>
      <c r="CW320" s="202"/>
      <c r="CX320" s="202">
        <v>5</v>
      </c>
      <c r="CY320" s="202"/>
      <c r="CZ320" s="202">
        <v>1121</v>
      </c>
      <c r="DA320" s="202">
        <v>5</v>
      </c>
      <c r="DB320" s="202">
        <v>1600</v>
      </c>
      <c r="DC320" s="202">
        <v>1126</v>
      </c>
      <c r="DD320" s="202">
        <v>5</v>
      </c>
      <c r="DE320" s="202">
        <v>930</v>
      </c>
      <c r="DF320" s="202">
        <v>1170</v>
      </c>
      <c r="DG320" s="202">
        <v>5</v>
      </c>
      <c r="DH320" s="202">
        <v>2200</v>
      </c>
      <c r="DI320" s="202">
        <v>1184</v>
      </c>
      <c r="DJ320" s="202">
        <v>5</v>
      </c>
      <c r="DK320" s="202">
        <v>708</v>
      </c>
      <c r="DL320" s="202">
        <v>1196</v>
      </c>
      <c r="DM320" s="202">
        <v>5</v>
      </c>
      <c r="DN320" s="202"/>
      <c r="DO320" s="202">
        <v>1092</v>
      </c>
    </row>
    <row r="321" spans="1:119" s="205" customFormat="1">
      <c r="A321" s="74" t="s">
        <v>373</v>
      </c>
      <c r="B321" s="202"/>
      <c r="C321" s="202"/>
      <c r="D321" s="202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  <c r="AB321" s="145"/>
      <c r="AC321" s="145"/>
      <c r="AD321" s="202"/>
      <c r="AE321" s="202"/>
      <c r="AF321" s="202"/>
      <c r="AG321" s="202"/>
      <c r="AH321" s="202"/>
      <c r="AI321" s="202"/>
      <c r="AJ321" s="202"/>
      <c r="AK321" s="202"/>
      <c r="AL321" s="202"/>
      <c r="AM321" s="202">
        <v>1</v>
      </c>
      <c r="AN321" s="202"/>
      <c r="AO321" s="202">
        <v>171</v>
      </c>
      <c r="AP321" s="202">
        <v>1</v>
      </c>
      <c r="AQ321" s="202"/>
      <c r="AR321" s="202">
        <v>270</v>
      </c>
      <c r="AS321" s="202">
        <v>1</v>
      </c>
      <c r="AT321" s="202"/>
      <c r="AU321" s="202">
        <v>276</v>
      </c>
      <c r="AV321" s="202">
        <v>1</v>
      </c>
      <c r="AW321" s="202"/>
      <c r="AX321" s="202">
        <v>278</v>
      </c>
      <c r="AY321" s="202">
        <v>1</v>
      </c>
      <c r="AZ321" s="202">
        <v>1000</v>
      </c>
      <c r="BA321" s="202">
        <v>275</v>
      </c>
      <c r="BB321" s="202">
        <v>1</v>
      </c>
      <c r="BC321" s="202">
        <v>419</v>
      </c>
      <c r="BD321" s="202">
        <v>149</v>
      </c>
      <c r="BE321" s="202"/>
      <c r="BF321" s="202"/>
      <c r="BG321" s="202"/>
      <c r="BH321" s="202">
        <v>1</v>
      </c>
      <c r="BI321" s="202"/>
      <c r="BJ321" s="202">
        <v>215</v>
      </c>
      <c r="BK321" s="202">
        <v>2</v>
      </c>
      <c r="BL321" s="202"/>
      <c r="BM321" s="202">
        <v>543</v>
      </c>
      <c r="BN321" s="202">
        <v>2</v>
      </c>
      <c r="BO321" s="202">
        <v>1322</v>
      </c>
      <c r="BP321" s="202">
        <v>568</v>
      </c>
      <c r="BQ321" s="202">
        <v>2</v>
      </c>
      <c r="BR321" s="202"/>
      <c r="BS321" s="203">
        <v>573</v>
      </c>
      <c r="BT321" s="202">
        <v>2</v>
      </c>
      <c r="BU321" s="202">
        <v>548</v>
      </c>
      <c r="BV321" s="202">
        <v>555</v>
      </c>
      <c r="BW321" s="202">
        <v>2</v>
      </c>
      <c r="BX321" s="202"/>
      <c r="BY321" s="202">
        <v>539</v>
      </c>
      <c r="BZ321" s="202"/>
      <c r="CA321" s="202"/>
      <c r="CB321" s="202"/>
      <c r="CC321" s="202">
        <v>2</v>
      </c>
      <c r="CD321" s="202"/>
      <c r="CE321" s="202">
        <v>566</v>
      </c>
      <c r="CF321" s="202">
        <v>2</v>
      </c>
      <c r="CG321" s="202">
        <v>1100</v>
      </c>
      <c r="CH321" s="202">
        <v>544</v>
      </c>
      <c r="CI321" s="202">
        <v>2</v>
      </c>
      <c r="CJ321" s="202">
        <v>1100</v>
      </c>
      <c r="CK321" s="202">
        <v>575</v>
      </c>
      <c r="CL321" s="202">
        <v>2</v>
      </c>
      <c r="CM321" s="202"/>
      <c r="CN321" s="202">
        <v>565</v>
      </c>
      <c r="CO321" s="202">
        <v>2</v>
      </c>
      <c r="CP321" s="202">
        <v>1100</v>
      </c>
      <c r="CQ321" s="202">
        <v>563</v>
      </c>
      <c r="CR321" s="202">
        <v>2</v>
      </c>
      <c r="CS321" s="202"/>
      <c r="CT321" s="202">
        <v>522</v>
      </c>
      <c r="CU321" s="202"/>
      <c r="CV321" s="202"/>
      <c r="CW321" s="202"/>
      <c r="CX321" s="202">
        <v>2</v>
      </c>
      <c r="CY321" s="202">
        <v>1100</v>
      </c>
      <c r="CZ321" s="202">
        <v>553</v>
      </c>
      <c r="DA321" s="202">
        <v>2</v>
      </c>
      <c r="DB321" s="202"/>
      <c r="DC321" s="202">
        <v>542</v>
      </c>
      <c r="DD321" s="202">
        <v>2</v>
      </c>
      <c r="DE321" s="202"/>
      <c r="DF321" s="202">
        <v>549</v>
      </c>
      <c r="DG321" s="202">
        <v>2</v>
      </c>
      <c r="DH321" s="202">
        <v>1100</v>
      </c>
      <c r="DI321" s="202">
        <v>535</v>
      </c>
      <c r="DJ321" s="202">
        <v>2</v>
      </c>
      <c r="DK321" s="202"/>
      <c r="DL321" s="202">
        <v>545</v>
      </c>
      <c r="DM321" s="202">
        <v>1</v>
      </c>
      <c r="DN321" s="202">
        <v>1278</v>
      </c>
      <c r="DO321" s="202">
        <f>78+246</f>
        <v>324</v>
      </c>
    </row>
    <row r="322" spans="1:119" s="205" customFormat="1">
      <c r="A322" s="74" t="s">
        <v>374</v>
      </c>
      <c r="B322" s="202"/>
      <c r="C322" s="202"/>
      <c r="D322" s="202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  <c r="AB322" s="145"/>
      <c r="AC322" s="145"/>
      <c r="AD322" s="202"/>
      <c r="AE322" s="202"/>
      <c r="AF322" s="202"/>
      <c r="AG322" s="202"/>
      <c r="AH322" s="202"/>
      <c r="AI322" s="202"/>
      <c r="AJ322" s="202"/>
      <c r="AK322" s="202"/>
      <c r="AL322" s="202"/>
      <c r="AM322" s="202"/>
      <c r="AN322" s="202"/>
      <c r="AO322" s="202"/>
      <c r="AP322" s="202"/>
      <c r="AQ322" s="202"/>
      <c r="AR322" s="202"/>
      <c r="AS322" s="202"/>
      <c r="AT322" s="202"/>
      <c r="AU322" s="202"/>
      <c r="AV322" s="202"/>
      <c r="AW322" s="202"/>
      <c r="AX322" s="202"/>
      <c r="AY322" s="202"/>
      <c r="AZ322" s="202"/>
      <c r="BA322" s="202"/>
      <c r="BB322" s="202"/>
      <c r="BC322" s="202"/>
      <c r="BD322" s="202"/>
      <c r="BE322" s="202"/>
      <c r="BF322" s="202"/>
      <c r="BG322" s="202"/>
      <c r="BH322" s="202">
        <v>1</v>
      </c>
      <c r="BI322" s="202"/>
      <c r="BJ322" s="202">
        <v>230</v>
      </c>
      <c r="BK322" s="202">
        <v>2</v>
      </c>
      <c r="BL322" s="202"/>
      <c r="BM322" s="202">
        <v>492</v>
      </c>
      <c r="BN322" s="202">
        <v>2</v>
      </c>
      <c r="BO322" s="202">
        <v>1285</v>
      </c>
      <c r="BP322" s="202">
        <v>570</v>
      </c>
      <c r="BQ322" s="202">
        <v>2</v>
      </c>
      <c r="BR322" s="202"/>
      <c r="BS322" s="203">
        <v>574</v>
      </c>
      <c r="BT322" s="202">
        <v>2</v>
      </c>
      <c r="BU322" s="202"/>
      <c r="BV322" s="202">
        <v>579</v>
      </c>
      <c r="BW322" s="202">
        <v>2</v>
      </c>
      <c r="BX322" s="202"/>
      <c r="BY322" s="202">
        <v>550</v>
      </c>
      <c r="BZ322" s="202"/>
      <c r="CA322" s="202"/>
      <c r="CB322" s="202"/>
      <c r="CC322" s="202">
        <v>2</v>
      </c>
      <c r="CD322" s="202">
        <v>2200</v>
      </c>
      <c r="CE322" s="202">
        <v>578</v>
      </c>
      <c r="CF322" s="202">
        <v>2</v>
      </c>
      <c r="CG322" s="202"/>
      <c r="CH322" s="202">
        <v>565</v>
      </c>
      <c r="CI322" s="202">
        <v>2</v>
      </c>
      <c r="CJ322" s="202"/>
      <c r="CK322" s="202">
        <v>577</v>
      </c>
      <c r="CL322" s="202">
        <v>2</v>
      </c>
      <c r="CM322" s="202"/>
      <c r="CN322" s="202">
        <v>565</v>
      </c>
      <c r="CO322" s="202">
        <v>2</v>
      </c>
      <c r="CP322" s="202">
        <v>2200</v>
      </c>
      <c r="CQ322" s="202">
        <v>557</v>
      </c>
      <c r="CR322" s="202">
        <v>2</v>
      </c>
      <c r="CS322" s="202"/>
      <c r="CT322" s="202">
        <v>536</v>
      </c>
      <c r="CU322" s="202"/>
      <c r="CV322" s="202"/>
      <c r="CW322" s="202"/>
      <c r="CX322" s="202">
        <v>2</v>
      </c>
      <c r="CY322" s="202"/>
      <c r="CZ322" s="202">
        <v>577</v>
      </c>
      <c r="DA322" s="202">
        <v>2</v>
      </c>
      <c r="DB322" s="202"/>
      <c r="DC322" s="202">
        <v>565</v>
      </c>
      <c r="DD322" s="202">
        <v>2</v>
      </c>
      <c r="DE322" s="202">
        <v>2195</v>
      </c>
      <c r="DF322" s="202">
        <v>554</v>
      </c>
      <c r="DG322" s="202">
        <v>2</v>
      </c>
      <c r="DH322" s="202"/>
      <c r="DI322" s="202">
        <v>554</v>
      </c>
      <c r="DJ322" s="202">
        <v>2</v>
      </c>
      <c r="DK322" s="202"/>
      <c r="DL322" s="202">
        <v>556</v>
      </c>
      <c r="DM322" s="202">
        <v>3</v>
      </c>
      <c r="DN322" s="202">
        <v>746</v>
      </c>
      <c r="DO322" s="202">
        <v>505</v>
      </c>
    </row>
    <row r="323" spans="1:119" s="16" customFormat="1" ht="15" customHeight="1">
      <c r="A323" s="90" t="s">
        <v>155</v>
      </c>
      <c r="B323" s="42"/>
      <c r="C323" s="42"/>
      <c r="D323" s="42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  <c r="AB323" s="145"/>
      <c r="AC323" s="145"/>
      <c r="AD323" s="97"/>
      <c r="AE323" s="97"/>
      <c r="AF323" s="97"/>
      <c r="AG323" s="97"/>
      <c r="AH323" s="97"/>
      <c r="AI323" s="97"/>
      <c r="AJ323" s="98"/>
      <c r="AK323" s="98"/>
      <c r="AL323" s="98"/>
      <c r="AM323" s="95">
        <v>1</v>
      </c>
      <c r="AN323" s="214"/>
      <c r="AO323" s="214"/>
      <c r="AP323" s="101">
        <v>1</v>
      </c>
      <c r="AQ323" s="101"/>
      <c r="AR323" s="101"/>
      <c r="AS323" s="165">
        <v>1</v>
      </c>
      <c r="AT323" s="165"/>
      <c r="AU323" s="165"/>
      <c r="AV323" s="166">
        <v>1</v>
      </c>
      <c r="AW323" s="166"/>
      <c r="AX323" s="166"/>
      <c r="AY323" s="104">
        <v>1</v>
      </c>
      <c r="AZ323" s="104"/>
      <c r="BA323" s="104"/>
      <c r="BB323" s="202"/>
      <c r="BC323" s="202"/>
      <c r="BD323" s="202"/>
      <c r="BE323" s="172"/>
      <c r="BF323" s="172"/>
      <c r="BG323" s="172"/>
      <c r="BH323" s="108"/>
      <c r="BI323" s="108"/>
      <c r="BJ323" s="108"/>
      <c r="BK323" s="110"/>
      <c r="BL323" s="110"/>
      <c r="BM323" s="110"/>
      <c r="BN323" s="175"/>
      <c r="BO323" s="175"/>
      <c r="BP323" s="175"/>
      <c r="BQ323" s="52"/>
      <c r="BR323" s="52"/>
      <c r="BS323" s="52"/>
      <c r="BT323" s="54"/>
      <c r="BU323" s="54"/>
      <c r="BV323" s="54"/>
      <c r="BW323" s="55"/>
      <c r="BX323" s="55"/>
      <c r="BY323" s="55"/>
      <c r="BZ323" s="55"/>
      <c r="CA323" s="55"/>
      <c r="CB323" s="55"/>
      <c r="CC323" s="124"/>
      <c r="CD323" s="124"/>
      <c r="CE323" s="124"/>
      <c r="CF323" s="178"/>
      <c r="CG323" s="178"/>
      <c r="CH323" s="178"/>
      <c r="CI323" s="57"/>
      <c r="CJ323" s="57"/>
      <c r="CK323" s="57"/>
      <c r="CL323" s="58"/>
      <c r="CM323" s="58"/>
      <c r="CN323" s="58"/>
      <c r="CO323" s="60"/>
      <c r="CP323" s="60"/>
      <c r="CQ323" s="60"/>
      <c r="CR323" s="150"/>
      <c r="CS323" s="150"/>
      <c r="CT323" s="150"/>
      <c r="CU323" s="62"/>
      <c r="CV323" s="62"/>
      <c r="CW323" s="62"/>
      <c r="CX323" s="95"/>
      <c r="CY323" s="95"/>
      <c r="CZ323" s="95"/>
      <c r="DA323" s="95"/>
      <c r="DB323" s="95"/>
      <c r="DC323" s="95"/>
      <c r="DD323" s="95"/>
      <c r="DE323" s="95"/>
      <c r="DF323" s="95"/>
      <c r="DG323" s="42"/>
      <c r="DH323" s="42"/>
      <c r="DI323" s="42"/>
      <c r="DJ323" s="42"/>
      <c r="DK323" s="42"/>
      <c r="DL323" s="42"/>
      <c r="DM323" s="42"/>
      <c r="DN323" s="42"/>
      <c r="DO323" s="42"/>
    </row>
    <row r="324" spans="1:119" s="16" customFormat="1" ht="15" customHeight="1">
      <c r="A324" s="90" t="s">
        <v>156</v>
      </c>
      <c r="B324" s="42"/>
      <c r="C324" s="42"/>
      <c r="D324" s="42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  <c r="AB324" s="145"/>
      <c r="AC324" s="145"/>
      <c r="AD324" s="97"/>
      <c r="AE324" s="97"/>
      <c r="AF324" s="97"/>
      <c r="AG324" s="97"/>
      <c r="AH324" s="97"/>
      <c r="AI324" s="97"/>
      <c r="AJ324" s="98"/>
      <c r="AK324" s="98"/>
      <c r="AL324" s="98"/>
      <c r="AM324" s="95">
        <v>1</v>
      </c>
      <c r="AN324" s="214"/>
      <c r="AO324" s="214"/>
      <c r="AP324" s="101">
        <v>1</v>
      </c>
      <c r="AQ324" s="101"/>
      <c r="AR324" s="101"/>
      <c r="AS324" s="165">
        <v>1</v>
      </c>
      <c r="AT324" s="165"/>
      <c r="AU324" s="165"/>
      <c r="AV324" s="166">
        <v>1</v>
      </c>
      <c r="AW324" s="166"/>
      <c r="AX324" s="166"/>
      <c r="AY324" s="104">
        <v>1</v>
      </c>
      <c r="AZ324" s="104"/>
      <c r="BA324" s="104"/>
      <c r="BB324" s="105"/>
      <c r="BC324" s="105"/>
      <c r="BD324" s="105"/>
      <c r="BE324" s="172"/>
      <c r="BF324" s="172"/>
      <c r="BG324" s="172"/>
      <c r="BH324" s="108"/>
      <c r="BI324" s="108"/>
      <c r="BJ324" s="108"/>
      <c r="BK324" s="110"/>
      <c r="BL324" s="110"/>
      <c r="BM324" s="110"/>
      <c r="BN324" s="175"/>
      <c r="BO324" s="175"/>
      <c r="BP324" s="175"/>
      <c r="BQ324" s="52"/>
      <c r="BR324" s="52"/>
      <c r="BS324" s="52"/>
      <c r="BT324" s="54"/>
      <c r="BU324" s="54"/>
      <c r="BV324" s="54"/>
      <c r="BW324" s="55"/>
      <c r="BX324" s="55"/>
      <c r="BY324" s="55"/>
      <c r="BZ324" s="55"/>
      <c r="CA324" s="55"/>
      <c r="CB324" s="55"/>
      <c r="CC324" s="124"/>
      <c r="CD324" s="124"/>
      <c r="CE324" s="124"/>
      <c r="CF324" s="178"/>
      <c r="CG324" s="178"/>
      <c r="CH324" s="178"/>
      <c r="CI324" s="57"/>
      <c r="CJ324" s="57"/>
      <c r="CK324" s="57"/>
      <c r="CL324" s="58"/>
      <c r="CM324" s="58"/>
      <c r="CN324" s="58"/>
      <c r="CO324" s="60"/>
      <c r="CP324" s="60"/>
      <c r="CQ324" s="60"/>
      <c r="CR324" s="150"/>
      <c r="CS324" s="150"/>
      <c r="CT324" s="150"/>
      <c r="CU324" s="62"/>
      <c r="CV324" s="62"/>
      <c r="CW324" s="62"/>
      <c r="CX324" s="95"/>
      <c r="CY324" s="95"/>
      <c r="CZ324" s="95"/>
      <c r="DA324" s="95"/>
      <c r="DB324" s="95"/>
      <c r="DC324" s="95"/>
      <c r="DD324" s="95"/>
      <c r="DE324" s="95"/>
      <c r="DF324" s="95"/>
      <c r="DG324" s="42"/>
      <c r="DH324" s="42"/>
      <c r="DI324" s="42"/>
      <c r="DJ324" s="42"/>
      <c r="DK324" s="42"/>
      <c r="DL324" s="42"/>
      <c r="DM324" s="42"/>
      <c r="DN324" s="42"/>
      <c r="DO324" s="42"/>
    </row>
    <row r="325" spans="1:119" s="16" customFormat="1" ht="15" customHeight="1">
      <c r="A325" s="90" t="s">
        <v>157</v>
      </c>
      <c r="B325" s="42"/>
      <c r="C325" s="42"/>
      <c r="D325" s="42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  <c r="AB325" s="145"/>
      <c r="AC325" s="145"/>
      <c r="AD325" s="97"/>
      <c r="AE325" s="97"/>
      <c r="AF325" s="97"/>
      <c r="AG325" s="97"/>
      <c r="AH325" s="97"/>
      <c r="AI325" s="97"/>
      <c r="AJ325" s="98"/>
      <c r="AK325" s="98"/>
      <c r="AL325" s="98"/>
      <c r="AM325" s="95">
        <v>1</v>
      </c>
      <c r="AN325" s="214"/>
      <c r="AO325" s="214"/>
      <c r="AP325" s="101">
        <v>1</v>
      </c>
      <c r="AQ325" s="101"/>
      <c r="AR325" s="101"/>
      <c r="AS325" s="165">
        <v>1</v>
      </c>
      <c r="AT325" s="165"/>
      <c r="AU325" s="165"/>
      <c r="AV325" s="166">
        <v>1</v>
      </c>
      <c r="AW325" s="166"/>
      <c r="AX325" s="166"/>
      <c r="AY325" s="104">
        <v>1</v>
      </c>
      <c r="AZ325" s="104"/>
      <c r="BA325" s="104"/>
      <c r="BB325" s="105"/>
      <c r="BC325" s="105"/>
      <c r="BD325" s="105"/>
      <c r="BE325" s="172"/>
      <c r="BF325" s="172"/>
      <c r="BG325" s="172"/>
      <c r="BH325" s="108"/>
      <c r="BI325" s="108"/>
      <c r="BJ325" s="108"/>
      <c r="BK325" s="110"/>
      <c r="BL325" s="110"/>
      <c r="BM325" s="110"/>
      <c r="BN325" s="175"/>
      <c r="BO325" s="175"/>
      <c r="BP325" s="175"/>
      <c r="BQ325" s="52"/>
      <c r="BR325" s="52"/>
      <c r="BS325" s="52"/>
      <c r="BT325" s="54"/>
      <c r="BU325" s="54"/>
      <c r="BV325" s="54"/>
      <c r="BW325" s="55"/>
      <c r="BX325" s="55"/>
      <c r="BY325" s="55"/>
      <c r="BZ325" s="55"/>
      <c r="CA325" s="55"/>
      <c r="CB325" s="55"/>
      <c r="CC325" s="124"/>
      <c r="CD325" s="124"/>
      <c r="CE325" s="124"/>
      <c r="CF325" s="178"/>
      <c r="CG325" s="178"/>
      <c r="CH325" s="178"/>
      <c r="CI325" s="57"/>
      <c r="CJ325" s="57"/>
      <c r="CK325" s="57"/>
      <c r="CL325" s="58"/>
      <c r="CM325" s="58"/>
      <c r="CN325" s="58"/>
      <c r="CO325" s="60"/>
      <c r="CP325" s="60"/>
      <c r="CQ325" s="60"/>
      <c r="CR325" s="150"/>
      <c r="CS325" s="150"/>
      <c r="CT325" s="150"/>
      <c r="CU325" s="62"/>
      <c r="CV325" s="62"/>
      <c r="CW325" s="62"/>
      <c r="CX325" s="95"/>
      <c r="CY325" s="95"/>
      <c r="CZ325" s="95"/>
      <c r="DA325" s="95"/>
      <c r="DB325" s="95"/>
      <c r="DC325" s="95"/>
      <c r="DD325" s="95"/>
      <c r="DE325" s="95"/>
      <c r="DF325" s="95"/>
      <c r="DG325" s="42"/>
      <c r="DH325" s="42"/>
      <c r="DI325" s="42"/>
      <c r="DJ325" s="42"/>
      <c r="DK325" s="42"/>
      <c r="DL325" s="42"/>
      <c r="DM325" s="42"/>
      <c r="DN325" s="42"/>
      <c r="DO325" s="42"/>
    </row>
    <row r="326" spans="1:119" s="316" customFormat="1" ht="15" customHeight="1">
      <c r="A326" s="315" t="s">
        <v>154</v>
      </c>
      <c r="B326" s="42"/>
      <c r="C326" s="42"/>
      <c r="D326" s="42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314"/>
      <c r="W326" s="314"/>
      <c r="X326" s="314"/>
      <c r="Y326" s="314"/>
      <c r="Z326" s="314"/>
      <c r="AA326" s="314"/>
      <c r="AB326" s="314"/>
      <c r="AC326" s="314"/>
      <c r="AD326" s="97"/>
      <c r="AE326" s="97"/>
      <c r="AF326" s="97"/>
      <c r="AG326" s="97"/>
      <c r="AH326" s="97"/>
      <c r="AI326" s="97"/>
      <c r="AJ326" s="98"/>
      <c r="AK326" s="98"/>
      <c r="AL326" s="98"/>
      <c r="AM326" s="95">
        <v>7</v>
      </c>
      <c r="AN326" s="214">
        <v>6005</v>
      </c>
      <c r="AO326" s="214">
        <v>2042</v>
      </c>
      <c r="AP326" s="101">
        <v>7</v>
      </c>
      <c r="AQ326" s="101">
        <v>1813</v>
      </c>
      <c r="AR326" s="101">
        <v>1758</v>
      </c>
      <c r="AS326" s="165">
        <v>7</v>
      </c>
      <c r="AT326" s="165"/>
      <c r="AU326" s="165">
        <v>1914</v>
      </c>
      <c r="AV326" s="166">
        <v>7</v>
      </c>
      <c r="AW326" s="166">
        <v>1007</v>
      </c>
      <c r="AX326" s="166">
        <v>1820</v>
      </c>
      <c r="AY326" s="104">
        <v>7</v>
      </c>
      <c r="AZ326" s="104">
        <v>1335</v>
      </c>
      <c r="BA326" s="104">
        <v>1821</v>
      </c>
      <c r="BB326" s="105">
        <v>7</v>
      </c>
      <c r="BC326" s="105">
        <v>4243</v>
      </c>
      <c r="BD326" s="105">
        <v>1848</v>
      </c>
      <c r="BE326" s="172"/>
      <c r="BF326" s="172"/>
      <c r="BG326" s="172"/>
      <c r="BH326" s="108">
        <v>7</v>
      </c>
      <c r="BI326" s="108">
        <v>2962</v>
      </c>
      <c r="BJ326" s="108">
        <v>1951</v>
      </c>
      <c r="BK326" s="110">
        <v>7</v>
      </c>
      <c r="BL326" s="110"/>
      <c r="BM326" s="110">
        <v>1886</v>
      </c>
      <c r="BN326" s="175">
        <v>7</v>
      </c>
      <c r="BO326" s="175"/>
      <c r="BP326" s="175">
        <v>1982</v>
      </c>
      <c r="BQ326" s="52">
        <v>7</v>
      </c>
      <c r="BR326" s="52">
        <v>1500</v>
      </c>
      <c r="BS326" s="52">
        <v>2041</v>
      </c>
      <c r="BT326" s="54">
        <v>7</v>
      </c>
      <c r="BU326" s="54">
        <v>3000</v>
      </c>
      <c r="BV326" s="54">
        <v>2044</v>
      </c>
      <c r="BW326" s="55">
        <v>7</v>
      </c>
      <c r="BX326" s="55">
        <v>4500</v>
      </c>
      <c r="BY326" s="55">
        <v>1940</v>
      </c>
      <c r="BZ326" s="55"/>
      <c r="CA326" s="55"/>
      <c r="CB326" s="55"/>
      <c r="CC326" s="124">
        <v>7</v>
      </c>
      <c r="CD326" s="124">
        <v>2009</v>
      </c>
      <c r="CE326" s="124">
        <v>2014</v>
      </c>
      <c r="CF326" s="178">
        <v>7</v>
      </c>
      <c r="CG326" s="178">
        <v>798</v>
      </c>
      <c r="CH326" s="178">
        <v>1866</v>
      </c>
      <c r="CI326" s="57">
        <v>7</v>
      </c>
      <c r="CJ326" s="57">
        <v>1500</v>
      </c>
      <c r="CK326" s="57">
        <v>2013</v>
      </c>
      <c r="CL326" s="58">
        <v>7</v>
      </c>
      <c r="CM326" s="58">
        <v>1500</v>
      </c>
      <c r="CN326" s="58">
        <v>2035</v>
      </c>
      <c r="CO326" s="60">
        <v>6</v>
      </c>
      <c r="CP326" s="60">
        <v>2804</v>
      </c>
      <c r="CQ326" s="60">
        <v>1577</v>
      </c>
      <c r="CR326" s="314">
        <v>4</v>
      </c>
      <c r="CS326" s="314">
        <v>1331</v>
      </c>
      <c r="CT326" s="314">
        <f>53+1460-336</f>
        <v>1177</v>
      </c>
      <c r="CU326" s="314"/>
      <c r="CV326" s="314"/>
      <c r="CW326" s="314"/>
      <c r="CX326" s="314">
        <v>4</v>
      </c>
      <c r="CY326" s="314">
        <v>1500</v>
      </c>
      <c r="CZ326" s="314">
        <v>1184</v>
      </c>
      <c r="DA326" s="314">
        <v>4</v>
      </c>
      <c r="DB326" s="314">
        <v>3000</v>
      </c>
      <c r="DC326" s="314">
        <v>1175</v>
      </c>
      <c r="DD326" s="314">
        <v>4</v>
      </c>
      <c r="DE326" s="314">
        <v>1500</v>
      </c>
      <c r="DF326" s="314">
        <v>1181</v>
      </c>
      <c r="DG326" s="314">
        <v>4</v>
      </c>
      <c r="DH326" s="314"/>
      <c r="DI326" s="314">
        <v>1191</v>
      </c>
      <c r="DJ326" s="314">
        <v>4</v>
      </c>
      <c r="DK326" s="314"/>
      <c r="DL326" s="314">
        <v>1197</v>
      </c>
      <c r="DM326" s="314">
        <v>4</v>
      </c>
      <c r="DN326" s="314">
        <v>2670</v>
      </c>
      <c r="DO326" s="314">
        <v>1072</v>
      </c>
    </row>
    <row r="327" spans="1:119" s="16" customFormat="1" ht="15" customHeight="1">
      <c r="A327" s="90" t="s">
        <v>368</v>
      </c>
      <c r="B327" s="42"/>
      <c r="C327" s="42"/>
      <c r="D327" s="42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  <c r="AB327" s="145"/>
      <c r="AC327" s="145"/>
      <c r="AD327" s="97"/>
      <c r="AE327" s="97"/>
      <c r="AF327" s="97"/>
      <c r="AG327" s="97"/>
      <c r="AH327" s="97"/>
      <c r="AI327" s="97"/>
      <c r="AJ327" s="98"/>
      <c r="AK327" s="98"/>
      <c r="AL327" s="98"/>
      <c r="AM327" s="95">
        <v>3</v>
      </c>
      <c r="AN327" s="214"/>
      <c r="AO327" s="214">
        <v>703</v>
      </c>
      <c r="AP327" s="101">
        <v>4</v>
      </c>
      <c r="AQ327" s="101"/>
      <c r="AR327" s="101">
        <v>932</v>
      </c>
      <c r="AS327" s="165">
        <v>4</v>
      </c>
      <c r="AT327" s="165"/>
      <c r="AU327" s="165">
        <v>1003</v>
      </c>
      <c r="AV327" s="166">
        <v>4</v>
      </c>
      <c r="AW327" s="166"/>
      <c r="AX327" s="166">
        <v>1018</v>
      </c>
      <c r="AY327" s="104">
        <v>4</v>
      </c>
      <c r="AZ327" s="104"/>
      <c r="BA327" s="104">
        <v>986</v>
      </c>
      <c r="BB327" s="105">
        <v>4</v>
      </c>
      <c r="BC327" s="105">
        <v>1922</v>
      </c>
      <c r="BD327" s="105">
        <v>921</v>
      </c>
      <c r="BE327" s="172"/>
      <c r="BF327" s="172"/>
      <c r="BG327" s="172"/>
      <c r="BH327" s="108">
        <v>4</v>
      </c>
      <c r="BI327" s="108">
        <v>4012</v>
      </c>
      <c r="BJ327" s="108">
        <v>997</v>
      </c>
      <c r="BK327" s="110">
        <v>4</v>
      </c>
      <c r="BL327" s="110">
        <v>1500</v>
      </c>
      <c r="BM327" s="110">
        <v>972</v>
      </c>
      <c r="BN327" s="175">
        <v>4</v>
      </c>
      <c r="BO327" s="175"/>
      <c r="BP327" s="175">
        <v>1003</v>
      </c>
      <c r="BQ327" s="52">
        <v>4</v>
      </c>
      <c r="BR327" s="52">
        <v>565</v>
      </c>
      <c r="BS327" s="52">
        <v>991</v>
      </c>
      <c r="BT327" s="54">
        <v>4</v>
      </c>
      <c r="BU327" s="54"/>
      <c r="BV327" s="54">
        <v>997</v>
      </c>
      <c r="BW327" s="55">
        <v>4</v>
      </c>
      <c r="BX327" s="55">
        <v>2941</v>
      </c>
      <c r="BY327" s="55">
        <v>920</v>
      </c>
      <c r="BZ327" s="55"/>
      <c r="CA327" s="55"/>
      <c r="CB327" s="55"/>
      <c r="CC327" s="124">
        <v>4</v>
      </c>
      <c r="CD327" s="124"/>
      <c r="CE327" s="124">
        <v>971</v>
      </c>
      <c r="CF327" s="178">
        <v>4</v>
      </c>
      <c r="CG327" s="178"/>
      <c r="CH327" s="178">
        <v>949</v>
      </c>
      <c r="CI327" s="57">
        <v>4</v>
      </c>
      <c r="CJ327" s="57"/>
      <c r="CK327" s="57">
        <v>765</v>
      </c>
      <c r="CL327" s="58">
        <v>4</v>
      </c>
      <c r="CM327" s="58">
        <v>2248</v>
      </c>
      <c r="CN327" s="58">
        <v>742</v>
      </c>
      <c r="CO327" s="60">
        <v>4</v>
      </c>
      <c r="CP327" s="60"/>
      <c r="CQ327" s="60">
        <v>739</v>
      </c>
      <c r="CR327" s="150">
        <v>4</v>
      </c>
      <c r="CS327" s="150">
        <v>2000</v>
      </c>
      <c r="CT327" s="150">
        <v>505</v>
      </c>
      <c r="CU327" s="62"/>
      <c r="CV327" s="62"/>
      <c r="CW327" s="62"/>
      <c r="CX327" s="95">
        <v>4</v>
      </c>
      <c r="CY327" s="95"/>
      <c r="CZ327" s="95">
        <v>482</v>
      </c>
      <c r="DA327" s="95">
        <v>4</v>
      </c>
      <c r="DB327" s="95"/>
      <c r="DC327" s="95">
        <v>426</v>
      </c>
      <c r="DD327" s="95">
        <v>4</v>
      </c>
      <c r="DE327" s="95"/>
      <c r="DF327" s="95">
        <v>265</v>
      </c>
      <c r="DG327" s="42">
        <v>4</v>
      </c>
      <c r="DH327" s="42">
        <v>2039</v>
      </c>
      <c r="DI327" s="42">
        <v>431</v>
      </c>
      <c r="DJ327" s="42">
        <v>4</v>
      </c>
      <c r="DK327" s="42"/>
      <c r="DL327" s="42">
        <v>459</v>
      </c>
      <c r="DM327" s="42">
        <v>4</v>
      </c>
      <c r="DN327" s="42"/>
      <c r="DO327" s="42">
        <v>291</v>
      </c>
    </row>
    <row r="328" spans="1:119" s="16" customFormat="1" ht="15" customHeight="1">
      <c r="A328" s="90" t="s">
        <v>295</v>
      </c>
      <c r="B328" s="42"/>
      <c r="C328" s="42"/>
      <c r="D328" s="42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  <c r="AB328" s="145"/>
      <c r="AC328" s="145"/>
      <c r="AD328" s="97"/>
      <c r="AE328" s="97"/>
      <c r="AF328" s="97"/>
      <c r="AG328" s="97"/>
      <c r="AH328" s="97"/>
      <c r="AI328" s="97"/>
      <c r="AJ328" s="98"/>
      <c r="AK328" s="98"/>
      <c r="AL328" s="98"/>
      <c r="AM328" s="95">
        <v>1</v>
      </c>
      <c r="AN328" s="214">
        <v>781</v>
      </c>
      <c r="AO328" s="214">
        <v>128</v>
      </c>
      <c r="AP328" s="101"/>
      <c r="AQ328" s="101">
        <v>104</v>
      </c>
      <c r="AR328" s="101"/>
      <c r="AS328" s="165"/>
      <c r="AT328" s="165"/>
      <c r="AU328" s="165"/>
      <c r="AV328" s="166"/>
      <c r="AW328" s="166"/>
      <c r="AX328" s="166"/>
      <c r="AY328" s="104"/>
      <c r="AZ328" s="104"/>
      <c r="BA328" s="104"/>
      <c r="BB328" s="105"/>
      <c r="BC328" s="105"/>
      <c r="BD328" s="105"/>
      <c r="BE328" s="172"/>
      <c r="BF328" s="172"/>
      <c r="BG328" s="172"/>
      <c r="BH328" s="108"/>
      <c r="BI328" s="108"/>
      <c r="BJ328" s="108"/>
      <c r="BK328" s="110"/>
      <c r="BL328" s="110"/>
      <c r="BM328" s="110"/>
      <c r="BN328" s="175"/>
      <c r="BO328" s="175"/>
      <c r="BP328" s="175"/>
      <c r="BQ328" s="52"/>
      <c r="BR328" s="52"/>
      <c r="BS328" s="52"/>
      <c r="BT328" s="54"/>
      <c r="BU328" s="54"/>
      <c r="BV328" s="54"/>
      <c r="BW328" s="55"/>
      <c r="BX328" s="55"/>
      <c r="BY328" s="55"/>
      <c r="BZ328" s="55"/>
      <c r="CA328" s="55"/>
      <c r="CB328" s="55"/>
      <c r="CC328" s="124"/>
      <c r="CD328" s="124"/>
      <c r="CE328" s="124"/>
      <c r="CF328" s="178"/>
      <c r="CG328" s="178"/>
      <c r="CH328" s="178"/>
      <c r="CI328" s="57"/>
      <c r="CJ328" s="57"/>
      <c r="CK328" s="57"/>
      <c r="CL328" s="58"/>
      <c r="CM328" s="58"/>
      <c r="CN328" s="58"/>
      <c r="CO328" s="60"/>
      <c r="CP328" s="60"/>
      <c r="CQ328" s="60"/>
      <c r="CR328" s="150"/>
      <c r="CS328" s="150"/>
      <c r="CT328" s="150"/>
      <c r="CU328" s="62"/>
      <c r="CV328" s="62"/>
      <c r="CW328" s="62"/>
      <c r="CX328" s="95"/>
      <c r="CY328" s="95"/>
      <c r="CZ328" s="95"/>
      <c r="DA328" s="95"/>
      <c r="DB328" s="95"/>
      <c r="DC328" s="95"/>
      <c r="DD328" s="95"/>
      <c r="DE328" s="95"/>
      <c r="DF328" s="95"/>
      <c r="DG328" s="42"/>
      <c r="DH328" s="42"/>
      <c r="DI328" s="42"/>
      <c r="DJ328" s="42"/>
      <c r="DK328" s="42"/>
      <c r="DL328" s="42"/>
      <c r="DM328" s="42"/>
      <c r="DN328" s="42"/>
      <c r="DO328" s="42"/>
    </row>
    <row r="329" spans="1:119" s="16" customFormat="1" ht="15" customHeight="1">
      <c r="A329" s="90" t="s">
        <v>383</v>
      </c>
      <c r="B329" s="42"/>
      <c r="C329" s="42"/>
      <c r="D329" s="42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  <c r="AB329" s="145"/>
      <c r="AC329" s="145"/>
      <c r="AD329" s="97"/>
      <c r="AE329" s="97"/>
      <c r="AF329" s="97"/>
      <c r="AG329" s="97"/>
      <c r="AH329" s="97"/>
      <c r="AI329" s="97"/>
      <c r="AJ329" s="98"/>
      <c r="AK329" s="98"/>
      <c r="AL329" s="98"/>
      <c r="AM329" s="95"/>
      <c r="AN329" s="214"/>
      <c r="AO329" s="214"/>
      <c r="AP329" s="101"/>
      <c r="AQ329" s="101"/>
      <c r="AR329" s="101"/>
      <c r="AS329" s="165"/>
      <c r="AT329" s="165"/>
      <c r="AU329" s="165"/>
      <c r="AV329" s="166"/>
      <c r="AW329" s="166"/>
      <c r="AX329" s="166"/>
      <c r="AY329" s="104"/>
      <c r="AZ329" s="104"/>
      <c r="BA329" s="104"/>
      <c r="BB329" s="105"/>
      <c r="BC329" s="105"/>
      <c r="BD329" s="105"/>
      <c r="BE329" s="172"/>
      <c r="BF329" s="172"/>
      <c r="BG329" s="172"/>
      <c r="BH329" s="108"/>
      <c r="BI329" s="108"/>
      <c r="BJ329" s="108"/>
      <c r="BK329" s="110"/>
      <c r="BL329" s="110"/>
      <c r="BM329" s="110"/>
      <c r="BN329" s="175"/>
      <c r="BO329" s="175"/>
      <c r="BP329" s="175"/>
      <c r="BQ329" s="52"/>
      <c r="BR329" s="52"/>
      <c r="BS329" s="52"/>
      <c r="BT329" s="54"/>
      <c r="BU329" s="54"/>
      <c r="BV329" s="54"/>
      <c r="BW329" s="55"/>
      <c r="BX329" s="55"/>
      <c r="BY329" s="55"/>
      <c r="BZ329" s="55"/>
      <c r="CA329" s="55"/>
      <c r="CB329" s="55"/>
      <c r="CC329" s="124"/>
      <c r="CD329" s="124"/>
      <c r="CE329" s="124"/>
      <c r="CF329" s="178">
        <v>1</v>
      </c>
      <c r="CG329" s="178"/>
      <c r="CH329" s="178"/>
      <c r="CI329" s="57">
        <v>1</v>
      </c>
      <c r="CJ329" s="57"/>
      <c r="CK329" s="57">
        <v>140</v>
      </c>
      <c r="CL329" s="58">
        <v>1</v>
      </c>
      <c r="CM329" s="58"/>
      <c r="CN329" s="58">
        <v>251</v>
      </c>
      <c r="CO329" s="60">
        <v>1</v>
      </c>
      <c r="CP329" s="60"/>
      <c r="CQ329" s="60">
        <v>259</v>
      </c>
      <c r="CR329" s="150">
        <v>1</v>
      </c>
      <c r="CS329" s="150">
        <v>674</v>
      </c>
      <c r="CT329" s="150">
        <v>225</v>
      </c>
      <c r="CU329" s="62"/>
      <c r="CV329" s="62"/>
      <c r="CW329" s="62"/>
      <c r="CX329" s="95">
        <v>1</v>
      </c>
      <c r="CY329" s="95"/>
      <c r="CZ329" s="95">
        <v>201</v>
      </c>
      <c r="DA329" s="95">
        <v>1</v>
      </c>
      <c r="DB329" s="95"/>
      <c r="DC329" s="95">
        <v>206</v>
      </c>
      <c r="DD329" s="95">
        <v>1</v>
      </c>
      <c r="DE329" s="95"/>
      <c r="DF329" s="95"/>
      <c r="DG329" s="42">
        <v>1</v>
      </c>
      <c r="DH329" s="42">
        <v>608</v>
      </c>
      <c r="DI329" s="42"/>
      <c r="DJ329" s="42">
        <v>1</v>
      </c>
      <c r="DK329" s="42"/>
      <c r="DL329" s="42">
        <v>272</v>
      </c>
      <c r="DM329" s="42">
        <v>1</v>
      </c>
      <c r="DN329" s="42"/>
      <c r="DO329" s="42">
        <v>259</v>
      </c>
    </row>
    <row r="330" spans="1:119" s="16" customFormat="1" ht="15" customHeight="1">
      <c r="A330" s="90" t="s">
        <v>369</v>
      </c>
      <c r="B330" s="42"/>
      <c r="C330" s="42"/>
      <c r="D330" s="42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  <c r="AB330" s="145"/>
      <c r="AC330" s="145"/>
      <c r="AD330" s="97"/>
      <c r="AE330" s="97"/>
      <c r="AF330" s="97"/>
      <c r="AG330" s="97"/>
      <c r="AH330" s="97"/>
      <c r="AI330" s="97"/>
      <c r="AJ330" s="98"/>
      <c r="AK330" s="98"/>
      <c r="AL330" s="98"/>
      <c r="AM330" s="95">
        <v>1</v>
      </c>
      <c r="AN330" s="285">
        <v>402</v>
      </c>
      <c r="AO330" s="285">
        <v>206</v>
      </c>
      <c r="AP330" s="101">
        <v>3</v>
      </c>
      <c r="AQ330" s="101"/>
      <c r="AR330" s="101">
        <v>864</v>
      </c>
      <c r="AS330" s="165">
        <v>4</v>
      </c>
      <c r="AT330" s="165"/>
      <c r="AU330" s="165">
        <v>1485</v>
      </c>
      <c r="AV330" s="166">
        <v>4</v>
      </c>
      <c r="AW330" s="166">
        <v>2407</v>
      </c>
      <c r="AX330" s="166">
        <v>1501</v>
      </c>
      <c r="AY330" s="104">
        <v>4</v>
      </c>
      <c r="AZ330" s="104">
        <v>998</v>
      </c>
      <c r="BA330" s="104">
        <v>1645</v>
      </c>
      <c r="BB330" s="105">
        <v>4</v>
      </c>
      <c r="BC330" s="105">
        <v>2000</v>
      </c>
      <c r="BD330" s="105">
        <v>1648</v>
      </c>
      <c r="BE330" s="105"/>
      <c r="BF330" s="172"/>
      <c r="BG330" s="172"/>
      <c r="BH330" s="108">
        <v>4</v>
      </c>
      <c r="BI330" s="108">
        <v>1534</v>
      </c>
      <c r="BJ330" s="108">
        <v>1642</v>
      </c>
      <c r="BK330" s="110">
        <v>4</v>
      </c>
      <c r="BL330" s="110"/>
      <c r="BM330" s="110">
        <v>1628</v>
      </c>
      <c r="BN330" s="175">
        <v>4</v>
      </c>
      <c r="BO330" s="175">
        <v>3973</v>
      </c>
      <c r="BP330" s="175">
        <v>1575</v>
      </c>
      <c r="BQ330" s="52">
        <v>4</v>
      </c>
      <c r="BR330" s="52"/>
      <c r="BS330" s="52">
        <v>1643</v>
      </c>
      <c r="BT330" s="54">
        <v>4</v>
      </c>
      <c r="BU330" s="54">
        <v>3259</v>
      </c>
      <c r="BV330" s="54">
        <v>1564</v>
      </c>
      <c r="BW330" s="55">
        <v>6</v>
      </c>
      <c r="BX330" s="55"/>
      <c r="BY330" s="55">
        <v>2048</v>
      </c>
      <c r="BZ330" s="55"/>
      <c r="CA330" s="55"/>
      <c r="CB330" s="55"/>
      <c r="CC330" s="124">
        <v>8</v>
      </c>
      <c r="CD330" s="124">
        <v>3164</v>
      </c>
      <c r="CE330" s="124">
        <v>3073</v>
      </c>
      <c r="CF330" s="178">
        <v>8</v>
      </c>
      <c r="CG330" s="178">
        <v>2730</v>
      </c>
      <c r="CH330" s="178">
        <v>3173</v>
      </c>
      <c r="CI330" s="57">
        <v>8</v>
      </c>
      <c r="CJ330" s="57">
        <v>3000</v>
      </c>
      <c r="CK330" s="57">
        <v>3198</v>
      </c>
      <c r="CL330" s="58">
        <v>8</v>
      </c>
      <c r="CM330" s="58">
        <v>3000</v>
      </c>
      <c r="CN330" s="58">
        <v>3202</v>
      </c>
      <c r="CO330" s="60">
        <v>8</v>
      </c>
      <c r="CP330" s="60">
        <v>3444</v>
      </c>
      <c r="CQ330" s="60">
        <v>2852</v>
      </c>
      <c r="CR330" s="150">
        <v>8</v>
      </c>
      <c r="CS330" s="150">
        <v>1660</v>
      </c>
      <c r="CT330" s="150">
        <v>2659</v>
      </c>
      <c r="CU330" s="62"/>
      <c r="CV330" s="62"/>
      <c r="CW330" s="62"/>
      <c r="CX330" s="95">
        <v>8</v>
      </c>
      <c r="CY330" s="95">
        <v>4006</v>
      </c>
      <c r="CZ330" s="95">
        <v>2508</v>
      </c>
      <c r="DA330" s="95">
        <v>8</v>
      </c>
      <c r="DB330" s="95">
        <v>1371</v>
      </c>
      <c r="DC330" s="95">
        <v>2632</v>
      </c>
      <c r="DD330" s="95">
        <v>7</v>
      </c>
      <c r="DE330" s="95">
        <f>609+3009</f>
        <v>3618</v>
      </c>
      <c r="DF330" s="95">
        <v>2305</v>
      </c>
      <c r="DG330" s="42">
        <v>8</v>
      </c>
      <c r="DH330" s="42">
        <v>1558</v>
      </c>
      <c r="DI330" s="42">
        <v>3027</v>
      </c>
      <c r="DJ330" s="42">
        <v>8</v>
      </c>
      <c r="DK330" s="42">
        <v>3108</v>
      </c>
      <c r="DL330" s="42">
        <v>3187</v>
      </c>
      <c r="DM330" s="42">
        <v>8</v>
      </c>
      <c r="DN330" s="42">
        <v>4532</v>
      </c>
      <c r="DO330" s="42">
        <v>2864</v>
      </c>
    </row>
    <row r="331" spans="1:119" s="16" customFormat="1" ht="15" customHeight="1">
      <c r="A331" s="90" t="s">
        <v>377</v>
      </c>
      <c r="B331" s="42"/>
      <c r="C331" s="42"/>
      <c r="D331" s="42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  <c r="AB331" s="145"/>
      <c r="AC331" s="145"/>
      <c r="AD331" s="97"/>
      <c r="AE331" s="97"/>
      <c r="AF331" s="97"/>
      <c r="AG331" s="97"/>
      <c r="AH331" s="97"/>
      <c r="AI331" s="97"/>
      <c r="AJ331" s="98"/>
      <c r="AK331" s="98"/>
      <c r="AL331" s="98"/>
      <c r="AM331" s="95"/>
      <c r="AN331" s="285"/>
      <c r="AO331" s="285"/>
      <c r="AP331" s="101"/>
      <c r="AQ331" s="101"/>
      <c r="AR331" s="101"/>
      <c r="AS331" s="165"/>
      <c r="AT331" s="165"/>
      <c r="AU331" s="165"/>
      <c r="AV331" s="166">
        <v>1</v>
      </c>
      <c r="AW331" s="166"/>
      <c r="AX331" s="166">
        <v>243</v>
      </c>
      <c r="AY331" s="104">
        <v>1</v>
      </c>
      <c r="AZ331" s="104">
        <v>501</v>
      </c>
      <c r="BA331" s="104">
        <v>375</v>
      </c>
      <c r="BB331" s="105">
        <v>1</v>
      </c>
      <c r="BC331" s="105"/>
      <c r="BD331" s="105">
        <v>366</v>
      </c>
      <c r="BE331" s="105"/>
      <c r="BF331" s="172"/>
      <c r="BG331" s="172"/>
      <c r="BH331" s="108">
        <v>1</v>
      </c>
      <c r="BI331" s="108"/>
      <c r="BJ331" s="108">
        <v>385</v>
      </c>
      <c r="BK331" s="110">
        <v>1</v>
      </c>
      <c r="BL331" s="110">
        <v>914</v>
      </c>
      <c r="BM331" s="110">
        <v>382</v>
      </c>
      <c r="BN331" s="175">
        <v>1</v>
      </c>
      <c r="BO331" s="175"/>
      <c r="BP331" s="175">
        <v>387</v>
      </c>
      <c r="BQ331" s="52">
        <v>1</v>
      </c>
      <c r="BR331" s="52"/>
      <c r="BS331" s="52">
        <v>392</v>
      </c>
      <c r="BT331" s="54">
        <v>2</v>
      </c>
      <c r="BU331" s="54">
        <v>1500</v>
      </c>
      <c r="BV331" s="54">
        <v>683</v>
      </c>
      <c r="BW331" s="55">
        <v>2</v>
      </c>
      <c r="BX331" s="55">
        <v>377</v>
      </c>
      <c r="BY331" s="55">
        <v>781</v>
      </c>
      <c r="BZ331" s="55"/>
      <c r="CA331" s="55"/>
      <c r="CB331" s="55"/>
      <c r="CC331" s="124">
        <v>2</v>
      </c>
      <c r="CD331" s="124"/>
      <c r="CE331" s="124">
        <v>846</v>
      </c>
      <c r="CF331" s="178">
        <v>2</v>
      </c>
      <c r="CG331" s="178"/>
      <c r="CH331" s="178">
        <v>806</v>
      </c>
      <c r="CI331" s="57">
        <v>2</v>
      </c>
      <c r="CJ331" s="57">
        <v>2910</v>
      </c>
      <c r="CK331" s="57">
        <v>654</v>
      </c>
      <c r="CL331" s="58">
        <v>1</v>
      </c>
      <c r="CM331" s="58"/>
      <c r="CN331" s="58">
        <v>397</v>
      </c>
      <c r="CO331" s="60">
        <v>1</v>
      </c>
      <c r="CP331" s="60"/>
      <c r="CQ331" s="60">
        <v>428</v>
      </c>
      <c r="CR331" s="150">
        <v>1</v>
      </c>
      <c r="CS331" s="150"/>
      <c r="CT331" s="150">
        <v>410</v>
      </c>
      <c r="CU331" s="62"/>
      <c r="CV331" s="62"/>
      <c r="CW331" s="62"/>
      <c r="CX331" s="95">
        <v>1</v>
      </c>
      <c r="CY331" s="95">
        <v>1560</v>
      </c>
      <c r="CZ331" s="95">
        <v>365</v>
      </c>
      <c r="DA331" s="95">
        <v>1</v>
      </c>
      <c r="DB331" s="95"/>
      <c r="DC331" s="95">
        <v>364</v>
      </c>
      <c r="DD331" s="95">
        <v>1</v>
      </c>
      <c r="DE331" s="95">
        <v>790</v>
      </c>
      <c r="DF331" s="95">
        <v>335</v>
      </c>
      <c r="DG331" s="42">
        <v>1</v>
      </c>
      <c r="DH331" s="42">
        <v>160</v>
      </c>
      <c r="DI331" s="42">
        <v>113</v>
      </c>
      <c r="DJ331" s="42"/>
      <c r="DK331" s="42"/>
      <c r="DL331" s="42"/>
      <c r="DM331" s="42"/>
      <c r="DN331" s="42"/>
      <c r="DO331" s="42"/>
    </row>
    <row r="332" spans="1:119" s="16" customFormat="1" ht="15" customHeight="1">
      <c r="A332" s="90" t="s">
        <v>378</v>
      </c>
      <c r="B332" s="42"/>
      <c r="C332" s="42"/>
      <c r="D332" s="42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  <c r="AB332" s="145"/>
      <c r="AC332" s="145"/>
      <c r="AD332" s="97"/>
      <c r="AE332" s="97"/>
      <c r="AF332" s="97"/>
      <c r="AG332" s="97"/>
      <c r="AH332" s="97"/>
      <c r="AI332" s="97"/>
      <c r="AJ332" s="98"/>
      <c r="AK332" s="98"/>
      <c r="AL332" s="98"/>
      <c r="AM332" s="95"/>
      <c r="AN332" s="285"/>
      <c r="AO332" s="285"/>
      <c r="AP332" s="101"/>
      <c r="AQ332" s="101"/>
      <c r="AR332" s="101"/>
      <c r="AS332" s="165">
        <v>2</v>
      </c>
      <c r="AT332" s="165"/>
      <c r="AU332" s="165">
        <v>360</v>
      </c>
      <c r="AV332" s="166">
        <v>2</v>
      </c>
      <c r="AW332" s="166"/>
      <c r="AX332" s="166">
        <v>519</v>
      </c>
      <c r="AY332" s="104">
        <v>2</v>
      </c>
      <c r="AZ332" s="104">
        <v>481</v>
      </c>
      <c r="BA332" s="104">
        <v>374</v>
      </c>
      <c r="BB332" s="105">
        <v>2</v>
      </c>
      <c r="BC332" s="105">
        <v>767</v>
      </c>
      <c r="BD332" s="105">
        <v>418</v>
      </c>
      <c r="BE332" s="105"/>
      <c r="BF332" s="172"/>
      <c r="BG332" s="172"/>
      <c r="BH332" s="108">
        <v>2</v>
      </c>
      <c r="BI332" s="108"/>
      <c r="BJ332" s="108">
        <v>605</v>
      </c>
      <c r="BK332" s="110">
        <v>2</v>
      </c>
      <c r="BL332" s="110"/>
      <c r="BM332" s="110">
        <v>600</v>
      </c>
      <c r="BN332" s="175">
        <v>2</v>
      </c>
      <c r="BO332" s="175">
        <v>2000</v>
      </c>
      <c r="BP332" s="175">
        <v>605</v>
      </c>
      <c r="BQ332" s="52">
        <v>2</v>
      </c>
      <c r="BR332" s="52"/>
      <c r="BS332" s="52">
        <v>606</v>
      </c>
      <c r="BT332" s="54">
        <v>2</v>
      </c>
      <c r="BU332" s="54"/>
      <c r="BV332" s="54">
        <v>611</v>
      </c>
      <c r="BW332" s="55">
        <v>2</v>
      </c>
      <c r="BX332" s="55">
        <v>1000</v>
      </c>
      <c r="BY332" s="55">
        <v>583</v>
      </c>
      <c r="BZ332" s="55"/>
      <c r="CA332" s="55"/>
      <c r="CB332" s="55"/>
      <c r="CC332" s="124">
        <v>2</v>
      </c>
      <c r="CD332" s="124">
        <v>1149</v>
      </c>
      <c r="CE332" s="124">
        <v>594</v>
      </c>
      <c r="CF332" s="178">
        <v>2</v>
      </c>
      <c r="CG332" s="178"/>
      <c r="CH332" s="178">
        <v>595</v>
      </c>
      <c r="CI332" s="57">
        <v>2</v>
      </c>
      <c r="CJ332" s="57"/>
      <c r="CK332" s="57">
        <v>608</v>
      </c>
      <c r="CL332" s="58">
        <v>2</v>
      </c>
      <c r="CM332" s="58">
        <v>2000</v>
      </c>
      <c r="CN332" s="58">
        <v>608</v>
      </c>
      <c r="CO332" s="60">
        <v>2</v>
      </c>
      <c r="CP332" s="60"/>
      <c r="CQ332" s="60">
        <v>604</v>
      </c>
      <c r="CR332" s="150">
        <v>2</v>
      </c>
      <c r="CS332" s="150"/>
      <c r="CT332" s="150">
        <v>583</v>
      </c>
      <c r="CU332" s="62"/>
      <c r="CV332" s="62"/>
      <c r="CW332" s="62"/>
      <c r="CX332" s="95">
        <v>2</v>
      </c>
      <c r="CY332" s="95">
        <v>1000</v>
      </c>
      <c r="CZ332" s="95">
        <v>615</v>
      </c>
      <c r="DA332" s="95">
        <v>2</v>
      </c>
      <c r="DB332" s="95">
        <v>1000</v>
      </c>
      <c r="DC332" s="95">
        <v>605</v>
      </c>
      <c r="DD332" s="95">
        <v>2</v>
      </c>
      <c r="DE332" s="95">
        <v>0</v>
      </c>
      <c r="DF332" s="95">
        <v>611</v>
      </c>
      <c r="DG332" s="42">
        <v>2</v>
      </c>
      <c r="DH332" s="42">
        <v>1000</v>
      </c>
      <c r="DI332" s="42">
        <v>612</v>
      </c>
      <c r="DJ332" s="42">
        <v>2</v>
      </c>
      <c r="DK332" s="42">
        <v>910</v>
      </c>
      <c r="DL332" s="42">
        <v>592</v>
      </c>
      <c r="DM332" s="42">
        <v>2</v>
      </c>
      <c r="DN332" s="42">
        <v>379</v>
      </c>
      <c r="DO332" s="42">
        <v>535</v>
      </c>
    </row>
    <row r="333" spans="1:119" s="16" customFormat="1" ht="15" customHeight="1">
      <c r="A333" s="90" t="s">
        <v>379</v>
      </c>
      <c r="B333" s="42"/>
      <c r="C333" s="42"/>
      <c r="D333" s="42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  <c r="AB333" s="145"/>
      <c r="AC333" s="145"/>
      <c r="AD333" s="97"/>
      <c r="AE333" s="97"/>
      <c r="AF333" s="97"/>
      <c r="AG333" s="97"/>
      <c r="AH333" s="97"/>
      <c r="AI333" s="97"/>
      <c r="AJ333" s="98"/>
      <c r="AK333" s="98"/>
      <c r="AL333" s="98"/>
      <c r="AM333" s="95"/>
      <c r="AN333" s="285"/>
      <c r="AO333" s="285"/>
      <c r="AP333" s="101"/>
      <c r="AQ333" s="101"/>
      <c r="AR333" s="101"/>
      <c r="AS333" s="165"/>
      <c r="AT333" s="165"/>
      <c r="AU333" s="165"/>
      <c r="AV333" s="166"/>
      <c r="AW333" s="166"/>
      <c r="AX333" s="166"/>
      <c r="AY333" s="104"/>
      <c r="AZ333" s="104"/>
      <c r="BA333" s="104"/>
      <c r="BB333" s="105"/>
      <c r="BC333" s="105"/>
      <c r="BD333" s="105"/>
      <c r="BE333" s="105"/>
      <c r="BF333" s="172"/>
      <c r="BG333" s="172"/>
      <c r="BH333" s="108"/>
      <c r="BI333" s="108"/>
      <c r="BJ333" s="108"/>
      <c r="BK333" s="110"/>
      <c r="BL333" s="110"/>
      <c r="BM333" s="110"/>
      <c r="BN333" s="175"/>
      <c r="BO333" s="175"/>
      <c r="BP333" s="175"/>
      <c r="BQ333" s="52">
        <v>1</v>
      </c>
      <c r="BR333" s="52"/>
      <c r="BS333" s="52">
        <v>415</v>
      </c>
      <c r="BT333" s="54">
        <v>1</v>
      </c>
      <c r="BU333" s="54">
        <v>500</v>
      </c>
      <c r="BV333" s="54">
        <v>574</v>
      </c>
      <c r="BW333" s="55">
        <v>7</v>
      </c>
      <c r="BX333" s="55">
        <v>800</v>
      </c>
      <c r="BY333" s="55">
        <v>1787</v>
      </c>
      <c r="BZ333" s="55"/>
      <c r="CA333" s="55"/>
      <c r="CB333" s="55"/>
      <c r="CC333" s="124">
        <v>12</v>
      </c>
      <c r="CD333" s="124">
        <v>2322</v>
      </c>
      <c r="CE333" s="124">
        <v>2717</v>
      </c>
      <c r="CF333" s="178">
        <v>12</v>
      </c>
      <c r="CG333" s="178">
        <v>1601</v>
      </c>
      <c r="CH333" s="178">
        <v>3654</v>
      </c>
      <c r="CI333" s="57">
        <v>21</v>
      </c>
      <c r="CJ333" s="57">
        <v>5301</v>
      </c>
      <c r="CK333" s="57">
        <v>5523</v>
      </c>
      <c r="CL333" s="58">
        <v>24</v>
      </c>
      <c r="CM333" s="58">
        <v>6910</v>
      </c>
      <c r="CN333" s="58">
        <v>8262</v>
      </c>
      <c r="CO333" s="60">
        <v>27</v>
      </c>
      <c r="CP333" s="60">
        <v>7844</v>
      </c>
      <c r="CQ333" s="60">
        <v>11916</v>
      </c>
      <c r="CR333" s="150">
        <v>32</v>
      </c>
      <c r="CS333" s="150">
        <v>14803</v>
      </c>
      <c r="CT333" s="150">
        <v>14517</v>
      </c>
      <c r="CU333" s="62"/>
      <c r="CV333" s="62"/>
      <c r="CW333" s="62"/>
      <c r="CX333" s="95">
        <v>32</v>
      </c>
      <c r="CY333" s="95">
        <v>15952</v>
      </c>
      <c r="CZ333" s="95">
        <v>15022</v>
      </c>
      <c r="DA333" s="95">
        <v>32</v>
      </c>
      <c r="DB333" s="95">
        <v>12513</v>
      </c>
      <c r="DC333" s="95">
        <v>15656</v>
      </c>
      <c r="DD333" s="95">
        <v>32</v>
      </c>
      <c r="DE333" s="95">
        <v>16363</v>
      </c>
      <c r="DF333" s="95">
        <v>12063</v>
      </c>
      <c r="DG333" s="42">
        <v>32</v>
      </c>
      <c r="DH333" s="42">
        <v>7742</v>
      </c>
      <c r="DI333" s="42">
        <v>2548</v>
      </c>
      <c r="DJ333" s="42">
        <v>32</v>
      </c>
      <c r="DK333" s="42"/>
      <c r="DL333" s="42">
        <v>119</v>
      </c>
      <c r="DM333" s="42">
        <v>32</v>
      </c>
      <c r="DN333" s="42"/>
      <c r="DO333" s="42"/>
    </row>
    <row r="334" spans="1:119" s="16" customFormat="1" ht="15" customHeight="1">
      <c r="A334" s="90" t="s">
        <v>158</v>
      </c>
      <c r="B334" s="42"/>
      <c r="C334" s="42"/>
      <c r="D334" s="42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  <c r="AB334" s="145"/>
      <c r="AC334" s="145"/>
      <c r="AD334" s="97"/>
      <c r="AE334" s="97"/>
      <c r="AF334" s="97"/>
      <c r="AG334" s="97"/>
      <c r="AH334" s="97"/>
      <c r="AI334" s="97"/>
      <c r="AJ334" s="98"/>
      <c r="AK334" s="98"/>
      <c r="AL334" s="98"/>
      <c r="AM334" s="95"/>
      <c r="AN334" s="285"/>
      <c r="AO334" s="285"/>
      <c r="AP334" s="101"/>
      <c r="AQ334" s="101"/>
      <c r="AR334" s="101"/>
      <c r="AS334" s="165"/>
      <c r="AT334" s="165"/>
      <c r="AU334" s="165"/>
      <c r="AV334" s="166"/>
      <c r="AW334" s="166"/>
      <c r="AX334" s="166"/>
      <c r="AY334" s="104"/>
      <c r="AZ334" s="104"/>
      <c r="BA334" s="104"/>
      <c r="BB334" s="105"/>
      <c r="BC334" s="105"/>
      <c r="BD334" s="105"/>
      <c r="BE334" s="105"/>
      <c r="BF334" s="172"/>
      <c r="BG334" s="172"/>
      <c r="BH334" s="108"/>
      <c r="BI334" s="108"/>
      <c r="BJ334" s="108"/>
      <c r="BK334" s="110"/>
      <c r="BL334" s="110"/>
      <c r="BM334" s="110"/>
      <c r="BN334" s="175"/>
      <c r="BO334" s="175"/>
      <c r="BP334" s="175"/>
      <c r="BQ334" s="52"/>
      <c r="BR334" s="52"/>
      <c r="BS334" s="52"/>
      <c r="BT334" s="54"/>
      <c r="BU334" s="54"/>
      <c r="BV334" s="54"/>
      <c r="BW334" s="55"/>
      <c r="BX334" s="55"/>
      <c r="BY334" s="55"/>
      <c r="BZ334" s="55"/>
      <c r="CA334" s="55"/>
      <c r="CB334" s="55"/>
      <c r="CC334" s="124">
        <v>5</v>
      </c>
      <c r="CD334" s="124"/>
      <c r="CE334" s="124">
        <v>1186</v>
      </c>
      <c r="CF334" s="178">
        <v>5</v>
      </c>
      <c r="CG334" s="178"/>
      <c r="CH334" s="178">
        <v>1423</v>
      </c>
      <c r="CI334" s="57">
        <v>5</v>
      </c>
      <c r="CJ334" s="57"/>
      <c r="CK334" s="57">
        <v>1443</v>
      </c>
      <c r="CL334" s="58">
        <v>5</v>
      </c>
      <c r="CM334" s="58">
        <v>859</v>
      </c>
      <c r="CN334" s="58">
        <v>1430</v>
      </c>
      <c r="CO334" s="60">
        <v>5</v>
      </c>
      <c r="CP334" s="60"/>
      <c r="CQ334" s="60">
        <v>1396</v>
      </c>
      <c r="CR334" s="150">
        <v>5</v>
      </c>
      <c r="CS334" s="150">
        <v>2980</v>
      </c>
      <c r="CT334" s="150">
        <v>1301</v>
      </c>
      <c r="CU334" s="62"/>
      <c r="CV334" s="62"/>
      <c r="CW334" s="62"/>
      <c r="CX334" s="95">
        <v>5</v>
      </c>
      <c r="CY334" s="95">
        <v>4459</v>
      </c>
      <c r="CZ334" s="95">
        <v>1397</v>
      </c>
      <c r="DA334" s="95">
        <v>5</v>
      </c>
      <c r="DB334" s="95"/>
      <c r="DC334" s="95">
        <v>1399</v>
      </c>
      <c r="DD334" s="95">
        <v>5</v>
      </c>
      <c r="DE334" s="95">
        <v>900</v>
      </c>
      <c r="DF334" s="95">
        <v>1431</v>
      </c>
      <c r="DG334" s="42">
        <v>5</v>
      </c>
      <c r="DH334" s="42">
        <v>2800</v>
      </c>
      <c r="DI334" s="42">
        <v>1444</v>
      </c>
      <c r="DJ334" s="42">
        <v>5</v>
      </c>
      <c r="DK334" s="42"/>
      <c r="DL334" s="42">
        <v>1448</v>
      </c>
      <c r="DM334" s="42">
        <v>5</v>
      </c>
      <c r="DN334" s="42">
        <v>900</v>
      </c>
      <c r="DO334" s="42">
        <v>1323</v>
      </c>
    </row>
    <row r="335" spans="1:119" s="16" customFormat="1" ht="15" customHeight="1">
      <c r="A335" s="90" t="s">
        <v>161</v>
      </c>
      <c r="B335" s="42"/>
      <c r="C335" s="42"/>
      <c r="D335" s="42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  <c r="AB335" s="145"/>
      <c r="AC335" s="145"/>
      <c r="AD335" s="97"/>
      <c r="AE335" s="97"/>
      <c r="AF335" s="97"/>
      <c r="AG335" s="97"/>
      <c r="AH335" s="97"/>
      <c r="AI335" s="97"/>
      <c r="AJ335" s="98"/>
      <c r="AK335" s="98"/>
      <c r="AL335" s="98"/>
      <c r="AM335" s="95">
        <v>1</v>
      </c>
      <c r="AN335" s="40"/>
      <c r="AO335" s="40"/>
      <c r="AP335" s="101">
        <v>1</v>
      </c>
      <c r="AQ335" s="101"/>
      <c r="AR335" s="101"/>
      <c r="AS335" s="165">
        <v>1</v>
      </c>
      <c r="AT335" s="165"/>
      <c r="AU335" s="165"/>
      <c r="AV335" s="166">
        <v>1</v>
      </c>
      <c r="AW335" s="166"/>
      <c r="AX335" s="166"/>
      <c r="AY335" s="104">
        <v>1</v>
      </c>
      <c r="AZ335" s="104"/>
      <c r="BA335" s="104"/>
      <c r="BB335" s="105">
        <v>1</v>
      </c>
      <c r="BC335" s="105"/>
      <c r="BD335" s="105"/>
      <c r="BE335" s="105"/>
      <c r="BF335" s="172"/>
      <c r="BG335" s="172"/>
      <c r="BH335" s="108">
        <v>1</v>
      </c>
      <c r="BI335" s="108"/>
      <c r="BJ335" s="108"/>
      <c r="BK335" s="110">
        <v>1</v>
      </c>
      <c r="BL335" s="110"/>
      <c r="BM335" s="110"/>
      <c r="BN335" s="175">
        <v>1</v>
      </c>
      <c r="BO335" s="175"/>
      <c r="BP335" s="175"/>
      <c r="BQ335" s="52">
        <v>1</v>
      </c>
      <c r="BR335" s="52"/>
      <c r="BS335" s="52"/>
      <c r="BT335" s="54">
        <v>1</v>
      </c>
      <c r="BU335" s="54"/>
      <c r="BV335" s="54"/>
      <c r="BW335" s="55">
        <v>1</v>
      </c>
      <c r="BX335" s="55"/>
      <c r="BY335" s="55"/>
      <c r="BZ335" s="55"/>
      <c r="CA335" s="55"/>
      <c r="CB335" s="55"/>
      <c r="CC335" s="124">
        <v>1</v>
      </c>
      <c r="CD335" s="124"/>
      <c r="CE335" s="124"/>
      <c r="CF335" s="178">
        <v>1</v>
      </c>
      <c r="CG335" s="178"/>
      <c r="CH335" s="178"/>
      <c r="CI335" s="57">
        <v>1</v>
      </c>
      <c r="CJ335" s="57"/>
      <c r="CK335" s="57"/>
      <c r="CL335" s="58">
        <v>1</v>
      </c>
      <c r="CM335" s="58"/>
      <c r="CN335" s="58"/>
      <c r="CO335" s="60">
        <v>1</v>
      </c>
      <c r="CP335" s="60"/>
      <c r="CQ335" s="60"/>
      <c r="CR335" s="150">
        <v>1</v>
      </c>
      <c r="CS335" s="150"/>
      <c r="CT335" s="150"/>
      <c r="CU335" s="62"/>
      <c r="CV335" s="62"/>
      <c r="CW335" s="62"/>
      <c r="CX335" s="95">
        <v>1</v>
      </c>
      <c r="CY335" s="95"/>
      <c r="CZ335" s="95"/>
      <c r="DA335" s="95">
        <v>1</v>
      </c>
      <c r="DB335" s="95"/>
      <c r="DC335" s="95"/>
      <c r="DD335" s="95">
        <v>1</v>
      </c>
      <c r="DE335" s="95"/>
      <c r="DF335" s="95"/>
      <c r="DG335" s="42">
        <v>1</v>
      </c>
      <c r="DH335" s="42"/>
      <c r="DI335" s="42"/>
      <c r="DJ335" s="42">
        <v>1</v>
      </c>
      <c r="DK335" s="42"/>
      <c r="DL335" s="42"/>
      <c r="DM335" s="42">
        <v>1</v>
      </c>
      <c r="DN335" s="42"/>
      <c r="DO335" s="42"/>
    </row>
    <row r="336" spans="1:119" s="16" customFormat="1" ht="15" customHeight="1">
      <c r="A336" s="90" t="s">
        <v>163</v>
      </c>
      <c r="B336" s="42"/>
      <c r="C336" s="42"/>
      <c r="D336" s="42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  <c r="AB336" s="145"/>
      <c r="AC336" s="145"/>
      <c r="AD336" s="97"/>
      <c r="AE336" s="97"/>
      <c r="AF336" s="97"/>
      <c r="AG336" s="97"/>
      <c r="AH336" s="97"/>
      <c r="AI336" s="97"/>
      <c r="AJ336" s="98"/>
      <c r="AK336" s="98"/>
      <c r="AL336" s="98"/>
      <c r="AM336" s="95">
        <v>1</v>
      </c>
      <c r="AN336" s="40"/>
      <c r="AO336" s="40"/>
      <c r="AP336" s="101">
        <v>1</v>
      </c>
      <c r="AQ336" s="101"/>
      <c r="AR336" s="101"/>
      <c r="AS336" s="165">
        <v>1</v>
      </c>
      <c r="AT336" s="165"/>
      <c r="AU336" s="165"/>
      <c r="AV336" s="166">
        <v>1</v>
      </c>
      <c r="AW336" s="166">
        <v>500</v>
      </c>
      <c r="AX336" s="166">
        <v>359</v>
      </c>
      <c r="AY336" s="104">
        <v>1</v>
      </c>
      <c r="AZ336" s="104"/>
      <c r="BA336" s="104">
        <v>425</v>
      </c>
      <c r="BB336" s="105"/>
      <c r="BC336" s="105">
        <v>903</v>
      </c>
      <c r="BD336" s="105">
        <v>119</v>
      </c>
      <c r="BE336" s="105"/>
      <c r="BF336" s="172"/>
      <c r="BG336" s="172"/>
      <c r="BH336" s="108"/>
      <c r="BI336" s="108"/>
      <c r="BJ336" s="108"/>
      <c r="BK336" s="110"/>
      <c r="BL336" s="110"/>
      <c r="BM336" s="110"/>
      <c r="BN336" s="175"/>
      <c r="BO336" s="175"/>
      <c r="BP336" s="175"/>
      <c r="BQ336" s="52"/>
      <c r="BR336" s="52"/>
      <c r="BS336" s="52"/>
      <c r="BT336" s="54"/>
      <c r="BU336" s="54"/>
      <c r="BV336" s="54"/>
      <c r="BW336" s="55"/>
      <c r="BX336" s="55"/>
      <c r="BY336" s="55"/>
      <c r="BZ336" s="55"/>
      <c r="CA336" s="55"/>
      <c r="CB336" s="55"/>
      <c r="CC336" s="124"/>
      <c r="CD336" s="124"/>
      <c r="CE336" s="124"/>
      <c r="CF336" s="178"/>
      <c r="CG336" s="178"/>
      <c r="CH336" s="178"/>
      <c r="CI336" s="57"/>
      <c r="CJ336" s="57"/>
      <c r="CK336" s="57"/>
      <c r="CL336" s="58"/>
      <c r="CM336" s="58"/>
      <c r="CN336" s="58"/>
      <c r="CO336" s="60"/>
      <c r="CP336" s="60"/>
      <c r="CQ336" s="60"/>
      <c r="CR336" s="150"/>
      <c r="CS336" s="150"/>
      <c r="CT336" s="150"/>
      <c r="CU336" s="62"/>
      <c r="CV336" s="62"/>
      <c r="CW336" s="62"/>
      <c r="CX336" s="95"/>
      <c r="CY336" s="95"/>
      <c r="CZ336" s="95"/>
      <c r="DA336" s="95">
        <v>1</v>
      </c>
      <c r="DB336" s="95"/>
      <c r="DC336" s="95">
        <v>276</v>
      </c>
      <c r="DD336" s="95">
        <v>2</v>
      </c>
      <c r="DE336" s="95"/>
      <c r="DF336" s="95">
        <v>655</v>
      </c>
      <c r="DG336" s="42">
        <v>2</v>
      </c>
      <c r="DH336" s="42"/>
      <c r="DI336" s="42">
        <v>313</v>
      </c>
      <c r="DJ336" s="42">
        <v>2</v>
      </c>
      <c r="DK336" s="42">
        <v>894</v>
      </c>
      <c r="DL336" s="42">
        <v>366</v>
      </c>
      <c r="DM336" s="42">
        <v>2</v>
      </c>
      <c r="DN336" s="42">
        <v>800</v>
      </c>
      <c r="DO336" s="42">
        <v>766</v>
      </c>
    </row>
    <row r="337" spans="1:119" s="16" customFormat="1" ht="15" customHeight="1">
      <c r="A337" s="90" t="s">
        <v>164</v>
      </c>
      <c r="B337" s="42"/>
      <c r="C337" s="42"/>
      <c r="D337" s="42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  <c r="AB337" s="145"/>
      <c r="AC337" s="145"/>
      <c r="AD337" s="97"/>
      <c r="AE337" s="97"/>
      <c r="AF337" s="97"/>
      <c r="AG337" s="97"/>
      <c r="AH337" s="97"/>
      <c r="AI337" s="97"/>
      <c r="AJ337" s="98"/>
      <c r="AK337" s="98"/>
      <c r="AL337" s="98"/>
      <c r="AM337" s="95">
        <v>1</v>
      </c>
      <c r="AN337" s="40"/>
      <c r="AO337" s="40"/>
      <c r="AP337" s="101">
        <v>1</v>
      </c>
      <c r="AQ337" s="101"/>
      <c r="AR337" s="101"/>
      <c r="AS337" s="165">
        <v>1</v>
      </c>
      <c r="AT337" s="165"/>
      <c r="AU337" s="165"/>
      <c r="AV337" s="166">
        <v>1</v>
      </c>
      <c r="AW337" s="166"/>
      <c r="AX337" s="166"/>
      <c r="AY337" s="104">
        <v>1</v>
      </c>
      <c r="AZ337" s="104"/>
      <c r="BA337" s="104"/>
      <c r="BB337" s="105">
        <v>1</v>
      </c>
      <c r="BC337" s="105"/>
      <c r="BD337" s="105"/>
      <c r="BE337" s="105"/>
      <c r="BF337" s="172"/>
      <c r="BG337" s="172"/>
      <c r="BH337" s="108">
        <v>1</v>
      </c>
      <c r="BI337" s="108"/>
      <c r="BJ337" s="108"/>
      <c r="BK337" s="110">
        <v>1</v>
      </c>
      <c r="BL337" s="110"/>
      <c r="BM337" s="110"/>
      <c r="BN337" s="175">
        <v>1</v>
      </c>
      <c r="BO337" s="175"/>
      <c r="BP337" s="175"/>
      <c r="BQ337" s="52">
        <v>1</v>
      </c>
      <c r="BR337" s="52"/>
      <c r="BS337" s="52"/>
      <c r="BT337" s="54">
        <v>1</v>
      </c>
      <c r="BU337" s="54"/>
      <c r="BV337" s="54"/>
      <c r="BW337" s="55">
        <v>1</v>
      </c>
      <c r="BX337" s="55"/>
      <c r="BY337" s="55"/>
      <c r="BZ337" s="55"/>
      <c r="CA337" s="55"/>
      <c r="CB337" s="55"/>
      <c r="CC337" s="124">
        <v>1</v>
      </c>
      <c r="CD337" s="124"/>
      <c r="CE337" s="124"/>
      <c r="CF337" s="178">
        <v>1</v>
      </c>
      <c r="CG337" s="178"/>
      <c r="CH337" s="178"/>
      <c r="CI337" s="57">
        <v>1</v>
      </c>
      <c r="CJ337" s="57"/>
      <c r="CK337" s="57"/>
      <c r="CL337" s="58">
        <v>1</v>
      </c>
      <c r="CM337" s="58"/>
      <c r="CN337" s="58"/>
      <c r="CO337" s="60">
        <v>1</v>
      </c>
      <c r="CP337" s="60"/>
      <c r="CQ337" s="60"/>
      <c r="CR337" s="150">
        <v>1</v>
      </c>
      <c r="CS337" s="150"/>
      <c r="CT337" s="150"/>
      <c r="CU337" s="62"/>
      <c r="CV337" s="62"/>
      <c r="CW337" s="62"/>
      <c r="CX337" s="95">
        <v>1</v>
      </c>
      <c r="CY337" s="95"/>
      <c r="CZ337" s="95"/>
      <c r="DA337" s="95">
        <v>1</v>
      </c>
      <c r="DB337" s="95"/>
      <c r="DC337" s="95"/>
      <c r="DD337" s="95">
        <v>1</v>
      </c>
      <c r="DE337" s="95"/>
      <c r="DF337" s="95"/>
      <c r="DG337" s="42">
        <v>1</v>
      </c>
      <c r="DH337" s="42"/>
      <c r="DI337" s="42"/>
      <c r="DJ337" s="42">
        <v>1</v>
      </c>
      <c r="DK337" s="42"/>
      <c r="DL337" s="42"/>
      <c r="DM337" s="42">
        <v>1</v>
      </c>
      <c r="DN337" s="42"/>
      <c r="DO337" s="42"/>
    </row>
    <row r="338" spans="1:119" s="16" customFormat="1" ht="15" customHeight="1">
      <c r="A338" s="90" t="s">
        <v>165</v>
      </c>
      <c r="B338" s="42"/>
      <c r="C338" s="42"/>
      <c r="D338" s="42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  <c r="AB338" s="145"/>
      <c r="AC338" s="145"/>
      <c r="AD338" s="97"/>
      <c r="AE338" s="97"/>
      <c r="AF338" s="97"/>
      <c r="AG338" s="97"/>
      <c r="AH338" s="97"/>
      <c r="AI338" s="97"/>
      <c r="AJ338" s="98"/>
      <c r="AK338" s="98"/>
      <c r="AL338" s="98"/>
      <c r="AM338" s="95"/>
      <c r="AN338" s="40"/>
      <c r="AO338" s="40"/>
      <c r="AP338" s="101"/>
      <c r="AQ338" s="101"/>
      <c r="AR338" s="101"/>
      <c r="AS338" s="165"/>
      <c r="AT338" s="165"/>
      <c r="AU338" s="165"/>
      <c r="AV338" s="166"/>
      <c r="AW338" s="166"/>
      <c r="AX338" s="166"/>
      <c r="AY338" s="104"/>
      <c r="AZ338" s="104"/>
      <c r="BA338" s="104"/>
      <c r="BB338" s="105"/>
      <c r="BC338" s="105"/>
      <c r="BD338" s="105"/>
      <c r="BE338" s="105"/>
      <c r="BF338" s="172"/>
      <c r="BG338" s="172"/>
      <c r="BH338" s="108"/>
      <c r="BI338" s="108"/>
      <c r="BJ338" s="108"/>
      <c r="BK338" s="110"/>
      <c r="BL338" s="110"/>
      <c r="BM338" s="110"/>
      <c r="BN338" s="175"/>
      <c r="BO338" s="175"/>
      <c r="BP338" s="175"/>
      <c r="BQ338" s="52"/>
      <c r="BR338" s="52"/>
      <c r="BS338" s="52"/>
      <c r="BT338" s="54"/>
      <c r="BU338" s="54"/>
      <c r="BV338" s="54"/>
      <c r="BW338" s="55"/>
      <c r="BX338" s="55"/>
      <c r="BY338" s="55"/>
      <c r="BZ338" s="55"/>
      <c r="CA338" s="55"/>
      <c r="CB338" s="55"/>
      <c r="CC338" s="124"/>
      <c r="CD338" s="124"/>
      <c r="CE338" s="124"/>
      <c r="CF338" s="178"/>
      <c r="CG338" s="178"/>
      <c r="CH338" s="178"/>
      <c r="CI338" s="57">
        <v>1</v>
      </c>
      <c r="CJ338" s="57"/>
      <c r="CK338" s="57">
        <v>325</v>
      </c>
      <c r="CL338" s="58">
        <v>1</v>
      </c>
      <c r="CM338" s="58">
        <v>500</v>
      </c>
      <c r="CN338" s="58">
        <v>508</v>
      </c>
      <c r="CO338" s="60">
        <v>1</v>
      </c>
      <c r="CP338" s="60">
        <v>700</v>
      </c>
      <c r="CQ338" s="60">
        <v>503</v>
      </c>
      <c r="CR338" s="150">
        <v>1</v>
      </c>
      <c r="CS338" s="150"/>
      <c r="CT338" s="150">
        <v>498</v>
      </c>
      <c r="CU338" s="62"/>
      <c r="CV338" s="62"/>
      <c r="CW338" s="62"/>
      <c r="CX338" s="95">
        <v>1</v>
      </c>
      <c r="CY338" s="95">
        <v>1096</v>
      </c>
      <c r="CZ338" s="95">
        <v>483</v>
      </c>
      <c r="DA338" s="95">
        <v>1</v>
      </c>
      <c r="DB338" s="95">
        <f>306+133</f>
        <v>439</v>
      </c>
      <c r="DC338" s="95">
        <v>285</v>
      </c>
      <c r="DD338" s="95">
        <v>1</v>
      </c>
      <c r="DE338" s="95"/>
      <c r="DF338" s="95">
        <v>427</v>
      </c>
      <c r="DG338" s="42">
        <v>1</v>
      </c>
      <c r="DH338" s="42">
        <v>700</v>
      </c>
      <c r="DI338" s="42">
        <v>499</v>
      </c>
      <c r="DJ338" s="42">
        <v>1</v>
      </c>
      <c r="DK338" s="42">
        <v>313</v>
      </c>
      <c r="DL338" s="42">
        <v>87</v>
      </c>
      <c r="DM338" s="42">
        <v>1</v>
      </c>
      <c r="DN338" s="42"/>
      <c r="DO338" s="42">
        <v>346</v>
      </c>
    </row>
    <row r="339" spans="1:119" s="16" customFormat="1" ht="15" customHeight="1">
      <c r="A339" s="90" t="s">
        <v>318</v>
      </c>
      <c r="B339" s="42"/>
      <c r="C339" s="42"/>
      <c r="D339" s="42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  <c r="AB339" s="145"/>
      <c r="AC339" s="145"/>
      <c r="AD339" s="97"/>
      <c r="AE339" s="97"/>
      <c r="AF339" s="97"/>
      <c r="AG339" s="97"/>
      <c r="AH339" s="97"/>
      <c r="AI339" s="97"/>
      <c r="AJ339" s="98"/>
      <c r="AK339" s="98"/>
      <c r="AL339" s="98"/>
      <c r="AM339" s="95">
        <v>1</v>
      </c>
      <c r="AN339" s="40"/>
      <c r="AO339" s="40"/>
      <c r="AP339" s="101">
        <v>1</v>
      </c>
      <c r="AQ339" s="101"/>
      <c r="AR339" s="101"/>
      <c r="AS339" s="165">
        <v>1</v>
      </c>
      <c r="AT339" s="165"/>
      <c r="AU339" s="165"/>
      <c r="AV339" s="166">
        <v>1</v>
      </c>
      <c r="AW339" s="166"/>
      <c r="AX339" s="166"/>
      <c r="AY339" s="104">
        <v>1</v>
      </c>
      <c r="AZ339" s="104"/>
      <c r="BA339" s="104"/>
      <c r="BB339" s="105">
        <v>1</v>
      </c>
      <c r="BC339" s="105"/>
      <c r="BD339" s="105"/>
      <c r="BE339" s="105"/>
      <c r="BF339" s="172"/>
      <c r="BG339" s="172"/>
      <c r="BH339" s="108">
        <v>1</v>
      </c>
      <c r="BI339" s="108"/>
      <c r="BJ339" s="108">
        <v>27</v>
      </c>
      <c r="BK339" s="110">
        <v>1</v>
      </c>
      <c r="BL339" s="110">
        <v>450</v>
      </c>
      <c r="BM339" s="110">
        <v>423</v>
      </c>
      <c r="BN339" s="175"/>
      <c r="BO339" s="175"/>
      <c r="BP339" s="175"/>
      <c r="BQ339" s="52"/>
      <c r="BR339" s="52"/>
      <c r="BS339" s="52"/>
      <c r="BT339" s="54"/>
      <c r="BU339" s="54"/>
      <c r="BV339" s="54"/>
      <c r="BW339" s="55"/>
      <c r="BX339" s="55"/>
      <c r="BY339" s="55"/>
      <c r="BZ339" s="55"/>
      <c r="CA339" s="55"/>
      <c r="CB339" s="55"/>
      <c r="CC339" s="124"/>
      <c r="CD339" s="124"/>
      <c r="CE339" s="124"/>
      <c r="CF339" s="178"/>
      <c r="CG339" s="178"/>
      <c r="CH339" s="178"/>
      <c r="CI339" s="57"/>
      <c r="CJ339" s="57"/>
      <c r="CK339" s="57"/>
      <c r="CL339" s="58"/>
      <c r="CM339" s="58"/>
      <c r="CN339" s="58"/>
      <c r="CO339" s="60"/>
      <c r="CP339" s="60"/>
      <c r="CQ339" s="60"/>
      <c r="CR339" s="150"/>
      <c r="CS339" s="150"/>
      <c r="CT339" s="150"/>
      <c r="CU339" s="62"/>
      <c r="CV339" s="62"/>
      <c r="CW339" s="62"/>
      <c r="CX339" s="95"/>
      <c r="CY339" s="95"/>
      <c r="CZ339" s="95"/>
      <c r="DA339" s="95"/>
      <c r="DB339" s="95"/>
      <c r="DC339" s="95"/>
      <c r="DD339" s="95"/>
      <c r="DE339" s="95"/>
      <c r="DF339" s="95"/>
      <c r="DG339" s="42"/>
      <c r="DH339" s="42"/>
      <c r="DI339" s="42"/>
      <c r="DJ339" s="42"/>
      <c r="DK339" s="42"/>
      <c r="DL339" s="42"/>
      <c r="DM339" s="42"/>
      <c r="DN339" s="42"/>
      <c r="DO339" s="42"/>
    </row>
    <row r="340" spans="1:119" s="22" customFormat="1" ht="15.75">
      <c r="A340" s="94" t="s">
        <v>70</v>
      </c>
      <c r="B340" s="26"/>
      <c r="C340" s="26"/>
      <c r="D340" s="26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>
        <f>SUBTOTAL(9,AM311:AM339)</f>
        <v>229</v>
      </c>
      <c r="AN340" s="26">
        <f>SUBTOTAL(9,AN311:AN337)</f>
        <v>93191</v>
      </c>
      <c r="AO340" s="26">
        <f>SUBTOTAL(9,AO311:AO337)</f>
        <v>78334</v>
      </c>
      <c r="AP340" s="26">
        <f>SUBTOTAL(9,AP311:AP339)</f>
        <v>229</v>
      </c>
      <c r="AQ340" s="26">
        <f>SUBTOTAL(9,AQ311:AQ337)</f>
        <v>57695</v>
      </c>
      <c r="AR340" s="26">
        <f>SUBTOTAL(9,AR311:AR337)</f>
        <v>74604</v>
      </c>
      <c r="AS340" s="26">
        <f>SUBTOTAL(9,AS311:AS339)</f>
        <v>229</v>
      </c>
      <c r="AT340" s="26">
        <f>SUBTOTAL(9,AT311:AT337)</f>
        <v>79190</v>
      </c>
      <c r="AU340" s="26">
        <f>SUBTOTAL(9,AU311:AU337)</f>
        <v>75879</v>
      </c>
      <c r="AV340" s="26">
        <f>SUBTOTAL(9,AV311:AV339)</f>
        <v>229</v>
      </c>
      <c r="AW340" s="26">
        <f t="shared" ref="AW340:BG340" si="123">SUBTOTAL(9,AW311:AW337)</f>
        <v>75228</v>
      </c>
      <c r="AX340" s="26">
        <f t="shared" si="123"/>
        <v>76942</v>
      </c>
      <c r="AY340" s="26">
        <f>SUBTOTAL(9,AY311:AY339)</f>
        <v>229</v>
      </c>
      <c r="AZ340" s="26">
        <f t="shared" si="123"/>
        <v>73913</v>
      </c>
      <c r="BA340" s="26">
        <f t="shared" si="123"/>
        <v>77092</v>
      </c>
      <c r="BB340" s="26">
        <f>SUBTOTAL(9,BB311:BB339)</f>
        <v>229</v>
      </c>
      <c r="BC340" s="26">
        <f t="shared" si="123"/>
        <v>80464</v>
      </c>
      <c r="BD340" s="26">
        <f t="shared" si="123"/>
        <v>74711</v>
      </c>
      <c r="BE340" s="26">
        <f t="shared" si="123"/>
        <v>0</v>
      </c>
      <c r="BF340" s="26">
        <f t="shared" si="123"/>
        <v>0</v>
      </c>
      <c r="BG340" s="26">
        <f t="shared" si="123"/>
        <v>0</v>
      </c>
      <c r="BH340" s="26">
        <f>SUBTOTAL(9,BH311:BH339)</f>
        <v>230</v>
      </c>
      <c r="BI340" s="26">
        <f t="shared" ref="BI340:DO340" si="124">SUBTOTAL(9,BI311:BI339)</f>
        <v>88873</v>
      </c>
      <c r="BJ340" s="26">
        <f t="shared" si="124"/>
        <v>78500</v>
      </c>
      <c r="BK340" s="26">
        <f t="shared" si="124"/>
        <v>232</v>
      </c>
      <c r="BL340" s="26">
        <f t="shared" si="124"/>
        <v>63255</v>
      </c>
      <c r="BM340" s="26">
        <f t="shared" si="124"/>
        <v>78233</v>
      </c>
      <c r="BN340" s="26">
        <f t="shared" si="124"/>
        <v>232</v>
      </c>
      <c r="BO340" s="26">
        <f>SUBTOTAL(9,BO311:BO339)</f>
        <v>70989</v>
      </c>
      <c r="BP340" s="26">
        <f>SUBTOTAL(9,BP311:BP339)</f>
        <v>80697</v>
      </c>
      <c r="BQ340" s="26">
        <f t="shared" si="124"/>
        <v>233</v>
      </c>
      <c r="BR340" s="26">
        <f t="shared" si="124"/>
        <v>78810</v>
      </c>
      <c r="BS340" s="26">
        <f t="shared" si="124"/>
        <v>80788</v>
      </c>
      <c r="BT340" s="26">
        <f t="shared" si="124"/>
        <v>233</v>
      </c>
      <c r="BU340" s="26">
        <f t="shared" si="124"/>
        <v>85808</v>
      </c>
      <c r="BV340" s="26">
        <f t="shared" si="124"/>
        <v>81390</v>
      </c>
      <c r="BW340" s="26">
        <f t="shared" si="124"/>
        <v>239</v>
      </c>
      <c r="BX340" s="26">
        <f t="shared" si="124"/>
        <v>75455</v>
      </c>
      <c r="BY340" s="26">
        <f t="shared" si="124"/>
        <v>77764</v>
      </c>
      <c r="BZ340" s="26">
        <f t="shared" si="124"/>
        <v>0</v>
      </c>
      <c r="CA340" s="26">
        <f t="shared" si="124"/>
        <v>0</v>
      </c>
      <c r="CB340" s="26">
        <f t="shared" si="124"/>
        <v>0</v>
      </c>
      <c r="CC340" s="26">
        <f>SUBTOTAL(9,CC311:CC339)</f>
        <v>244</v>
      </c>
      <c r="CD340" s="26">
        <f t="shared" si="124"/>
        <v>88087</v>
      </c>
      <c r="CE340" s="26">
        <f t="shared" si="124"/>
        <v>82791</v>
      </c>
      <c r="CF340" s="26">
        <f t="shared" si="124"/>
        <v>245</v>
      </c>
      <c r="CG340" s="26">
        <f t="shared" si="124"/>
        <v>82577</v>
      </c>
      <c r="CH340" s="26">
        <f t="shared" si="124"/>
        <v>83081</v>
      </c>
      <c r="CI340" s="26">
        <f>SUBTOTAL(9,CI311:CI339)</f>
        <v>254</v>
      </c>
      <c r="CJ340" s="26">
        <f t="shared" si="124"/>
        <v>82638</v>
      </c>
      <c r="CK340" s="26">
        <f t="shared" si="124"/>
        <v>86059</v>
      </c>
      <c r="CL340" s="26">
        <f t="shared" si="124"/>
        <v>257</v>
      </c>
      <c r="CM340" s="26">
        <f t="shared" si="124"/>
        <v>68132</v>
      </c>
      <c r="CN340" s="26">
        <f t="shared" si="124"/>
        <v>88448</v>
      </c>
      <c r="CO340" s="26">
        <f t="shared" si="124"/>
        <v>264</v>
      </c>
      <c r="CP340" s="26">
        <f t="shared" si="124"/>
        <v>97075</v>
      </c>
      <c r="CQ340" s="26">
        <f t="shared" si="124"/>
        <v>91857</v>
      </c>
      <c r="CR340" s="26">
        <f t="shared" si="124"/>
        <v>269</v>
      </c>
      <c r="CS340" s="26">
        <f t="shared" si="124"/>
        <v>91147</v>
      </c>
      <c r="CT340" s="26">
        <f t="shared" si="124"/>
        <v>89859</v>
      </c>
      <c r="CU340" s="26">
        <f t="shared" si="124"/>
        <v>0</v>
      </c>
      <c r="CV340" s="26">
        <f t="shared" si="124"/>
        <v>0</v>
      </c>
      <c r="CW340" s="26">
        <f t="shared" si="124"/>
        <v>0</v>
      </c>
      <c r="CX340" s="26">
        <f t="shared" si="124"/>
        <v>269</v>
      </c>
      <c r="CY340" s="26">
        <f t="shared" si="124"/>
        <v>105773</v>
      </c>
      <c r="CZ340" s="26">
        <f t="shared" si="124"/>
        <v>95598</v>
      </c>
      <c r="DA340" s="26">
        <f t="shared" si="124"/>
        <v>270</v>
      </c>
      <c r="DB340" s="26">
        <f t="shared" si="124"/>
        <v>90347</v>
      </c>
      <c r="DC340" s="26">
        <f t="shared" si="124"/>
        <v>94831</v>
      </c>
      <c r="DD340" s="26">
        <f t="shared" si="124"/>
        <v>271</v>
      </c>
      <c r="DE340" s="26">
        <f t="shared" si="124"/>
        <v>91169</v>
      </c>
      <c r="DF340" s="26">
        <f t="shared" si="124"/>
        <v>91382</v>
      </c>
      <c r="DG340" s="26">
        <f t="shared" si="124"/>
        <v>271</v>
      </c>
      <c r="DH340" s="26">
        <f t="shared" si="124"/>
        <v>96426</v>
      </c>
      <c r="DI340" s="26">
        <f t="shared" si="124"/>
        <v>83503</v>
      </c>
      <c r="DJ340" s="26">
        <f t="shared" si="124"/>
        <v>271</v>
      </c>
      <c r="DK340" s="26">
        <f t="shared" si="124"/>
        <v>65802</v>
      </c>
      <c r="DL340" s="26">
        <f t="shared" si="124"/>
        <v>81986</v>
      </c>
      <c r="DM340" s="26">
        <f t="shared" si="124"/>
        <v>271</v>
      </c>
      <c r="DN340" s="26">
        <f t="shared" si="124"/>
        <v>76562</v>
      </c>
      <c r="DO340" s="26">
        <f t="shared" si="124"/>
        <v>74714</v>
      </c>
    </row>
    <row r="341" spans="1:119">
      <c r="AR341" s="29"/>
      <c r="AX341" s="29"/>
      <c r="BI341" s="29"/>
      <c r="BP341" s="29"/>
      <c r="BX341" s="29"/>
      <c r="BY341" s="29"/>
      <c r="CD341" s="29"/>
      <c r="CE341" s="29"/>
      <c r="DC341" s="29"/>
      <c r="DF341" s="29"/>
    </row>
  </sheetData>
  <autoFilter ref="A3:DO305" xr:uid="{00000000-0009-0000-0000-000009000000}"/>
  <pageMargins left="0.7" right="0.7" top="0.75" bottom="0.75" header="0.3" footer="0.3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D758"/>
  <sheetViews>
    <sheetView zoomScale="90" zoomScaleNormal="90" workbookViewId="0">
      <pane xSplit="3" ySplit="3" topLeftCell="D686" activePane="bottomRight" state="frozen"/>
      <selection activeCell="E290" sqref="E290"/>
      <selection pane="topRight" activeCell="E290" sqref="E290"/>
      <selection pane="bottomLeft" activeCell="E290" sqref="E290"/>
      <selection pane="bottomRight" activeCell="D702" sqref="D702"/>
    </sheetView>
  </sheetViews>
  <sheetFormatPr defaultRowHeight="15"/>
  <cols>
    <col min="1" max="1" width="11.7109375" style="15" customWidth="1"/>
    <col min="2" max="2" width="18.5703125" style="1" customWidth="1"/>
    <col min="3" max="3" width="45.28515625" style="79" customWidth="1"/>
    <col min="4" max="4" width="20.42578125" style="1" customWidth="1"/>
    <col min="5" max="5" width="13.28515625" style="1" customWidth="1"/>
    <col min="6" max="6" width="8.28515625" style="1" customWidth="1"/>
    <col min="7" max="7" width="14.85546875" style="1" customWidth="1"/>
    <col min="8" max="8" width="14.5703125" style="1" customWidth="1"/>
    <col min="9" max="9" width="11.140625" style="1" customWidth="1"/>
    <col min="10" max="11" width="14" style="1" customWidth="1"/>
    <col min="12" max="12" width="9" style="1" customWidth="1"/>
    <col min="13" max="13" width="12.140625" style="1" customWidth="1"/>
    <col min="14" max="14" width="9" style="1" customWidth="1"/>
    <col min="15" max="15" width="15.140625" style="13" customWidth="1"/>
    <col min="16" max="16" width="15.42578125" style="13" customWidth="1"/>
    <col min="17" max="17" width="9.85546875" style="1" customWidth="1"/>
    <col min="18" max="18" width="12.85546875" style="13" customWidth="1"/>
    <col min="19" max="19" width="13.7109375" style="13" customWidth="1"/>
    <col min="20" max="20" width="14.7109375" style="13" customWidth="1"/>
    <col min="21" max="21" width="10.5703125" style="13" customWidth="1"/>
    <col min="22" max="22" width="16" style="13" customWidth="1"/>
    <col min="23" max="23" width="19" style="1" customWidth="1"/>
    <col min="24" max="24" width="9.140625" style="1" customWidth="1"/>
    <col min="25" max="25" width="22.42578125" style="1" customWidth="1"/>
    <col min="26" max="26" width="10.7109375" style="1" customWidth="1"/>
    <col min="27" max="27" width="16.140625" style="1" customWidth="1"/>
    <col min="28" max="30" width="9.140625" style="1"/>
    <col min="31" max="31" width="10.7109375" style="1" bestFit="1" customWidth="1"/>
    <col min="32" max="16384" width="9.140625" style="1"/>
  </cols>
  <sheetData>
    <row r="2" spans="1:25" ht="31.5" customHeight="1">
      <c r="A2" s="468" t="s">
        <v>38</v>
      </c>
      <c r="B2" s="465" t="s">
        <v>43</v>
      </c>
      <c r="C2" s="469" t="s">
        <v>62</v>
      </c>
      <c r="D2" s="465" t="s">
        <v>36</v>
      </c>
      <c r="E2" s="465" t="s">
        <v>39</v>
      </c>
      <c r="F2" s="469" t="s">
        <v>90</v>
      </c>
      <c r="G2" s="459" t="s">
        <v>49</v>
      </c>
      <c r="H2" s="459" t="s">
        <v>50</v>
      </c>
      <c r="I2" s="459" t="s">
        <v>51</v>
      </c>
      <c r="J2" s="459" t="s">
        <v>52</v>
      </c>
      <c r="K2" s="459" t="s">
        <v>81</v>
      </c>
      <c r="L2" s="459" t="s">
        <v>82</v>
      </c>
      <c r="M2" s="459" t="s">
        <v>83</v>
      </c>
      <c r="N2" s="459" t="s">
        <v>84</v>
      </c>
      <c r="O2" s="466" t="s">
        <v>86</v>
      </c>
      <c r="P2" s="466" t="s">
        <v>87</v>
      </c>
      <c r="Q2" s="465" t="s">
        <v>41</v>
      </c>
      <c r="R2" s="467" t="s">
        <v>46</v>
      </c>
      <c r="S2" s="467"/>
      <c r="T2" s="456" t="s">
        <v>76</v>
      </c>
      <c r="U2" s="456" t="s">
        <v>77</v>
      </c>
      <c r="V2" s="456" t="s">
        <v>78</v>
      </c>
      <c r="W2" s="469" t="s">
        <v>23</v>
      </c>
    </row>
    <row r="3" spans="1:25" ht="21" customHeight="1" thickBot="1">
      <c r="A3" s="468"/>
      <c r="B3" s="465"/>
      <c r="C3" s="461"/>
      <c r="D3" s="465"/>
      <c r="E3" s="465"/>
      <c r="F3" s="470"/>
      <c r="G3" s="461"/>
      <c r="H3" s="461"/>
      <c r="I3" s="492"/>
      <c r="J3" s="488"/>
      <c r="K3" s="492"/>
      <c r="L3" s="460"/>
      <c r="M3" s="460"/>
      <c r="N3" s="460"/>
      <c r="O3" s="467"/>
      <c r="P3" s="467"/>
      <c r="Q3" s="465"/>
      <c r="R3" s="17" t="s">
        <v>26</v>
      </c>
      <c r="S3" s="17" t="s">
        <v>27</v>
      </c>
      <c r="T3" s="458"/>
      <c r="U3" s="457"/>
      <c r="V3" s="458"/>
      <c r="W3" s="488"/>
    </row>
    <row r="4" spans="1:25" ht="15" customHeight="1">
      <c r="A4" s="426">
        <v>46146</v>
      </c>
      <c r="B4" s="429" t="s">
        <v>44</v>
      </c>
      <c r="C4" s="432" t="s">
        <v>240</v>
      </c>
      <c r="D4" s="19" t="s">
        <v>37</v>
      </c>
      <c r="E4" s="19" t="s">
        <v>25</v>
      </c>
      <c r="F4" s="39" t="s">
        <v>40</v>
      </c>
      <c r="G4" s="168">
        <v>5498.1</v>
      </c>
      <c r="H4" s="32"/>
      <c r="I4" s="125"/>
      <c r="J4" s="288"/>
      <c r="K4" s="127">
        <v>8000</v>
      </c>
      <c r="L4" s="20">
        <v>1</v>
      </c>
      <c r="M4" s="20">
        <v>192000</v>
      </c>
      <c r="N4" s="84">
        <v>24</v>
      </c>
      <c r="O4" s="32">
        <f>May!AN311</f>
        <v>25202</v>
      </c>
      <c r="P4" s="32">
        <f>May!AO311</f>
        <v>19491</v>
      </c>
      <c r="Q4" s="32">
        <f>May!AM311</f>
        <v>50</v>
      </c>
      <c r="R4" s="435">
        <f>May!AN340</f>
        <v>93191</v>
      </c>
      <c r="S4" s="435">
        <f>May!AO340</f>
        <v>78334</v>
      </c>
      <c r="T4" s="20">
        <v>47915</v>
      </c>
      <c r="U4" s="20">
        <v>7</v>
      </c>
      <c r="V4" s="20">
        <f>O4-T4-U4+178802</f>
        <v>156082</v>
      </c>
      <c r="W4" s="77"/>
      <c r="X4" s="36"/>
    </row>
    <row r="5" spans="1:25" ht="15" customHeight="1">
      <c r="A5" s="427"/>
      <c r="B5" s="430"/>
      <c r="C5" s="433"/>
      <c r="D5" s="113" t="s">
        <v>128</v>
      </c>
      <c r="E5" s="438" t="s">
        <v>24</v>
      </c>
      <c r="F5" s="118" t="s">
        <v>40</v>
      </c>
      <c r="G5" s="170"/>
      <c r="H5" s="135"/>
      <c r="I5" s="126"/>
      <c r="J5" s="287"/>
      <c r="K5" s="18"/>
      <c r="L5" s="127"/>
      <c r="M5" s="216"/>
      <c r="N5" s="238"/>
      <c r="O5" s="126">
        <f>May!AN312</f>
        <v>19237</v>
      </c>
      <c r="P5" s="125">
        <f>May!AO312</f>
        <v>18134</v>
      </c>
      <c r="Q5" s="125">
        <f>May!AM312</f>
        <v>46</v>
      </c>
      <c r="R5" s="436"/>
      <c r="S5" s="436"/>
      <c r="T5" s="127"/>
      <c r="U5" s="127"/>
      <c r="V5" s="127">
        <f>O5-T5-U5+11664</f>
        <v>30901</v>
      </c>
      <c r="W5" s="46"/>
      <c r="X5" s="67"/>
    </row>
    <row r="6" spans="1:25" ht="15" customHeight="1">
      <c r="A6" s="427"/>
      <c r="B6" s="431"/>
      <c r="C6" s="434"/>
      <c r="D6" s="113" t="s">
        <v>307</v>
      </c>
      <c r="E6" s="431"/>
      <c r="F6" s="118" t="s">
        <v>40</v>
      </c>
      <c r="G6" s="87"/>
      <c r="H6" s="136">
        <v>3037.5</v>
      </c>
      <c r="I6" s="126"/>
      <c r="J6" s="287"/>
      <c r="K6" s="127"/>
      <c r="L6" s="18"/>
      <c r="M6" s="18">
        <v>96000</v>
      </c>
      <c r="N6" s="80">
        <v>12</v>
      </c>
      <c r="O6" s="126">
        <f>May!AN313</f>
        <v>22941</v>
      </c>
      <c r="P6" s="126">
        <f>May!AO313</f>
        <v>20235</v>
      </c>
      <c r="Q6" s="2">
        <f>May!AM313</f>
        <v>50</v>
      </c>
      <c r="R6" s="436"/>
      <c r="S6" s="436"/>
      <c r="T6" s="18">
        <v>9532</v>
      </c>
      <c r="U6" s="18">
        <v>3</v>
      </c>
      <c r="V6" s="127">
        <f>O6-T6-U6+12909</f>
        <v>26315</v>
      </c>
      <c r="W6" s="46"/>
      <c r="Y6" s="13"/>
    </row>
    <row r="7" spans="1:25">
      <c r="A7" s="427"/>
      <c r="B7" s="442" t="s">
        <v>45</v>
      </c>
      <c r="C7" s="471" t="s">
        <v>59</v>
      </c>
      <c r="D7" s="118" t="s">
        <v>75</v>
      </c>
      <c r="E7" s="438" t="s">
        <v>25</v>
      </c>
      <c r="F7" s="131" t="s">
        <v>57</v>
      </c>
      <c r="G7" s="224"/>
      <c r="H7" s="136"/>
      <c r="I7" s="126"/>
      <c r="J7" s="287"/>
      <c r="K7" s="127"/>
      <c r="L7" s="18"/>
      <c r="M7" s="18"/>
      <c r="N7" s="80"/>
      <c r="O7" s="126">
        <f>May!AN317</f>
        <v>0</v>
      </c>
      <c r="P7" s="126">
        <f>May!AO317</f>
        <v>541</v>
      </c>
      <c r="Q7" s="126">
        <f>May!AM317</f>
        <v>2</v>
      </c>
      <c r="R7" s="436"/>
      <c r="S7" s="436"/>
      <c r="T7" s="18">
        <v>11897</v>
      </c>
      <c r="U7" s="18">
        <v>6</v>
      </c>
      <c r="V7" s="127">
        <f>O7-T7-U7+40106</f>
        <v>28203</v>
      </c>
      <c r="W7" s="46"/>
      <c r="Y7" s="13"/>
    </row>
    <row r="8" spans="1:25">
      <c r="A8" s="427"/>
      <c r="B8" s="439"/>
      <c r="C8" s="471"/>
      <c r="D8" s="118" t="s">
        <v>291</v>
      </c>
      <c r="E8" s="430"/>
      <c r="F8" s="131" t="s">
        <v>57</v>
      </c>
      <c r="G8" s="224"/>
      <c r="H8" s="152"/>
      <c r="I8" s="126"/>
      <c r="J8" s="287"/>
      <c r="K8" s="127">
        <v>4900</v>
      </c>
      <c r="L8" s="18">
        <v>1</v>
      </c>
      <c r="M8" s="18">
        <v>9800</v>
      </c>
      <c r="N8" s="80">
        <v>2</v>
      </c>
      <c r="O8" s="126">
        <f>May!AN318</f>
        <v>1658</v>
      </c>
      <c r="P8" s="126">
        <f>May!AO318</f>
        <v>4164</v>
      </c>
      <c r="Q8" s="126">
        <f>May!AM318</f>
        <v>16</v>
      </c>
      <c r="R8" s="436"/>
      <c r="S8" s="436"/>
      <c r="T8" s="18"/>
      <c r="U8" s="18"/>
      <c r="V8" s="127">
        <f>O8-T8-U8+20011</f>
        <v>21669</v>
      </c>
      <c r="W8" s="46"/>
      <c r="Y8" s="13"/>
    </row>
    <row r="9" spans="1:25">
      <c r="A9" s="427"/>
      <c r="B9" s="439"/>
      <c r="C9" s="471"/>
      <c r="D9" s="118" t="s">
        <v>94</v>
      </c>
      <c r="E9" s="431"/>
      <c r="F9" s="131"/>
      <c r="G9" s="224"/>
      <c r="H9" s="152">
        <v>1620</v>
      </c>
      <c r="I9" s="126"/>
      <c r="J9" s="287"/>
      <c r="K9" s="127"/>
      <c r="L9" s="18"/>
      <c r="M9" s="18"/>
      <c r="N9" s="80"/>
      <c r="O9" s="126"/>
      <c r="P9" s="126"/>
      <c r="Q9" s="126"/>
      <c r="R9" s="436"/>
      <c r="S9" s="436"/>
      <c r="T9" s="18"/>
      <c r="U9" s="18"/>
      <c r="V9" s="127"/>
      <c r="W9" s="46"/>
      <c r="Y9" s="13"/>
    </row>
    <row r="10" spans="1:25" ht="14.25" customHeight="1">
      <c r="A10" s="427"/>
      <c r="B10" s="439"/>
      <c r="C10" s="471"/>
      <c r="D10" s="118" t="s">
        <v>72</v>
      </c>
      <c r="E10" s="424" t="s">
        <v>24</v>
      </c>
      <c r="F10" s="131" t="s">
        <v>57</v>
      </c>
      <c r="G10" s="224"/>
      <c r="H10" s="37"/>
      <c r="I10" s="126"/>
      <c r="J10" s="287"/>
      <c r="K10" s="18"/>
      <c r="L10" s="18"/>
      <c r="M10" s="18">
        <v>50000</v>
      </c>
      <c r="N10" s="80">
        <v>10</v>
      </c>
      <c r="O10" s="126">
        <f>May!AN319</f>
        <v>6275</v>
      </c>
      <c r="P10" s="126">
        <f>May!AO319</f>
        <v>5887</v>
      </c>
      <c r="Q10" s="126">
        <f>May!AM319</f>
        <v>23</v>
      </c>
      <c r="R10" s="436"/>
      <c r="S10" s="436"/>
      <c r="T10" s="18">
        <v>6127</v>
      </c>
      <c r="U10" s="18"/>
      <c r="V10" s="127">
        <f>O10-T10-U10+6257</f>
        <v>6405</v>
      </c>
      <c r="W10" s="45"/>
      <c r="X10" s="36"/>
    </row>
    <row r="11" spans="1:25" ht="14.25" customHeight="1">
      <c r="A11" s="427"/>
      <c r="B11" s="439"/>
      <c r="C11" s="471"/>
      <c r="D11" s="115" t="s">
        <v>73</v>
      </c>
      <c r="E11" s="425"/>
      <c r="F11" s="131"/>
      <c r="G11" s="224"/>
      <c r="H11" s="126">
        <v>1980</v>
      </c>
      <c r="I11" s="126"/>
      <c r="J11" s="287"/>
      <c r="K11" s="18"/>
      <c r="L11" s="18"/>
      <c r="M11" s="18"/>
      <c r="N11" s="80"/>
      <c r="O11" s="126"/>
      <c r="P11" s="126"/>
      <c r="Q11" s="126"/>
      <c r="R11" s="436"/>
      <c r="S11" s="436"/>
      <c r="T11" s="18"/>
      <c r="U11" s="18"/>
      <c r="V11" s="127"/>
      <c r="W11" s="45"/>
      <c r="X11" s="67"/>
    </row>
    <row r="12" spans="1:25" ht="15.75" customHeight="1">
      <c r="A12" s="427"/>
      <c r="B12" s="439"/>
      <c r="C12" s="471"/>
      <c r="D12" s="115" t="s">
        <v>79</v>
      </c>
      <c r="E12" s="118" t="s">
        <v>65</v>
      </c>
      <c r="F12" s="131" t="s">
        <v>57</v>
      </c>
      <c r="G12" s="226"/>
      <c r="H12" s="126"/>
      <c r="I12" s="126"/>
      <c r="J12" s="287"/>
      <c r="K12" s="18"/>
      <c r="L12" s="18"/>
      <c r="M12" s="18"/>
      <c r="N12" s="18"/>
      <c r="O12" s="126"/>
      <c r="P12" s="126"/>
      <c r="Q12" s="126">
        <f>May!AM320</f>
        <v>1</v>
      </c>
      <c r="R12" s="436"/>
      <c r="S12" s="436"/>
      <c r="T12" s="18"/>
      <c r="U12" s="18"/>
      <c r="V12" s="127"/>
      <c r="W12" s="45"/>
      <c r="X12" s="67"/>
    </row>
    <row r="13" spans="1:25" ht="15" customHeight="1">
      <c r="A13" s="427"/>
      <c r="B13" s="443"/>
      <c r="C13" s="271" t="s">
        <v>299</v>
      </c>
      <c r="D13" s="115" t="s">
        <v>296</v>
      </c>
      <c r="E13" s="115" t="s">
        <v>25</v>
      </c>
      <c r="F13" s="131" t="s">
        <v>298</v>
      </c>
      <c r="G13" s="119"/>
      <c r="H13" s="126"/>
      <c r="I13" s="126"/>
      <c r="J13" s="287"/>
      <c r="K13" s="18"/>
      <c r="L13" s="18"/>
      <c r="M13" s="18"/>
      <c r="N13" s="18"/>
      <c r="O13" s="126"/>
      <c r="P13" s="126">
        <f>May!AO321</f>
        <v>171</v>
      </c>
      <c r="Q13" s="126">
        <f>May!AM321</f>
        <v>1</v>
      </c>
      <c r="R13" s="436"/>
      <c r="S13" s="436"/>
      <c r="T13" s="18"/>
      <c r="U13" s="18"/>
      <c r="V13" s="127"/>
      <c r="W13" s="45"/>
      <c r="X13" s="67"/>
    </row>
    <row r="14" spans="1:25" ht="14.25" customHeight="1">
      <c r="A14" s="427"/>
      <c r="B14" s="442" t="s">
        <v>53</v>
      </c>
      <c r="C14" s="444" t="s">
        <v>60</v>
      </c>
      <c r="D14" s="43" t="s">
        <v>130</v>
      </c>
      <c r="E14" s="424" t="s">
        <v>66</v>
      </c>
      <c r="F14" s="118" t="s">
        <v>54</v>
      </c>
      <c r="G14" s="225"/>
      <c r="H14" s="126"/>
      <c r="I14" s="126"/>
      <c r="J14" s="287"/>
      <c r="K14" s="18">
        <v>6000</v>
      </c>
      <c r="L14" s="18">
        <v>1</v>
      </c>
      <c r="M14" s="18">
        <v>24000</v>
      </c>
      <c r="N14" s="80">
        <v>4</v>
      </c>
      <c r="O14" s="126">
        <f>May!AN314</f>
        <v>9896</v>
      </c>
      <c r="P14" s="126">
        <f>May!AO314</f>
        <v>6290</v>
      </c>
      <c r="Q14" s="126">
        <f>May!AM314</f>
        <v>19</v>
      </c>
      <c r="R14" s="436"/>
      <c r="S14" s="436"/>
      <c r="T14" s="18">
        <v>13115</v>
      </c>
      <c r="U14" s="18"/>
      <c r="V14" s="127">
        <f>O14-T14-U14+13250</f>
        <v>10031</v>
      </c>
      <c r="W14" s="45"/>
      <c r="X14" s="67"/>
    </row>
    <row r="15" spans="1:25" ht="14.25" customHeight="1">
      <c r="A15" s="427"/>
      <c r="B15" s="439"/>
      <c r="C15" s="445"/>
      <c r="D15" s="43" t="s">
        <v>320</v>
      </c>
      <c r="E15" s="425"/>
      <c r="F15" s="118" t="s">
        <v>54</v>
      </c>
      <c r="G15" s="225"/>
      <c r="H15" s="126"/>
      <c r="I15" s="126"/>
      <c r="J15" s="287"/>
      <c r="K15" s="18"/>
      <c r="L15" s="18"/>
      <c r="M15" s="18">
        <v>66000</v>
      </c>
      <c r="N15" s="80">
        <v>11</v>
      </c>
      <c r="O15" s="126">
        <f>May!AN315</f>
        <v>794</v>
      </c>
      <c r="P15" s="126">
        <f>May!AO315</f>
        <v>342</v>
      </c>
      <c r="Q15" s="126">
        <f>May!AM315</f>
        <v>1</v>
      </c>
      <c r="R15" s="436"/>
      <c r="S15" s="436"/>
      <c r="T15" s="18"/>
      <c r="U15" s="18"/>
      <c r="V15" s="127">
        <f>O15-T15-U15</f>
        <v>794</v>
      </c>
      <c r="W15" s="45"/>
      <c r="X15" s="67"/>
    </row>
    <row r="16" spans="1:25" ht="14.25" customHeight="1">
      <c r="A16" s="427"/>
      <c r="B16" s="443"/>
      <c r="C16" s="446"/>
      <c r="D16" s="43" t="s">
        <v>199</v>
      </c>
      <c r="E16" s="114" t="s">
        <v>25</v>
      </c>
      <c r="F16" s="118" t="s">
        <v>54</v>
      </c>
      <c r="G16" s="225"/>
      <c r="H16" s="126"/>
      <c r="I16" s="126"/>
      <c r="J16" s="287"/>
      <c r="K16" s="18"/>
      <c r="L16" s="18"/>
      <c r="M16" s="18"/>
      <c r="N16" s="80"/>
      <c r="O16" s="126"/>
      <c r="P16" s="126"/>
      <c r="Q16" s="126">
        <f>May!AM316</f>
        <v>1</v>
      </c>
      <c r="R16" s="436"/>
      <c r="S16" s="436"/>
      <c r="T16" s="18"/>
      <c r="U16" s="18"/>
      <c r="V16" s="127"/>
      <c r="W16" s="45"/>
      <c r="X16" s="67"/>
    </row>
    <row r="17" spans="1:24" ht="14.25" customHeight="1">
      <c r="A17" s="427"/>
      <c r="B17" s="122" t="s">
        <v>55</v>
      </c>
      <c r="C17" s="180" t="s">
        <v>133</v>
      </c>
      <c r="D17" s="48" t="s">
        <v>56</v>
      </c>
      <c r="E17" s="424" t="s">
        <v>25</v>
      </c>
      <c r="F17" s="118" t="s">
        <v>67</v>
      </c>
      <c r="G17" s="225"/>
      <c r="H17" s="126"/>
      <c r="I17" s="126"/>
      <c r="J17" s="287"/>
      <c r="K17" s="18"/>
      <c r="L17" s="18"/>
      <c r="M17" s="18">
        <v>2800</v>
      </c>
      <c r="N17" s="80">
        <v>1</v>
      </c>
      <c r="O17" s="126"/>
      <c r="P17" s="126"/>
      <c r="Q17" s="126"/>
      <c r="R17" s="436"/>
      <c r="S17" s="436"/>
      <c r="T17" s="18"/>
      <c r="U17" s="18"/>
      <c r="V17" s="127">
        <f>O17-T17-U17+500</f>
        <v>500</v>
      </c>
      <c r="W17" s="45"/>
      <c r="X17" s="67"/>
    </row>
    <row r="18" spans="1:24" ht="14.25" customHeight="1">
      <c r="A18" s="427"/>
      <c r="B18" s="122" t="s">
        <v>55</v>
      </c>
      <c r="C18" s="180" t="s">
        <v>316</v>
      </c>
      <c r="D18" s="48" t="s">
        <v>317</v>
      </c>
      <c r="E18" s="441"/>
      <c r="F18" s="155" t="s">
        <v>67</v>
      </c>
      <c r="G18" s="225"/>
      <c r="H18" s="126"/>
      <c r="I18" s="126"/>
      <c r="J18" s="287"/>
      <c r="K18" s="18"/>
      <c r="L18" s="18"/>
      <c r="M18" s="18"/>
      <c r="N18" s="80"/>
      <c r="O18" s="126"/>
      <c r="P18" s="126"/>
      <c r="Q18" s="126">
        <f>May!AM339</f>
        <v>1</v>
      </c>
      <c r="R18" s="436"/>
      <c r="S18" s="436"/>
      <c r="T18" s="18"/>
      <c r="U18" s="18"/>
      <c r="V18" s="127"/>
      <c r="W18" s="45"/>
      <c r="X18" s="67"/>
    </row>
    <row r="19" spans="1:24" ht="14.25" customHeight="1">
      <c r="A19" s="427"/>
      <c r="B19" s="122" t="s">
        <v>122</v>
      </c>
      <c r="C19" s="180" t="s">
        <v>123</v>
      </c>
      <c r="D19" s="48" t="s">
        <v>56</v>
      </c>
      <c r="E19" s="441"/>
      <c r="F19" s="155" t="s">
        <v>64</v>
      </c>
      <c r="G19" s="225"/>
      <c r="H19" s="126"/>
      <c r="I19" s="126"/>
      <c r="J19" s="287"/>
      <c r="K19" s="18"/>
      <c r="L19" s="18"/>
      <c r="M19" s="18">
        <v>6400</v>
      </c>
      <c r="N19" s="80">
        <v>2</v>
      </c>
      <c r="O19" s="126"/>
      <c r="P19" s="126"/>
      <c r="Q19" s="126">
        <f>May!AM323</f>
        <v>1</v>
      </c>
      <c r="R19" s="436"/>
      <c r="S19" s="436"/>
      <c r="T19" s="18"/>
      <c r="U19" s="18"/>
      <c r="V19" s="127">
        <f>O19-T19-U19+31304</f>
        <v>31304</v>
      </c>
      <c r="W19" s="45"/>
      <c r="X19" s="67"/>
    </row>
    <row r="20" spans="1:24" ht="14.25" customHeight="1">
      <c r="A20" s="427"/>
      <c r="B20" s="137" t="s">
        <v>58</v>
      </c>
      <c r="C20" s="157" t="s">
        <v>243</v>
      </c>
      <c r="D20" s="48" t="s">
        <v>56</v>
      </c>
      <c r="E20" s="441"/>
      <c r="F20" s="118" t="s">
        <v>64</v>
      </c>
      <c r="G20" s="225"/>
      <c r="H20" s="126"/>
      <c r="I20" s="126"/>
      <c r="J20" s="287"/>
      <c r="K20" s="18"/>
      <c r="L20" s="18"/>
      <c r="M20" s="18"/>
      <c r="N20" s="80"/>
      <c r="O20" s="126"/>
      <c r="P20" s="126"/>
      <c r="Q20" s="126">
        <f>May!AM324</f>
        <v>1</v>
      </c>
      <c r="R20" s="436"/>
      <c r="S20" s="436"/>
      <c r="T20" s="18"/>
      <c r="U20" s="18"/>
      <c r="V20" s="127">
        <f>O20-T20-U20+8562</f>
        <v>8562</v>
      </c>
      <c r="W20" s="45"/>
      <c r="X20" s="67"/>
    </row>
    <row r="21" spans="1:24" ht="14.25" customHeight="1">
      <c r="A21" s="427"/>
      <c r="B21" s="122" t="s">
        <v>61</v>
      </c>
      <c r="C21" s="180" t="s">
        <v>137</v>
      </c>
      <c r="D21" s="48" t="s">
        <v>56</v>
      </c>
      <c r="E21" s="441"/>
      <c r="F21" s="118" t="s">
        <v>67</v>
      </c>
      <c r="G21" s="225"/>
      <c r="H21" s="126"/>
      <c r="I21" s="126"/>
      <c r="J21" s="287"/>
      <c r="K21" s="18"/>
      <c r="L21" s="18"/>
      <c r="M21" s="18"/>
      <c r="N21" s="80"/>
      <c r="O21" s="126"/>
      <c r="P21" s="126"/>
      <c r="Q21" s="126">
        <f>May!AM325</f>
        <v>1</v>
      </c>
      <c r="R21" s="436"/>
      <c r="S21" s="436"/>
      <c r="T21" s="18"/>
      <c r="U21" s="18"/>
      <c r="V21" s="127">
        <f>O21-T21-U21+5844</f>
        <v>5844</v>
      </c>
      <c r="W21" s="45"/>
      <c r="X21" s="67"/>
    </row>
    <row r="22" spans="1:24" ht="14.25" customHeight="1">
      <c r="A22" s="427"/>
      <c r="B22" s="122" t="s">
        <v>125</v>
      </c>
      <c r="C22" s="180" t="s">
        <v>88</v>
      </c>
      <c r="D22" s="48" t="s">
        <v>124</v>
      </c>
      <c r="E22" s="441"/>
      <c r="F22" s="118" t="s">
        <v>64</v>
      </c>
      <c r="G22" s="225"/>
      <c r="H22" s="126"/>
      <c r="I22" s="126"/>
      <c r="J22" s="287"/>
      <c r="K22" s="18"/>
      <c r="L22" s="18"/>
      <c r="M22" s="18">
        <v>51200</v>
      </c>
      <c r="N22" s="80">
        <v>7</v>
      </c>
      <c r="O22" s="126"/>
      <c r="P22" s="126"/>
      <c r="Q22" s="126"/>
      <c r="R22" s="436"/>
      <c r="S22" s="436"/>
      <c r="T22" s="18"/>
      <c r="U22" s="18"/>
      <c r="V22" s="127">
        <f>O22-T22-U22+23615</f>
        <v>23615</v>
      </c>
      <c r="W22" s="45"/>
      <c r="X22" s="67"/>
    </row>
    <row r="23" spans="1:24" ht="14.25" customHeight="1">
      <c r="A23" s="427"/>
      <c r="B23" s="137" t="s">
        <v>47</v>
      </c>
      <c r="C23" s="157" t="s">
        <v>100</v>
      </c>
      <c r="D23" s="48" t="s">
        <v>99</v>
      </c>
      <c r="E23" s="441"/>
      <c r="F23" s="118" t="s">
        <v>71</v>
      </c>
      <c r="G23" s="225"/>
      <c r="H23" s="126"/>
      <c r="I23" s="126"/>
      <c r="J23" s="287"/>
      <c r="K23" s="18"/>
      <c r="L23" s="18"/>
      <c r="M23" s="18">
        <v>22800</v>
      </c>
      <c r="N23" s="80">
        <v>4</v>
      </c>
      <c r="O23" s="126">
        <f>May!AN326</f>
        <v>6005</v>
      </c>
      <c r="P23" s="126">
        <f>May!AO326</f>
        <v>2042</v>
      </c>
      <c r="Q23" s="126">
        <f>May!AM326</f>
        <v>7</v>
      </c>
      <c r="R23" s="436"/>
      <c r="S23" s="436"/>
      <c r="T23" s="18"/>
      <c r="U23" s="18"/>
      <c r="V23" s="127">
        <f>O23-T23-U23+2994</f>
        <v>8999</v>
      </c>
      <c r="W23" s="45"/>
      <c r="X23" s="67"/>
    </row>
    <row r="24" spans="1:24" ht="14.25" customHeight="1">
      <c r="A24" s="427"/>
      <c r="B24" s="122" t="s">
        <v>196</v>
      </c>
      <c r="C24" s="180" t="s">
        <v>63</v>
      </c>
      <c r="D24" s="48" t="s">
        <v>135</v>
      </c>
      <c r="E24" s="441"/>
      <c r="F24" s="118" t="s">
        <v>64</v>
      </c>
      <c r="G24" s="225"/>
      <c r="H24" s="126"/>
      <c r="I24" s="126"/>
      <c r="J24" s="287"/>
      <c r="K24" s="18"/>
      <c r="L24" s="18"/>
      <c r="M24" s="18">
        <v>33200</v>
      </c>
      <c r="N24" s="80">
        <v>4</v>
      </c>
      <c r="O24" s="126"/>
      <c r="P24" s="126"/>
      <c r="Q24" s="126"/>
      <c r="R24" s="436"/>
      <c r="S24" s="436"/>
      <c r="T24" s="18"/>
      <c r="U24" s="18"/>
      <c r="V24" s="127">
        <f>O24-T24-U24+14761</f>
        <v>14761</v>
      </c>
      <c r="W24" s="45"/>
      <c r="X24" s="67"/>
    </row>
    <row r="25" spans="1:24" ht="14.25" customHeight="1">
      <c r="A25" s="427"/>
      <c r="B25" s="122" t="s">
        <v>363</v>
      </c>
      <c r="C25" s="180" t="s">
        <v>325</v>
      </c>
      <c r="D25" s="48" t="s">
        <v>328</v>
      </c>
      <c r="E25" s="441"/>
      <c r="F25" s="118" t="s">
        <v>48</v>
      </c>
      <c r="G25" s="225"/>
      <c r="H25" s="126"/>
      <c r="I25" s="126"/>
      <c r="J25" s="287"/>
      <c r="K25" s="18"/>
      <c r="L25" s="18"/>
      <c r="M25" s="18">
        <v>12000</v>
      </c>
      <c r="N25" s="80">
        <v>2</v>
      </c>
      <c r="O25" s="126"/>
      <c r="P25" s="126"/>
      <c r="Q25" s="126"/>
      <c r="R25" s="436"/>
      <c r="S25" s="436"/>
      <c r="T25" s="18"/>
      <c r="U25" s="18"/>
      <c r="V25" s="127"/>
      <c r="W25" s="45"/>
      <c r="X25" s="67"/>
    </row>
    <row r="26" spans="1:24" ht="14.25" customHeight="1">
      <c r="A26" s="427"/>
      <c r="B26" s="122" t="s">
        <v>253</v>
      </c>
      <c r="C26" s="180" t="s">
        <v>365</v>
      </c>
      <c r="D26" s="48" t="s">
        <v>246</v>
      </c>
      <c r="E26" s="441"/>
      <c r="F26" s="118" t="s">
        <v>247</v>
      </c>
      <c r="G26" s="225"/>
      <c r="H26" s="126"/>
      <c r="I26" s="126"/>
      <c r="J26" s="287"/>
      <c r="K26" s="18"/>
      <c r="L26" s="18"/>
      <c r="M26" s="18">
        <v>15500</v>
      </c>
      <c r="N26" s="80">
        <v>2</v>
      </c>
      <c r="O26" s="126">
        <f>May!AN327</f>
        <v>0</v>
      </c>
      <c r="P26" s="126">
        <f>May!AO327</f>
        <v>703</v>
      </c>
      <c r="Q26" s="126">
        <f>May!AM327</f>
        <v>3</v>
      </c>
      <c r="R26" s="436"/>
      <c r="S26" s="436"/>
      <c r="T26" s="18"/>
      <c r="U26" s="18"/>
      <c r="V26" s="127"/>
      <c r="W26" s="45"/>
      <c r="X26" s="67"/>
    </row>
    <row r="27" spans="1:24" ht="15" customHeight="1">
      <c r="A27" s="427"/>
      <c r="B27" s="122" t="s">
        <v>289</v>
      </c>
      <c r="C27" s="180" t="s">
        <v>290</v>
      </c>
      <c r="D27" s="48" t="s">
        <v>291</v>
      </c>
      <c r="E27" s="441"/>
      <c r="F27" s="118" t="s">
        <v>292</v>
      </c>
      <c r="G27" s="226"/>
      <c r="H27" s="126"/>
      <c r="I27" s="126"/>
      <c r="J27" s="287"/>
      <c r="K27" s="18"/>
      <c r="L27" s="18"/>
      <c r="M27" s="18"/>
      <c r="N27" s="18"/>
      <c r="O27" s="126">
        <f>May!AN328</f>
        <v>781</v>
      </c>
      <c r="P27" s="126">
        <f>May!AO328</f>
        <v>128</v>
      </c>
      <c r="Q27" s="126">
        <f>May!AM328</f>
        <v>1</v>
      </c>
      <c r="R27" s="436"/>
      <c r="S27" s="436"/>
      <c r="T27" s="18"/>
      <c r="U27" s="18"/>
      <c r="V27" s="127">
        <f>O27-T27-U27</f>
        <v>781</v>
      </c>
      <c r="W27" s="45"/>
      <c r="X27" s="67"/>
    </row>
    <row r="28" spans="1:24" ht="15" customHeight="1">
      <c r="A28" s="427"/>
      <c r="B28" s="122" t="s">
        <v>101</v>
      </c>
      <c r="C28" s="180" t="s">
        <v>327</v>
      </c>
      <c r="D28" s="48" t="s">
        <v>102</v>
      </c>
      <c r="E28" s="441"/>
      <c r="F28" s="118" t="s">
        <v>64</v>
      </c>
      <c r="G28" s="119"/>
      <c r="H28" s="37">
        <v>535.5</v>
      </c>
      <c r="I28" s="126"/>
      <c r="J28" s="287"/>
      <c r="K28" s="18"/>
      <c r="L28" s="18"/>
      <c r="M28" s="18">
        <v>27000</v>
      </c>
      <c r="N28" s="18">
        <v>4</v>
      </c>
      <c r="O28" s="126">
        <f>May!AN330</f>
        <v>402</v>
      </c>
      <c r="P28" s="126">
        <f>May!AO330</f>
        <v>206</v>
      </c>
      <c r="Q28" s="126">
        <f>May!AM330</f>
        <v>1</v>
      </c>
      <c r="R28" s="436"/>
      <c r="S28" s="436"/>
      <c r="T28" s="18"/>
      <c r="U28" s="18"/>
      <c r="V28" s="18">
        <f>O28-T28-U28</f>
        <v>402</v>
      </c>
      <c r="W28" s="45"/>
      <c r="X28" s="67"/>
    </row>
    <row r="29" spans="1:24" ht="15" customHeight="1">
      <c r="A29" s="427"/>
      <c r="B29" s="122" t="s">
        <v>103</v>
      </c>
      <c r="C29" s="157" t="s">
        <v>197</v>
      </c>
      <c r="D29" s="48" t="s">
        <v>104</v>
      </c>
      <c r="E29" s="441"/>
      <c r="F29" s="118" t="s">
        <v>105</v>
      </c>
      <c r="G29" s="119"/>
      <c r="H29" s="126"/>
      <c r="I29" s="126"/>
      <c r="J29" s="287"/>
      <c r="K29" s="18"/>
      <c r="L29" s="18"/>
      <c r="M29" s="18"/>
      <c r="N29" s="18"/>
      <c r="O29" s="126"/>
      <c r="P29" s="126"/>
      <c r="Q29" s="126">
        <f>May!AM335</f>
        <v>1</v>
      </c>
      <c r="R29" s="436"/>
      <c r="S29" s="436"/>
      <c r="T29" s="18"/>
      <c r="U29" s="18"/>
      <c r="V29" s="18"/>
      <c r="W29" s="45"/>
      <c r="X29" s="67"/>
    </row>
    <row r="30" spans="1:24" ht="15" customHeight="1">
      <c r="A30" s="427"/>
      <c r="B30" s="137" t="s">
        <v>112</v>
      </c>
      <c r="C30" s="157" t="s">
        <v>197</v>
      </c>
      <c r="D30" s="48" t="s">
        <v>104</v>
      </c>
      <c r="E30" s="441"/>
      <c r="F30" s="118" t="s">
        <v>113</v>
      </c>
      <c r="G30" s="119"/>
      <c r="H30" s="126"/>
      <c r="I30" s="126"/>
      <c r="J30" s="287"/>
      <c r="K30" s="18"/>
      <c r="L30" s="18"/>
      <c r="M30" s="18"/>
      <c r="N30" s="18"/>
      <c r="O30" s="126"/>
      <c r="P30" s="126"/>
      <c r="Q30" s="126">
        <f>May!AM337</f>
        <v>1</v>
      </c>
      <c r="R30" s="436"/>
      <c r="S30" s="436"/>
      <c r="T30" s="18"/>
      <c r="U30" s="18"/>
      <c r="V30" s="18"/>
      <c r="W30" s="45"/>
      <c r="X30" s="67"/>
    </row>
    <row r="31" spans="1:24" ht="15" customHeight="1" thickBot="1">
      <c r="A31" s="428"/>
      <c r="B31" s="44" t="s">
        <v>107</v>
      </c>
      <c r="C31" s="181" t="s">
        <v>195</v>
      </c>
      <c r="D31" s="61" t="s">
        <v>108</v>
      </c>
      <c r="E31" s="447"/>
      <c r="F31" s="133" t="s">
        <v>48</v>
      </c>
      <c r="G31" s="132"/>
      <c r="H31" s="109"/>
      <c r="I31" s="134"/>
      <c r="J31" s="286"/>
      <c r="K31" s="130"/>
      <c r="L31" s="130"/>
      <c r="M31" s="130"/>
      <c r="N31" s="130"/>
      <c r="O31" s="134"/>
      <c r="P31" s="134"/>
      <c r="Q31" s="134">
        <f>May!AM336</f>
        <v>1</v>
      </c>
      <c r="R31" s="437"/>
      <c r="S31" s="437"/>
      <c r="T31" s="130"/>
      <c r="U31" s="130"/>
      <c r="V31" s="128"/>
      <c r="W31" s="85"/>
      <c r="X31" s="67"/>
    </row>
    <row r="32" spans="1:24" ht="15" customHeight="1">
      <c r="A32" s="426">
        <v>46147</v>
      </c>
      <c r="B32" s="429" t="s">
        <v>44</v>
      </c>
      <c r="C32" s="432" t="s">
        <v>240</v>
      </c>
      <c r="D32" s="19" t="s">
        <v>37</v>
      </c>
      <c r="E32" s="19" t="s">
        <v>25</v>
      </c>
      <c r="F32" s="39" t="s">
        <v>40</v>
      </c>
      <c r="G32" s="168">
        <v>5498.1</v>
      </c>
      <c r="H32" s="32">
        <v>4608</v>
      </c>
      <c r="I32" s="32"/>
      <c r="J32" s="32"/>
      <c r="K32" s="20">
        <v>56000</v>
      </c>
      <c r="L32" s="20">
        <v>7</v>
      </c>
      <c r="M32" s="20">
        <v>216000</v>
      </c>
      <c r="N32" s="84">
        <v>27</v>
      </c>
      <c r="O32" s="32">
        <f>May!AQ311</f>
        <v>6345</v>
      </c>
      <c r="P32" s="32">
        <f>May!AR311</f>
        <v>20490</v>
      </c>
      <c r="Q32" s="32">
        <f>May!AP311</f>
        <v>56</v>
      </c>
      <c r="R32" s="435">
        <f>May!AQ340</f>
        <v>57695</v>
      </c>
      <c r="S32" s="435">
        <f>May!AR340</f>
        <v>74604</v>
      </c>
      <c r="T32" s="20">
        <v>16757</v>
      </c>
      <c r="U32" s="20">
        <v>6</v>
      </c>
      <c r="V32" s="20">
        <f>O32-T32-U32+V4</f>
        <v>145664</v>
      </c>
      <c r="W32" s="77"/>
      <c r="X32" s="36"/>
    </row>
    <row r="33" spans="1:25" ht="15" customHeight="1">
      <c r="A33" s="427"/>
      <c r="B33" s="430"/>
      <c r="C33" s="433"/>
      <c r="D33" s="113" t="s">
        <v>128</v>
      </c>
      <c r="E33" s="438" t="s">
        <v>24</v>
      </c>
      <c r="F33" s="118" t="s">
        <v>40</v>
      </c>
      <c r="G33" s="38"/>
      <c r="H33" s="126"/>
      <c r="I33" s="125"/>
      <c r="J33" s="125"/>
      <c r="K33" s="18"/>
      <c r="L33" s="127"/>
      <c r="M33" s="216"/>
      <c r="N33" s="238"/>
      <c r="O33" s="126">
        <f>May!AQ312</f>
        <v>13342</v>
      </c>
      <c r="P33" s="125">
        <f>May!AR312</f>
        <v>15568</v>
      </c>
      <c r="Q33" s="125">
        <f>May!AP312</f>
        <v>41</v>
      </c>
      <c r="R33" s="436"/>
      <c r="S33" s="436"/>
      <c r="T33" s="127">
        <v>17364</v>
      </c>
      <c r="U33" s="127">
        <v>880</v>
      </c>
      <c r="V33" s="127">
        <f>O33-T33-U33+V5</f>
        <v>25999</v>
      </c>
      <c r="W33" s="46"/>
      <c r="X33" s="67"/>
    </row>
    <row r="34" spans="1:25" ht="15" customHeight="1">
      <c r="A34" s="427"/>
      <c r="B34" s="431"/>
      <c r="C34" s="434"/>
      <c r="D34" s="113" t="s">
        <v>307</v>
      </c>
      <c r="E34" s="431"/>
      <c r="F34" s="118" t="s">
        <v>40</v>
      </c>
      <c r="G34" s="158">
        <v>2158</v>
      </c>
      <c r="H34" s="158"/>
      <c r="I34" s="125"/>
      <c r="J34" s="125"/>
      <c r="K34" s="127"/>
      <c r="L34" s="127"/>
      <c r="M34" s="216">
        <v>127400</v>
      </c>
      <c r="N34" s="238">
        <v>16</v>
      </c>
      <c r="O34" s="126">
        <f>May!AQ313</f>
        <v>20580</v>
      </c>
      <c r="P34" s="125">
        <f>May!AR313</f>
        <v>19230</v>
      </c>
      <c r="Q34" s="125">
        <f>May!AP313</f>
        <v>50</v>
      </c>
      <c r="R34" s="436"/>
      <c r="S34" s="436"/>
      <c r="T34" s="127">
        <v>17450</v>
      </c>
      <c r="U34" s="127">
        <v>7</v>
      </c>
      <c r="V34" s="127">
        <f>O34-T34-U34+V6</f>
        <v>29438</v>
      </c>
      <c r="W34" s="46"/>
      <c r="X34" s="67"/>
    </row>
    <row r="35" spans="1:25" ht="15" customHeight="1">
      <c r="A35" s="427"/>
      <c r="B35" s="442" t="s">
        <v>45</v>
      </c>
      <c r="C35" s="471" t="s">
        <v>59</v>
      </c>
      <c r="D35" s="118" t="s">
        <v>75</v>
      </c>
      <c r="E35" s="438" t="s">
        <v>25</v>
      </c>
      <c r="F35" s="131" t="s">
        <v>57</v>
      </c>
      <c r="G35" s="87"/>
      <c r="H35" s="152"/>
      <c r="I35" s="126"/>
      <c r="J35" s="2"/>
      <c r="K35" s="127"/>
      <c r="L35" s="18"/>
      <c r="M35" s="18"/>
      <c r="N35" s="80"/>
      <c r="O35" s="126">
        <f>May!AQ317</f>
        <v>1100</v>
      </c>
      <c r="P35" s="126">
        <f>May!AR317</f>
        <v>490</v>
      </c>
      <c r="Q35" s="2">
        <f>May!AP317</f>
        <v>2</v>
      </c>
      <c r="R35" s="436"/>
      <c r="S35" s="436"/>
      <c r="T35" s="18"/>
      <c r="U35" s="18"/>
      <c r="V35" s="127">
        <f>O35-T35-U35+V7</f>
        <v>29303</v>
      </c>
      <c r="W35" s="46"/>
      <c r="Y35" s="13"/>
    </row>
    <row r="36" spans="1:25" ht="15" customHeight="1">
      <c r="A36" s="427"/>
      <c r="B36" s="439"/>
      <c r="C36" s="471"/>
      <c r="D36" s="118" t="s">
        <v>291</v>
      </c>
      <c r="E36" s="430"/>
      <c r="F36" s="131" t="s">
        <v>57</v>
      </c>
      <c r="G36" s="87"/>
      <c r="H36" s="152"/>
      <c r="I36" s="126"/>
      <c r="J36" s="2"/>
      <c r="K36" s="127"/>
      <c r="L36" s="18"/>
      <c r="M36" s="18">
        <v>9800</v>
      </c>
      <c r="N36" s="80">
        <v>2</v>
      </c>
      <c r="O36" s="126">
        <f>May!AQ318</f>
        <v>3658</v>
      </c>
      <c r="P36" s="126">
        <f>May!AR318</f>
        <v>3668</v>
      </c>
      <c r="Q36" s="2">
        <f>May!AP318</f>
        <v>16</v>
      </c>
      <c r="R36" s="436"/>
      <c r="S36" s="436"/>
      <c r="T36" s="18">
        <v>6336</v>
      </c>
      <c r="U36" s="18">
        <v>6</v>
      </c>
      <c r="V36" s="127">
        <f>O36-T36-U36+V8</f>
        <v>18985</v>
      </c>
      <c r="W36" s="46"/>
      <c r="Y36" s="13"/>
    </row>
    <row r="37" spans="1:25">
      <c r="A37" s="427"/>
      <c r="B37" s="439"/>
      <c r="C37" s="471"/>
      <c r="D37" s="118" t="s">
        <v>72</v>
      </c>
      <c r="E37" s="155" t="s">
        <v>24</v>
      </c>
      <c r="F37" s="131" t="s">
        <v>57</v>
      </c>
      <c r="G37" s="224"/>
      <c r="H37" s="152"/>
      <c r="I37" s="126"/>
      <c r="J37" s="126"/>
      <c r="K37" s="127"/>
      <c r="L37" s="18"/>
      <c r="M37" s="18">
        <v>50000</v>
      </c>
      <c r="N37" s="80">
        <v>10</v>
      </c>
      <c r="O37" s="126">
        <f>May!AQ319</f>
        <v>7756</v>
      </c>
      <c r="P37" s="126">
        <f>May!AR319</f>
        <v>4689</v>
      </c>
      <c r="Q37" s="126">
        <f>May!AP319</f>
        <v>20</v>
      </c>
      <c r="R37" s="436"/>
      <c r="S37" s="436"/>
      <c r="T37" s="18"/>
      <c r="U37" s="18"/>
      <c r="V37" s="127">
        <f>O37-T37-U37+V10</f>
        <v>14161</v>
      </c>
      <c r="W37" s="46"/>
      <c r="Y37" s="13"/>
    </row>
    <row r="38" spans="1:25" ht="14.25" customHeight="1">
      <c r="A38" s="427"/>
      <c r="B38" s="439"/>
      <c r="C38" s="471"/>
      <c r="D38" s="115" t="s">
        <v>79</v>
      </c>
      <c r="E38" s="118" t="s">
        <v>65</v>
      </c>
      <c r="F38" s="131" t="s">
        <v>57</v>
      </c>
      <c r="G38" s="224"/>
      <c r="H38" s="126"/>
      <c r="I38" s="126"/>
      <c r="J38" s="126"/>
      <c r="K38" s="18"/>
      <c r="L38" s="18"/>
      <c r="M38" s="18"/>
      <c r="N38" s="80"/>
      <c r="O38" s="126"/>
      <c r="P38" s="126"/>
      <c r="Q38" s="126">
        <f>May!AP320</f>
        <v>1</v>
      </c>
      <c r="R38" s="436"/>
      <c r="S38" s="436"/>
      <c r="T38" s="18"/>
      <c r="U38" s="18"/>
      <c r="V38" s="127"/>
      <c r="W38" s="45"/>
      <c r="X38" s="36"/>
    </row>
    <row r="39" spans="1:25" ht="14.25" customHeight="1">
      <c r="A39" s="427"/>
      <c r="B39" s="443"/>
      <c r="C39" s="271" t="s">
        <v>299</v>
      </c>
      <c r="D39" s="115" t="s">
        <v>296</v>
      </c>
      <c r="E39" s="115" t="s">
        <v>25</v>
      </c>
      <c r="F39" s="131" t="s">
        <v>298</v>
      </c>
      <c r="G39" s="224"/>
      <c r="H39" s="37"/>
      <c r="I39" s="126"/>
      <c r="J39" s="126"/>
      <c r="K39" s="18"/>
      <c r="L39" s="18"/>
      <c r="M39" s="18"/>
      <c r="N39" s="80"/>
      <c r="O39" s="126"/>
      <c r="P39" s="126">
        <f>May!AR321</f>
        <v>270</v>
      </c>
      <c r="Q39" s="126">
        <f>May!AP321</f>
        <v>1</v>
      </c>
      <c r="R39" s="436"/>
      <c r="S39" s="436"/>
      <c r="T39" s="18"/>
      <c r="U39" s="18"/>
      <c r="V39" s="127"/>
      <c r="W39" s="45"/>
      <c r="X39" s="67"/>
    </row>
    <row r="40" spans="1:25" ht="14.25" customHeight="1">
      <c r="A40" s="427"/>
      <c r="B40" s="442" t="s">
        <v>53</v>
      </c>
      <c r="C40" s="444" t="s">
        <v>60</v>
      </c>
      <c r="D40" s="43" t="s">
        <v>130</v>
      </c>
      <c r="E40" s="424" t="s">
        <v>66</v>
      </c>
      <c r="F40" s="118" t="s">
        <v>54</v>
      </c>
      <c r="G40" s="224"/>
      <c r="H40" s="37"/>
      <c r="I40" s="126"/>
      <c r="J40" s="126"/>
      <c r="K40" s="18">
        <v>24000</v>
      </c>
      <c r="L40" s="18">
        <v>4</v>
      </c>
      <c r="M40" s="18"/>
      <c r="N40" s="80"/>
      <c r="O40" s="126">
        <f>May!AQ314</f>
        <v>2997</v>
      </c>
      <c r="P40" s="126">
        <f>May!AR314</f>
        <v>6314</v>
      </c>
      <c r="Q40" s="126">
        <f>May!AP314</f>
        <v>19</v>
      </c>
      <c r="R40" s="436"/>
      <c r="S40" s="436"/>
      <c r="T40" s="18">
        <v>10313</v>
      </c>
      <c r="U40" s="18"/>
      <c r="V40" s="127">
        <f>O40-T40-U40+V14</f>
        <v>2715</v>
      </c>
      <c r="W40" s="45"/>
      <c r="X40" s="67"/>
    </row>
    <row r="41" spans="1:25" ht="14.25" customHeight="1">
      <c r="A41" s="427"/>
      <c r="B41" s="439"/>
      <c r="C41" s="445"/>
      <c r="D41" s="43" t="s">
        <v>320</v>
      </c>
      <c r="E41" s="425"/>
      <c r="F41" s="118" t="s">
        <v>54</v>
      </c>
      <c r="G41" s="224"/>
      <c r="H41" s="37"/>
      <c r="I41" s="126"/>
      <c r="J41" s="126"/>
      <c r="K41" s="18"/>
      <c r="L41" s="18"/>
      <c r="M41" s="18">
        <v>66000</v>
      </c>
      <c r="N41" s="80">
        <v>11</v>
      </c>
      <c r="O41" s="126"/>
      <c r="P41" s="126">
        <f>May!AR315</f>
        <v>331</v>
      </c>
      <c r="Q41" s="126">
        <f>May!AP315</f>
        <v>1</v>
      </c>
      <c r="R41" s="436"/>
      <c r="S41" s="436"/>
      <c r="T41" s="18"/>
      <c r="U41" s="18"/>
      <c r="V41" s="127">
        <f>O41-T41-U41+V15</f>
        <v>794</v>
      </c>
      <c r="W41" s="45"/>
      <c r="X41" s="67"/>
    </row>
    <row r="42" spans="1:25" ht="14.25" customHeight="1">
      <c r="A42" s="427"/>
      <c r="B42" s="443"/>
      <c r="C42" s="446"/>
      <c r="D42" s="43" t="s">
        <v>199</v>
      </c>
      <c r="E42" s="114" t="s">
        <v>25</v>
      </c>
      <c r="F42" s="118" t="s">
        <v>54</v>
      </c>
      <c r="G42" s="224"/>
      <c r="H42" s="135"/>
      <c r="I42" s="158"/>
      <c r="J42" s="158"/>
      <c r="K42" s="128"/>
      <c r="L42" s="128"/>
      <c r="M42" s="128"/>
      <c r="N42" s="164"/>
      <c r="O42" s="158"/>
      <c r="P42" s="158"/>
      <c r="Q42" s="158">
        <f>May!AP316</f>
        <v>1</v>
      </c>
      <c r="R42" s="436"/>
      <c r="S42" s="436"/>
      <c r="T42" s="18"/>
      <c r="U42" s="18"/>
      <c r="V42" s="127"/>
      <c r="W42" s="45"/>
      <c r="X42" s="67"/>
    </row>
    <row r="43" spans="1:25" ht="15.75" customHeight="1">
      <c r="A43" s="427"/>
      <c r="B43" s="122" t="s">
        <v>55</v>
      </c>
      <c r="C43" s="180" t="s">
        <v>133</v>
      </c>
      <c r="D43" s="48" t="s">
        <v>56</v>
      </c>
      <c r="E43" s="424" t="s">
        <v>25</v>
      </c>
      <c r="F43" s="118" t="s">
        <v>67</v>
      </c>
      <c r="G43" s="226"/>
      <c r="H43" s="126"/>
      <c r="I43" s="126"/>
      <c r="J43" s="2"/>
      <c r="K43" s="18"/>
      <c r="L43" s="18"/>
      <c r="M43" s="18">
        <v>2800</v>
      </c>
      <c r="N43" s="18">
        <v>1</v>
      </c>
      <c r="O43" s="126"/>
      <c r="P43" s="126"/>
      <c r="Q43" s="126"/>
      <c r="R43" s="436"/>
      <c r="S43" s="436"/>
      <c r="T43" s="18"/>
      <c r="U43" s="18"/>
      <c r="V43" s="127">
        <f>O43-T43-U43+V17</f>
        <v>500</v>
      </c>
      <c r="W43" s="45"/>
      <c r="X43" s="67"/>
    </row>
    <row r="44" spans="1:25" ht="15.75" customHeight="1">
      <c r="A44" s="427"/>
      <c r="B44" s="122" t="s">
        <v>55</v>
      </c>
      <c r="C44" s="180" t="s">
        <v>316</v>
      </c>
      <c r="D44" s="48" t="s">
        <v>317</v>
      </c>
      <c r="E44" s="441"/>
      <c r="F44" s="155" t="s">
        <v>67</v>
      </c>
      <c r="G44" s="226"/>
      <c r="H44" s="126"/>
      <c r="I44" s="126"/>
      <c r="J44" s="2"/>
      <c r="K44" s="18"/>
      <c r="L44" s="18"/>
      <c r="M44" s="18"/>
      <c r="N44" s="18"/>
      <c r="O44" s="126"/>
      <c r="P44" s="126"/>
      <c r="Q44" s="126">
        <f>May!AP339</f>
        <v>1</v>
      </c>
      <c r="R44" s="436"/>
      <c r="S44" s="436"/>
      <c r="T44" s="18"/>
      <c r="U44" s="18"/>
      <c r="V44" s="127"/>
      <c r="W44" s="45"/>
      <c r="X44" s="67"/>
    </row>
    <row r="45" spans="1:25" ht="15" customHeight="1">
      <c r="A45" s="427"/>
      <c r="B45" s="122" t="s">
        <v>122</v>
      </c>
      <c r="C45" s="180" t="s">
        <v>123</v>
      </c>
      <c r="D45" s="48" t="s">
        <v>56</v>
      </c>
      <c r="E45" s="441"/>
      <c r="F45" s="155" t="s">
        <v>64</v>
      </c>
      <c r="G45" s="119"/>
      <c r="H45" s="126"/>
      <c r="I45" s="126"/>
      <c r="J45" s="2"/>
      <c r="K45" s="18"/>
      <c r="L45" s="18"/>
      <c r="M45" s="18">
        <v>6400</v>
      </c>
      <c r="N45" s="18">
        <v>2</v>
      </c>
      <c r="O45" s="126"/>
      <c r="P45" s="126"/>
      <c r="Q45" s="126">
        <f>May!AP323</f>
        <v>1</v>
      </c>
      <c r="R45" s="436"/>
      <c r="S45" s="436"/>
      <c r="T45" s="18"/>
      <c r="U45" s="18"/>
      <c r="V45" s="127">
        <f t="shared" ref="V45:V50" si="0">O45-T45-U45+V19</f>
        <v>31304</v>
      </c>
      <c r="W45" s="45"/>
      <c r="X45" s="67"/>
    </row>
    <row r="46" spans="1:25" ht="14.25" customHeight="1">
      <c r="A46" s="427"/>
      <c r="B46" s="137" t="s">
        <v>58</v>
      </c>
      <c r="C46" s="157" t="s">
        <v>243</v>
      </c>
      <c r="D46" s="48" t="s">
        <v>56</v>
      </c>
      <c r="E46" s="441"/>
      <c r="F46" s="118" t="s">
        <v>64</v>
      </c>
      <c r="G46" s="225"/>
      <c r="H46" s="126"/>
      <c r="I46" s="126"/>
      <c r="J46" s="126"/>
      <c r="K46" s="18"/>
      <c r="L46" s="18"/>
      <c r="M46" s="18"/>
      <c r="N46" s="80"/>
      <c r="O46" s="126"/>
      <c r="P46" s="126"/>
      <c r="Q46" s="126">
        <f>May!AP324</f>
        <v>1</v>
      </c>
      <c r="R46" s="436"/>
      <c r="S46" s="436"/>
      <c r="T46" s="18"/>
      <c r="U46" s="18"/>
      <c r="V46" s="127">
        <f t="shared" si="0"/>
        <v>8562</v>
      </c>
      <c r="W46" s="45"/>
      <c r="X46" s="67"/>
    </row>
    <row r="47" spans="1:25" ht="14.25" customHeight="1">
      <c r="A47" s="427"/>
      <c r="B47" s="122" t="s">
        <v>61</v>
      </c>
      <c r="C47" s="180" t="s">
        <v>137</v>
      </c>
      <c r="D47" s="48" t="s">
        <v>56</v>
      </c>
      <c r="E47" s="441"/>
      <c r="F47" s="118" t="s">
        <v>67</v>
      </c>
      <c r="G47" s="225"/>
      <c r="H47" s="126"/>
      <c r="I47" s="126"/>
      <c r="J47" s="126"/>
      <c r="K47" s="18"/>
      <c r="L47" s="18"/>
      <c r="M47" s="18"/>
      <c r="N47" s="80"/>
      <c r="O47" s="126"/>
      <c r="P47" s="126"/>
      <c r="Q47" s="126">
        <f>May!AP325</f>
        <v>1</v>
      </c>
      <c r="R47" s="436"/>
      <c r="S47" s="436"/>
      <c r="T47" s="18"/>
      <c r="U47" s="18"/>
      <c r="V47" s="127">
        <f t="shared" si="0"/>
        <v>5844</v>
      </c>
      <c r="W47" s="45"/>
      <c r="X47" s="67"/>
    </row>
    <row r="48" spans="1:25" ht="14.25" customHeight="1">
      <c r="A48" s="427"/>
      <c r="B48" s="122" t="s">
        <v>125</v>
      </c>
      <c r="C48" s="180" t="s">
        <v>88</v>
      </c>
      <c r="D48" s="48" t="s">
        <v>124</v>
      </c>
      <c r="E48" s="441"/>
      <c r="F48" s="118" t="s">
        <v>64</v>
      </c>
      <c r="G48" s="225"/>
      <c r="H48" s="126"/>
      <c r="I48" s="126"/>
      <c r="J48" s="126"/>
      <c r="K48" s="18"/>
      <c r="L48" s="18"/>
      <c r="M48" s="18">
        <v>51200</v>
      </c>
      <c r="N48" s="80">
        <v>7</v>
      </c>
      <c r="O48" s="126"/>
      <c r="P48" s="126"/>
      <c r="Q48" s="126"/>
      <c r="R48" s="436"/>
      <c r="S48" s="436"/>
      <c r="T48" s="18"/>
      <c r="U48" s="18"/>
      <c r="V48" s="127">
        <f t="shared" si="0"/>
        <v>23615</v>
      </c>
      <c r="W48" s="45"/>
      <c r="X48" s="67"/>
    </row>
    <row r="49" spans="1:25" ht="14.25" customHeight="1">
      <c r="A49" s="427"/>
      <c r="B49" s="137" t="s">
        <v>47</v>
      </c>
      <c r="C49" s="157" t="s">
        <v>100</v>
      </c>
      <c r="D49" s="48" t="s">
        <v>99</v>
      </c>
      <c r="E49" s="441"/>
      <c r="F49" s="118" t="s">
        <v>71</v>
      </c>
      <c r="G49" s="225"/>
      <c r="H49" s="126"/>
      <c r="I49" s="126"/>
      <c r="J49" s="126"/>
      <c r="K49" s="18"/>
      <c r="L49" s="18"/>
      <c r="M49" s="18">
        <v>22800</v>
      </c>
      <c r="N49" s="80">
        <v>4</v>
      </c>
      <c r="O49" s="126">
        <f>May!AQ326</f>
        <v>1813</v>
      </c>
      <c r="P49" s="126">
        <f>May!AR326</f>
        <v>1758</v>
      </c>
      <c r="Q49" s="126">
        <f>May!AP326</f>
        <v>7</v>
      </c>
      <c r="R49" s="436"/>
      <c r="S49" s="436"/>
      <c r="T49" s="18"/>
      <c r="U49" s="18"/>
      <c r="V49" s="127">
        <f t="shared" si="0"/>
        <v>10812</v>
      </c>
      <c r="W49" s="45"/>
      <c r="X49" s="67"/>
    </row>
    <row r="50" spans="1:25" ht="15" customHeight="1">
      <c r="A50" s="427"/>
      <c r="B50" s="122" t="s">
        <v>196</v>
      </c>
      <c r="C50" s="180" t="s">
        <v>63</v>
      </c>
      <c r="D50" s="48" t="s">
        <v>135</v>
      </c>
      <c r="E50" s="441"/>
      <c r="F50" s="118" t="s">
        <v>64</v>
      </c>
      <c r="G50" s="226"/>
      <c r="H50" s="126"/>
      <c r="I50" s="126"/>
      <c r="J50" s="2"/>
      <c r="K50" s="18"/>
      <c r="L50" s="18"/>
      <c r="M50" s="18">
        <v>33200</v>
      </c>
      <c r="N50" s="18">
        <v>4</v>
      </c>
      <c r="O50" s="126"/>
      <c r="P50" s="126"/>
      <c r="Q50" s="126"/>
      <c r="R50" s="436"/>
      <c r="S50" s="436"/>
      <c r="T50" s="18"/>
      <c r="U50" s="18"/>
      <c r="V50" s="127">
        <f t="shared" si="0"/>
        <v>14761</v>
      </c>
      <c r="W50" s="45"/>
      <c r="X50" s="67"/>
    </row>
    <row r="51" spans="1:25" ht="15" customHeight="1">
      <c r="A51" s="427"/>
      <c r="B51" s="122" t="s">
        <v>363</v>
      </c>
      <c r="C51" s="180" t="s">
        <v>325</v>
      </c>
      <c r="D51" s="48" t="s">
        <v>328</v>
      </c>
      <c r="E51" s="441"/>
      <c r="F51" s="118" t="s">
        <v>48</v>
      </c>
      <c r="G51" s="226"/>
      <c r="H51" s="126"/>
      <c r="I51" s="126"/>
      <c r="J51" s="2"/>
      <c r="K51" s="18"/>
      <c r="L51" s="18"/>
      <c r="M51" s="18">
        <v>12000</v>
      </c>
      <c r="N51" s="18">
        <v>2</v>
      </c>
      <c r="O51" s="126"/>
      <c r="P51" s="126"/>
      <c r="Q51" s="126"/>
      <c r="R51" s="436"/>
      <c r="S51" s="436"/>
      <c r="T51" s="18"/>
      <c r="U51" s="18"/>
      <c r="V51" s="127"/>
      <c r="W51" s="45"/>
      <c r="X51" s="67"/>
    </row>
    <row r="52" spans="1:25" ht="15" customHeight="1">
      <c r="A52" s="427"/>
      <c r="B52" s="122" t="s">
        <v>253</v>
      </c>
      <c r="C52" s="180" t="s">
        <v>365</v>
      </c>
      <c r="D52" s="48" t="s">
        <v>246</v>
      </c>
      <c r="E52" s="441"/>
      <c r="F52" s="118" t="s">
        <v>247</v>
      </c>
      <c r="G52" s="226"/>
      <c r="H52" s="126"/>
      <c r="I52" s="126"/>
      <c r="J52" s="2"/>
      <c r="K52" s="18">
        <v>7750</v>
      </c>
      <c r="L52" s="18">
        <v>1</v>
      </c>
      <c r="M52" s="18">
        <v>7750</v>
      </c>
      <c r="N52" s="18">
        <v>1</v>
      </c>
      <c r="O52" s="126"/>
      <c r="P52" s="126">
        <f>May!AR327</f>
        <v>932</v>
      </c>
      <c r="Q52" s="126">
        <f>May!AP327</f>
        <v>4</v>
      </c>
      <c r="R52" s="436"/>
      <c r="S52" s="436"/>
      <c r="T52" s="18"/>
      <c r="U52" s="18"/>
      <c r="V52" s="127"/>
      <c r="W52" s="45"/>
      <c r="X52" s="67"/>
    </row>
    <row r="53" spans="1:25" ht="15" customHeight="1">
      <c r="A53" s="427"/>
      <c r="B53" s="122" t="s">
        <v>289</v>
      </c>
      <c r="C53" s="180" t="s">
        <v>290</v>
      </c>
      <c r="D53" s="48" t="s">
        <v>291</v>
      </c>
      <c r="E53" s="441"/>
      <c r="F53" s="118" t="s">
        <v>292</v>
      </c>
      <c r="G53" s="119"/>
      <c r="H53" s="126"/>
      <c r="I53" s="126"/>
      <c r="J53" s="2"/>
      <c r="K53" s="18"/>
      <c r="L53" s="18"/>
      <c r="M53" s="18"/>
      <c r="N53" s="18"/>
      <c r="O53" s="126">
        <f>May!AQ328</f>
        <v>104</v>
      </c>
      <c r="P53" s="126"/>
      <c r="Q53" s="126"/>
      <c r="R53" s="436"/>
      <c r="S53" s="436"/>
      <c r="T53" s="18">
        <v>885</v>
      </c>
      <c r="U53" s="18"/>
      <c r="V53" s="18">
        <f>O53-T53-U53+V27</f>
        <v>0</v>
      </c>
      <c r="W53" s="45"/>
      <c r="X53" s="67"/>
    </row>
    <row r="54" spans="1:25" ht="15" customHeight="1">
      <c r="A54" s="427"/>
      <c r="B54" s="122" t="s">
        <v>101</v>
      </c>
      <c r="C54" s="180" t="s">
        <v>327</v>
      </c>
      <c r="D54" s="48" t="s">
        <v>102</v>
      </c>
      <c r="E54" s="441"/>
      <c r="F54" s="118" t="s">
        <v>64</v>
      </c>
      <c r="G54" s="119"/>
      <c r="H54" s="126"/>
      <c r="I54" s="126"/>
      <c r="J54" s="2"/>
      <c r="K54" s="18">
        <v>20000</v>
      </c>
      <c r="L54" s="18">
        <v>3</v>
      </c>
      <c r="M54" s="18">
        <v>7000</v>
      </c>
      <c r="N54" s="18">
        <v>1</v>
      </c>
      <c r="O54" s="126"/>
      <c r="P54" s="126">
        <f>May!AR330</f>
        <v>864</v>
      </c>
      <c r="Q54" s="126">
        <f>May!AP330</f>
        <v>3</v>
      </c>
      <c r="R54" s="436"/>
      <c r="S54" s="436"/>
      <c r="T54" s="18"/>
      <c r="U54" s="18"/>
      <c r="V54" s="18">
        <f>O54-T54-U54+V28</f>
        <v>402</v>
      </c>
      <c r="W54" s="45"/>
      <c r="X54" s="67"/>
    </row>
    <row r="55" spans="1:25" ht="15" customHeight="1">
      <c r="A55" s="427"/>
      <c r="B55" s="122" t="s">
        <v>103</v>
      </c>
      <c r="C55" s="157" t="s">
        <v>197</v>
      </c>
      <c r="D55" s="48" t="s">
        <v>104</v>
      </c>
      <c r="E55" s="441"/>
      <c r="F55" s="118" t="s">
        <v>105</v>
      </c>
      <c r="G55" s="119"/>
      <c r="H55" s="126"/>
      <c r="I55" s="126"/>
      <c r="J55" s="2"/>
      <c r="K55" s="18"/>
      <c r="L55" s="18"/>
      <c r="M55" s="18"/>
      <c r="N55" s="18"/>
      <c r="O55" s="126"/>
      <c r="P55" s="126"/>
      <c r="Q55" s="126">
        <f>May!AP335</f>
        <v>1</v>
      </c>
      <c r="R55" s="436"/>
      <c r="S55" s="436"/>
      <c r="T55" s="18"/>
      <c r="U55" s="18"/>
      <c r="V55" s="18"/>
      <c r="W55" s="45"/>
      <c r="X55" s="67"/>
    </row>
    <row r="56" spans="1:25" ht="15" customHeight="1">
      <c r="A56" s="427"/>
      <c r="B56" s="137" t="s">
        <v>112</v>
      </c>
      <c r="C56" s="157" t="s">
        <v>197</v>
      </c>
      <c r="D56" s="48" t="s">
        <v>104</v>
      </c>
      <c r="E56" s="441"/>
      <c r="F56" s="118" t="s">
        <v>113</v>
      </c>
      <c r="G56" s="119"/>
      <c r="H56" s="126"/>
      <c r="I56" s="126"/>
      <c r="J56" s="2"/>
      <c r="K56" s="18"/>
      <c r="L56" s="18"/>
      <c r="M56" s="18"/>
      <c r="N56" s="18"/>
      <c r="O56" s="126"/>
      <c r="P56" s="126"/>
      <c r="Q56" s="126">
        <f>May!AP337</f>
        <v>1</v>
      </c>
      <c r="R56" s="436"/>
      <c r="S56" s="436"/>
      <c r="T56" s="18"/>
      <c r="U56" s="18"/>
      <c r="V56" s="18"/>
      <c r="W56" s="45"/>
      <c r="X56" s="67"/>
    </row>
    <row r="57" spans="1:25" ht="15" customHeight="1" thickBot="1">
      <c r="A57" s="428"/>
      <c r="B57" s="44" t="s">
        <v>107</v>
      </c>
      <c r="C57" s="181" t="s">
        <v>195</v>
      </c>
      <c r="D57" s="61" t="s">
        <v>108</v>
      </c>
      <c r="E57" s="447"/>
      <c r="F57" s="133" t="s">
        <v>48</v>
      </c>
      <c r="G57" s="132"/>
      <c r="H57" s="109"/>
      <c r="I57" s="134"/>
      <c r="J57" s="129"/>
      <c r="K57" s="130"/>
      <c r="L57" s="130"/>
      <c r="M57" s="130"/>
      <c r="N57" s="130"/>
      <c r="O57" s="134"/>
      <c r="P57" s="134"/>
      <c r="Q57" s="134">
        <f>May!AP336</f>
        <v>1</v>
      </c>
      <c r="R57" s="437"/>
      <c r="S57" s="437"/>
      <c r="T57" s="130"/>
      <c r="U57" s="130"/>
      <c r="V57" s="128"/>
      <c r="W57" s="85"/>
      <c r="X57" s="67"/>
    </row>
    <row r="58" spans="1:25" ht="15" customHeight="1">
      <c r="A58" s="426">
        <v>46148</v>
      </c>
      <c r="B58" s="429" t="s">
        <v>44</v>
      </c>
      <c r="C58" s="432" t="s">
        <v>240</v>
      </c>
      <c r="D58" s="19" t="s">
        <v>37</v>
      </c>
      <c r="E58" s="19" t="s">
        <v>25</v>
      </c>
      <c r="F58" s="39" t="s">
        <v>40</v>
      </c>
      <c r="G58" s="41"/>
      <c r="H58" s="32"/>
      <c r="I58" s="32"/>
      <c r="J58" s="32"/>
      <c r="K58" s="20">
        <v>96000</v>
      </c>
      <c r="L58" s="20">
        <v>12</v>
      </c>
      <c r="M58" s="20">
        <v>120000</v>
      </c>
      <c r="N58" s="84">
        <v>15</v>
      </c>
      <c r="O58" s="32">
        <f>May!AT311</f>
        <v>22085</v>
      </c>
      <c r="P58" s="32">
        <f>May!AU311</f>
        <v>22637</v>
      </c>
      <c r="Q58" s="32">
        <f>May!AS311</f>
        <v>62</v>
      </c>
      <c r="R58" s="435">
        <f>May!AT340</f>
        <v>79190</v>
      </c>
      <c r="S58" s="435">
        <f>May!AU340</f>
        <v>75879</v>
      </c>
      <c r="T58" s="20"/>
      <c r="U58" s="20"/>
      <c r="V58" s="20">
        <f t="shared" ref="V58:V63" si="1">O58-T58-U58+V32</f>
        <v>167749</v>
      </c>
      <c r="W58" s="77"/>
      <c r="X58" s="36"/>
    </row>
    <row r="59" spans="1:25" ht="15" customHeight="1">
      <c r="A59" s="427"/>
      <c r="B59" s="430"/>
      <c r="C59" s="433"/>
      <c r="D59" s="113" t="s">
        <v>128</v>
      </c>
      <c r="E59" s="438" t="s">
        <v>24</v>
      </c>
      <c r="F59" s="118" t="s">
        <v>40</v>
      </c>
      <c r="G59" s="38"/>
      <c r="H59" s="126"/>
      <c r="I59" s="125"/>
      <c r="J59" s="125"/>
      <c r="K59" s="18"/>
      <c r="L59" s="127"/>
      <c r="M59" s="216"/>
      <c r="N59" s="238"/>
      <c r="O59" s="126">
        <f>May!AT312</f>
        <v>22725</v>
      </c>
      <c r="P59" s="125">
        <f>May!AU312</f>
        <v>13560</v>
      </c>
      <c r="Q59" s="125">
        <f>May!AS312</f>
        <v>35</v>
      </c>
      <c r="R59" s="436"/>
      <c r="S59" s="436"/>
      <c r="T59" s="127">
        <v>25717</v>
      </c>
      <c r="U59" s="127"/>
      <c r="V59" s="127">
        <f t="shared" si="1"/>
        <v>23007</v>
      </c>
      <c r="W59" s="46"/>
      <c r="X59" s="67"/>
    </row>
    <row r="60" spans="1:25" ht="15" customHeight="1">
      <c r="A60" s="427"/>
      <c r="B60" s="431"/>
      <c r="C60" s="434"/>
      <c r="D60" s="113" t="s">
        <v>307</v>
      </c>
      <c r="E60" s="431"/>
      <c r="F60" s="118" t="s">
        <v>40</v>
      </c>
      <c r="G60" s="135"/>
      <c r="H60" s="135">
        <v>4252.5</v>
      </c>
      <c r="I60" s="125"/>
      <c r="J60" s="125"/>
      <c r="K60" s="127"/>
      <c r="L60" s="127"/>
      <c r="M60" s="216">
        <v>127400</v>
      </c>
      <c r="N60" s="238">
        <v>16</v>
      </c>
      <c r="O60" s="126">
        <f>May!AT313</f>
        <v>19183</v>
      </c>
      <c r="P60" s="125">
        <f>May!AU313</f>
        <v>19430</v>
      </c>
      <c r="Q60" s="125">
        <f>May!AS313</f>
        <v>50</v>
      </c>
      <c r="R60" s="436"/>
      <c r="S60" s="436"/>
      <c r="T60" s="127">
        <v>24933</v>
      </c>
      <c r="U60" s="127">
        <v>16</v>
      </c>
      <c r="V60" s="127">
        <f t="shared" si="1"/>
        <v>23672</v>
      </c>
      <c r="W60" s="46"/>
      <c r="X60" s="67"/>
    </row>
    <row r="61" spans="1:25" ht="15" customHeight="1">
      <c r="A61" s="427"/>
      <c r="B61" s="442" t="s">
        <v>45</v>
      </c>
      <c r="C61" s="471" t="s">
        <v>59</v>
      </c>
      <c r="D61" s="118" t="s">
        <v>75</v>
      </c>
      <c r="E61" s="438" t="s">
        <v>25</v>
      </c>
      <c r="F61" s="131" t="s">
        <v>57</v>
      </c>
      <c r="G61" s="87"/>
      <c r="H61" s="152"/>
      <c r="I61" s="126"/>
      <c r="J61" s="2"/>
      <c r="K61" s="127"/>
      <c r="L61" s="18"/>
      <c r="M61" s="18"/>
      <c r="N61" s="80"/>
      <c r="O61" s="126">
        <f>May!AT317</f>
        <v>1100</v>
      </c>
      <c r="P61" s="126">
        <f>May!AU317</f>
        <v>493</v>
      </c>
      <c r="Q61" s="2">
        <f>May!AS317</f>
        <v>2</v>
      </c>
      <c r="R61" s="436"/>
      <c r="S61" s="436"/>
      <c r="T61" s="18"/>
      <c r="U61" s="18"/>
      <c r="V61" s="127">
        <f t="shared" si="1"/>
        <v>30403</v>
      </c>
      <c r="W61" s="46"/>
      <c r="Y61" s="13"/>
    </row>
    <row r="62" spans="1:25" ht="15" customHeight="1">
      <c r="A62" s="427"/>
      <c r="B62" s="439"/>
      <c r="C62" s="471"/>
      <c r="D62" s="118" t="s">
        <v>291</v>
      </c>
      <c r="E62" s="430"/>
      <c r="F62" s="131" t="s">
        <v>57</v>
      </c>
      <c r="G62" s="87"/>
      <c r="H62" s="152"/>
      <c r="I62" s="126"/>
      <c r="J62" s="2"/>
      <c r="K62" s="127"/>
      <c r="L62" s="18"/>
      <c r="M62" s="18">
        <v>9800</v>
      </c>
      <c r="N62" s="80">
        <v>2</v>
      </c>
      <c r="O62" s="126">
        <f>May!AT318</f>
        <v>1871</v>
      </c>
      <c r="P62" s="126">
        <f>May!AU318</f>
        <v>3743</v>
      </c>
      <c r="Q62" s="2">
        <f>May!AS318</f>
        <v>15</v>
      </c>
      <c r="R62" s="436"/>
      <c r="S62" s="436"/>
      <c r="T62" s="18"/>
      <c r="U62" s="18"/>
      <c r="V62" s="127">
        <f t="shared" si="1"/>
        <v>20856</v>
      </c>
      <c r="W62" s="46"/>
      <c r="Y62" s="13"/>
    </row>
    <row r="63" spans="1:25">
      <c r="A63" s="427"/>
      <c r="B63" s="439"/>
      <c r="C63" s="471"/>
      <c r="D63" s="118" t="s">
        <v>72</v>
      </c>
      <c r="E63" s="155" t="s">
        <v>24</v>
      </c>
      <c r="F63" s="131" t="s">
        <v>57</v>
      </c>
      <c r="G63" s="224"/>
      <c r="H63" s="152"/>
      <c r="I63" s="126"/>
      <c r="J63" s="126"/>
      <c r="K63" s="127"/>
      <c r="L63" s="18"/>
      <c r="M63" s="18">
        <v>50000</v>
      </c>
      <c r="N63" s="80">
        <v>10</v>
      </c>
      <c r="O63" s="126">
        <f>May!AT319</f>
        <v>6545</v>
      </c>
      <c r="P63" s="126">
        <f>May!AU319</f>
        <v>4227</v>
      </c>
      <c r="Q63" s="126">
        <f>May!AS319</f>
        <v>18</v>
      </c>
      <c r="R63" s="436"/>
      <c r="S63" s="436"/>
      <c r="T63" s="18"/>
      <c r="U63" s="18"/>
      <c r="V63" s="127">
        <f t="shared" si="1"/>
        <v>20706</v>
      </c>
      <c r="W63" s="46"/>
      <c r="Y63" s="13"/>
    </row>
    <row r="64" spans="1:25" ht="14.25" customHeight="1">
      <c r="A64" s="427"/>
      <c r="B64" s="439"/>
      <c r="C64" s="471"/>
      <c r="D64" s="115" t="s">
        <v>79</v>
      </c>
      <c r="E64" s="118" t="s">
        <v>65</v>
      </c>
      <c r="F64" s="131" t="s">
        <v>57</v>
      </c>
      <c r="G64" s="224"/>
      <c r="H64" s="126"/>
      <c r="I64" s="126"/>
      <c r="J64" s="126"/>
      <c r="K64" s="18"/>
      <c r="L64" s="18"/>
      <c r="M64" s="18"/>
      <c r="N64" s="80"/>
      <c r="O64" s="126"/>
      <c r="P64" s="126"/>
      <c r="Q64" s="126">
        <f>May!AS320</f>
        <v>1</v>
      </c>
      <c r="R64" s="436"/>
      <c r="S64" s="436"/>
      <c r="T64" s="18"/>
      <c r="U64" s="18"/>
      <c r="V64" s="127"/>
      <c r="W64" s="45"/>
      <c r="X64" s="36"/>
    </row>
    <row r="65" spans="1:24" ht="14.25" customHeight="1">
      <c r="A65" s="427"/>
      <c r="B65" s="443"/>
      <c r="C65" s="271" t="s">
        <v>299</v>
      </c>
      <c r="D65" s="115" t="s">
        <v>296</v>
      </c>
      <c r="E65" s="115" t="s">
        <v>25</v>
      </c>
      <c r="F65" s="131" t="s">
        <v>298</v>
      </c>
      <c r="G65" s="224"/>
      <c r="H65" s="37"/>
      <c r="I65" s="126"/>
      <c r="J65" s="126"/>
      <c r="K65" s="18"/>
      <c r="L65" s="18"/>
      <c r="M65" s="18"/>
      <c r="N65" s="80"/>
      <c r="O65" s="126"/>
      <c r="P65" s="126">
        <f>May!AU321</f>
        <v>276</v>
      </c>
      <c r="Q65" s="126">
        <f>May!AS321</f>
        <v>1</v>
      </c>
      <c r="R65" s="436"/>
      <c r="S65" s="436"/>
      <c r="T65" s="18"/>
      <c r="U65" s="18"/>
      <c r="V65" s="127"/>
      <c r="W65" s="45"/>
      <c r="X65" s="67"/>
    </row>
    <row r="66" spans="1:24" ht="14.25" customHeight="1">
      <c r="A66" s="427"/>
      <c r="B66" s="442" t="s">
        <v>53</v>
      </c>
      <c r="C66" s="444" t="s">
        <v>60</v>
      </c>
      <c r="D66" s="43" t="s">
        <v>130</v>
      </c>
      <c r="E66" s="424" t="s">
        <v>66</v>
      </c>
      <c r="F66" s="118" t="s">
        <v>54</v>
      </c>
      <c r="G66" s="224"/>
      <c r="H66" s="37"/>
      <c r="I66" s="126"/>
      <c r="J66" s="126"/>
      <c r="K66" s="18"/>
      <c r="L66" s="18"/>
      <c r="M66" s="18"/>
      <c r="N66" s="80"/>
      <c r="O66" s="126">
        <f>May!AT314</f>
        <v>5681</v>
      </c>
      <c r="P66" s="126">
        <f>May!AU314</f>
        <v>6144</v>
      </c>
      <c r="Q66" s="126">
        <f>May!AS314</f>
        <v>18</v>
      </c>
      <c r="R66" s="436"/>
      <c r="S66" s="436"/>
      <c r="T66" s="18"/>
      <c r="U66" s="18"/>
      <c r="V66" s="127">
        <f>O66-T66-U66+V40</f>
        <v>8396</v>
      </c>
      <c r="W66" s="45"/>
      <c r="X66" s="67"/>
    </row>
    <row r="67" spans="1:24" ht="14.25" customHeight="1">
      <c r="A67" s="427"/>
      <c r="B67" s="439"/>
      <c r="C67" s="445"/>
      <c r="D67" s="43" t="s">
        <v>320</v>
      </c>
      <c r="E67" s="425"/>
      <c r="F67" s="118" t="s">
        <v>54</v>
      </c>
      <c r="G67" s="229">
        <v>3340.84</v>
      </c>
      <c r="H67" s="37"/>
      <c r="I67" s="126"/>
      <c r="J67" s="126"/>
      <c r="K67" s="18">
        <v>6000</v>
      </c>
      <c r="L67" s="18">
        <v>1</v>
      </c>
      <c r="M67" s="18">
        <v>107000</v>
      </c>
      <c r="N67" s="80">
        <v>18</v>
      </c>
      <c r="O67" s="126"/>
      <c r="P67" s="126">
        <f>May!AU315</f>
        <v>607</v>
      </c>
      <c r="Q67" s="126">
        <f>May!AS315</f>
        <v>2</v>
      </c>
      <c r="R67" s="436"/>
      <c r="S67" s="436"/>
      <c r="T67" s="18"/>
      <c r="U67" s="18"/>
      <c r="V67" s="127">
        <f>O67-T67-U67+V41</f>
        <v>794</v>
      </c>
      <c r="W67" s="45"/>
      <c r="X67" s="67"/>
    </row>
    <row r="68" spans="1:24" ht="14.25" customHeight="1">
      <c r="A68" s="427"/>
      <c r="B68" s="443"/>
      <c r="C68" s="446"/>
      <c r="D68" s="43" t="s">
        <v>199</v>
      </c>
      <c r="E68" s="114" t="s">
        <v>25</v>
      </c>
      <c r="F68" s="118" t="s">
        <v>54</v>
      </c>
      <c r="G68" s="224"/>
      <c r="H68" s="135"/>
      <c r="I68" s="158"/>
      <c r="J68" s="158"/>
      <c r="K68" s="128"/>
      <c r="L68" s="128"/>
      <c r="M68" s="128"/>
      <c r="N68" s="164"/>
      <c r="O68" s="158"/>
      <c r="P68" s="158"/>
      <c r="Q68" s="158">
        <f>May!AS316</f>
        <v>1</v>
      </c>
      <c r="R68" s="436"/>
      <c r="S68" s="436"/>
      <c r="T68" s="18"/>
      <c r="U68" s="18"/>
      <c r="V68" s="127"/>
      <c r="W68" s="45"/>
      <c r="X68" s="67"/>
    </row>
    <row r="69" spans="1:24" ht="15.75" customHeight="1">
      <c r="A69" s="427"/>
      <c r="B69" s="122" t="s">
        <v>55</v>
      </c>
      <c r="C69" s="180" t="s">
        <v>133</v>
      </c>
      <c r="D69" s="48" t="s">
        <v>56</v>
      </c>
      <c r="E69" s="424" t="s">
        <v>25</v>
      </c>
      <c r="F69" s="118" t="s">
        <v>67</v>
      </c>
      <c r="G69" s="226"/>
      <c r="H69" s="126"/>
      <c r="I69" s="126"/>
      <c r="J69" s="2"/>
      <c r="K69" s="18"/>
      <c r="L69" s="18"/>
      <c r="M69" s="18">
        <v>2800</v>
      </c>
      <c r="N69" s="18">
        <v>1</v>
      </c>
      <c r="O69" s="126"/>
      <c r="P69" s="126"/>
      <c r="Q69" s="126"/>
      <c r="R69" s="436"/>
      <c r="S69" s="436"/>
      <c r="T69" s="18"/>
      <c r="U69" s="18"/>
      <c r="V69" s="127">
        <f>O69-T69-U69+V43</f>
        <v>500</v>
      </c>
      <c r="W69" s="45"/>
      <c r="X69" s="67"/>
    </row>
    <row r="70" spans="1:24" ht="15.75" customHeight="1">
      <c r="A70" s="427"/>
      <c r="B70" s="122" t="s">
        <v>55</v>
      </c>
      <c r="C70" s="180" t="s">
        <v>316</v>
      </c>
      <c r="D70" s="48" t="s">
        <v>317</v>
      </c>
      <c r="E70" s="441"/>
      <c r="F70" s="155" t="s">
        <v>67</v>
      </c>
      <c r="G70" s="226"/>
      <c r="H70" s="126"/>
      <c r="I70" s="126"/>
      <c r="J70" s="2"/>
      <c r="K70" s="18"/>
      <c r="L70" s="18"/>
      <c r="M70" s="18"/>
      <c r="N70" s="18"/>
      <c r="O70" s="126"/>
      <c r="P70" s="126"/>
      <c r="Q70" s="126">
        <f>May!AS339</f>
        <v>1</v>
      </c>
      <c r="R70" s="436"/>
      <c r="S70" s="436"/>
      <c r="T70" s="18"/>
      <c r="U70" s="18"/>
      <c r="V70" s="127"/>
      <c r="W70" s="45"/>
      <c r="X70" s="67"/>
    </row>
    <row r="71" spans="1:24" ht="15" customHeight="1">
      <c r="A71" s="427"/>
      <c r="B71" s="122" t="s">
        <v>122</v>
      </c>
      <c r="C71" s="180" t="s">
        <v>123</v>
      </c>
      <c r="D71" s="48" t="s">
        <v>56</v>
      </c>
      <c r="E71" s="441"/>
      <c r="F71" s="155" t="s">
        <v>64</v>
      </c>
      <c r="G71" s="119"/>
      <c r="H71" s="126"/>
      <c r="I71" s="126"/>
      <c r="J71" s="2"/>
      <c r="K71" s="18"/>
      <c r="L71" s="18"/>
      <c r="M71" s="18">
        <v>6400</v>
      </c>
      <c r="N71" s="18">
        <v>2</v>
      </c>
      <c r="O71" s="126"/>
      <c r="P71" s="126"/>
      <c r="Q71" s="126">
        <f>May!AS323</f>
        <v>1</v>
      </c>
      <c r="R71" s="436"/>
      <c r="S71" s="436"/>
      <c r="T71" s="18">
        <v>9327</v>
      </c>
      <c r="U71" s="18">
        <v>213</v>
      </c>
      <c r="V71" s="127">
        <f t="shared" ref="V71:V76" si="2">O71-T71-U71+V45</f>
        <v>21764</v>
      </c>
      <c r="W71" s="45"/>
      <c r="X71" s="67"/>
    </row>
    <row r="72" spans="1:24" ht="14.25" customHeight="1">
      <c r="A72" s="427"/>
      <c r="B72" s="137" t="s">
        <v>58</v>
      </c>
      <c r="C72" s="157" t="s">
        <v>243</v>
      </c>
      <c r="D72" s="48" t="s">
        <v>56</v>
      </c>
      <c r="E72" s="441"/>
      <c r="F72" s="118" t="s">
        <v>64</v>
      </c>
      <c r="G72" s="225"/>
      <c r="H72" s="126"/>
      <c r="I72" s="126"/>
      <c r="J72" s="126"/>
      <c r="K72" s="18"/>
      <c r="L72" s="18"/>
      <c r="M72" s="18"/>
      <c r="N72" s="80"/>
      <c r="O72" s="126"/>
      <c r="P72" s="126"/>
      <c r="Q72" s="126">
        <f>May!AS324</f>
        <v>1</v>
      </c>
      <c r="R72" s="436"/>
      <c r="S72" s="436"/>
      <c r="T72" s="18"/>
      <c r="U72" s="18"/>
      <c r="V72" s="127">
        <f t="shared" si="2"/>
        <v>8562</v>
      </c>
      <c r="W72" s="45"/>
      <c r="X72" s="67"/>
    </row>
    <row r="73" spans="1:24" ht="14.25" customHeight="1">
      <c r="A73" s="427"/>
      <c r="B73" s="122" t="s">
        <v>61</v>
      </c>
      <c r="C73" s="180" t="s">
        <v>137</v>
      </c>
      <c r="D73" s="48" t="s">
        <v>56</v>
      </c>
      <c r="E73" s="441"/>
      <c r="F73" s="118" t="s">
        <v>67</v>
      </c>
      <c r="G73" s="225"/>
      <c r="H73" s="126"/>
      <c r="I73" s="126"/>
      <c r="J73" s="126"/>
      <c r="K73" s="18"/>
      <c r="L73" s="18"/>
      <c r="M73" s="18"/>
      <c r="N73" s="80"/>
      <c r="O73" s="126"/>
      <c r="P73" s="126"/>
      <c r="Q73" s="126">
        <f>May!AS325</f>
        <v>1</v>
      </c>
      <c r="R73" s="436"/>
      <c r="S73" s="436"/>
      <c r="T73" s="18"/>
      <c r="U73" s="18"/>
      <c r="V73" s="127">
        <f t="shared" si="2"/>
        <v>5844</v>
      </c>
      <c r="W73" s="45"/>
      <c r="X73" s="67"/>
    </row>
    <row r="74" spans="1:24" ht="14.25" customHeight="1">
      <c r="A74" s="427"/>
      <c r="B74" s="122" t="s">
        <v>125</v>
      </c>
      <c r="C74" s="180" t="s">
        <v>88</v>
      </c>
      <c r="D74" s="48" t="s">
        <v>124</v>
      </c>
      <c r="E74" s="441"/>
      <c r="F74" s="118" t="s">
        <v>64</v>
      </c>
      <c r="G74" s="225"/>
      <c r="H74" s="126"/>
      <c r="I74" s="126"/>
      <c r="J74" s="126"/>
      <c r="K74" s="18"/>
      <c r="L74" s="18"/>
      <c r="M74" s="18">
        <v>51200</v>
      </c>
      <c r="N74" s="80">
        <v>7</v>
      </c>
      <c r="O74" s="126"/>
      <c r="P74" s="126"/>
      <c r="Q74" s="126"/>
      <c r="R74" s="436"/>
      <c r="S74" s="436"/>
      <c r="T74" s="18"/>
      <c r="U74" s="18"/>
      <c r="V74" s="127">
        <f t="shared" si="2"/>
        <v>23615</v>
      </c>
      <c r="W74" s="45"/>
      <c r="X74" s="67"/>
    </row>
    <row r="75" spans="1:24" ht="14.25" customHeight="1">
      <c r="A75" s="427"/>
      <c r="B75" s="137" t="s">
        <v>47</v>
      </c>
      <c r="C75" s="157" t="s">
        <v>100</v>
      </c>
      <c r="D75" s="48" t="s">
        <v>99</v>
      </c>
      <c r="E75" s="441"/>
      <c r="F75" s="118" t="s">
        <v>71</v>
      </c>
      <c r="G75" s="225"/>
      <c r="H75" s="126"/>
      <c r="I75" s="126"/>
      <c r="J75" s="126"/>
      <c r="K75" s="18"/>
      <c r="L75" s="18"/>
      <c r="M75" s="18">
        <v>22800</v>
      </c>
      <c r="N75" s="80">
        <v>4</v>
      </c>
      <c r="O75" s="126"/>
      <c r="P75" s="126">
        <f>May!AU326</f>
        <v>1914</v>
      </c>
      <c r="Q75" s="126">
        <f>May!AS326</f>
        <v>7</v>
      </c>
      <c r="R75" s="436"/>
      <c r="S75" s="436"/>
      <c r="T75" s="18"/>
      <c r="U75" s="18"/>
      <c r="V75" s="127">
        <f t="shared" si="2"/>
        <v>10812</v>
      </c>
      <c r="W75" s="45"/>
      <c r="X75" s="67"/>
    </row>
    <row r="76" spans="1:24" ht="15" customHeight="1">
      <c r="A76" s="427"/>
      <c r="B76" s="122" t="s">
        <v>196</v>
      </c>
      <c r="C76" s="180" t="s">
        <v>63</v>
      </c>
      <c r="D76" s="48" t="s">
        <v>135</v>
      </c>
      <c r="E76" s="441"/>
      <c r="F76" s="118" t="s">
        <v>64</v>
      </c>
      <c r="G76" s="226"/>
      <c r="H76" s="126"/>
      <c r="I76" s="126"/>
      <c r="J76" s="2"/>
      <c r="K76" s="18"/>
      <c r="L76" s="18"/>
      <c r="M76" s="18">
        <v>33200</v>
      </c>
      <c r="N76" s="18">
        <v>4</v>
      </c>
      <c r="O76" s="126"/>
      <c r="P76" s="126"/>
      <c r="Q76" s="126"/>
      <c r="R76" s="436"/>
      <c r="S76" s="436"/>
      <c r="T76" s="18"/>
      <c r="U76" s="18"/>
      <c r="V76" s="127">
        <f t="shared" si="2"/>
        <v>14761</v>
      </c>
      <c r="W76" s="45"/>
      <c r="X76" s="67"/>
    </row>
    <row r="77" spans="1:24" ht="15" customHeight="1">
      <c r="A77" s="427"/>
      <c r="B77" s="122" t="s">
        <v>363</v>
      </c>
      <c r="C77" s="180" t="s">
        <v>325</v>
      </c>
      <c r="D77" s="48" t="s">
        <v>328</v>
      </c>
      <c r="E77" s="441"/>
      <c r="F77" s="118" t="s">
        <v>48</v>
      </c>
      <c r="G77" s="226"/>
      <c r="H77" s="126">
        <v>168</v>
      </c>
      <c r="I77" s="126"/>
      <c r="J77" s="2"/>
      <c r="K77" s="18">
        <v>12000</v>
      </c>
      <c r="L77" s="18">
        <v>2</v>
      </c>
      <c r="M77" s="18"/>
      <c r="N77" s="18"/>
      <c r="O77" s="126"/>
      <c r="P77" s="126">
        <f>May!AU332</f>
        <v>360</v>
      </c>
      <c r="Q77" s="126">
        <f>May!AS332</f>
        <v>2</v>
      </c>
      <c r="R77" s="436"/>
      <c r="S77" s="436"/>
      <c r="T77" s="18"/>
      <c r="U77" s="18"/>
      <c r="V77" s="127"/>
      <c r="W77" s="45"/>
      <c r="X77" s="67"/>
    </row>
    <row r="78" spans="1:24" ht="15" customHeight="1">
      <c r="A78" s="427"/>
      <c r="B78" s="122" t="s">
        <v>253</v>
      </c>
      <c r="C78" s="180" t="s">
        <v>365</v>
      </c>
      <c r="D78" s="48" t="s">
        <v>246</v>
      </c>
      <c r="E78" s="441"/>
      <c r="F78" s="118" t="s">
        <v>247</v>
      </c>
      <c r="G78" s="226"/>
      <c r="H78" s="38">
        <v>297.36</v>
      </c>
      <c r="I78" s="126"/>
      <c r="J78" s="2"/>
      <c r="K78" s="18"/>
      <c r="L78" s="18"/>
      <c r="M78" s="18">
        <v>7750</v>
      </c>
      <c r="N78" s="18">
        <v>1</v>
      </c>
      <c r="O78" s="126"/>
      <c r="P78" s="126">
        <f>May!AU327</f>
        <v>1003</v>
      </c>
      <c r="Q78" s="126">
        <f>May!AS327</f>
        <v>4</v>
      </c>
      <c r="R78" s="436"/>
      <c r="S78" s="436"/>
      <c r="T78" s="18"/>
      <c r="U78" s="18"/>
      <c r="V78" s="127"/>
      <c r="W78" s="45"/>
      <c r="X78" s="67"/>
    </row>
    <row r="79" spans="1:24" ht="15" customHeight="1">
      <c r="A79" s="427"/>
      <c r="B79" s="122" t="s">
        <v>101</v>
      </c>
      <c r="C79" s="180" t="s">
        <v>327</v>
      </c>
      <c r="D79" s="48" t="s">
        <v>102</v>
      </c>
      <c r="E79" s="441"/>
      <c r="F79" s="118" t="s">
        <v>64</v>
      </c>
      <c r="G79" s="38">
        <v>1851.72</v>
      </c>
      <c r="H79" s="126"/>
      <c r="I79" s="126"/>
      <c r="J79" s="2"/>
      <c r="K79" s="18">
        <v>7000</v>
      </c>
      <c r="L79" s="18">
        <v>1</v>
      </c>
      <c r="M79" s="18">
        <v>28000</v>
      </c>
      <c r="N79" s="18">
        <v>4</v>
      </c>
      <c r="O79" s="126"/>
      <c r="P79" s="126">
        <f>May!AU330</f>
        <v>1485</v>
      </c>
      <c r="Q79" s="126">
        <f>May!AS330</f>
        <v>4</v>
      </c>
      <c r="R79" s="436"/>
      <c r="S79" s="436"/>
      <c r="T79" s="18"/>
      <c r="U79" s="18"/>
      <c r="V79" s="18">
        <f>O79-T79-U79+V54</f>
        <v>402</v>
      </c>
      <c r="W79" s="45"/>
      <c r="X79" s="67"/>
    </row>
    <row r="80" spans="1:24" ht="15" customHeight="1">
      <c r="A80" s="427"/>
      <c r="B80" s="122" t="s">
        <v>103</v>
      </c>
      <c r="C80" s="157" t="s">
        <v>197</v>
      </c>
      <c r="D80" s="48" t="s">
        <v>104</v>
      </c>
      <c r="E80" s="441"/>
      <c r="F80" s="118" t="s">
        <v>105</v>
      </c>
      <c r="G80" s="119"/>
      <c r="H80" s="126"/>
      <c r="I80" s="126"/>
      <c r="J80" s="2"/>
      <c r="K80" s="18"/>
      <c r="L80" s="18"/>
      <c r="M80" s="18"/>
      <c r="N80" s="18"/>
      <c r="O80" s="126"/>
      <c r="P80" s="126"/>
      <c r="Q80" s="126">
        <f>May!AS335</f>
        <v>1</v>
      </c>
      <c r="R80" s="436"/>
      <c r="S80" s="436"/>
      <c r="T80" s="18"/>
      <c r="U80" s="18"/>
      <c r="V80" s="18"/>
      <c r="W80" s="45"/>
      <c r="X80" s="67"/>
    </row>
    <row r="81" spans="1:25" ht="15" customHeight="1">
      <c r="A81" s="427"/>
      <c r="B81" s="137" t="s">
        <v>112</v>
      </c>
      <c r="C81" s="157" t="s">
        <v>197</v>
      </c>
      <c r="D81" s="48" t="s">
        <v>104</v>
      </c>
      <c r="E81" s="441"/>
      <c r="F81" s="118" t="s">
        <v>113</v>
      </c>
      <c r="G81" s="119"/>
      <c r="H81" s="126"/>
      <c r="I81" s="126"/>
      <c r="J81" s="2"/>
      <c r="K81" s="18"/>
      <c r="L81" s="18"/>
      <c r="M81" s="18"/>
      <c r="N81" s="18"/>
      <c r="O81" s="126"/>
      <c r="P81" s="126"/>
      <c r="Q81" s="126">
        <f>May!AS337</f>
        <v>1</v>
      </c>
      <c r="R81" s="436"/>
      <c r="S81" s="436"/>
      <c r="T81" s="18"/>
      <c r="U81" s="18"/>
      <c r="V81" s="18"/>
      <c r="W81" s="45"/>
      <c r="X81" s="67"/>
    </row>
    <row r="82" spans="1:25" ht="15" customHeight="1" thickBot="1">
      <c r="A82" s="428"/>
      <c r="B82" s="44" t="s">
        <v>107</v>
      </c>
      <c r="C82" s="181" t="s">
        <v>195</v>
      </c>
      <c r="D82" s="61" t="s">
        <v>108</v>
      </c>
      <c r="E82" s="447"/>
      <c r="F82" s="133" t="s">
        <v>48</v>
      </c>
      <c r="G82" s="132"/>
      <c r="H82" s="109"/>
      <c r="I82" s="134"/>
      <c r="J82" s="129"/>
      <c r="K82" s="130"/>
      <c r="L82" s="130"/>
      <c r="M82" s="130"/>
      <c r="N82" s="130"/>
      <c r="O82" s="134"/>
      <c r="P82" s="134"/>
      <c r="Q82" s="134">
        <f>May!AS336</f>
        <v>1</v>
      </c>
      <c r="R82" s="437"/>
      <c r="S82" s="437"/>
      <c r="T82" s="130"/>
      <c r="U82" s="130"/>
      <c r="V82" s="128"/>
      <c r="W82" s="85"/>
      <c r="X82" s="67"/>
    </row>
    <row r="83" spans="1:25" ht="15" customHeight="1">
      <c r="A83" s="426">
        <v>46149</v>
      </c>
      <c r="B83" s="429" t="s">
        <v>44</v>
      </c>
      <c r="C83" s="432" t="s">
        <v>240</v>
      </c>
      <c r="D83" s="19" t="s">
        <v>37</v>
      </c>
      <c r="E83" s="19" t="s">
        <v>25</v>
      </c>
      <c r="F83" s="39" t="s">
        <v>40</v>
      </c>
      <c r="G83" s="41">
        <v>6047.91</v>
      </c>
      <c r="H83" s="32">
        <v>2880</v>
      </c>
      <c r="I83" s="32"/>
      <c r="J83" s="32"/>
      <c r="K83" s="20">
        <v>56000</v>
      </c>
      <c r="L83" s="20">
        <v>7</v>
      </c>
      <c r="M83" s="20">
        <v>152000</v>
      </c>
      <c r="N83" s="84">
        <v>19</v>
      </c>
      <c r="O83" s="32">
        <f>May!AW311</f>
        <v>23207</v>
      </c>
      <c r="P83" s="32">
        <f>May!AX311</f>
        <v>23921</v>
      </c>
      <c r="Q83" s="32">
        <f>May!AV311</f>
        <v>64</v>
      </c>
      <c r="R83" s="435">
        <f>May!AW340</f>
        <v>75228</v>
      </c>
      <c r="S83" s="435">
        <f>May!AX340</f>
        <v>76942</v>
      </c>
      <c r="T83" s="20">
        <v>43190</v>
      </c>
      <c r="U83" s="20">
        <v>40</v>
      </c>
      <c r="V83" s="20">
        <f t="shared" ref="V83:V88" si="3">O83-T83-U83+V58</f>
        <v>147726</v>
      </c>
      <c r="W83" s="77"/>
      <c r="X83" s="36"/>
    </row>
    <row r="84" spans="1:25" ht="15" customHeight="1">
      <c r="A84" s="427"/>
      <c r="B84" s="430"/>
      <c r="C84" s="433"/>
      <c r="D84" s="113" t="s">
        <v>128</v>
      </c>
      <c r="E84" s="438" t="s">
        <v>24</v>
      </c>
      <c r="F84" s="118" t="s">
        <v>40</v>
      </c>
      <c r="G84" s="38"/>
      <c r="H84" s="126"/>
      <c r="I84" s="125"/>
      <c r="J84" s="125"/>
      <c r="K84" s="18"/>
      <c r="L84" s="127"/>
      <c r="M84" s="216"/>
      <c r="N84" s="238"/>
      <c r="O84" s="126">
        <f>May!AW312</f>
        <v>16160</v>
      </c>
      <c r="P84" s="125">
        <f>May!AX312</f>
        <v>12771</v>
      </c>
      <c r="Q84" s="125">
        <f>May!AV312</f>
        <v>34</v>
      </c>
      <c r="R84" s="436"/>
      <c r="S84" s="436"/>
      <c r="T84" s="127">
        <v>7817</v>
      </c>
      <c r="U84" s="127"/>
      <c r="V84" s="127">
        <f t="shared" si="3"/>
        <v>31350</v>
      </c>
      <c r="W84" s="46"/>
      <c r="X84" s="67"/>
    </row>
    <row r="85" spans="1:25" ht="15" customHeight="1">
      <c r="A85" s="427"/>
      <c r="B85" s="431"/>
      <c r="C85" s="434"/>
      <c r="D85" s="113" t="s">
        <v>307</v>
      </c>
      <c r="E85" s="431"/>
      <c r="F85" s="118" t="s">
        <v>40</v>
      </c>
      <c r="G85" s="135"/>
      <c r="H85" s="158"/>
      <c r="I85" s="125"/>
      <c r="J85" s="125"/>
      <c r="K85" s="127"/>
      <c r="L85" s="127"/>
      <c r="M85" s="216">
        <v>127400</v>
      </c>
      <c r="N85" s="238">
        <v>16</v>
      </c>
      <c r="O85" s="126">
        <f>May!AW313</f>
        <v>16068</v>
      </c>
      <c r="P85" s="125">
        <f>May!AX313</f>
        <v>19450</v>
      </c>
      <c r="Q85" s="125">
        <f>May!AV313</f>
        <v>50</v>
      </c>
      <c r="R85" s="436"/>
      <c r="S85" s="436"/>
      <c r="T85" s="127">
        <v>16325</v>
      </c>
      <c r="U85" s="127"/>
      <c r="V85" s="127">
        <f t="shared" si="3"/>
        <v>23415</v>
      </c>
      <c r="W85" s="46"/>
      <c r="X85" s="67"/>
    </row>
    <row r="86" spans="1:25" ht="15" customHeight="1">
      <c r="A86" s="427"/>
      <c r="B86" s="442" t="s">
        <v>45</v>
      </c>
      <c r="C86" s="471" t="s">
        <v>59</v>
      </c>
      <c r="D86" s="118" t="s">
        <v>75</v>
      </c>
      <c r="E86" s="438" t="s">
        <v>25</v>
      </c>
      <c r="F86" s="131" t="s">
        <v>57</v>
      </c>
      <c r="G86" s="136">
        <v>2011.1</v>
      </c>
      <c r="H86" s="152"/>
      <c r="I86" s="126"/>
      <c r="J86" s="2"/>
      <c r="K86" s="127"/>
      <c r="L86" s="18"/>
      <c r="M86" s="18">
        <v>25900</v>
      </c>
      <c r="N86" s="80">
        <v>5</v>
      </c>
      <c r="O86" s="126">
        <f>May!AW317</f>
        <v>0</v>
      </c>
      <c r="P86" s="126">
        <f>May!AX317</f>
        <v>511</v>
      </c>
      <c r="Q86" s="2">
        <f>May!AV317</f>
        <v>2</v>
      </c>
      <c r="R86" s="436"/>
      <c r="S86" s="436"/>
      <c r="T86" s="18">
        <v>6600</v>
      </c>
      <c r="U86" s="18"/>
      <c r="V86" s="127">
        <f t="shared" si="3"/>
        <v>23803</v>
      </c>
      <c r="W86" s="46"/>
      <c r="Y86" s="13"/>
    </row>
    <row r="87" spans="1:25" ht="15" customHeight="1">
      <c r="A87" s="427"/>
      <c r="B87" s="439"/>
      <c r="C87" s="471"/>
      <c r="D87" s="118" t="s">
        <v>291</v>
      </c>
      <c r="E87" s="430"/>
      <c r="F87" s="131" t="s">
        <v>57</v>
      </c>
      <c r="G87" s="87"/>
      <c r="H87" s="152"/>
      <c r="I87" s="126"/>
      <c r="J87" s="2"/>
      <c r="K87" s="127"/>
      <c r="L87" s="18"/>
      <c r="M87" s="18">
        <v>9800</v>
      </c>
      <c r="N87" s="80">
        <v>2</v>
      </c>
      <c r="O87" s="126">
        <f>May!AW318</f>
        <v>7772</v>
      </c>
      <c r="P87" s="126">
        <f>May!AX318</f>
        <v>3778</v>
      </c>
      <c r="Q87" s="2">
        <f>May!AV318</f>
        <v>15</v>
      </c>
      <c r="R87" s="436"/>
      <c r="S87" s="436"/>
      <c r="T87" s="18"/>
      <c r="U87" s="18"/>
      <c r="V87" s="127">
        <f t="shared" si="3"/>
        <v>28628</v>
      </c>
      <c r="W87" s="46"/>
      <c r="Y87" s="13"/>
    </row>
    <row r="88" spans="1:25">
      <c r="A88" s="427"/>
      <c r="B88" s="439"/>
      <c r="C88" s="471"/>
      <c r="D88" s="118" t="s">
        <v>72</v>
      </c>
      <c r="E88" s="155" t="s">
        <v>24</v>
      </c>
      <c r="F88" s="131" t="s">
        <v>57</v>
      </c>
      <c r="G88" s="224"/>
      <c r="H88" s="152"/>
      <c r="I88" s="126"/>
      <c r="J88" s="126"/>
      <c r="K88" s="127"/>
      <c r="L88" s="18"/>
      <c r="M88" s="18">
        <v>50000</v>
      </c>
      <c r="N88" s="80">
        <v>10</v>
      </c>
      <c r="O88" s="126">
        <f>May!AW319</f>
        <v>1014</v>
      </c>
      <c r="P88" s="126">
        <f>May!AX319</f>
        <v>3950</v>
      </c>
      <c r="Q88" s="126">
        <f>May!AV319</f>
        <v>16</v>
      </c>
      <c r="R88" s="436"/>
      <c r="S88" s="436"/>
      <c r="T88" s="18"/>
      <c r="U88" s="18"/>
      <c r="V88" s="127">
        <f t="shared" si="3"/>
        <v>21720</v>
      </c>
      <c r="W88" s="46"/>
      <c r="Y88" s="13"/>
    </row>
    <row r="89" spans="1:25" ht="14.25" customHeight="1">
      <c r="A89" s="427"/>
      <c r="B89" s="439"/>
      <c r="C89" s="471"/>
      <c r="D89" s="115" t="s">
        <v>79</v>
      </c>
      <c r="E89" s="118" t="s">
        <v>65</v>
      </c>
      <c r="F89" s="131" t="s">
        <v>57</v>
      </c>
      <c r="G89" s="224"/>
      <c r="H89" s="126"/>
      <c r="I89" s="126"/>
      <c r="J89" s="126"/>
      <c r="K89" s="18"/>
      <c r="L89" s="18"/>
      <c r="M89" s="18"/>
      <c r="N89" s="80"/>
      <c r="O89" s="126"/>
      <c r="P89" s="126"/>
      <c r="Q89" s="126">
        <f>May!AV320</f>
        <v>1</v>
      </c>
      <c r="R89" s="436"/>
      <c r="S89" s="436"/>
      <c r="T89" s="18"/>
      <c r="U89" s="18"/>
      <c r="V89" s="127"/>
      <c r="W89" s="45"/>
      <c r="X89" s="36"/>
    </row>
    <row r="90" spans="1:25" ht="14.25" customHeight="1">
      <c r="A90" s="427"/>
      <c r="B90" s="443"/>
      <c r="C90" s="271" t="s">
        <v>299</v>
      </c>
      <c r="D90" s="115" t="s">
        <v>296</v>
      </c>
      <c r="E90" s="115" t="s">
        <v>25</v>
      </c>
      <c r="F90" s="131" t="s">
        <v>298</v>
      </c>
      <c r="G90" s="224"/>
      <c r="H90" s="37"/>
      <c r="I90" s="126"/>
      <c r="J90" s="126"/>
      <c r="K90" s="18"/>
      <c r="L90" s="18"/>
      <c r="M90" s="18"/>
      <c r="N90" s="80"/>
      <c r="O90" s="126"/>
      <c r="P90" s="126">
        <f>May!AX321</f>
        <v>278</v>
      </c>
      <c r="Q90" s="126">
        <f>May!AV321</f>
        <v>1</v>
      </c>
      <c r="R90" s="436"/>
      <c r="S90" s="436"/>
      <c r="T90" s="18"/>
      <c r="U90" s="18"/>
      <c r="V90" s="127"/>
      <c r="W90" s="45"/>
      <c r="X90" s="67"/>
    </row>
    <row r="91" spans="1:25" ht="14.25" customHeight="1">
      <c r="A91" s="427"/>
      <c r="B91" s="442" t="s">
        <v>53</v>
      </c>
      <c r="C91" s="444" t="s">
        <v>60</v>
      </c>
      <c r="D91" s="43" t="s">
        <v>130</v>
      </c>
      <c r="E91" s="424" t="s">
        <v>66</v>
      </c>
      <c r="F91" s="118" t="s">
        <v>54</v>
      </c>
      <c r="G91" s="224"/>
      <c r="H91" s="37"/>
      <c r="I91" s="126"/>
      <c r="J91" s="126"/>
      <c r="K91" s="18"/>
      <c r="L91" s="18"/>
      <c r="M91" s="18"/>
      <c r="N91" s="80"/>
      <c r="O91" s="126">
        <f>May!AW314</f>
        <v>5893</v>
      </c>
      <c r="P91" s="126">
        <f>May!AX314</f>
        <v>5531</v>
      </c>
      <c r="Q91" s="126">
        <f>May!AV314</f>
        <v>16</v>
      </c>
      <c r="R91" s="436"/>
      <c r="S91" s="436"/>
      <c r="T91" s="18">
        <v>12164</v>
      </c>
      <c r="U91" s="18">
        <v>3</v>
      </c>
      <c r="V91" s="127">
        <f>O91-T91-U91+V66</f>
        <v>2122</v>
      </c>
      <c r="W91" s="45"/>
      <c r="X91" s="67"/>
    </row>
    <row r="92" spans="1:25" ht="14.25" customHeight="1">
      <c r="A92" s="427"/>
      <c r="B92" s="439"/>
      <c r="C92" s="445"/>
      <c r="D92" s="43" t="s">
        <v>320</v>
      </c>
      <c r="E92" s="425"/>
      <c r="F92" s="118" t="s">
        <v>54</v>
      </c>
      <c r="G92" s="224"/>
      <c r="H92" s="37"/>
      <c r="I92" s="126"/>
      <c r="J92" s="126"/>
      <c r="K92" s="18">
        <v>12000</v>
      </c>
      <c r="L92" s="18">
        <v>2</v>
      </c>
      <c r="M92" s="18">
        <v>95000</v>
      </c>
      <c r="N92" s="80">
        <v>16</v>
      </c>
      <c r="O92" s="126">
        <f>May!AW315</f>
        <v>1200</v>
      </c>
      <c r="P92" s="126">
        <f>May!AX315</f>
        <v>1292</v>
      </c>
      <c r="Q92" s="126">
        <f>May!AV315</f>
        <v>4</v>
      </c>
      <c r="R92" s="436"/>
      <c r="S92" s="436"/>
      <c r="T92" s="18"/>
      <c r="U92" s="18"/>
      <c r="V92" s="127">
        <f>O92-T92-U92+V67</f>
        <v>1994</v>
      </c>
      <c r="W92" s="45"/>
      <c r="X92" s="67"/>
    </row>
    <row r="93" spans="1:25" ht="14.25" customHeight="1">
      <c r="A93" s="427"/>
      <c r="B93" s="439"/>
      <c r="C93" s="445"/>
      <c r="D93" s="43" t="s">
        <v>199</v>
      </c>
      <c r="E93" s="424" t="s">
        <v>25</v>
      </c>
      <c r="F93" s="118" t="s">
        <v>54</v>
      </c>
      <c r="G93" s="224"/>
      <c r="H93" s="37"/>
      <c r="I93" s="126"/>
      <c r="J93" s="126"/>
      <c r="K93" s="18"/>
      <c r="L93" s="18"/>
      <c r="M93" s="18"/>
      <c r="N93" s="80"/>
      <c r="O93" s="126"/>
      <c r="P93" s="126"/>
      <c r="Q93" s="126">
        <f>May!AV316</f>
        <v>1</v>
      </c>
      <c r="R93" s="436"/>
      <c r="S93" s="436"/>
      <c r="T93" s="18"/>
      <c r="U93" s="18"/>
      <c r="V93" s="127"/>
      <c r="W93" s="45"/>
      <c r="X93" s="67"/>
    </row>
    <row r="94" spans="1:25" ht="14.25" customHeight="1">
      <c r="A94" s="427"/>
      <c r="B94" s="443"/>
      <c r="C94" s="446"/>
      <c r="D94" s="43" t="s">
        <v>199</v>
      </c>
      <c r="E94" s="425"/>
      <c r="F94" s="118"/>
      <c r="G94" s="224"/>
      <c r="H94" s="158">
        <v>1836</v>
      </c>
      <c r="I94" s="158"/>
      <c r="J94" s="158"/>
      <c r="K94" s="128"/>
      <c r="L94" s="128"/>
      <c r="M94" s="128"/>
      <c r="N94" s="164"/>
      <c r="O94" s="158"/>
      <c r="P94" s="158"/>
      <c r="Q94" s="158"/>
      <c r="R94" s="436"/>
      <c r="S94" s="436"/>
      <c r="T94" s="18"/>
      <c r="U94" s="18"/>
      <c r="V94" s="127"/>
      <c r="W94" s="45"/>
      <c r="X94" s="67"/>
    </row>
    <row r="95" spans="1:25" ht="15.75" customHeight="1">
      <c r="A95" s="427"/>
      <c r="B95" s="122" t="s">
        <v>55</v>
      </c>
      <c r="C95" s="180" t="s">
        <v>133</v>
      </c>
      <c r="D95" s="48" t="s">
        <v>56</v>
      </c>
      <c r="E95" s="424" t="s">
        <v>25</v>
      </c>
      <c r="F95" s="118" t="s">
        <v>67</v>
      </c>
      <c r="G95" s="226"/>
      <c r="H95" s="126"/>
      <c r="I95" s="126"/>
      <c r="J95" s="2"/>
      <c r="K95" s="18"/>
      <c r="L95" s="18"/>
      <c r="M95" s="18">
        <v>2800</v>
      </c>
      <c r="N95" s="18">
        <v>1</v>
      </c>
      <c r="O95" s="126"/>
      <c r="P95" s="126"/>
      <c r="Q95" s="126"/>
      <c r="R95" s="436"/>
      <c r="S95" s="436"/>
      <c r="T95" s="18"/>
      <c r="U95" s="18"/>
      <c r="V95" s="127">
        <f>O95-T95-U95+V69</f>
        <v>500</v>
      </c>
      <c r="W95" s="45"/>
      <c r="X95" s="67"/>
    </row>
    <row r="96" spans="1:25" ht="15.75" customHeight="1">
      <c r="A96" s="427"/>
      <c r="B96" s="122" t="s">
        <v>55</v>
      </c>
      <c r="C96" s="180" t="s">
        <v>316</v>
      </c>
      <c r="D96" s="48" t="s">
        <v>317</v>
      </c>
      <c r="E96" s="441"/>
      <c r="F96" s="155" t="s">
        <v>67</v>
      </c>
      <c r="G96" s="226"/>
      <c r="H96" s="126"/>
      <c r="I96" s="126"/>
      <c r="J96" s="2"/>
      <c r="K96" s="18"/>
      <c r="L96" s="18"/>
      <c r="M96" s="18"/>
      <c r="N96" s="18"/>
      <c r="O96" s="126"/>
      <c r="P96" s="126"/>
      <c r="Q96" s="126">
        <f>May!AV339</f>
        <v>1</v>
      </c>
      <c r="R96" s="436"/>
      <c r="S96" s="436"/>
      <c r="T96" s="18"/>
      <c r="U96" s="18"/>
      <c r="V96" s="127"/>
      <c r="W96" s="45"/>
      <c r="X96" s="67"/>
    </row>
    <row r="97" spans="1:24" ht="15" customHeight="1">
      <c r="A97" s="427"/>
      <c r="B97" s="122" t="s">
        <v>122</v>
      </c>
      <c r="C97" s="180" t="s">
        <v>123</v>
      </c>
      <c r="D97" s="48" t="s">
        <v>56</v>
      </c>
      <c r="E97" s="441"/>
      <c r="F97" s="155" t="s">
        <v>64</v>
      </c>
      <c r="G97" s="119"/>
      <c r="H97" s="126"/>
      <c r="I97" s="126"/>
      <c r="J97" s="2"/>
      <c r="K97" s="18"/>
      <c r="L97" s="18"/>
      <c r="M97" s="18">
        <v>6400</v>
      </c>
      <c r="N97" s="18">
        <v>2</v>
      </c>
      <c r="O97" s="126"/>
      <c r="P97" s="126"/>
      <c r="Q97" s="126">
        <f>May!AV323</f>
        <v>1</v>
      </c>
      <c r="R97" s="436"/>
      <c r="S97" s="436"/>
      <c r="T97" s="18"/>
      <c r="U97" s="18"/>
      <c r="V97" s="127">
        <f t="shared" ref="V97:V102" si="4">O97-T97-U97+V71</f>
        <v>21764</v>
      </c>
      <c r="W97" s="45"/>
      <c r="X97" s="67"/>
    </row>
    <row r="98" spans="1:24" ht="14.25" customHeight="1">
      <c r="A98" s="427"/>
      <c r="B98" s="137" t="s">
        <v>58</v>
      </c>
      <c r="C98" s="157" t="s">
        <v>243</v>
      </c>
      <c r="D98" s="48" t="s">
        <v>56</v>
      </c>
      <c r="E98" s="441"/>
      <c r="F98" s="118" t="s">
        <v>64</v>
      </c>
      <c r="G98" s="225"/>
      <c r="H98" s="126"/>
      <c r="I98" s="126"/>
      <c r="J98" s="126"/>
      <c r="K98" s="18"/>
      <c r="L98" s="18"/>
      <c r="M98" s="18"/>
      <c r="N98" s="80"/>
      <c r="O98" s="126"/>
      <c r="P98" s="126"/>
      <c r="Q98" s="126">
        <f>May!AV324</f>
        <v>1</v>
      </c>
      <c r="R98" s="436"/>
      <c r="S98" s="436"/>
      <c r="T98" s="18"/>
      <c r="U98" s="18"/>
      <c r="V98" s="127">
        <f t="shared" si="4"/>
        <v>8562</v>
      </c>
      <c r="W98" s="45"/>
      <c r="X98" s="67"/>
    </row>
    <row r="99" spans="1:24" ht="14.25" customHeight="1">
      <c r="A99" s="427"/>
      <c r="B99" s="122" t="s">
        <v>61</v>
      </c>
      <c r="C99" s="180" t="s">
        <v>137</v>
      </c>
      <c r="D99" s="48" t="s">
        <v>56</v>
      </c>
      <c r="E99" s="441"/>
      <c r="F99" s="118" t="s">
        <v>67</v>
      </c>
      <c r="G99" s="225"/>
      <c r="H99" s="126"/>
      <c r="I99" s="126"/>
      <c r="J99" s="126"/>
      <c r="K99" s="18"/>
      <c r="L99" s="18"/>
      <c r="M99" s="18"/>
      <c r="N99" s="80"/>
      <c r="O99" s="126"/>
      <c r="P99" s="126"/>
      <c r="Q99" s="126">
        <f>May!AV325</f>
        <v>1</v>
      </c>
      <c r="R99" s="436"/>
      <c r="S99" s="436"/>
      <c r="T99" s="18"/>
      <c r="U99" s="18"/>
      <c r="V99" s="127">
        <f t="shared" si="4"/>
        <v>5844</v>
      </c>
      <c r="W99" s="45"/>
      <c r="X99" s="67"/>
    </row>
    <row r="100" spans="1:24" ht="14.25" customHeight="1">
      <c r="A100" s="427"/>
      <c r="B100" s="122" t="s">
        <v>125</v>
      </c>
      <c r="C100" s="180" t="s">
        <v>88</v>
      </c>
      <c r="D100" s="48" t="s">
        <v>124</v>
      </c>
      <c r="E100" s="441"/>
      <c r="F100" s="118" t="s">
        <v>64</v>
      </c>
      <c r="G100" s="225"/>
      <c r="H100" s="126"/>
      <c r="I100" s="126"/>
      <c r="J100" s="126"/>
      <c r="K100" s="18"/>
      <c r="L100" s="18"/>
      <c r="M100" s="18">
        <v>51200</v>
      </c>
      <c r="N100" s="80">
        <v>7</v>
      </c>
      <c r="O100" s="126"/>
      <c r="P100" s="126"/>
      <c r="Q100" s="126"/>
      <c r="R100" s="436"/>
      <c r="S100" s="436"/>
      <c r="T100" s="18"/>
      <c r="U100" s="18"/>
      <c r="V100" s="127">
        <f t="shared" si="4"/>
        <v>23615</v>
      </c>
      <c r="W100" s="45"/>
      <c r="X100" s="67"/>
    </row>
    <row r="101" spans="1:24" ht="14.25" customHeight="1">
      <c r="A101" s="427"/>
      <c r="B101" s="137" t="s">
        <v>47</v>
      </c>
      <c r="C101" s="157" t="s">
        <v>100</v>
      </c>
      <c r="D101" s="48" t="s">
        <v>99</v>
      </c>
      <c r="E101" s="441"/>
      <c r="F101" s="118" t="s">
        <v>71</v>
      </c>
      <c r="G101" s="225"/>
      <c r="H101" s="126"/>
      <c r="I101" s="126"/>
      <c r="J101" s="126"/>
      <c r="K101" s="18"/>
      <c r="L101" s="18"/>
      <c r="M101" s="18">
        <v>22800</v>
      </c>
      <c r="N101" s="80">
        <v>4</v>
      </c>
      <c r="O101" s="126">
        <f>May!AW326</f>
        <v>1007</v>
      </c>
      <c r="P101" s="126">
        <f>May!AX326</f>
        <v>1820</v>
      </c>
      <c r="Q101" s="126">
        <f>May!AV326</f>
        <v>7</v>
      </c>
      <c r="R101" s="436"/>
      <c r="S101" s="436"/>
      <c r="T101" s="18"/>
      <c r="U101" s="18"/>
      <c r="V101" s="127">
        <f t="shared" si="4"/>
        <v>11819</v>
      </c>
      <c r="W101" s="45"/>
      <c r="X101" s="67"/>
    </row>
    <row r="102" spans="1:24" ht="15" customHeight="1">
      <c r="A102" s="427"/>
      <c r="B102" s="122" t="s">
        <v>196</v>
      </c>
      <c r="C102" s="180" t="s">
        <v>63</v>
      </c>
      <c r="D102" s="48" t="s">
        <v>135</v>
      </c>
      <c r="E102" s="441"/>
      <c r="F102" s="118" t="s">
        <v>64</v>
      </c>
      <c r="G102" s="226"/>
      <c r="H102" s="126"/>
      <c r="I102" s="126"/>
      <c r="J102" s="2"/>
      <c r="K102" s="18"/>
      <c r="L102" s="18"/>
      <c r="M102" s="18">
        <v>33200</v>
      </c>
      <c r="N102" s="18">
        <v>4</v>
      </c>
      <c r="O102" s="126"/>
      <c r="P102" s="126"/>
      <c r="Q102" s="126"/>
      <c r="R102" s="436"/>
      <c r="S102" s="436"/>
      <c r="T102" s="18"/>
      <c r="U102" s="18"/>
      <c r="V102" s="127">
        <f t="shared" si="4"/>
        <v>14761</v>
      </c>
      <c r="W102" s="45"/>
      <c r="X102" s="67"/>
    </row>
    <row r="103" spans="1:24" ht="15" customHeight="1">
      <c r="A103" s="427"/>
      <c r="B103" s="122" t="s">
        <v>363</v>
      </c>
      <c r="C103" s="180" t="s">
        <v>325</v>
      </c>
      <c r="D103" s="48" t="s">
        <v>328</v>
      </c>
      <c r="E103" s="441"/>
      <c r="F103" s="118" t="s">
        <v>48</v>
      </c>
      <c r="G103" s="226"/>
      <c r="H103" s="126"/>
      <c r="I103" s="126"/>
      <c r="J103" s="2"/>
      <c r="K103" s="18"/>
      <c r="L103" s="18"/>
      <c r="M103" s="18"/>
      <c r="N103" s="18"/>
      <c r="O103" s="126"/>
      <c r="P103" s="126">
        <f>May!AX332</f>
        <v>519</v>
      </c>
      <c r="Q103" s="126">
        <f>May!AV332</f>
        <v>2</v>
      </c>
      <c r="R103" s="436"/>
      <c r="S103" s="436"/>
      <c r="T103" s="18"/>
      <c r="U103" s="18"/>
      <c r="V103" s="127"/>
      <c r="W103" s="45"/>
      <c r="X103" s="67"/>
    </row>
    <row r="104" spans="1:24" ht="15" customHeight="1">
      <c r="A104" s="427"/>
      <c r="B104" s="122" t="s">
        <v>253</v>
      </c>
      <c r="C104" s="180" t="s">
        <v>365</v>
      </c>
      <c r="D104" s="48" t="s">
        <v>246</v>
      </c>
      <c r="E104" s="441"/>
      <c r="F104" s="118" t="s">
        <v>247</v>
      </c>
      <c r="G104" s="226"/>
      <c r="H104" s="126"/>
      <c r="I104" s="126"/>
      <c r="J104" s="2"/>
      <c r="K104" s="18"/>
      <c r="L104" s="18"/>
      <c r="M104" s="18">
        <v>7750</v>
      </c>
      <c r="N104" s="18">
        <v>1</v>
      </c>
      <c r="O104" s="126"/>
      <c r="P104" s="126">
        <f>May!AX327</f>
        <v>1018</v>
      </c>
      <c r="Q104" s="126">
        <f>May!AV327</f>
        <v>4</v>
      </c>
      <c r="R104" s="436"/>
      <c r="S104" s="436"/>
      <c r="T104" s="18"/>
      <c r="U104" s="18"/>
      <c r="V104" s="127"/>
      <c r="W104" s="45"/>
      <c r="X104" s="67"/>
    </row>
    <row r="105" spans="1:24" ht="15" customHeight="1">
      <c r="A105" s="427"/>
      <c r="B105" s="122" t="s">
        <v>366</v>
      </c>
      <c r="C105" s="180" t="s">
        <v>367</v>
      </c>
      <c r="D105" s="48" t="s">
        <v>132</v>
      </c>
      <c r="E105" s="441"/>
      <c r="F105" s="118" t="s">
        <v>64</v>
      </c>
      <c r="G105" s="87">
        <v>385.95</v>
      </c>
      <c r="H105" s="126">
        <v>126</v>
      </c>
      <c r="I105" s="126"/>
      <c r="J105" s="2"/>
      <c r="K105" s="18">
        <v>4500</v>
      </c>
      <c r="L105" s="18">
        <v>1</v>
      </c>
      <c r="M105" s="18"/>
      <c r="N105" s="18"/>
      <c r="O105" s="126"/>
      <c r="P105" s="126">
        <f>May!AX331</f>
        <v>243</v>
      </c>
      <c r="Q105" s="126">
        <f>May!AV331</f>
        <v>1</v>
      </c>
      <c r="R105" s="436"/>
      <c r="S105" s="436"/>
      <c r="T105" s="18"/>
      <c r="U105" s="18"/>
      <c r="V105" s="18"/>
      <c r="W105" s="45"/>
      <c r="X105" s="67"/>
    </row>
    <row r="106" spans="1:24" ht="15" customHeight="1">
      <c r="A106" s="427"/>
      <c r="B106" s="122" t="s">
        <v>101</v>
      </c>
      <c r="C106" s="180" t="s">
        <v>327</v>
      </c>
      <c r="D106" s="48" t="s">
        <v>102</v>
      </c>
      <c r="E106" s="441"/>
      <c r="F106" s="118" t="s">
        <v>64</v>
      </c>
      <c r="G106" s="119"/>
      <c r="H106" s="126"/>
      <c r="I106" s="126"/>
      <c r="J106" s="2"/>
      <c r="K106" s="18"/>
      <c r="L106" s="18"/>
      <c r="M106" s="18">
        <v>28000</v>
      </c>
      <c r="N106" s="18">
        <v>4</v>
      </c>
      <c r="O106" s="126">
        <f>May!AW330</f>
        <v>2407</v>
      </c>
      <c r="P106" s="126">
        <f>May!AX330</f>
        <v>1501</v>
      </c>
      <c r="Q106" s="126">
        <f>May!AV330</f>
        <v>4</v>
      </c>
      <c r="R106" s="436"/>
      <c r="S106" s="436"/>
      <c r="T106" s="18">
        <v>2407</v>
      </c>
      <c r="U106" s="18"/>
      <c r="V106" s="18">
        <f>O106-T106-U106+V79</f>
        <v>402</v>
      </c>
      <c r="W106" s="45"/>
      <c r="X106" s="67"/>
    </row>
    <row r="107" spans="1:24" ht="15" customHeight="1">
      <c r="A107" s="427"/>
      <c r="B107" s="122" t="s">
        <v>103</v>
      </c>
      <c r="C107" s="157" t="s">
        <v>197</v>
      </c>
      <c r="D107" s="48" t="s">
        <v>104</v>
      </c>
      <c r="E107" s="441"/>
      <c r="F107" s="118" t="s">
        <v>105</v>
      </c>
      <c r="G107" s="119"/>
      <c r="H107" s="126"/>
      <c r="I107" s="126"/>
      <c r="J107" s="2"/>
      <c r="K107" s="18"/>
      <c r="L107" s="18"/>
      <c r="M107" s="18"/>
      <c r="N107" s="18"/>
      <c r="O107" s="126"/>
      <c r="P107" s="126"/>
      <c r="Q107" s="126">
        <f>May!AV335</f>
        <v>1</v>
      </c>
      <c r="R107" s="436"/>
      <c r="S107" s="436"/>
      <c r="T107" s="18"/>
      <c r="U107" s="18"/>
      <c r="V107" s="18"/>
      <c r="W107" s="45"/>
      <c r="X107" s="67"/>
    </row>
    <row r="108" spans="1:24" ht="15" customHeight="1">
      <c r="A108" s="427"/>
      <c r="B108" s="137" t="s">
        <v>112</v>
      </c>
      <c r="C108" s="157" t="s">
        <v>197</v>
      </c>
      <c r="D108" s="48" t="s">
        <v>104</v>
      </c>
      <c r="E108" s="441"/>
      <c r="F108" s="118" t="s">
        <v>113</v>
      </c>
      <c r="G108" s="119"/>
      <c r="H108" s="126"/>
      <c r="I108" s="126"/>
      <c r="J108" s="2"/>
      <c r="K108" s="18"/>
      <c r="L108" s="18"/>
      <c r="M108" s="18"/>
      <c r="N108" s="18"/>
      <c r="O108" s="126"/>
      <c r="P108" s="126"/>
      <c r="Q108" s="126">
        <f>May!AV337</f>
        <v>1</v>
      </c>
      <c r="R108" s="436"/>
      <c r="S108" s="436"/>
      <c r="T108" s="18"/>
      <c r="U108" s="18"/>
      <c r="V108" s="18"/>
      <c r="W108" s="45"/>
      <c r="X108" s="67"/>
    </row>
    <row r="109" spans="1:24" ht="15" customHeight="1" thickBot="1">
      <c r="A109" s="428"/>
      <c r="B109" s="44" t="s">
        <v>107</v>
      </c>
      <c r="C109" s="181" t="s">
        <v>195</v>
      </c>
      <c r="D109" s="61" t="s">
        <v>108</v>
      </c>
      <c r="E109" s="447"/>
      <c r="F109" s="133" t="s">
        <v>48</v>
      </c>
      <c r="G109" s="132"/>
      <c r="H109" s="109">
        <v>52.5</v>
      </c>
      <c r="I109" s="134"/>
      <c r="J109" s="129"/>
      <c r="K109" s="130"/>
      <c r="L109" s="130"/>
      <c r="M109" s="130"/>
      <c r="N109" s="130"/>
      <c r="O109" s="134">
        <f>May!AW336</f>
        <v>500</v>
      </c>
      <c r="P109" s="134">
        <f>May!AX336</f>
        <v>359</v>
      </c>
      <c r="Q109" s="134">
        <f>May!AV336</f>
        <v>1</v>
      </c>
      <c r="R109" s="437"/>
      <c r="S109" s="437"/>
      <c r="T109" s="130">
        <v>500</v>
      </c>
      <c r="U109" s="130"/>
      <c r="V109" s="128">
        <f t="shared" ref="V109:V114" si="5">O109-T109-U109+V82</f>
        <v>0</v>
      </c>
      <c r="W109" s="85"/>
      <c r="X109" s="67"/>
    </row>
    <row r="110" spans="1:24" ht="15" customHeight="1">
      <c r="A110" s="426">
        <v>46150</v>
      </c>
      <c r="B110" s="429" t="s">
        <v>44</v>
      </c>
      <c r="C110" s="432" t="s">
        <v>240</v>
      </c>
      <c r="D110" s="19" t="s">
        <v>37</v>
      </c>
      <c r="E110" s="19" t="s">
        <v>25</v>
      </c>
      <c r="F110" s="39" t="s">
        <v>40</v>
      </c>
      <c r="G110" s="41"/>
      <c r="H110" s="32"/>
      <c r="I110" s="32"/>
      <c r="J110" s="32"/>
      <c r="K110" s="20">
        <v>40000</v>
      </c>
      <c r="L110" s="20">
        <v>5</v>
      </c>
      <c r="M110" s="20">
        <v>112000</v>
      </c>
      <c r="N110" s="84">
        <v>14</v>
      </c>
      <c r="O110" s="32">
        <f>May!AZ311</f>
        <v>25744</v>
      </c>
      <c r="P110" s="32">
        <f>May!BA311</f>
        <v>24427</v>
      </c>
      <c r="Q110" s="32">
        <f>May!AY311</f>
        <v>65</v>
      </c>
      <c r="R110" s="435">
        <f>May!AZ340</f>
        <v>73913</v>
      </c>
      <c r="S110" s="435">
        <f>May!BA340</f>
        <v>77092</v>
      </c>
      <c r="T110" s="20">
        <v>25932</v>
      </c>
      <c r="U110" s="20">
        <v>70</v>
      </c>
      <c r="V110" s="20">
        <f>O110-T110-U110+V83</f>
        <v>147468</v>
      </c>
      <c r="W110" s="77"/>
      <c r="X110" s="36"/>
    </row>
    <row r="111" spans="1:24" ht="15" customHeight="1">
      <c r="A111" s="427"/>
      <c r="B111" s="430"/>
      <c r="C111" s="433"/>
      <c r="D111" s="113" t="s">
        <v>128</v>
      </c>
      <c r="E111" s="438" t="s">
        <v>24</v>
      </c>
      <c r="F111" s="118" t="s">
        <v>40</v>
      </c>
      <c r="G111" s="38"/>
      <c r="H111" s="126"/>
      <c r="I111" s="125"/>
      <c r="J111" s="125"/>
      <c r="K111" s="18"/>
      <c r="L111" s="127"/>
      <c r="M111" s="216"/>
      <c r="N111" s="238"/>
      <c r="O111" s="126">
        <f>May!AZ312</f>
        <v>10372</v>
      </c>
      <c r="P111" s="125">
        <f>May!BA312</f>
        <v>12488</v>
      </c>
      <c r="Q111" s="125">
        <f>May!AY312</f>
        <v>33</v>
      </c>
      <c r="R111" s="436"/>
      <c r="S111" s="436"/>
      <c r="T111" s="127">
        <v>34625</v>
      </c>
      <c r="U111" s="127">
        <v>15</v>
      </c>
      <c r="V111" s="127">
        <f t="shared" si="5"/>
        <v>7082</v>
      </c>
      <c r="W111" s="46"/>
      <c r="X111" s="67"/>
    </row>
    <row r="112" spans="1:24" ht="15" customHeight="1">
      <c r="A112" s="427"/>
      <c r="B112" s="431"/>
      <c r="C112" s="434"/>
      <c r="D112" s="113" t="s">
        <v>307</v>
      </c>
      <c r="E112" s="431"/>
      <c r="F112" s="118" t="s">
        <v>40</v>
      </c>
      <c r="G112" s="170">
        <v>3298.86</v>
      </c>
      <c r="H112" s="135">
        <v>3292.5</v>
      </c>
      <c r="I112" s="125"/>
      <c r="J112" s="125"/>
      <c r="K112" s="127"/>
      <c r="L112" s="127"/>
      <c r="M112" s="216">
        <v>175400</v>
      </c>
      <c r="N112" s="238">
        <v>22</v>
      </c>
      <c r="O112" s="126">
        <f>May!AZ313</f>
        <v>16324</v>
      </c>
      <c r="P112" s="125">
        <f>May!BA313</f>
        <v>19561</v>
      </c>
      <c r="Q112" s="125">
        <f>May!AY313</f>
        <v>50</v>
      </c>
      <c r="R112" s="436"/>
      <c r="S112" s="436"/>
      <c r="T112" s="127">
        <v>16927</v>
      </c>
      <c r="U112" s="127"/>
      <c r="V112" s="127">
        <f t="shared" si="5"/>
        <v>22812</v>
      </c>
      <c r="W112" s="46"/>
      <c r="X112" s="67"/>
    </row>
    <row r="113" spans="1:25" ht="15" customHeight="1">
      <c r="A113" s="427"/>
      <c r="B113" s="442" t="s">
        <v>45</v>
      </c>
      <c r="C113" s="471" t="s">
        <v>59</v>
      </c>
      <c r="D113" s="118" t="s">
        <v>75</v>
      </c>
      <c r="E113" s="438" t="s">
        <v>25</v>
      </c>
      <c r="F113" s="131" t="s">
        <v>57</v>
      </c>
      <c r="G113" s="87"/>
      <c r="H113" s="152"/>
      <c r="I113" s="126"/>
      <c r="J113" s="2"/>
      <c r="K113" s="127"/>
      <c r="L113" s="18"/>
      <c r="M113" s="18">
        <v>25900</v>
      </c>
      <c r="N113" s="80">
        <v>5</v>
      </c>
      <c r="O113" s="126">
        <f>May!AZ317</f>
        <v>0</v>
      </c>
      <c r="P113" s="126">
        <f>May!BA317</f>
        <v>513</v>
      </c>
      <c r="Q113" s="2">
        <f>May!AY317</f>
        <v>2</v>
      </c>
      <c r="R113" s="436"/>
      <c r="S113" s="436"/>
      <c r="T113" s="18"/>
      <c r="U113" s="18"/>
      <c r="V113" s="127">
        <f t="shared" si="5"/>
        <v>23803</v>
      </c>
      <c r="W113" s="46"/>
      <c r="Y113" s="13"/>
    </row>
    <row r="114" spans="1:25" ht="15" customHeight="1">
      <c r="A114" s="427"/>
      <c r="B114" s="439"/>
      <c r="C114" s="471"/>
      <c r="D114" s="118" t="s">
        <v>291</v>
      </c>
      <c r="E114" s="430"/>
      <c r="F114" s="131" t="s">
        <v>57</v>
      </c>
      <c r="G114" s="87"/>
      <c r="H114" s="152"/>
      <c r="I114" s="126"/>
      <c r="J114" s="2"/>
      <c r="K114" s="127"/>
      <c r="L114" s="18"/>
      <c r="M114" s="18">
        <v>9800</v>
      </c>
      <c r="N114" s="80">
        <v>2</v>
      </c>
      <c r="O114" s="126">
        <f>May!AZ318</f>
        <v>2200</v>
      </c>
      <c r="P114" s="126">
        <f>May!BA318</f>
        <v>3774</v>
      </c>
      <c r="Q114" s="2">
        <f>May!AY318</f>
        <v>15</v>
      </c>
      <c r="R114" s="436"/>
      <c r="S114" s="436"/>
      <c r="T114" s="18"/>
      <c r="U114" s="18"/>
      <c r="V114" s="127">
        <f t="shared" si="5"/>
        <v>30828</v>
      </c>
      <c r="W114" s="46"/>
      <c r="Y114" s="13"/>
    </row>
    <row r="115" spans="1:25" ht="15" customHeight="1">
      <c r="A115" s="427"/>
      <c r="B115" s="439"/>
      <c r="C115" s="471"/>
      <c r="D115" s="118" t="s">
        <v>94</v>
      </c>
      <c r="E115" s="431"/>
      <c r="F115" s="131"/>
      <c r="G115" s="87"/>
      <c r="H115" s="152">
        <v>1782</v>
      </c>
      <c r="I115" s="126"/>
      <c r="J115" s="2"/>
      <c r="K115" s="127"/>
      <c r="L115" s="18"/>
      <c r="M115" s="18"/>
      <c r="N115" s="80"/>
      <c r="O115" s="126"/>
      <c r="P115" s="126"/>
      <c r="Q115" s="2"/>
      <c r="R115" s="436"/>
      <c r="S115" s="436"/>
      <c r="T115" s="18"/>
      <c r="U115" s="18"/>
      <c r="V115" s="127"/>
      <c r="W115" s="46"/>
      <c r="Y115" s="13"/>
    </row>
    <row r="116" spans="1:25">
      <c r="A116" s="427"/>
      <c r="B116" s="439"/>
      <c r="C116" s="471"/>
      <c r="D116" s="118" t="s">
        <v>72</v>
      </c>
      <c r="E116" s="155" t="s">
        <v>24</v>
      </c>
      <c r="F116" s="131" t="s">
        <v>57</v>
      </c>
      <c r="G116" s="224"/>
      <c r="H116" s="152"/>
      <c r="I116" s="126"/>
      <c r="J116" s="126"/>
      <c r="K116" s="127"/>
      <c r="L116" s="18"/>
      <c r="M116" s="18">
        <v>50000</v>
      </c>
      <c r="N116" s="80">
        <v>10</v>
      </c>
      <c r="O116" s="126">
        <f>May!AZ319</f>
        <v>6050</v>
      </c>
      <c r="P116" s="126">
        <f>May!BA319</f>
        <v>3675</v>
      </c>
      <c r="Q116" s="126">
        <f>May!AY319</f>
        <v>16</v>
      </c>
      <c r="R116" s="436"/>
      <c r="S116" s="436"/>
      <c r="T116" s="18">
        <v>12959</v>
      </c>
      <c r="U116" s="18">
        <v>3</v>
      </c>
      <c r="V116" s="127">
        <f>O116-T116-U116+V88</f>
        <v>14808</v>
      </c>
      <c r="W116" s="46"/>
      <c r="Y116" s="13"/>
    </row>
    <row r="117" spans="1:25" ht="14.25" customHeight="1">
      <c r="A117" s="427"/>
      <c r="B117" s="439"/>
      <c r="C117" s="471"/>
      <c r="D117" s="115" t="s">
        <v>79</v>
      </c>
      <c r="E117" s="118" t="s">
        <v>65</v>
      </c>
      <c r="F117" s="131" t="s">
        <v>57</v>
      </c>
      <c r="G117" s="224"/>
      <c r="H117" s="126"/>
      <c r="I117" s="126"/>
      <c r="J117" s="126"/>
      <c r="K117" s="18"/>
      <c r="L117" s="18"/>
      <c r="M117" s="18"/>
      <c r="N117" s="80"/>
      <c r="O117" s="126"/>
      <c r="P117" s="126"/>
      <c r="Q117" s="126">
        <f>May!AY320</f>
        <v>1</v>
      </c>
      <c r="R117" s="436"/>
      <c r="S117" s="436"/>
      <c r="T117" s="18"/>
      <c r="U117" s="18"/>
      <c r="V117" s="127"/>
      <c r="W117" s="45"/>
      <c r="X117" s="36"/>
    </row>
    <row r="118" spans="1:25" ht="14.25" customHeight="1">
      <c r="A118" s="427"/>
      <c r="B118" s="443"/>
      <c r="C118" s="271" t="s">
        <v>299</v>
      </c>
      <c r="D118" s="115" t="s">
        <v>296</v>
      </c>
      <c r="E118" s="115" t="s">
        <v>25</v>
      </c>
      <c r="F118" s="131" t="s">
        <v>298</v>
      </c>
      <c r="G118" s="224"/>
      <c r="H118" s="37"/>
      <c r="I118" s="126"/>
      <c r="J118" s="126"/>
      <c r="K118" s="18"/>
      <c r="L118" s="18"/>
      <c r="M118" s="18"/>
      <c r="N118" s="80"/>
      <c r="O118" s="126">
        <f>May!AZ321</f>
        <v>1000</v>
      </c>
      <c r="P118" s="126">
        <f>May!BA321</f>
        <v>275</v>
      </c>
      <c r="Q118" s="126">
        <f>May!AY321</f>
        <v>1</v>
      </c>
      <c r="R118" s="436"/>
      <c r="S118" s="436"/>
      <c r="T118" s="18"/>
      <c r="U118" s="18"/>
      <c r="V118" s="127">
        <f>O118-T118-U118+V90</f>
        <v>1000</v>
      </c>
      <c r="W118" s="45"/>
      <c r="X118" s="67"/>
    </row>
    <row r="119" spans="1:25" ht="14.25" customHeight="1">
      <c r="A119" s="427"/>
      <c r="B119" s="442" t="s">
        <v>53</v>
      </c>
      <c r="C119" s="444" t="s">
        <v>60</v>
      </c>
      <c r="D119" s="43" t="s">
        <v>130</v>
      </c>
      <c r="E119" s="424" t="s">
        <v>66</v>
      </c>
      <c r="F119" s="118" t="s">
        <v>54</v>
      </c>
      <c r="G119" s="224"/>
      <c r="H119" s="37"/>
      <c r="I119" s="126"/>
      <c r="J119" s="126"/>
      <c r="K119" s="18"/>
      <c r="L119" s="18"/>
      <c r="M119" s="18"/>
      <c r="N119" s="80"/>
      <c r="O119" s="126">
        <f>May!AZ314</f>
        <v>8370</v>
      </c>
      <c r="P119" s="126">
        <f>May!BA314</f>
        <v>5395</v>
      </c>
      <c r="Q119" s="126">
        <f>May!AY314</f>
        <v>16</v>
      </c>
      <c r="R119" s="436"/>
      <c r="S119" s="436"/>
      <c r="T119" s="18"/>
      <c r="U119" s="18"/>
      <c r="V119" s="127">
        <f>O119-T119-U119+V91</f>
        <v>10492</v>
      </c>
      <c r="W119" s="45"/>
      <c r="X119" s="67"/>
    </row>
    <row r="120" spans="1:25" ht="14.25" customHeight="1">
      <c r="A120" s="427"/>
      <c r="B120" s="439"/>
      <c r="C120" s="445"/>
      <c r="D120" s="43" t="s">
        <v>320</v>
      </c>
      <c r="E120" s="425"/>
      <c r="F120" s="118" t="s">
        <v>54</v>
      </c>
      <c r="G120" s="224"/>
      <c r="H120" s="37"/>
      <c r="I120" s="126"/>
      <c r="J120" s="126"/>
      <c r="K120" s="18"/>
      <c r="L120" s="18"/>
      <c r="M120" s="18">
        <v>95000</v>
      </c>
      <c r="N120" s="80">
        <v>16</v>
      </c>
      <c r="O120" s="126">
        <f>May!AZ315</f>
        <v>538</v>
      </c>
      <c r="P120" s="126">
        <f>May!BA315</f>
        <v>1358</v>
      </c>
      <c r="Q120" s="126">
        <f>May!AY315</f>
        <v>4</v>
      </c>
      <c r="R120" s="436"/>
      <c r="S120" s="436"/>
      <c r="T120" s="18"/>
      <c r="U120" s="18"/>
      <c r="V120" s="127">
        <f>O120-T120-U120+V92</f>
        <v>2532</v>
      </c>
      <c r="W120" s="45"/>
      <c r="X120" s="67"/>
    </row>
    <row r="121" spans="1:25" ht="14.25" customHeight="1">
      <c r="A121" s="427"/>
      <c r="B121" s="443"/>
      <c r="C121" s="446"/>
      <c r="D121" s="43" t="s">
        <v>199</v>
      </c>
      <c r="E121" s="114" t="s">
        <v>25</v>
      </c>
      <c r="F121" s="118" t="s">
        <v>54</v>
      </c>
      <c r="G121" s="224"/>
      <c r="H121" s="135"/>
      <c r="I121" s="158"/>
      <c r="J121" s="158"/>
      <c r="K121" s="128"/>
      <c r="L121" s="128"/>
      <c r="M121" s="128"/>
      <c r="N121" s="164"/>
      <c r="O121" s="158"/>
      <c r="P121" s="158"/>
      <c r="Q121" s="158">
        <f>May!AY316</f>
        <v>1</v>
      </c>
      <c r="R121" s="436"/>
      <c r="S121" s="436"/>
      <c r="T121" s="18"/>
      <c r="U121" s="18"/>
      <c r="V121" s="127"/>
      <c r="W121" s="45"/>
      <c r="X121" s="67"/>
    </row>
    <row r="122" spans="1:25" ht="15.75" customHeight="1">
      <c r="A122" s="427"/>
      <c r="B122" s="122" t="s">
        <v>55</v>
      </c>
      <c r="C122" s="180" t="s">
        <v>133</v>
      </c>
      <c r="D122" s="48" t="s">
        <v>56</v>
      </c>
      <c r="E122" s="424" t="s">
        <v>25</v>
      </c>
      <c r="F122" s="118" t="s">
        <v>67</v>
      </c>
      <c r="G122" s="226"/>
      <c r="H122" s="126"/>
      <c r="I122" s="126"/>
      <c r="J122" s="2"/>
      <c r="K122" s="18"/>
      <c r="L122" s="18"/>
      <c r="M122" s="18">
        <v>2800</v>
      </c>
      <c r="N122" s="18">
        <v>1</v>
      </c>
      <c r="O122" s="126"/>
      <c r="P122" s="126"/>
      <c r="Q122" s="126"/>
      <c r="R122" s="436"/>
      <c r="S122" s="436"/>
      <c r="T122" s="18"/>
      <c r="U122" s="18"/>
      <c r="V122" s="127">
        <f>O122-T122-U122+V95</f>
        <v>500</v>
      </c>
      <c r="W122" s="45"/>
      <c r="X122" s="67"/>
    </row>
    <row r="123" spans="1:25" ht="15.75" customHeight="1">
      <c r="A123" s="427"/>
      <c r="B123" s="122" t="s">
        <v>55</v>
      </c>
      <c r="C123" s="180" t="s">
        <v>316</v>
      </c>
      <c r="D123" s="48" t="s">
        <v>317</v>
      </c>
      <c r="E123" s="441"/>
      <c r="F123" s="155" t="s">
        <v>67</v>
      </c>
      <c r="G123" s="226"/>
      <c r="H123" s="126"/>
      <c r="I123" s="126"/>
      <c r="J123" s="2"/>
      <c r="K123" s="18"/>
      <c r="L123" s="18"/>
      <c r="M123" s="18"/>
      <c r="N123" s="18"/>
      <c r="O123" s="126"/>
      <c r="P123" s="126"/>
      <c r="Q123" s="126">
        <f>May!AY339</f>
        <v>1</v>
      </c>
      <c r="R123" s="436"/>
      <c r="S123" s="436"/>
      <c r="T123" s="18"/>
      <c r="U123" s="18"/>
      <c r="V123" s="127"/>
      <c r="W123" s="45"/>
      <c r="X123" s="67"/>
    </row>
    <row r="124" spans="1:25" ht="15" customHeight="1">
      <c r="A124" s="427"/>
      <c r="B124" s="122" t="s">
        <v>122</v>
      </c>
      <c r="C124" s="180" t="s">
        <v>123</v>
      </c>
      <c r="D124" s="48" t="s">
        <v>56</v>
      </c>
      <c r="E124" s="441"/>
      <c r="F124" s="155" t="s">
        <v>64</v>
      </c>
      <c r="G124" s="119"/>
      <c r="H124" s="126"/>
      <c r="I124" s="126"/>
      <c r="J124" s="2"/>
      <c r="K124" s="18"/>
      <c r="L124" s="18"/>
      <c r="M124" s="18">
        <v>6400</v>
      </c>
      <c r="N124" s="18">
        <v>2</v>
      </c>
      <c r="O124" s="126"/>
      <c r="P124" s="126"/>
      <c r="Q124" s="126">
        <f>May!AY323</f>
        <v>1</v>
      </c>
      <c r="R124" s="436"/>
      <c r="S124" s="436"/>
      <c r="T124" s="18"/>
      <c r="U124" s="18"/>
      <c r="V124" s="127">
        <f>O124-T124-U124+V97</f>
        <v>21764</v>
      </c>
      <c r="W124" s="45"/>
      <c r="X124" s="67"/>
    </row>
    <row r="125" spans="1:25" ht="14.25" customHeight="1">
      <c r="A125" s="427"/>
      <c r="B125" s="137" t="s">
        <v>58</v>
      </c>
      <c r="C125" s="157" t="s">
        <v>243</v>
      </c>
      <c r="D125" s="48" t="s">
        <v>56</v>
      </c>
      <c r="E125" s="441"/>
      <c r="F125" s="118" t="s">
        <v>64</v>
      </c>
      <c r="G125" s="225"/>
      <c r="H125" s="126"/>
      <c r="I125" s="126"/>
      <c r="J125" s="126"/>
      <c r="K125" s="18"/>
      <c r="L125" s="18"/>
      <c r="M125" s="18"/>
      <c r="N125" s="80"/>
      <c r="O125" s="126"/>
      <c r="P125" s="126"/>
      <c r="Q125" s="126">
        <f>May!AY324</f>
        <v>1</v>
      </c>
      <c r="R125" s="436"/>
      <c r="S125" s="436"/>
      <c r="T125" s="18"/>
      <c r="U125" s="18"/>
      <c r="V125" s="127">
        <f>O125-T125-U125+V98</f>
        <v>8562</v>
      </c>
      <c r="W125" s="45"/>
      <c r="X125" s="67"/>
    </row>
    <row r="126" spans="1:25" ht="14.25" customHeight="1">
      <c r="A126" s="427"/>
      <c r="B126" s="122" t="s">
        <v>61</v>
      </c>
      <c r="C126" s="180" t="s">
        <v>137</v>
      </c>
      <c r="D126" s="48" t="s">
        <v>56</v>
      </c>
      <c r="E126" s="441"/>
      <c r="F126" s="118" t="s">
        <v>67</v>
      </c>
      <c r="G126" s="225"/>
      <c r="H126" s="126"/>
      <c r="I126" s="126"/>
      <c r="J126" s="126"/>
      <c r="K126" s="18"/>
      <c r="L126" s="18"/>
      <c r="M126" s="18"/>
      <c r="N126" s="80"/>
      <c r="O126" s="126"/>
      <c r="P126" s="126"/>
      <c r="Q126" s="126">
        <f>May!AY325</f>
        <v>1</v>
      </c>
      <c r="R126" s="436"/>
      <c r="S126" s="436"/>
      <c r="T126" s="18"/>
      <c r="U126" s="18"/>
      <c r="V126" s="127">
        <f>O126-T126-U126+V99</f>
        <v>5844</v>
      </c>
      <c r="W126" s="45"/>
      <c r="X126" s="67"/>
    </row>
    <row r="127" spans="1:25" ht="14.25" customHeight="1">
      <c r="A127" s="427"/>
      <c r="B127" s="122" t="s">
        <v>125</v>
      </c>
      <c r="C127" s="180" t="s">
        <v>88</v>
      </c>
      <c r="D127" s="48" t="s">
        <v>124</v>
      </c>
      <c r="E127" s="441"/>
      <c r="F127" s="118" t="s">
        <v>64</v>
      </c>
      <c r="G127" s="225"/>
      <c r="H127" s="126"/>
      <c r="I127" s="126"/>
      <c r="J127" s="126"/>
      <c r="K127" s="18"/>
      <c r="L127" s="18"/>
      <c r="M127" s="18">
        <v>51200</v>
      </c>
      <c r="N127" s="80">
        <v>7</v>
      </c>
      <c r="O127" s="126"/>
      <c r="P127" s="126"/>
      <c r="Q127" s="126"/>
      <c r="R127" s="436"/>
      <c r="S127" s="436"/>
      <c r="T127" s="18"/>
      <c r="U127" s="18"/>
      <c r="V127" s="127">
        <f>O127-T127-U127+V100</f>
        <v>23615</v>
      </c>
      <c r="W127" s="45"/>
      <c r="X127" s="67"/>
    </row>
    <row r="128" spans="1:25" ht="14.25" customHeight="1">
      <c r="A128" s="427"/>
      <c r="B128" s="442" t="s">
        <v>47</v>
      </c>
      <c r="C128" s="444" t="s">
        <v>100</v>
      </c>
      <c r="D128" s="48" t="s">
        <v>99</v>
      </c>
      <c r="E128" s="441"/>
      <c r="F128" s="118" t="s">
        <v>71</v>
      </c>
      <c r="G128" s="225"/>
      <c r="H128" s="126"/>
      <c r="I128" s="126"/>
      <c r="J128" s="126"/>
      <c r="K128" s="18">
        <v>6000</v>
      </c>
      <c r="L128" s="18">
        <v>1</v>
      </c>
      <c r="M128" s="18">
        <v>16800</v>
      </c>
      <c r="N128" s="80">
        <v>3</v>
      </c>
      <c r="O128" s="126">
        <f>May!AZ326</f>
        <v>1335</v>
      </c>
      <c r="P128" s="126">
        <f>May!BA326</f>
        <v>1821</v>
      </c>
      <c r="Q128" s="126">
        <f>May!AY326</f>
        <v>7</v>
      </c>
      <c r="R128" s="436"/>
      <c r="S128" s="436"/>
      <c r="T128" s="18"/>
      <c r="U128" s="18"/>
      <c r="V128" s="127">
        <f>O128-T128-U128+V101</f>
        <v>13154</v>
      </c>
      <c r="W128" s="45"/>
      <c r="X128" s="67"/>
    </row>
    <row r="129" spans="1:25" ht="14.25" customHeight="1">
      <c r="A129" s="427"/>
      <c r="B129" s="443"/>
      <c r="C129" s="446"/>
      <c r="D129" s="48" t="s">
        <v>121</v>
      </c>
      <c r="E129" s="441"/>
      <c r="F129" s="118"/>
      <c r="G129" s="225"/>
      <c r="H129" s="126">
        <v>612</v>
      </c>
      <c r="I129" s="126"/>
      <c r="J129" s="126"/>
      <c r="K129" s="18"/>
      <c r="L129" s="18"/>
      <c r="M129" s="18"/>
      <c r="N129" s="80"/>
      <c r="O129" s="126"/>
      <c r="P129" s="126"/>
      <c r="Q129" s="126"/>
      <c r="R129" s="436"/>
      <c r="S129" s="436"/>
      <c r="T129" s="18"/>
      <c r="U129" s="18"/>
      <c r="V129" s="127"/>
      <c r="W129" s="45"/>
      <c r="X129" s="67"/>
    </row>
    <row r="130" spans="1:25" ht="15" customHeight="1">
      <c r="A130" s="427"/>
      <c r="B130" s="122" t="s">
        <v>196</v>
      </c>
      <c r="C130" s="180" t="s">
        <v>63</v>
      </c>
      <c r="D130" s="48" t="s">
        <v>135</v>
      </c>
      <c r="E130" s="441"/>
      <c r="F130" s="118" t="s">
        <v>64</v>
      </c>
      <c r="G130" s="226"/>
      <c r="H130" s="126"/>
      <c r="I130" s="126"/>
      <c r="J130" s="2"/>
      <c r="K130" s="18"/>
      <c r="L130" s="18"/>
      <c r="M130" s="18">
        <v>33200</v>
      </c>
      <c r="N130" s="18">
        <v>4</v>
      </c>
      <c r="O130" s="126"/>
      <c r="P130" s="126"/>
      <c r="Q130" s="126"/>
      <c r="R130" s="436"/>
      <c r="S130" s="436"/>
      <c r="T130" s="18"/>
      <c r="U130" s="18"/>
      <c r="V130" s="127">
        <f>O130-T130-U130+V102</f>
        <v>14761</v>
      </c>
      <c r="W130" s="45"/>
      <c r="X130" s="67"/>
    </row>
    <row r="131" spans="1:25" ht="15" customHeight="1">
      <c r="A131" s="427"/>
      <c r="B131" s="122" t="s">
        <v>363</v>
      </c>
      <c r="C131" s="180" t="s">
        <v>325</v>
      </c>
      <c r="D131" s="48" t="s">
        <v>328</v>
      </c>
      <c r="E131" s="441"/>
      <c r="F131" s="118" t="s">
        <v>48</v>
      </c>
      <c r="G131" s="226"/>
      <c r="H131" s="126"/>
      <c r="I131" s="126"/>
      <c r="J131" s="2"/>
      <c r="K131" s="18"/>
      <c r="L131" s="18"/>
      <c r="M131" s="18"/>
      <c r="N131" s="18"/>
      <c r="O131" s="126">
        <f>May!AZ332</f>
        <v>481</v>
      </c>
      <c r="P131" s="126">
        <f>May!BA332</f>
        <v>374</v>
      </c>
      <c r="Q131" s="126">
        <f>May!AY332</f>
        <v>2</v>
      </c>
      <c r="R131" s="436"/>
      <c r="S131" s="436"/>
      <c r="T131" s="18"/>
      <c r="U131" s="18"/>
      <c r="V131" s="127">
        <f>O131-T131-U131+V103</f>
        <v>481</v>
      </c>
      <c r="W131" s="45"/>
      <c r="X131" s="67"/>
    </row>
    <row r="132" spans="1:25" ht="15" customHeight="1">
      <c r="A132" s="427"/>
      <c r="B132" s="122" t="s">
        <v>253</v>
      </c>
      <c r="C132" s="180" t="s">
        <v>365</v>
      </c>
      <c r="D132" s="48" t="s">
        <v>246</v>
      </c>
      <c r="E132" s="441"/>
      <c r="F132" s="118" t="s">
        <v>247</v>
      </c>
      <c r="G132" s="226"/>
      <c r="H132" s="126"/>
      <c r="I132" s="126"/>
      <c r="J132" s="2"/>
      <c r="K132" s="18"/>
      <c r="L132" s="18"/>
      <c r="M132" s="18">
        <v>7750</v>
      </c>
      <c r="N132" s="18">
        <v>1</v>
      </c>
      <c r="O132" s="126"/>
      <c r="P132" s="126">
        <f>May!BA327</f>
        <v>986</v>
      </c>
      <c r="Q132" s="126">
        <f>May!AY327</f>
        <v>4</v>
      </c>
      <c r="R132" s="436"/>
      <c r="S132" s="436"/>
      <c r="T132" s="18"/>
      <c r="U132" s="18"/>
      <c r="V132" s="127"/>
      <c r="W132" s="45"/>
      <c r="X132" s="67"/>
    </row>
    <row r="133" spans="1:25" ht="15" customHeight="1">
      <c r="A133" s="427"/>
      <c r="B133" s="122" t="s">
        <v>366</v>
      </c>
      <c r="C133" s="180" t="s">
        <v>367</v>
      </c>
      <c r="D133" s="48" t="s">
        <v>132</v>
      </c>
      <c r="E133" s="441"/>
      <c r="F133" s="118" t="s">
        <v>64</v>
      </c>
      <c r="G133" s="119"/>
      <c r="H133" s="126"/>
      <c r="I133" s="126"/>
      <c r="J133" s="2"/>
      <c r="K133" s="18"/>
      <c r="L133" s="18"/>
      <c r="M133" s="18"/>
      <c r="N133" s="18"/>
      <c r="O133" s="126">
        <f>May!AZ331</f>
        <v>501</v>
      </c>
      <c r="P133" s="126">
        <f>May!BA331</f>
        <v>375</v>
      </c>
      <c r="Q133" s="126">
        <f>May!AY331</f>
        <v>1</v>
      </c>
      <c r="R133" s="436"/>
      <c r="S133" s="436"/>
      <c r="T133" s="18"/>
      <c r="U133" s="18"/>
      <c r="V133" s="18">
        <f>O133-T133-U133+V105</f>
        <v>501</v>
      </c>
      <c r="W133" s="45"/>
      <c r="X133" s="67"/>
    </row>
    <row r="134" spans="1:25" ht="15" customHeight="1">
      <c r="A134" s="427"/>
      <c r="B134" s="122" t="s">
        <v>101</v>
      </c>
      <c r="C134" s="180" t="s">
        <v>327</v>
      </c>
      <c r="D134" s="48" t="s">
        <v>102</v>
      </c>
      <c r="E134" s="441"/>
      <c r="F134" s="118" t="s">
        <v>64</v>
      </c>
      <c r="G134" s="119"/>
      <c r="H134" s="126"/>
      <c r="I134" s="126"/>
      <c r="J134" s="2"/>
      <c r="K134" s="18"/>
      <c r="L134" s="18"/>
      <c r="M134" s="18">
        <v>28000</v>
      </c>
      <c r="N134" s="18">
        <v>4</v>
      </c>
      <c r="O134" s="126">
        <f>May!AZ330</f>
        <v>998</v>
      </c>
      <c r="P134" s="126">
        <f>May!BA330</f>
        <v>1645</v>
      </c>
      <c r="Q134" s="126">
        <f>May!AY330</f>
        <v>4</v>
      </c>
      <c r="R134" s="436"/>
      <c r="S134" s="436"/>
      <c r="T134" s="18">
        <v>998</v>
      </c>
      <c r="U134" s="18"/>
      <c r="V134" s="18">
        <f>O134-T134-U134+V106</f>
        <v>402</v>
      </c>
      <c r="W134" s="45"/>
      <c r="X134" s="67"/>
    </row>
    <row r="135" spans="1:25" ht="15" customHeight="1">
      <c r="A135" s="427"/>
      <c r="B135" s="122" t="s">
        <v>103</v>
      </c>
      <c r="C135" s="157" t="s">
        <v>197</v>
      </c>
      <c r="D135" s="48" t="s">
        <v>104</v>
      </c>
      <c r="E135" s="441"/>
      <c r="F135" s="118" t="s">
        <v>105</v>
      </c>
      <c r="G135" s="119"/>
      <c r="H135" s="126"/>
      <c r="I135" s="126"/>
      <c r="J135" s="2"/>
      <c r="K135" s="18"/>
      <c r="L135" s="18"/>
      <c r="M135" s="18"/>
      <c r="N135" s="18"/>
      <c r="O135" s="126"/>
      <c r="P135" s="126"/>
      <c r="Q135" s="126">
        <f>May!AY335</f>
        <v>1</v>
      </c>
      <c r="R135" s="436"/>
      <c r="S135" s="436"/>
      <c r="T135" s="18"/>
      <c r="U135" s="18"/>
      <c r="V135" s="18"/>
      <c r="W135" s="45"/>
      <c r="X135" s="67"/>
    </row>
    <row r="136" spans="1:25" ht="15" customHeight="1">
      <c r="A136" s="427"/>
      <c r="B136" s="137" t="s">
        <v>112</v>
      </c>
      <c r="C136" s="157" t="s">
        <v>197</v>
      </c>
      <c r="D136" s="48" t="s">
        <v>104</v>
      </c>
      <c r="E136" s="441"/>
      <c r="F136" s="118" t="s">
        <v>113</v>
      </c>
      <c r="G136" s="119"/>
      <c r="H136" s="126"/>
      <c r="I136" s="126"/>
      <c r="J136" s="2"/>
      <c r="K136" s="18"/>
      <c r="L136" s="18"/>
      <c r="M136" s="18"/>
      <c r="N136" s="18"/>
      <c r="O136" s="126"/>
      <c r="P136" s="126"/>
      <c r="Q136" s="126">
        <f>May!AY337</f>
        <v>1</v>
      </c>
      <c r="R136" s="436"/>
      <c r="S136" s="436"/>
      <c r="T136" s="18"/>
      <c r="U136" s="18"/>
      <c r="V136" s="18"/>
      <c r="W136" s="45"/>
      <c r="X136" s="67"/>
    </row>
    <row r="137" spans="1:25" ht="15" customHeight="1" thickBot="1">
      <c r="A137" s="428"/>
      <c r="B137" s="44" t="s">
        <v>107</v>
      </c>
      <c r="C137" s="181" t="s">
        <v>195</v>
      </c>
      <c r="D137" s="61" t="s">
        <v>108</v>
      </c>
      <c r="E137" s="447"/>
      <c r="F137" s="133" t="s">
        <v>48</v>
      </c>
      <c r="G137" s="132"/>
      <c r="H137" s="109"/>
      <c r="I137" s="134"/>
      <c r="J137" s="129"/>
      <c r="K137" s="130"/>
      <c r="L137" s="130"/>
      <c r="M137" s="130"/>
      <c r="N137" s="130"/>
      <c r="O137" s="134"/>
      <c r="P137" s="134">
        <f>May!BA336</f>
        <v>425</v>
      </c>
      <c r="Q137" s="134">
        <f>May!AY336</f>
        <v>1</v>
      </c>
      <c r="R137" s="437"/>
      <c r="S137" s="437"/>
      <c r="T137" s="130"/>
      <c r="U137" s="130"/>
      <c r="V137" s="128"/>
      <c r="W137" s="85"/>
      <c r="X137" s="67"/>
    </row>
    <row r="138" spans="1:25" ht="15" customHeight="1">
      <c r="A138" s="426">
        <v>46151</v>
      </c>
      <c r="B138" s="429" t="s">
        <v>44</v>
      </c>
      <c r="C138" s="432" t="s">
        <v>240</v>
      </c>
      <c r="D138" s="19" t="s">
        <v>37</v>
      </c>
      <c r="E138" s="19" t="s">
        <v>25</v>
      </c>
      <c r="F138" s="39" t="s">
        <v>40</v>
      </c>
      <c r="G138" s="41"/>
      <c r="H138" s="32">
        <v>560</v>
      </c>
      <c r="I138" s="32"/>
      <c r="J138" s="32"/>
      <c r="K138" s="20">
        <v>64000</v>
      </c>
      <c r="L138" s="20">
        <v>8</v>
      </c>
      <c r="M138" s="20">
        <v>48000</v>
      </c>
      <c r="N138" s="84">
        <v>6</v>
      </c>
      <c r="O138" s="32">
        <f>May!BC311</f>
        <v>20521</v>
      </c>
      <c r="P138" s="32">
        <f>May!BD311</f>
        <v>25168</v>
      </c>
      <c r="Q138" s="32">
        <f>May!BB311</f>
        <v>71</v>
      </c>
      <c r="R138" s="435">
        <f>May!BC340</f>
        <v>80464</v>
      </c>
      <c r="S138" s="435">
        <f>May!BD340</f>
        <v>74711</v>
      </c>
      <c r="T138" s="20">
        <v>43708</v>
      </c>
      <c r="U138" s="20"/>
      <c r="V138" s="20">
        <f>O138-T138-U138+V110</f>
        <v>124281</v>
      </c>
      <c r="W138" s="77"/>
      <c r="X138" s="36"/>
    </row>
    <row r="139" spans="1:25" ht="15" customHeight="1">
      <c r="A139" s="427"/>
      <c r="B139" s="430"/>
      <c r="C139" s="433"/>
      <c r="D139" s="113" t="s">
        <v>128</v>
      </c>
      <c r="E139" s="438" t="s">
        <v>24</v>
      </c>
      <c r="F139" s="118" t="s">
        <v>40</v>
      </c>
      <c r="G139" s="38"/>
      <c r="H139" s="126"/>
      <c r="I139" s="125"/>
      <c r="J139" s="125"/>
      <c r="K139" s="18"/>
      <c r="L139" s="127"/>
      <c r="M139" s="216"/>
      <c r="N139" s="238"/>
      <c r="O139" s="126">
        <f>May!BC312</f>
        <v>9512</v>
      </c>
      <c r="P139" s="125">
        <f>May!BD312</f>
        <v>11674</v>
      </c>
      <c r="Q139" s="125">
        <f>May!BB312</f>
        <v>32</v>
      </c>
      <c r="R139" s="436"/>
      <c r="S139" s="436"/>
      <c r="T139" s="127"/>
      <c r="U139" s="127"/>
      <c r="V139" s="127">
        <f>O139-T139-U139+V111</f>
        <v>16594</v>
      </c>
      <c r="W139" s="46"/>
      <c r="X139" s="67"/>
    </row>
    <row r="140" spans="1:25" ht="15" customHeight="1">
      <c r="A140" s="427"/>
      <c r="B140" s="431"/>
      <c r="C140" s="434"/>
      <c r="D140" s="113" t="s">
        <v>307</v>
      </c>
      <c r="E140" s="431"/>
      <c r="F140" s="118" t="s">
        <v>40</v>
      </c>
      <c r="G140" s="135">
        <v>5498.1</v>
      </c>
      <c r="H140" s="135">
        <f>549.8+517.4+2430</f>
        <v>3497.2</v>
      </c>
      <c r="I140" s="125"/>
      <c r="J140" s="125"/>
      <c r="K140" s="127"/>
      <c r="L140" s="127"/>
      <c r="M140" s="216">
        <v>255400</v>
      </c>
      <c r="N140" s="238">
        <v>32</v>
      </c>
      <c r="O140" s="126">
        <f>May!BC313</f>
        <v>25137</v>
      </c>
      <c r="P140" s="125">
        <f>May!BD313</f>
        <v>18767</v>
      </c>
      <c r="Q140" s="125">
        <f>May!BB313</f>
        <v>50</v>
      </c>
      <c r="R140" s="436"/>
      <c r="S140" s="436"/>
      <c r="T140" s="127">
        <v>9329</v>
      </c>
      <c r="U140" s="127"/>
      <c r="V140" s="127">
        <f>O140-T140-U140+V112</f>
        <v>38620</v>
      </c>
      <c r="W140" s="46"/>
      <c r="X140" s="67"/>
    </row>
    <row r="141" spans="1:25" ht="15" customHeight="1">
      <c r="A141" s="427"/>
      <c r="B141" s="442" t="s">
        <v>45</v>
      </c>
      <c r="C141" s="471" t="s">
        <v>59</v>
      </c>
      <c r="D141" s="118" t="s">
        <v>75</v>
      </c>
      <c r="E141" s="438" t="s">
        <v>25</v>
      </c>
      <c r="F141" s="131" t="s">
        <v>57</v>
      </c>
      <c r="G141" s="87"/>
      <c r="H141" s="152"/>
      <c r="I141" s="126"/>
      <c r="J141" s="2"/>
      <c r="K141" s="127"/>
      <c r="L141" s="18"/>
      <c r="M141" s="18">
        <v>25900</v>
      </c>
      <c r="N141" s="80">
        <v>5</v>
      </c>
      <c r="O141" s="126"/>
      <c r="P141" s="126">
        <f>May!BD317</f>
        <v>478</v>
      </c>
      <c r="Q141" s="2">
        <f>May!BB317</f>
        <v>2</v>
      </c>
      <c r="R141" s="436"/>
      <c r="S141" s="436"/>
      <c r="T141" s="18">
        <v>11513</v>
      </c>
      <c r="U141" s="18">
        <v>103</v>
      </c>
      <c r="V141" s="127">
        <f>O141-T141-U141+V113</f>
        <v>12187</v>
      </c>
      <c r="W141" s="46"/>
      <c r="Y141" s="13"/>
    </row>
    <row r="142" spans="1:25" ht="15" customHeight="1">
      <c r="A142" s="427"/>
      <c r="B142" s="439"/>
      <c r="C142" s="471"/>
      <c r="D142" s="118" t="s">
        <v>291</v>
      </c>
      <c r="E142" s="430"/>
      <c r="F142" s="131" t="s">
        <v>57</v>
      </c>
      <c r="G142" s="87"/>
      <c r="H142" s="152"/>
      <c r="I142" s="126"/>
      <c r="J142" s="2"/>
      <c r="K142" s="127"/>
      <c r="L142" s="18"/>
      <c r="M142" s="18">
        <v>9800</v>
      </c>
      <c r="N142" s="80">
        <v>2</v>
      </c>
      <c r="O142" s="126">
        <f>May!BC318</f>
        <v>2705</v>
      </c>
      <c r="P142" s="126">
        <f>May!BD318</f>
        <v>3577</v>
      </c>
      <c r="Q142" s="2">
        <f>May!BB318</f>
        <v>15</v>
      </c>
      <c r="R142" s="436"/>
      <c r="S142" s="436"/>
      <c r="T142" s="18"/>
      <c r="U142" s="18"/>
      <c r="V142" s="127">
        <f>O142-T142-U142+V114</f>
        <v>33533</v>
      </c>
      <c r="W142" s="46"/>
      <c r="Y142" s="13"/>
    </row>
    <row r="143" spans="1:25">
      <c r="A143" s="427"/>
      <c r="B143" s="439"/>
      <c r="C143" s="471"/>
      <c r="D143" s="118" t="s">
        <v>72</v>
      </c>
      <c r="E143" s="424" t="s">
        <v>24</v>
      </c>
      <c r="F143" s="131" t="s">
        <v>57</v>
      </c>
      <c r="G143" s="224"/>
      <c r="H143" s="152"/>
      <c r="I143" s="126"/>
      <c r="J143" s="126"/>
      <c r="K143" s="127"/>
      <c r="L143" s="18"/>
      <c r="M143" s="18">
        <v>50000</v>
      </c>
      <c r="N143" s="80">
        <v>10</v>
      </c>
      <c r="O143" s="126">
        <f>May!BC319</f>
        <v>5078</v>
      </c>
      <c r="P143" s="126">
        <f>May!BD319</f>
        <v>3369</v>
      </c>
      <c r="Q143" s="126">
        <f>May!BB319</f>
        <v>16</v>
      </c>
      <c r="R143" s="436"/>
      <c r="S143" s="436"/>
      <c r="T143" s="18"/>
      <c r="U143" s="18"/>
      <c r="V143" s="127">
        <f>O143-T143-U143+V116</f>
        <v>19886</v>
      </c>
      <c r="W143" s="46"/>
      <c r="Y143" s="13"/>
    </row>
    <row r="144" spans="1:25">
      <c r="A144" s="427"/>
      <c r="B144" s="439"/>
      <c r="C144" s="471"/>
      <c r="D144" s="115" t="s">
        <v>73</v>
      </c>
      <c r="E144" s="425"/>
      <c r="F144" s="131"/>
      <c r="G144" s="224"/>
      <c r="H144" s="152">
        <f>1980+726</f>
        <v>2706</v>
      </c>
      <c r="I144" s="126"/>
      <c r="J144" s="126"/>
      <c r="K144" s="127"/>
      <c r="L144" s="18"/>
      <c r="M144" s="18"/>
      <c r="N144" s="80"/>
      <c r="O144" s="126"/>
      <c r="P144" s="126"/>
      <c r="Q144" s="126"/>
      <c r="R144" s="436"/>
      <c r="S144" s="436"/>
      <c r="T144" s="18"/>
      <c r="U144" s="18"/>
      <c r="V144" s="127"/>
      <c r="W144" s="46"/>
      <c r="Y144" s="13"/>
    </row>
    <row r="145" spans="1:24" ht="14.25" customHeight="1">
      <c r="A145" s="427"/>
      <c r="B145" s="439"/>
      <c r="C145" s="471"/>
      <c r="D145" s="115" t="s">
        <v>79</v>
      </c>
      <c r="E145" s="118" t="s">
        <v>65</v>
      </c>
      <c r="F145" s="131" t="s">
        <v>57</v>
      </c>
      <c r="G145" s="224"/>
      <c r="H145" s="126"/>
      <c r="I145" s="126"/>
      <c r="J145" s="126"/>
      <c r="K145" s="18"/>
      <c r="L145" s="18"/>
      <c r="M145" s="18"/>
      <c r="N145" s="80"/>
      <c r="O145" s="126"/>
      <c r="P145" s="126"/>
      <c r="Q145" s="126">
        <f>May!BB320</f>
        <v>1</v>
      </c>
      <c r="R145" s="436"/>
      <c r="S145" s="436"/>
      <c r="T145" s="18"/>
      <c r="U145" s="18"/>
      <c r="V145" s="127"/>
      <c r="W145" s="45"/>
      <c r="X145" s="36"/>
    </row>
    <row r="146" spans="1:24" ht="14.25" customHeight="1">
      <c r="A146" s="427"/>
      <c r="B146" s="443"/>
      <c r="C146" s="271" t="s">
        <v>299</v>
      </c>
      <c r="D146" s="115" t="s">
        <v>296</v>
      </c>
      <c r="E146" s="115" t="s">
        <v>25</v>
      </c>
      <c r="F146" s="131" t="s">
        <v>298</v>
      </c>
      <c r="G146" s="224"/>
      <c r="H146" s="37"/>
      <c r="I146" s="126"/>
      <c r="J146" s="126"/>
      <c r="K146" s="18"/>
      <c r="L146" s="18"/>
      <c r="M146" s="18"/>
      <c r="N146" s="80"/>
      <c r="O146" s="126">
        <f>May!BC321</f>
        <v>419</v>
      </c>
      <c r="P146" s="126">
        <f>May!BD321</f>
        <v>149</v>
      </c>
      <c r="Q146" s="126">
        <f>May!BB321</f>
        <v>1</v>
      </c>
      <c r="R146" s="436"/>
      <c r="S146" s="436"/>
      <c r="T146" s="18"/>
      <c r="U146" s="18"/>
      <c r="V146" s="127">
        <f>O146-T146-U146+V118</f>
        <v>1419</v>
      </c>
      <c r="W146" s="45"/>
      <c r="X146" s="67"/>
    </row>
    <row r="147" spans="1:24" ht="14.25" customHeight="1">
      <c r="A147" s="427"/>
      <c r="B147" s="442" t="s">
        <v>53</v>
      </c>
      <c r="C147" s="444" t="s">
        <v>60</v>
      </c>
      <c r="D147" s="43" t="s">
        <v>130</v>
      </c>
      <c r="E147" s="424" t="s">
        <v>66</v>
      </c>
      <c r="F147" s="118" t="s">
        <v>54</v>
      </c>
      <c r="G147" s="224"/>
      <c r="H147" s="37"/>
      <c r="I147" s="126"/>
      <c r="J147" s="126"/>
      <c r="K147" s="18"/>
      <c r="L147" s="18"/>
      <c r="M147" s="18"/>
      <c r="N147" s="80"/>
      <c r="O147" s="126">
        <f>May!BC314</f>
        <v>5289</v>
      </c>
      <c r="P147" s="126">
        <f>May!BD314</f>
        <v>4924</v>
      </c>
      <c r="Q147" s="126">
        <f>May!BB314</f>
        <v>15</v>
      </c>
      <c r="R147" s="436"/>
      <c r="S147" s="436"/>
      <c r="T147" s="18">
        <v>7170</v>
      </c>
      <c r="U147" s="18"/>
      <c r="V147" s="127">
        <f>O147-T147-U147+V119</f>
        <v>8611</v>
      </c>
      <c r="W147" s="45"/>
      <c r="X147" s="67"/>
    </row>
    <row r="148" spans="1:24" ht="14.25" customHeight="1">
      <c r="A148" s="427"/>
      <c r="B148" s="439"/>
      <c r="C148" s="445"/>
      <c r="D148" s="43" t="s">
        <v>320</v>
      </c>
      <c r="E148" s="425"/>
      <c r="F148" s="118" t="s">
        <v>54</v>
      </c>
      <c r="G148" s="224"/>
      <c r="H148" s="37"/>
      <c r="I148" s="126"/>
      <c r="J148" s="126"/>
      <c r="K148" s="18"/>
      <c r="L148" s="18"/>
      <c r="M148" s="18">
        <v>95000</v>
      </c>
      <c r="N148" s="80">
        <v>16</v>
      </c>
      <c r="O148" s="126">
        <f>May!BC315</f>
        <v>1968</v>
      </c>
      <c r="P148" s="126">
        <f>May!BD315</f>
        <v>1285</v>
      </c>
      <c r="Q148" s="126">
        <f>May!BB315</f>
        <v>4</v>
      </c>
      <c r="R148" s="436"/>
      <c r="S148" s="436"/>
      <c r="T148" s="18"/>
      <c r="U148" s="18"/>
      <c r="V148" s="127">
        <f>O148-T148-U148+V120</f>
        <v>4500</v>
      </c>
      <c r="W148" s="45"/>
      <c r="X148" s="67"/>
    </row>
    <row r="149" spans="1:24" ht="14.25" customHeight="1">
      <c r="A149" s="427"/>
      <c r="B149" s="443"/>
      <c r="C149" s="446"/>
      <c r="D149" s="43" t="s">
        <v>199</v>
      </c>
      <c r="E149" s="114" t="s">
        <v>25</v>
      </c>
      <c r="F149" s="118" t="s">
        <v>54</v>
      </c>
      <c r="G149" s="224"/>
      <c r="H149" s="135"/>
      <c r="I149" s="158"/>
      <c r="J149" s="158"/>
      <c r="K149" s="128"/>
      <c r="L149" s="128"/>
      <c r="M149" s="128"/>
      <c r="N149" s="164"/>
      <c r="O149" s="158"/>
      <c r="P149" s="158"/>
      <c r="Q149" s="158">
        <f>May!BB316</f>
        <v>1</v>
      </c>
      <c r="R149" s="436"/>
      <c r="S149" s="436"/>
      <c r="T149" s="18"/>
      <c r="U149" s="18"/>
      <c r="V149" s="127"/>
      <c r="W149" s="45"/>
      <c r="X149" s="67"/>
    </row>
    <row r="150" spans="1:24" ht="15.75" customHeight="1">
      <c r="A150" s="427"/>
      <c r="B150" s="122" t="s">
        <v>55</v>
      </c>
      <c r="C150" s="180" t="s">
        <v>133</v>
      </c>
      <c r="D150" s="48" t="s">
        <v>56</v>
      </c>
      <c r="E150" s="424" t="s">
        <v>25</v>
      </c>
      <c r="F150" s="118" t="s">
        <v>67</v>
      </c>
      <c r="G150" s="226"/>
      <c r="H150" s="126"/>
      <c r="I150" s="126"/>
      <c r="J150" s="2"/>
      <c r="K150" s="18"/>
      <c r="L150" s="18"/>
      <c r="M150" s="18">
        <v>2800</v>
      </c>
      <c r="N150" s="18">
        <v>1</v>
      </c>
      <c r="O150" s="126"/>
      <c r="P150" s="126"/>
      <c r="Q150" s="126"/>
      <c r="R150" s="436"/>
      <c r="S150" s="436"/>
      <c r="T150" s="18"/>
      <c r="U150" s="18"/>
      <c r="V150" s="127">
        <f>O150-T150-U150+V122</f>
        <v>500</v>
      </c>
      <c r="W150" s="45"/>
      <c r="X150" s="67"/>
    </row>
    <row r="151" spans="1:24" ht="15.75" customHeight="1">
      <c r="A151" s="427"/>
      <c r="B151" s="122" t="s">
        <v>55</v>
      </c>
      <c r="C151" s="180" t="s">
        <v>316</v>
      </c>
      <c r="D151" s="48" t="s">
        <v>317</v>
      </c>
      <c r="E151" s="441"/>
      <c r="F151" s="155" t="s">
        <v>67</v>
      </c>
      <c r="G151" s="226"/>
      <c r="H151" s="126"/>
      <c r="I151" s="126"/>
      <c r="J151" s="2"/>
      <c r="K151" s="18"/>
      <c r="L151" s="18"/>
      <c r="M151" s="18"/>
      <c r="N151" s="18"/>
      <c r="O151" s="126"/>
      <c r="P151" s="126"/>
      <c r="Q151" s="126">
        <f>May!BB339</f>
        <v>1</v>
      </c>
      <c r="R151" s="436"/>
      <c r="S151" s="436"/>
      <c r="T151" s="18"/>
      <c r="U151" s="18"/>
      <c r="V151" s="127"/>
      <c r="W151" s="45"/>
      <c r="X151" s="67"/>
    </row>
    <row r="152" spans="1:24" ht="15" customHeight="1">
      <c r="A152" s="427"/>
      <c r="B152" s="122" t="s">
        <v>122</v>
      </c>
      <c r="C152" s="180" t="s">
        <v>123</v>
      </c>
      <c r="D152" s="48" t="s">
        <v>56</v>
      </c>
      <c r="E152" s="441"/>
      <c r="F152" s="155" t="s">
        <v>64</v>
      </c>
      <c r="G152" s="119"/>
      <c r="H152" s="126"/>
      <c r="I152" s="126"/>
      <c r="J152" s="2"/>
      <c r="K152" s="18"/>
      <c r="L152" s="18"/>
      <c r="M152" s="18">
        <v>6400</v>
      </c>
      <c r="N152" s="18">
        <v>2</v>
      </c>
      <c r="O152" s="126"/>
      <c r="P152" s="126"/>
      <c r="Q152" s="126"/>
      <c r="R152" s="436"/>
      <c r="S152" s="436"/>
      <c r="T152" s="18"/>
      <c r="U152" s="18"/>
      <c r="V152" s="127">
        <f>O152-T152-U152+V124</f>
        <v>21764</v>
      </c>
      <c r="W152" s="45"/>
      <c r="X152" s="67"/>
    </row>
    <row r="153" spans="1:24" ht="14.25" customHeight="1">
      <c r="A153" s="427"/>
      <c r="B153" s="137" t="s">
        <v>58</v>
      </c>
      <c r="C153" s="157" t="s">
        <v>243</v>
      </c>
      <c r="D153" s="48" t="s">
        <v>56</v>
      </c>
      <c r="E153" s="441"/>
      <c r="F153" s="118" t="s">
        <v>64</v>
      </c>
      <c r="G153" s="225"/>
      <c r="H153" s="126"/>
      <c r="I153" s="126"/>
      <c r="J153" s="126"/>
      <c r="K153" s="18"/>
      <c r="L153" s="18"/>
      <c r="M153" s="18"/>
      <c r="N153" s="80"/>
      <c r="O153" s="126"/>
      <c r="P153" s="126"/>
      <c r="Q153" s="126"/>
      <c r="R153" s="436"/>
      <c r="S153" s="436"/>
      <c r="T153" s="18"/>
      <c r="U153" s="18"/>
      <c r="V153" s="127">
        <f>O153-T153-U153+V125</f>
        <v>8562</v>
      </c>
      <c r="W153" s="45"/>
      <c r="X153" s="67"/>
    </row>
    <row r="154" spans="1:24" ht="14.25" customHeight="1">
      <c r="A154" s="427"/>
      <c r="B154" s="122" t="s">
        <v>61</v>
      </c>
      <c r="C154" s="180" t="s">
        <v>137</v>
      </c>
      <c r="D154" s="48" t="s">
        <v>56</v>
      </c>
      <c r="E154" s="441"/>
      <c r="F154" s="118" t="s">
        <v>67</v>
      </c>
      <c r="G154" s="225"/>
      <c r="H154" s="126"/>
      <c r="I154" s="126"/>
      <c r="J154" s="126"/>
      <c r="K154" s="18"/>
      <c r="L154" s="18"/>
      <c r="M154" s="18"/>
      <c r="N154" s="80"/>
      <c r="O154" s="126"/>
      <c r="P154" s="126"/>
      <c r="Q154" s="126"/>
      <c r="R154" s="436"/>
      <c r="S154" s="436"/>
      <c r="T154" s="18"/>
      <c r="U154" s="18"/>
      <c r="V154" s="127">
        <f>O154-T154-U154+V126</f>
        <v>5844</v>
      </c>
      <c r="W154" s="45"/>
      <c r="X154" s="67"/>
    </row>
    <row r="155" spans="1:24" ht="14.25" customHeight="1">
      <c r="A155" s="427"/>
      <c r="B155" s="122" t="s">
        <v>125</v>
      </c>
      <c r="C155" s="180" t="s">
        <v>88</v>
      </c>
      <c r="D155" s="48" t="s">
        <v>124</v>
      </c>
      <c r="E155" s="441"/>
      <c r="F155" s="118" t="s">
        <v>64</v>
      </c>
      <c r="G155" s="225"/>
      <c r="H155" s="126"/>
      <c r="I155" s="126"/>
      <c r="J155" s="126"/>
      <c r="K155" s="18"/>
      <c r="L155" s="18"/>
      <c r="M155" s="18">
        <v>51200</v>
      </c>
      <c r="N155" s="80">
        <v>7</v>
      </c>
      <c r="O155" s="126"/>
      <c r="P155" s="126"/>
      <c r="Q155" s="126"/>
      <c r="R155" s="436"/>
      <c r="S155" s="436"/>
      <c r="T155" s="18"/>
      <c r="U155" s="18"/>
      <c r="V155" s="127">
        <f>O155-T155-U155+V127</f>
        <v>23615</v>
      </c>
      <c r="W155" s="45"/>
      <c r="X155" s="67"/>
    </row>
    <row r="156" spans="1:24" ht="14.25" customHeight="1">
      <c r="A156" s="427"/>
      <c r="B156" s="137" t="s">
        <v>47</v>
      </c>
      <c r="C156" s="157" t="s">
        <v>100</v>
      </c>
      <c r="D156" s="48" t="s">
        <v>99</v>
      </c>
      <c r="E156" s="441"/>
      <c r="F156" s="118" t="s">
        <v>71</v>
      </c>
      <c r="G156" s="225"/>
      <c r="H156" s="126"/>
      <c r="I156" s="126"/>
      <c r="J156" s="126"/>
      <c r="K156" s="18">
        <v>5600</v>
      </c>
      <c r="L156" s="18">
        <v>1</v>
      </c>
      <c r="M156" s="18">
        <v>11200</v>
      </c>
      <c r="N156" s="80">
        <v>2</v>
      </c>
      <c r="O156" s="126">
        <f>May!BC326</f>
        <v>4243</v>
      </c>
      <c r="P156" s="126">
        <f>May!BD326</f>
        <v>1848</v>
      </c>
      <c r="Q156" s="126">
        <f>May!BB326</f>
        <v>7</v>
      </c>
      <c r="R156" s="436"/>
      <c r="S156" s="436"/>
      <c r="T156" s="18"/>
      <c r="U156" s="18"/>
      <c r="V156" s="127">
        <f>O156-T156-U156+V128</f>
        <v>17397</v>
      </c>
      <c r="W156" s="45"/>
      <c r="X156" s="67"/>
    </row>
    <row r="157" spans="1:24" ht="15" customHeight="1">
      <c r="A157" s="427"/>
      <c r="B157" s="122" t="s">
        <v>196</v>
      </c>
      <c r="C157" s="180" t="s">
        <v>63</v>
      </c>
      <c r="D157" s="48" t="s">
        <v>135</v>
      </c>
      <c r="E157" s="441"/>
      <c r="F157" s="118" t="s">
        <v>64</v>
      </c>
      <c r="G157" s="226"/>
      <c r="H157" s="126"/>
      <c r="I157" s="126"/>
      <c r="J157" s="2"/>
      <c r="K157" s="18"/>
      <c r="L157" s="18"/>
      <c r="M157" s="18">
        <v>33200</v>
      </c>
      <c r="N157" s="18">
        <v>4</v>
      </c>
      <c r="O157" s="126"/>
      <c r="P157" s="126"/>
      <c r="Q157" s="126"/>
      <c r="R157" s="436"/>
      <c r="S157" s="436"/>
      <c r="T157" s="18"/>
      <c r="U157" s="18"/>
      <c r="V157" s="127">
        <f>O157-T157-U157+V130</f>
        <v>14761</v>
      </c>
      <c r="W157" s="45"/>
      <c r="X157" s="67"/>
    </row>
    <row r="158" spans="1:24" ht="15" customHeight="1">
      <c r="A158" s="427"/>
      <c r="B158" s="122" t="s">
        <v>363</v>
      </c>
      <c r="C158" s="180" t="s">
        <v>325</v>
      </c>
      <c r="D158" s="48" t="s">
        <v>328</v>
      </c>
      <c r="E158" s="441"/>
      <c r="F158" s="118" t="s">
        <v>48</v>
      </c>
      <c r="G158" s="226"/>
      <c r="H158" s="126">
        <v>288</v>
      </c>
      <c r="I158" s="126"/>
      <c r="J158" s="2"/>
      <c r="K158" s="18"/>
      <c r="L158" s="18"/>
      <c r="M158" s="18"/>
      <c r="N158" s="18"/>
      <c r="O158" s="126">
        <f>May!BC332</f>
        <v>767</v>
      </c>
      <c r="P158" s="126">
        <f>May!BD332</f>
        <v>418</v>
      </c>
      <c r="Q158" s="126">
        <f>May!BB332</f>
        <v>2</v>
      </c>
      <c r="R158" s="436"/>
      <c r="S158" s="436"/>
      <c r="T158" s="18"/>
      <c r="U158" s="18"/>
      <c r="V158" s="127">
        <f>O158-T158-U158+V131</f>
        <v>1248</v>
      </c>
      <c r="W158" s="45"/>
      <c r="X158" s="67"/>
    </row>
    <row r="159" spans="1:24" ht="15" customHeight="1">
      <c r="A159" s="427"/>
      <c r="B159" s="122" t="s">
        <v>253</v>
      </c>
      <c r="C159" s="180" t="s">
        <v>365</v>
      </c>
      <c r="D159" s="48" t="s">
        <v>246</v>
      </c>
      <c r="E159" s="441"/>
      <c r="F159" s="118" t="s">
        <v>247</v>
      </c>
      <c r="G159" s="226"/>
      <c r="H159" s="126"/>
      <c r="I159" s="126"/>
      <c r="J159" s="2"/>
      <c r="K159" s="18">
        <v>7750</v>
      </c>
      <c r="L159" s="18">
        <v>1</v>
      </c>
      <c r="M159" s="18"/>
      <c r="N159" s="18"/>
      <c r="O159" s="126">
        <f>May!BC327</f>
        <v>1922</v>
      </c>
      <c r="P159" s="126">
        <f>May!BD327</f>
        <v>921</v>
      </c>
      <c r="Q159" s="126">
        <f>May!BB327</f>
        <v>4</v>
      </c>
      <c r="R159" s="436"/>
      <c r="S159" s="436"/>
      <c r="T159" s="18"/>
      <c r="U159" s="18"/>
      <c r="V159" s="127">
        <f>O159-T159-U159+V132</f>
        <v>1922</v>
      </c>
      <c r="W159" s="45"/>
      <c r="X159" s="67"/>
    </row>
    <row r="160" spans="1:24" ht="15" customHeight="1">
      <c r="A160" s="427"/>
      <c r="B160" s="122" t="s">
        <v>366</v>
      </c>
      <c r="C160" s="180" t="s">
        <v>367</v>
      </c>
      <c r="D160" s="48" t="s">
        <v>132</v>
      </c>
      <c r="E160" s="441"/>
      <c r="F160" s="118" t="s">
        <v>64</v>
      </c>
      <c r="G160" s="119"/>
      <c r="H160" s="126"/>
      <c r="I160" s="126"/>
      <c r="J160" s="2"/>
      <c r="K160" s="18"/>
      <c r="L160" s="18"/>
      <c r="M160" s="18"/>
      <c r="N160" s="18"/>
      <c r="O160" s="126"/>
      <c r="P160" s="126">
        <f>May!BD331</f>
        <v>366</v>
      </c>
      <c r="Q160" s="126">
        <f>May!BB331</f>
        <v>1</v>
      </c>
      <c r="R160" s="436"/>
      <c r="S160" s="436"/>
      <c r="T160" s="18"/>
      <c r="U160" s="18"/>
      <c r="V160" s="18">
        <f>O160-T160-U160+V133</f>
        <v>501</v>
      </c>
      <c r="W160" s="45"/>
      <c r="X160" s="67"/>
    </row>
    <row r="161" spans="1:25" ht="15" customHeight="1">
      <c r="A161" s="427"/>
      <c r="B161" s="122" t="s">
        <v>101</v>
      </c>
      <c r="C161" s="180" t="s">
        <v>327</v>
      </c>
      <c r="D161" s="48" t="s">
        <v>102</v>
      </c>
      <c r="E161" s="441"/>
      <c r="F161" s="118" t="s">
        <v>64</v>
      </c>
      <c r="G161" s="119"/>
      <c r="H161" s="126"/>
      <c r="I161" s="126"/>
      <c r="J161" s="2"/>
      <c r="K161" s="18"/>
      <c r="L161" s="18"/>
      <c r="M161" s="18">
        <v>28000</v>
      </c>
      <c r="N161" s="18">
        <v>4</v>
      </c>
      <c r="O161" s="126">
        <f>May!BC330</f>
        <v>2000</v>
      </c>
      <c r="P161" s="126">
        <f>May!BD330</f>
        <v>1648</v>
      </c>
      <c r="Q161" s="126">
        <f>May!BB330</f>
        <v>4</v>
      </c>
      <c r="R161" s="436"/>
      <c r="S161" s="436"/>
      <c r="T161" s="18"/>
      <c r="U161" s="18"/>
      <c r="V161" s="18">
        <f>O161-T161-U161+V134</f>
        <v>2402</v>
      </c>
      <c r="W161" s="45"/>
      <c r="X161" s="67"/>
    </row>
    <row r="162" spans="1:25" ht="15" customHeight="1">
      <c r="A162" s="427"/>
      <c r="B162" s="122" t="s">
        <v>103</v>
      </c>
      <c r="C162" s="157" t="s">
        <v>197</v>
      </c>
      <c r="D162" s="48" t="s">
        <v>104</v>
      </c>
      <c r="E162" s="441"/>
      <c r="F162" s="118" t="s">
        <v>105</v>
      </c>
      <c r="G162" s="119"/>
      <c r="H162" s="126"/>
      <c r="I162" s="126"/>
      <c r="J162" s="2"/>
      <c r="K162" s="18"/>
      <c r="L162" s="18"/>
      <c r="M162" s="18"/>
      <c r="N162" s="18"/>
      <c r="O162" s="126"/>
      <c r="P162" s="126"/>
      <c r="Q162" s="126">
        <f>May!BB335</f>
        <v>1</v>
      </c>
      <c r="R162" s="436"/>
      <c r="S162" s="436"/>
      <c r="T162" s="18"/>
      <c r="U162" s="18"/>
      <c r="V162" s="18"/>
      <c r="W162" s="45"/>
      <c r="X162" s="67"/>
    </row>
    <row r="163" spans="1:25" ht="15" customHeight="1">
      <c r="A163" s="427"/>
      <c r="B163" s="137" t="s">
        <v>112</v>
      </c>
      <c r="C163" s="157" t="s">
        <v>197</v>
      </c>
      <c r="D163" s="48" t="s">
        <v>104</v>
      </c>
      <c r="E163" s="441"/>
      <c r="F163" s="118" t="s">
        <v>113</v>
      </c>
      <c r="G163" s="119"/>
      <c r="H163" s="126"/>
      <c r="I163" s="126"/>
      <c r="J163" s="2"/>
      <c r="K163" s="18"/>
      <c r="L163" s="18"/>
      <c r="M163" s="18"/>
      <c r="N163" s="18"/>
      <c r="O163" s="126"/>
      <c r="P163" s="126"/>
      <c r="Q163" s="126">
        <f>May!BB337</f>
        <v>1</v>
      </c>
      <c r="R163" s="436"/>
      <c r="S163" s="436"/>
      <c r="T163" s="18"/>
      <c r="U163" s="18"/>
      <c r="V163" s="18"/>
      <c r="W163" s="45"/>
      <c r="X163" s="67"/>
    </row>
    <row r="164" spans="1:25" ht="15" customHeight="1" thickBot="1">
      <c r="A164" s="428"/>
      <c r="B164" s="44" t="s">
        <v>107</v>
      </c>
      <c r="C164" s="181" t="s">
        <v>195</v>
      </c>
      <c r="D164" s="61" t="s">
        <v>108</v>
      </c>
      <c r="E164" s="447"/>
      <c r="F164" s="133" t="s">
        <v>48</v>
      </c>
      <c r="G164" s="132"/>
      <c r="H164" s="291">
        <v>10.5</v>
      </c>
      <c r="I164" s="134"/>
      <c r="J164" s="129"/>
      <c r="K164" s="130"/>
      <c r="L164" s="130"/>
      <c r="M164" s="130"/>
      <c r="N164" s="130"/>
      <c r="O164" s="134">
        <f>May!BC336</f>
        <v>903</v>
      </c>
      <c r="P164" s="134">
        <f>May!BD336</f>
        <v>119</v>
      </c>
      <c r="Q164" s="134"/>
      <c r="R164" s="437"/>
      <c r="S164" s="437"/>
      <c r="T164" s="130"/>
      <c r="U164" s="130"/>
      <c r="V164" s="128">
        <f t="shared" ref="V164:V169" si="6">O164-T164-U164+V137</f>
        <v>903</v>
      </c>
      <c r="W164" s="85"/>
      <c r="X164" s="67"/>
    </row>
    <row r="165" spans="1:25" ht="15" customHeight="1">
      <c r="A165" s="426">
        <v>46153</v>
      </c>
      <c r="B165" s="429" t="s">
        <v>44</v>
      </c>
      <c r="C165" s="432" t="s">
        <v>240</v>
      </c>
      <c r="D165" s="19" t="s">
        <v>37</v>
      </c>
      <c r="E165" s="19" t="s">
        <v>25</v>
      </c>
      <c r="F165" s="39" t="s">
        <v>40</v>
      </c>
      <c r="G165" s="41">
        <v>4398.4799999999996</v>
      </c>
      <c r="H165" s="32">
        <v>5744</v>
      </c>
      <c r="I165" s="32"/>
      <c r="J165" s="32"/>
      <c r="K165" s="20">
        <v>48000</v>
      </c>
      <c r="L165" s="20">
        <v>6</v>
      </c>
      <c r="M165" s="20">
        <v>64000</v>
      </c>
      <c r="N165" s="84">
        <v>8</v>
      </c>
      <c r="O165" s="32">
        <f>May!BI311</f>
        <v>24954</v>
      </c>
      <c r="P165" s="32">
        <f>May!BJ311</f>
        <v>28369</v>
      </c>
      <c r="Q165" s="32">
        <f>May!BH311</f>
        <v>76</v>
      </c>
      <c r="R165" s="435">
        <f>May!BI340</f>
        <v>88873</v>
      </c>
      <c r="S165" s="435">
        <f>May!BJ340</f>
        <v>78500</v>
      </c>
      <c r="T165" s="20">
        <v>32416</v>
      </c>
      <c r="U165" s="20">
        <v>29</v>
      </c>
      <c r="V165" s="20">
        <f>O165-T165-U165+V138</f>
        <v>116790</v>
      </c>
      <c r="W165" s="77"/>
      <c r="X165" s="36"/>
    </row>
    <row r="166" spans="1:25" ht="15" customHeight="1">
      <c r="A166" s="427"/>
      <c r="B166" s="430"/>
      <c r="C166" s="433"/>
      <c r="D166" s="113" t="s">
        <v>128</v>
      </c>
      <c r="E166" s="438" t="s">
        <v>24</v>
      </c>
      <c r="F166" s="118" t="s">
        <v>40</v>
      </c>
      <c r="G166" s="38"/>
      <c r="H166" s="126"/>
      <c r="I166" s="125"/>
      <c r="J166" s="125"/>
      <c r="K166" s="18"/>
      <c r="L166" s="127"/>
      <c r="M166" s="216"/>
      <c r="N166" s="238"/>
      <c r="O166" s="126">
        <f>May!BI312</f>
        <v>17272</v>
      </c>
      <c r="P166" s="125">
        <f>May!BJ312</f>
        <v>10435</v>
      </c>
      <c r="Q166" s="125">
        <f>May!BH312</f>
        <v>27</v>
      </c>
      <c r="R166" s="436"/>
      <c r="S166" s="436"/>
      <c r="T166" s="127"/>
      <c r="U166" s="127"/>
      <c r="V166" s="127">
        <f t="shared" si="6"/>
        <v>33866</v>
      </c>
      <c r="W166" s="46"/>
      <c r="X166" s="67"/>
    </row>
    <row r="167" spans="1:25" ht="15" customHeight="1">
      <c r="A167" s="427"/>
      <c r="B167" s="431"/>
      <c r="C167" s="434"/>
      <c r="D167" s="113" t="s">
        <v>307</v>
      </c>
      <c r="E167" s="431"/>
      <c r="F167" s="118" t="s">
        <v>40</v>
      </c>
      <c r="G167" s="170">
        <v>3257.62</v>
      </c>
      <c r="H167" s="158"/>
      <c r="I167" s="125"/>
      <c r="J167" s="125"/>
      <c r="K167" s="127"/>
      <c r="L167" s="127"/>
      <c r="M167" s="216">
        <v>302800</v>
      </c>
      <c r="N167" s="238">
        <v>38</v>
      </c>
      <c r="O167" s="126">
        <f>May!BI313</f>
        <v>23497</v>
      </c>
      <c r="P167" s="125">
        <f>May!BJ313</f>
        <v>19357</v>
      </c>
      <c r="Q167" s="125">
        <f>May!BH313</f>
        <v>50</v>
      </c>
      <c r="R167" s="436"/>
      <c r="S167" s="436"/>
      <c r="T167" s="127">
        <v>6477</v>
      </c>
      <c r="U167" s="127"/>
      <c r="V167" s="127">
        <f t="shared" si="6"/>
        <v>55640</v>
      </c>
      <c r="W167" s="46"/>
      <c r="X167" s="67"/>
    </row>
    <row r="168" spans="1:25" ht="15" customHeight="1">
      <c r="A168" s="427"/>
      <c r="B168" s="442" t="s">
        <v>45</v>
      </c>
      <c r="C168" s="471" t="s">
        <v>59</v>
      </c>
      <c r="D168" s="118" t="s">
        <v>75</v>
      </c>
      <c r="E168" s="438" t="s">
        <v>25</v>
      </c>
      <c r="F168" s="131" t="s">
        <v>57</v>
      </c>
      <c r="G168" s="87"/>
      <c r="H168" s="152"/>
      <c r="I168" s="126"/>
      <c r="J168" s="2"/>
      <c r="K168" s="127">
        <v>5180</v>
      </c>
      <c r="L168" s="18">
        <v>1</v>
      </c>
      <c r="M168" s="18">
        <v>20720</v>
      </c>
      <c r="N168" s="80">
        <v>4</v>
      </c>
      <c r="O168" s="126">
        <f>May!BI317</f>
        <v>1100</v>
      </c>
      <c r="P168" s="126">
        <f>May!BJ317</f>
        <v>710</v>
      </c>
      <c r="Q168" s="2">
        <f>May!BH317</f>
        <v>3</v>
      </c>
      <c r="R168" s="436"/>
      <c r="S168" s="436"/>
      <c r="T168" s="18"/>
      <c r="U168" s="18"/>
      <c r="V168" s="127">
        <f t="shared" si="6"/>
        <v>13287</v>
      </c>
      <c r="W168" s="46"/>
      <c r="Y168" s="13"/>
    </row>
    <row r="169" spans="1:25" ht="15" customHeight="1">
      <c r="A169" s="427"/>
      <c r="B169" s="439"/>
      <c r="C169" s="471"/>
      <c r="D169" s="118" t="s">
        <v>291</v>
      </c>
      <c r="E169" s="430"/>
      <c r="F169" s="131" t="s">
        <v>57</v>
      </c>
      <c r="G169" s="87"/>
      <c r="H169" s="152"/>
      <c r="I169" s="126"/>
      <c r="J169" s="2"/>
      <c r="K169" s="127"/>
      <c r="L169" s="18"/>
      <c r="M169" s="18">
        <v>9800</v>
      </c>
      <c r="N169" s="80">
        <v>2</v>
      </c>
      <c r="O169" s="126">
        <f>May!BI318</f>
        <v>4445</v>
      </c>
      <c r="P169" s="126">
        <f>May!BJ318</f>
        <v>3531</v>
      </c>
      <c r="Q169" s="2">
        <f>May!BH318</f>
        <v>14</v>
      </c>
      <c r="R169" s="436"/>
      <c r="S169" s="436"/>
      <c r="T169" s="18"/>
      <c r="U169" s="18"/>
      <c r="V169" s="127">
        <f t="shared" si="6"/>
        <v>37978</v>
      </c>
      <c r="W169" s="46"/>
      <c r="Y169" s="13"/>
    </row>
    <row r="170" spans="1:25" ht="15" customHeight="1">
      <c r="A170" s="427"/>
      <c r="B170" s="439"/>
      <c r="C170" s="471"/>
      <c r="D170" s="118" t="s">
        <v>94</v>
      </c>
      <c r="E170" s="431"/>
      <c r="F170" s="131"/>
      <c r="G170" s="87"/>
      <c r="H170" s="152">
        <v>486</v>
      </c>
      <c r="I170" s="126"/>
      <c r="J170" s="2"/>
      <c r="K170" s="127"/>
      <c r="L170" s="18"/>
      <c r="M170" s="18"/>
      <c r="N170" s="80"/>
      <c r="O170" s="126"/>
      <c r="P170" s="126"/>
      <c r="Q170" s="2"/>
      <c r="R170" s="436"/>
      <c r="S170" s="436"/>
      <c r="T170" s="18"/>
      <c r="U170" s="18"/>
      <c r="V170" s="127"/>
      <c r="W170" s="46"/>
      <c r="Y170" s="13"/>
    </row>
    <row r="171" spans="1:25">
      <c r="A171" s="427"/>
      <c r="B171" s="439"/>
      <c r="C171" s="471"/>
      <c r="D171" s="118" t="s">
        <v>72</v>
      </c>
      <c r="E171" s="155" t="s">
        <v>24</v>
      </c>
      <c r="F171" s="131" t="s">
        <v>57</v>
      </c>
      <c r="G171" s="224"/>
      <c r="H171" s="152"/>
      <c r="I171" s="126"/>
      <c r="J171" s="126"/>
      <c r="K171" s="127"/>
      <c r="L171" s="18"/>
      <c r="M171" s="18">
        <v>50000</v>
      </c>
      <c r="N171" s="80">
        <v>10</v>
      </c>
      <c r="O171" s="126">
        <f>May!BI319</f>
        <v>5456</v>
      </c>
      <c r="P171" s="126">
        <f>May!BJ319</f>
        <v>3581</v>
      </c>
      <c r="Q171" s="126">
        <f>May!BH319</f>
        <v>16</v>
      </c>
      <c r="R171" s="436"/>
      <c r="S171" s="436"/>
      <c r="T171" s="18">
        <v>13050</v>
      </c>
      <c r="U171" s="18">
        <v>423</v>
      </c>
      <c r="V171" s="127">
        <f>O171-T171-U171+V143</f>
        <v>11869</v>
      </c>
      <c r="W171" s="46"/>
      <c r="Y171" s="13"/>
    </row>
    <row r="172" spans="1:25" ht="14.25" customHeight="1">
      <c r="A172" s="427"/>
      <c r="B172" s="439"/>
      <c r="C172" s="471"/>
      <c r="D172" s="115" t="s">
        <v>79</v>
      </c>
      <c r="E172" s="118" t="s">
        <v>65</v>
      </c>
      <c r="F172" s="131" t="s">
        <v>57</v>
      </c>
      <c r="G172" s="224"/>
      <c r="H172" s="126"/>
      <c r="I172" s="126"/>
      <c r="J172" s="126"/>
      <c r="K172" s="18"/>
      <c r="L172" s="18"/>
      <c r="M172" s="18"/>
      <c r="N172" s="80"/>
      <c r="O172" s="126"/>
      <c r="P172" s="126"/>
      <c r="Q172" s="126">
        <f>May!BH320</f>
        <v>1</v>
      </c>
      <c r="R172" s="436"/>
      <c r="S172" s="436"/>
      <c r="T172" s="18"/>
      <c r="U172" s="18"/>
      <c r="V172" s="127"/>
      <c r="W172" s="45"/>
      <c r="X172" s="36"/>
    </row>
    <row r="173" spans="1:25" ht="14.25" customHeight="1">
      <c r="A173" s="427"/>
      <c r="B173" s="439"/>
      <c r="C173" s="448" t="s">
        <v>299</v>
      </c>
      <c r="D173" s="115" t="s">
        <v>296</v>
      </c>
      <c r="E173" s="424" t="s">
        <v>25</v>
      </c>
      <c r="F173" s="131" t="s">
        <v>298</v>
      </c>
      <c r="G173" s="229">
        <f>326.04*2</f>
        <v>652.08000000000004</v>
      </c>
      <c r="H173" s="126"/>
      <c r="I173" s="126"/>
      <c r="J173" s="126"/>
      <c r="K173" s="18">
        <v>5000</v>
      </c>
      <c r="L173" s="18">
        <v>1</v>
      </c>
      <c r="M173" s="18">
        <v>5000</v>
      </c>
      <c r="N173" s="80">
        <v>1</v>
      </c>
      <c r="O173" s="126"/>
      <c r="P173" s="126">
        <f>May!BJ321</f>
        <v>215</v>
      </c>
      <c r="Q173" s="126">
        <f>May!BH321</f>
        <v>1</v>
      </c>
      <c r="R173" s="436"/>
      <c r="S173" s="436"/>
      <c r="T173" s="18"/>
      <c r="U173" s="18"/>
      <c r="V173" s="127">
        <f>O173-T173-U173+V146</f>
        <v>1419</v>
      </c>
      <c r="W173" s="45"/>
      <c r="X173" s="67"/>
    </row>
    <row r="174" spans="1:25" s="4" customFormat="1" ht="14.25" customHeight="1">
      <c r="A174" s="427"/>
      <c r="B174" s="443"/>
      <c r="C174" s="449"/>
      <c r="D174" s="43" t="s">
        <v>75</v>
      </c>
      <c r="E174" s="425"/>
      <c r="F174" s="137" t="s">
        <v>298</v>
      </c>
      <c r="G174" s="292">
        <v>652.08000000000004</v>
      </c>
      <c r="H174" s="293"/>
      <c r="I174" s="34"/>
      <c r="J174" s="34"/>
      <c r="K174" s="211">
        <v>5000</v>
      </c>
      <c r="L174" s="211">
        <v>1</v>
      </c>
      <c r="M174" s="211">
        <v>5000</v>
      </c>
      <c r="N174" s="215">
        <v>1</v>
      </c>
      <c r="O174" s="34"/>
      <c r="P174" s="34">
        <f>May!BJ322</f>
        <v>230</v>
      </c>
      <c r="Q174" s="34">
        <f>May!BH322</f>
        <v>1</v>
      </c>
      <c r="R174" s="436"/>
      <c r="S174" s="436"/>
      <c r="T174" s="211"/>
      <c r="U174" s="211"/>
      <c r="V174" s="216"/>
      <c r="W174" s="260"/>
      <c r="X174" s="67"/>
    </row>
    <row r="175" spans="1:25" ht="14.25" customHeight="1">
      <c r="A175" s="427"/>
      <c r="B175" s="442" t="s">
        <v>53</v>
      </c>
      <c r="C175" s="444" t="s">
        <v>60</v>
      </c>
      <c r="D175" s="43" t="s">
        <v>130</v>
      </c>
      <c r="E175" s="424" t="s">
        <v>66</v>
      </c>
      <c r="F175" s="118" t="s">
        <v>54</v>
      </c>
      <c r="G175" s="224"/>
      <c r="H175" s="37"/>
      <c r="I175" s="126"/>
      <c r="J175" s="126"/>
      <c r="K175" s="18"/>
      <c r="L175" s="18"/>
      <c r="M175" s="18"/>
      <c r="N175" s="80"/>
      <c r="O175" s="126">
        <f>May!BI314</f>
        <v>3355</v>
      </c>
      <c r="P175" s="126">
        <f>May!BJ314</f>
        <v>5159</v>
      </c>
      <c r="Q175" s="126">
        <f>May!BH314</f>
        <v>15</v>
      </c>
      <c r="R175" s="436"/>
      <c r="S175" s="436"/>
      <c r="T175" s="18"/>
      <c r="U175" s="18"/>
      <c r="V175" s="127">
        <f>O175-T175-U175+V147</f>
        <v>11966</v>
      </c>
      <c r="W175" s="45"/>
      <c r="X175" s="67"/>
    </row>
    <row r="176" spans="1:25" ht="14.25" customHeight="1">
      <c r="A176" s="427"/>
      <c r="B176" s="439"/>
      <c r="C176" s="445"/>
      <c r="D176" s="43" t="s">
        <v>320</v>
      </c>
      <c r="E176" s="425"/>
      <c r="F176" s="118" t="s">
        <v>54</v>
      </c>
      <c r="G176" s="224"/>
      <c r="H176" s="37"/>
      <c r="I176" s="126"/>
      <c r="J176" s="126"/>
      <c r="K176" s="18"/>
      <c r="L176" s="18"/>
      <c r="M176" s="18">
        <v>95000</v>
      </c>
      <c r="N176" s="80">
        <v>16</v>
      </c>
      <c r="O176" s="126">
        <f>May!BI315</f>
        <v>286</v>
      </c>
      <c r="P176" s="126">
        <f>May!BJ315</f>
        <v>1306</v>
      </c>
      <c r="Q176" s="126">
        <f>May!BH315</f>
        <v>4</v>
      </c>
      <c r="R176" s="436"/>
      <c r="S176" s="436"/>
      <c r="T176" s="18"/>
      <c r="U176" s="18"/>
      <c r="V176" s="127">
        <f>O176-T176-U176+V148</f>
        <v>4786</v>
      </c>
      <c r="W176" s="45"/>
      <c r="X176" s="67"/>
    </row>
    <row r="177" spans="1:24" ht="14.25" customHeight="1">
      <c r="A177" s="427"/>
      <c r="B177" s="443"/>
      <c r="C177" s="446"/>
      <c r="D177" s="43" t="s">
        <v>199</v>
      </c>
      <c r="E177" s="114" t="s">
        <v>25</v>
      </c>
      <c r="F177" s="118" t="s">
        <v>54</v>
      </c>
      <c r="G177" s="224"/>
      <c r="H177" s="135"/>
      <c r="I177" s="158"/>
      <c r="J177" s="158"/>
      <c r="K177" s="128"/>
      <c r="L177" s="128"/>
      <c r="M177" s="128"/>
      <c r="N177" s="164"/>
      <c r="O177" s="158"/>
      <c r="P177" s="158"/>
      <c r="Q177" s="158">
        <f>May!BH316</f>
        <v>1</v>
      </c>
      <c r="R177" s="436"/>
      <c r="S177" s="436"/>
      <c r="T177" s="18"/>
      <c r="U177" s="18"/>
      <c r="V177" s="127"/>
      <c r="W177" s="45"/>
      <c r="X177" s="67"/>
    </row>
    <row r="178" spans="1:24" ht="15.75" customHeight="1">
      <c r="A178" s="427"/>
      <c r="B178" s="122" t="s">
        <v>55</v>
      </c>
      <c r="C178" s="180" t="s">
        <v>133</v>
      </c>
      <c r="D178" s="48" t="s">
        <v>56</v>
      </c>
      <c r="E178" s="424" t="s">
        <v>25</v>
      </c>
      <c r="F178" s="118" t="s">
        <v>67</v>
      </c>
      <c r="G178" s="226"/>
      <c r="H178" s="126"/>
      <c r="I178" s="126"/>
      <c r="J178" s="2"/>
      <c r="K178" s="18"/>
      <c r="L178" s="18"/>
      <c r="M178" s="18">
        <v>2800</v>
      </c>
      <c r="N178" s="18">
        <v>1</v>
      </c>
      <c r="O178" s="126"/>
      <c r="P178" s="126"/>
      <c r="Q178" s="126"/>
      <c r="R178" s="436"/>
      <c r="S178" s="436"/>
      <c r="T178" s="18"/>
      <c r="U178" s="18"/>
      <c r="V178" s="127">
        <f>O178-T178-U178+V150</f>
        <v>500</v>
      </c>
      <c r="W178" s="45"/>
      <c r="X178" s="67"/>
    </row>
    <row r="179" spans="1:24" ht="15.75" customHeight="1">
      <c r="A179" s="427"/>
      <c r="B179" s="122" t="s">
        <v>55</v>
      </c>
      <c r="C179" s="180" t="s">
        <v>316</v>
      </c>
      <c r="D179" s="48" t="s">
        <v>317</v>
      </c>
      <c r="E179" s="441"/>
      <c r="F179" s="155" t="s">
        <v>67</v>
      </c>
      <c r="G179" s="226"/>
      <c r="H179" s="126"/>
      <c r="I179" s="126"/>
      <c r="J179" s="2"/>
      <c r="K179" s="18"/>
      <c r="L179" s="18"/>
      <c r="M179" s="18"/>
      <c r="N179" s="18"/>
      <c r="O179" s="126"/>
      <c r="P179" s="126">
        <f>May!BJ339</f>
        <v>27</v>
      </c>
      <c r="Q179" s="126">
        <f>May!BH339</f>
        <v>1</v>
      </c>
      <c r="R179" s="436"/>
      <c r="S179" s="436"/>
      <c r="T179" s="18"/>
      <c r="U179" s="18"/>
      <c r="V179" s="127"/>
      <c r="W179" s="45"/>
      <c r="X179" s="67"/>
    </row>
    <row r="180" spans="1:24" ht="15" customHeight="1">
      <c r="A180" s="427"/>
      <c r="B180" s="122" t="s">
        <v>122</v>
      </c>
      <c r="C180" s="180" t="s">
        <v>123</v>
      </c>
      <c r="D180" s="48" t="s">
        <v>56</v>
      </c>
      <c r="E180" s="441"/>
      <c r="F180" s="155" t="s">
        <v>64</v>
      </c>
      <c r="G180" s="119"/>
      <c r="H180" s="126"/>
      <c r="I180" s="126"/>
      <c r="J180" s="2"/>
      <c r="K180" s="18"/>
      <c r="L180" s="18"/>
      <c r="M180" s="18">
        <v>6400</v>
      </c>
      <c r="N180" s="18">
        <v>2</v>
      </c>
      <c r="O180" s="126"/>
      <c r="P180" s="126"/>
      <c r="Q180" s="126"/>
      <c r="R180" s="436"/>
      <c r="S180" s="436"/>
      <c r="T180" s="18"/>
      <c r="U180" s="18"/>
      <c r="V180" s="127">
        <f t="shared" ref="V180:V189" si="7">O180-T180-U180+V152</f>
        <v>21764</v>
      </c>
      <c r="W180" s="45"/>
      <c r="X180" s="67"/>
    </row>
    <row r="181" spans="1:24" ht="14.25" customHeight="1">
      <c r="A181" s="427"/>
      <c r="B181" s="137" t="s">
        <v>58</v>
      </c>
      <c r="C181" s="157" t="s">
        <v>243</v>
      </c>
      <c r="D181" s="48" t="s">
        <v>56</v>
      </c>
      <c r="E181" s="441"/>
      <c r="F181" s="118" t="s">
        <v>64</v>
      </c>
      <c r="G181" s="225"/>
      <c r="H181" s="126"/>
      <c r="I181" s="126"/>
      <c r="J181" s="126"/>
      <c r="K181" s="18"/>
      <c r="L181" s="18"/>
      <c r="M181" s="18"/>
      <c r="N181" s="80"/>
      <c r="O181" s="126"/>
      <c r="P181" s="126"/>
      <c r="Q181" s="126"/>
      <c r="R181" s="436"/>
      <c r="S181" s="436"/>
      <c r="T181" s="18"/>
      <c r="U181" s="18"/>
      <c r="V181" s="127">
        <f t="shared" si="7"/>
        <v>8562</v>
      </c>
      <c r="W181" s="45"/>
      <c r="X181" s="67"/>
    </row>
    <row r="182" spans="1:24" ht="14.25" customHeight="1">
      <c r="A182" s="427"/>
      <c r="B182" s="122" t="s">
        <v>61</v>
      </c>
      <c r="C182" s="180" t="s">
        <v>137</v>
      </c>
      <c r="D182" s="48" t="s">
        <v>56</v>
      </c>
      <c r="E182" s="441"/>
      <c r="F182" s="118" t="s">
        <v>67</v>
      </c>
      <c r="G182" s="225"/>
      <c r="H182" s="126"/>
      <c r="I182" s="126"/>
      <c r="J182" s="126"/>
      <c r="K182" s="18"/>
      <c r="L182" s="18"/>
      <c r="M182" s="18"/>
      <c r="N182" s="80"/>
      <c r="O182" s="126"/>
      <c r="P182" s="126"/>
      <c r="Q182" s="126"/>
      <c r="R182" s="436"/>
      <c r="S182" s="436"/>
      <c r="T182" s="18"/>
      <c r="U182" s="18"/>
      <c r="V182" s="127">
        <f t="shared" si="7"/>
        <v>5844</v>
      </c>
      <c r="W182" s="45"/>
      <c r="X182" s="67"/>
    </row>
    <row r="183" spans="1:24" ht="14.25" customHeight="1">
      <c r="A183" s="427"/>
      <c r="B183" s="122" t="s">
        <v>125</v>
      </c>
      <c r="C183" s="180" t="s">
        <v>88</v>
      </c>
      <c r="D183" s="48" t="s">
        <v>124</v>
      </c>
      <c r="E183" s="441"/>
      <c r="F183" s="118" t="s">
        <v>64</v>
      </c>
      <c r="G183" s="225"/>
      <c r="H183" s="126"/>
      <c r="I183" s="126"/>
      <c r="J183" s="126"/>
      <c r="K183" s="18"/>
      <c r="L183" s="18"/>
      <c r="M183" s="18">
        <v>51200</v>
      </c>
      <c r="N183" s="80">
        <v>7</v>
      </c>
      <c r="O183" s="126"/>
      <c r="P183" s="126"/>
      <c r="Q183" s="126"/>
      <c r="R183" s="436"/>
      <c r="S183" s="436"/>
      <c r="T183" s="18"/>
      <c r="U183" s="18"/>
      <c r="V183" s="127">
        <f t="shared" si="7"/>
        <v>23615</v>
      </c>
      <c r="W183" s="45"/>
      <c r="X183" s="67"/>
    </row>
    <row r="184" spans="1:24" ht="14.25" customHeight="1">
      <c r="A184" s="427"/>
      <c r="B184" s="137" t="s">
        <v>47</v>
      </c>
      <c r="C184" s="157" t="s">
        <v>100</v>
      </c>
      <c r="D184" s="48" t="s">
        <v>99</v>
      </c>
      <c r="E184" s="441"/>
      <c r="F184" s="118" t="s">
        <v>71</v>
      </c>
      <c r="G184" s="225"/>
      <c r="H184" s="126"/>
      <c r="I184" s="126"/>
      <c r="J184" s="126"/>
      <c r="K184" s="18"/>
      <c r="L184" s="18"/>
      <c r="M184" s="18">
        <v>11200</v>
      </c>
      <c r="N184" s="80">
        <v>2</v>
      </c>
      <c r="O184" s="126">
        <f>May!BI326</f>
        <v>2962</v>
      </c>
      <c r="P184" s="126">
        <f>May!BJ326</f>
        <v>1951</v>
      </c>
      <c r="Q184" s="126">
        <f>May!BH326</f>
        <v>7</v>
      </c>
      <c r="R184" s="436"/>
      <c r="S184" s="436"/>
      <c r="T184" s="18"/>
      <c r="U184" s="18"/>
      <c r="V184" s="127">
        <f t="shared" si="7"/>
        <v>20359</v>
      </c>
      <c r="W184" s="45"/>
      <c r="X184" s="67"/>
    </row>
    <row r="185" spans="1:24" ht="15" customHeight="1">
      <c r="A185" s="427"/>
      <c r="B185" s="122" t="s">
        <v>196</v>
      </c>
      <c r="C185" s="180" t="s">
        <v>63</v>
      </c>
      <c r="D185" s="48" t="s">
        <v>135</v>
      </c>
      <c r="E185" s="441"/>
      <c r="F185" s="118" t="s">
        <v>64</v>
      </c>
      <c r="G185" s="226"/>
      <c r="H185" s="126"/>
      <c r="I185" s="126"/>
      <c r="J185" s="2"/>
      <c r="K185" s="18"/>
      <c r="L185" s="18"/>
      <c r="M185" s="18">
        <v>33200</v>
      </c>
      <c r="N185" s="18">
        <v>4</v>
      </c>
      <c r="O185" s="126"/>
      <c r="P185" s="126"/>
      <c r="Q185" s="126"/>
      <c r="R185" s="436"/>
      <c r="S185" s="436"/>
      <c r="T185" s="18"/>
      <c r="U185" s="18"/>
      <c r="V185" s="127">
        <f t="shared" si="7"/>
        <v>14761</v>
      </c>
      <c r="W185" s="45"/>
      <c r="X185" s="67"/>
    </row>
    <row r="186" spans="1:24" ht="15" customHeight="1">
      <c r="A186" s="427"/>
      <c r="B186" s="122" t="s">
        <v>363</v>
      </c>
      <c r="C186" s="180" t="s">
        <v>325</v>
      </c>
      <c r="D186" s="48" t="s">
        <v>328</v>
      </c>
      <c r="E186" s="441"/>
      <c r="F186" s="118" t="s">
        <v>48</v>
      </c>
      <c r="G186" s="226"/>
      <c r="H186" s="126"/>
      <c r="I186" s="126"/>
      <c r="J186" s="2"/>
      <c r="K186" s="18"/>
      <c r="L186" s="18"/>
      <c r="M186" s="18"/>
      <c r="N186" s="18"/>
      <c r="O186" s="126">
        <f>May!BI332</f>
        <v>0</v>
      </c>
      <c r="P186" s="126">
        <f>May!BJ332</f>
        <v>605</v>
      </c>
      <c r="Q186" s="126">
        <f>May!BH332</f>
        <v>2</v>
      </c>
      <c r="R186" s="436"/>
      <c r="S186" s="436"/>
      <c r="T186" s="18">
        <v>1248</v>
      </c>
      <c r="U186" s="18"/>
      <c r="V186" s="127">
        <f t="shared" si="7"/>
        <v>0</v>
      </c>
      <c r="W186" s="45"/>
      <c r="X186" s="67"/>
    </row>
    <row r="187" spans="1:24" ht="15" customHeight="1">
      <c r="A187" s="427"/>
      <c r="B187" s="122" t="s">
        <v>253</v>
      </c>
      <c r="C187" s="180" t="s">
        <v>365</v>
      </c>
      <c r="D187" s="48" t="s">
        <v>246</v>
      </c>
      <c r="E187" s="441"/>
      <c r="F187" s="118" t="s">
        <v>247</v>
      </c>
      <c r="G187" s="226"/>
      <c r="H187" s="126"/>
      <c r="I187" s="126"/>
      <c r="J187" s="2"/>
      <c r="K187" s="18"/>
      <c r="L187" s="18"/>
      <c r="M187" s="18"/>
      <c r="N187" s="18"/>
      <c r="O187" s="126">
        <f>May!BI327</f>
        <v>4012</v>
      </c>
      <c r="P187" s="126">
        <f>May!BJ327</f>
        <v>997</v>
      </c>
      <c r="Q187" s="126">
        <f>May!BH327</f>
        <v>4</v>
      </c>
      <c r="R187" s="436"/>
      <c r="S187" s="436"/>
      <c r="T187" s="18"/>
      <c r="U187" s="18"/>
      <c r="V187" s="127">
        <f t="shared" si="7"/>
        <v>5934</v>
      </c>
      <c r="W187" s="45"/>
      <c r="X187" s="67"/>
    </row>
    <row r="188" spans="1:24" ht="15" customHeight="1">
      <c r="A188" s="427"/>
      <c r="B188" s="122" t="s">
        <v>366</v>
      </c>
      <c r="C188" s="180" t="s">
        <v>367</v>
      </c>
      <c r="D188" s="48" t="s">
        <v>132</v>
      </c>
      <c r="E188" s="441"/>
      <c r="F188" s="118" t="s">
        <v>64</v>
      </c>
      <c r="G188" s="119"/>
      <c r="H188" s="126"/>
      <c r="I188" s="126"/>
      <c r="J188" s="2"/>
      <c r="K188" s="18"/>
      <c r="L188" s="18"/>
      <c r="M188" s="18"/>
      <c r="N188" s="18"/>
      <c r="O188" s="126"/>
      <c r="P188" s="126">
        <f>May!BJ331</f>
        <v>385</v>
      </c>
      <c r="Q188" s="126">
        <f>May!BH331</f>
        <v>1</v>
      </c>
      <c r="R188" s="436"/>
      <c r="S188" s="436"/>
      <c r="T188" s="18"/>
      <c r="U188" s="18"/>
      <c r="V188" s="18">
        <f t="shared" si="7"/>
        <v>501</v>
      </c>
      <c r="W188" s="45"/>
      <c r="X188" s="67"/>
    </row>
    <row r="189" spans="1:24" ht="15" customHeight="1">
      <c r="A189" s="427"/>
      <c r="B189" s="122" t="s">
        <v>101</v>
      </c>
      <c r="C189" s="180" t="s">
        <v>327</v>
      </c>
      <c r="D189" s="48" t="s">
        <v>102</v>
      </c>
      <c r="E189" s="441"/>
      <c r="F189" s="118" t="s">
        <v>64</v>
      </c>
      <c r="G189" s="119"/>
      <c r="H189" s="126"/>
      <c r="I189" s="126"/>
      <c r="J189" s="2"/>
      <c r="K189" s="18"/>
      <c r="L189" s="18"/>
      <c r="M189" s="18">
        <v>28000</v>
      </c>
      <c r="N189" s="18">
        <v>4</v>
      </c>
      <c r="O189" s="126">
        <f>May!BI330</f>
        <v>1534</v>
      </c>
      <c r="P189" s="126">
        <f>May!BJ330</f>
        <v>1642</v>
      </c>
      <c r="Q189" s="126">
        <f>May!BH330</f>
        <v>4</v>
      </c>
      <c r="R189" s="436"/>
      <c r="S189" s="436"/>
      <c r="T189" s="18">
        <v>3534</v>
      </c>
      <c r="U189" s="18"/>
      <c r="V189" s="18">
        <f t="shared" si="7"/>
        <v>402</v>
      </c>
      <c r="W189" s="45"/>
      <c r="X189" s="67"/>
    </row>
    <row r="190" spans="1:24" ht="15" customHeight="1">
      <c r="A190" s="427"/>
      <c r="B190" s="122" t="s">
        <v>103</v>
      </c>
      <c r="C190" s="157" t="s">
        <v>197</v>
      </c>
      <c r="D190" s="48" t="s">
        <v>104</v>
      </c>
      <c r="E190" s="441"/>
      <c r="F190" s="118" t="s">
        <v>105</v>
      </c>
      <c r="G190" s="119"/>
      <c r="H190" s="126"/>
      <c r="I190" s="126"/>
      <c r="J190" s="2"/>
      <c r="K190" s="18"/>
      <c r="L190" s="18"/>
      <c r="M190" s="18"/>
      <c r="N190" s="18"/>
      <c r="O190" s="126"/>
      <c r="P190" s="126"/>
      <c r="Q190" s="126">
        <f>May!BH335</f>
        <v>1</v>
      </c>
      <c r="R190" s="436"/>
      <c r="S190" s="436"/>
      <c r="T190" s="18"/>
      <c r="U190" s="18"/>
      <c r="V190" s="18"/>
      <c r="W190" s="45"/>
      <c r="X190" s="67"/>
    </row>
    <row r="191" spans="1:24" ht="15" customHeight="1">
      <c r="A191" s="427"/>
      <c r="B191" s="137" t="s">
        <v>112</v>
      </c>
      <c r="C191" s="157" t="s">
        <v>197</v>
      </c>
      <c r="D191" s="48" t="s">
        <v>104</v>
      </c>
      <c r="E191" s="441"/>
      <c r="F191" s="118" t="s">
        <v>113</v>
      </c>
      <c r="G191" s="119"/>
      <c r="H191" s="126"/>
      <c r="I191" s="126"/>
      <c r="J191" s="2"/>
      <c r="K191" s="18"/>
      <c r="L191" s="18"/>
      <c r="M191" s="18"/>
      <c r="N191" s="18"/>
      <c r="O191" s="126"/>
      <c r="P191" s="126"/>
      <c r="Q191" s="126">
        <f>May!BH337</f>
        <v>1</v>
      </c>
      <c r="R191" s="436"/>
      <c r="S191" s="436"/>
      <c r="T191" s="18"/>
      <c r="U191" s="18"/>
      <c r="V191" s="18"/>
      <c r="W191" s="45"/>
      <c r="X191" s="67"/>
    </row>
    <row r="192" spans="1:24" ht="15" customHeight="1">
      <c r="A192" s="427"/>
      <c r="B192" s="137" t="s">
        <v>106</v>
      </c>
      <c r="C192" s="157" t="s">
        <v>141</v>
      </c>
      <c r="D192" s="48" t="s">
        <v>68</v>
      </c>
      <c r="E192" s="441"/>
      <c r="F192" s="118" t="s">
        <v>67</v>
      </c>
      <c r="G192" s="119"/>
      <c r="H192" s="126"/>
      <c r="I192" s="126"/>
      <c r="J192" s="2"/>
      <c r="K192" s="18"/>
      <c r="L192" s="18"/>
      <c r="M192" s="18"/>
      <c r="N192" s="18"/>
      <c r="O192" s="126"/>
      <c r="P192" s="126"/>
      <c r="Q192" s="126"/>
      <c r="R192" s="436"/>
      <c r="S192" s="436"/>
      <c r="T192" s="18"/>
      <c r="U192" s="18"/>
      <c r="V192" s="18"/>
      <c r="W192" s="45"/>
      <c r="X192" s="67"/>
    </row>
    <row r="193" spans="1:25" ht="15" customHeight="1" thickBot="1">
      <c r="A193" s="428"/>
      <c r="B193" s="44" t="s">
        <v>107</v>
      </c>
      <c r="C193" s="181" t="s">
        <v>195</v>
      </c>
      <c r="D193" s="61" t="s">
        <v>108</v>
      </c>
      <c r="E193" s="447"/>
      <c r="F193" s="133" t="s">
        <v>48</v>
      </c>
      <c r="G193" s="132"/>
      <c r="H193" s="109"/>
      <c r="I193" s="134"/>
      <c r="J193" s="129"/>
      <c r="K193" s="130"/>
      <c r="L193" s="130"/>
      <c r="M193" s="130"/>
      <c r="N193" s="130"/>
      <c r="O193" s="134"/>
      <c r="P193" s="134"/>
      <c r="Q193" s="134"/>
      <c r="R193" s="437"/>
      <c r="S193" s="437"/>
      <c r="T193" s="130"/>
      <c r="U193" s="130"/>
      <c r="V193" s="128">
        <f t="shared" ref="V193:V198" si="8">O193-T193-U193+V164</f>
        <v>903</v>
      </c>
      <c r="W193" s="85"/>
      <c r="X193" s="67"/>
    </row>
    <row r="194" spans="1:25" ht="15" customHeight="1">
      <c r="A194" s="426">
        <v>46154</v>
      </c>
      <c r="B194" s="429" t="s">
        <v>44</v>
      </c>
      <c r="C194" s="432" t="s">
        <v>240</v>
      </c>
      <c r="D194" s="19" t="s">
        <v>37</v>
      </c>
      <c r="E194" s="19" t="s">
        <v>25</v>
      </c>
      <c r="F194" s="39" t="s">
        <v>40</v>
      </c>
      <c r="G194" s="41">
        <v>5443.12</v>
      </c>
      <c r="H194" s="32"/>
      <c r="I194" s="32"/>
      <c r="J194" s="32"/>
      <c r="K194" s="20">
        <v>48000</v>
      </c>
      <c r="L194" s="20">
        <v>6</v>
      </c>
      <c r="M194" s="20">
        <v>95200</v>
      </c>
      <c r="N194" s="84">
        <v>12</v>
      </c>
      <c r="O194" s="32">
        <f>May!BL311</f>
        <v>26284</v>
      </c>
      <c r="P194" s="32">
        <f>May!BM311</f>
        <v>29060</v>
      </c>
      <c r="Q194" s="32">
        <f>May!BK311</f>
        <v>81</v>
      </c>
      <c r="R194" s="435">
        <f>May!BL340</f>
        <v>63255</v>
      </c>
      <c r="S194" s="435">
        <f>May!BM340</f>
        <v>78233</v>
      </c>
      <c r="T194" s="20">
        <v>8929</v>
      </c>
      <c r="U194" s="20"/>
      <c r="V194" s="20">
        <f>O194-T194-U194+V165</f>
        <v>134145</v>
      </c>
      <c r="W194" s="77"/>
      <c r="X194" s="36"/>
    </row>
    <row r="195" spans="1:25" ht="15" customHeight="1">
      <c r="A195" s="427"/>
      <c r="B195" s="430"/>
      <c r="C195" s="433"/>
      <c r="D195" s="113" t="s">
        <v>128</v>
      </c>
      <c r="E195" s="438" t="s">
        <v>24</v>
      </c>
      <c r="F195" s="118" t="s">
        <v>40</v>
      </c>
      <c r="G195" s="38"/>
      <c r="H195" s="126"/>
      <c r="I195" s="125"/>
      <c r="J195" s="125"/>
      <c r="K195" s="18"/>
      <c r="L195" s="127"/>
      <c r="M195" s="216"/>
      <c r="N195" s="238"/>
      <c r="O195" s="126">
        <f>May!BL312</f>
        <v>9701</v>
      </c>
      <c r="P195" s="125">
        <f>May!BM312</f>
        <v>9481</v>
      </c>
      <c r="Q195" s="125">
        <f>May!BK312</f>
        <v>25</v>
      </c>
      <c r="R195" s="436"/>
      <c r="S195" s="436"/>
      <c r="T195" s="127">
        <v>17612</v>
      </c>
      <c r="U195" s="127"/>
      <c r="V195" s="127">
        <f t="shared" si="8"/>
        <v>25955</v>
      </c>
      <c r="W195" s="46"/>
      <c r="X195" s="67"/>
    </row>
    <row r="196" spans="1:25" ht="15" customHeight="1">
      <c r="A196" s="427"/>
      <c r="B196" s="431"/>
      <c r="C196" s="434"/>
      <c r="D196" s="113" t="s">
        <v>307</v>
      </c>
      <c r="E196" s="431"/>
      <c r="F196" s="118" t="s">
        <v>40</v>
      </c>
      <c r="G196" s="135"/>
      <c r="H196" s="158"/>
      <c r="I196" s="125"/>
      <c r="J196" s="125"/>
      <c r="K196" s="127"/>
      <c r="L196" s="127"/>
      <c r="M196" s="216">
        <v>302800</v>
      </c>
      <c r="N196" s="238">
        <v>38</v>
      </c>
      <c r="O196" s="126">
        <f>May!BL313</f>
        <v>11453</v>
      </c>
      <c r="P196" s="125">
        <f>May!BM313</f>
        <v>19134</v>
      </c>
      <c r="Q196" s="125">
        <f>May!BK313</f>
        <v>50</v>
      </c>
      <c r="R196" s="436"/>
      <c r="S196" s="436"/>
      <c r="T196" s="127">
        <v>25292</v>
      </c>
      <c r="U196" s="127">
        <v>6</v>
      </c>
      <c r="V196" s="127">
        <f t="shared" si="8"/>
        <v>41795</v>
      </c>
      <c r="W196" s="46"/>
      <c r="X196" s="67"/>
    </row>
    <row r="197" spans="1:25" ht="15" customHeight="1">
      <c r="A197" s="427"/>
      <c r="B197" s="442" t="s">
        <v>45</v>
      </c>
      <c r="C197" s="471" t="s">
        <v>59</v>
      </c>
      <c r="D197" s="118" t="s">
        <v>75</v>
      </c>
      <c r="E197" s="438" t="s">
        <v>25</v>
      </c>
      <c r="F197" s="131" t="s">
        <v>57</v>
      </c>
      <c r="G197" s="87"/>
      <c r="H197" s="152"/>
      <c r="I197" s="126"/>
      <c r="J197" s="2"/>
      <c r="K197" s="127"/>
      <c r="L197" s="18"/>
      <c r="M197" s="18">
        <v>20720</v>
      </c>
      <c r="N197" s="80">
        <v>4</v>
      </c>
      <c r="O197" s="126">
        <f>May!BL317</f>
        <v>1659</v>
      </c>
      <c r="P197" s="126">
        <f>May!BM317</f>
        <v>672</v>
      </c>
      <c r="Q197" s="2">
        <f>May!BK317</f>
        <v>3</v>
      </c>
      <c r="R197" s="436"/>
      <c r="S197" s="436"/>
      <c r="T197" s="18"/>
      <c r="U197" s="18"/>
      <c r="V197" s="127">
        <f t="shared" si="8"/>
        <v>14946</v>
      </c>
      <c r="W197" s="46"/>
      <c r="Y197" s="13"/>
    </row>
    <row r="198" spans="1:25" ht="15" customHeight="1">
      <c r="A198" s="427"/>
      <c r="B198" s="439"/>
      <c r="C198" s="471"/>
      <c r="D198" s="118" t="s">
        <v>291</v>
      </c>
      <c r="E198" s="430"/>
      <c r="F198" s="131" t="s">
        <v>57</v>
      </c>
      <c r="G198" s="87"/>
      <c r="H198" s="152"/>
      <c r="I198" s="126"/>
      <c r="J198" s="2"/>
      <c r="K198" s="127"/>
      <c r="L198" s="18"/>
      <c r="M198" s="18">
        <v>9800</v>
      </c>
      <c r="N198" s="80">
        <v>2</v>
      </c>
      <c r="O198" s="126">
        <f>May!BL318</f>
        <v>5403</v>
      </c>
      <c r="P198" s="126">
        <f>May!BM318</f>
        <v>3171</v>
      </c>
      <c r="Q198" s="2">
        <f>May!BK318</f>
        <v>13</v>
      </c>
      <c r="R198" s="436"/>
      <c r="S198" s="436"/>
      <c r="T198" s="18"/>
      <c r="U198" s="18"/>
      <c r="V198" s="127">
        <f t="shared" si="8"/>
        <v>43381</v>
      </c>
      <c r="W198" s="46"/>
      <c r="Y198" s="13"/>
    </row>
    <row r="199" spans="1:25">
      <c r="A199" s="427"/>
      <c r="B199" s="439"/>
      <c r="C199" s="471"/>
      <c r="D199" s="118" t="s">
        <v>72</v>
      </c>
      <c r="E199" s="155" t="s">
        <v>24</v>
      </c>
      <c r="F199" s="131" t="s">
        <v>57</v>
      </c>
      <c r="G199" s="224"/>
      <c r="H199" s="152"/>
      <c r="I199" s="126"/>
      <c r="J199" s="126"/>
      <c r="K199" s="127"/>
      <c r="L199" s="18"/>
      <c r="M199" s="18">
        <v>50000</v>
      </c>
      <c r="N199" s="80">
        <v>10</v>
      </c>
      <c r="O199" s="126">
        <f>May!BL319</f>
        <v>1091</v>
      </c>
      <c r="P199" s="126">
        <f>May!BM319</f>
        <v>3331</v>
      </c>
      <c r="Q199" s="126">
        <f>May!BK319</f>
        <v>14</v>
      </c>
      <c r="R199" s="436"/>
      <c r="S199" s="436"/>
      <c r="T199" s="18">
        <v>6331</v>
      </c>
      <c r="U199" s="18">
        <v>8</v>
      </c>
      <c r="V199" s="127">
        <f>O199-T199-U199+V171</f>
        <v>6621</v>
      </c>
      <c r="W199" s="46"/>
      <c r="Y199" s="13"/>
    </row>
    <row r="200" spans="1:25" ht="14.25" customHeight="1">
      <c r="A200" s="427"/>
      <c r="B200" s="439"/>
      <c r="C200" s="471"/>
      <c r="D200" s="115" t="s">
        <v>79</v>
      </c>
      <c r="E200" s="118" t="s">
        <v>65</v>
      </c>
      <c r="F200" s="131" t="s">
        <v>57</v>
      </c>
      <c r="G200" s="224"/>
      <c r="H200" s="126"/>
      <c r="I200" s="126"/>
      <c r="J200" s="126"/>
      <c r="K200" s="18"/>
      <c r="L200" s="18"/>
      <c r="M200" s="18"/>
      <c r="N200" s="80"/>
      <c r="O200" s="126"/>
      <c r="P200" s="126"/>
      <c r="Q200" s="126">
        <f>May!BK320</f>
        <v>1</v>
      </c>
      <c r="R200" s="436"/>
      <c r="S200" s="436"/>
      <c r="T200" s="18"/>
      <c r="U200" s="18"/>
      <c r="V200" s="127"/>
      <c r="W200" s="45"/>
      <c r="X200" s="36"/>
    </row>
    <row r="201" spans="1:25" ht="14.25" customHeight="1">
      <c r="A201" s="427"/>
      <c r="B201" s="439"/>
      <c r="C201" s="448" t="s">
        <v>299</v>
      </c>
      <c r="D201" s="115" t="s">
        <v>296</v>
      </c>
      <c r="E201" s="424" t="s">
        <v>25</v>
      </c>
      <c r="F201" s="131" t="s">
        <v>298</v>
      </c>
      <c r="G201" s="224"/>
      <c r="H201" s="37"/>
      <c r="I201" s="126"/>
      <c r="J201" s="126"/>
      <c r="K201" s="18">
        <v>5000</v>
      </c>
      <c r="L201" s="18">
        <v>1</v>
      </c>
      <c r="M201" s="18"/>
      <c r="N201" s="80"/>
      <c r="O201" s="126"/>
      <c r="P201" s="126">
        <f>May!BM321</f>
        <v>543</v>
      </c>
      <c r="Q201" s="126">
        <f>May!BK321</f>
        <v>2</v>
      </c>
      <c r="R201" s="436"/>
      <c r="S201" s="436"/>
      <c r="T201" s="18">
        <v>1419</v>
      </c>
      <c r="U201" s="18"/>
      <c r="V201" s="127">
        <f>O201-T201-U201+V173</f>
        <v>0</v>
      </c>
      <c r="W201" s="45"/>
      <c r="X201" s="67"/>
    </row>
    <row r="202" spans="1:25" ht="14.25" customHeight="1">
      <c r="A202" s="427"/>
      <c r="B202" s="443"/>
      <c r="C202" s="449"/>
      <c r="D202" s="115" t="s">
        <v>75</v>
      </c>
      <c r="E202" s="425"/>
      <c r="F202" s="131" t="s">
        <v>298</v>
      </c>
      <c r="G202" s="224"/>
      <c r="H202" s="37"/>
      <c r="I202" s="126"/>
      <c r="J202" s="126"/>
      <c r="K202" s="18">
        <v>5000</v>
      </c>
      <c r="L202" s="18">
        <v>1</v>
      </c>
      <c r="M202" s="18"/>
      <c r="N202" s="80"/>
      <c r="O202" s="126"/>
      <c r="P202" s="126">
        <f>May!BM322</f>
        <v>492</v>
      </c>
      <c r="Q202" s="126">
        <f>May!BK322</f>
        <v>2</v>
      </c>
      <c r="R202" s="436"/>
      <c r="S202" s="436"/>
      <c r="T202" s="18"/>
      <c r="U202" s="18"/>
      <c r="V202" s="127">
        <f>O202-T202-U202+V174</f>
        <v>0</v>
      </c>
      <c r="W202" s="45"/>
      <c r="X202" s="67"/>
    </row>
    <row r="203" spans="1:25" ht="14.25" customHeight="1">
      <c r="A203" s="427"/>
      <c r="B203" s="442" t="s">
        <v>53</v>
      </c>
      <c r="C203" s="444" t="s">
        <v>60</v>
      </c>
      <c r="D203" s="43" t="s">
        <v>130</v>
      </c>
      <c r="E203" s="424" t="s">
        <v>66</v>
      </c>
      <c r="F203" s="118" t="s">
        <v>54</v>
      </c>
      <c r="G203" s="224"/>
      <c r="H203" s="37"/>
      <c r="I203" s="126"/>
      <c r="J203" s="126"/>
      <c r="K203" s="18"/>
      <c r="L203" s="18"/>
      <c r="M203" s="18"/>
      <c r="N203" s="80"/>
      <c r="O203" s="126">
        <f>May!BL314</f>
        <v>3600</v>
      </c>
      <c r="P203" s="126">
        <f>May!BM314</f>
        <v>5121</v>
      </c>
      <c r="Q203" s="126">
        <f>May!BK314</f>
        <v>15</v>
      </c>
      <c r="R203" s="436"/>
      <c r="S203" s="436"/>
      <c r="T203" s="18">
        <v>7200</v>
      </c>
      <c r="U203" s="18"/>
      <c r="V203" s="127">
        <f>O203-T203-U203+V175</f>
        <v>8366</v>
      </c>
      <c r="W203" s="45"/>
      <c r="X203" s="67"/>
    </row>
    <row r="204" spans="1:25" ht="14.25" customHeight="1">
      <c r="A204" s="427"/>
      <c r="B204" s="439"/>
      <c r="C204" s="445"/>
      <c r="D204" s="43" t="s">
        <v>320</v>
      </c>
      <c r="E204" s="425"/>
      <c r="F204" s="118" t="s">
        <v>54</v>
      </c>
      <c r="G204" s="224"/>
      <c r="H204" s="37"/>
      <c r="I204" s="126"/>
      <c r="J204" s="126"/>
      <c r="K204" s="18"/>
      <c r="L204" s="18"/>
      <c r="M204" s="18">
        <v>95000</v>
      </c>
      <c r="N204" s="80">
        <v>16</v>
      </c>
      <c r="O204" s="126">
        <f>May!BL315</f>
        <v>1200</v>
      </c>
      <c r="P204" s="126">
        <f>May!BM315</f>
        <v>1337</v>
      </c>
      <c r="Q204" s="126">
        <f>May!BK315</f>
        <v>4</v>
      </c>
      <c r="R204" s="436"/>
      <c r="S204" s="436"/>
      <c r="T204" s="18"/>
      <c r="U204" s="18"/>
      <c r="V204" s="127">
        <f>O204-T204-U204+V176</f>
        <v>5986</v>
      </c>
      <c r="W204" s="45"/>
      <c r="X204" s="67"/>
    </row>
    <row r="205" spans="1:25" ht="14.25" customHeight="1">
      <c r="A205" s="427"/>
      <c r="B205" s="439"/>
      <c r="C205" s="445"/>
      <c r="D205" s="43" t="s">
        <v>199</v>
      </c>
      <c r="E205" s="424" t="s">
        <v>25</v>
      </c>
      <c r="F205" s="118" t="s">
        <v>54</v>
      </c>
      <c r="G205" s="224"/>
      <c r="H205" s="37"/>
      <c r="I205" s="126"/>
      <c r="J205" s="126"/>
      <c r="K205" s="18"/>
      <c r="L205" s="18"/>
      <c r="M205" s="18"/>
      <c r="N205" s="80"/>
      <c r="O205" s="126"/>
      <c r="P205" s="126"/>
      <c r="Q205" s="126">
        <f>May!BK316</f>
        <v>1</v>
      </c>
      <c r="R205" s="436"/>
      <c r="S205" s="436"/>
      <c r="T205" s="18"/>
      <c r="U205" s="18"/>
      <c r="V205" s="127"/>
      <c r="W205" s="45"/>
      <c r="X205" s="67"/>
    </row>
    <row r="206" spans="1:25" ht="14.25" customHeight="1">
      <c r="A206" s="427"/>
      <c r="B206" s="443"/>
      <c r="C206" s="446"/>
      <c r="D206" s="43" t="s">
        <v>199</v>
      </c>
      <c r="E206" s="425"/>
      <c r="F206" s="118"/>
      <c r="G206" s="224"/>
      <c r="H206" s="158">
        <v>1836</v>
      </c>
      <c r="I206" s="158"/>
      <c r="J206" s="158"/>
      <c r="K206" s="128"/>
      <c r="L206" s="128"/>
      <c r="M206" s="128"/>
      <c r="N206" s="164"/>
      <c r="O206" s="158"/>
      <c r="P206" s="158"/>
      <c r="Q206" s="158"/>
      <c r="R206" s="436"/>
      <c r="S206" s="436"/>
      <c r="T206" s="18"/>
      <c r="U206" s="18"/>
      <c r="V206" s="127"/>
      <c r="W206" s="45"/>
      <c r="X206" s="67"/>
    </row>
    <row r="207" spans="1:25" ht="15.75" customHeight="1">
      <c r="A207" s="427"/>
      <c r="B207" s="122" t="s">
        <v>55</v>
      </c>
      <c r="C207" s="180" t="s">
        <v>133</v>
      </c>
      <c r="D207" s="48" t="s">
        <v>56</v>
      </c>
      <c r="E207" s="424" t="s">
        <v>25</v>
      </c>
      <c r="F207" s="118" t="s">
        <v>67</v>
      </c>
      <c r="G207" s="226"/>
      <c r="H207" s="126"/>
      <c r="I207" s="126"/>
      <c r="J207" s="2"/>
      <c r="K207" s="18"/>
      <c r="L207" s="18"/>
      <c r="M207" s="18">
        <v>2800</v>
      </c>
      <c r="N207" s="18">
        <v>1</v>
      </c>
      <c r="O207" s="126"/>
      <c r="P207" s="126"/>
      <c r="Q207" s="126"/>
      <c r="R207" s="436"/>
      <c r="S207" s="436"/>
      <c r="T207" s="18"/>
      <c r="U207" s="18"/>
      <c r="V207" s="127">
        <f t="shared" ref="V207:V218" si="9">O207-T207-U207+V178</f>
        <v>500</v>
      </c>
      <c r="W207" s="45"/>
      <c r="X207" s="67"/>
    </row>
    <row r="208" spans="1:25" ht="15.75" customHeight="1">
      <c r="A208" s="427"/>
      <c r="B208" s="122" t="s">
        <v>55</v>
      </c>
      <c r="C208" s="180" t="s">
        <v>316</v>
      </c>
      <c r="D208" s="48" t="s">
        <v>317</v>
      </c>
      <c r="E208" s="441"/>
      <c r="F208" s="155" t="s">
        <v>67</v>
      </c>
      <c r="G208" s="226"/>
      <c r="H208" s="126">
        <v>11</v>
      </c>
      <c r="I208" s="126"/>
      <c r="J208" s="2"/>
      <c r="K208" s="18"/>
      <c r="L208" s="18"/>
      <c r="M208" s="18"/>
      <c r="N208" s="18"/>
      <c r="O208" s="126">
        <f>May!BL339</f>
        <v>450</v>
      </c>
      <c r="P208" s="126">
        <f>May!BM339</f>
        <v>423</v>
      </c>
      <c r="Q208" s="126">
        <f>May!BK339</f>
        <v>1</v>
      </c>
      <c r="R208" s="436"/>
      <c r="S208" s="436"/>
      <c r="T208" s="18"/>
      <c r="U208" s="18"/>
      <c r="V208" s="127">
        <f t="shared" si="9"/>
        <v>450</v>
      </c>
      <c r="W208" s="45"/>
      <c r="X208" s="67"/>
    </row>
    <row r="209" spans="1:24" ht="15" customHeight="1">
      <c r="A209" s="427"/>
      <c r="B209" s="122" t="s">
        <v>122</v>
      </c>
      <c r="C209" s="180" t="s">
        <v>123</v>
      </c>
      <c r="D209" s="48" t="s">
        <v>56</v>
      </c>
      <c r="E209" s="441"/>
      <c r="F209" s="155" t="s">
        <v>64</v>
      </c>
      <c r="G209" s="119"/>
      <c r="H209" s="126"/>
      <c r="I209" s="126"/>
      <c r="J209" s="2"/>
      <c r="K209" s="18"/>
      <c r="L209" s="18"/>
      <c r="M209" s="18">
        <v>6400</v>
      </c>
      <c r="N209" s="18">
        <v>2</v>
      </c>
      <c r="O209" s="126"/>
      <c r="P209" s="126"/>
      <c r="Q209" s="126"/>
      <c r="R209" s="436"/>
      <c r="S209" s="436"/>
      <c r="T209" s="18"/>
      <c r="U209" s="18"/>
      <c r="V209" s="127">
        <f t="shared" si="9"/>
        <v>21764</v>
      </c>
      <c r="W209" s="45"/>
      <c r="X209" s="67"/>
    </row>
    <row r="210" spans="1:24" ht="14.25" customHeight="1">
      <c r="A210" s="427"/>
      <c r="B210" s="137" t="s">
        <v>58</v>
      </c>
      <c r="C210" s="157" t="s">
        <v>243</v>
      </c>
      <c r="D210" s="48" t="s">
        <v>56</v>
      </c>
      <c r="E210" s="441"/>
      <c r="F210" s="118" t="s">
        <v>64</v>
      </c>
      <c r="G210" s="225"/>
      <c r="H210" s="126"/>
      <c r="I210" s="126"/>
      <c r="J210" s="126"/>
      <c r="K210" s="18"/>
      <c r="L210" s="18"/>
      <c r="M210" s="18"/>
      <c r="N210" s="80"/>
      <c r="O210" s="126"/>
      <c r="P210" s="126"/>
      <c r="Q210" s="126"/>
      <c r="R210" s="436"/>
      <c r="S210" s="436"/>
      <c r="T210" s="18"/>
      <c r="U210" s="18"/>
      <c r="V210" s="127">
        <f t="shared" si="9"/>
        <v>8562</v>
      </c>
      <c r="W210" s="45"/>
      <c r="X210" s="67"/>
    </row>
    <row r="211" spans="1:24" ht="14.25" customHeight="1">
      <c r="A211" s="427"/>
      <c r="B211" s="122" t="s">
        <v>61</v>
      </c>
      <c r="C211" s="180" t="s">
        <v>137</v>
      </c>
      <c r="D211" s="48" t="s">
        <v>56</v>
      </c>
      <c r="E211" s="441"/>
      <c r="F211" s="118" t="s">
        <v>67</v>
      </c>
      <c r="G211" s="225"/>
      <c r="H211" s="126"/>
      <c r="I211" s="126"/>
      <c r="J211" s="126"/>
      <c r="K211" s="18"/>
      <c r="L211" s="18"/>
      <c r="M211" s="18"/>
      <c r="N211" s="80"/>
      <c r="O211" s="126"/>
      <c r="P211" s="126"/>
      <c r="Q211" s="126"/>
      <c r="R211" s="436"/>
      <c r="S211" s="436"/>
      <c r="T211" s="18"/>
      <c r="U211" s="18"/>
      <c r="V211" s="127">
        <f t="shared" si="9"/>
        <v>5844</v>
      </c>
      <c r="W211" s="45"/>
      <c r="X211" s="67"/>
    </row>
    <row r="212" spans="1:24" ht="14.25" customHeight="1">
      <c r="A212" s="427"/>
      <c r="B212" s="122" t="s">
        <v>125</v>
      </c>
      <c r="C212" s="180" t="s">
        <v>88</v>
      </c>
      <c r="D212" s="48" t="s">
        <v>124</v>
      </c>
      <c r="E212" s="441"/>
      <c r="F212" s="118" t="s">
        <v>64</v>
      </c>
      <c r="G212" s="225"/>
      <c r="H212" s="126"/>
      <c r="I212" s="126"/>
      <c r="J212" s="126"/>
      <c r="K212" s="18"/>
      <c r="L212" s="18"/>
      <c r="M212" s="18">
        <v>51200</v>
      </c>
      <c r="N212" s="80">
        <v>7</v>
      </c>
      <c r="O212" s="126"/>
      <c r="P212" s="126"/>
      <c r="Q212" s="126"/>
      <c r="R212" s="436"/>
      <c r="S212" s="436"/>
      <c r="T212" s="18"/>
      <c r="U212" s="18"/>
      <c r="V212" s="127">
        <f t="shared" si="9"/>
        <v>23615</v>
      </c>
      <c r="W212" s="45"/>
      <c r="X212" s="67"/>
    </row>
    <row r="213" spans="1:24" ht="14.25" customHeight="1">
      <c r="A213" s="427"/>
      <c r="B213" s="137" t="s">
        <v>47</v>
      </c>
      <c r="C213" s="157" t="s">
        <v>100</v>
      </c>
      <c r="D213" s="48" t="s">
        <v>99</v>
      </c>
      <c r="E213" s="441"/>
      <c r="F213" s="118" t="s">
        <v>71</v>
      </c>
      <c r="G213" s="225"/>
      <c r="H213" s="126"/>
      <c r="I213" s="126"/>
      <c r="J213" s="126"/>
      <c r="K213" s="18"/>
      <c r="L213" s="18"/>
      <c r="M213" s="18">
        <v>11200</v>
      </c>
      <c r="N213" s="80">
        <v>2</v>
      </c>
      <c r="O213" s="126">
        <f>May!BL326</f>
        <v>0</v>
      </c>
      <c r="P213" s="126">
        <f>May!BM326</f>
        <v>1886</v>
      </c>
      <c r="Q213" s="126">
        <f>May!BK326</f>
        <v>7</v>
      </c>
      <c r="R213" s="436"/>
      <c r="S213" s="436"/>
      <c r="T213" s="18"/>
      <c r="U213" s="18"/>
      <c r="V213" s="127">
        <f t="shared" si="9"/>
        <v>20359</v>
      </c>
      <c r="W213" s="45"/>
      <c r="X213" s="67"/>
    </row>
    <row r="214" spans="1:24" ht="15" customHeight="1">
      <c r="A214" s="427"/>
      <c r="B214" s="122" t="s">
        <v>196</v>
      </c>
      <c r="C214" s="180" t="s">
        <v>63</v>
      </c>
      <c r="D214" s="48" t="s">
        <v>135</v>
      </c>
      <c r="E214" s="441"/>
      <c r="F214" s="118" t="s">
        <v>64</v>
      </c>
      <c r="G214" s="226"/>
      <c r="H214" s="126"/>
      <c r="I214" s="126"/>
      <c r="J214" s="2"/>
      <c r="K214" s="18"/>
      <c r="L214" s="18"/>
      <c r="M214" s="18">
        <v>33200</v>
      </c>
      <c r="N214" s="18">
        <v>4</v>
      </c>
      <c r="O214" s="126"/>
      <c r="P214" s="126"/>
      <c r="Q214" s="126"/>
      <c r="R214" s="436"/>
      <c r="S214" s="436"/>
      <c r="T214" s="18"/>
      <c r="U214" s="18"/>
      <c r="V214" s="127">
        <f t="shared" si="9"/>
        <v>14761</v>
      </c>
      <c r="W214" s="45"/>
      <c r="X214" s="67"/>
    </row>
    <row r="215" spans="1:24" ht="15" customHeight="1">
      <c r="A215" s="427"/>
      <c r="B215" s="122" t="s">
        <v>363</v>
      </c>
      <c r="C215" s="180" t="s">
        <v>325</v>
      </c>
      <c r="D215" s="48" t="s">
        <v>328</v>
      </c>
      <c r="E215" s="441"/>
      <c r="F215" s="118" t="s">
        <v>48</v>
      </c>
      <c r="G215" s="226"/>
      <c r="H215" s="126"/>
      <c r="I215" s="126"/>
      <c r="J215" s="2"/>
      <c r="K215" s="18"/>
      <c r="L215" s="18"/>
      <c r="M215" s="18"/>
      <c r="N215" s="18"/>
      <c r="O215" s="126"/>
      <c r="P215" s="126">
        <f>May!BM332</f>
        <v>600</v>
      </c>
      <c r="Q215" s="126">
        <f>May!BK332</f>
        <v>2</v>
      </c>
      <c r="R215" s="436"/>
      <c r="S215" s="436"/>
      <c r="T215" s="18"/>
      <c r="U215" s="18"/>
      <c r="V215" s="127">
        <f t="shared" si="9"/>
        <v>0</v>
      </c>
      <c r="W215" s="45"/>
      <c r="X215" s="67"/>
    </row>
    <row r="216" spans="1:24" ht="15" customHeight="1">
      <c r="A216" s="427"/>
      <c r="B216" s="122" t="s">
        <v>253</v>
      </c>
      <c r="C216" s="180" t="s">
        <v>365</v>
      </c>
      <c r="D216" s="48" t="s">
        <v>246</v>
      </c>
      <c r="E216" s="441"/>
      <c r="F216" s="118" t="s">
        <v>247</v>
      </c>
      <c r="G216" s="226"/>
      <c r="H216" s="38">
        <v>297.36</v>
      </c>
      <c r="I216" s="126"/>
      <c r="J216" s="2"/>
      <c r="K216" s="18"/>
      <c r="L216" s="18"/>
      <c r="M216" s="18"/>
      <c r="N216" s="18"/>
      <c r="O216" s="126">
        <f>May!BL327</f>
        <v>1500</v>
      </c>
      <c r="P216" s="126">
        <f>May!BM327</f>
        <v>972</v>
      </c>
      <c r="Q216" s="126">
        <f>May!BK327</f>
        <v>4</v>
      </c>
      <c r="R216" s="436"/>
      <c r="S216" s="436"/>
      <c r="T216" s="18"/>
      <c r="U216" s="18"/>
      <c r="V216" s="127">
        <f t="shared" si="9"/>
        <v>7434</v>
      </c>
      <c r="W216" s="45"/>
      <c r="X216" s="67"/>
    </row>
    <row r="217" spans="1:24" ht="15" customHeight="1">
      <c r="A217" s="427"/>
      <c r="B217" s="122" t="s">
        <v>366</v>
      </c>
      <c r="C217" s="180" t="s">
        <v>367</v>
      </c>
      <c r="D217" s="48" t="s">
        <v>132</v>
      </c>
      <c r="E217" s="441"/>
      <c r="F217" s="118" t="s">
        <v>64</v>
      </c>
      <c r="G217" s="119"/>
      <c r="H217" s="126"/>
      <c r="I217" s="126"/>
      <c r="J217" s="2"/>
      <c r="K217" s="18"/>
      <c r="L217" s="18"/>
      <c r="M217" s="18"/>
      <c r="N217" s="18"/>
      <c r="O217" s="126">
        <f>May!BL331</f>
        <v>914</v>
      </c>
      <c r="P217" s="126">
        <f>May!BM331</f>
        <v>382</v>
      </c>
      <c r="Q217" s="126">
        <f>May!BK331</f>
        <v>1</v>
      </c>
      <c r="R217" s="436"/>
      <c r="S217" s="436"/>
      <c r="T217" s="18">
        <v>1407</v>
      </c>
      <c r="U217" s="18">
        <v>8</v>
      </c>
      <c r="V217" s="18">
        <f t="shared" si="9"/>
        <v>0</v>
      </c>
      <c r="W217" s="45"/>
      <c r="X217" s="67"/>
    </row>
    <row r="218" spans="1:24" ht="15" customHeight="1">
      <c r="A218" s="427"/>
      <c r="B218" s="122" t="s">
        <v>101</v>
      </c>
      <c r="C218" s="180" t="s">
        <v>327</v>
      </c>
      <c r="D218" s="48" t="s">
        <v>102</v>
      </c>
      <c r="E218" s="441"/>
      <c r="F218" s="118" t="s">
        <v>64</v>
      </c>
      <c r="G218" s="119"/>
      <c r="H218" s="126">
        <v>306</v>
      </c>
      <c r="I218" s="126"/>
      <c r="J218" s="2"/>
      <c r="K218" s="18"/>
      <c r="L218" s="18"/>
      <c r="M218" s="18">
        <v>28000</v>
      </c>
      <c r="N218" s="18">
        <v>4</v>
      </c>
      <c r="O218" s="126">
        <f>May!BL330</f>
        <v>0</v>
      </c>
      <c r="P218" s="126">
        <f>May!BM330</f>
        <v>1628</v>
      </c>
      <c r="Q218" s="126">
        <f>May!BK330</f>
        <v>4</v>
      </c>
      <c r="R218" s="436"/>
      <c r="S218" s="436"/>
      <c r="T218" s="18"/>
      <c r="U218" s="18"/>
      <c r="V218" s="18">
        <f t="shared" si="9"/>
        <v>402</v>
      </c>
      <c r="W218" s="45"/>
      <c r="X218" s="67"/>
    </row>
    <row r="219" spans="1:24" ht="15" customHeight="1">
      <c r="A219" s="427"/>
      <c r="B219" s="122" t="s">
        <v>103</v>
      </c>
      <c r="C219" s="157" t="s">
        <v>197</v>
      </c>
      <c r="D219" s="48" t="s">
        <v>104</v>
      </c>
      <c r="E219" s="441"/>
      <c r="F219" s="118" t="s">
        <v>105</v>
      </c>
      <c r="G219" s="119"/>
      <c r="H219" s="126"/>
      <c r="I219" s="126"/>
      <c r="J219" s="2"/>
      <c r="K219" s="18"/>
      <c r="L219" s="18"/>
      <c r="M219" s="18"/>
      <c r="N219" s="18"/>
      <c r="O219" s="126"/>
      <c r="P219" s="126"/>
      <c r="Q219" s="126">
        <f>May!BK335</f>
        <v>1</v>
      </c>
      <c r="R219" s="436"/>
      <c r="S219" s="436"/>
      <c r="T219" s="18"/>
      <c r="U219" s="18"/>
      <c r="V219" s="18"/>
      <c r="W219" s="45"/>
      <c r="X219" s="67"/>
    </row>
    <row r="220" spans="1:24" ht="15" customHeight="1">
      <c r="A220" s="427"/>
      <c r="B220" s="137" t="s">
        <v>112</v>
      </c>
      <c r="C220" s="157" t="s">
        <v>197</v>
      </c>
      <c r="D220" s="48" t="s">
        <v>104</v>
      </c>
      <c r="E220" s="441"/>
      <c r="F220" s="118" t="s">
        <v>113</v>
      </c>
      <c r="G220" s="119"/>
      <c r="H220" s="126"/>
      <c r="I220" s="126"/>
      <c r="J220" s="2"/>
      <c r="K220" s="18"/>
      <c r="L220" s="18"/>
      <c r="M220" s="18"/>
      <c r="N220" s="18"/>
      <c r="O220" s="126"/>
      <c r="P220" s="126"/>
      <c r="Q220" s="126">
        <f>May!BK337</f>
        <v>1</v>
      </c>
      <c r="R220" s="436"/>
      <c r="S220" s="436"/>
      <c r="T220" s="18"/>
      <c r="U220" s="18"/>
      <c r="V220" s="18"/>
      <c r="W220" s="45"/>
      <c r="X220" s="67"/>
    </row>
    <row r="221" spans="1:24" ht="15" customHeight="1" thickBot="1">
      <c r="A221" s="428"/>
      <c r="B221" s="44" t="s">
        <v>107</v>
      </c>
      <c r="C221" s="181" t="s">
        <v>195</v>
      </c>
      <c r="D221" s="61" t="s">
        <v>108</v>
      </c>
      <c r="E221" s="447"/>
      <c r="F221" s="133" t="s">
        <v>48</v>
      </c>
      <c r="G221" s="132"/>
      <c r="H221" s="109"/>
      <c r="I221" s="134"/>
      <c r="J221" s="129"/>
      <c r="K221" s="130"/>
      <c r="L221" s="130"/>
      <c r="M221" s="130"/>
      <c r="N221" s="130"/>
      <c r="O221" s="134"/>
      <c r="P221" s="134"/>
      <c r="Q221" s="134"/>
      <c r="R221" s="437"/>
      <c r="S221" s="437"/>
      <c r="T221" s="130"/>
      <c r="U221" s="130"/>
      <c r="V221" s="128">
        <f t="shared" ref="V221:V226" si="10">O221-T221-U221+V193</f>
        <v>903</v>
      </c>
      <c r="W221" s="85"/>
      <c r="X221" s="67"/>
    </row>
    <row r="222" spans="1:24" ht="15" customHeight="1">
      <c r="A222" s="426">
        <v>46155</v>
      </c>
      <c r="B222" s="429" t="s">
        <v>44</v>
      </c>
      <c r="C222" s="432" t="s">
        <v>240</v>
      </c>
      <c r="D222" s="19" t="s">
        <v>37</v>
      </c>
      <c r="E222" s="19" t="s">
        <v>25</v>
      </c>
      <c r="F222" s="39" t="s">
        <v>40</v>
      </c>
      <c r="G222" s="41">
        <v>5553.08</v>
      </c>
      <c r="H222" s="32"/>
      <c r="I222" s="32"/>
      <c r="J222" s="32"/>
      <c r="K222" s="20">
        <v>87200</v>
      </c>
      <c r="L222" s="20">
        <v>11</v>
      </c>
      <c r="M222" s="20">
        <v>88800</v>
      </c>
      <c r="N222" s="84">
        <v>11</v>
      </c>
      <c r="O222" s="32">
        <f>May!BO311</f>
        <v>21622</v>
      </c>
      <c r="P222" s="32">
        <f>May!BP311</f>
        <v>32868</v>
      </c>
      <c r="Q222" s="32">
        <f>May!BN311</f>
        <v>89</v>
      </c>
      <c r="R222" s="435">
        <f>May!BO340</f>
        <v>70989</v>
      </c>
      <c r="S222" s="435">
        <f>May!BP340</f>
        <v>80697</v>
      </c>
      <c r="T222" s="20">
        <v>40427</v>
      </c>
      <c r="U222" s="20"/>
      <c r="V222" s="20">
        <f t="shared" si="10"/>
        <v>115340</v>
      </c>
      <c r="W222" s="77"/>
      <c r="X222" s="36"/>
    </row>
    <row r="223" spans="1:24" ht="15" customHeight="1">
      <c r="A223" s="427"/>
      <c r="B223" s="430"/>
      <c r="C223" s="433"/>
      <c r="D223" s="113" t="s">
        <v>128</v>
      </c>
      <c r="E223" s="438" t="s">
        <v>24</v>
      </c>
      <c r="F223" s="118" t="s">
        <v>40</v>
      </c>
      <c r="G223" s="38"/>
      <c r="H223" s="126"/>
      <c r="I223" s="125"/>
      <c r="J223" s="125"/>
      <c r="K223" s="18"/>
      <c r="L223" s="127"/>
      <c r="M223" s="216"/>
      <c r="N223" s="238"/>
      <c r="O223" s="126">
        <f>May!BO312</f>
        <v>10798</v>
      </c>
      <c r="P223" s="125">
        <f>May!BP312</f>
        <v>9010</v>
      </c>
      <c r="Q223" s="125">
        <f>May!BN312</f>
        <v>24</v>
      </c>
      <c r="R223" s="436"/>
      <c r="S223" s="436"/>
      <c r="T223" s="127">
        <v>9125</v>
      </c>
      <c r="U223" s="127"/>
      <c r="V223" s="127">
        <f t="shared" si="10"/>
        <v>27628</v>
      </c>
      <c r="W223" s="46"/>
      <c r="X223" s="67"/>
    </row>
    <row r="224" spans="1:24" ht="15" customHeight="1">
      <c r="A224" s="427"/>
      <c r="B224" s="431"/>
      <c r="C224" s="434"/>
      <c r="D224" s="113" t="s">
        <v>307</v>
      </c>
      <c r="E224" s="431"/>
      <c r="F224" s="118" t="s">
        <v>40</v>
      </c>
      <c r="G224" s="135"/>
      <c r="H224" s="135">
        <f>529.4+521.9+2430</f>
        <v>3481.3</v>
      </c>
      <c r="I224" s="125"/>
      <c r="J224" s="125"/>
      <c r="K224" s="127">
        <v>24000</v>
      </c>
      <c r="L224" s="127">
        <v>3</v>
      </c>
      <c r="M224" s="216">
        <v>278800</v>
      </c>
      <c r="N224" s="238">
        <v>35</v>
      </c>
      <c r="O224" s="126">
        <f>May!BO313</f>
        <v>11181</v>
      </c>
      <c r="P224" s="125">
        <f>May!BP313</f>
        <v>20359</v>
      </c>
      <c r="Q224" s="125">
        <f>May!BN313</f>
        <v>53</v>
      </c>
      <c r="R224" s="436"/>
      <c r="S224" s="436"/>
      <c r="T224" s="127">
        <v>8208</v>
      </c>
      <c r="U224" s="127"/>
      <c r="V224" s="127">
        <f t="shared" si="10"/>
        <v>44768</v>
      </c>
      <c r="W224" s="46"/>
      <c r="X224" s="67"/>
    </row>
    <row r="225" spans="1:25" ht="15" customHeight="1">
      <c r="A225" s="427"/>
      <c r="B225" s="442" t="s">
        <v>45</v>
      </c>
      <c r="C225" s="471" t="s">
        <v>59</v>
      </c>
      <c r="D225" s="118" t="s">
        <v>75</v>
      </c>
      <c r="E225" s="438" t="s">
        <v>25</v>
      </c>
      <c r="F225" s="131" t="s">
        <v>57</v>
      </c>
      <c r="G225" s="87"/>
      <c r="H225" s="152"/>
      <c r="I225" s="126"/>
      <c r="J225" s="2"/>
      <c r="K225" s="127"/>
      <c r="L225" s="18"/>
      <c r="M225" s="18">
        <v>20720</v>
      </c>
      <c r="N225" s="80">
        <v>4</v>
      </c>
      <c r="O225" s="126"/>
      <c r="P225" s="126">
        <f>May!BP317</f>
        <v>258</v>
      </c>
      <c r="Q225" s="2">
        <f>May!BN317</f>
        <v>1</v>
      </c>
      <c r="R225" s="436"/>
      <c r="S225" s="436"/>
      <c r="T225" s="18"/>
      <c r="U225" s="18"/>
      <c r="V225" s="127">
        <f t="shared" si="10"/>
        <v>14946</v>
      </c>
      <c r="W225" s="46"/>
      <c r="Y225" s="13"/>
    </row>
    <row r="226" spans="1:25" ht="15" customHeight="1">
      <c r="A226" s="427"/>
      <c r="B226" s="439"/>
      <c r="C226" s="471"/>
      <c r="D226" s="118" t="s">
        <v>291</v>
      </c>
      <c r="E226" s="430"/>
      <c r="F226" s="131" t="s">
        <v>57</v>
      </c>
      <c r="G226" s="87"/>
      <c r="H226" s="152"/>
      <c r="I226" s="126"/>
      <c r="J226" s="2"/>
      <c r="K226" s="127"/>
      <c r="L226" s="18"/>
      <c r="M226" s="18">
        <v>9800</v>
      </c>
      <c r="N226" s="80">
        <v>2</v>
      </c>
      <c r="O226" s="126">
        <f>May!BO318</f>
        <v>3201</v>
      </c>
      <c r="P226" s="126">
        <f>May!BP318</f>
        <v>2863</v>
      </c>
      <c r="Q226" s="2">
        <f>May!BN318</f>
        <v>11</v>
      </c>
      <c r="R226" s="436"/>
      <c r="S226" s="436"/>
      <c r="T226" s="18">
        <v>6652</v>
      </c>
      <c r="U226" s="18">
        <v>5</v>
      </c>
      <c r="V226" s="127">
        <f t="shared" si="10"/>
        <v>39925</v>
      </c>
      <c r="W226" s="46"/>
      <c r="Y226" s="13"/>
    </row>
    <row r="227" spans="1:25" ht="15" customHeight="1">
      <c r="A227" s="427"/>
      <c r="B227" s="439"/>
      <c r="C227" s="471"/>
      <c r="D227" s="118" t="s">
        <v>94</v>
      </c>
      <c r="E227" s="431"/>
      <c r="F227" s="131"/>
      <c r="G227" s="87"/>
      <c r="H227" s="152">
        <f>486+1296+486</f>
        <v>2268</v>
      </c>
      <c r="I227" s="126"/>
      <c r="J227" s="2"/>
      <c r="K227" s="127"/>
      <c r="L227" s="18"/>
      <c r="M227" s="18"/>
      <c r="N227" s="80"/>
      <c r="O227" s="126"/>
      <c r="P227" s="126"/>
      <c r="Q227" s="2"/>
      <c r="R227" s="436"/>
      <c r="S227" s="436"/>
      <c r="T227" s="18"/>
      <c r="U227" s="18"/>
      <c r="V227" s="127"/>
      <c r="W227" s="46"/>
      <c r="Y227" s="13"/>
    </row>
    <row r="228" spans="1:25">
      <c r="A228" s="427"/>
      <c r="B228" s="439"/>
      <c r="C228" s="471"/>
      <c r="D228" s="118" t="s">
        <v>72</v>
      </c>
      <c r="E228" s="155" t="s">
        <v>24</v>
      </c>
      <c r="F228" s="131" t="s">
        <v>57</v>
      </c>
      <c r="G228" s="229">
        <v>1941.25</v>
      </c>
      <c r="H228" s="152"/>
      <c r="I228" s="126"/>
      <c r="J228" s="126"/>
      <c r="K228" s="127"/>
      <c r="L228" s="18"/>
      <c r="M228" s="18">
        <v>75000</v>
      </c>
      <c r="N228" s="80">
        <v>15</v>
      </c>
      <c r="O228" s="126">
        <f>May!BO319</f>
        <v>4985</v>
      </c>
      <c r="P228" s="126">
        <f>May!BP319</f>
        <v>2157</v>
      </c>
      <c r="Q228" s="126">
        <f>May!BN319</f>
        <v>9</v>
      </c>
      <c r="R228" s="436"/>
      <c r="S228" s="436"/>
      <c r="T228" s="18"/>
      <c r="U228" s="18"/>
      <c r="V228" s="127">
        <f>O228-T228-U228+V199</f>
        <v>11606</v>
      </c>
      <c r="W228" s="46"/>
      <c r="Y228" s="13"/>
    </row>
    <row r="229" spans="1:25" ht="14.25" customHeight="1">
      <c r="A229" s="427"/>
      <c r="B229" s="439"/>
      <c r="C229" s="471"/>
      <c r="D229" s="115" t="s">
        <v>79</v>
      </c>
      <c r="E229" s="118" t="s">
        <v>65</v>
      </c>
      <c r="F229" s="131" t="s">
        <v>57</v>
      </c>
      <c r="G229" s="224"/>
      <c r="H229" s="126"/>
      <c r="I229" s="126"/>
      <c r="J229" s="126"/>
      <c r="K229" s="18"/>
      <c r="L229" s="18"/>
      <c r="M229" s="18"/>
      <c r="N229" s="80"/>
      <c r="O229" s="126"/>
      <c r="P229" s="126"/>
      <c r="Q229" s="126">
        <f>May!BN320</f>
        <v>1</v>
      </c>
      <c r="R229" s="436"/>
      <c r="S229" s="436"/>
      <c r="T229" s="18"/>
      <c r="U229" s="18"/>
      <c r="V229" s="127"/>
      <c r="W229" s="45"/>
      <c r="X229" s="36"/>
    </row>
    <row r="230" spans="1:25" ht="14.25" customHeight="1">
      <c r="A230" s="427"/>
      <c r="B230" s="439"/>
      <c r="C230" s="448" t="s">
        <v>299</v>
      </c>
      <c r="D230" s="115" t="s">
        <v>296</v>
      </c>
      <c r="E230" s="424" t="s">
        <v>25</v>
      </c>
      <c r="F230" s="131" t="s">
        <v>298</v>
      </c>
      <c r="G230" s="224"/>
      <c r="H230" s="37"/>
      <c r="I230" s="126"/>
      <c r="J230" s="126"/>
      <c r="K230" s="18"/>
      <c r="L230" s="18"/>
      <c r="M230" s="18"/>
      <c r="N230" s="80"/>
      <c r="O230" s="126">
        <f>May!BO321</f>
        <v>1322</v>
      </c>
      <c r="P230" s="126">
        <f>May!BP321</f>
        <v>568</v>
      </c>
      <c r="Q230" s="126">
        <f>May!BN321</f>
        <v>2</v>
      </c>
      <c r="R230" s="436"/>
      <c r="S230" s="436"/>
      <c r="T230" s="18"/>
      <c r="U230" s="18"/>
      <c r="V230" s="127">
        <f>O230-T230-U230+V201</f>
        <v>1322</v>
      </c>
      <c r="W230" s="45"/>
      <c r="X230" s="67"/>
    </row>
    <row r="231" spans="1:25" ht="14.25" customHeight="1">
      <c r="A231" s="427"/>
      <c r="B231" s="443"/>
      <c r="C231" s="449"/>
      <c r="D231" s="115" t="s">
        <v>75</v>
      </c>
      <c r="E231" s="425"/>
      <c r="F231" s="131" t="s">
        <v>298</v>
      </c>
      <c r="G231" s="224"/>
      <c r="H231" s="37"/>
      <c r="I231" s="126"/>
      <c r="J231" s="126"/>
      <c r="K231" s="18"/>
      <c r="L231" s="18"/>
      <c r="M231" s="18"/>
      <c r="N231" s="80"/>
      <c r="O231" s="126">
        <f>May!BO322</f>
        <v>1285</v>
      </c>
      <c r="P231" s="126">
        <f>May!BP322</f>
        <v>570</v>
      </c>
      <c r="Q231" s="126">
        <f>May!BN322</f>
        <v>2</v>
      </c>
      <c r="R231" s="436"/>
      <c r="S231" s="436"/>
      <c r="T231" s="18"/>
      <c r="U231" s="18"/>
      <c r="V231" s="127">
        <f>O231-T231-U231+V202</f>
        <v>1285</v>
      </c>
      <c r="W231" s="45"/>
      <c r="X231" s="67"/>
    </row>
    <row r="232" spans="1:25" ht="14.25" customHeight="1">
      <c r="A232" s="427"/>
      <c r="B232" s="442" t="s">
        <v>53</v>
      </c>
      <c r="C232" s="444" t="s">
        <v>60</v>
      </c>
      <c r="D232" s="43" t="s">
        <v>130</v>
      </c>
      <c r="E232" s="424" t="s">
        <v>66</v>
      </c>
      <c r="F232" s="118" t="s">
        <v>54</v>
      </c>
      <c r="G232" s="224"/>
      <c r="H232" s="37"/>
      <c r="I232" s="126"/>
      <c r="J232" s="126"/>
      <c r="K232" s="18"/>
      <c r="L232" s="18"/>
      <c r="M232" s="18"/>
      <c r="N232" s="80"/>
      <c r="O232" s="126">
        <f>May!BO314</f>
        <v>9422</v>
      </c>
      <c r="P232" s="126">
        <f>May!BP314</f>
        <v>5121</v>
      </c>
      <c r="Q232" s="126">
        <f>May!BN314</f>
        <v>15</v>
      </c>
      <c r="R232" s="436"/>
      <c r="S232" s="436"/>
      <c r="T232" s="18">
        <v>6955</v>
      </c>
      <c r="U232" s="18"/>
      <c r="V232" s="127">
        <f>O232-T232-U232+V203</f>
        <v>10833</v>
      </c>
      <c r="W232" s="45"/>
      <c r="X232" s="67"/>
    </row>
    <row r="233" spans="1:25" ht="14.25" customHeight="1">
      <c r="A233" s="427"/>
      <c r="B233" s="439"/>
      <c r="C233" s="445"/>
      <c r="D233" s="43" t="s">
        <v>320</v>
      </c>
      <c r="E233" s="425"/>
      <c r="F233" s="118" t="s">
        <v>54</v>
      </c>
      <c r="G233" s="224"/>
      <c r="H233" s="37"/>
      <c r="I233" s="126"/>
      <c r="J233" s="126"/>
      <c r="K233" s="18"/>
      <c r="L233" s="18"/>
      <c r="M233" s="18">
        <v>95000</v>
      </c>
      <c r="N233" s="80">
        <v>16</v>
      </c>
      <c r="O233" s="126">
        <f>May!BO315</f>
        <v>1200</v>
      </c>
      <c r="P233" s="126">
        <f>May!BP315</f>
        <v>1371</v>
      </c>
      <c r="Q233" s="126">
        <f>May!BN315</f>
        <v>4</v>
      </c>
      <c r="R233" s="436"/>
      <c r="S233" s="436"/>
      <c r="T233" s="18"/>
      <c r="U233" s="18"/>
      <c r="V233" s="127">
        <f>O233-T233-U233+V204</f>
        <v>7186</v>
      </c>
      <c r="W233" s="45"/>
      <c r="X233" s="67"/>
    </row>
    <row r="234" spans="1:25" ht="14.25" customHeight="1">
      <c r="A234" s="427"/>
      <c r="B234" s="443"/>
      <c r="C234" s="446"/>
      <c r="D234" s="43" t="s">
        <v>199</v>
      </c>
      <c r="E234" s="114" t="s">
        <v>25</v>
      </c>
      <c r="F234" s="118" t="s">
        <v>54</v>
      </c>
      <c r="G234" s="224"/>
      <c r="H234" s="135"/>
      <c r="I234" s="158"/>
      <c r="J234" s="158"/>
      <c r="K234" s="128"/>
      <c r="L234" s="128"/>
      <c r="M234" s="128"/>
      <c r="N234" s="164"/>
      <c r="O234" s="158"/>
      <c r="P234" s="158"/>
      <c r="Q234" s="158">
        <f>May!BN316</f>
        <v>1</v>
      </c>
      <c r="R234" s="436"/>
      <c r="S234" s="436"/>
      <c r="T234" s="18"/>
      <c r="U234" s="18"/>
      <c r="V234" s="127"/>
      <c r="W234" s="45"/>
      <c r="X234" s="67"/>
    </row>
    <row r="235" spans="1:25" ht="15.75" customHeight="1">
      <c r="A235" s="427"/>
      <c r="B235" s="122" t="s">
        <v>55</v>
      </c>
      <c r="C235" s="180" t="s">
        <v>133</v>
      </c>
      <c r="D235" s="48" t="s">
        <v>56</v>
      </c>
      <c r="E235" s="424" t="s">
        <v>25</v>
      </c>
      <c r="F235" s="118" t="s">
        <v>67</v>
      </c>
      <c r="G235" s="226"/>
      <c r="H235" s="126"/>
      <c r="I235" s="126"/>
      <c r="J235" s="2"/>
      <c r="K235" s="18"/>
      <c r="L235" s="18"/>
      <c r="M235" s="18">
        <v>2800</v>
      </c>
      <c r="N235" s="18">
        <v>1</v>
      </c>
      <c r="O235" s="126"/>
      <c r="P235" s="126"/>
      <c r="Q235" s="126"/>
      <c r="R235" s="436"/>
      <c r="S235" s="436"/>
      <c r="T235" s="18"/>
      <c r="U235" s="18"/>
      <c r="V235" s="127">
        <f>O235-T235-U235+V207</f>
        <v>500</v>
      </c>
      <c r="W235" s="45"/>
      <c r="X235" s="67"/>
    </row>
    <row r="236" spans="1:25" ht="15.75" customHeight="1">
      <c r="A236" s="427"/>
      <c r="B236" s="122" t="s">
        <v>55</v>
      </c>
      <c r="C236" s="180" t="s">
        <v>316</v>
      </c>
      <c r="D236" s="48" t="s">
        <v>317</v>
      </c>
      <c r="E236" s="441"/>
      <c r="F236" s="155" t="s">
        <v>67</v>
      </c>
      <c r="G236" s="226"/>
      <c r="H236" s="126"/>
      <c r="I236" s="126"/>
      <c r="J236" s="2"/>
      <c r="K236" s="18"/>
      <c r="L236" s="18"/>
      <c r="M236" s="18"/>
      <c r="N236" s="18"/>
      <c r="O236" s="126"/>
      <c r="P236" s="126"/>
      <c r="Q236" s="126"/>
      <c r="R236" s="436"/>
      <c r="S236" s="436"/>
      <c r="T236" s="18"/>
      <c r="U236" s="18"/>
      <c r="V236" s="127">
        <f>O236-T236-U236+V208</f>
        <v>450</v>
      </c>
      <c r="W236" s="45"/>
      <c r="X236" s="67"/>
    </row>
    <row r="237" spans="1:25" ht="15" customHeight="1">
      <c r="A237" s="427"/>
      <c r="B237" s="122" t="s">
        <v>122</v>
      </c>
      <c r="C237" s="180" t="s">
        <v>123</v>
      </c>
      <c r="D237" s="48" t="s">
        <v>56</v>
      </c>
      <c r="E237" s="441"/>
      <c r="F237" s="155" t="s">
        <v>64</v>
      </c>
      <c r="G237" s="119"/>
      <c r="H237" s="126"/>
      <c r="I237" s="126"/>
      <c r="J237" s="2"/>
      <c r="K237" s="18"/>
      <c r="L237" s="18"/>
      <c r="M237" s="18">
        <v>6400</v>
      </c>
      <c r="N237" s="18">
        <v>2</v>
      </c>
      <c r="O237" s="126"/>
      <c r="P237" s="126"/>
      <c r="Q237" s="126"/>
      <c r="R237" s="436"/>
      <c r="S237" s="436"/>
      <c r="T237" s="18"/>
      <c r="U237" s="18"/>
      <c r="V237" s="127">
        <f t="shared" ref="V237:V246" si="11">O237-T237-U237+V209</f>
        <v>21764</v>
      </c>
      <c r="W237" s="45"/>
      <c r="X237" s="67"/>
    </row>
    <row r="238" spans="1:25" ht="14.25" customHeight="1">
      <c r="A238" s="427"/>
      <c r="B238" s="137" t="s">
        <v>58</v>
      </c>
      <c r="C238" s="157" t="s">
        <v>243</v>
      </c>
      <c r="D238" s="48" t="s">
        <v>56</v>
      </c>
      <c r="E238" s="441"/>
      <c r="F238" s="118" t="s">
        <v>64</v>
      </c>
      <c r="G238" s="225"/>
      <c r="H238" s="126"/>
      <c r="I238" s="126"/>
      <c r="J238" s="126"/>
      <c r="K238" s="18"/>
      <c r="L238" s="18"/>
      <c r="M238" s="18"/>
      <c r="N238" s="80"/>
      <c r="O238" s="126"/>
      <c r="P238" s="126"/>
      <c r="Q238" s="126"/>
      <c r="R238" s="436"/>
      <c r="S238" s="436"/>
      <c r="T238" s="18"/>
      <c r="U238" s="18"/>
      <c r="V238" s="127">
        <f t="shared" si="11"/>
        <v>8562</v>
      </c>
      <c r="W238" s="45"/>
      <c r="X238" s="67"/>
    </row>
    <row r="239" spans="1:25" ht="14.25" customHeight="1">
      <c r="A239" s="427"/>
      <c r="B239" s="122" t="s">
        <v>61</v>
      </c>
      <c r="C239" s="180" t="s">
        <v>137</v>
      </c>
      <c r="D239" s="48" t="s">
        <v>56</v>
      </c>
      <c r="E239" s="441"/>
      <c r="F239" s="118" t="s">
        <v>67</v>
      </c>
      <c r="G239" s="225"/>
      <c r="H239" s="126"/>
      <c r="I239" s="126"/>
      <c r="J239" s="126"/>
      <c r="K239" s="18"/>
      <c r="L239" s="18"/>
      <c r="M239" s="18"/>
      <c r="N239" s="80"/>
      <c r="O239" s="126"/>
      <c r="P239" s="126"/>
      <c r="Q239" s="126"/>
      <c r="R239" s="436"/>
      <c r="S239" s="436"/>
      <c r="T239" s="18"/>
      <c r="U239" s="18"/>
      <c r="V239" s="127">
        <f t="shared" si="11"/>
        <v>5844</v>
      </c>
      <c r="W239" s="45"/>
      <c r="X239" s="67"/>
    </row>
    <row r="240" spans="1:25" ht="14.25" customHeight="1">
      <c r="A240" s="427"/>
      <c r="B240" s="122" t="s">
        <v>125</v>
      </c>
      <c r="C240" s="180" t="s">
        <v>88</v>
      </c>
      <c r="D240" s="48" t="s">
        <v>124</v>
      </c>
      <c r="E240" s="441"/>
      <c r="F240" s="118" t="s">
        <v>64</v>
      </c>
      <c r="G240" s="225"/>
      <c r="H240" s="126"/>
      <c r="I240" s="126"/>
      <c r="J240" s="126"/>
      <c r="K240" s="18"/>
      <c r="L240" s="18"/>
      <c r="M240" s="18">
        <v>51200</v>
      </c>
      <c r="N240" s="80">
        <v>7</v>
      </c>
      <c r="O240" s="126"/>
      <c r="P240" s="126"/>
      <c r="Q240" s="126"/>
      <c r="R240" s="436"/>
      <c r="S240" s="436"/>
      <c r="T240" s="18"/>
      <c r="U240" s="18"/>
      <c r="V240" s="127">
        <f t="shared" si="11"/>
        <v>23615</v>
      </c>
      <c r="W240" s="45"/>
      <c r="X240" s="67"/>
    </row>
    <row r="241" spans="1:25" ht="14.25" customHeight="1">
      <c r="A241" s="427"/>
      <c r="B241" s="137" t="s">
        <v>47</v>
      </c>
      <c r="C241" s="157" t="s">
        <v>100</v>
      </c>
      <c r="D241" s="48" t="s">
        <v>99</v>
      </c>
      <c r="E241" s="441"/>
      <c r="F241" s="118" t="s">
        <v>71</v>
      </c>
      <c r="G241" s="225"/>
      <c r="H241" s="126"/>
      <c r="I241" s="126"/>
      <c r="J241" s="126"/>
      <c r="K241" s="18"/>
      <c r="L241" s="18"/>
      <c r="M241" s="18">
        <v>11200</v>
      </c>
      <c r="N241" s="80">
        <v>2</v>
      </c>
      <c r="O241" s="126"/>
      <c r="P241" s="126">
        <f>May!BP326</f>
        <v>1982</v>
      </c>
      <c r="Q241" s="126">
        <f>May!BN326</f>
        <v>7</v>
      </c>
      <c r="R241" s="436"/>
      <c r="S241" s="436"/>
      <c r="T241" s="18"/>
      <c r="U241" s="18"/>
      <c r="V241" s="127">
        <f t="shared" si="11"/>
        <v>20359</v>
      </c>
      <c r="W241" s="45"/>
      <c r="X241" s="67"/>
    </row>
    <row r="242" spans="1:25" ht="15" customHeight="1">
      <c r="A242" s="427"/>
      <c r="B242" s="122" t="s">
        <v>196</v>
      </c>
      <c r="C242" s="180" t="s">
        <v>63</v>
      </c>
      <c r="D242" s="48" t="s">
        <v>135</v>
      </c>
      <c r="E242" s="441"/>
      <c r="F242" s="118" t="s">
        <v>64</v>
      </c>
      <c r="G242" s="226"/>
      <c r="H242" s="126"/>
      <c r="I242" s="126"/>
      <c r="J242" s="2"/>
      <c r="K242" s="18"/>
      <c r="L242" s="18"/>
      <c r="M242" s="18">
        <v>33200</v>
      </c>
      <c r="N242" s="18">
        <v>4</v>
      </c>
      <c r="O242" s="126"/>
      <c r="P242" s="126"/>
      <c r="Q242" s="126"/>
      <c r="R242" s="436"/>
      <c r="S242" s="436"/>
      <c r="T242" s="18"/>
      <c r="U242" s="18"/>
      <c r="V242" s="127">
        <f t="shared" si="11"/>
        <v>14761</v>
      </c>
      <c r="W242" s="45"/>
      <c r="X242" s="67"/>
    </row>
    <row r="243" spans="1:25" ht="15" customHeight="1">
      <c r="A243" s="427"/>
      <c r="B243" s="122" t="s">
        <v>363</v>
      </c>
      <c r="C243" s="180" t="s">
        <v>325</v>
      </c>
      <c r="D243" s="48" t="s">
        <v>328</v>
      </c>
      <c r="E243" s="441"/>
      <c r="F243" s="118" t="s">
        <v>48</v>
      </c>
      <c r="G243" s="226"/>
      <c r="H243" s="126"/>
      <c r="I243" s="126"/>
      <c r="J243" s="2"/>
      <c r="K243" s="18"/>
      <c r="L243" s="18"/>
      <c r="M243" s="18"/>
      <c r="N243" s="18"/>
      <c r="O243" s="126">
        <f>May!BO332</f>
        <v>2000</v>
      </c>
      <c r="P243" s="126">
        <f>May!BP332</f>
        <v>605</v>
      </c>
      <c r="Q243" s="126">
        <f>May!BN332</f>
        <v>2</v>
      </c>
      <c r="R243" s="436"/>
      <c r="S243" s="436"/>
      <c r="T243" s="18"/>
      <c r="U243" s="18"/>
      <c r="V243" s="127">
        <f t="shared" si="11"/>
        <v>2000</v>
      </c>
      <c r="W243" s="45"/>
      <c r="X243" s="67"/>
    </row>
    <row r="244" spans="1:25" ht="15" customHeight="1">
      <c r="A244" s="427"/>
      <c r="B244" s="122" t="s">
        <v>253</v>
      </c>
      <c r="C244" s="180" t="s">
        <v>365</v>
      </c>
      <c r="D244" s="48" t="s">
        <v>246</v>
      </c>
      <c r="E244" s="441"/>
      <c r="F244" s="118" t="s">
        <v>247</v>
      </c>
      <c r="G244" s="226"/>
      <c r="H244" s="126"/>
      <c r="I244" s="126"/>
      <c r="J244" s="2"/>
      <c r="K244" s="18"/>
      <c r="L244" s="18"/>
      <c r="M244" s="18"/>
      <c r="N244" s="18"/>
      <c r="O244" s="126"/>
      <c r="P244" s="126">
        <f>May!BP327</f>
        <v>1003</v>
      </c>
      <c r="Q244" s="126">
        <f>May!BN327</f>
        <v>4</v>
      </c>
      <c r="R244" s="436"/>
      <c r="S244" s="436"/>
      <c r="T244" s="18"/>
      <c r="U244" s="18"/>
      <c r="V244" s="127">
        <f t="shared" si="11"/>
        <v>7434</v>
      </c>
      <c r="W244" s="45"/>
      <c r="X244" s="67"/>
    </row>
    <row r="245" spans="1:25" ht="15" customHeight="1">
      <c r="A245" s="427"/>
      <c r="B245" s="122" t="s">
        <v>366</v>
      </c>
      <c r="C245" s="180" t="s">
        <v>367</v>
      </c>
      <c r="D245" s="48" t="s">
        <v>132</v>
      </c>
      <c r="E245" s="441"/>
      <c r="F245" s="118" t="s">
        <v>64</v>
      </c>
      <c r="G245" s="119"/>
      <c r="H245" s="126">
        <v>567</v>
      </c>
      <c r="I245" s="126"/>
      <c r="J245" s="2"/>
      <c r="K245" s="18"/>
      <c r="L245" s="18"/>
      <c r="M245" s="18"/>
      <c r="N245" s="18"/>
      <c r="O245" s="126"/>
      <c r="P245" s="126">
        <f>May!BP331</f>
        <v>387</v>
      </c>
      <c r="Q245" s="126">
        <f>May!BN331</f>
        <v>1</v>
      </c>
      <c r="R245" s="436"/>
      <c r="S245" s="436"/>
      <c r="T245" s="18"/>
      <c r="U245" s="18"/>
      <c r="V245" s="18">
        <f t="shared" si="11"/>
        <v>0</v>
      </c>
      <c r="W245" s="45"/>
      <c r="X245" s="67"/>
    </row>
    <row r="246" spans="1:25" ht="15" customHeight="1">
      <c r="A246" s="427"/>
      <c r="B246" s="122" t="s">
        <v>101</v>
      </c>
      <c r="C246" s="180" t="s">
        <v>327</v>
      </c>
      <c r="D246" s="48" t="s">
        <v>102</v>
      </c>
      <c r="E246" s="441"/>
      <c r="F246" s="118" t="s">
        <v>64</v>
      </c>
      <c r="G246" s="119"/>
      <c r="H246" s="126"/>
      <c r="I246" s="126"/>
      <c r="J246" s="2"/>
      <c r="K246" s="18"/>
      <c r="L246" s="18"/>
      <c r="M246" s="18">
        <v>28000</v>
      </c>
      <c r="N246" s="18">
        <v>4</v>
      </c>
      <c r="O246" s="126">
        <f>May!BO330</f>
        <v>3973</v>
      </c>
      <c r="P246" s="126">
        <f>May!BP330</f>
        <v>1575</v>
      </c>
      <c r="Q246" s="126">
        <f>May!BN330</f>
        <v>4</v>
      </c>
      <c r="R246" s="436"/>
      <c r="S246" s="436"/>
      <c r="T246" s="18">
        <v>1973</v>
      </c>
      <c r="U246" s="18"/>
      <c r="V246" s="18">
        <f t="shared" si="11"/>
        <v>2402</v>
      </c>
      <c r="W246" s="45"/>
      <c r="X246" s="67"/>
    </row>
    <row r="247" spans="1:25" ht="15" customHeight="1">
      <c r="A247" s="427"/>
      <c r="B247" s="122" t="s">
        <v>103</v>
      </c>
      <c r="C247" s="157" t="s">
        <v>197</v>
      </c>
      <c r="D247" s="48" t="s">
        <v>104</v>
      </c>
      <c r="E247" s="441"/>
      <c r="F247" s="118" t="s">
        <v>105</v>
      </c>
      <c r="G247" s="119"/>
      <c r="H247" s="126"/>
      <c r="I247" s="126"/>
      <c r="J247" s="2"/>
      <c r="K247" s="18"/>
      <c r="L247" s="18"/>
      <c r="M247" s="18"/>
      <c r="N247" s="18"/>
      <c r="O247" s="126"/>
      <c r="P247" s="126"/>
      <c r="Q247" s="126">
        <f>May!BN335</f>
        <v>1</v>
      </c>
      <c r="R247" s="436"/>
      <c r="S247" s="436"/>
      <c r="T247" s="18"/>
      <c r="U247" s="18"/>
      <c r="V247" s="18"/>
      <c r="W247" s="45"/>
      <c r="X247" s="67"/>
    </row>
    <row r="248" spans="1:25" ht="15" customHeight="1">
      <c r="A248" s="427"/>
      <c r="B248" s="137" t="s">
        <v>112</v>
      </c>
      <c r="C248" s="157" t="s">
        <v>197</v>
      </c>
      <c r="D248" s="48" t="s">
        <v>104</v>
      </c>
      <c r="E248" s="441"/>
      <c r="F248" s="118" t="s">
        <v>113</v>
      </c>
      <c r="G248" s="119"/>
      <c r="H248" s="126"/>
      <c r="I248" s="126"/>
      <c r="J248" s="2"/>
      <c r="K248" s="18"/>
      <c r="L248" s="18"/>
      <c r="M248" s="18"/>
      <c r="N248" s="18"/>
      <c r="O248" s="126"/>
      <c r="P248" s="126"/>
      <c r="Q248" s="126">
        <f>May!BN337</f>
        <v>1</v>
      </c>
      <c r="R248" s="436"/>
      <c r="S248" s="436"/>
      <c r="T248" s="18"/>
      <c r="U248" s="18"/>
      <c r="V248" s="18"/>
      <c r="W248" s="45"/>
      <c r="X248" s="67"/>
    </row>
    <row r="249" spans="1:25" ht="15" customHeight="1" thickBot="1">
      <c r="A249" s="428"/>
      <c r="B249" s="44" t="s">
        <v>107</v>
      </c>
      <c r="C249" s="181" t="s">
        <v>195</v>
      </c>
      <c r="D249" s="61" t="s">
        <v>108</v>
      </c>
      <c r="E249" s="447"/>
      <c r="F249" s="133" t="s">
        <v>48</v>
      </c>
      <c r="G249" s="132"/>
      <c r="H249" s="109"/>
      <c r="I249" s="134"/>
      <c r="J249" s="129"/>
      <c r="K249" s="130"/>
      <c r="L249" s="130"/>
      <c r="M249" s="130"/>
      <c r="N249" s="130"/>
      <c r="O249" s="134"/>
      <c r="P249" s="134"/>
      <c r="Q249" s="134"/>
      <c r="R249" s="437"/>
      <c r="S249" s="437"/>
      <c r="T249" s="130"/>
      <c r="U249" s="130"/>
      <c r="V249" s="128">
        <f t="shared" ref="V249:V254" si="12">O249-T249-U249+V221</f>
        <v>903</v>
      </c>
      <c r="W249" s="85"/>
      <c r="X249" s="67"/>
    </row>
    <row r="250" spans="1:25" ht="15" customHeight="1">
      <c r="A250" s="426">
        <v>46156</v>
      </c>
      <c r="B250" s="429" t="s">
        <v>44</v>
      </c>
      <c r="C250" s="432" t="s">
        <v>240</v>
      </c>
      <c r="D250" s="19" t="s">
        <v>37</v>
      </c>
      <c r="E250" s="19" t="s">
        <v>25</v>
      </c>
      <c r="F250" s="39" t="s">
        <v>40</v>
      </c>
      <c r="G250" s="168">
        <v>5498.1</v>
      </c>
      <c r="H250" s="32">
        <v>4608</v>
      </c>
      <c r="I250" s="32"/>
      <c r="J250" s="32"/>
      <c r="K250" s="20"/>
      <c r="L250" s="20"/>
      <c r="M250" s="20">
        <v>168800</v>
      </c>
      <c r="N250" s="84">
        <v>21</v>
      </c>
      <c r="O250" s="32">
        <f>May!BR311</f>
        <v>28074</v>
      </c>
      <c r="P250" s="32">
        <f>May!BS311</f>
        <v>32382</v>
      </c>
      <c r="Q250" s="32">
        <f>May!BQ311</f>
        <v>87</v>
      </c>
      <c r="R250" s="435">
        <f>May!BR340</f>
        <v>78810</v>
      </c>
      <c r="S250" s="435">
        <f>May!BS340</f>
        <v>80788</v>
      </c>
      <c r="T250" s="20">
        <v>17174</v>
      </c>
      <c r="U250" s="20"/>
      <c r="V250" s="20">
        <f>O250-T250-U250+V222</f>
        <v>126240</v>
      </c>
      <c r="W250" s="77"/>
      <c r="X250" s="36"/>
    </row>
    <row r="251" spans="1:25" ht="15" customHeight="1">
      <c r="A251" s="427"/>
      <c r="B251" s="430"/>
      <c r="C251" s="433"/>
      <c r="D251" s="113" t="s">
        <v>128</v>
      </c>
      <c r="E251" s="438" t="s">
        <v>24</v>
      </c>
      <c r="F251" s="118" t="s">
        <v>40</v>
      </c>
      <c r="G251" s="38"/>
      <c r="H251" s="126"/>
      <c r="I251" s="125"/>
      <c r="J251" s="125"/>
      <c r="K251" s="18"/>
      <c r="L251" s="127"/>
      <c r="M251" s="216"/>
      <c r="N251" s="238"/>
      <c r="O251" s="126">
        <f>May!BR312</f>
        <v>8489</v>
      </c>
      <c r="P251" s="125">
        <f>May!BS312</f>
        <v>7368</v>
      </c>
      <c r="Q251" s="125">
        <f>May!BQ312</f>
        <v>20</v>
      </c>
      <c r="R251" s="436"/>
      <c r="S251" s="436"/>
      <c r="T251" s="127">
        <v>9445</v>
      </c>
      <c r="U251" s="127"/>
      <c r="V251" s="127">
        <f t="shared" si="12"/>
        <v>26672</v>
      </c>
      <c r="W251" s="46"/>
      <c r="X251" s="67"/>
    </row>
    <row r="252" spans="1:25" ht="15" customHeight="1">
      <c r="A252" s="427"/>
      <c r="B252" s="431"/>
      <c r="C252" s="434"/>
      <c r="D252" s="113" t="s">
        <v>307</v>
      </c>
      <c r="E252" s="431"/>
      <c r="F252" s="118" t="s">
        <v>40</v>
      </c>
      <c r="G252" s="135"/>
      <c r="H252" s="135">
        <v>1044.2</v>
      </c>
      <c r="I252" s="125"/>
      <c r="J252" s="125"/>
      <c r="K252" s="127">
        <v>47400</v>
      </c>
      <c r="L252" s="127">
        <v>6</v>
      </c>
      <c r="M252" s="216">
        <v>231400</v>
      </c>
      <c r="N252" s="238">
        <v>29</v>
      </c>
      <c r="O252" s="126">
        <f>May!BR313</f>
        <v>30769</v>
      </c>
      <c r="P252" s="125">
        <f>May!BS313</f>
        <v>22649</v>
      </c>
      <c r="Q252" s="125">
        <f>May!BQ313</f>
        <v>59</v>
      </c>
      <c r="R252" s="436"/>
      <c r="S252" s="436"/>
      <c r="T252" s="127">
        <v>17852</v>
      </c>
      <c r="U252" s="127"/>
      <c r="V252" s="127">
        <f t="shared" si="12"/>
        <v>57685</v>
      </c>
      <c r="W252" s="46"/>
      <c r="X252" s="67"/>
    </row>
    <row r="253" spans="1:25" ht="15" customHeight="1">
      <c r="A253" s="427"/>
      <c r="B253" s="442" t="s">
        <v>45</v>
      </c>
      <c r="C253" s="471" t="s">
        <v>59</v>
      </c>
      <c r="D253" s="118" t="s">
        <v>75</v>
      </c>
      <c r="E253" s="438" t="s">
        <v>25</v>
      </c>
      <c r="F253" s="131" t="s">
        <v>57</v>
      </c>
      <c r="G253" s="136">
        <v>2011.1</v>
      </c>
      <c r="H253" s="152"/>
      <c r="I253" s="126"/>
      <c r="J253" s="2"/>
      <c r="K253" s="127"/>
      <c r="L253" s="18"/>
      <c r="M253" s="18">
        <v>46620</v>
      </c>
      <c r="N253" s="80">
        <v>9</v>
      </c>
      <c r="O253" s="126">
        <f>May!BR317</f>
        <v>0</v>
      </c>
      <c r="P253" s="126">
        <f>May!BS317</f>
        <v>262</v>
      </c>
      <c r="Q253" s="2">
        <f>May!BQ317</f>
        <v>1</v>
      </c>
      <c r="R253" s="436"/>
      <c r="S253" s="436"/>
      <c r="T253" s="18"/>
      <c r="U253" s="18"/>
      <c r="V253" s="127">
        <f t="shared" si="12"/>
        <v>14946</v>
      </c>
      <c r="W253" s="46"/>
      <c r="Y253" s="13"/>
    </row>
    <row r="254" spans="1:25" ht="15" customHeight="1">
      <c r="A254" s="427"/>
      <c r="B254" s="439"/>
      <c r="C254" s="471"/>
      <c r="D254" s="118" t="s">
        <v>291</v>
      </c>
      <c r="E254" s="430"/>
      <c r="F254" s="131" t="s">
        <v>57</v>
      </c>
      <c r="G254" s="87"/>
      <c r="H254" s="152"/>
      <c r="I254" s="126"/>
      <c r="J254" s="2"/>
      <c r="K254" s="127"/>
      <c r="L254" s="18"/>
      <c r="M254" s="18">
        <v>9800</v>
      </c>
      <c r="N254" s="80">
        <v>2</v>
      </c>
      <c r="O254" s="126">
        <f>May!BR318</f>
        <v>2400</v>
      </c>
      <c r="P254" s="126">
        <f>May!BS318</f>
        <v>2675</v>
      </c>
      <c r="Q254" s="2">
        <f>May!BQ318</f>
        <v>11</v>
      </c>
      <c r="R254" s="436"/>
      <c r="S254" s="436"/>
      <c r="T254" s="18">
        <v>6328</v>
      </c>
      <c r="U254" s="18">
        <v>9</v>
      </c>
      <c r="V254" s="127">
        <f t="shared" si="12"/>
        <v>35988</v>
      </c>
      <c r="W254" s="46"/>
      <c r="Y254" s="13"/>
    </row>
    <row r="255" spans="1:25">
      <c r="A255" s="427"/>
      <c r="B255" s="439"/>
      <c r="C255" s="471"/>
      <c r="D255" s="118" t="s">
        <v>72</v>
      </c>
      <c r="E255" s="155" t="s">
        <v>24</v>
      </c>
      <c r="F255" s="131" t="s">
        <v>57</v>
      </c>
      <c r="G255" s="224"/>
      <c r="H255" s="152"/>
      <c r="I255" s="126"/>
      <c r="J255" s="126"/>
      <c r="K255" s="127"/>
      <c r="L255" s="18"/>
      <c r="M255" s="18">
        <v>75000</v>
      </c>
      <c r="N255" s="80">
        <v>15</v>
      </c>
      <c r="O255" s="126">
        <f>May!BR319</f>
        <v>839</v>
      </c>
      <c r="P255" s="126">
        <f>May!BS319</f>
        <v>2005</v>
      </c>
      <c r="Q255" s="126">
        <f>May!BQ319</f>
        <v>9</v>
      </c>
      <c r="R255" s="436"/>
      <c r="S255" s="436"/>
      <c r="T255" s="18"/>
      <c r="U255" s="18"/>
      <c r="V255" s="127">
        <f>O255-T255-U255+V228</f>
        <v>12445</v>
      </c>
      <c r="W255" s="46"/>
      <c r="Y255" s="13"/>
    </row>
    <row r="256" spans="1:25" ht="14.25" customHeight="1">
      <c r="A256" s="427"/>
      <c r="B256" s="439"/>
      <c r="C256" s="471"/>
      <c r="D256" s="115" t="s">
        <v>79</v>
      </c>
      <c r="E256" s="118" t="s">
        <v>65</v>
      </c>
      <c r="F256" s="131" t="s">
        <v>57</v>
      </c>
      <c r="G256" s="224"/>
      <c r="H256" s="126"/>
      <c r="I256" s="126"/>
      <c r="J256" s="126"/>
      <c r="K256" s="18"/>
      <c r="L256" s="18"/>
      <c r="M256" s="18"/>
      <c r="N256" s="80"/>
      <c r="O256" s="126"/>
      <c r="P256" s="126"/>
      <c r="Q256" s="126">
        <f>May!BQ320</f>
        <v>1</v>
      </c>
      <c r="R256" s="436"/>
      <c r="S256" s="436"/>
      <c r="T256" s="18"/>
      <c r="U256" s="18"/>
      <c r="V256" s="127"/>
      <c r="W256" s="45"/>
      <c r="X256" s="36"/>
    </row>
    <row r="257" spans="1:24" ht="14.25" customHeight="1">
      <c r="A257" s="427"/>
      <c r="B257" s="439"/>
      <c r="C257" s="448" t="s">
        <v>299</v>
      </c>
      <c r="D257" s="115" t="s">
        <v>296</v>
      </c>
      <c r="E257" s="424" t="s">
        <v>25</v>
      </c>
      <c r="F257" s="131" t="s">
        <v>298</v>
      </c>
      <c r="G257" s="224"/>
      <c r="H257" s="37"/>
      <c r="I257" s="126"/>
      <c r="J257" s="126"/>
      <c r="K257" s="18"/>
      <c r="L257" s="18"/>
      <c r="M257" s="18"/>
      <c r="N257" s="80"/>
      <c r="O257" s="126"/>
      <c r="P257" s="126">
        <f>May!BS321</f>
        <v>573</v>
      </c>
      <c r="Q257" s="126">
        <f>May!BQ321</f>
        <v>2</v>
      </c>
      <c r="R257" s="436"/>
      <c r="S257" s="436"/>
      <c r="T257" s="18">
        <v>1322</v>
      </c>
      <c r="U257" s="18"/>
      <c r="V257" s="127">
        <f>O257-T257-U257+V230</f>
        <v>0</v>
      </c>
      <c r="W257" s="45"/>
      <c r="X257" s="67"/>
    </row>
    <row r="258" spans="1:24" ht="14.25" customHeight="1">
      <c r="A258" s="427"/>
      <c r="B258" s="443"/>
      <c r="C258" s="449"/>
      <c r="D258" s="115" t="s">
        <v>75</v>
      </c>
      <c r="E258" s="425"/>
      <c r="F258" s="131" t="s">
        <v>298</v>
      </c>
      <c r="G258" s="224"/>
      <c r="H258" s="37"/>
      <c r="I258" s="126"/>
      <c r="J258" s="126"/>
      <c r="K258" s="18"/>
      <c r="L258" s="18"/>
      <c r="M258" s="18"/>
      <c r="N258" s="80"/>
      <c r="O258" s="126"/>
      <c r="P258" s="126">
        <f>May!BS322</f>
        <v>574</v>
      </c>
      <c r="Q258" s="126">
        <f>May!BQ322</f>
        <v>2</v>
      </c>
      <c r="R258" s="436"/>
      <c r="S258" s="436"/>
      <c r="T258" s="18">
        <v>1285</v>
      </c>
      <c r="U258" s="18"/>
      <c r="V258" s="127">
        <f>O258-T258-U258+V231</f>
        <v>0</v>
      </c>
      <c r="W258" s="45"/>
      <c r="X258" s="67"/>
    </row>
    <row r="259" spans="1:24" ht="14.25" customHeight="1">
      <c r="A259" s="427"/>
      <c r="B259" s="442" t="s">
        <v>53</v>
      </c>
      <c r="C259" s="444" t="s">
        <v>60</v>
      </c>
      <c r="D259" s="43" t="s">
        <v>130</v>
      </c>
      <c r="E259" s="424" t="s">
        <v>66</v>
      </c>
      <c r="F259" s="118" t="s">
        <v>54</v>
      </c>
      <c r="G259" s="224"/>
      <c r="H259" s="37"/>
      <c r="I259" s="126"/>
      <c r="J259" s="126"/>
      <c r="K259" s="18"/>
      <c r="L259" s="18"/>
      <c r="M259" s="18"/>
      <c r="N259" s="80"/>
      <c r="O259" s="126">
        <f>May!BR314</f>
        <v>4974</v>
      </c>
      <c r="P259" s="126">
        <f>May!BS314</f>
        <v>4528</v>
      </c>
      <c r="Q259" s="126">
        <f>May!BQ314</f>
        <v>14</v>
      </c>
      <c r="R259" s="436"/>
      <c r="S259" s="436"/>
      <c r="T259" s="18">
        <v>13796</v>
      </c>
      <c r="U259" s="18"/>
      <c r="V259" s="127">
        <f>O259-T259-U259+V232</f>
        <v>2011</v>
      </c>
      <c r="W259" s="45"/>
      <c r="X259" s="67"/>
    </row>
    <row r="260" spans="1:24" ht="14.25" customHeight="1">
      <c r="A260" s="427"/>
      <c r="B260" s="439"/>
      <c r="C260" s="445"/>
      <c r="D260" s="43" t="s">
        <v>320</v>
      </c>
      <c r="E260" s="425"/>
      <c r="F260" s="118" t="s">
        <v>54</v>
      </c>
      <c r="G260" s="224"/>
      <c r="H260" s="37"/>
      <c r="I260" s="126"/>
      <c r="J260" s="126"/>
      <c r="K260" s="18">
        <v>5500</v>
      </c>
      <c r="L260" s="18">
        <v>1</v>
      </c>
      <c r="M260" s="18">
        <v>89500</v>
      </c>
      <c r="N260" s="80">
        <v>15</v>
      </c>
      <c r="O260" s="126">
        <f>May!BR315</f>
        <v>1200</v>
      </c>
      <c r="P260" s="126">
        <f>May!BS315</f>
        <v>1684</v>
      </c>
      <c r="Q260" s="126">
        <f>May!BQ315</f>
        <v>5</v>
      </c>
      <c r="R260" s="436"/>
      <c r="S260" s="436"/>
      <c r="T260" s="18">
        <v>7174</v>
      </c>
      <c r="U260" s="18">
        <v>12</v>
      </c>
      <c r="V260" s="127">
        <f>O260-T260-U260+V233</f>
        <v>1200</v>
      </c>
      <c r="W260" s="45"/>
      <c r="X260" s="67"/>
    </row>
    <row r="261" spans="1:24" ht="14.25" customHeight="1">
      <c r="A261" s="427"/>
      <c r="B261" s="443"/>
      <c r="C261" s="446"/>
      <c r="D261" s="43" t="s">
        <v>199</v>
      </c>
      <c r="E261" s="114" t="s">
        <v>25</v>
      </c>
      <c r="F261" s="118" t="s">
        <v>54</v>
      </c>
      <c r="G261" s="224"/>
      <c r="H261" s="135"/>
      <c r="I261" s="158"/>
      <c r="J261" s="158"/>
      <c r="K261" s="128"/>
      <c r="L261" s="128"/>
      <c r="M261" s="128"/>
      <c r="N261" s="164"/>
      <c r="O261" s="158"/>
      <c r="P261" s="158"/>
      <c r="Q261" s="158">
        <f>May!BQ316</f>
        <v>1</v>
      </c>
      <c r="R261" s="436"/>
      <c r="S261" s="436"/>
      <c r="T261" s="18"/>
      <c r="U261" s="18"/>
      <c r="V261" s="127"/>
      <c r="W261" s="45"/>
      <c r="X261" s="67"/>
    </row>
    <row r="262" spans="1:24" ht="15.75" customHeight="1">
      <c r="A262" s="427"/>
      <c r="B262" s="122" t="s">
        <v>55</v>
      </c>
      <c r="C262" s="180" t="s">
        <v>133</v>
      </c>
      <c r="D262" s="48" t="s">
        <v>56</v>
      </c>
      <c r="E262" s="424" t="s">
        <v>25</v>
      </c>
      <c r="F262" s="118" t="s">
        <v>67</v>
      </c>
      <c r="G262" s="226"/>
      <c r="H262" s="126"/>
      <c r="I262" s="126"/>
      <c r="J262" s="2"/>
      <c r="K262" s="18"/>
      <c r="L262" s="18"/>
      <c r="M262" s="18">
        <v>2800</v>
      </c>
      <c r="N262" s="18">
        <v>1</v>
      </c>
      <c r="O262" s="126"/>
      <c r="P262" s="126"/>
      <c r="Q262" s="126"/>
      <c r="R262" s="436"/>
      <c r="S262" s="436"/>
      <c r="T262" s="18"/>
      <c r="U262" s="18"/>
      <c r="V262" s="127">
        <f t="shared" ref="V262:V268" si="13">O262-T262-U262+V235</f>
        <v>500</v>
      </c>
      <c r="W262" s="45"/>
      <c r="X262" s="67"/>
    </row>
    <row r="263" spans="1:24" ht="15.75" customHeight="1">
      <c r="A263" s="427"/>
      <c r="B263" s="122" t="s">
        <v>55</v>
      </c>
      <c r="C263" s="180" t="s">
        <v>316</v>
      </c>
      <c r="D263" s="48" t="s">
        <v>317</v>
      </c>
      <c r="E263" s="441"/>
      <c r="F263" s="155" t="s">
        <v>67</v>
      </c>
      <c r="G263" s="226"/>
      <c r="H263" s="126"/>
      <c r="I263" s="126"/>
      <c r="J263" s="2"/>
      <c r="K263" s="18"/>
      <c r="L263" s="18"/>
      <c r="M263" s="18"/>
      <c r="N263" s="18"/>
      <c r="O263" s="126"/>
      <c r="P263" s="126"/>
      <c r="Q263" s="126"/>
      <c r="R263" s="436"/>
      <c r="S263" s="436"/>
      <c r="T263" s="18"/>
      <c r="U263" s="18"/>
      <c r="V263" s="127">
        <f t="shared" si="13"/>
        <v>450</v>
      </c>
      <c r="W263" s="45"/>
      <c r="X263" s="67"/>
    </row>
    <row r="264" spans="1:24" ht="15" customHeight="1">
      <c r="A264" s="427"/>
      <c r="B264" s="122" t="s">
        <v>122</v>
      </c>
      <c r="C264" s="180" t="s">
        <v>123</v>
      </c>
      <c r="D264" s="48" t="s">
        <v>56</v>
      </c>
      <c r="E264" s="441"/>
      <c r="F264" s="155" t="s">
        <v>64</v>
      </c>
      <c r="G264" s="119"/>
      <c r="H264" s="126"/>
      <c r="I264" s="126"/>
      <c r="J264" s="2"/>
      <c r="K264" s="18"/>
      <c r="L264" s="18"/>
      <c r="M264" s="18">
        <v>6400</v>
      </c>
      <c r="N264" s="18">
        <v>2</v>
      </c>
      <c r="O264" s="126"/>
      <c r="P264" s="126"/>
      <c r="Q264" s="126"/>
      <c r="R264" s="436"/>
      <c r="S264" s="436"/>
      <c r="T264" s="18"/>
      <c r="U264" s="18"/>
      <c r="V264" s="127">
        <f t="shared" si="13"/>
        <v>21764</v>
      </c>
      <c r="W264" s="45"/>
      <c r="X264" s="67"/>
    </row>
    <row r="265" spans="1:24" ht="14.25" customHeight="1">
      <c r="A265" s="427"/>
      <c r="B265" s="137" t="s">
        <v>58</v>
      </c>
      <c r="C265" s="157" t="s">
        <v>243</v>
      </c>
      <c r="D265" s="48" t="s">
        <v>56</v>
      </c>
      <c r="E265" s="441"/>
      <c r="F265" s="118" t="s">
        <v>64</v>
      </c>
      <c r="G265" s="225"/>
      <c r="H265" s="126"/>
      <c r="I265" s="126"/>
      <c r="J265" s="126"/>
      <c r="K265" s="18"/>
      <c r="L265" s="18"/>
      <c r="M265" s="18"/>
      <c r="N265" s="80"/>
      <c r="O265" s="126"/>
      <c r="P265" s="126"/>
      <c r="Q265" s="126"/>
      <c r="R265" s="436"/>
      <c r="S265" s="436"/>
      <c r="T265" s="18"/>
      <c r="U265" s="18"/>
      <c r="V265" s="127">
        <f t="shared" si="13"/>
        <v>8562</v>
      </c>
      <c r="W265" s="45"/>
      <c r="X265" s="67"/>
    </row>
    <row r="266" spans="1:24" ht="14.25" customHeight="1">
      <c r="A266" s="427"/>
      <c r="B266" s="122" t="s">
        <v>61</v>
      </c>
      <c r="C266" s="180" t="s">
        <v>137</v>
      </c>
      <c r="D266" s="48" t="s">
        <v>56</v>
      </c>
      <c r="E266" s="441"/>
      <c r="F266" s="118" t="s">
        <v>67</v>
      </c>
      <c r="G266" s="225"/>
      <c r="H266" s="126"/>
      <c r="I266" s="126"/>
      <c r="J266" s="126"/>
      <c r="K266" s="18"/>
      <c r="L266" s="18"/>
      <c r="M266" s="18"/>
      <c r="N266" s="80"/>
      <c r="O266" s="126"/>
      <c r="P266" s="126"/>
      <c r="Q266" s="126"/>
      <c r="R266" s="436"/>
      <c r="S266" s="436"/>
      <c r="T266" s="18"/>
      <c r="U266" s="18"/>
      <c r="V266" s="127">
        <f t="shared" si="13"/>
        <v>5844</v>
      </c>
      <c r="W266" s="45"/>
      <c r="X266" s="67"/>
    </row>
    <row r="267" spans="1:24" ht="14.25" customHeight="1">
      <c r="A267" s="427"/>
      <c r="B267" s="122" t="s">
        <v>125</v>
      </c>
      <c r="C267" s="180" t="s">
        <v>88</v>
      </c>
      <c r="D267" s="48" t="s">
        <v>124</v>
      </c>
      <c r="E267" s="441"/>
      <c r="F267" s="118" t="s">
        <v>64</v>
      </c>
      <c r="G267" s="225"/>
      <c r="H267" s="126"/>
      <c r="I267" s="126"/>
      <c r="J267" s="126"/>
      <c r="K267" s="18"/>
      <c r="L267" s="18"/>
      <c r="M267" s="18">
        <v>51200</v>
      </c>
      <c r="N267" s="80">
        <v>7</v>
      </c>
      <c r="O267" s="126"/>
      <c r="P267" s="126"/>
      <c r="Q267" s="126"/>
      <c r="R267" s="436"/>
      <c r="S267" s="436"/>
      <c r="T267" s="18"/>
      <c r="U267" s="18"/>
      <c r="V267" s="127">
        <f t="shared" si="13"/>
        <v>23615</v>
      </c>
      <c r="W267" s="45"/>
      <c r="X267" s="67"/>
    </row>
    <row r="268" spans="1:24" ht="14.25" customHeight="1">
      <c r="A268" s="427"/>
      <c r="B268" s="442" t="s">
        <v>47</v>
      </c>
      <c r="C268" s="444" t="s">
        <v>100</v>
      </c>
      <c r="D268" s="48" t="s">
        <v>99</v>
      </c>
      <c r="E268" s="441"/>
      <c r="F268" s="118" t="s">
        <v>71</v>
      </c>
      <c r="G268" s="225"/>
      <c r="H268" s="126"/>
      <c r="I268" s="126"/>
      <c r="J268" s="126"/>
      <c r="K268" s="18"/>
      <c r="L268" s="18"/>
      <c r="M268" s="18">
        <v>11200</v>
      </c>
      <c r="N268" s="80">
        <v>2</v>
      </c>
      <c r="O268" s="126">
        <f>May!BR326</f>
        <v>1500</v>
      </c>
      <c r="P268" s="126">
        <f>May!BS326</f>
        <v>2041</v>
      </c>
      <c r="Q268" s="126">
        <f>May!BQ326</f>
        <v>7</v>
      </c>
      <c r="R268" s="436"/>
      <c r="S268" s="436"/>
      <c r="T268" s="18"/>
      <c r="U268" s="18"/>
      <c r="V268" s="127">
        <f t="shared" si="13"/>
        <v>21859</v>
      </c>
      <c r="W268" s="45"/>
      <c r="X268" s="67"/>
    </row>
    <row r="269" spans="1:24" ht="14.25" customHeight="1">
      <c r="A269" s="427"/>
      <c r="B269" s="443"/>
      <c r="C269" s="446"/>
      <c r="D269" s="48" t="s">
        <v>121</v>
      </c>
      <c r="E269" s="441"/>
      <c r="F269" s="118"/>
      <c r="G269" s="225"/>
      <c r="H269" s="126">
        <v>612</v>
      </c>
      <c r="I269" s="126"/>
      <c r="J269" s="126"/>
      <c r="K269" s="18"/>
      <c r="L269" s="18"/>
      <c r="M269" s="18"/>
      <c r="N269" s="18"/>
      <c r="O269" s="126"/>
      <c r="P269" s="126"/>
      <c r="Q269" s="126"/>
      <c r="R269" s="436"/>
      <c r="S269" s="436"/>
      <c r="T269" s="18"/>
      <c r="U269" s="18"/>
      <c r="V269" s="127"/>
      <c r="W269" s="45"/>
      <c r="X269" s="67"/>
    </row>
    <row r="270" spans="1:24" ht="15" customHeight="1">
      <c r="A270" s="427"/>
      <c r="B270" s="122" t="s">
        <v>196</v>
      </c>
      <c r="C270" s="180" t="s">
        <v>63</v>
      </c>
      <c r="D270" s="48" t="s">
        <v>135</v>
      </c>
      <c r="E270" s="441"/>
      <c r="F270" s="118" t="s">
        <v>64</v>
      </c>
      <c r="G270" s="226"/>
      <c r="H270" s="126"/>
      <c r="I270" s="126"/>
      <c r="J270" s="2"/>
      <c r="K270" s="18"/>
      <c r="L270" s="18"/>
      <c r="M270" s="18">
        <v>33200</v>
      </c>
      <c r="N270" s="18">
        <v>4</v>
      </c>
      <c r="O270" s="126"/>
      <c r="P270" s="126"/>
      <c r="Q270" s="126"/>
      <c r="R270" s="436"/>
      <c r="S270" s="436"/>
      <c r="T270" s="18"/>
      <c r="U270" s="18"/>
      <c r="V270" s="127">
        <f>O270-T270-U270+V242</f>
        <v>14761</v>
      </c>
      <c r="W270" s="45"/>
      <c r="X270" s="67"/>
    </row>
    <row r="271" spans="1:24" ht="15" customHeight="1">
      <c r="A271" s="427"/>
      <c r="B271" s="122" t="s">
        <v>363</v>
      </c>
      <c r="C271" s="180" t="s">
        <v>325</v>
      </c>
      <c r="D271" s="48" t="s">
        <v>328</v>
      </c>
      <c r="E271" s="441"/>
      <c r="F271" s="118" t="s">
        <v>48</v>
      </c>
      <c r="G271" s="226"/>
      <c r="H271" s="126"/>
      <c r="I271" s="126"/>
      <c r="J271" s="2"/>
      <c r="K271" s="18"/>
      <c r="L271" s="18"/>
      <c r="M271" s="18"/>
      <c r="N271" s="18"/>
      <c r="O271" s="126"/>
      <c r="P271" s="126">
        <f>May!BS332</f>
        <v>606</v>
      </c>
      <c r="Q271" s="126">
        <f>May!BQ332</f>
        <v>2</v>
      </c>
      <c r="R271" s="436"/>
      <c r="S271" s="436"/>
      <c r="T271" s="18">
        <v>2000</v>
      </c>
      <c r="U271" s="18"/>
      <c r="V271" s="127">
        <f>O271-T271-U271+V243</f>
        <v>0</v>
      </c>
      <c r="W271" s="45"/>
      <c r="X271" s="67"/>
    </row>
    <row r="272" spans="1:24" ht="15" customHeight="1">
      <c r="A272" s="427"/>
      <c r="B272" s="122" t="s">
        <v>253</v>
      </c>
      <c r="C272" s="180" t="s">
        <v>365</v>
      </c>
      <c r="D272" s="48" t="s">
        <v>246</v>
      </c>
      <c r="E272" s="441"/>
      <c r="F272" s="118" t="s">
        <v>247</v>
      </c>
      <c r="G272" s="226"/>
      <c r="H272" s="126"/>
      <c r="I272" s="126"/>
      <c r="J272" s="2"/>
      <c r="K272" s="18"/>
      <c r="L272" s="18"/>
      <c r="M272" s="18"/>
      <c r="N272" s="18"/>
      <c r="O272" s="126">
        <f>May!BR327</f>
        <v>565</v>
      </c>
      <c r="P272" s="126">
        <f>May!BS327</f>
        <v>991</v>
      </c>
      <c r="Q272" s="126">
        <f>May!BQ327</f>
        <v>4</v>
      </c>
      <c r="R272" s="436"/>
      <c r="S272" s="436"/>
      <c r="T272" s="18"/>
      <c r="U272" s="18"/>
      <c r="V272" s="127">
        <f>O272-T272-U272+V244</f>
        <v>7999</v>
      </c>
      <c r="W272" s="45"/>
      <c r="X272" s="67"/>
    </row>
    <row r="273" spans="1:25" ht="15" customHeight="1">
      <c r="A273" s="427"/>
      <c r="B273" s="122" t="s">
        <v>366</v>
      </c>
      <c r="C273" s="180" t="s">
        <v>367</v>
      </c>
      <c r="D273" s="48" t="s">
        <v>132</v>
      </c>
      <c r="E273" s="441"/>
      <c r="F273" s="118" t="s">
        <v>64</v>
      </c>
      <c r="G273" s="119"/>
      <c r="H273" s="126"/>
      <c r="I273" s="126"/>
      <c r="J273" s="2"/>
      <c r="K273" s="18"/>
      <c r="L273" s="18"/>
      <c r="M273" s="18"/>
      <c r="N273" s="18"/>
      <c r="O273" s="126"/>
      <c r="P273" s="126">
        <f>May!BS331</f>
        <v>392</v>
      </c>
      <c r="Q273" s="126">
        <f>May!BQ331</f>
        <v>1</v>
      </c>
      <c r="R273" s="436"/>
      <c r="S273" s="436"/>
      <c r="T273" s="18"/>
      <c r="U273" s="18"/>
      <c r="V273" s="18">
        <f>O273-T273-U273+V245</f>
        <v>0</v>
      </c>
      <c r="W273" s="45"/>
      <c r="X273" s="67"/>
    </row>
    <row r="274" spans="1:25" ht="15" customHeight="1">
      <c r="A274" s="427"/>
      <c r="B274" s="122" t="s">
        <v>101</v>
      </c>
      <c r="C274" s="180" t="s">
        <v>327</v>
      </c>
      <c r="D274" s="48" t="s">
        <v>102</v>
      </c>
      <c r="E274" s="441"/>
      <c r="F274" s="118" t="s">
        <v>64</v>
      </c>
      <c r="G274" s="119"/>
      <c r="H274" s="126"/>
      <c r="I274" s="126"/>
      <c r="J274" s="2"/>
      <c r="K274" s="18"/>
      <c r="L274" s="18"/>
      <c r="M274" s="18">
        <v>28000</v>
      </c>
      <c r="N274" s="18">
        <v>4</v>
      </c>
      <c r="O274" s="126"/>
      <c r="P274" s="126">
        <f>May!BS330</f>
        <v>1643</v>
      </c>
      <c r="Q274" s="126">
        <f>May!BQ330</f>
        <v>4</v>
      </c>
      <c r="R274" s="436"/>
      <c r="S274" s="436"/>
      <c r="T274" s="18">
        <v>2000</v>
      </c>
      <c r="U274" s="18"/>
      <c r="V274" s="18">
        <f>O274-T274-U274+V246</f>
        <v>402</v>
      </c>
      <c r="W274" s="45"/>
      <c r="X274" s="67"/>
    </row>
    <row r="275" spans="1:25" s="4" customFormat="1" ht="15" customHeight="1">
      <c r="A275" s="427"/>
      <c r="B275" s="122" t="s">
        <v>375</v>
      </c>
      <c r="C275" s="157" t="s">
        <v>376</v>
      </c>
      <c r="D275" s="48" t="s">
        <v>248</v>
      </c>
      <c r="E275" s="441"/>
      <c r="F275" s="48" t="s">
        <v>64</v>
      </c>
      <c r="G275" s="87">
        <v>801.42</v>
      </c>
      <c r="H275" s="34">
        <v>336</v>
      </c>
      <c r="I275" s="34"/>
      <c r="J275" s="6"/>
      <c r="K275" s="211">
        <v>4000</v>
      </c>
      <c r="L275" s="211">
        <v>1</v>
      </c>
      <c r="M275" s="211">
        <v>4000</v>
      </c>
      <c r="N275" s="211">
        <v>1</v>
      </c>
      <c r="O275" s="34"/>
      <c r="P275" s="34">
        <f>May!BS333</f>
        <v>415</v>
      </c>
      <c r="Q275" s="34">
        <f>May!BQ333</f>
        <v>1</v>
      </c>
      <c r="R275" s="436"/>
      <c r="S275" s="436"/>
      <c r="T275" s="211"/>
      <c r="U275" s="211"/>
      <c r="V275" s="211"/>
      <c r="W275" s="260"/>
      <c r="X275" s="67"/>
    </row>
    <row r="276" spans="1:25" ht="15" customHeight="1">
      <c r="A276" s="427"/>
      <c r="B276" s="122" t="s">
        <v>103</v>
      </c>
      <c r="C276" s="157" t="s">
        <v>197</v>
      </c>
      <c r="D276" s="48" t="s">
        <v>104</v>
      </c>
      <c r="E276" s="441"/>
      <c r="F276" s="118" t="s">
        <v>105</v>
      </c>
      <c r="G276" s="119"/>
      <c r="H276" s="126"/>
      <c r="I276" s="126"/>
      <c r="J276" s="2"/>
      <c r="K276" s="18"/>
      <c r="L276" s="18"/>
      <c r="M276" s="18"/>
      <c r="N276" s="18"/>
      <c r="O276" s="126"/>
      <c r="P276" s="126"/>
      <c r="Q276" s="126">
        <f>May!BQ335</f>
        <v>1</v>
      </c>
      <c r="R276" s="436"/>
      <c r="S276" s="436"/>
      <c r="T276" s="18"/>
      <c r="U276" s="18"/>
      <c r="V276" s="18"/>
      <c r="W276" s="45"/>
      <c r="X276" s="67"/>
    </row>
    <row r="277" spans="1:25" ht="15" customHeight="1">
      <c r="A277" s="427"/>
      <c r="B277" s="137" t="s">
        <v>112</v>
      </c>
      <c r="C277" s="157" t="s">
        <v>197</v>
      </c>
      <c r="D277" s="48" t="s">
        <v>104</v>
      </c>
      <c r="E277" s="441"/>
      <c r="F277" s="118" t="s">
        <v>113</v>
      </c>
      <c r="G277" s="119"/>
      <c r="H277" s="126"/>
      <c r="I277" s="126"/>
      <c r="J277" s="2"/>
      <c r="K277" s="18"/>
      <c r="L277" s="18"/>
      <c r="M277" s="18"/>
      <c r="N277" s="18"/>
      <c r="O277" s="126"/>
      <c r="P277" s="126"/>
      <c r="Q277" s="126">
        <f>May!BQ337</f>
        <v>1</v>
      </c>
      <c r="R277" s="436"/>
      <c r="S277" s="436"/>
      <c r="T277" s="18"/>
      <c r="U277" s="18"/>
      <c r="V277" s="18"/>
      <c r="W277" s="45"/>
      <c r="X277" s="67"/>
    </row>
    <row r="278" spans="1:25" ht="15" customHeight="1" thickBot="1">
      <c r="A278" s="428"/>
      <c r="B278" s="44" t="s">
        <v>107</v>
      </c>
      <c r="C278" s="181" t="s">
        <v>195</v>
      </c>
      <c r="D278" s="61" t="s">
        <v>108</v>
      </c>
      <c r="E278" s="447"/>
      <c r="F278" s="133" t="s">
        <v>48</v>
      </c>
      <c r="G278" s="132"/>
      <c r="H278" s="109"/>
      <c r="I278" s="134"/>
      <c r="J278" s="129"/>
      <c r="K278" s="130"/>
      <c r="L278" s="130"/>
      <c r="M278" s="130"/>
      <c r="N278" s="130"/>
      <c r="O278" s="134"/>
      <c r="P278" s="134"/>
      <c r="Q278" s="134"/>
      <c r="R278" s="437"/>
      <c r="S278" s="437"/>
      <c r="T278" s="130"/>
      <c r="U278" s="130"/>
      <c r="V278" s="128">
        <f t="shared" ref="V278:V284" si="14">O278-T278-U278+V249</f>
        <v>903</v>
      </c>
      <c r="W278" s="85"/>
      <c r="X278" s="67"/>
    </row>
    <row r="279" spans="1:25" ht="15" customHeight="1">
      <c r="A279" s="426">
        <v>46157</v>
      </c>
      <c r="B279" s="429" t="s">
        <v>44</v>
      </c>
      <c r="C279" s="432" t="s">
        <v>240</v>
      </c>
      <c r="D279" s="19" t="s">
        <v>37</v>
      </c>
      <c r="E279" s="19" t="s">
        <v>25</v>
      </c>
      <c r="F279" s="39" t="s">
        <v>40</v>
      </c>
      <c r="G279" s="41"/>
      <c r="H279" s="32"/>
      <c r="I279" s="32"/>
      <c r="J279" s="474">
        <v>22.4</v>
      </c>
      <c r="K279" s="20">
        <v>8000</v>
      </c>
      <c r="L279" s="20">
        <v>1</v>
      </c>
      <c r="M279" s="20">
        <v>160800</v>
      </c>
      <c r="N279" s="84">
        <v>20</v>
      </c>
      <c r="O279" s="32">
        <f>May!BU311</f>
        <v>34932</v>
      </c>
      <c r="P279" s="32">
        <f>May!BV311</f>
        <v>31916</v>
      </c>
      <c r="Q279" s="32">
        <f>May!BT311</f>
        <v>86</v>
      </c>
      <c r="R279" s="435">
        <f>May!BU340</f>
        <v>85808</v>
      </c>
      <c r="S279" s="435">
        <f>May!BV340</f>
        <v>81390</v>
      </c>
      <c r="T279" s="20"/>
      <c r="U279" s="20"/>
      <c r="V279" s="20">
        <f>O279-T279-U279+V250</f>
        <v>161172</v>
      </c>
      <c r="W279" s="77"/>
      <c r="X279" s="36"/>
    </row>
    <row r="280" spans="1:25" ht="15" customHeight="1">
      <c r="A280" s="427"/>
      <c r="B280" s="430"/>
      <c r="C280" s="433"/>
      <c r="D280" s="113" t="s">
        <v>128</v>
      </c>
      <c r="E280" s="438" t="s">
        <v>24</v>
      </c>
      <c r="F280" s="118" t="s">
        <v>40</v>
      </c>
      <c r="G280" s="38"/>
      <c r="H280" s="126"/>
      <c r="I280" s="125"/>
      <c r="J280" s="475"/>
      <c r="K280" s="18"/>
      <c r="L280" s="127"/>
      <c r="M280" s="216"/>
      <c r="N280" s="238"/>
      <c r="O280" s="126">
        <f>May!BU312</f>
        <v>11170</v>
      </c>
      <c r="P280" s="125">
        <f>May!BV312</f>
        <v>6319</v>
      </c>
      <c r="Q280" s="125">
        <f>May!BT312</f>
        <v>17</v>
      </c>
      <c r="R280" s="436"/>
      <c r="S280" s="436"/>
      <c r="T280" s="127">
        <v>15835</v>
      </c>
      <c r="U280" s="127">
        <v>16</v>
      </c>
      <c r="V280" s="127">
        <f t="shared" si="14"/>
        <v>21991</v>
      </c>
      <c r="W280" s="46"/>
      <c r="X280" s="67"/>
    </row>
    <row r="281" spans="1:25" ht="15" customHeight="1">
      <c r="A281" s="427"/>
      <c r="B281" s="431"/>
      <c r="C281" s="434"/>
      <c r="D281" s="113" t="s">
        <v>307</v>
      </c>
      <c r="E281" s="431"/>
      <c r="F281" s="118" t="s">
        <v>40</v>
      </c>
      <c r="G281" s="135"/>
      <c r="H281" s="135">
        <v>3292.5</v>
      </c>
      <c r="I281" s="125"/>
      <c r="J281" s="475"/>
      <c r="K281" s="127">
        <v>24000</v>
      </c>
      <c r="L281" s="127">
        <v>3</v>
      </c>
      <c r="M281" s="216">
        <v>207400</v>
      </c>
      <c r="N281" s="238">
        <v>26</v>
      </c>
      <c r="O281" s="126">
        <f>May!BU313</f>
        <v>19805</v>
      </c>
      <c r="P281" s="125">
        <f>May!BV313</f>
        <v>24059</v>
      </c>
      <c r="Q281" s="125">
        <f>May!BT313</f>
        <v>62</v>
      </c>
      <c r="R281" s="436"/>
      <c r="S281" s="436"/>
      <c r="T281" s="127">
        <v>34635</v>
      </c>
      <c r="U281" s="127">
        <v>6</v>
      </c>
      <c r="V281" s="127">
        <f t="shared" si="14"/>
        <v>42849</v>
      </c>
      <c r="W281" s="46"/>
      <c r="X281" s="67"/>
    </row>
    <row r="282" spans="1:25" ht="15" customHeight="1">
      <c r="A282" s="427"/>
      <c r="B282" s="442" t="s">
        <v>45</v>
      </c>
      <c r="C282" s="471" t="s">
        <v>59</v>
      </c>
      <c r="D282" s="118" t="s">
        <v>75</v>
      </c>
      <c r="E282" s="438" t="s">
        <v>25</v>
      </c>
      <c r="F282" s="131" t="s">
        <v>57</v>
      </c>
      <c r="G282" s="87"/>
      <c r="H282" s="152"/>
      <c r="I282" s="126"/>
      <c r="J282" s="475"/>
      <c r="K282" s="127"/>
      <c r="L282" s="18"/>
      <c r="M282" s="211">
        <v>46620</v>
      </c>
      <c r="N282" s="215">
        <v>9</v>
      </c>
      <c r="O282" s="126">
        <f>May!BU317</f>
        <v>1100</v>
      </c>
      <c r="P282" s="126">
        <f>May!BV317</f>
        <v>259</v>
      </c>
      <c r="Q282" s="2">
        <f>May!BT317</f>
        <v>1</v>
      </c>
      <c r="R282" s="436"/>
      <c r="S282" s="436"/>
      <c r="T282" s="18">
        <v>6254</v>
      </c>
      <c r="U282" s="18"/>
      <c r="V282" s="127">
        <f t="shared" si="14"/>
        <v>9792</v>
      </c>
      <c r="W282" s="46"/>
      <c r="Y282" s="13"/>
    </row>
    <row r="283" spans="1:25" ht="15" customHeight="1">
      <c r="A283" s="427"/>
      <c r="B283" s="439"/>
      <c r="C283" s="471"/>
      <c r="D283" s="118" t="s">
        <v>291</v>
      </c>
      <c r="E283" s="430"/>
      <c r="F283" s="131" t="s">
        <v>57</v>
      </c>
      <c r="G283" s="87"/>
      <c r="H283" s="152"/>
      <c r="I283" s="126"/>
      <c r="J283" s="475"/>
      <c r="K283" s="127"/>
      <c r="L283" s="18"/>
      <c r="M283" s="211">
        <v>9800</v>
      </c>
      <c r="N283" s="215">
        <v>2</v>
      </c>
      <c r="O283" s="126">
        <f>May!BU318</f>
        <v>1482</v>
      </c>
      <c r="P283" s="126">
        <f>May!BV318</f>
        <v>2751</v>
      </c>
      <c r="Q283" s="2">
        <f>May!BT318</f>
        <v>11</v>
      </c>
      <c r="R283" s="436"/>
      <c r="S283" s="436"/>
      <c r="T283" s="18"/>
      <c r="U283" s="18"/>
      <c r="V283" s="127">
        <f t="shared" si="14"/>
        <v>37470</v>
      </c>
      <c r="W283" s="46"/>
      <c r="Y283" s="13"/>
    </row>
    <row r="284" spans="1:25">
      <c r="A284" s="427"/>
      <c r="B284" s="439"/>
      <c r="C284" s="471"/>
      <c r="D284" s="118" t="s">
        <v>72</v>
      </c>
      <c r="E284" s="155" t="s">
        <v>24</v>
      </c>
      <c r="F284" s="131" t="s">
        <v>57</v>
      </c>
      <c r="G284" s="224"/>
      <c r="H284" s="152"/>
      <c r="I284" s="126"/>
      <c r="J284" s="475"/>
      <c r="K284" s="127"/>
      <c r="L284" s="18"/>
      <c r="M284" s="211">
        <v>75000</v>
      </c>
      <c r="N284" s="215">
        <v>15</v>
      </c>
      <c r="O284" s="126">
        <f>May!BU319</f>
        <v>4912</v>
      </c>
      <c r="P284" s="126">
        <f>May!BV319</f>
        <v>1986</v>
      </c>
      <c r="Q284" s="126">
        <f>May!BT319</f>
        <v>9</v>
      </c>
      <c r="R284" s="436"/>
      <c r="S284" s="436"/>
      <c r="T284" s="18">
        <v>6883</v>
      </c>
      <c r="U284" s="18">
        <v>9</v>
      </c>
      <c r="V284" s="127">
        <f t="shared" si="14"/>
        <v>10465</v>
      </c>
      <c r="W284" s="46"/>
      <c r="Y284" s="13"/>
    </row>
    <row r="285" spans="1:25" ht="14.25" customHeight="1">
      <c r="A285" s="427"/>
      <c r="B285" s="439"/>
      <c r="C285" s="471"/>
      <c r="D285" s="115" t="s">
        <v>79</v>
      </c>
      <c r="E285" s="118" t="s">
        <v>65</v>
      </c>
      <c r="F285" s="131" t="s">
        <v>57</v>
      </c>
      <c r="G285" s="224"/>
      <c r="H285" s="126"/>
      <c r="I285" s="126"/>
      <c r="J285" s="475"/>
      <c r="K285" s="18"/>
      <c r="L285" s="18"/>
      <c r="M285" s="211"/>
      <c r="N285" s="215"/>
      <c r="O285" s="126"/>
      <c r="P285" s="126"/>
      <c r="Q285" s="126">
        <f>May!BT320</f>
        <v>1</v>
      </c>
      <c r="R285" s="436"/>
      <c r="S285" s="436"/>
      <c r="T285" s="18"/>
      <c r="U285" s="18"/>
      <c r="V285" s="127"/>
      <c r="W285" s="45"/>
      <c r="X285" s="36"/>
    </row>
    <row r="286" spans="1:25" ht="14.25" customHeight="1">
      <c r="A286" s="427"/>
      <c r="B286" s="439"/>
      <c r="C286" s="448" t="s">
        <v>299</v>
      </c>
      <c r="D286" s="115" t="s">
        <v>296</v>
      </c>
      <c r="E286" s="424" t="s">
        <v>25</v>
      </c>
      <c r="F286" s="131" t="s">
        <v>298</v>
      </c>
      <c r="G286" s="224"/>
      <c r="H286" s="37"/>
      <c r="I286" s="126"/>
      <c r="J286" s="475"/>
      <c r="K286" s="18"/>
      <c r="L286" s="18"/>
      <c r="M286" s="211"/>
      <c r="N286" s="215"/>
      <c r="O286" s="126">
        <f>May!BU321</f>
        <v>548</v>
      </c>
      <c r="P286" s="126">
        <f>May!BV321</f>
        <v>555</v>
      </c>
      <c r="Q286" s="126">
        <f>May!BT321</f>
        <v>2</v>
      </c>
      <c r="R286" s="436"/>
      <c r="S286" s="436"/>
      <c r="T286" s="18"/>
      <c r="U286" s="18"/>
      <c r="V286" s="127">
        <f>O286-T286-U286+V257</f>
        <v>548</v>
      </c>
      <c r="W286" s="45"/>
      <c r="X286" s="67"/>
    </row>
    <row r="287" spans="1:25" ht="14.25" customHeight="1">
      <c r="A287" s="427"/>
      <c r="B287" s="443"/>
      <c r="C287" s="449"/>
      <c r="D287" s="115" t="s">
        <v>75</v>
      </c>
      <c r="E287" s="425"/>
      <c r="F287" s="131" t="s">
        <v>298</v>
      </c>
      <c r="G287" s="224"/>
      <c r="H287" s="37"/>
      <c r="I287" s="126"/>
      <c r="J287" s="475"/>
      <c r="K287" s="18"/>
      <c r="L287" s="18"/>
      <c r="M287" s="211"/>
      <c r="N287" s="215"/>
      <c r="O287" s="126"/>
      <c r="P287" s="126">
        <f>May!BV322</f>
        <v>579</v>
      </c>
      <c r="Q287" s="126">
        <f>May!BT322</f>
        <v>2</v>
      </c>
      <c r="R287" s="436"/>
      <c r="S287" s="436"/>
      <c r="T287" s="18"/>
      <c r="U287" s="18"/>
      <c r="V287" s="127">
        <f>O287-T287-U287+V258</f>
        <v>0</v>
      </c>
      <c r="W287" s="45"/>
      <c r="X287" s="67"/>
    </row>
    <row r="288" spans="1:25" ht="14.25" customHeight="1">
      <c r="A288" s="427"/>
      <c r="B288" s="442" t="s">
        <v>53</v>
      </c>
      <c r="C288" s="444" t="s">
        <v>60</v>
      </c>
      <c r="D288" s="43" t="s">
        <v>130</v>
      </c>
      <c r="E288" s="424" t="s">
        <v>66</v>
      </c>
      <c r="F288" s="118" t="s">
        <v>54</v>
      </c>
      <c r="G288" s="224"/>
      <c r="H288" s="37"/>
      <c r="I288" s="126"/>
      <c r="J288" s="475"/>
      <c r="K288" s="18"/>
      <c r="L288" s="18"/>
      <c r="M288" s="211"/>
      <c r="N288" s="215"/>
      <c r="O288" s="126">
        <f>May!BU314</f>
        <v>1200</v>
      </c>
      <c r="P288" s="126">
        <f>May!BV314</f>
        <v>4134</v>
      </c>
      <c r="Q288" s="126">
        <f>May!BT314</f>
        <v>12</v>
      </c>
      <c r="R288" s="436"/>
      <c r="S288" s="436"/>
      <c r="T288" s="18"/>
      <c r="U288" s="18"/>
      <c r="V288" s="127">
        <f>O288-T288-U288+V259</f>
        <v>3211</v>
      </c>
      <c r="W288" s="45"/>
      <c r="X288" s="67"/>
    </row>
    <row r="289" spans="1:24" ht="14.25" customHeight="1">
      <c r="A289" s="427"/>
      <c r="B289" s="439"/>
      <c r="C289" s="445"/>
      <c r="D289" s="43" t="s">
        <v>320</v>
      </c>
      <c r="E289" s="425"/>
      <c r="F289" s="118" t="s">
        <v>54</v>
      </c>
      <c r="G289" s="224"/>
      <c r="H289" s="37"/>
      <c r="I289" s="126"/>
      <c r="J289" s="475"/>
      <c r="K289" s="18">
        <v>12000</v>
      </c>
      <c r="L289" s="18">
        <v>2</v>
      </c>
      <c r="M289" s="211">
        <v>77500</v>
      </c>
      <c r="N289" s="215">
        <v>13</v>
      </c>
      <c r="O289" s="126">
        <f>May!BU315</f>
        <v>2400</v>
      </c>
      <c r="P289" s="126">
        <f>May!BV315</f>
        <v>2359</v>
      </c>
      <c r="Q289" s="126">
        <f>May!BT315</f>
        <v>7</v>
      </c>
      <c r="R289" s="436"/>
      <c r="S289" s="436"/>
      <c r="T289" s="18"/>
      <c r="U289" s="18"/>
      <c r="V289" s="127">
        <f>O289-T289-U289+V260</f>
        <v>3600</v>
      </c>
      <c r="W289" s="45"/>
      <c r="X289" s="67"/>
    </row>
    <row r="290" spans="1:24" ht="14.25" customHeight="1">
      <c r="A290" s="427"/>
      <c r="B290" s="443"/>
      <c r="C290" s="446"/>
      <c r="D290" s="43" t="s">
        <v>199</v>
      </c>
      <c r="E290" s="114" t="s">
        <v>25</v>
      </c>
      <c r="F290" s="118" t="s">
        <v>54</v>
      </c>
      <c r="G290" s="224"/>
      <c r="H290" s="135"/>
      <c r="I290" s="158"/>
      <c r="J290" s="475"/>
      <c r="K290" s="128"/>
      <c r="L290" s="128"/>
      <c r="M290" s="252"/>
      <c r="N290" s="253"/>
      <c r="O290" s="158"/>
      <c r="P290" s="158"/>
      <c r="Q290" s="158">
        <f>May!BT316</f>
        <v>1</v>
      </c>
      <c r="R290" s="436"/>
      <c r="S290" s="436"/>
      <c r="T290" s="18"/>
      <c r="U290" s="18"/>
      <c r="V290" s="127"/>
      <c r="W290" s="45"/>
      <c r="X290" s="67"/>
    </row>
    <row r="291" spans="1:24" ht="15.75" customHeight="1">
      <c r="A291" s="427"/>
      <c r="B291" s="122" t="s">
        <v>55</v>
      </c>
      <c r="C291" s="180" t="s">
        <v>133</v>
      </c>
      <c r="D291" s="48" t="s">
        <v>56</v>
      </c>
      <c r="E291" s="424" t="s">
        <v>25</v>
      </c>
      <c r="F291" s="118" t="s">
        <v>67</v>
      </c>
      <c r="G291" s="226"/>
      <c r="H291" s="126"/>
      <c r="I291" s="126"/>
      <c r="J291" s="475"/>
      <c r="K291" s="18"/>
      <c r="L291" s="18"/>
      <c r="M291" s="211">
        <v>2800</v>
      </c>
      <c r="N291" s="211">
        <v>1</v>
      </c>
      <c r="O291" s="126"/>
      <c r="P291" s="126"/>
      <c r="Q291" s="126"/>
      <c r="R291" s="436"/>
      <c r="S291" s="436"/>
      <c r="T291" s="18"/>
      <c r="U291" s="18"/>
      <c r="V291" s="127">
        <f t="shared" ref="V291:V297" si="15">O291-T291-U291+V262</f>
        <v>500</v>
      </c>
      <c r="W291" s="45"/>
      <c r="X291" s="67"/>
    </row>
    <row r="292" spans="1:24" ht="15.75" customHeight="1">
      <c r="A292" s="427"/>
      <c r="B292" s="122" t="s">
        <v>55</v>
      </c>
      <c r="C292" s="180" t="s">
        <v>316</v>
      </c>
      <c r="D292" s="48" t="s">
        <v>317</v>
      </c>
      <c r="E292" s="441"/>
      <c r="F292" s="155" t="s">
        <v>67</v>
      </c>
      <c r="G292" s="226"/>
      <c r="H292" s="126"/>
      <c r="I292" s="126"/>
      <c r="J292" s="475"/>
      <c r="K292" s="18"/>
      <c r="L292" s="18"/>
      <c r="M292" s="211"/>
      <c r="N292" s="211"/>
      <c r="O292" s="126"/>
      <c r="P292" s="126"/>
      <c r="Q292" s="126"/>
      <c r="R292" s="436"/>
      <c r="S292" s="436"/>
      <c r="T292" s="18"/>
      <c r="U292" s="18"/>
      <c r="V292" s="127">
        <f t="shared" si="15"/>
        <v>450</v>
      </c>
      <c r="W292" s="45"/>
      <c r="X292" s="67"/>
    </row>
    <row r="293" spans="1:24" ht="15" customHeight="1">
      <c r="A293" s="427"/>
      <c r="B293" s="122" t="s">
        <v>122</v>
      </c>
      <c r="C293" s="180" t="s">
        <v>123</v>
      </c>
      <c r="D293" s="48" t="s">
        <v>56</v>
      </c>
      <c r="E293" s="441"/>
      <c r="F293" s="155" t="s">
        <v>64</v>
      </c>
      <c r="G293" s="119"/>
      <c r="H293" s="126"/>
      <c r="I293" s="126"/>
      <c r="J293" s="475"/>
      <c r="K293" s="18"/>
      <c r="L293" s="18"/>
      <c r="M293" s="211">
        <v>6400</v>
      </c>
      <c r="N293" s="211">
        <v>2</v>
      </c>
      <c r="O293" s="126"/>
      <c r="P293" s="126"/>
      <c r="Q293" s="126"/>
      <c r="R293" s="436"/>
      <c r="S293" s="436"/>
      <c r="T293" s="18"/>
      <c r="U293" s="18"/>
      <c r="V293" s="127">
        <f t="shared" si="15"/>
        <v>21764</v>
      </c>
      <c r="W293" s="45"/>
      <c r="X293" s="67"/>
    </row>
    <row r="294" spans="1:24" ht="14.25" customHeight="1">
      <c r="A294" s="427"/>
      <c r="B294" s="137" t="s">
        <v>58</v>
      </c>
      <c r="C294" s="157" t="s">
        <v>243</v>
      </c>
      <c r="D294" s="48" t="s">
        <v>56</v>
      </c>
      <c r="E294" s="441"/>
      <c r="F294" s="118" t="s">
        <v>64</v>
      </c>
      <c r="G294" s="225"/>
      <c r="H294" s="126"/>
      <c r="I294" s="126"/>
      <c r="J294" s="475"/>
      <c r="K294" s="18"/>
      <c r="L294" s="18"/>
      <c r="M294" s="211"/>
      <c r="N294" s="215"/>
      <c r="O294" s="126"/>
      <c r="P294" s="126"/>
      <c r="Q294" s="126"/>
      <c r="R294" s="436"/>
      <c r="S294" s="436"/>
      <c r="T294" s="18"/>
      <c r="U294" s="18"/>
      <c r="V294" s="127">
        <f t="shared" si="15"/>
        <v>8562</v>
      </c>
      <c r="W294" s="45"/>
      <c r="X294" s="67"/>
    </row>
    <row r="295" spans="1:24" ht="14.25" customHeight="1">
      <c r="A295" s="427"/>
      <c r="B295" s="122" t="s">
        <v>61</v>
      </c>
      <c r="C295" s="180" t="s">
        <v>137</v>
      </c>
      <c r="D295" s="48" t="s">
        <v>56</v>
      </c>
      <c r="E295" s="441"/>
      <c r="F295" s="118" t="s">
        <v>67</v>
      </c>
      <c r="G295" s="225"/>
      <c r="H295" s="126"/>
      <c r="I295" s="126"/>
      <c r="J295" s="475"/>
      <c r="K295" s="18"/>
      <c r="L295" s="18"/>
      <c r="M295" s="211"/>
      <c r="N295" s="215"/>
      <c r="O295" s="126"/>
      <c r="P295" s="126"/>
      <c r="Q295" s="126"/>
      <c r="R295" s="436"/>
      <c r="S295" s="436"/>
      <c r="T295" s="18"/>
      <c r="U295" s="18"/>
      <c r="V295" s="127">
        <f t="shared" si="15"/>
        <v>5844</v>
      </c>
      <c r="W295" s="45"/>
      <c r="X295" s="67"/>
    </row>
    <row r="296" spans="1:24" ht="14.25" customHeight="1">
      <c r="A296" s="427"/>
      <c r="B296" s="122" t="s">
        <v>125</v>
      </c>
      <c r="C296" s="180" t="s">
        <v>88</v>
      </c>
      <c r="D296" s="48" t="s">
        <v>124</v>
      </c>
      <c r="E296" s="441"/>
      <c r="F296" s="118" t="s">
        <v>64</v>
      </c>
      <c r="G296" s="225"/>
      <c r="H296" s="126"/>
      <c r="I296" s="126"/>
      <c r="J296" s="475"/>
      <c r="K296" s="18"/>
      <c r="L296" s="18"/>
      <c r="M296" s="211">
        <v>51200</v>
      </c>
      <c r="N296" s="215">
        <v>7</v>
      </c>
      <c r="O296" s="126"/>
      <c r="P296" s="126"/>
      <c r="Q296" s="126"/>
      <c r="R296" s="436"/>
      <c r="S296" s="436"/>
      <c r="T296" s="18"/>
      <c r="U296" s="18"/>
      <c r="V296" s="127">
        <f t="shared" si="15"/>
        <v>23615</v>
      </c>
      <c r="W296" s="45"/>
      <c r="X296" s="67"/>
    </row>
    <row r="297" spans="1:24" ht="14.25" customHeight="1">
      <c r="A297" s="427"/>
      <c r="B297" s="137" t="s">
        <v>47</v>
      </c>
      <c r="C297" s="157" t="s">
        <v>100</v>
      </c>
      <c r="D297" s="48" t="s">
        <v>99</v>
      </c>
      <c r="E297" s="441"/>
      <c r="F297" s="118" t="s">
        <v>71</v>
      </c>
      <c r="G297" s="225"/>
      <c r="H297" s="126"/>
      <c r="I297" s="126"/>
      <c r="J297" s="475"/>
      <c r="K297" s="18"/>
      <c r="L297" s="18"/>
      <c r="M297" s="211">
        <v>11200</v>
      </c>
      <c r="N297" s="215">
        <v>2</v>
      </c>
      <c r="O297" s="126">
        <f>May!BU326</f>
        <v>3000</v>
      </c>
      <c r="P297" s="126">
        <f>May!BV326</f>
        <v>2044</v>
      </c>
      <c r="Q297" s="126">
        <f>May!BT326</f>
        <v>7</v>
      </c>
      <c r="R297" s="436"/>
      <c r="S297" s="436"/>
      <c r="T297" s="18"/>
      <c r="U297" s="18"/>
      <c r="V297" s="127">
        <f t="shared" si="15"/>
        <v>24859</v>
      </c>
      <c r="W297" s="45"/>
      <c r="X297" s="67"/>
    </row>
    <row r="298" spans="1:24" ht="15" customHeight="1">
      <c r="A298" s="427"/>
      <c r="B298" s="122" t="s">
        <v>196</v>
      </c>
      <c r="C298" s="180" t="s">
        <v>63</v>
      </c>
      <c r="D298" s="48" t="s">
        <v>135</v>
      </c>
      <c r="E298" s="441"/>
      <c r="F298" s="118" t="s">
        <v>64</v>
      </c>
      <c r="G298" s="226"/>
      <c r="H298" s="126"/>
      <c r="I298" s="126"/>
      <c r="J298" s="475"/>
      <c r="K298" s="18"/>
      <c r="L298" s="18"/>
      <c r="M298" s="211">
        <v>33200</v>
      </c>
      <c r="N298" s="211">
        <v>4</v>
      </c>
      <c r="O298" s="126"/>
      <c r="P298" s="126"/>
      <c r="Q298" s="126"/>
      <c r="R298" s="436"/>
      <c r="S298" s="436"/>
      <c r="T298" s="18"/>
      <c r="U298" s="18"/>
      <c r="V298" s="127">
        <f t="shared" ref="V298:V303" si="16">O298-T298-U298+V270</f>
        <v>14761</v>
      </c>
      <c r="W298" s="45"/>
      <c r="X298" s="67"/>
    </row>
    <row r="299" spans="1:24" ht="15" customHeight="1">
      <c r="A299" s="427"/>
      <c r="B299" s="122" t="s">
        <v>363</v>
      </c>
      <c r="C299" s="180" t="s">
        <v>325</v>
      </c>
      <c r="D299" s="48" t="s">
        <v>328</v>
      </c>
      <c r="E299" s="441"/>
      <c r="F299" s="118" t="s">
        <v>48</v>
      </c>
      <c r="G299" s="226"/>
      <c r="H299" s="126">
        <v>288</v>
      </c>
      <c r="I299" s="126"/>
      <c r="J299" s="475"/>
      <c r="K299" s="18"/>
      <c r="L299" s="18"/>
      <c r="M299" s="211"/>
      <c r="N299" s="211"/>
      <c r="O299" s="126"/>
      <c r="P299" s="126">
        <f>May!BV332</f>
        <v>611</v>
      </c>
      <c r="Q299" s="126">
        <f>May!BT332</f>
        <v>2</v>
      </c>
      <c r="R299" s="436"/>
      <c r="S299" s="436"/>
      <c r="T299" s="18"/>
      <c r="U299" s="18"/>
      <c r="V299" s="127">
        <f t="shared" si="16"/>
        <v>0</v>
      </c>
      <c r="W299" s="45"/>
      <c r="X299" s="67"/>
    </row>
    <row r="300" spans="1:24" ht="15" customHeight="1">
      <c r="A300" s="427"/>
      <c r="B300" s="122" t="s">
        <v>253</v>
      </c>
      <c r="C300" s="180" t="s">
        <v>365</v>
      </c>
      <c r="D300" s="48" t="s">
        <v>246</v>
      </c>
      <c r="E300" s="441"/>
      <c r="F300" s="118" t="s">
        <v>247</v>
      </c>
      <c r="G300" s="226"/>
      <c r="H300" s="126"/>
      <c r="I300" s="126"/>
      <c r="J300" s="475"/>
      <c r="K300" s="18"/>
      <c r="L300" s="18"/>
      <c r="M300" s="211"/>
      <c r="N300" s="211"/>
      <c r="O300" s="126"/>
      <c r="P300" s="126">
        <f>May!BV327</f>
        <v>997</v>
      </c>
      <c r="Q300" s="126">
        <f>May!BT327</f>
        <v>4</v>
      </c>
      <c r="R300" s="436"/>
      <c r="S300" s="436"/>
      <c r="T300" s="18"/>
      <c r="U300" s="18"/>
      <c r="V300" s="127">
        <f t="shared" si="16"/>
        <v>7999</v>
      </c>
      <c r="W300" s="45"/>
      <c r="X300" s="67"/>
    </row>
    <row r="301" spans="1:24" ht="15" customHeight="1">
      <c r="A301" s="427"/>
      <c r="B301" s="122" t="s">
        <v>366</v>
      </c>
      <c r="C301" s="180" t="s">
        <v>367</v>
      </c>
      <c r="D301" s="48" t="s">
        <v>132</v>
      </c>
      <c r="E301" s="441"/>
      <c r="F301" s="118" t="s">
        <v>64</v>
      </c>
      <c r="G301" s="170">
        <v>385.95</v>
      </c>
      <c r="H301" s="126"/>
      <c r="I301" s="126"/>
      <c r="J301" s="475"/>
      <c r="K301" s="18">
        <v>4500</v>
      </c>
      <c r="L301" s="18">
        <v>1</v>
      </c>
      <c r="M301" s="211"/>
      <c r="N301" s="211"/>
      <c r="O301" s="126">
        <f>May!BU331</f>
        <v>1500</v>
      </c>
      <c r="P301" s="126">
        <f>May!BV331</f>
        <v>683</v>
      </c>
      <c r="Q301" s="126">
        <f>May!BT331</f>
        <v>2</v>
      </c>
      <c r="R301" s="436"/>
      <c r="S301" s="436"/>
      <c r="T301" s="18"/>
      <c r="U301" s="18"/>
      <c r="V301" s="18">
        <f t="shared" si="16"/>
        <v>1500</v>
      </c>
      <c r="W301" s="45"/>
      <c r="X301" s="67"/>
    </row>
    <row r="302" spans="1:24" ht="15" customHeight="1">
      <c r="A302" s="427"/>
      <c r="B302" s="122" t="s">
        <v>101</v>
      </c>
      <c r="C302" s="180" t="s">
        <v>327</v>
      </c>
      <c r="D302" s="48" t="s">
        <v>102</v>
      </c>
      <c r="E302" s="441"/>
      <c r="F302" s="118" t="s">
        <v>64</v>
      </c>
      <c r="G302" s="119"/>
      <c r="H302" s="126"/>
      <c r="I302" s="126"/>
      <c r="J302" s="475"/>
      <c r="K302" s="18"/>
      <c r="L302" s="18"/>
      <c r="M302" s="211">
        <v>28000</v>
      </c>
      <c r="N302" s="211">
        <v>4</v>
      </c>
      <c r="O302" s="126">
        <f>May!BU330</f>
        <v>3259</v>
      </c>
      <c r="P302" s="126">
        <f>May!BV330</f>
        <v>1564</v>
      </c>
      <c r="Q302" s="126">
        <f>May!BT330</f>
        <v>4</v>
      </c>
      <c r="R302" s="436"/>
      <c r="S302" s="436"/>
      <c r="T302" s="18"/>
      <c r="U302" s="18"/>
      <c r="V302" s="18">
        <f t="shared" si="16"/>
        <v>3661</v>
      </c>
      <c r="W302" s="45"/>
      <c r="X302" s="67"/>
    </row>
    <row r="303" spans="1:24" s="4" customFormat="1" ht="15" customHeight="1">
      <c r="A303" s="427"/>
      <c r="B303" s="122" t="s">
        <v>375</v>
      </c>
      <c r="C303" s="157" t="s">
        <v>376</v>
      </c>
      <c r="D303" s="48" t="s">
        <v>248</v>
      </c>
      <c r="E303" s="441"/>
      <c r="F303" s="48" t="s">
        <v>64</v>
      </c>
      <c r="G303" s="37">
        <v>4007.1</v>
      </c>
      <c r="H303" s="34"/>
      <c r="I303" s="34"/>
      <c r="J303" s="475"/>
      <c r="K303" s="211"/>
      <c r="L303" s="211"/>
      <c r="M303" s="211">
        <v>44000</v>
      </c>
      <c r="N303" s="211">
        <v>11</v>
      </c>
      <c r="O303" s="34">
        <f>May!BU333</f>
        <v>500</v>
      </c>
      <c r="P303" s="34">
        <f>May!BV333</f>
        <v>574</v>
      </c>
      <c r="Q303" s="34">
        <f>May!BT333</f>
        <v>1</v>
      </c>
      <c r="R303" s="436"/>
      <c r="S303" s="436"/>
      <c r="T303" s="211">
        <v>500</v>
      </c>
      <c r="U303" s="211"/>
      <c r="V303" s="211">
        <f t="shared" si="16"/>
        <v>0</v>
      </c>
      <c r="W303" s="260"/>
      <c r="X303" s="67"/>
    </row>
    <row r="304" spans="1:24" ht="15" customHeight="1">
      <c r="A304" s="427"/>
      <c r="B304" s="122" t="s">
        <v>103</v>
      </c>
      <c r="C304" s="157" t="s">
        <v>197</v>
      </c>
      <c r="D304" s="48" t="s">
        <v>104</v>
      </c>
      <c r="E304" s="441"/>
      <c r="F304" s="118" t="s">
        <v>105</v>
      </c>
      <c r="G304" s="119"/>
      <c r="H304" s="126"/>
      <c r="I304" s="126"/>
      <c r="J304" s="475"/>
      <c r="K304" s="18"/>
      <c r="L304" s="18"/>
      <c r="M304" s="211"/>
      <c r="N304" s="211"/>
      <c r="O304" s="126"/>
      <c r="P304" s="126"/>
      <c r="Q304" s="126">
        <f>May!BT335</f>
        <v>1</v>
      </c>
      <c r="R304" s="436"/>
      <c r="S304" s="436"/>
      <c r="T304" s="18"/>
      <c r="U304" s="18"/>
      <c r="V304" s="18"/>
      <c r="W304" s="45"/>
      <c r="X304" s="67"/>
    </row>
    <row r="305" spans="1:25" ht="15" customHeight="1">
      <c r="A305" s="427"/>
      <c r="B305" s="137" t="s">
        <v>112</v>
      </c>
      <c r="C305" s="157" t="s">
        <v>197</v>
      </c>
      <c r="D305" s="48" t="s">
        <v>104</v>
      </c>
      <c r="E305" s="441"/>
      <c r="F305" s="118" t="s">
        <v>113</v>
      </c>
      <c r="G305" s="119"/>
      <c r="H305" s="126"/>
      <c r="I305" s="126"/>
      <c r="J305" s="475"/>
      <c r="K305" s="18"/>
      <c r="L305" s="18"/>
      <c r="M305" s="211"/>
      <c r="N305" s="211"/>
      <c r="O305" s="126"/>
      <c r="P305" s="126"/>
      <c r="Q305" s="126">
        <f>May!BT337</f>
        <v>1</v>
      </c>
      <c r="R305" s="436"/>
      <c r="S305" s="436"/>
      <c r="T305" s="18"/>
      <c r="U305" s="18"/>
      <c r="V305" s="18"/>
      <c r="W305" s="45"/>
      <c r="X305" s="67"/>
    </row>
    <row r="306" spans="1:25" ht="15" customHeight="1" thickBot="1">
      <c r="A306" s="428"/>
      <c r="B306" s="44" t="s">
        <v>107</v>
      </c>
      <c r="C306" s="181" t="s">
        <v>195</v>
      </c>
      <c r="D306" s="61" t="s">
        <v>108</v>
      </c>
      <c r="E306" s="447"/>
      <c r="F306" s="133" t="s">
        <v>48</v>
      </c>
      <c r="G306" s="132"/>
      <c r="H306" s="109"/>
      <c r="I306" s="134"/>
      <c r="J306" s="476"/>
      <c r="K306" s="130"/>
      <c r="L306" s="130"/>
      <c r="M306" s="130"/>
      <c r="N306" s="130"/>
      <c r="O306" s="134"/>
      <c r="P306" s="134"/>
      <c r="Q306" s="134"/>
      <c r="R306" s="437"/>
      <c r="S306" s="437"/>
      <c r="T306" s="130"/>
      <c r="U306" s="130"/>
      <c r="V306" s="128">
        <f t="shared" ref="V306:V312" si="17">O306-T306-U306+V278</f>
        <v>903</v>
      </c>
      <c r="W306" s="85"/>
      <c r="X306" s="67"/>
    </row>
    <row r="307" spans="1:25" ht="15" customHeight="1">
      <c r="A307" s="426">
        <v>46158</v>
      </c>
      <c r="B307" s="429" t="s">
        <v>44</v>
      </c>
      <c r="C307" s="432" t="s">
        <v>240</v>
      </c>
      <c r="D307" s="19" t="s">
        <v>37</v>
      </c>
      <c r="E307" s="19" t="s">
        <v>25</v>
      </c>
      <c r="F307" s="39" t="s">
        <v>40</v>
      </c>
      <c r="G307" s="41"/>
      <c r="H307" s="32">
        <v>4608</v>
      </c>
      <c r="I307" s="32"/>
      <c r="J307" s="32"/>
      <c r="K307" s="20"/>
      <c r="L307" s="20"/>
      <c r="M307" s="20">
        <v>160800</v>
      </c>
      <c r="N307" s="84">
        <v>20</v>
      </c>
      <c r="O307" s="32">
        <f>May!BX311</f>
        <v>27906</v>
      </c>
      <c r="P307" s="32">
        <f>May!BY311</f>
        <v>30312</v>
      </c>
      <c r="Q307" s="32">
        <f>May!BW311</f>
        <v>86</v>
      </c>
      <c r="R307" s="435">
        <f>May!BX340</f>
        <v>75455</v>
      </c>
      <c r="S307" s="435">
        <f>May!BY340</f>
        <v>77764</v>
      </c>
      <c r="T307" s="20">
        <v>60347</v>
      </c>
      <c r="U307" s="20">
        <v>29</v>
      </c>
      <c r="V307" s="20">
        <f>O307-T307-U307+V279</f>
        <v>128702</v>
      </c>
      <c r="W307" s="77"/>
      <c r="X307" s="36"/>
    </row>
    <row r="308" spans="1:25" ht="15" customHeight="1">
      <c r="A308" s="427"/>
      <c r="B308" s="430"/>
      <c r="C308" s="433"/>
      <c r="D308" s="113" t="s">
        <v>128</v>
      </c>
      <c r="E308" s="438" t="s">
        <v>24</v>
      </c>
      <c r="F308" s="118" t="s">
        <v>40</v>
      </c>
      <c r="G308" s="38"/>
      <c r="H308" s="126"/>
      <c r="I308" s="125"/>
      <c r="J308" s="125"/>
      <c r="K308" s="18"/>
      <c r="L308" s="127"/>
      <c r="M308" s="216"/>
      <c r="N308" s="238"/>
      <c r="O308" s="126">
        <f>May!BX312</f>
        <v>6427</v>
      </c>
      <c r="P308" s="125">
        <f>May!BY312</f>
        <v>3611</v>
      </c>
      <c r="Q308" s="125">
        <f>May!BW312</f>
        <v>12</v>
      </c>
      <c r="R308" s="436"/>
      <c r="S308" s="436"/>
      <c r="T308" s="127"/>
      <c r="U308" s="127"/>
      <c r="V308" s="127">
        <f t="shared" si="17"/>
        <v>28418</v>
      </c>
      <c r="W308" s="46"/>
      <c r="X308" s="67"/>
    </row>
    <row r="309" spans="1:25" ht="15" customHeight="1">
      <c r="A309" s="427"/>
      <c r="B309" s="431"/>
      <c r="C309" s="434"/>
      <c r="D309" s="113" t="s">
        <v>307</v>
      </c>
      <c r="E309" s="431"/>
      <c r="F309" s="118" t="s">
        <v>40</v>
      </c>
      <c r="G309" s="135"/>
      <c r="H309" s="158"/>
      <c r="I309" s="125"/>
      <c r="J309" s="125"/>
      <c r="K309" s="127">
        <v>40000</v>
      </c>
      <c r="L309" s="127">
        <v>5</v>
      </c>
      <c r="M309" s="216">
        <v>167400</v>
      </c>
      <c r="N309" s="238">
        <v>21</v>
      </c>
      <c r="O309" s="126">
        <f>May!BX313</f>
        <v>18444</v>
      </c>
      <c r="P309" s="125">
        <f>May!BY313</f>
        <v>24023</v>
      </c>
      <c r="Q309" s="125">
        <f>May!BW313</f>
        <v>66</v>
      </c>
      <c r="R309" s="436"/>
      <c r="S309" s="436"/>
      <c r="T309" s="127"/>
      <c r="U309" s="127"/>
      <c r="V309" s="127">
        <f t="shared" si="17"/>
        <v>61293</v>
      </c>
      <c r="W309" s="46"/>
      <c r="X309" s="67"/>
    </row>
    <row r="310" spans="1:25" ht="15" customHeight="1">
      <c r="A310" s="427"/>
      <c r="B310" s="442" t="s">
        <v>45</v>
      </c>
      <c r="C310" s="471" t="s">
        <v>59</v>
      </c>
      <c r="D310" s="118" t="s">
        <v>75</v>
      </c>
      <c r="E310" s="438" t="s">
        <v>25</v>
      </c>
      <c r="F310" s="131" t="s">
        <v>57</v>
      </c>
      <c r="G310" s="87"/>
      <c r="H310" s="152"/>
      <c r="I310" s="126"/>
      <c r="J310" s="2"/>
      <c r="K310" s="127"/>
      <c r="L310" s="18"/>
      <c r="M310" s="18">
        <v>46620</v>
      </c>
      <c r="N310" s="80">
        <v>9</v>
      </c>
      <c r="O310" s="126"/>
      <c r="P310" s="126">
        <f>May!BY317</f>
        <v>242</v>
      </c>
      <c r="Q310" s="2">
        <f>May!BW317</f>
        <v>1</v>
      </c>
      <c r="R310" s="436"/>
      <c r="S310" s="436"/>
      <c r="T310" s="18"/>
      <c r="U310" s="18"/>
      <c r="V310" s="127">
        <f t="shared" si="17"/>
        <v>9792</v>
      </c>
      <c r="W310" s="46"/>
      <c r="Y310" s="13"/>
    </row>
    <row r="311" spans="1:25" ht="15" customHeight="1">
      <c r="A311" s="427"/>
      <c r="B311" s="439"/>
      <c r="C311" s="471"/>
      <c r="D311" s="118" t="s">
        <v>291</v>
      </c>
      <c r="E311" s="430"/>
      <c r="F311" s="131" t="s">
        <v>57</v>
      </c>
      <c r="G311" s="87"/>
      <c r="H311" s="152"/>
      <c r="I311" s="126"/>
      <c r="J311" s="2"/>
      <c r="K311" s="127"/>
      <c r="L311" s="18"/>
      <c r="M311" s="18">
        <v>9800</v>
      </c>
      <c r="N311" s="80">
        <v>2</v>
      </c>
      <c r="O311" s="126">
        <f>May!BX318</f>
        <v>3821</v>
      </c>
      <c r="P311" s="126">
        <f>May!BY318</f>
        <v>2485</v>
      </c>
      <c r="Q311" s="2">
        <f>May!BW318</f>
        <v>11</v>
      </c>
      <c r="R311" s="436"/>
      <c r="S311" s="436"/>
      <c r="T311" s="18">
        <v>12605</v>
      </c>
      <c r="U311" s="18">
        <v>9</v>
      </c>
      <c r="V311" s="127">
        <f t="shared" si="17"/>
        <v>28677</v>
      </c>
      <c r="W311" s="46"/>
      <c r="Y311" s="13"/>
    </row>
    <row r="312" spans="1:25">
      <c r="A312" s="427"/>
      <c r="B312" s="439"/>
      <c r="C312" s="471"/>
      <c r="D312" s="118" t="s">
        <v>72</v>
      </c>
      <c r="E312" s="155" t="s">
        <v>24</v>
      </c>
      <c r="F312" s="131" t="s">
        <v>57</v>
      </c>
      <c r="G312" s="224"/>
      <c r="H312" s="152"/>
      <c r="I312" s="126"/>
      <c r="J312" s="126"/>
      <c r="K312" s="127"/>
      <c r="L312" s="18"/>
      <c r="M312" s="18">
        <v>75000</v>
      </c>
      <c r="N312" s="80">
        <v>15</v>
      </c>
      <c r="O312" s="126">
        <f>May!BX319</f>
        <v>656</v>
      </c>
      <c r="P312" s="126">
        <f>May!BY319</f>
        <v>1938</v>
      </c>
      <c r="Q312" s="126">
        <f>May!BW319</f>
        <v>9</v>
      </c>
      <c r="R312" s="436"/>
      <c r="S312" s="436"/>
      <c r="T312" s="18"/>
      <c r="U312" s="18"/>
      <c r="V312" s="127">
        <f t="shared" si="17"/>
        <v>11121</v>
      </c>
      <c r="W312" s="46"/>
      <c r="Y312" s="13"/>
    </row>
    <row r="313" spans="1:25" ht="14.25" customHeight="1">
      <c r="A313" s="427"/>
      <c r="B313" s="439"/>
      <c r="C313" s="471"/>
      <c r="D313" s="115" t="s">
        <v>79</v>
      </c>
      <c r="E313" s="118" t="s">
        <v>65</v>
      </c>
      <c r="F313" s="131" t="s">
        <v>57</v>
      </c>
      <c r="G313" s="224"/>
      <c r="H313" s="126"/>
      <c r="I313" s="126"/>
      <c r="J313" s="126"/>
      <c r="K313" s="18"/>
      <c r="L313" s="18"/>
      <c r="M313" s="18"/>
      <c r="N313" s="80"/>
      <c r="O313" s="126"/>
      <c r="P313" s="126"/>
      <c r="Q313" s="126">
        <f>May!BW320</f>
        <v>1</v>
      </c>
      <c r="R313" s="436"/>
      <c r="S313" s="436"/>
      <c r="T313" s="18"/>
      <c r="U313" s="18"/>
      <c r="V313" s="127"/>
      <c r="W313" s="45"/>
      <c r="X313" s="36"/>
    </row>
    <row r="314" spans="1:25" ht="14.25" customHeight="1">
      <c r="A314" s="427"/>
      <c r="B314" s="439"/>
      <c r="C314" s="448" t="s">
        <v>299</v>
      </c>
      <c r="D314" s="115" t="s">
        <v>296</v>
      </c>
      <c r="E314" s="424" t="s">
        <v>25</v>
      </c>
      <c r="F314" s="131" t="s">
        <v>298</v>
      </c>
      <c r="G314" s="224"/>
      <c r="H314" s="37"/>
      <c r="I314" s="126"/>
      <c r="J314" s="126"/>
      <c r="K314" s="18"/>
      <c r="L314" s="18"/>
      <c r="M314" s="18"/>
      <c r="N314" s="80"/>
      <c r="O314" s="126"/>
      <c r="P314" s="126">
        <f>May!BY321</f>
        <v>539</v>
      </c>
      <c r="Q314" s="126">
        <f>May!BW321</f>
        <v>2</v>
      </c>
      <c r="R314" s="436"/>
      <c r="S314" s="436"/>
      <c r="T314" s="18"/>
      <c r="U314" s="18"/>
      <c r="V314" s="127">
        <f>O314-T314-U314+V286</f>
        <v>548</v>
      </c>
      <c r="W314" s="45"/>
      <c r="X314" s="67"/>
    </row>
    <row r="315" spans="1:25" ht="14.25" customHeight="1">
      <c r="A315" s="427"/>
      <c r="B315" s="443"/>
      <c r="C315" s="449"/>
      <c r="D315" s="115" t="s">
        <v>75</v>
      </c>
      <c r="E315" s="425"/>
      <c r="F315" s="131" t="s">
        <v>298</v>
      </c>
      <c r="G315" s="224"/>
      <c r="H315" s="37"/>
      <c r="I315" s="126"/>
      <c r="J315" s="126"/>
      <c r="K315" s="18"/>
      <c r="L315" s="18"/>
      <c r="M315" s="18"/>
      <c r="N315" s="80"/>
      <c r="O315" s="126"/>
      <c r="P315" s="126">
        <f>May!BY322</f>
        <v>550</v>
      </c>
      <c r="Q315" s="126">
        <f>May!BW322</f>
        <v>2</v>
      </c>
      <c r="R315" s="436"/>
      <c r="S315" s="436"/>
      <c r="T315" s="18"/>
      <c r="U315" s="18"/>
      <c r="V315" s="127">
        <f>O315-T315-U315+V287</f>
        <v>0</v>
      </c>
      <c r="W315" s="45"/>
      <c r="X315" s="67"/>
    </row>
    <row r="316" spans="1:25" ht="14.25" customHeight="1">
      <c r="A316" s="427"/>
      <c r="B316" s="442" t="s">
        <v>53</v>
      </c>
      <c r="C316" s="444" t="s">
        <v>60</v>
      </c>
      <c r="D316" s="43" t="s">
        <v>130</v>
      </c>
      <c r="E316" s="424" t="s">
        <v>66</v>
      </c>
      <c r="F316" s="118" t="s">
        <v>54</v>
      </c>
      <c r="G316" s="224"/>
      <c r="H316" s="37"/>
      <c r="I316" s="126"/>
      <c r="J316" s="126"/>
      <c r="K316" s="18"/>
      <c r="L316" s="18"/>
      <c r="M316" s="18"/>
      <c r="N316" s="80"/>
      <c r="O316" s="126">
        <f>May!BX314</f>
        <v>7345</v>
      </c>
      <c r="P316" s="126">
        <f>May!BY314</f>
        <v>3792</v>
      </c>
      <c r="Q316" s="126">
        <f>May!BW314</f>
        <v>12</v>
      </c>
      <c r="R316" s="436"/>
      <c r="S316" s="436"/>
      <c r="T316" s="18"/>
      <c r="U316" s="18"/>
      <c r="V316" s="127">
        <f>O316-T316-U316+V288</f>
        <v>10556</v>
      </c>
      <c r="W316" s="45"/>
      <c r="X316" s="67"/>
    </row>
    <row r="317" spans="1:25" ht="14.25" customHeight="1">
      <c r="A317" s="427"/>
      <c r="B317" s="439"/>
      <c r="C317" s="445"/>
      <c r="D317" s="43" t="s">
        <v>320</v>
      </c>
      <c r="E317" s="425"/>
      <c r="F317" s="118" t="s">
        <v>54</v>
      </c>
      <c r="G317" s="224"/>
      <c r="H317" s="37"/>
      <c r="I317" s="126"/>
      <c r="J317" s="126"/>
      <c r="K317" s="18"/>
      <c r="L317" s="18"/>
      <c r="M317" s="18">
        <v>77500</v>
      </c>
      <c r="N317" s="80">
        <v>13</v>
      </c>
      <c r="O317" s="126">
        <f>May!BX315</f>
        <v>1170</v>
      </c>
      <c r="P317" s="126">
        <f>May!BY315</f>
        <v>2213</v>
      </c>
      <c r="Q317" s="126">
        <f>May!BW315</f>
        <v>7</v>
      </c>
      <c r="R317" s="436"/>
      <c r="S317" s="436"/>
      <c r="T317" s="18"/>
      <c r="U317" s="18"/>
      <c r="V317" s="127">
        <f>O317-T317-U317+V289</f>
        <v>4770</v>
      </c>
      <c r="W317" s="45"/>
      <c r="X317" s="67"/>
    </row>
    <row r="318" spans="1:25" ht="14.25" customHeight="1">
      <c r="A318" s="427"/>
      <c r="B318" s="439"/>
      <c r="C318" s="445"/>
      <c r="D318" s="43" t="s">
        <v>199</v>
      </c>
      <c r="E318" s="118" t="s">
        <v>25</v>
      </c>
      <c r="F318" s="118" t="s">
        <v>54</v>
      </c>
      <c r="G318" s="225"/>
      <c r="H318" s="37"/>
      <c r="I318" s="126"/>
      <c r="J318" s="126"/>
      <c r="K318" s="18"/>
      <c r="L318" s="18"/>
      <c r="M318" s="18"/>
      <c r="N318" s="80"/>
      <c r="O318" s="126">
        <f>May!BX316</f>
        <v>68</v>
      </c>
      <c r="P318" s="126"/>
      <c r="Q318" s="126"/>
      <c r="R318" s="436"/>
      <c r="S318" s="436"/>
      <c r="T318" s="18"/>
      <c r="U318" s="18"/>
      <c r="V318" s="127">
        <f>O318-T318-U318+V290</f>
        <v>68</v>
      </c>
      <c r="W318" s="45"/>
      <c r="X318" s="67"/>
    </row>
    <row r="319" spans="1:25" ht="14.25" customHeight="1">
      <c r="A319" s="427"/>
      <c r="B319" s="443"/>
      <c r="C319" s="446"/>
      <c r="D319" s="43" t="s">
        <v>324</v>
      </c>
      <c r="E319" s="114" t="s">
        <v>65</v>
      </c>
      <c r="F319" s="115"/>
      <c r="G319" s="235"/>
      <c r="H319" s="158">
        <v>612</v>
      </c>
      <c r="I319" s="158"/>
      <c r="J319" s="158"/>
      <c r="K319" s="128"/>
      <c r="L319" s="128"/>
      <c r="M319" s="128"/>
      <c r="N319" s="164"/>
      <c r="O319" s="158"/>
      <c r="P319" s="158"/>
      <c r="Q319" s="158"/>
      <c r="R319" s="436"/>
      <c r="S319" s="436"/>
      <c r="T319" s="18"/>
      <c r="U319" s="18"/>
      <c r="V319" s="127"/>
      <c r="W319" s="45"/>
      <c r="X319" s="67"/>
    </row>
    <row r="320" spans="1:25" ht="15.75" customHeight="1">
      <c r="A320" s="427"/>
      <c r="B320" s="122" t="s">
        <v>55</v>
      </c>
      <c r="C320" s="180" t="s">
        <v>133</v>
      </c>
      <c r="D320" s="48" t="s">
        <v>56</v>
      </c>
      <c r="E320" s="424" t="s">
        <v>25</v>
      </c>
      <c r="F320" s="118" t="s">
        <v>67</v>
      </c>
      <c r="G320" s="226"/>
      <c r="H320" s="126"/>
      <c r="I320" s="126"/>
      <c r="J320" s="2"/>
      <c r="K320" s="18"/>
      <c r="L320" s="18"/>
      <c r="M320" s="18">
        <v>2800</v>
      </c>
      <c r="N320" s="18">
        <v>1</v>
      </c>
      <c r="O320" s="126"/>
      <c r="P320" s="126"/>
      <c r="Q320" s="126"/>
      <c r="R320" s="436"/>
      <c r="S320" s="436"/>
      <c r="T320" s="18"/>
      <c r="U320" s="18"/>
      <c r="V320" s="127">
        <f t="shared" ref="V320:V331" si="18">O320-T320-U320+V291</f>
        <v>500</v>
      </c>
      <c r="W320" s="45"/>
      <c r="X320" s="67"/>
    </row>
    <row r="321" spans="1:24" ht="15.75" customHeight="1">
      <c r="A321" s="427"/>
      <c r="B321" s="122" t="s">
        <v>55</v>
      </c>
      <c r="C321" s="180" t="s">
        <v>316</v>
      </c>
      <c r="D321" s="48" t="s">
        <v>317</v>
      </c>
      <c r="E321" s="441"/>
      <c r="F321" s="118" t="s">
        <v>67</v>
      </c>
      <c r="G321" s="226"/>
      <c r="H321" s="126"/>
      <c r="I321" s="126"/>
      <c r="J321" s="2"/>
      <c r="K321" s="18"/>
      <c r="L321" s="18"/>
      <c r="M321" s="18"/>
      <c r="N321" s="18"/>
      <c r="O321" s="126"/>
      <c r="P321" s="126"/>
      <c r="Q321" s="126"/>
      <c r="R321" s="436"/>
      <c r="S321" s="436"/>
      <c r="T321" s="18"/>
      <c r="U321" s="18"/>
      <c r="V321" s="127">
        <f t="shared" si="18"/>
        <v>450</v>
      </c>
      <c r="W321" s="45"/>
      <c r="X321" s="67"/>
    </row>
    <row r="322" spans="1:24" ht="15" customHeight="1">
      <c r="A322" s="427"/>
      <c r="B322" s="122" t="s">
        <v>122</v>
      </c>
      <c r="C322" s="180" t="s">
        <v>123</v>
      </c>
      <c r="D322" s="48" t="s">
        <v>56</v>
      </c>
      <c r="E322" s="441"/>
      <c r="F322" s="155" t="s">
        <v>64</v>
      </c>
      <c r="G322" s="119"/>
      <c r="H322" s="126"/>
      <c r="I322" s="126"/>
      <c r="J322" s="2"/>
      <c r="K322" s="18"/>
      <c r="L322" s="18"/>
      <c r="M322" s="18">
        <v>6400</v>
      </c>
      <c r="N322" s="18">
        <v>2</v>
      </c>
      <c r="O322" s="126"/>
      <c r="P322" s="126"/>
      <c r="Q322" s="126"/>
      <c r="R322" s="436"/>
      <c r="S322" s="436"/>
      <c r="T322" s="18"/>
      <c r="U322" s="18"/>
      <c r="V322" s="127">
        <f t="shared" si="18"/>
        <v>21764</v>
      </c>
      <c r="W322" s="45"/>
      <c r="X322" s="67"/>
    </row>
    <row r="323" spans="1:24" ht="14.25" customHeight="1">
      <c r="A323" s="427"/>
      <c r="B323" s="137" t="s">
        <v>58</v>
      </c>
      <c r="C323" s="157" t="s">
        <v>243</v>
      </c>
      <c r="D323" s="48" t="s">
        <v>56</v>
      </c>
      <c r="E323" s="441"/>
      <c r="F323" s="118" t="s">
        <v>64</v>
      </c>
      <c r="G323" s="225"/>
      <c r="H323" s="126"/>
      <c r="I323" s="126"/>
      <c r="J323" s="126"/>
      <c r="K323" s="18"/>
      <c r="L323" s="18"/>
      <c r="M323" s="18"/>
      <c r="N323" s="80"/>
      <c r="O323" s="126"/>
      <c r="P323" s="126"/>
      <c r="Q323" s="126"/>
      <c r="R323" s="436"/>
      <c r="S323" s="436"/>
      <c r="T323" s="18"/>
      <c r="U323" s="18"/>
      <c r="V323" s="127">
        <f t="shared" si="18"/>
        <v>8562</v>
      </c>
      <c r="W323" s="45"/>
      <c r="X323" s="67"/>
    </row>
    <row r="324" spans="1:24" ht="14.25" customHeight="1">
      <c r="A324" s="427"/>
      <c r="B324" s="122" t="s">
        <v>61</v>
      </c>
      <c r="C324" s="180" t="s">
        <v>137</v>
      </c>
      <c r="D324" s="48" t="s">
        <v>56</v>
      </c>
      <c r="E324" s="441"/>
      <c r="F324" s="118" t="s">
        <v>67</v>
      </c>
      <c r="G324" s="225"/>
      <c r="H324" s="126"/>
      <c r="I324" s="126"/>
      <c r="J324" s="126"/>
      <c r="K324" s="18"/>
      <c r="L324" s="18"/>
      <c r="M324" s="18"/>
      <c r="N324" s="80"/>
      <c r="O324" s="126"/>
      <c r="P324" s="126"/>
      <c r="Q324" s="126"/>
      <c r="R324" s="436"/>
      <c r="S324" s="436"/>
      <c r="T324" s="18"/>
      <c r="U324" s="18"/>
      <c r="V324" s="127">
        <f t="shared" si="18"/>
        <v>5844</v>
      </c>
      <c r="W324" s="45"/>
      <c r="X324" s="67"/>
    </row>
    <row r="325" spans="1:24" ht="14.25" customHeight="1">
      <c r="A325" s="427"/>
      <c r="B325" s="122" t="s">
        <v>125</v>
      </c>
      <c r="C325" s="180" t="s">
        <v>88</v>
      </c>
      <c r="D325" s="48" t="s">
        <v>124</v>
      </c>
      <c r="E325" s="441"/>
      <c r="F325" s="118" t="s">
        <v>64</v>
      </c>
      <c r="G325" s="225"/>
      <c r="H325" s="126"/>
      <c r="I325" s="126"/>
      <c r="J325" s="126"/>
      <c r="K325" s="18"/>
      <c r="L325" s="18"/>
      <c r="M325" s="18">
        <v>51200</v>
      </c>
      <c r="N325" s="80">
        <v>7</v>
      </c>
      <c r="O325" s="126"/>
      <c r="P325" s="126"/>
      <c r="Q325" s="126"/>
      <c r="R325" s="436"/>
      <c r="S325" s="436"/>
      <c r="T325" s="18"/>
      <c r="U325" s="18"/>
      <c r="V325" s="127">
        <f t="shared" si="18"/>
        <v>23615</v>
      </c>
      <c r="W325" s="45"/>
      <c r="X325" s="67"/>
    </row>
    <row r="326" spans="1:24" ht="14.25" customHeight="1">
      <c r="A326" s="427"/>
      <c r="B326" s="137" t="s">
        <v>47</v>
      </c>
      <c r="C326" s="157" t="s">
        <v>100</v>
      </c>
      <c r="D326" s="48" t="s">
        <v>99</v>
      </c>
      <c r="E326" s="441"/>
      <c r="F326" s="118" t="s">
        <v>71</v>
      </c>
      <c r="G326" s="225"/>
      <c r="H326" s="126"/>
      <c r="I326" s="126"/>
      <c r="J326" s="126"/>
      <c r="K326" s="18"/>
      <c r="L326" s="18"/>
      <c r="M326" s="18">
        <v>11200</v>
      </c>
      <c r="N326" s="80">
        <v>2</v>
      </c>
      <c r="O326" s="126">
        <f>May!BX326</f>
        <v>4500</v>
      </c>
      <c r="P326" s="126">
        <f>May!BY326</f>
        <v>1940</v>
      </c>
      <c r="Q326" s="126">
        <f>May!BW326</f>
        <v>7</v>
      </c>
      <c r="R326" s="436"/>
      <c r="S326" s="436"/>
      <c r="T326" s="18"/>
      <c r="U326" s="18"/>
      <c r="V326" s="127">
        <f t="shared" si="18"/>
        <v>29359</v>
      </c>
      <c r="W326" s="45"/>
      <c r="X326" s="67"/>
    </row>
    <row r="327" spans="1:24" ht="15" customHeight="1">
      <c r="A327" s="427"/>
      <c r="B327" s="122" t="s">
        <v>196</v>
      </c>
      <c r="C327" s="180" t="s">
        <v>63</v>
      </c>
      <c r="D327" s="48" t="s">
        <v>135</v>
      </c>
      <c r="E327" s="441"/>
      <c r="F327" s="118" t="s">
        <v>64</v>
      </c>
      <c r="G327" s="226"/>
      <c r="H327" s="126"/>
      <c r="I327" s="126"/>
      <c r="J327" s="2"/>
      <c r="K327" s="18"/>
      <c r="L327" s="18"/>
      <c r="M327" s="18">
        <v>33200</v>
      </c>
      <c r="N327" s="18">
        <v>4</v>
      </c>
      <c r="O327" s="126"/>
      <c r="P327" s="126"/>
      <c r="Q327" s="126"/>
      <c r="R327" s="436"/>
      <c r="S327" s="436"/>
      <c r="T327" s="18"/>
      <c r="U327" s="18"/>
      <c r="V327" s="127">
        <f t="shared" si="18"/>
        <v>14761</v>
      </c>
      <c r="W327" s="45"/>
      <c r="X327" s="67"/>
    </row>
    <row r="328" spans="1:24" ht="15" customHeight="1">
      <c r="A328" s="427"/>
      <c r="B328" s="122" t="s">
        <v>363</v>
      </c>
      <c r="C328" s="180" t="s">
        <v>325</v>
      </c>
      <c r="D328" s="48" t="s">
        <v>328</v>
      </c>
      <c r="E328" s="441"/>
      <c r="F328" s="118" t="s">
        <v>48</v>
      </c>
      <c r="G328" s="226"/>
      <c r="H328" s="126"/>
      <c r="I328" s="126"/>
      <c r="J328" s="2"/>
      <c r="K328" s="18"/>
      <c r="L328" s="18"/>
      <c r="M328" s="18"/>
      <c r="N328" s="18"/>
      <c r="O328" s="126">
        <f>May!BX332</f>
        <v>1000</v>
      </c>
      <c r="P328" s="126">
        <f>May!BY332</f>
        <v>583</v>
      </c>
      <c r="Q328" s="126">
        <f>May!BW332</f>
        <v>2</v>
      </c>
      <c r="R328" s="436"/>
      <c r="S328" s="436"/>
      <c r="T328" s="18"/>
      <c r="U328" s="18"/>
      <c r="V328" s="127">
        <f t="shared" si="18"/>
        <v>1000</v>
      </c>
      <c r="W328" s="45"/>
      <c r="X328" s="67"/>
    </row>
    <row r="329" spans="1:24" ht="15" customHeight="1">
      <c r="A329" s="427"/>
      <c r="B329" s="122" t="s">
        <v>253</v>
      </c>
      <c r="C329" s="180" t="s">
        <v>365</v>
      </c>
      <c r="D329" s="48" t="s">
        <v>246</v>
      </c>
      <c r="E329" s="441"/>
      <c r="F329" s="118" t="s">
        <v>247</v>
      </c>
      <c r="G329" s="226"/>
      <c r="H329" s="126"/>
      <c r="I329" s="126"/>
      <c r="J329" s="2"/>
      <c r="K329" s="18"/>
      <c r="L329" s="18"/>
      <c r="M329" s="18"/>
      <c r="N329" s="18"/>
      <c r="O329" s="126">
        <f>May!BX327</f>
        <v>2941</v>
      </c>
      <c r="P329" s="126">
        <f>May!BY327</f>
        <v>920</v>
      </c>
      <c r="Q329" s="126">
        <f>May!BW327</f>
        <v>4</v>
      </c>
      <c r="R329" s="436"/>
      <c r="S329" s="436"/>
      <c r="T329" s="18"/>
      <c r="U329" s="18"/>
      <c r="V329" s="127">
        <f t="shared" si="18"/>
        <v>10940</v>
      </c>
      <c r="W329" s="45"/>
      <c r="X329" s="67"/>
    </row>
    <row r="330" spans="1:24" ht="15" customHeight="1">
      <c r="A330" s="427"/>
      <c r="B330" s="122" t="s">
        <v>366</v>
      </c>
      <c r="C330" s="180" t="s">
        <v>367</v>
      </c>
      <c r="D330" s="48" t="s">
        <v>132</v>
      </c>
      <c r="E330" s="441"/>
      <c r="F330" s="118" t="s">
        <v>64</v>
      </c>
      <c r="G330" s="119"/>
      <c r="H330" s="126"/>
      <c r="I330" s="126"/>
      <c r="J330" s="2"/>
      <c r="K330" s="18"/>
      <c r="L330" s="18"/>
      <c r="M330" s="18"/>
      <c r="N330" s="18"/>
      <c r="O330" s="126">
        <f>May!BX331</f>
        <v>377</v>
      </c>
      <c r="P330" s="126">
        <f>May!BY331</f>
        <v>781</v>
      </c>
      <c r="Q330" s="126">
        <f>May!BW331</f>
        <v>2</v>
      </c>
      <c r="R330" s="436"/>
      <c r="S330" s="436"/>
      <c r="T330" s="18"/>
      <c r="U330" s="18"/>
      <c r="V330" s="18">
        <f t="shared" si="18"/>
        <v>1877</v>
      </c>
      <c r="W330" s="45"/>
      <c r="X330" s="67"/>
    </row>
    <row r="331" spans="1:24" ht="15" customHeight="1">
      <c r="A331" s="427"/>
      <c r="B331" s="122" t="s">
        <v>101</v>
      </c>
      <c r="C331" s="180" t="s">
        <v>327</v>
      </c>
      <c r="D331" s="48" t="s">
        <v>102</v>
      </c>
      <c r="E331" s="441"/>
      <c r="F331" s="118" t="s">
        <v>64</v>
      </c>
      <c r="G331" s="119"/>
      <c r="H331" s="126">
        <v>493</v>
      </c>
      <c r="I331" s="126"/>
      <c r="J331" s="2"/>
      <c r="K331" s="18">
        <v>14000</v>
      </c>
      <c r="L331" s="18">
        <v>2</v>
      </c>
      <c r="M331" s="18">
        <v>14000</v>
      </c>
      <c r="N331" s="18">
        <v>2</v>
      </c>
      <c r="O331" s="126"/>
      <c r="P331" s="126">
        <f>May!BY330</f>
        <v>2048</v>
      </c>
      <c r="Q331" s="126">
        <f>May!BW330</f>
        <v>6</v>
      </c>
      <c r="R331" s="436"/>
      <c r="S331" s="436"/>
      <c r="T331" s="18"/>
      <c r="U331" s="18"/>
      <c r="V331" s="18">
        <f t="shared" si="18"/>
        <v>3661</v>
      </c>
      <c r="W331" s="45"/>
      <c r="X331" s="67"/>
    </row>
    <row r="332" spans="1:24" s="4" customFormat="1" ht="15" customHeight="1">
      <c r="A332" s="427"/>
      <c r="B332" s="122" t="s">
        <v>375</v>
      </c>
      <c r="C332" s="157" t="s">
        <v>376</v>
      </c>
      <c r="D332" s="48" t="s">
        <v>248</v>
      </c>
      <c r="E332" s="441"/>
      <c r="F332" s="48" t="s">
        <v>64</v>
      </c>
      <c r="G332" s="122"/>
      <c r="H332" s="34">
        <v>378</v>
      </c>
      <c r="I332" s="34"/>
      <c r="J332" s="6"/>
      <c r="K332" s="211">
        <v>24000</v>
      </c>
      <c r="L332" s="211">
        <v>6</v>
      </c>
      <c r="M332" s="211">
        <v>20000</v>
      </c>
      <c r="N332" s="211">
        <v>5</v>
      </c>
      <c r="O332" s="34">
        <f>May!BX333</f>
        <v>800</v>
      </c>
      <c r="P332" s="34">
        <f>May!BY333</f>
        <v>1787</v>
      </c>
      <c r="Q332" s="34">
        <f>May!BW333</f>
        <v>7</v>
      </c>
      <c r="R332" s="436"/>
      <c r="S332" s="436"/>
      <c r="T332" s="211"/>
      <c r="U332" s="211"/>
      <c r="V332" s="211">
        <f>O332-T332-U332+V303</f>
        <v>800</v>
      </c>
      <c r="W332" s="260"/>
      <c r="X332" s="67"/>
    </row>
    <row r="333" spans="1:24" s="4" customFormat="1" ht="15" customHeight="1">
      <c r="A333" s="427"/>
      <c r="B333" s="442" t="s">
        <v>289</v>
      </c>
      <c r="C333" s="444" t="s">
        <v>290</v>
      </c>
      <c r="D333" s="48" t="s">
        <v>75</v>
      </c>
      <c r="E333" s="441"/>
      <c r="F333" s="48" t="s">
        <v>381</v>
      </c>
      <c r="G333" s="170">
        <v>167.88</v>
      </c>
      <c r="H333" s="34"/>
      <c r="I333" s="34"/>
      <c r="J333" s="6"/>
      <c r="K333" s="211"/>
      <c r="L333" s="211"/>
      <c r="M333" s="211">
        <v>2000</v>
      </c>
      <c r="N333" s="211">
        <v>1</v>
      </c>
      <c r="O333" s="34"/>
      <c r="P333" s="34"/>
      <c r="Q333" s="34"/>
      <c r="R333" s="436"/>
      <c r="S333" s="436"/>
      <c r="T333" s="211"/>
      <c r="U333" s="211"/>
      <c r="V333" s="211"/>
      <c r="W333" s="260"/>
      <c r="X333" s="67"/>
    </row>
    <row r="334" spans="1:24" s="4" customFormat="1" ht="15" customHeight="1">
      <c r="A334" s="427"/>
      <c r="B334" s="443"/>
      <c r="C334" s="446"/>
      <c r="D334" s="48" t="s">
        <v>329</v>
      </c>
      <c r="E334" s="441"/>
      <c r="F334" s="48"/>
      <c r="G334" s="122"/>
      <c r="H334" s="293">
        <v>61.2</v>
      </c>
      <c r="I334" s="34"/>
      <c r="J334" s="6"/>
      <c r="K334" s="211"/>
      <c r="L334" s="211"/>
      <c r="M334" s="211"/>
      <c r="N334" s="211"/>
      <c r="O334" s="34"/>
      <c r="P334" s="34"/>
      <c r="Q334" s="34"/>
      <c r="R334" s="436"/>
      <c r="S334" s="436"/>
      <c r="T334" s="211"/>
      <c r="U334" s="211"/>
      <c r="V334" s="211"/>
      <c r="W334" s="260"/>
      <c r="X334" s="67"/>
    </row>
    <row r="335" spans="1:24" ht="15" customHeight="1">
      <c r="A335" s="427"/>
      <c r="B335" s="122" t="s">
        <v>103</v>
      </c>
      <c r="C335" s="157" t="s">
        <v>197</v>
      </c>
      <c r="D335" s="48" t="s">
        <v>104</v>
      </c>
      <c r="E335" s="441"/>
      <c r="F335" s="118" t="s">
        <v>105</v>
      </c>
      <c r="G335" s="119"/>
      <c r="H335" s="126"/>
      <c r="I335" s="126"/>
      <c r="J335" s="2"/>
      <c r="K335" s="18"/>
      <c r="L335" s="18"/>
      <c r="M335" s="18"/>
      <c r="N335" s="18"/>
      <c r="O335" s="126"/>
      <c r="P335" s="126"/>
      <c r="Q335" s="126">
        <f>May!BW335</f>
        <v>1</v>
      </c>
      <c r="R335" s="436"/>
      <c r="S335" s="436"/>
      <c r="T335" s="18"/>
      <c r="U335" s="18"/>
      <c r="V335" s="18"/>
      <c r="W335" s="45"/>
      <c r="X335" s="67"/>
    </row>
    <row r="336" spans="1:24" ht="15" customHeight="1">
      <c r="A336" s="427"/>
      <c r="B336" s="137" t="s">
        <v>112</v>
      </c>
      <c r="C336" s="157" t="s">
        <v>197</v>
      </c>
      <c r="D336" s="48" t="s">
        <v>104</v>
      </c>
      <c r="E336" s="441"/>
      <c r="F336" s="118" t="s">
        <v>113</v>
      </c>
      <c r="G336" s="119"/>
      <c r="H336" s="126"/>
      <c r="I336" s="126"/>
      <c r="J336" s="2"/>
      <c r="K336" s="18"/>
      <c r="L336" s="18"/>
      <c r="M336" s="18"/>
      <c r="N336" s="18"/>
      <c r="O336" s="126"/>
      <c r="P336" s="126"/>
      <c r="Q336" s="126">
        <f>May!BW337</f>
        <v>1</v>
      </c>
      <c r="R336" s="436"/>
      <c r="S336" s="436"/>
      <c r="T336" s="18"/>
      <c r="U336" s="18"/>
      <c r="V336" s="18"/>
      <c r="W336" s="45"/>
      <c r="X336" s="67"/>
    </row>
    <row r="337" spans="1:25" ht="15" customHeight="1" thickBot="1">
      <c r="A337" s="428"/>
      <c r="B337" s="44" t="s">
        <v>107</v>
      </c>
      <c r="C337" s="181" t="s">
        <v>195</v>
      </c>
      <c r="D337" s="61" t="s">
        <v>108</v>
      </c>
      <c r="E337" s="447"/>
      <c r="F337" s="133" t="s">
        <v>48</v>
      </c>
      <c r="G337" s="132"/>
      <c r="H337" s="109"/>
      <c r="I337" s="134"/>
      <c r="J337" s="129"/>
      <c r="K337" s="130"/>
      <c r="L337" s="130"/>
      <c r="M337" s="130"/>
      <c r="N337" s="130"/>
      <c r="O337" s="134"/>
      <c r="P337" s="134"/>
      <c r="Q337" s="134"/>
      <c r="R337" s="437"/>
      <c r="S337" s="437"/>
      <c r="T337" s="130"/>
      <c r="U337" s="130"/>
      <c r="V337" s="128">
        <f t="shared" ref="V337:V343" si="19">O337-T337-U337+V306</f>
        <v>903</v>
      </c>
      <c r="W337" s="85"/>
      <c r="X337" s="67"/>
    </row>
    <row r="338" spans="1:25" ht="15" customHeight="1">
      <c r="A338" s="426">
        <v>46160</v>
      </c>
      <c r="B338" s="429" t="s">
        <v>44</v>
      </c>
      <c r="C338" s="432" t="s">
        <v>240</v>
      </c>
      <c r="D338" s="19" t="s">
        <v>37</v>
      </c>
      <c r="E338" s="19" t="s">
        <v>25</v>
      </c>
      <c r="F338" s="39" t="s">
        <v>40</v>
      </c>
      <c r="G338" s="41">
        <v>4398.4799999999996</v>
      </c>
      <c r="H338" s="32"/>
      <c r="I338" s="32"/>
      <c r="J338" s="32"/>
      <c r="K338" s="20">
        <v>48000</v>
      </c>
      <c r="L338" s="20">
        <v>6</v>
      </c>
      <c r="M338" s="20">
        <v>176800</v>
      </c>
      <c r="N338" s="84">
        <v>22</v>
      </c>
      <c r="O338" s="32">
        <f>May!CD311</f>
        <v>37126</v>
      </c>
      <c r="P338" s="32">
        <f>May!CE311</f>
        <v>34571</v>
      </c>
      <c r="Q338" s="32">
        <f>May!CC311</f>
        <v>92</v>
      </c>
      <c r="R338" s="435">
        <f>May!CD340</f>
        <v>88087</v>
      </c>
      <c r="S338" s="435">
        <f>May!CE340</f>
        <v>82791</v>
      </c>
      <c r="T338" s="20">
        <v>34106</v>
      </c>
      <c r="U338" s="20">
        <v>27</v>
      </c>
      <c r="V338" s="20">
        <f>O338-T338-U338+V307</f>
        <v>131695</v>
      </c>
      <c r="W338" s="77"/>
      <c r="X338" s="36"/>
    </row>
    <row r="339" spans="1:25" ht="15" customHeight="1">
      <c r="A339" s="427"/>
      <c r="B339" s="430"/>
      <c r="C339" s="433"/>
      <c r="D339" s="113" t="s">
        <v>128</v>
      </c>
      <c r="E339" s="438" t="s">
        <v>24</v>
      </c>
      <c r="F339" s="118" t="s">
        <v>40</v>
      </c>
      <c r="G339" s="38"/>
      <c r="H339" s="126"/>
      <c r="I339" s="125"/>
      <c r="J339" s="125"/>
      <c r="K339" s="18"/>
      <c r="L339" s="127"/>
      <c r="M339" s="216"/>
      <c r="N339" s="238"/>
      <c r="O339" s="126">
        <f>May!CD312</f>
        <v>8436</v>
      </c>
      <c r="P339" s="125">
        <f>May!CE312</f>
        <v>1323</v>
      </c>
      <c r="Q339" s="125">
        <f>May!CC312</f>
        <v>5</v>
      </c>
      <c r="R339" s="436"/>
      <c r="S339" s="436"/>
      <c r="T339" s="127">
        <v>9299</v>
      </c>
      <c r="U339" s="127"/>
      <c r="V339" s="127">
        <f t="shared" si="19"/>
        <v>27555</v>
      </c>
      <c r="W339" s="46"/>
      <c r="X339" s="67"/>
    </row>
    <row r="340" spans="1:25" ht="15" customHeight="1">
      <c r="A340" s="427"/>
      <c r="B340" s="431"/>
      <c r="C340" s="434"/>
      <c r="D340" s="113" t="s">
        <v>307</v>
      </c>
      <c r="E340" s="431"/>
      <c r="F340" s="118" t="s">
        <v>40</v>
      </c>
      <c r="G340" s="135"/>
      <c r="H340" s="158">
        <v>3900</v>
      </c>
      <c r="I340" s="125"/>
      <c r="J340" s="125"/>
      <c r="K340" s="127">
        <v>16000</v>
      </c>
      <c r="L340" s="127">
        <v>2</v>
      </c>
      <c r="M340" s="216">
        <v>151400</v>
      </c>
      <c r="N340" s="238">
        <v>19</v>
      </c>
      <c r="O340" s="126">
        <f>May!CD313</f>
        <v>17192</v>
      </c>
      <c r="P340" s="125">
        <f>May!CE313</f>
        <v>24728</v>
      </c>
      <c r="Q340" s="125">
        <f>May!CC313</f>
        <v>65</v>
      </c>
      <c r="R340" s="436"/>
      <c r="S340" s="436"/>
      <c r="T340" s="127">
        <v>25202</v>
      </c>
      <c r="U340" s="127">
        <v>15</v>
      </c>
      <c r="V340" s="127">
        <f t="shared" si="19"/>
        <v>53268</v>
      </c>
      <c r="W340" s="46"/>
      <c r="X340" s="67"/>
    </row>
    <row r="341" spans="1:25" ht="15" customHeight="1">
      <c r="A341" s="427"/>
      <c r="B341" s="442" t="s">
        <v>45</v>
      </c>
      <c r="C341" s="471" t="s">
        <v>59</v>
      </c>
      <c r="D341" s="118" t="s">
        <v>75</v>
      </c>
      <c r="E341" s="438" t="s">
        <v>25</v>
      </c>
      <c r="F341" s="131" t="s">
        <v>57</v>
      </c>
      <c r="G341" s="87"/>
      <c r="H341" s="152"/>
      <c r="I341" s="126"/>
      <c r="J341" s="2"/>
      <c r="K341" s="127">
        <v>10360</v>
      </c>
      <c r="L341" s="18">
        <v>2</v>
      </c>
      <c r="M341" s="18">
        <v>36260</v>
      </c>
      <c r="N341" s="80">
        <v>7</v>
      </c>
      <c r="O341" s="126"/>
      <c r="P341" s="126">
        <f>May!CE317</f>
        <v>629</v>
      </c>
      <c r="Q341" s="2">
        <f>May!CC317</f>
        <v>3</v>
      </c>
      <c r="R341" s="436"/>
      <c r="S341" s="436"/>
      <c r="T341" s="18">
        <v>7370</v>
      </c>
      <c r="U341" s="18">
        <v>11</v>
      </c>
      <c r="V341" s="127">
        <f t="shared" si="19"/>
        <v>2411</v>
      </c>
      <c r="W341" s="46"/>
      <c r="Y341" s="13"/>
    </row>
    <row r="342" spans="1:25" ht="15" customHeight="1">
      <c r="A342" s="427"/>
      <c r="B342" s="439"/>
      <c r="C342" s="471"/>
      <c r="D342" s="118" t="s">
        <v>291</v>
      </c>
      <c r="E342" s="430"/>
      <c r="F342" s="131" t="s">
        <v>57</v>
      </c>
      <c r="G342" s="87"/>
      <c r="H342" s="152"/>
      <c r="I342" s="126"/>
      <c r="J342" s="2"/>
      <c r="K342" s="127">
        <v>9800</v>
      </c>
      <c r="L342" s="18">
        <v>2</v>
      </c>
      <c r="M342" s="18"/>
      <c r="N342" s="80"/>
      <c r="O342" s="126">
        <f>May!CD318</f>
        <v>4959</v>
      </c>
      <c r="P342" s="126">
        <f>May!CE318</f>
        <v>2177</v>
      </c>
      <c r="Q342" s="2">
        <f>May!CC318</f>
        <v>9</v>
      </c>
      <c r="R342" s="436"/>
      <c r="S342" s="436"/>
      <c r="T342" s="18">
        <v>5895</v>
      </c>
      <c r="U342" s="18"/>
      <c r="V342" s="127">
        <f t="shared" si="19"/>
        <v>27741</v>
      </c>
      <c r="W342" s="46"/>
      <c r="Y342" s="13"/>
    </row>
    <row r="343" spans="1:25">
      <c r="A343" s="427"/>
      <c r="B343" s="439"/>
      <c r="C343" s="471"/>
      <c r="D343" s="118" t="s">
        <v>72</v>
      </c>
      <c r="E343" s="155" t="s">
        <v>24</v>
      </c>
      <c r="F343" s="131" t="s">
        <v>57</v>
      </c>
      <c r="G343" s="224"/>
      <c r="H343" s="152"/>
      <c r="I343" s="126"/>
      <c r="J343" s="126"/>
      <c r="K343" s="127"/>
      <c r="L343" s="18"/>
      <c r="M343" s="18">
        <v>75000</v>
      </c>
      <c r="N343" s="80">
        <v>15</v>
      </c>
      <c r="O343" s="126">
        <f>May!CD319</f>
        <v>851</v>
      </c>
      <c r="P343" s="126">
        <f>May!CE319</f>
        <v>2073</v>
      </c>
      <c r="Q343" s="126">
        <f>May!CC319</f>
        <v>9</v>
      </c>
      <c r="R343" s="436"/>
      <c r="S343" s="436"/>
      <c r="T343" s="18"/>
      <c r="U343" s="18"/>
      <c r="V343" s="127">
        <f t="shared" si="19"/>
        <v>11972</v>
      </c>
      <c r="W343" s="46"/>
      <c r="Y343" s="13"/>
    </row>
    <row r="344" spans="1:25" ht="14.25" customHeight="1">
      <c r="A344" s="427"/>
      <c r="B344" s="439"/>
      <c r="C344" s="471"/>
      <c r="D344" s="115" t="s">
        <v>79</v>
      </c>
      <c r="E344" s="118" t="s">
        <v>65</v>
      </c>
      <c r="F344" s="131" t="s">
        <v>57</v>
      </c>
      <c r="G344" s="224"/>
      <c r="H344" s="126"/>
      <c r="I344" s="126"/>
      <c r="J344" s="126"/>
      <c r="K344" s="18"/>
      <c r="L344" s="18"/>
      <c r="M344" s="18"/>
      <c r="N344" s="80"/>
      <c r="O344" s="126"/>
      <c r="P344" s="126"/>
      <c r="Q344" s="126">
        <f>May!CC320</f>
        <v>1</v>
      </c>
      <c r="R344" s="436"/>
      <c r="S344" s="436"/>
      <c r="T344" s="18"/>
      <c r="U344" s="18"/>
      <c r="V344" s="127"/>
      <c r="W344" s="45"/>
      <c r="X344" s="36"/>
    </row>
    <row r="345" spans="1:25" ht="14.25" customHeight="1">
      <c r="A345" s="427"/>
      <c r="B345" s="439"/>
      <c r="C345" s="448" t="s">
        <v>299</v>
      </c>
      <c r="D345" s="115" t="s">
        <v>296</v>
      </c>
      <c r="E345" s="424" t="s">
        <v>25</v>
      </c>
      <c r="F345" s="131" t="s">
        <v>298</v>
      </c>
      <c r="G345" s="224"/>
      <c r="H345" s="37"/>
      <c r="I345" s="126"/>
      <c r="J345" s="126"/>
      <c r="K345" s="18"/>
      <c r="L345" s="18"/>
      <c r="M345" s="18"/>
      <c r="N345" s="80"/>
      <c r="O345" s="126"/>
      <c r="P345" s="126">
        <f>May!CE321</f>
        <v>566</v>
      </c>
      <c r="Q345" s="126">
        <f>May!CC321</f>
        <v>2</v>
      </c>
      <c r="R345" s="436"/>
      <c r="S345" s="436"/>
      <c r="T345" s="18"/>
      <c r="U345" s="18"/>
      <c r="V345" s="127">
        <f>O345-T345-U345+V314</f>
        <v>548</v>
      </c>
      <c r="W345" s="45"/>
      <c r="X345" s="67"/>
    </row>
    <row r="346" spans="1:25" ht="14.25" customHeight="1">
      <c r="A346" s="427"/>
      <c r="B346" s="443"/>
      <c r="C346" s="449"/>
      <c r="D346" s="115" t="s">
        <v>75</v>
      </c>
      <c r="E346" s="425"/>
      <c r="F346" s="131" t="s">
        <v>298</v>
      </c>
      <c r="G346" s="224"/>
      <c r="H346" s="37"/>
      <c r="I346" s="126"/>
      <c r="J346" s="126"/>
      <c r="K346" s="18"/>
      <c r="L346" s="18"/>
      <c r="M346" s="18"/>
      <c r="N346" s="80"/>
      <c r="O346" s="126">
        <f>May!CD322</f>
        <v>2200</v>
      </c>
      <c r="P346" s="126">
        <f>May!CE322</f>
        <v>578</v>
      </c>
      <c r="Q346" s="126">
        <f>May!CC322</f>
        <v>2</v>
      </c>
      <c r="R346" s="436"/>
      <c r="S346" s="436"/>
      <c r="T346" s="18"/>
      <c r="U346" s="18"/>
      <c r="V346" s="127">
        <f>O346-T346-U346+V315</f>
        <v>2200</v>
      </c>
      <c r="W346" s="45"/>
      <c r="X346" s="67"/>
    </row>
    <row r="347" spans="1:25" ht="14.25" customHeight="1">
      <c r="A347" s="427"/>
      <c r="B347" s="442" t="s">
        <v>53</v>
      </c>
      <c r="C347" s="444" t="s">
        <v>60</v>
      </c>
      <c r="D347" s="43" t="s">
        <v>130</v>
      </c>
      <c r="E347" s="424" t="s">
        <v>66</v>
      </c>
      <c r="F347" s="118" t="s">
        <v>54</v>
      </c>
      <c r="G347" s="224"/>
      <c r="H347" s="37"/>
      <c r="I347" s="126"/>
      <c r="J347" s="126"/>
      <c r="K347" s="18"/>
      <c r="L347" s="18"/>
      <c r="M347" s="18"/>
      <c r="N347" s="80"/>
      <c r="O347" s="126">
        <f>May!CD314</f>
        <v>5030</v>
      </c>
      <c r="P347" s="126">
        <f>May!CE314</f>
        <v>3005</v>
      </c>
      <c r="Q347" s="126">
        <f>May!CC314</f>
        <v>9</v>
      </c>
      <c r="R347" s="436"/>
      <c r="S347" s="436"/>
      <c r="T347" s="18">
        <v>7345</v>
      </c>
      <c r="U347" s="18"/>
      <c r="V347" s="127">
        <f>O347-T347-U347+V316</f>
        <v>8241</v>
      </c>
      <c r="W347" s="45"/>
      <c r="X347" s="67"/>
    </row>
    <row r="348" spans="1:25" ht="14.25" customHeight="1">
      <c r="A348" s="427"/>
      <c r="B348" s="439"/>
      <c r="C348" s="445"/>
      <c r="D348" s="43" t="s">
        <v>320</v>
      </c>
      <c r="E348" s="425"/>
      <c r="F348" s="118" t="s">
        <v>54</v>
      </c>
      <c r="G348" s="224"/>
      <c r="H348" s="37"/>
      <c r="I348" s="126"/>
      <c r="J348" s="126"/>
      <c r="K348" s="18"/>
      <c r="L348" s="18"/>
      <c r="M348" s="18">
        <v>77500</v>
      </c>
      <c r="N348" s="80">
        <v>13</v>
      </c>
      <c r="O348" s="126">
        <f>May!CD315</f>
        <v>3649</v>
      </c>
      <c r="P348" s="126">
        <f>May!CE315</f>
        <v>1740</v>
      </c>
      <c r="Q348" s="126">
        <f>May!CC315</f>
        <v>5</v>
      </c>
      <c r="R348" s="436"/>
      <c r="S348" s="436"/>
      <c r="T348" s="18"/>
      <c r="U348" s="18"/>
      <c r="V348" s="127">
        <f>O348-T348-U348+V317</f>
        <v>8419</v>
      </c>
      <c r="W348" s="45"/>
      <c r="X348" s="67"/>
    </row>
    <row r="349" spans="1:25" ht="14.25" customHeight="1">
      <c r="A349" s="427"/>
      <c r="B349" s="439"/>
      <c r="C349" s="445"/>
      <c r="D349" s="43" t="s">
        <v>199</v>
      </c>
      <c r="E349" s="424" t="s">
        <v>25</v>
      </c>
      <c r="F349" s="118" t="s">
        <v>54</v>
      </c>
      <c r="G349" s="224"/>
      <c r="H349" s="37"/>
      <c r="I349" s="126"/>
      <c r="J349" s="126"/>
      <c r="K349" s="18"/>
      <c r="L349" s="18"/>
      <c r="M349" s="18"/>
      <c r="N349" s="80"/>
      <c r="O349" s="126"/>
      <c r="P349" s="126"/>
      <c r="Q349" s="126"/>
      <c r="R349" s="436"/>
      <c r="S349" s="436"/>
      <c r="T349" s="18"/>
      <c r="U349" s="18"/>
      <c r="V349" s="127">
        <f>O349-T349-U349+V318</f>
        <v>68</v>
      </c>
      <c r="W349" s="45"/>
      <c r="X349" s="67"/>
    </row>
    <row r="350" spans="1:25" ht="14.25" customHeight="1">
      <c r="A350" s="427"/>
      <c r="B350" s="443"/>
      <c r="C350" s="446"/>
      <c r="D350" s="43" t="s">
        <v>199</v>
      </c>
      <c r="E350" s="425"/>
      <c r="F350" s="118"/>
      <c r="G350" s="224"/>
      <c r="H350" s="158">
        <v>1836</v>
      </c>
      <c r="I350" s="158"/>
      <c r="J350" s="158"/>
      <c r="K350" s="128"/>
      <c r="L350" s="128"/>
      <c r="M350" s="128"/>
      <c r="N350" s="164"/>
      <c r="O350" s="158"/>
      <c r="P350" s="158"/>
      <c r="Q350" s="158"/>
      <c r="R350" s="436"/>
      <c r="S350" s="436"/>
      <c r="T350" s="18"/>
      <c r="U350" s="18"/>
      <c r="V350" s="127"/>
      <c r="W350" s="45"/>
      <c r="X350" s="67"/>
    </row>
    <row r="351" spans="1:25" ht="15.75" customHeight="1">
      <c r="A351" s="427"/>
      <c r="B351" s="122" t="s">
        <v>55</v>
      </c>
      <c r="C351" s="180" t="s">
        <v>133</v>
      </c>
      <c r="D351" s="48" t="s">
        <v>56</v>
      </c>
      <c r="E351" s="424" t="s">
        <v>25</v>
      </c>
      <c r="F351" s="118" t="s">
        <v>67</v>
      </c>
      <c r="G351" s="226"/>
      <c r="H351" s="126"/>
      <c r="I351" s="126"/>
      <c r="J351" s="2"/>
      <c r="K351" s="18"/>
      <c r="L351" s="18"/>
      <c r="M351" s="18">
        <v>2800</v>
      </c>
      <c r="N351" s="18">
        <v>1</v>
      </c>
      <c r="O351" s="126"/>
      <c r="P351" s="126"/>
      <c r="Q351" s="126"/>
      <c r="R351" s="436"/>
      <c r="S351" s="436"/>
      <c r="T351" s="18"/>
      <c r="U351" s="18"/>
      <c r="V351" s="127">
        <f t="shared" ref="V351:V363" si="20">O351-T351-U351+V320</f>
        <v>500</v>
      </c>
      <c r="W351" s="45"/>
      <c r="X351" s="67"/>
    </row>
    <row r="352" spans="1:25" ht="15.75" customHeight="1">
      <c r="A352" s="427"/>
      <c r="B352" s="122" t="s">
        <v>55</v>
      </c>
      <c r="C352" s="180" t="s">
        <v>316</v>
      </c>
      <c r="D352" s="48" t="s">
        <v>317</v>
      </c>
      <c r="E352" s="441"/>
      <c r="F352" s="155" t="s">
        <v>67</v>
      </c>
      <c r="G352" s="226"/>
      <c r="H352" s="126"/>
      <c r="I352" s="126"/>
      <c r="J352" s="2"/>
      <c r="K352" s="18"/>
      <c r="L352" s="18"/>
      <c r="M352" s="18"/>
      <c r="N352" s="18"/>
      <c r="O352" s="126"/>
      <c r="P352" s="126"/>
      <c r="Q352" s="126"/>
      <c r="R352" s="436"/>
      <c r="S352" s="436"/>
      <c r="T352" s="18"/>
      <c r="U352" s="18"/>
      <c r="V352" s="127">
        <f t="shared" si="20"/>
        <v>450</v>
      </c>
      <c r="W352" s="45"/>
      <c r="X352" s="67"/>
    </row>
    <row r="353" spans="1:24" ht="15" customHeight="1">
      <c r="A353" s="427"/>
      <c r="B353" s="122" t="s">
        <v>122</v>
      </c>
      <c r="C353" s="180" t="s">
        <v>123</v>
      </c>
      <c r="D353" s="48" t="s">
        <v>56</v>
      </c>
      <c r="E353" s="441"/>
      <c r="F353" s="155" t="s">
        <v>64</v>
      </c>
      <c r="G353" s="119"/>
      <c r="H353" s="126"/>
      <c r="I353" s="126"/>
      <c r="J353" s="2"/>
      <c r="K353" s="18"/>
      <c r="L353" s="18"/>
      <c r="M353" s="18">
        <v>6400</v>
      </c>
      <c r="N353" s="18">
        <v>2</v>
      </c>
      <c r="O353" s="126"/>
      <c r="P353" s="126"/>
      <c r="Q353" s="126"/>
      <c r="R353" s="436"/>
      <c r="S353" s="436"/>
      <c r="T353" s="18"/>
      <c r="U353" s="18"/>
      <c r="V353" s="127">
        <f t="shared" si="20"/>
        <v>21764</v>
      </c>
      <c r="W353" s="45"/>
      <c r="X353" s="67"/>
    </row>
    <row r="354" spans="1:24" ht="14.25" customHeight="1">
      <c r="A354" s="427"/>
      <c r="B354" s="137" t="s">
        <v>58</v>
      </c>
      <c r="C354" s="157" t="s">
        <v>243</v>
      </c>
      <c r="D354" s="48" t="s">
        <v>56</v>
      </c>
      <c r="E354" s="441"/>
      <c r="F354" s="118" t="s">
        <v>64</v>
      </c>
      <c r="G354" s="225"/>
      <c r="H354" s="126"/>
      <c r="I354" s="126"/>
      <c r="J354" s="126"/>
      <c r="K354" s="18"/>
      <c r="L354" s="18"/>
      <c r="M354" s="18"/>
      <c r="N354" s="80"/>
      <c r="O354" s="126"/>
      <c r="P354" s="126"/>
      <c r="Q354" s="126"/>
      <c r="R354" s="436"/>
      <c r="S354" s="436"/>
      <c r="T354" s="18"/>
      <c r="U354" s="18"/>
      <c r="V354" s="127">
        <f t="shared" si="20"/>
        <v>8562</v>
      </c>
      <c r="W354" s="45"/>
      <c r="X354" s="67"/>
    </row>
    <row r="355" spans="1:24" ht="14.25" customHeight="1">
      <c r="A355" s="427"/>
      <c r="B355" s="122" t="s">
        <v>61</v>
      </c>
      <c r="C355" s="180" t="s">
        <v>137</v>
      </c>
      <c r="D355" s="48" t="s">
        <v>56</v>
      </c>
      <c r="E355" s="441"/>
      <c r="F355" s="118" t="s">
        <v>67</v>
      </c>
      <c r="G355" s="225"/>
      <c r="H355" s="126"/>
      <c r="I355" s="126"/>
      <c r="J355" s="126"/>
      <c r="K355" s="18"/>
      <c r="L355" s="18"/>
      <c r="M355" s="18"/>
      <c r="N355" s="80"/>
      <c r="O355" s="126"/>
      <c r="P355" s="126"/>
      <c r="Q355" s="126"/>
      <c r="R355" s="436"/>
      <c r="S355" s="436"/>
      <c r="T355" s="18"/>
      <c r="U355" s="18"/>
      <c r="V355" s="127">
        <f t="shared" si="20"/>
        <v>5844</v>
      </c>
      <c r="W355" s="45"/>
      <c r="X355" s="67"/>
    </row>
    <row r="356" spans="1:24" ht="14.25" customHeight="1">
      <c r="A356" s="427"/>
      <c r="B356" s="122" t="s">
        <v>125</v>
      </c>
      <c r="C356" s="180" t="s">
        <v>88</v>
      </c>
      <c r="D356" s="48" t="s">
        <v>124</v>
      </c>
      <c r="E356" s="441"/>
      <c r="F356" s="118" t="s">
        <v>64</v>
      </c>
      <c r="G356" s="225"/>
      <c r="H356" s="126"/>
      <c r="I356" s="126"/>
      <c r="J356" s="126"/>
      <c r="K356" s="18"/>
      <c r="L356" s="18"/>
      <c r="M356" s="18">
        <v>51200</v>
      </c>
      <c r="N356" s="80">
        <v>7</v>
      </c>
      <c r="O356" s="126"/>
      <c r="P356" s="126"/>
      <c r="Q356" s="126"/>
      <c r="R356" s="436"/>
      <c r="S356" s="436"/>
      <c r="T356" s="18"/>
      <c r="U356" s="18"/>
      <c r="V356" s="127">
        <f t="shared" si="20"/>
        <v>23615</v>
      </c>
      <c r="W356" s="45"/>
      <c r="X356" s="67"/>
    </row>
    <row r="357" spans="1:24" ht="14.25" customHeight="1">
      <c r="A357" s="427"/>
      <c r="B357" s="137" t="s">
        <v>47</v>
      </c>
      <c r="C357" s="157" t="s">
        <v>100</v>
      </c>
      <c r="D357" s="48" t="s">
        <v>99</v>
      </c>
      <c r="E357" s="441"/>
      <c r="F357" s="118" t="s">
        <v>71</v>
      </c>
      <c r="G357" s="225"/>
      <c r="H357" s="126"/>
      <c r="I357" s="126"/>
      <c r="J357" s="126"/>
      <c r="K357" s="18"/>
      <c r="L357" s="18"/>
      <c r="M357" s="18">
        <v>11200</v>
      </c>
      <c r="N357" s="80">
        <v>2</v>
      </c>
      <c r="O357" s="126">
        <f>May!CD326</f>
        <v>2009</v>
      </c>
      <c r="P357" s="126">
        <f>May!CE326</f>
        <v>2014</v>
      </c>
      <c r="Q357" s="126">
        <f>May!CC326</f>
        <v>7</v>
      </c>
      <c r="R357" s="436"/>
      <c r="S357" s="436"/>
      <c r="T357" s="18"/>
      <c r="U357" s="18"/>
      <c r="V357" s="127">
        <f t="shared" si="20"/>
        <v>31368</v>
      </c>
      <c r="W357" s="45"/>
      <c r="X357" s="67"/>
    </row>
    <row r="358" spans="1:24" ht="15" customHeight="1">
      <c r="A358" s="427"/>
      <c r="B358" s="122" t="s">
        <v>196</v>
      </c>
      <c r="C358" s="180" t="s">
        <v>63</v>
      </c>
      <c r="D358" s="48" t="s">
        <v>135</v>
      </c>
      <c r="E358" s="441"/>
      <c r="F358" s="118" t="s">
        <v>64</v>
      </c>
      <c r="G358" s="226"/>
      <c r="H358" s="126"/>
      <c r="I358" s="126"/>
      <c r="J358" s="2"/>
      <c r="K358" s="18">
        <v>33200</v>
      </c>
      <c r="L358" s="18">
        <v>4</v>
      </c>
      <c r="M358" s="18"/>
      <c r="N358" s="18"/>
      <c r="O358" s="126"/>
      <c r="P358" s="126">
        <f>May!CE334</f>
        <v>1186</v>
      </c>
      <c r="Q358" s="126">
        <f>May!CC334</f>
        <v>5</v>
      </c>
      <c r="R358" s="436"/>
      <c r="S358" s="436"/>
      <c r="T358" s="18"/>
      <c r="U358" s="18"/>
      <c r="V358" s="127">
        <f t="shared" si="20"/>
        <v>14761</v>
      </c>
      <c r="W358" s="45"/>
      <c r="X358" s="67"/>
    </row>
    <row r="359" spans="1:24" ht="15" customHeight="1">
      <c r="A359" s="427"/>
      <c r="B359" s="122" t="s">
        <v>363</v>
      </c>
      <c r="C359" s="180" t="s">
        <v>325</v>
      </c>
      <c r="D359" s="48" t="s">
        <v>328</v>
      </c>
      <c r="E359" s="441"/>
      <c r="F359" s="118" t="s">
        <v>48</v>
      </c>
      <c r="G359" s="226"/>
      <c r="H359" s="126"/>
      <c r="I359" s="126"/>
      <c r="J359" s="2"/>
      <c r="K359" s="18"/>
      <c r="L359" s="18"/>
      <c r="M359" s="18"/>
      <c r="N359" s="18"/>
      <c r="O359" s="126">
        <f>May!CD332</f>
        <v>1149</v>
      </c>
      <c r="P359" s="126">
        <f>May!CE332</f>
        <v>594</v>
      </c>
      <c r="Q359" s="126">
        <f>May!CC332</f>
        <v>2</v>
      </c>
      <c r="R359" s="436"/>
      <c r="S359" s="436"/>
      <c r="T359" s="18"/>
      <c r="U359" s="18"/>
      <c r="V359" s="127">
        <f t="shared" si="20"/>
        <v>2149</v>
      </c>
      <c r="W359" s="45"/>
      <c r="X359" s="67"/>
    </row>
    <row r="360" spans="1:24" ht="15" customHeight="1">
      <c r="A360" s="427"/>
      <c r="B360" s="122" t="s">
        <v>253</v>
      </c>
      <c r="C360" s="180" t="s">
        <v>365</v>
      </c>
      <c r="D360" s="48" t="s">
        <v>246</v>
      </c>
      <c r="E360" s="441"/>
      <c r="F360" s="118" t="s">
        <v>247</v>
      </c>
      <c r="G360" s="226"/>
      <c r="H360" s="126"/>
      <c r="I360" s="126"/>
      <c r="J360" s="2"/>
      <c r="K360" s="18"/>
      <c r="L360" s="18"/>
      <c r="M360" s="18"/>
      <c r="N360" s="18"/>
      <c r="O360" s="126"/>
      <c r="P360" s="126">
        <f>May!CE327</f>
        <v>971</v>
      </c>
      <c r="Q360" s="126">
        <f>May!CC327</f>
        <v>4</v>
      </c>
      <c r="R360" s="436"/>
      <c r="S360" s="436"/>
      <c r="T360" s="18"/>
      <c r="U360" s="18"/>
      <c r="V360" s="127">
        <f t="shared" si="20"/>
        <v>10940</v>
      </c>
      <c r="W360" s="45"/>
      <c r="X360" s="67"/>
    </row>
    <row r="361" spans="1:24" ht="15" customHeight="1">
      <c r="A361" s="427"/>
      <c r="B361" s="122" t="s">
        <v>366</v>
      </c>
      <c r="C361" s="180" t="s">
        <v>367</v>
      </c>
      <c r="D361" s="48" t="s">
        <v>132</v>
      </c>
      <c r="E361" s="441"/>
      <c r="F361" s="118" t="s">
        <v>64</v>
      </c>
      <c r="G361" s="119"/>
      <c r="H361" s="126"/>
      <c r="I361" s="126"/>
      <c r="J361" s="2"/>
      <c r="K361" s="18"/>
      <c r="L361" s="18"/>
      <c r="M361" s="18"/>
      <c r="N361" s="18"/>
      <c r="O361" s="126"/>
      <c r="P361" s="126">
        <f>May!CE331</f>
        <v>846</v>
      </c>
      <c r="Q361" s="126">
        <f>May!CC331</f>
        <v>2</v>
      </c>
      <c r="R361" s="436"/>
      <c r="S361" s="436"/>
      <c r="T361" s="18"/>
      <c r="U361" s="18"/>
      <c r="V361" s="18">
        <f t="shared" si="20"/>
        <v>1877</v>
      </c>
      <c r="W361" s="45"/>
      <c r="X361" s="67"/>
    </row>
    <row r="362" spans="1:24" ht="15" customHeight="1">
      <c r="A362" s="427"/>
      <c r="B362" s="122" t="s">
        <v>101</v>
      </c>
      <c r="C362" s="180" t="s">
        <v>327</v>
      </c>
      <c r="D362" s="48" t="s">
        <v>102</v>
      </c>
      <c r="E362" s="441"/>
      <c r="F362" s="118" t="s">
        <v>64</v>
      </c>
      <c r="G362" s="38">
        <v>1851.72</v>
      </c>
      <c r="H362" s="126"/>
      <c r="I362" s="126"/>
      <c r="J362" s="2"/>
      <c r="K362" s="18">
        <v>14000</v>
      </c>
      <c r="L362" s="18">
        <v>2</v>
      </c>
      <c r="M362" s="18">
        <v>28000</v>
      </c>
      <c r="N362" s="18">
        <v>4</v>
      </c>
      <c r="O362" s="126">
        <f>May!CD330</f>
        <v>3164</v>
      </c>
      <c r="P362" s="126">
        <f>May!CE330</f>
        <v>3073</v>
      </c>
      <c r="Q362" s="126">
        <f>May!CC330</f>
        <v>8</v>
      </c>
      <c r="R362" s="436"/>
      <c r="S362" s="436"/>
      <c r="T362" s="18"/>
      <c r="U362" s="18"/>
      <c r="V362" s="18">
        <f t="shared" si="20"/>
        <v>6825</v>
      </c>
      <c r="W362" s="45"/>
      <c r="X362" s="67"/>
    </row>
    <row r="363" spans="1:24" s="4" customFormat="1" ht="15" customHeight="1">
      <c r="A363" s="427"/>
      <c r="B363" s="122" t="s">
        <v>375</v>
      </c>
      <c r="C363" s="157" t="s">
        <v>376</v>
      </c>
      <c r="D363" s="48" t="s">
        <v>248</v>
      </c>
      <c r="E363" s="441"/>
      <c r="F363" s="48" t="s">
        <v>64</v>
      </c>
      <c r="G363" s="38">
        <v>4067.18</v>
      </c>
      <c r="H363" s="34">
        <v>684</v>
      </c>
      <c r="I363" s="34"/>
      <c r="J363" s="6"/>
      <c r="K363" s="211"/>
      <c r="L363" s="211"/>
      <c r="M363" s="211">
        <v>40450</v>
      </c>
      <c r="N363" s="211">
        <v>10</v>
      </c>
      <c r="O363" s="34">
        <f>May!CD333</f>
        <v>2322</v>
      </c>
      <c r="P363" s="34">
        <f>May!CE333</f>
        <v>2717</v>
      </c>
      <c r="Q363" s="34">
        <f>May!CC333</f>
        <v>12</v>
      </c>
      <c r="R363" s="436"/>
      <c r="S363" s="436"/>
      <c r="T363" s="211"/>
      <c r="U363" s="211"/>
      <c r="V363" s="211">
        <f t="shared" si="20"/>
        <v>3122</v>
      </c>
      <c r="W363" s="260"/>
      <c r="X363" s="67"/>
    </row>
    <row r="364" spans="1:24" s="4" customFormat="1" ht="15" customHeight="1">
      <c r="A364" s="427"/>
      <c r="B364" s="122" t="s">
        <v>289</v>
      </c>
      <c r="C364" s="180" t="s">
        <v>290</v>
      </c>
      <c r="D364" s="48" t="s">
        <v>75</v>
      </c>
      <c r="E364" s="441"/>
      <c r="F364" s="48" t="s">
        <v>381</v>
      </c>
      <c r="G364" s="38"/>
      <c r="H364" s="34"/>
      <c r="I364" s="34"/>
      <c r="J364" s="6"/>
      <c r="K364" s="211"/>
      <c r="L364" s="211"/>
      <c r="M364" s="211">
        <v>2000</v>
      </c>
      <c r="N364" s="211">
        <v>1</v>
      </c>
      <c r="O364" s="34"/>
      <c r="P364" s="34"/>
      <c r="Q364" s="34"/>
      <c r="R364" s="436"/>
      <c r="S364" s="436"/>
      <c r="T364" s="211"/>
      <c r="U364" s="211"/>
      <c r="V364" s="211"/>
      <c r="W364" s="260"/>
      <c r="X364" s="67"/>
    </row>
    <row r="365" spans="1:24" ht="15" customHeight="1">
      <c r="A365" s="427"/>
      <c r="B365" s="122" t="s">
        <v>103</v>
      </c>
      <c r="C365" s="157" t="s">
        <v>197</v>
      </c>
      <c r="D365" s="48" t="s">
        <v>104</v>
      </c>
      <c r="E365" s="441"/>
      <c r="F365" s="118" t="s">
        <v>105</v>
      </c>
      <c r="G365" s="119"/>
      <c r="H365" s="126"/>
      <c r="I365" s="126"/>
      <c r="J365" s="2"/>
      <c r="K365" s="18"/>
      <c r="L365" s="18"/>
      <c r="M365" s="18"/>
      <c r="N365" s="18"/>
      <c r="O365" s="126"/>
      <c r="P365" s="126"/>
      <c r="Q365" s="126">
        <f>May!CC335</f>
        <v>1</v>
      </c>
      <c r="R365" s="436"/>
      <c r="S365" s="436"/>
      <c r="T365" s="18"/>
      <c r="U365" s="18"/>
      <c r="V365" s="18"/>
      <c r="W365" s="45"/>
      <c r="X365" s="67"/>
    </row>
    <row r="366" spans="1:24" ht="15" customHeight="1">
      <c r="A366" s="427"/>
      <c r="B366" s="137" t="s">
        <v>112</v>
      </c>
      <c r="C366" s="157" t="s">
        <v>197</v>
      </c>
      <c r="D366" s="48" t="s">
        <v>104</v>
      </c>
      <c r="E366" s="441"/>
      <c r="F366" s="118" t="s">
        <v>113</v>
      </c>
      <c r="G366" s="119"/>
      <c r="H366" s="126"/>
      <c r="I366" s="126"/>
      <c r="J366" s="2"/>
      <c r="K366" s="18"/>
      <c r="L366" s="18"/>
      <c r="M366" s="18"/>
      <c r="N366" s="18"/>
      <c r="O366" s="126"/>
      <c r="P366" s="126"/>
      <c r="Q366" s="126">
        <f>May!CC337</f>
        <v>1</v>
      </c>
      <c r="R366" s="436"/>
      <c r="S366" s="436"/>
      <c r="T366" s="18"/>
      <c r="U366" s="18"/>
      <c r="V366" s="18"/>
      <c r="W366" s="45"/>
      <c r="X366" s="67"/>
    </row>
    <row r="367" spans="1:24" ht="15" customHeight="1" thickBot="1">
      <c r="A367" s="428"/>
      <c r="B367" s="44" t="s">
        <v>107</v>
      </c>
      <c r="C367" s="181" t="s">
        <v>195</v>
      </c>
      <c r="D367" s="61" t="s">
        <v>108</v>
      </c>
      <c r="E367" s="447"/>
      <c r="F367" s="133" t="s">
        <v>48</v>
      </c>
      <c r="G367" s="132"/>
      <c r="H367" s="109"/>
      <c r="I367" s="134"/>
      <c r="J367" s="129"/>
      <c r="K367" s="130"/>
      <c r="L367" s="130"/>
      <c r="M367" s="130"/>
      <c r="N367" s="130"/>
      <c r="O367" s="134"/>
      <c r="P367" s="134"/>
      <c r="Q367" s="134"/>
      <c r="R367" s="437"/>
      <c r="S367" s="437"/>
      <c r="T367" s="130"/>
      <c r="U367" s="130"/>
      <c r="V367" s="128">
        <f t="shared" ref="V367:V372" si="21">O367-T367-U367+V337</f>
        <v>903</v>
      </c>
      <c r="W367" s="85"/>
      <c r="X367" s="67"/>
    </row>
    <row r="368" spans="1:24" ht="15" customHeight="1">
      <c r="A368" s="426">
        <v>46161</v>
      </c>
      <c r="B368" s="429" t="s">
        <v>44</v>
      </c>
      <c r="C368" s="432" t="s">
        <v>240</v>
      </c>
      <c r="D368" s="19" t="s">
        <v>37</v>
      </c>
      <c r="E368" s="19" t="s">
        <v>25</v>
      </c>
      <c r="F368" s="39" t="s">
        <v>40</v>
      </c>
      <c r="G368" s="41"/>
      <c r="H368" s="32">
        <v>4016</v>
      </c>
      <c r="I368" s="462">
        <v>660</v>
      </c>
      <c r="J368" s="32"/>
      <c r="K368" s="20">
        <v>32000</v>
      </c>
      <c r="L368" s="20">
        <v>4</v>
      </c>
      <c r="M368" s="20">
        <v>144800</v>
      </c>
      <c r="N368" s="84">
        <v>18</v>
      </c>
      <c r="O368" s="32">
        <f>May!CG311</f>
        <v>33924</v>
      </c>
      <c r="P368" s="32">
        <f>May!CH311</f>
        <v>33690</v>
      </c>
      <c r="Q368" s="32">
        <f>May!CF311</f>
        <v>92</v>
      </c>
      <c r="R368" s="435">
        <f>May!CG340</f>
        <v>82577</v>
      </c>
      <c r="S368" s="435">
        <f>May!CH340</f>
        <v>83081</v>
      </c>
      <c r="T368" s="20">
        <v>9352</v>
      </c>
      <c r="U368" s="20"/>
      <c r="V368" s="20">
        <f>O368-T368-U368+V338</f>
        <v>156267</v>
      </c>
      <c r="W368" s="77"/>
      <c r="X368" s="36"/>
    </row>
    <row r="369" spans="1:25" ht="15" customHeight="1">
      <c r="A369" s="427"/>
      <c r="B369" s="430"/>
      <c r="C369" s="433"/>
      <c r="D369" s="113" t="s">
        <v>128</v>
      </c>
      <c r="E369" s="438" t="s">
        <v>24</v>
      </c>
      <c r="F369" s="118" t="s">
        <v>40</v>
      </c>
      <c r="G369" s="38"/>
      <c r="H369" s="126"/>
      <c r="I369" s="463"/>
      <c r="J369" s="125"/>
      <c r="K369" s="18"/>
      <c r="L369" s="127"/>
      <c r="M369" s="216"/>
      <c r="N369" s="238"/>
      <c r="O369" s="126">
        <f>May!CG312</f>
        <v>961</v>
      </c>
      <c r="P369" s="125">
        <f>May!CH312</f>
        <v>117</v>
      </c>
      <c r="Q369" s="125"/>
      <c r="R369" s="436"/>
      <c r="S369" s="436"/>
      <c r="T369" s="127">
        <v>8197</v>
      </c>
      <c r="U369" s="127"/>
      <c r="V369" s="127">
        <f t="shared" si="21"/>
        <v>20319</v>
      </c>
      <c r="W369" s="46"/>
      <c r="X369" s="67"/>
    </row>
    <row r="370" spans="1:25" ht="15" customHeight="1">
      <c r="A370" s="427"/>
      <c r="B370" s="431"/>
      <c r="C370" s="434"/>
      <c r="D370" s="113" t="s">
        <v>307</v>
      </c>
      <c r="E370" s="431"/>
      <c r="F370" s="118" t="s">
        <v>40</v>
      </c>
      <c r="G370" s="135"/>
      <c r="H370" s="158"/>
      <c r="I370" s="463"/>
      <c r="J370" s="125"/>
      <c r="K370" s="127">
        <v>88000</v>
      </c>
      <c r="L370" s="127">
        <v>11</v>
      </c>
      <c r="M370" s="216">
        <v>63400</v>
      </c>
      <c r="N370" s="238">
        <v>8</v>
      </c>
      <c r="O370" s="126">
        <f>May!CG313</f>
        <v>35888</v>
      </c>
      <c r="P370" s="125">
        <f>May!CH313</f>
        <v>25908</v>
      </c>
      <c r="Q370" s="125">
        <f>May!CF313</f>
        <v>70</v>
      </c>
      <c r="R370" s="436"/>
      <c r="S370" s="436"/>
      <c r="T370" s="127">
        <v>9189</v>
      </c>
      <c r="U370" s="127"/>
      <c r="V370" s="127">
        <f t="shared" si="21"/>
        <v>79967</v>
      </c>
      <c r="W370" s="46"/>
      <c r="X370" s="67"/>
    </row>
    <row r="371" spans="1:25" ht="15" customHeight="1">
      <c r="A371" s="427"/>
      <c r="B371" s="442" t="s">
        <v>45</v>
      </c>
      <c r="C371" s="471" t="s">
        <v>59</v>
      </c>
      <c r="D371" s="118" t="s">
        <v>75</v>
      </c>
      <c r="E371" s="438" t="s">
        <v>25</v>
      </c>
      <c r="F371" s="131" t="s">
        <v>57</v>
      </c>
      <c r="G371" s="87">
        <v>1608.88</v>
      </c>
      <c r="H371" s="152"/>
      <c r="I371" s="463"/>
      <c r="J371" s="2"/>
      <c r="K371" s="127">
        <v>5180</v>
      </c>
      <c r="L371" s="18">
        <v>1</v>
      </c>
      <c r="M371" s="18">
        <v>51800</v>
      </c>
      <c r="N371" s="80">
        <v>10</v>
      </c>
      <c r="O371" s="126"/>
      <c r="P371" s="126">
        <f>May!CH317</f>
        <v>973</v>
      </c>
      <c r="Q371" s="2">
        <f>May!CF317</f>
        <v>4</v>
      </c>
      <c r="R371" s="436"/>
      <c r="S371" s="436"/>
      <c r="T371" s="18"/>
      <c r="U371" s="18"/>
      <c r="V371" s="127">
        <f t="shared" si="21"/>
        <v>2411</v>
      </c>
      <c r="W371" s="46"/>
      <c r="Y371" s="13"/>
    </row>
    <row r="372" spans="1:25" ht="15" customHeight="1">
      <c r="A372" s="427"/>
      <c r="B372" s="439"/>
      <c r="C372" s="471"/>
      <c r="D372" s="118" t="s">
        <v>291</v>
      </c>
      <c r="E372" s="430"/>
      <c r="F372" s="131" t="s">
        <v>57</v>
      </c>
      <c r="G372" s="87"/>
      <c r="H372" s="152"/>
      <c r="I372" s="463"/>
      <c r="J372" s="2"/>
      <c r="K372" s="127"/>
      <c r="L372" s="18"/>
      <c r="M372" s="18"/>
      <c r="N372" s="80"/>
      <c r="O372" s="126"/>
      <c r="P372" s="126">
        <f>May!CH318</f>
        <v>2040</v>
      </c>
      <c r="Q372" s="2">
        <f>May!CF318</f>
        <v>8</v>
      </c>
      <c r="R372" s="436"/>
      <c r="S372" s="436"/>
      <c r="T372" s="18"/>
      <c r="U372" s="18"/>
      <c r="V372" s="127">
        <f t="shared" si="21"/>
        <v>27741</v>
      </c>
      <c r="W372" s="46"/>
      <c r="Y372" s="13"/>
    </row>
    <row r="373" spans="1:25" ht="15" customHeight="1">
      <c r="A373" s="427"/>
      <c r="B373" s="439"/>
      <c r="C373" s="471"/>
      <c r="D373" s="118" t="s">
        <v>94</v>
      </c>
      <c r="E373" s="431"/>
      <c r="F373" s="131"/>
      <c r="G373" s="87"/>
      <c r="H373" s="152">
        <v>648</v>
      </c>
      <c r="I373" s="463"/>
      <c r="J373" s="2"/>
      <c r="K373" s="127"/>
      <c r="L373" s="18"/>
      <c r="M373" s="18"/>
      <c r="N373" s="80"/>
      <c r="O373" s="126"/>
      <c r="P373" s="126"/>
      <c r="Q373" s="2"/>
      <c r="R373" s="436"/>
      <c r="S373" s="436"/>
      <c r="T373" s="18"/>
      <c r="U373" s="18"/>
      <c r="V373" s="127"/>
      <c r="W373" s="46"/>
      <c r="Y373" s="13"/>
    </row>
    <row r="374" spans="1:25">
      <c r="A374" s="427"/>
      <c r="B374" s="439"/>
      <c r="C374" s="471"/>
      <c r="D374" s="118" t="s">
        <v>72</v>
      </c>
      <c r="E374" s="155" t="s">
        <v>24</v>
      </c>
      <c r="F374" s="131" t="s">
        <v>57</v>
      </c>
      <c r="G374" s="224"/>
      <c r="H374" s="152"/>
      <c r="I374" s="463"/>
      <c r="J374" s="126"/>
      <c r="K374" s="127"/>
      <c r="L374" s="18"/>
      <c r="M374" s="18">
        <v>75000</v>
      </c>
      <c r="N374" s="80">
        <v>15</v>
      </c>
      <c r="O374" s="126">
        <f>May!CG319</f>
        <v>2065</v>
      </c>
      <c r="P374" s="126">
        <f>May!CH319</f>
        <v>2112</v>
      </c>
      <c r="Q374" s="126">
        <f>May!CF319</f>
        <v>9</v>
      </c>
      <c r="R374" s="436"/>
      <c r="S374" s="436"/>
      <c r="T374" s="18">
        <v>6500</v>
      </c>
      <c r="U374" s="18">
        <v>10</v>
      </c>
      <c r="V374" s="127">
        <f>O374-T374-U374+V343</f>
        <v>7527</v>
      </c>
      <c r="W374" s="46"/>
      <c r="Y374" s="13"/>
    </row>
    <row r="375" spans="1:25" ht="14.25" customHeight="1">
      <c r="A375" s="427"/>
      <c r="B375" s="439"/>
      <c r="C375" s="471"/>
      <c r="D375" s="115" t="s">
        <v>79</v>
      </c>
      <c r="E375" s="118" t="s">
        <v>65</v>
      </c>
      <c r="F375" s="131" t="s">
        <v>57</v>
      </c>
      <c r="G375" s="224"/>
      <c r="H375" s="126"/>
      <c r="I375" s="463"/>
      <c r="J375" s="126"/>
      <c r="K375" s="18"/>
      <c r="L375" s="18"/>
      <c r="M375" s="18"/>
      <c r="N375" s="80"/>
      <c r="O375" s="126"/>
      <c r="P375" s="126"/>
      <c r="Q375" s="126">
        <f>May!CF320</f>
        <v>1</v>
      </c>
      <c r="R375" s="436"/>
      <c r="S375" s="436"/>
      <c r="T375" s="18"/>
      <c r="U375" s="18"/>
      <c r="V375" s="127"/>
      <c r="W375" s="45"/>
      <c r="X375" s="36"/>
    </row>
    <row r="376" spans="1:25" ht="14.25" customHeight="1">
      <c r="A376" s="427"/>
      <c r="B376" s="439"/>
      <c r="C376" s="448" t="s">
        <v>299</v>
      </c>
      <c r="D376" s="115" t="s">
        <v>296</v>
      </c>
      <c r="E376" s="424" t="s">
        <v>25</v>
      </c>
      <c r="F376" s="131" t="s">
        <v>298</v>
      </c>
      <c r="G376" s="224"/>
      <c r="H376" s="37"/>
      <c r="I376" s="463"/>
      <c r="J376" s="126"/>
      <c r="K376" s="18"/>
      <c r="L376" s="18"/>
      <c r="M376" s="18"/>
      <c r="N376" s="80"/>
      <c r="O376" s="126">
        <f>May!CG321</f>
        <v>1100</v>
      </c>
      <c r="P376" s="126">
        <f>May!CH321</f>
        <v>544</v>
      </c>
      <c r="Q376" s="126">
        <f>May!CF321</f>
        <v>2</v>
      </c>
      <c r="R376" s="436"/>
      <c r="S376" s="436"/>
      <c r="T376" s="18"/>
      <c r="U376" s="18"/>
      <c r="V376" s="127">
        <f>O376-T376-U376+V345</f>
        <v>1648</v>
      </c>
      <c r="W376" s="45"/>
      <c r="X376" s="67"/>
    </row>
    <row r="377" spans="1:25" ht="14.25" customHeight="1">
      <c r="A377" s="427"/>
      <c r="B377" s="443"/>
      <c r="C377" s="449"/>
      <c r="D377" s="115" t="s">
        <v>75</v>
      </c>
      <c r="E377" s="425"/>
      <c r="F377" s="131" t="s">
        <v>298</v>
      </c>
      <c r="G377" s="224"/>
      <c r="H377" s="37"/>
      <c r="I377" s="463"/>
      <c r="J377" s="126"/>
      <c r="K377" s="18"/>
      <c r="L377" s="18"/>
      <c r="M377" s="18"/>
      <c r="N377" s="80"/>
      <c r="O377" s="126"/>
      <c r="P377" s="126">
        <f>May!CH322</f>
        <v>565</v>
      </c>
      <c r="Q377" s="126">
        <f>May!CF322</f>
        <v>2</v>
      </c>
      <c r="R377" s="436"/>
      <c r="S377" s="436"/>
      <c r="T377" s="18"/>
      <c r="U377" s="18"/>
      <c r="V377" s="127">
        <f>O377-T377-U377+V346</f>
        <v>2200</v>
      </c>
      <c r="W377" s="45"/>
      <c r="X377" s="67"/>
    </row>
    <row r="378" spans="1:25" ht="14.25" customHeight="1">
      <c r="A378" s="427"/>
      <c r="B378" s="442" t="s">
        <v>53</v>
      </c>
      <c r="C378" s="444" t="s">
        <v>60</v>
      </c>
      <c r="D378" s="43" t="s">
        <v>130</v>
      </c>
      <c r="E378" s="424" t="s">
        <v>66</v>
      </c>
      <c r="F378" s="118" t="s">
        <v>54</v>
      </c>
      <c r="G378" s="224"/>
      <c r="H378" s="37"/>
      <c r="I378" s="463"/>
      <c r="J378" s="126"/>
      <c r="K378" s="18"/>
      <c r="L378" s="18"/>
      <c r="M378" s="18"/>
      <c r="N378" s="80"/>
      <c r="O378" s="126">
        <f>May!CG314</f>
        <v>2310</v>
      </c>
      <c r="P378" s="126">
        <f>May!CH314</f>
        <v>2652</v>
      </c>
      <c r="Q378" s="126">
        <f>May!CF314</f>
        <v>8</v>
      </c>
      <c r="R378" s="436"/>
      <c r="S378" s="436"/>
      <c r="T378" s="18">
        <v>7142</v>
      </c>
      <c r="U378" s="18">
        <v>4</v>
      </c>
      <c r="V378" s="127">
        <f>O378-T378-U378+V347</f>
        <v>3405</v>
      </c>
      <c r="W378" s="45"/>
      <c r="X378" s="67"/>
    </row>
    <row r="379" spans="1:25" ht="14.25" customHeight="1">
      <c r="A379" s="427"/>
      <c r="B379" s="439"/>
      <c r="C379" s="445"/>
      <c r="D379" s="43" t="s">
        <v>320</v>
      </c>
      <c r="E379" s="425"/>
      <c r="F379" s="118" t="s">
        <v>54</v>
      </c>
      <c r="G379" s="224"/>
      <c r="H379" s="37"/>
      <c r="I379" s="463"/>
      <c r="J379" s="126"/>
      <c r="K379" s="18"/>
      <c r="L379" s="18"/>
      <c r="M379" s="18">
        <v>77500</v>
      </c>
      <c r="N379" s="80">
        <v>13</v>
      </c>
      <c r="O379" s="126">
        <f>May!CG315</f>
        <v>1200</v>
      </c>
      <c r="P379" s="126">
        <f>May!CH315</f>
        <v>2014</v>
      </c>
      <c r="Q379" s="126">
        <f>May!CF315</f>
        <v>6</v>
      </c>
      <c r="R379" s="436"/>
      <c r="S379" s="436"/>
      <c r="T379" s="18">
        <v>7219</v>
      </c>
      <c r="U379" s="18"/>
      <c r="V379" s="127">
        <f>O379-T379-U379+V348</f>
        <v>2400</v>
      </c>
      <c r="W379" s="45"/>
      <c r="X379" s="67"/>
    </row>
    <row r="380" spans="1:25" ht="14.25" customHeight="1">
      <c r="A380" s="427"/>
      <c r="B380" s="443"/>
      <c r="C380" s="446"/>
      <c r="D380" s="43" t="s">
        <v>199</v>
      </c>
      <c r="E380" s="114" t="s">
        <v>25</v>
      </c>
      <c r="F380" s="118" t="s">
        <v>54</v>
      </c>
      <c r="G380" s="224"/>
      <c r="H380" s="135"/>
      <c r="I380" s="463"/>
      <c r="J380" s="158"/>
      <c r="K380" s="128"/>
      <c r="L380" s="128"/>
      <c r="M380" s="128"/>
      <c r="N380" s="164"/>
      <c r="O380" s="158"/>
      <c r="P380" s="158"/>
      <c r="Q380" s="158"/>
      <c r="R380" s="436"/>
      <c r="S380" s="436"/>
      <c r="T380" s="18"/>
      <c r="U380" s="18"/>
      <c r="V380" s="127">
        <f>O380-T380-U380+V349</f>
        <v>68</v>
      </c>
      <c r="W380" s="45"/>
      <c r="X380" s="67"/>
    </row>
    <row r="381" spans="1:25" ht="15.75" customHeight="1">
      <c r="A381" s="427"/>
      <c r="B381" s="122" t="s">
        <v>55</v>
      </c>
      <c r="C381" s="180" t="s">
        <v>133</v>
      </c>
      <c r="D381" s="48" t="s">
        <v>56</v>
      </c>
      <c r="E381" s="424" t="s">
        <v>25</v>
      </c>
      <c r="F381" s="118" t="s">
        <v>67</v>
      </c>
      <c r="G381" s="226"/>
      <c r="H381" s="126"/>
      <c r="I381" s="463"/>
      <c r="J381" s="2"/>
      <c r="K381" s="18"/>
      <c r="L381" s="18"/>
      <c r="M381" s="18">
        <v>2800</v>
      </c>
      <c r="N381" s="18">
        <v>1</v>
      </c>
      <c r="O381" s="126"/>
      <c r="P381" s="126"/>
      <c r="Q381" s="126"/>
      <c r="R381" s="436"/>
      <c r="S381" s="436"/>
      <c r="T381" s="18"/>
      <c r="U381" s="18"/>
      <c r="V381" s="127">
        <f t="shared" ref="V381:V393" si="22">O381-T381-U381+V351</f>
        <v>500</v>
      </c>
      <c r="W381" s="45"/>
      <c r="X381" s="67"/>
    </row>
    <row r="382" spans="1:25" ht="15.75" customHeight="1">
      <c r="A382" s="427"/>
      <c r="B382" s="122" t="s">
        <v>55</v>
      </c>
      <c r="C382" s="180" t="s">
        <v>316</v>
      </c>
      <c r="D382" s="48" t="s">
        <v>317</v>
      </c>
      <c r="E382" s="441"/>
      <c r="F382" s="118" t="s">
        <v>67</v>
      </c>
      <c r="G382" s="226"/>
      <c r="H382" s="126"/>
      <c r="I382" s="463"/>
      <c r="J382" s="2"/>
      <c r="K382" s="18"/>
      <c r="L382" s="18"/>
      <c r="M382" s="18"/>
      <c r="N382" s="18"/>
      <c r="O382" s="126"/>
      <c r="P382" s="126"/>
      <c r="Q382" s="126"/>
      <c r="R382" s="436"/>
      <c r="S382" s="436"/>
      <c r="T382" s="18"/>
      <c r="U382" s="18"/>
      <c r="V382" s="127">
        <f t="shared" si="22"/>
        <v>450</v>
      </c>
      <c r="W382" s="45"/>
      <c r="X382" s="67"/>
    </row>
    <row r="383" spans="1:25" ht="15" customHeight="1">
      <c r="A383" s="427"/>
      <c r="B383" s="122" t="s">
        <v>122</v>
      </c>
      <c r="C383" s="180" t="s">
        <v>123</v>
      </c>
      <c r="D383" s="48" t="s">
        <v>56</v>
      </c>
      <c r="E383" s="441"/>
      <c r="F383" s="155" t="s">
        <v>64</v>
      </c>
      <c r="G383" s="119"/>
      <c r="H383" s="126"/>
      <c r="I383" s="463"/>
      <c r="J383" s="2"/>
      <c r="K383" s="18"/>
      <c r="L383" s="18"/>
      <c r="M383" s="18">
        <v>6400</v>
      </c>
      <c r="N383" s="18">
        <v>2</v>
      </c>
      <c r="O383" s="126"/>
      <c r="P383" s="126"/>
      <c r="Q383" s="126"/>
      <c r="R383" s="436"/>
      <c r="S383" s="436"/>
      <c r="T383" s="18"/>
      <c r="U383" s="18"/>
      <c r="V383" s="127">
        <f t="shared" si="22"/>
        <v>21764</v>
      </c>
      <c r="W383" s="45"/>
      <c r="X383" s="67"/>
    </row>
    <row r="384" spans="1:25" ht="14.25" customHeight="1">
      <c r="A384" s="427"/>
      <c r="B384" s="137" t="s">
        <v>58</v>
      </c>
      <c r="C384" s="157" t="s">
        <v>243</v>
      </c>
      <c r="D384" s="48" t="s">
        <v>56</v>
      </c>
      <c r="E384" s="441"/>
      <c r="F384" s="118" t="s">
        <v>64</v>
      </c>
      <c r="G384" s="225"/>
      <c r="H384" s="126"/>
      <c r="I384" s="463"/>
      <c r="J384" s="126"/>
      <c r="K384" s="18"/>
      <c r="L384" s="18"/>
      <c r="M384" s="18"/>
      <c r="N384" s="80"/>
      <c r="O384" s="126"/>
      <c r="P384" s="126"/>
      <c r="Q384" s="126"/>
      <c r="R384" s="436"/>
      <c r="S384" s="436"/>
      <c r="T384" s="18"/>
      <c r="U384" s="18"/>
      <c r="V384" s="127">
        <f t="shared" si="22"/>
        <v>8562</v>
      </c>
      <c r="W384" s="45"/>
      <c r="X384" s="67"/>
    </row>
    <row r="385" spans="1:24" ht="14.25" customHeight="1">
      <c r="A385" s="427"/>
      <c r="B385" s="122" t="s">
        <v>61</v>
      </c>
      <c r="C385" s="180" t="s">
        <v>137</v>
      </c>
      <c r="D385" s="48" t="s">
        <v>56</v>
      </c>
      <c r="E385" s="441"/>
      <c r="F385" s="118" t="s">
        <v>67</v>
      </c>
      <c r="G385" s="225"/>
      <c r="H385" s="126"/>
      <c r="I385" s="463"/>
      <c r="J385" s="126"/>
      <c r="K385" s="18"/>
      <c r="L385" s="18"/>
      <c r="M385" s="18"/>
      <c r="N385" s="80"/>
      <c r="O385" s="126"/>
      <c r="P385" s="126"/>
      <c r="Q385" s="126"/>
      <c r="R385" s="436"/>
      <c r="S385" s="436"/>
      <c r="T385" s="18"/>
      <c r="U385" s="18"/>
      <c r="V385" s="127">
        <f t="shared" si="22"/>
        <v>5844</v>
      </c>
      <c r="W385" s="45"/>
      <c r="X385" s="67"/>
    </row>
    <row r="386" spans="1:24" ht="14.25" customHeight="1">
      <c r="A386" s="427"/>
      <c r="B386" s="122" t="s">
        <v>125</v>
      </c>
      <c r="C386" s="180" t="s">
        <v>88</v>
      </c>
      <c r="D386" s="48" t="s">
        <v>124</v>
      </c>
      <c r="E386" s="441"/>
      <c r="F386" s="118" t="s">
        <v>64</v>
      </c>
      <c r="G386" s="225"/>
      <c r="H386" s="126"/>
      <c r="I386" s="463"/>
      <c r="J386" s="126"/>
      <c r="K386" s="18"/>
      <c r="L386" s="18"/>
      <c r="M386" s="18">
        <v>51200</v>
      </c>
      <c r="N386" s="80">
        <v>7</v>
      </c>
      <c r="O386" s="126"/>
      <c r="P386" s="126"/>
      <c r="Q386" s="126"/>
      <c r="R386" s="436"/>
      <c r="S386" s="436"/>
      <c r="T386" s="18"/>
      <c r="U386" s="18"/>
      <c r="V386" s="127">
        <f t="shared" si="22"/>
        <v>23615</v>
      </c>
      <c r="W386" s="45"/>
      <c r="X386" s="67"/>
    </row>
    <row r="387" spans="1:24" ht="14.25" customHeight="1">
      <c r="A387" s="427"/>
      <c r="B387" s="137" t="s">
        <v>47</v>
      </c>
      <c r="C387" s="157" t="s">
        <v>100</v>
      </c>
      <c r="D387" s="48" t="s">
        <v>99</v>
      </c>
      <c r="E387" s="441"/>
      <c r="F387" s="118" t="s">
        <v>71</v>
      </c>
      <c r="G387" s="225"/>
      <c r="H387" s="126"/>
      <c r="I387" s="463"/>
      <c r="J387" s="126"/>
      <c r="K387" s="18">
        <v>5600</v>
      </c>
      <c r="L387" s="18">
        <v>1</v>
      </c>
      <c r="M387" s="18">
        <v>5600</v>
      </c>
      <c r="N387" s="80">
        <v>1</v>
      </c>
      <c r="O387" s="126">
        <f>May!CG326</f>
        <v>798</v>
      </c>
      <c r="P387" s="126">
        <f>May!CH326</f>
        <v>1866</v>
      </c>
      <c r="Q387" s="126">
        <f>May!CF326</f>
        <v>7</v>
      </c>
      <c r="R387" s="436"/>
      <c r="S387" s="436"/>
      <c r="T387" s="18"/>
      <c r="U387" s="18"/>
      <c r="V387" s="127">
        <f t="shared" si="22"/>
        <v>32166</v>
      </c>
      <c r="W387" s="45"/>
      <c r="X387" s="67"/>
    </row>
    <row r="388" spans="1:24" ht="15" customHeight="1">
      <c r="A388" s="427"/>
      <c r="B388" s="122" t="s">
        <v>196</v>
      </c>
      <c r="C388" s="180" t="s">
        <v>63</v>
      </c>
      <c r="D388" s="48" t="s">
        <v>135</v>
      </c>
      <c r="E388" s="441"/>
      <c r="F388" s="118" t="s">
        <v>64</v>
      </c>
      <c r="G388" s="226"/>
      <c r="H388" s="126"/>
      <c r="I388" s="463"/>
      <c r="J388" s="2"/>
      <c r="K388" s="18"/>
      <c r="L388" s="18"/>
      <c r="M388" s="18"/>
      <c r="N388" s="18"/>
      <c r="O388" s="126"/>
      <c r="P388" s="126">
        <f>May!CH334</f>
        <v>1423</v>
      </c>
      <c r="Q388" s="126">
        <f>May!CF334</f>
        <v>5</v>
      </c>
      <c r="R388" s="436"/>
      <c r="S388" s="436"/>
      <c r="T388" s="18"/>
      <c r="U388" s="18"/>
      <c r="V388" s="127">
        <f t="shared" si="22"/>
        <v>14761</v>
      </c>
      <c r="W388" s="45"/>
      <c r="X388" s="67"/>
    </row>
    <row r="389" spans="1:24" ht="15" customHeight="1">
      <c r="A389" s="427"/>
      <c r="B389" s="122" t="s">
        <v>363</v>
      </c>
      <c r="C389" s="180" t="s">
        <v>325</v>
      </c>
      <c r="D389" s="48" t="s">
        <v>328</v>
      </c>
      <c r="E389" s="441"/>
      <c r="F389" s="118" t="s">
        <v>48</v>
      </c>
      <c r="G389" s="226"/>
      <c r="H389" s="126"/>
      <c r="I389" s="463"/>
      <c r="J389" s="2"/>
      <c r="K389" s="18"/>
      <c r="L389" s="18"/>
      <c r="M389" s="18"/>
      <c r="N389" s="18"/>
      <c r="O389" s="126"/>
      <c r="P389" s="126">
        <f>May!CH332</f>
        <v>595</v>
      </c>
      <c r="Q389" s="126">
        <f>May!CF332</f>
        <v>2</v>
      </c>
      <c r="R389" s="436"/>
      <c r="S389" s="436"/>
      <c r="T389" s="18"/>
      <c r="U389" s="18"/>
      <c r="V389" s="127">
        <f t="shared" si="22"/>
        <v>2149</v>
      </c>
      <c r="W389" s="45"/>
      <c r="X389" s="67"/>
    </row>
    <row r="390" spans="1:24" ht="15" customHeight="1">
      <c r="A390" s="427"/>
      <c r="B390" s="122" t="s">
        <v>253</v>
      </c>
      <c r="C390" s="180" t="s">
        <v>365</v>
      </c>
      <c r="D390" s="48" t="s">
        <v>246</v>
      </c>
      <c r="E390" s="441"/>
      <c r="F390" s="118" t="s">
        <v>247</v>
      </c>
      <c r="G390" s="226"/>
      <c r="H390" s="38">
        <v>297.36</v>
      </c>
      <c r="I390" s="463"/>
      <c r="J390" s="2"/>
      <c r="K390" s="18"/>
      <c r="L390" s="18"/>
      <c r="M390" s="18"/>
      <c r="N390" s="18"/>
      <c r="O390" s="126"/>
      <c r="P390" s="126">
        <f>May!CH327</f>
        <v>949</v>
      </c>
      <c r="Q390" s="126">
        <f>May!CF327</f>
        <v>4</v>
      </c>
      <c r="R390" s="436"/>
      <c r="S390" s="436"/>
      <c r="T390" s="18"/>
      <c r="U390" s="18"/>
      <c r="V390" s="127">
        <f t="shared" si="22"/>
        <v>10940</v>
      </c>
      <c r="W390" s="45"/>
      <c r="X390" s="67"/>
    </row>
    <row r="391" spans="1:24" ht="15" customHeight="1">
      <c r="A391" s="427"/>
      <c r="B391" s="122" t="s">
        <v>366</v>
      </c>
      <c r="C391" s="180" t="s">
        <v>367</v>
      </c>
      <c r="D391" s="48" t="s">
        <v>132</v>
      </c>
      <c r="E391" s="441"/>
      <c r="F391" s="118" t="s">
        <v>64</v>
      </c>
      <c r="G391" s="119"/>
      <c r="H391" s="126"/>
      <c r="I391" s="463"/>
      <c r="J391" s="2"/>
      <c r="K391" s="18"/>
      <c r="L391" s="18"/>
      <c r="M391" s="18"/>
      <c r="N391" s="18"/>
      <c r="O391" s="126"/>
      <c r="P391" s="126">
        <f>May!CH331</f>
        <v>806</v>
      </c>
      <c r="Q391" s="126">
        <f>May!CF331</f>
        <v>2</v>
      </c>
      <c r="R391" s="436"/>
      <c r="S391" s="436"/>
      <c r="T391" s="18">
        <v>1785</v>
      </c>
      <c r="U391" s="18">
        <v>92</v>
      </c>
      <c r="V391" s="18">
        <f t="shared" si="22"/>
        <v>0</v>
      </c>
      <c r="W391" s="45"/>
      <c r="X391" s="67"/>
    </row>
    <row r="392" spans="1:24" ht="15" customHeight="1">
      <c r="A392" s="427"/>
      <c r="B392" s="122" t="s">
        <v>101</v>
      </c>
      <c r="C392" s="180" t="s">
        <v>327</v>
      </c>
      <c r="D392" s="48" t="s">
        <v>102</v>
      </c>
      <c r="E392" s="441"/>
      <c r="F392" s="118" t="s">
        <v>64</v>
      </c>
      <c r="G392" s="119"/>
      <c r="H392" s="37">
        <v>535.5</v>
      </c>
      <c r="I392" s="463"/>
      <c r="J392" s="2"/>
      <c r="K392" s="18"/>
      <c r="L392" s="18"/>
      <c r="M392" s="18">
        <v>28000</v>
      </c>
      <c r="N392" s="18">
        <v>4</v>
      </c>
      <c r="O392" s="126">
        <f>May!CG330</f>
        <v>2730</v>
      </c>
      <c r="P392" s="126">
        <f>May!CH330</f>
        <v>3173</v>
      </c>
      <c r="Q392" s="126">
        <f>May!CF330</f>
        <v>8</v>
      </c>
      <c r="R392" s="436"/>
      <c r="S392" s="436"/>
      <c r="T392" s="18">
        <v>6418</v>
      </c>
      <c r="U392" s="18">
        <v>5</v>
      </c>
      <c r="V392" s="18">
        <f t="shared" si="22"/>
        <v>3132</v>
      </c>
      <c r="W392" s="45"/>
      <c r="X392" s="67"/>
    </row>
    <row r="393" spans="1:24" s="4" customFormat="1" ht="15" customHeight="1">
      <c r="A393" s="427"/>
      <c r="B393" s="122" t="s">
        <v>375</v>
      </c>
      <c r="C393" s="157" t="s">
        <v>376</v>
      </c>
      <c r="D393" s="48" t="s">
        <v>248</v>
      </c>
      <c r="E393" s="441"/>
      <c r="F393" s="48" t="s">
        <v>64</v>
      </c>
      <c r="G393" s="87">
        <v>4407.8100000000004</v>
      </c>
      <c r="H393" s="34">
        <v>1440</v>
      </c>
      <c r="I393" s="463"/>
      <c r="J393" s="6"/>
      <c r="K393" s="211"/>
      <c r="L393" s="211"/>
      <c r="M393" s="211">
        <v>84450</v>
      </c>
      <c r="N393" s="211">
        <v>21</v>
      </c>
      <c r="O393" s="34">
        <f>May!CG333</f>
        <v>1601</v>
      </c>
      <c r="P393" s="34">
        <f>May!CH333</f>
        <v>3654</v>
      </c>
      <c r="Q393" s="34">
        <f>May!CF333</f>
        <v>12</v>
      </c>
      <c r="R393" s="436"/>
      <c r="S393" s="436"/>
      <c r="T393" s="211"/>
      <c r="U393" s="211"/>
      <c r="V393" s="211">
        <f t="shared" si="22"/>
        <v>4723</v>
      </c>
      <c r="W393" s="260"/>
      <c r="X393" s="67"/>
    </row>
    <row r="394" spans="1:24" s="4" customFormat="1" ht="15" customHeight="1">
      <c r="A394" s="427"/>
      <c r="B394" s="122" t="s">
        <v>289</v>
      </c>
      <c r="C394" s="180" t="s">
        <v>290</v>
      </c>
      <c r="D394" s="48" t="s">
        <v>75</v>
      </c>
      <c r="E394" s="441"/>
      <c r="F394" s="48" t="s">
        <v>381</v>
      </c>
      <c r="G394" s="122"/>
      <c r="H394" s="34"/>
      <c r="I394" s="463"/>
      <c r="J394" s="6"/>
      <c r="K394" s="211">
        <v>2000</v>
      </c>
      <c r="L394" s="211">
        <v>1</v>
      </c>
      <c r="M394" s="211"/>
      <c r="N394" s="211"/>
      <c r="O394" s="34"/>
      <c r="P394" s="34"/>
      <c r="Q394" s="34">
        <f>May!CF329</f>
        <v>1</v>
      </c>
      <c r="R394" s="436"/>
      <c r="S394" s="436"/>
      <c r="T394" s="211"/>
      <c r="U394" s="211"/>
      <c r="V394" s="211"/>
      <c r="W394" s="260"/>
      <c r="X394" s="67"/>
    </row>
    <row r="395" spans="1:24" ht="15" customHeight="1">
      <c r="A395" s="427"/>
      <c r="B395" s="122" t="s">
        <v>103</v>
      </c>
      <c r="C395" s="157" t="s">
        <v>197</v>
      </c>
      <c r="D395" s="48" t="s">
        <v>104</v>
      </c>
      <c r="E395" s="441"/>
      <c r="F395" s="118" t="s">
        <v>105</v>
      </c>
      <c r="G395" s="119"/>
      <c r="H395" s="126"/>
      <c r="I395" s="463"/>
      <c r="J395" s="2"/>
      <c r="K395" s="18"/>
      <c r="L395" s="18"/>
      <c r="M395" s="18"/>
      <c r="N395" s="18"/>
      <c r="O395" s="126"/>
      <c r="P395" s="126"/>
      <c r="Q395" s="126">
        <f>May!CF335</f>
        <v>1</v>
      </c>
      <c r="R395" s="436"/>
      <c r="S395" s="436"/>
      <c r="T395" s="18"/>
      <c r="U395" s="18"/>
      <c r="V395" s="18"/>
      <c r="W395" s="45"/>
      <c r="X395" s="67"/>
    </row>
    <row r="396" spans="1:24" ht="15" customHeight="1">
      <c r="A396" s="427"/>
      <c r="B396" s="137" t="s">
        <v>112</v>
      </c>
      <c r="C396" s="157" t="s">
        <v>197</v>
      </c>
      <c r="D396" s="48" t="s">
        <v>104</v>
      </c>
      <c r="E396" s="441"/>
      <c r="F396" s="118" t="s">
        <v>113</v>
      </c>
      <c r="G396" s="119"/>
      <c r="H396" s="126"/>
      <c r="I396" s="463"/>
      <c r="J396" s="2"/>
      <c r="K396" s="18"/>
      <c r="L396" s="18"/>
      <c r="M396" s="18"/>
      <c r="N396" s="18"/>
      <c r="O396" s="126"/>
      <c r="P396" s="126"/>
      <c r="Q396" s="126">
        <f>May!CF337</f>
        <v>1</v>
      </c>
      <c r="R396" s="436"/>
      <c r="S396" s="436"/>
      <c r="T396" s="18"/>
      <c r="U396" s="18"/>
      <c r="V396" s="18"/>
      <c r="W396" s="45"/>
      <c r="X396" s="67"/>
    </row>
    <row r="397" spans="1:24" ht="15" customHeight="1" thickBot="1">
      <c r="A397" s="428"/>
      <c r="B397" s="44" t="s">
        <v>107</v>
      </c>
      <c r="C397" s="181" t="s">
        <v>195</v>
      </c>
      <c r="D397" s="61" t="s">
        <v>108</v>
      </c>
      <c r="E397" s="447"/>
      <c r="F397" s="133" t="s">
        <v>48</v>
      </c>
      <c r="G397" s="132"/>
      <c r="H397" s="109"/>
      <c r="I397" s="464"/>
      <c r="J397" s="129"/>
      <c r="K397" s="130"/>
      <c r="L397" s="130"/>
      <c r="M397" s="130"/>
      <c r="N397" s="130"/>
      <c r="O397" s="134"/>
      <c r="P397" s="134"/>
      <c r="Q397" s="134"/>
      <c r="R397" s="437"/>
      <c r="S397" s="437"/>
      <c r="T397" s="130"/>
      <c r="U397" s="130"/>
      <c r="V397" s="128">
        <f t="shared" ref="V397:V402" si="23">O397-T397-U397+V367</f>
        <v>903</v>
      </c>
      <c r="W397" s="85"/>
      <c r="X397" s="67"/>
    </row>
    <row r="398" spans="1:24" ht="15" customHeight="1">
      <c r="A398" s="426">
        <v>46162</v>
      </c>
      <c r="B398" s="429" t="s">
        <v>44</v>
      </c>
      <c r="C398" s="432" t="s">
        <v>240</v>
      </c>
      <c r="D398" s="19" t="s">
        <v>37</v>
      </c>
      <c r="E398" s="19" t="s">
        <v>25</v>
      </c>
      <c r="F398" s="39" t="s">
        <v>40</v>
      </c>
      <c r="G398" s="41"/>
      <c r="H398" s="32"/>
      <c r="I398" s="32"/>
      <c r="J398" s="32"/>
      <c r="K398" s="20">
        <v>32000</v>
      </c>
      <c r="L398" s="20">
        <v>4</v>
      </c>
      <c r="M398" s="20">
        <v>112800</v>
      </c>
      <c r="N398" s="84">
        <v>14</v>
      </c>
      <c r="O398" s="32">
        <f>May!CJ311</f>
        <v>31153</v>
      </c>
      <c r="P398" s="32">
        <f>May!CK311</f>
        <v>34772</v>
      </c>
      <c r="Q398" s="32">
        <f>May!CI311</f>
        <v>92</v>
      </c>
      <c r="R398" s="435">
        <f>May!CJ340</f>
        <v>82638</v>
      </c>
      <c r="S398" s="435">
        <f>May!CK340</f>
        <v>86059</v>
      </c>
      <c r="T398" s="20">
        <v>18158</v>
      </c>
      <c r="U398" s="20"/>
      <c r="V398" s="20">
        <f>O398-T398-U398+V368</f>
        <v>169262</v>
      </c>
      <c r="W398" s="77"/>
      <c r="X398" s="36"/>
    </row>
    <row r="399" spans="1:24" ht="15" customHeight="1">
      <c r="A399" s="427"/>
      <c r="B399" s="430"/>
      <c r="C399" s="433"/>
      <c r="D399" s="113" t="s">
        <v>128</v>
      </c>
      <c r="E399" s="438" t="s">
        <v>24</v>
      </c>
      <c r="F399" s="118" t="s">
        <v>40</v>
      </c>
      <c r="G399" s="38"/>
      <c r="H399" s="126"/>
      <c r="I399" s="125"/>
      <c r="J399" s="125"/>
      <c r="K399" s="18"/>
      <c r="L399" s="127"/>
      <c r="M399" s="216"/>
      <c r="N399" s="238"/>
      <c r="O399" s="126"/>
      <c r="P399" s="125"/>
      <c r="Q399" s="125"/>
      <c r="R399" s="436"/>
      <c r="S399" s="436"/>
      <c r="T399" s="127">
        <v>9315</v>
      </c>
      <c r="U399" s="127">
        <v>6</v>
      </c>
      <c r="V399" s="127">
        <f t="shared" si="23"/>
        <v>10998</v>
      </c>
      <c r="W399" s="46"/>
      <c r="X399" s="67"/>
    </row>
    <row r="400" spans="1:24" ht="15" customHeight="1">
      <c r="A400" s="427"/>
      <c r="B400" s="431"/>
      <c r="C400" s="434"/>
      <c r="D400" s="113" t="s">
        <v>307</v>
      </c>
      <c r="E400" s="431"/>
      <c r="F400" s="118" t="s">
        <v>40</v>
      </c>
      <c r="G400" s="135">
        <v>5498.1</v>
      </c>
      <c r="H400" s="135">
        <v>4252.5</v>
      </c>
      <c r="I400" s="125"/>
      <c r="J400" s="125"/>
      <c r="K400" s="127">
        <v>39400</v>
      </c>
      <c r="L400" s="127">
        <v>5</v>
      </c>
      <c r="M400" s="216">
        <v>104000</v>
      </c>
      <c r="N400" s="238">
        <v>13</v>
      </c>
      <c r="O400" s="126">
        <f>May!CJ313</f>
        <v>30126</v>
      </c>
      <c r="P400" s="125">
        <f>May!CK313</f>
        <v>25656</v>
      </c>
      <c r="Q400" s="125">
        <f>May!CI313</f>
        <v>69</v>
      </c>
      <c r="R400" s="436"/>
      <c r="S400" s="436"/>
      <c r="T400" s="127">
        <v>17668</v>
      </c>
      <c r="U400" s="127">
        <v>115</v>
      </c>
      <c r="V400" s="127">
        <f t="shared" si="23"/>
        <v>92310</v>
      </c>
      <c r="W400" s="46"/>
      <c r="X400" s="67"/>
    </row>
    <row r="401" spans="1:27" ht="15" customHeight="1">
      <c r="A401" s="427"/>
      <c r="B401" s="442" t="s">
        <v>45</v>
      </c>
      <c r="C401" s="471" t="s">
        <v>59</v>
      </c>
      <c r="D401" s="118" t="s">
        <v>75</v>
      </c>
      <c r="E401" s="438" t="s">
        <v>25</v>
      </c>
      <c r="F401" s="131" t="s">
        <v>57</v>
      </c>
      <c r="G401" s="87"/>
      <c r="H401" s="152"/>
      <c r="I401" s="126"/>
      <c r="J401" s="2"/>
      <c r="K401" s="127">
        <v>5180</v>
      </c>
      <c r="L401" s="18">
        <v>1</v>
      </c>
      <c r="M401" s="18">
        <v>46620</v>
      </c>
      <c r="N401" s="80">
        <v>9</v>
      </c>
      <c r="O401" s="126">
        <f>May!CJ317</f>
        <v>1100</v>
      </c>
      <c r="P401" s="126">
        <f>May!CK317</f>
        <v>1273</v>
      </c>
      <c r="Q401" s="2">
        <f>May!CI317</f>
        <v>5</v>
      </c>
      <c r="R401" s="436"/>
      <c r="S401" s="436"/>
      <c r="T401" s="18"/>
      <c r="U401" s="18"/>
      <c r="V401" s="127">
        <f t="shared" si="23"/>
        <v>3511</v>
      </c>
      <c r="W401" s="46"/>
      <c r="Y401" s="13"/>
    </row>
    <row r="402" spans="1:27" ht="15" customHeight="1">
      <c r="A402" s="427"/>
      <c r="B402" s="439"/>
      <c r="C402" s="471"/>
      <c r="D402" s="118" t="s">
        <v>291</v>
      </c>
      <c r="E402" s="430"/>
      <c r="F402" s="131" t="s">
        <v>57</v>
      </c>
      <c r="G402" s="87"/>
      <c r="H402" s="152"/>
      <c r="I402" s="126"/>
      <c r="J402" s="2"/>
      <c r="K402" s="127"/>
      <c r="L402" s="18"/>
      <c r="M402" s="18"/>
      <c r="N402" s="80"/>
      <c r="O402" s="126">
        <f>May!CJ318</f>
        <v>1875</v>
      </c>
      <c r="P402" s="126">
        <f>May!CK318</f>
        <v>1727</v>
      </c>
      <c r="Q402" s="2">
        <f>May!CI318</f>
        <v>7</v>
      </c>
      <c r="R402" s="436"/>
      <c r="S402" s="436"/>
      <c r="T402" s="18">
        <v>18635</v>
      </c>
      <c r="U402" s="18"/>
      <c r="V402" s="127">
        <f t="shared" si="23"/>
        <v>10981</v>
      </c>
      <c r="W402" s="46"/>
      <c r="Y402" s="13"/>
    </row>
    <row r="403" spans="1:27" ht="15" customHeight="1">
      <c r="A403" s="427"/>
      <c r="B403" s="439"/>
      <c r="C403" s="471"/>
      <c r="D403" s="118" t="s">
        <v>94</v>
      </c>
      <c r="E403" s="431"/>
      <c r="F403" s="131"/>
      <c r="G403" s="87"/>
      <c r="H403" s="152">
        <v>1620</v>
      </c>
      <c r="I403" s="126"/>
      <c r="J403" s="2"/>
      <c r="K403" s="127"/>
      <c r="L403" s="18"/>
      <c r="M403" s="18"/>
      <c r="N403" s="80"/>
      <c r="O403" s="126"/>
      <c r="P403" s="126"/>
      <c r="Q403" s="2"/>
      <c r="R403" s="436"/>
      <c r="S403" s="436"/>
      <c r="T403" s="18"/>
      <c r="U403" s="18"/>
      <c r="V403" s="127"/>
      <c r="W403" s="46"/>
      <c r="Y403" s="13"/>
    </row>
    <row r="404" spans="1:27">
      <c r="A404" s="427"/>
      <c r="B404" s="439"/>
      <c r="C404" s="471"/>
      <c r="D404" s="118" t="s">
        <v>72</v>
      </c>
      <c r="E404" s="155" t="s">
        <v>24</v>
      </c>
      <c r="F404" s="131" t="s">
        <v>57</v>
      </c>
      <c r="G404" s="224"/>
      <c r="H404" s="152"/>
      <c r="I404" s="126"/>
      <c r="J404" s="126"/>
      <c r="K404" s="127"/>
      <c r="L404" s="18"/>
      <c r="M404" s="18">
        <v>75000</v>
      </c>
      <c r="N404" s="80">
        <v>15</v>
      </c>
      <c r="O404" s="126">
        <f>May!CJ319</f>
        <v>2838</v>
      </c>
      <c r="P404" s="126">
        <f>May!CK319</f>
        <v>2163</v>
      </c>
      <c r="Q404" s="126">
        <f>May!CI319</f>
        <v>9</v>
      </c>
      <c r="R404" s="436"/>
      <c r="S404" s="436"/>
      <c r="T404" s="18">
        <v>5867</v>
      </c>
      <c r="U404" s="18"/>
      <c r="V404" s="127">
        <f>O404-T404-U404+V374</f>
        <v>4498</v>
      </c>
      <c r="W404" s="46"/>
      <c r="Y404" s="13"/>
    </row>
    <row r="405" spans="1:27" ht="14.25" customHeight="1">
      <c r="A405" s="427"/>
      <c r="B405" s="439"/>
      <c r="C405" s="471"/>
      <c r="D405" s="115" t="s">
        <v>79</v>
      </c>
      <c r="E405" s="118" t="s">
        <v>65</v>
      </c>
      <c r="F405" s="131" t="s">
        <v>57</v>
      </c>
      <c r="G405" s="224"/>
      <c r="H405" s="126"/>
      <c r="I405" s="126"/>
      <c r="J405" s="126"/>
      <c r="K405" s="18"/>
      <c r="L405" s="18"/>
      <c r="M405" s="18"/>
      <c r="N405" s="80"/>
      <c r="O405" s="126"/>
      <c r="P405" s="126"/>
      <c r="Q405" s="126">
        <f>May!CI320</f>
        <v>1</v>
      </c>
      <c r="R405" s="436"/>
      <c r="S405" s="436"/>
      <c r="T405" s="18"/>
      <c r="U405" s="18"/>
      <c r="V405" s="127"/>
      <c r="W405" s="45"/>
      <c r="X405" s="36"/>
    </row>
    <row r="406" spans="1:27" ht="14.25" customHeight="1">
      <c r="A406" s="427"/>
      <c r="B406" s="439"/>
      <c r="C406" s="448" t="s">
        <v>299</v>
      </c>
      <c r="D406" s="115" t="s">
        <v>296</v>
      </c>
      <c r="E406" s="424" t="s">
        <v>25</v>
      </c>
      <c r="F406" s="131" t="s">
        <v>298</v>
      </c>
      <c r="G406" s="224"/>
      <c r="H406" s="37"/>
      <c r="I406" s="126"/>
      <c r="J406" s="126"/>
      <c r="K406" s="18"/>
      <c r="L406" s="18"/>
      <c r="M406" s="18"/>
      <c r="N406" s="80"/>
      <c r="O406" s="126">
        <f>May!CJ321</f>
        <v>1100</v>
      </c>
      <c r="P406" s="126">
        <f>May!CK321</f>
        <v>575</v>
      </c>
      <c r="Q406" s="126">
        <f>May!CI321</f>
        <v>2</v>
      </c>
      <c r="R406" s="436"/>
      <c r="S406" s="436"/>
      <c r="T406" s="18"/>
      <c r="U406" s="18"/>
      <c r="V406" s="127">
        <f t="shared" ref="V406:V417" si="24">O406-T406-U406+V376</f>
        <v>2748</v>
      </c>
      <c r="W406" s="45"/>
      <c r="X406" s="67"/>
      <c r="Y406" s="4"/>
      <c r="Z406" s="4"/>
      <c r="AA406" s="4"/>
    </row>
    <row r="407" spans="1:27" ht="14.25" customHeight="1">
      <c r="A407" s="427"/>
      <c r="B407" s="443"/>
      <c r="C407" s="449"/>
      <c r="D407" s="115" t="s">
        <v>75</v>
      </c>
      <c r="E407" s="425"/>
      <c r="F407" s="131" t="s">
        <v>298</v>
      </c>
      <c r="G407" s="224"/>
      <c r="H407" s="37"/>
      <c r="I407" s="126"/>
      <c r="J407" s="126"/>
      <c r="K407" s="18"/>
      <c r="L407" s="18"/>
      <c r="M407" s="18"/>
      <c r="N407" s="80"/>
      <c r="O407" s="126"/>
      <c r="P407" s="126">
        <f>May!CK322</f>
        <v>577</v>
      </c>
      <c r="Q407" s="126">
        <f>May!CI322</f>
        <v>2</v>
      </c>
      <c r="R407" s="436"/>
      <c r="S407" s="436"/>
      <c r="T407" s="18"/>
      <c r="U407" s="18"/>
      <c r="V407" s="127">
        <f t="shared" si="24"/>
        <v>2200</v>
      </c>
      <c r="W407" s="45"/>
      <c r="X407" s="67"/>
    </row>
    <row r="408" spans="1:27" ht="14.25" customHeight="1">
      <c r="A408" s="427"/>
      <c r="B408" s="442" t="s">
        <v>53</v>
      </c>
      <c r="C408" s="444" t="s">
        <v>60</v>
      </c>
      <c r="D408" s="43" t="s">
        <v>130</v>
      </c>
      <c r="E408" s="424" t="s">
        <v>66</v>
      </c>
      <c r="F408" s="118" t="s">
        <v>54</v>
      </c>
      <c r="G408" s="224"/>
      <c r="H408" s="37"/>
      <c r="I408" s="126"/>
      <c r="J408" s="126"/>
      <c r="K408" s="18"/>
      <c r="L408" s="18"/>
      <c r="M408" s="18"/>
      <c r="N408" s="80"/>
      <c r="O408" s="126">
        <f>May!CJ314</f>
        <v>1735</v>
      </c>
      <c r="P408" s="126">
        <f>May!CK314</f>
        <v>2259</v>
      </c>
      <c r="Q408" s="126">
        <f>May!CI314</f>
        <v>7</v>
      </c>
      <c r="R408" s="436"/>
      <c r="S408" s="436"/>
      <c r="T408" s="18"/>
      <c r="U408" s="18"/>
      <c r="V408" s="127">
        <f t="shared" si="24"/>
        <v>5140</v>
      </c>
      <c r="W408" s="45"/>
      <c r="X408" s="67"/>
    </row>
    <row r="409" spans="1:27" ht="14.25" customHeight="1">
      <c r="A409" s="427"/>
      <c r="B409" s="439"/>
      <c r="C409" s="445"/>
      <c r="D409" s="43" t="s">
        <v>320</v>
      </c>
      <c r="E409" s="425"/>
      <c r="F409" s="118" t="s">
        <v>54</v>
      </c>
      <c r="G409" s="224"/>
      <c r="H409" s="37"/>
      <c r="I409" s="126"/>
      <c r="J409" s="126"/>
      <c r="K409" s="18"/>
      <c r="L409" s="18"/>
      <c r="M409" s="18">
        <v>77500</v>
      </c>
      <c r="N409" s="80">
        <v>13</v>
      </c>
      <c r="O409" s="126"/>
      <c r="P409" s="126">
        <f>May!CK315</f>
        <v>2388</v>
      </c>
      <c r="Q409" s="126">
        <f>May!CI315</f>
        <v>7</v>
      </c>
      <c r="R409" s="436"/>
      <c r="S409" s="436"/>
      <c r="T409" s="18"/>
      <c r="U409" s="18"/>
      <c r="V409" s="127">
        <f t="shared" si="24"/>
        <v>2400</v>
      </c>
      <c r="W409" s="45"/>
      <c r="X409" s="67"/>
    </row>
    <row r="410" spans="1:27" ht="14.25" customHeight="1">
      <c r="A410" s="427"/>
      <c r="B410" s="443"/>
      <c r="C410" s="446"/>
      <c r="D410" s="43" t="s">
        <v>199</v>
      </c>
      <c r="E410" s="114" t="s">
        <v>25</v>
      </c>
      <c r="F410" s="118" t="s">
        <v>54</v>
      </c>
      <c r="G410" s="224"/>
      <c r="H410" s="135"/>
      <c r="I410" s="158"/>
      <c r="J410" s="158"/>
      <c r="K410" s="128"/>
      <c r="L410" s="128"/>
      <c r="M410" s="128"/>
      <c r="N410" s="164"/>
      <c r="O410" s="158"/>
      <c r="P410" s="158"/>
      <c r="Q410" s="158"/>
      <c r="R410" s="436"/>
      <c r="S410" s="436"/>
      <c r="T410" s="18"/>
      <c r="U410" s="18"/>
      <c r="V410" s="127">
        <f t="shared" si="24"/>
        <v>68</v>
      </c>
      <c r="W410" s="45"/>
      <c r="X410" s="67"/>
    </row>
    <row r="411" spans="1:27" ht="15.75" customHeight="1">
      <c r="A411" s="427"/>
      <c r="B411" s="122" t="s">
        <v>55</v>
      </c>
      <c r="C411" s="180" t="s">
        <v>133</v>
      </c>
      <c r="D411" s="48" t="s">
        <v>56</v>
      </c>
      <c r="E411" s="424" t="s">
        <v>25</v>
      </c>
      <c r="F411" s="118" t="s">
        <v>67</v>
      </c>
      <c r="G411" s="226"/>
      <c r="H411" s="126"/>
      <c r="I411" s="126"/>
      <c r="J411" s="2"/>
      <c r="K411" s="18">
        <v>2800</v>
      </c>
      <c r="L411" s="18">
        <v>1</v>
      </c>
      <c r="M411" s="18"/>
      <c r="N411" s="18"/>
      <c r="O411" s="126"/>
      <c r="P411" s="126">
        <f>May!CK338</f>
        <v>325</v>
      </c>
      <c r="Q411" s="126">
        <f>May!CI338</f>
        <v>1</v>
      </c>
      <c r="R411" s="436"/>
      <c r="S411" s="436"/>
      <c r="T411" s="18"/>
      <c r="U411" s="18"/>
      <c r="V411" s="127">
        <f t="shared" si="24"/>
        <v>500</v>
      </c>
      <c r="W411" s="45"/>
      <c r="X411" s="67"/>
    </row>
    <row r="412" spans="1:27" ht="15.75" customHeight="1">
      <c r="A412" s="427"/>
      <c r="B412" s="122" t="s">
        <v>55</v>
      </c>
      <c r="C412" s="180" t="s">
        <v>316</v>
      </c>
      <c r="D412" s="48" t="s">
        <v>317</v>
      </c>
      <c r="E412" s="441"/>
      <c r="F412" s="155" t="s">
        <v>67</v>
      </c>
      <c r="G412" s="226"/>
      <c r="H412" s="126"/>
      <c r="I412" s="126"/>
      <c r="J412" s="2"/>
      <c r="K412" s="18"/>
      <c r="L412" s="18"/>
      <c r="M412" s="18"/>
      <c r="N412" s="18"/>
      <c r="O412" s="126"/>
      <c r="P412" s="126"/>
      <c r="Q412" s="126"/>
      <c r="R412" s="436"/>
      <c r="S412" s="436"/>
      <c r="T412" s="18">
        <v>450</v>
      </c>
      <c r="U412" s="18"/>
      <c r="V412" s="127">
        <f t="shared" si="24"/>
        <v>0</v>
      </c>
      <c r="W412" s="45"/>
      <c r="X412" s="67"/>
    </row>
    <row r="413" spans="1:27" ht="15" customHeight="1">
      <c r="A413" s="427"/>
      <c r="B413" s="122" t="s">
        <v>122</v>
      </c>
      <c r="C413" s="180" t="s">
        <v>123</v>
      </c>
      <c r="D413" s="48" t="s">
        <v>56</v>
      </c>
      <c r="E413" s="441"/>
      <c r="F413" s="155" t="s">
        <v>64</v>
      </c>
      <c r="G413" s="119"/>
      <c r="H413" s="126"/>
      <c r="I413" s="126"/>
      <c r="J413" s="2"/>
      <c r="K413" s="18"/>
      <c r="L413" s="18"/>
      <c r="M413" s="18">
        <v>6400</v>
      </c>
      <c r="N413" s="18">
        <v>2</v>
      </c>
      <c r="O413" s="126"/>
      <c r="P413" s="126"/>
      <c r="Q413" s="126"/>
      <c r="R413" s="436"/>
      <c r="S413" s="436"/>
      <c r="T413" s="18"/>
      <c r="U413" s="18"/>
      <c r="V413" s="127">
        <f t="shared" si="24"/>
        <v>21764</v>
      </c>
      <c r="W413" s="45"/>
      <c r="X413" s="67"/>
    </row>
    <row r="414" spans="1:27" ht="14.25" customHeight="1">
      <c r="A414" s="427"/>
      <c r="B414" s="137" t="s">
        <v>58</v>
      </c>
      <c r="C414" s="157" t="s">
        <v>243</v>
      </c>
      <c r="D414" s="48" t="s">
        <v>56</v>
      </c>
      <c r="E414" s="441"/>
      <c r="F414" s="118" t="s">
        <v>64</v>
      </c>
      <c r="G414" s="225"/>
      <c r="H414" s="126"/>
      <c r="I414" s="126"/>
      <c r="J414" s="126"/>
      <c r="K414" s="18"/>
      <c r="L414" s="18"/>
      <c r="M414" s="18"/>
      <c r="N414" s="80"/>
      <c r="O414" s="126"/>
      <c r="P414" s="126"/>
      <c r="Q414" s="126"/>
      <c r="R414" s="436"/>
      <c r="S414" s="436"/>
      <c r="T414" s="18"/>
      <c r="U414" s="18"/>
      <c r="V414" s="127">
        <f t="shared" si="24"/>
        <v>8562</v>
      </c>
      <c r="W414" s="45"/>
      <c r="X414" s="67"/>
    </row>
    <row r="415" spans="1:27" ht="14.25" customHeight="1">
      <c r="A415" s="427"/>
      <c r="B415" s="122" t="s">
        <v>61</v>
      </c>
      <c r="C415" s="180" t="s">
        <v>137</v>
      </c>
      <c r="D415" s="48" t="s">
        <v>56</v>
      </c>
      <c r="E415" s="441"/>
      <c r="F415" s="118" t="s">
        <v>67</v>
      </c>
      <c r="G415" s="225"/>
      <c r="H415" s="126"/>
      <c r="I415" s="126"/>
      <c r="J415" s="126"/>
      <c r="K415" s="18"/>
      <c r="L415" s="18"/>
      <c r="M415" s="18"/>
      <c r="N415" s="80"/>
      <c r="O415" s="126"/>
      <c r="P415" s="126"/>
      <c r="Q415" s="126"/>
      <c r="R415" s="436"/>
      <c r="S415" s="436"/>
      <c r="T415" s="18"/>
      <c r="U415" s="18"/>
      <c r="V415" s="127">
        <f t="shared" si="24"/>
        <v>5844</v>
      </c>
      <c r="W415" s="45"/>
      <c r="X415" s="67"/>
    </row>
    <row r="416" spans="1:27" ht="14.25" customHeight="1">
      <c r="A416" s="427"/>
      <c r="B416" s="122" t="s">
        <v>125</v>
      </c>
      <c r="C416" s="180" t="s">
        <v>88</v>
      </c>
      <c r="D416" s="48" t="s">
        <v>124</v>
      </c>
      <c r="E416" s="441"/>
      <c r="F416" s="118" t="s">
        <v>64</v>
      </c>
      <c r="G416" s="225"/>
      <c r="H416" s="126"/>
      <c r="I416" s="126"/>
      <c r="J416" s="126"/>
      <c r="K416" s="18"/>
      <c r="L416" s="18"/>
      <c r="M416" s="18">
        <v>51200</v>
      </c>
      <c r="N416" s="80">
        <v>7</v>
      </c>
      <c r="O416" s="126"/>
      <c r="P416" s="126"/>
      <c r="Q416" s="126"/>
      <c r="R416" s="436"/>
      <c r="S416" s="436"/>
      <c r="T416" s="18"/>
      <c r="U416" s="18"/>
      <c r="V416" s="127">
        <f t="shared" si="24"/>
        <v>23615</v>
      </c>
      <c r="W416" s="45"/>
      <c r="X416" s="67"/>
    </row>
    <row r="417" spans="1:25" ht="14.25" customHeight="1">
      <c r="A417" s="427"/>
      <c r="B417" s="442" t="s">
        <v>47</v>
      </c>
      <c r="C417" s="444" t="s">
        <v>100</v>
      </c>
      <c r="D417" s="48" t="s">
        <v>99</v>
      </c>
      <c r="E417" s="441"/>
      <c r="F417" s="118" t="s">
        <v>71</v>
      </c>
      <c r="G417" s="225"/>
      <c r="H417" s="126"/>
      <c r="I417" s="126"/>
      <c r="J417" s="126"/>
      <c r="K417" s="18">
        <v>5600</v>
      </c>
      <c r="L417" s="18">
        <v>1</v>
      </c>
      <c r="M417" s="18"/>
      <c r="N417" s="80"/>
      <c r="O417" s="126">
        <f>May!CJ326</f>
        <v>1500</v>
      </c>
      <c r="P417" s="126">
        <f>May!CK326</f>
        <v>2013</v>
      </c>
      <c r="Q417" s="126">
        <f>May!CI326</f>
        <v>7</v>
      </c>
      <c r="R417" s="436"/>
      <c r="S417" s="436"/>
      <c r="T417" s="18"/>
      <c r="U417" s="18"/>
      <c r="V417" s="127">
        <f t="shared" si="24"/>
        <v>33666</v>
      </c>
      <c r="W417" s="45"/>
      <c r="X417" s="67"/>
    </row>
    <row r="418" spans="1:25" ht="14.25" customHeight="1">
      <c r="A418" s="427"/>
      <c r="B418" s="443"/>
      <c r="C418" s="446"/>
      <c r="D418" s="48" t="s">
        <v>121</v>
      </c>
      <c r="E418" s="441"/>
      <c r="F418" s="118"/>
      <c r="G418" s="225"/>
      <c r="H418" s="126">
        <v>612</v>
      </c>
      <c r="I418" s="126"/>
      <c r="J418" s="126"/>
      <c r="K418" s="18"/>
      <c r="L418" s="18"/>
      <c r="M418" s="18"/>
      <c r="N418" s="80"/>
      <c r="O418" s="126"/>
      <c r="P418" s="126"/>
      <c r="Q418" s="126"/>
      <c r="R418" s="436"/>
      <c r="S418" s="436"/>
      <c r="T418" s="18"/>
      <c r="U418" s="18"/>
      <c r="V418" s="127"/>
      <c r="W418" s="45"/>
      <c r="X418" s="67"/>
    </row>
    <row r="419" spans="1:25" ht="15" customHeight="1">
      <c r="A419" s="427"/>
      <c r="B419" s="122" t="s">
        <v>196</v>
      </c>
      <c r="C419" s="180" t="s">
        <v>63</v>
      </c>
      <c r="D419" s="48" t="s">
        <v>135</v>
      </c>
      <c r="E419" s="441"/>
      <c r="F419" s="118" t="s">
        <v>64</v>
      </c>
      <c r="G419" s="226"/>
      <c r="H419" s="37">
        <v>535.5</v>
      </c>
      <c r="I419" s="126"/>
      <c r="J419" s="2"/>
      <c r="K419" s="18"/>
      <c r="L419" s="18"/>
      <c r="M419" s="18"/>
      <c r="N419" s="18"/>
      <c r="O419" s="126"/>
      <c r="P419" s="126">
        <f>May!CK334</f>
        <v>1443</v>
      </c>
      <c r="Q419" s="126">
        <f>May!CI334</f>
        <v>5</v>
      </c>
      <c r="R419" s="436"/>
      <c r="S419" s="436"/>
      <c r="T419" s="18"/>
      <c r="U419" s="18"/>
      <c r="V419" s="127">
        <f t="shared" ref="V419:V425" si="25">O419-T419-U419+V388</f>
        <v>14761</v>
      </c>
      <c r="W419" s="45"/>
      <c r="X419" s="67"/>
    </row>
    <row r="420" spans="1:25" ht="15" customHeight="1">
      <c r="A420" s="427"/>
      <c r="B420" s="122" t="s">
        <v>363</v>
      </c>
      <c r="C420" s="180" t="s">
        <v>325</v>
      </c>
      <c r="D420" s="48" t="s">
        <v>328</v>
      </c>
      <c r="E420" s="441"/>
      <c r="F420" s="118" t="s">
        <v>48</v>
      </c>
      <c r="G420" s="226"/>
      <c r="H420" s="126"/>
      <c r="I420" s="126"/>
      <c r="J420" s="2"/>
      <c r="K420" s="18"/>
      <c r="L420" s="18"/>
      <c r="M420" s="18"/>
      <c r="N420" s="18"/>
      <c r="O420" s="126"/>
      <c r="P420" s="126">
        <f>May!CK332</f>
        <v>608</v>
      </c>
      <c r="Q420" s="126">
        <f>May!CI332</f>
        <v>2</v>
      </c>
      <c r="R420" s="436"/>
      <c r="S420" s="436"/>
      <c r="T420" s="18"/>
      <c r="U420" s="18"/>
      <c r="V420" s="127">
        <f t="shared" si="25"/>
        <v>2149</v>
      </c>
      <c r="W420" s="45"/>
      <c r="X420" s="67"/>
    </row>
    <row r="421" spans="1:25" ht="15" customHeight="1">
      <c r="A421" s="427"/>
      <c r="B421" s="122" t="s">
        <v>253</v>
      </c>
      <c r="C421" s="180" t="s">
        <v>365</v>
      </c>
      <c r="D421" s="48" t="s">
        <v>246</v>
      </c>
      <c r="E421" s="441"/>
      <c r="F421" s="118" t="s">
        <v>247</v>
      </c>
      <c r="G421" s="226"/>
      <c r="H421" s="126"/>
      <c r="I421" s="126"/>
      <c r="J421" s="2"/>
      <c r="K421" s="18"/>
      <c r="L421" s="18"/>
      <c r="M421" s="18"/>
      <c r="N421" s="18"/>
      <c r="O421" s="126"/>
      <c r="P421" s="126">
        <f>May!CK327</f>
        <v>765</v>
      </c>
      <c r="Q421" s="126">
        <f>May!CI327</f>
        <v>4</v>
      </c>
      <c r="R421" s="436"/>
      <c r="S421" s="436"/>
      <c r="T421" s="18"/>
      <c r="U421" s="18"/>
      <c r="V421" s="127">
        <f t="shared" si="25"/>
        <v>10940</v>
      </c>
      <c r="W421" s="45"/>
      <c r="X421" s="67"/>
    </row>
    <row r="422" spans="1:25" ht="15" customHeight="1">
      <c r="A422" s="427"/>
      <c r="B422" s="122" t="s">
        <v>366</v>
      </c>
      <c r="C422" s="180" t="s">
        <v>367</v>
      </c>
      <c r="D422" s="48" t="s">
        <v>132</v>
      </c>
      <c r="E422" s="441"/>
      <c r="F422" s="118" t="s">
        <v>64</v>
      </c>
      <c r="G422" s="119"/>
      <c r="H422" s="126"/>
      <c r="I422" s="126"/>
      <c r="J422" s="2"/>
      <c r="K422" s="18"/>
      <c r="L422" s="18"/>
      <c r="M422" s="18"/>
      <c r="N422" s="18"/>
      <c r="O422" s="126">
        <f>May!CJ331</f>
        <v>2910</v>
      </c>
      <c r="P422" s="126">
        <f>May!CK331</f>
        <v>654</v>
      </c>
      <c r="Q422" s="126">
        <f>May!CI331</f>
        <v>2</v>
      </c>
      <c r="R422" s="436"/>
      <c r="S422" s="436"/>
      <c r="T422" s="18"/>
      <c r="U422" s="18"/>
      <c r="V422" s="18">
        <f t="shared" si="25"/>
        <v>2910</v>
      </c>
      <c r="W422" s="45"/>
      <c r="X422" s="67"/>
    </row>
    <row r="423" spans="1:25" ht="15" customHeight="1">
      <c r="A423" s="427"/>
      <c r="B423" s="122" t="s">
        <v>101</v>
      </c>
      <c r="C423" s="180" t="s">
        <v>327</v>
      </c>
      <c r="D423" s="48" t="s">
        <v>102</v>
      </c>
      <c r="E423" s="441"/>
      <c r="F423" s="118" t="s">
        <v>64</v>
      </c>
      <c r="G423" s="119"/>
      <c r="H423" s="126"/>
      <c r="I423" s="126"/>
      <c r="J423" s="2"/>
      <c r="K423" s="18"/>
      <c r="L423" s="18"/>
      <c r="M423" s="18">
        <v>28000</v>
      </c>
      <c r="N423" s="18">
        <v>4</v>
      </c>
      <c r="O423" s="126">
        <f>May!CJ330</f>
        <v>3000</v>
      </c>
      <c r="P423" s="126">
        <f>May!CK330</f>
        <v>3198</v>
      </c>
      <c r="Q423" s="126">
        <f>May!CI330</f>
        <v>8</v>
      </c>
      <c r="R423" s="436"/>
      <c r="S423" s="436"/>
      <c r="T423" s="18">
        <v>2730</v>
      </c>
      <c r="U423" s="18"/>
      <c r="V423" s="18">
        <f t="shared" si="25"/>
        <v>3402</v>
      </c>
      <c r="W423" s="45"/>
      <c r="X423" s="67"/>
    </row>
    <row r="424" spans="1:25" s="4" customFormat="1" ht="15" customHeight="1">
      <c r="A424" s="427"/>
      <c r="B424" s="122" t="s">
        <v>375</v>
      </c>
      <c r="C424" s="157" t="s">
        <v>376</v>
      </c>
      <c r="D424" s="48" t="s">
        <v>248</v>
      </c>
      <c r="E424" s="441"/>
      <c r="F424" s="48" t="s">
        <v>64</v>
      </c>
      <c r="G424" s="122"/>
      <c r="H424" s="34"/>
      <c r="I424" s="34"/>
      <c r="J424" s="6"/>
      <c r="K424" s="211">
        <v>36450</v>
      </c>
      <c r="L424" s="211">
        <v>9</v>
      </c>
      <c r="M424" s="211">
        <v>48000</v>
      </c>
      <c r="N424" s="211">
        <v>12</v>
      </c>
      <c r="O424" s="34">
        <f>May!CJ333</f>
        <v>5301</v>
      </c>
      <c r="P424" s="34">
        <f>May!CK333</f>
        <v>5523</v>
      </c>
      <c r="Q424" s="34">
        <f>May!CI333</f>
        <v>21</v>
      </c>
      <c r="R424" s="436"/>
      <c r="S424" s="436"/>
      <c r="T424" s="211">
        <v>1601</v>
      </c>
      <c r="U424" s="211"/>
      <c r="V424" s="211">
        <f t="shared" si="25"/>
        <v>8423</v>
      </c>
      <c r="W424" s="260"/>
      <c r="X424" s="67"/>
    </row>
    <row r="425" spans="1:25" s="4" customFormat="1" ht="15" customHeight="1">
      <c r="A425" s="427"/>
      <c r="B425" s="122" t="s">
        <v>289</v>
      </c>
      <c r="C425" s="180" t="s">
        <v>290</v>
      </c>
      <c r="D425" s="48" t="s">
        <v>75</v>
      </c>
      <c r="E425" s="441"/>
      <c r="F425" s="48" t="s">
        <v>381</v>
      </c>
      <c r="G425" s="122"/>
      <c r="H425" s="34"/>
      <c r="I425" s="34"/>
      <c r="J425" s="6"/>
      <c r="K425" s="211"/>
      <c r="L425" s="211"/>
      <c r="M425" s="211"/>
      <c r="N425" s="211"/>
      <c r="O425" s="34"/>
      <c r="P425" s="34">
        <f>May!CK329</f>
        <v>140</v>
      </c>
      <c r="Q425" s="34">
        <f>May!CI329</f>
        <v>1</v>
      </c>
      <c r="R425" s="436"/>
      <c r="S425" s="436"/>
      <c r="T425" s="211"/>
      <c r="U425" s="211"/>
      <c r="V425" s="211">
        <f t="shared" si="25"/>
        <v>0</v>
      </c>
      <c r="W425" s="260"/>
      <c r="X425" s="67"/>
    </row>
    <row r="426" spans="1:25" ht="15" customHeight="1">
      <c r="A426" s="427"/>
      <c r="B426" s="122" t="s">
        <v>103</v>
      </c>
      <c r="C426" s="157" t="s">
        <v>197</v>
      </c>
      <c r="D426" s="48" t="s">
        <v>104</v>
      </c>
      <c r="E426" s="441"/>
      <c r="F426" s="118" t="s">
        <v>105</v>
      </c>
      <c r="G426" s="119"/>
      <c r="H426" s="126"/>
      <c r="I426" s="126"/>
      <c r="J426" s="2"/>
      <c r="K426" s="18"/>
      <c r="L426" s="18"/>
      <c r="M426" s="18"/>
      <c r="N426" s="18"/>
      <c r="O426" s="126"/>
      <c r="P426" s="126"/>
      <c r="Q426" s="126">
        <f>May!CI335</f>
        <v>1</v>
      </c>
      <c r="R426" s="436"/>
      <c r="S426" s="436"/>
      <c r="T426" s="18"/>
      <c r="U426" s="18"/>
      <c r="V426" s="18"/>
      <c r="W426" s="45"/>
      <c r="X426" s="67"/>
    </row>
    <row r="427" spans="1:25" ht="15" customHeight="1">
      <c r="A427" s="427"/>
      <c r="B427" s="137" t="s">
        <v>112</v>
      </c>
      <c r="C427" s="157" t="s">
        <v>197</v>
      </c>
      <c r="D427" s="48" t="s">
        <v>104</v>
      </c>
      <c r="E427" s="441"/>
      <c r="F427" s="118" t="s">
        <v>113</v>
      </c>
      <c r="G427" s="119"/>
      <c r="H427" s="126"/>
      <c r="I427" s="126"/>
      <c r="J427" s="2"/>
      <c r="K427" s="18"/>
      <c r="L427" s="18"/>
      <c r="M427" s="18"/>
      <c r="N427" s="18"/>
      <c r="O427" s="126"/>
      <c r="P427" s="126"/>
      <c r="Q427" s="126">
        <f>May!CI337</f>
        <v>1</v>
      </c>
      <c r="R427" s="436"/>
      <c r="S427" s="436"/>
      <c r="T427" s="18"/>
      <c r="U427" s="18"/>
      <c r="V427" s="18"/>
      <c r="W427" s="45"/>
      <c r="X427" s="67"/>
    </row>
    <row r="428" spans="1:25" ht="15" customHeight="1" thickBot="1">
      <c r="A428" s="428"/>
      <c r="B428" s="44" t="s">
        <v>107</v>
      </c>
      <c r="C428" s="181" t="s">
        <v>195</v>
      </c>
      <c r="D428" s="61" t="s">
        <v>108</v>
      </c>
      <c r="E428" s="447"/>
      <c r="F428" s="133" t="s">
        <v>48</v>
      </c>
      <c r="G428" s="132"/>
      <c r="H428" s="109"/>
      <c r="I428" s="134"/>
      <c r="J428" s="129"/>
      <c r="K428" s="130"/>
      <c r="L428" s="130"/>
      <c r="M428" s="130"/>
      <c r="N428" s="130"/>
      <c r="O428" s="134"/>
      <c r="P428" s="134"/>
      <c r="Q428" s="134"/>
      <c r="R428" s="437"/>
      <c r="S428" s="437"/>
      <c r="T428" s="130"/>
      <c r="U428" s="130"/>
      <c r="V428" s="128">
        <f t="shared" ref="V428:V433" si="26">O428-T428-U428+V397</f>
        <v>903</v>
      </c>
      <c r="W428" s="85"/>
      <c r="X428" s="67"/>
    </row>
    <row r="429" spans="1:25" ht="15" customHeight="1">
      <c r="A429" s="426">
        <v>46163</v>
      </c>
      <c r="B429" s="429" t="s">
        <v>44</v>
      </c>
      <c r="C429" s="432" t="s">
        <v>240</v>
      </c>
      <c r="D429" s="19" t="s">
        <v>37</v>
      </c>
      <c r="E429" s="19" t="s">
        <v>25</v>
      </c>
      <c r="F429" s="39" t="s">
        <v>40</v>
      </c>
      <c r="G429" s="41">
        <v>4398.4799999999996</v>
      </c>
      <c r="H429" s="32">
        <v>4608</v>
      </c>
      <c r="I429" s="32"/>
      <c r="J429" s="32"/>
      <c r="K429" s="20"/>
      <c r="L429" s="20"/>
      <c r="M429" s="20">
        <v>176800</v>
      </c>
      <c r="N429" s="84">
        <v>22</v>
      </c>
      <c r="O429" s="32">
        <f>May!CM311</f>
        <v>24925</v>
      </c>
      <c r="P429" s="32">
        <f>May!CN311</f>
        <v>34176</v>
      </c>
      <c r="Q429" s="32">
        <f>May!CL311</f>
        <v>92</v>
      </c>
      <c r="R429" s="435">
        <f>May!CM340</f>
        <v>68132</v>
      </c>
      <c r="S429" s="435">
        <f>May!CN340</f>
        <v>88448</v>
      </c>
      <c r="T429" s="20">
        <v>17071</v>
      </c>
      <c r="U429" s="20"/>
      <c r="V429" s="20">
        <f>O429-T429-U429+V398</f>
        <v>177116</v>
      </c>
      <c r="W429" s="77"/>
      <c r="X429" s="36"/>
    </row>
    <row r="430" spans="1:25" ht="15" customHeight="1">
      <c r="A430" s="427"/>
      <c r="B430" s="430"/>
      <c r="C430" s="433"/>
      <c r="D430" s="113" t="s">
        <v>128</v>
      </c>
      <c r="E430" s="438" t="s">
        <v>24</v>
      </c>
      <c r="F430" s="118" t="s">
        <v>40</v>
      </c>
      <c r="G430" s="38"/>
      <c r="H430" s="126"/>
      <c r="I430" s="125"/>
      <c r="J430" s="125"/>
      <c r="K430" s="18"/>
      <c r="L430" s="127"/>
      <c r="M430" s="216"/>
      <c r="N430" s="238"/>
      <c r="O430" s="126"/>
      <c r="P430" s="125"/>
      <c r="Q430" s="125"/>
      <c r="R430" s="436"/>
      <c r="S430" s="436"/>
      <c r="T430" s="127"/>
      <c r="U430" s="127"/>
      <c r="V430" s="127">
        <f t="shared" si="26"/>
        <v>10998</v>
      </c>
      <c r="W430" s="46"/>
      <c r="X430" s="67"/>
    </row>
    <row r="431" spans="1:25" ht="15" customHeight="1">
      <c r="A431" s="427"/>
      <c r="B431" s="431"/>
      <c r="C431" s="434"/>
      <c r="D431" s="113" t="s">
        <v>307</v>
      </c>
      <c r="E431" s="431"/>
      <c r="F431" s="118" t="s">
        <v>40</v>
      </c>
      <c r="G431" s="135">
        <v>5498.1</v>
      </c>
      <c r="H431" s="158"/>
      <c r="I431" s="125"/>
      <c r="J431" s="125"/>
      <c r="K431" s="127">
        <v>80000</v>
      </c>
      <c r="L431" s="127">
        <v>10</v>
      </c>
      <c r="M431" s="216">
        <v>104000</v>
      </c>
      <c r="N431" s="238">
        <v>13</v>
      </c>
      <c r="O431" s="126">
        <f>May!CM313</f>
        <v>16713</v>
      </c>
      <c r="P431" s="125">
        <f>May!CN313</f>
        <v>25786</v>
      </c>
      <c r="Q431" s="125">
        <f>May!CL313</f>
        <v>70</v>
      </c>
      <c r="R431" s="436"/>
      <c r="S431" s="436"/>
      <c r="T431" s="127">
        <v>33370</v>
      </c>
      <c r="U431" s="127"/>
      <c r="V431" s="127">
        <f t="shared" si="26"/>
        <v>75653</v>
      </c>
      <c r="W431" s="46"/>
      <c r="X431" s="67"/>
    </row>
    <row r="432" spans="1:25" ht="15" customHeight="1">
      <c r="A432" s="427"/>
      <c r="B432" s="442" t="s">
        <v>45</v>
      </c>
      <c r="C432" s="471" t="s">
        <v>59</v>
      </c>
      <c r="D432" s="118" t="s">
        <v>75</v>
      </c>
      <c r="E432" s="438" t="s">
        <v>25</v>
      </c>
      <c r="F432" s="131" t="s">
        <v>57</v>
      </c>
      <c r="G432" s="87"/>
      <c r="H432" s="152"/>
      <c r="I432" s="126"/>
      <c r="J432" s="2"/>
      <c r="K432" s="127">
        <v>5180</v>
      </c>
      <c r="L432" s="18">
        <v>1</v>
      </c>
      <c r="M432" s="18">
        <v>41440</v>
      </c>
      <c r="N432" s="80">
        <v>8</v>
      </c>
      <c r="O432" s="126"/>
      <c r="P432" s="126">
        <f>May!CN317</f>
        <v>1539</v>
      </c>
      <c r="Q432" s="2">
        <f>May!CL317</f>
        <v>6</v>
      </c>
      <c r="R432" s="436"/>
      <c r="S432" s="436"/>
      <c r="T432" s="18"/>
      <c r="U432" s="18"/>
      <c r="V432" s="127">
        <f t="shared" si="26"/>
        <v>3511</v>
      </c>
      <c r="W432" s="46"/>
      <c r="Y432" s="13"/>
    </row>
    <row r="433" spans="1:25" ht="15" customHeight="1">
      <c r="A433" s="427"/>
      <c r="B433" s="439"/>
      <c r="C433" s="471"/>
      <c r="D433" s="118" t="s">
        <v>291</v>
      </c>
      <c r="E433" s="430"/>
      <c r="F433" s="131" t="s">
        <v>57</v>
      </c>
      <c r="G433" s="87"/>
      <c r="H433" s="152"/>
      <c r="I433" s="126"/>
      <c r="J433" s="2"/>
      <c r="K433" s="127"/>
      <c r="L433" s="18"/>
      <c r="M433" s="18"/>
      <c r="N433" s="80"/>
      <c r="O433" s="126">
        <f>May!CM318</f>
        <v>1100</v>
      </c>
      <c r="P433" s="126">
        <f>May!CN318</f>
        <v>1537</v>
      </c>
      <c r="Q433" s="2">
        <f>May!CL318</f>
        <v>6</v>
      </c>
      <c r="R433" s="436"/>
      <c r="S433" s="436"/>
      <c r="T433" s="18">
        <v>5694</v>
      </c>
      <c r="U433" s="18"/>
      <c r="V433" s="127">
        <f t="shared" si="26"/>
        <v>6387</v>
      </c>
      <c r="W433" s="46"/>
      <c r="Y433" s="13"/>
    </row>
    <row r="434" spans="1:25">
      <c r="A434" s="427"/>
      <c r="B434" s="439"/>
      <c r="C434" s="471"/>
      <c r="D434" s="118" t="s">
        <v>72</v>
      </c>
      <c r="E434" s="155" t="s">
        <v>24</v>
      </c>
      <c r="F434" s="131" t="s">
        <v>57</v>
      </c>
      <c r="G434" s="224"/>
      <c r="H434" s="152"/>
      <c r="I434" s="126"/>
      <c r="J434" s="126"/>
      <c r="K434" s="127">
        <v>5000</v>
      </c>
      <c r="L434" s="18">
        <v>1</v>
      </c>
      <c r="M434" s="18">
        <v>70000</v>
      </c>
      <c r="N434" s="80">
        <v>14</v>
      </c>
      <c r="O434" s="126">
        <f>May!CM319</f>
        <v>2499</v>
      </c>
      <c r="P434" s="126">
        <f>May!CN319</f>
        <v>2120</v>
      </c>
      <c r="Q434" s="126">
        <f>May!CL319</f>
        <v>9</v>
      </c>
      <c r="R434" s="436"/>
      <c r="S434" s="436"/>
      <c r="T434" s="18"/>
      <c r="U434" s="18"/>
      <c r="V434" s="127">
        <f>O434-T434-U434+V404</f>
        <v>6997</v>
      </c>
      <c r="W434" s="46"/>
      <c r="Y434" s="13"/>
    </row>
    <row r="435" spans="1:25" ht="14.25" customHeight="1">
      <c r="A435" s="427"/>
      <c r="B435" s="439"/>
      <c r="C435" s="471"/>
      <c r="D435" s="115" t="s">
        <v>79</v>
      </c>
      <c r="E435" s="118" t="s">
        <v>65</v>
      </c>
      <c r="F435" s="131" t="s">
        <v>57</v>
      </c>
      <c r="G435" s="224"/>
      <c r="H435" s="126"/>
      <c r="I435" s="126"/>
      <c r="J435" s="126"/>
      <c r="K435" s="18"/>
      <c r="L435" s="18"/>
      <c r="M435" s="18"/>
      <c r="N435" s="80"/>
      <c r="O435" s="126"/>
      <c r="P435" s="126"/>
      <c r="Q435" s="126">
        <f>May!CL320</f>
        <v>1</v>
      </c>
      <c r="R435" s="436"/>
      <c r="S435" s="436"/>
      <c r="T435" s="18"/>
      <c r="U435" s="18"/>
      <c r="V435" s="127"/>
      <c r="W435" s="45"/>
      <c r="X435" s="36"/>
    </row>
    <row r="436" spans="1:25" ht="14.25" customHeight="1">
      <c r="A436" s="427"/>
      <c r="B436" s="439"/>
      <c r="C436" s="448" t="s">
        <v>299</v>
      </c>
      <c r="D436" s="115" t="s">
        <v>296</v>
      </c>
      <c r="E436" s="424" t="s">
        <v>25</v>
      </c>
      <c r="F436" s="131" t="s">
        <v>298</v>
      </c>
      <c r="G436" s="224"/>
      <c r="H436" s="37"/>
      <c r="I436" s="126"/>
      <c r="J436" s="126"/>
      <c r="K436" s="18"/>
      <c r="L436" s="18"/>
      <c r="M436" s="18"/>
      <c r="N436" s="80"/>
      <c r="O436" s="126"/>
      <c r="P436" s="126">
        <f>May!CN321</f>
        <v>565</v>
      </c>
      <c r="Q436" s="126">
        <f>May!CL321</f>
        <v>2</v>
      </c>
      <c r="R436" s="436"/>
      <c r="S436" s="436"/>
      <c r="T436" s="18"/>
      <c r="U436" s="18"/>
      <c r="V436" s="127">
        <f t="shared" ref="V436:V441" si="27">O436-T436-U436+V406</f>
        <v>2748</v>
      </c>
      <c r="W436" s="45"/>
      <c r="X436" s="67"/>
    </row>
    <row r="437" spans="1:25" ht="14.25" customHeight="1">
      <c r="A437" s="427"/>
      <c r="B437" s="443"/>
      <c r="C437" s="449"/>
      <c r="D437" s="115" t="s">
        <v>75</v>
      </c>
      <c r="E437" s="425"/>
      <c r="F437" s="131" t="s">
        <v>298</v>
      </c>
      <c r="G437" s="224"/>
      <c r="H437" s="37"/>
      <c r="I437" s="126"/>
      <c r="J437" s="126"/>
      <c r="K437" s="18"/>
      <c r="L437" s="18"/>
      <c r="M437" s="18"/>
      <c r="N437" s="80"/>
      <c r="O437" s="126"/>
      <c r="P437" s="126">
        <f>May!CN322</f>
        <v>565</v>
      </c>
      <c r="Q437" s="126">
        <f>May!CL322</f>
        <v>2</v>
      </c>
      <c r="R437" s="436"/>
      <c r="S437" s="436"/>
      <c r="T437" s="18"/>
      <c r="U437" s="18"/>
      <c r="V437" s="127">
        <f t="shared" si="27"/>
        <v>2200</v>
      </c>
      <c r="W437" s="45"/>
      <c r="X437" s="67"/>
    </row>
    <row r="438" spans="1:25" ht="14.25" customHeight="1">
      <c r="A438" s="427"/>
      <c r="B438" s="442" t="s">
        <v>53</v>
      </c>
      <c r="C438" s="444" t="s">
        <v>60</v>
      </c>
      <c r="D438" s="43" t="s">
        <v>130</v>
      </c>
      <c r="E438" s="424" t="s">
        <v>66</v>
      </c>
      <c r="F438" s="118" t="s">
        <v>54</v>
      </c>
      <c r="G438" s="224"/>
      <c r="H438" s="37"/>
      <c r="I438" s="126"/>
      <c r="J438" s="126"/>
      <c r="K438" s="18"/>
      <c r="L438" s="18"/>
      <c r="M438" s="18"/>
      <c r="N438" s="80"/>
      <c r="O438" s="126">
        <f>May!CM314</f>
        <v>3301</v>
      </c>
      <c r="P438" s="126">
        <f>May!CN314</f>
        <v>2039</v>
      </c>
      <c r="Q438" s="126">
        <f>May!CL314</f>
        <v>6</v>
      </c>
      <c r="R438" s="436"/>
      <c r="S438" s="436"/>
      <c r="T438" s="18">
        <v>6319</v>
      </c>
      <c r="U438" s="18"/>
      <c r="V438" s="127">
        <f t="shared" si="27"/>
        <v>2122</v>
      </c>
      <c r="W438" s="45"/>
      <c r="X438" s="67"/>
    </row>
    <row r="439" spans="1:25" ht="14.25" customHeight="1">
      <c r="A439" s="427"/>
      <c r="B439" s="439"/>
      <c r="C439" s="445"/>
      <c r="D439" s="43" t="s">
        <v>320</v>
      </c>
      <c r="E439" s="425"/>
      <c r="F439" s="118" t="s">
        <v>54</v>
      </c>
      <c r="G439" s="224"/>
      <c r="H439" s="37"/>
      <c r="I439" s="126"/>
      <c r="J439" s="126"/>
      <c r="K439" s="18">
        <v>12000</v>
      </c>
      <c r="L439" s="18">
        <v>2</v>
      </c>
      <c r="M439" s="18">
        <v>65500</v>
      </c>
      <c r="N439" s="80">
        <v>11</v>
      </c>
      <c r="O439" s="126">
        <f>May!CM315</f>
        <v>2577</v>
      </c>
      <c r="P439" s="126">
        <f>May!CN315</f>
        <v>2686</v>
      </c>
      <c r="Q439" s="126">
        <f>May!CL315</f>
        <v>8</v>
      </c>
      <c r="R439" s="436"/>
      <c r="S439" s="436"/>
      <c r="T439" s="18"/>
      <c r="U439" s="18"/>
      <c r="V439" s="127">
        <f t="shared" si="27"/>
        <v>4977</v>
      </c>
      <c r="W439" s="45"/>
      <c r="X439" s="67"/>
    </row>
    <row r="440" spans="1:25" ht="14.25" customHeight="1">
      <c r="A440" s="427"/>
      <c r="B440" s="443"/>
      <c r="C440" s="446"/>
      <c r="D440" s="43" t="s">
        <v>199</v>
      </c>
      <c r="E440" s="114" t="s">
        <v>25</v>
      </c>
      <c r="F440" s="118" t="s">
        <v>54</v>
      </c>
      <c r="G440" s="224"/>
      <c r="H440" s="135"/>
      <c r="I440" s="158"/>
      <c r="J440" s="158"/>
      <c r="K440" s="128"/>
      <c r="L440" s="128"/>
      <c r="M440" s="128"/>
      <c r="N440" s="164"/>
      <c r="O440" s="158"/>
      <c r="P440" s="158"/>
      <c r="Q440" s="158"/>
      <c r="R440" s="436"/>
      <c r="S440" s="436"/>
      <c r="T440" s="18"/>
      <c r="U440" s="18"/>
      <c r="V440" s="127">
        <f t="shared" si="27"/>
        <v>68</v>
      </c>
      <c r="W440" s="45"/>
      <c r="X440" s="67"/>
    </row>
    <row r="441" spans="1:25" ht="15.75" customHeight="1">
      <c r="A441" s="427"/>
      <c r="B441" s="442" t="s">
        <v>55</v>
      </c>
      <c r="C441" s="444" t="s">
        <v>133</v>
      </c>
      <c r="D441" s="48" t="s">
        <v>56</v>
      </c>
      <c r="E441" s="424" t="s">
        <v>25</v>
      </c>
      <c r="F441" s="118" t="s">
        <v>67</v>
      </c>
      <c r="G441" s="226"/>
      <c r="H441" s="126"/>
      <c r="I441" s="126"/>
      <c r="J441" s="2"/>
      <c r="K441" s="18"/>
      <c r="L441" s="18"/>
      <c r="M441" s="18"/>
      <c r="N441" s="18"/>
      <c r="O441" s="126">
        <f>May!CM338</f>
        <v>500</v>
      </c>
      <c r="P441" s="126">
        <f>May!CN338</f>
        <v>508</v>
      </c>
      <c r="Q441" s="126">
        <f>May!CL338</f>
        <v>1</v>
      </c>
      <c r="R441" s="436"/>
      <c r="S441" s="436"/>
      <c r="T441" s="18"/>
      <c r="U441" s="18"/>
      <c r="V441" s="127">
        <f t="shared" si="27"/>
        <v>1000</v>
      </c>
      <c r="W441" s="45"/>
      <c r="X441" s="67"/>
    </row>
    <row r="442" spans="1:25" ht="15.75" customHeight="1">
      <c r="A442" s="427"/>
      <c r="B442" s="443"/>
      <c r="C442" s="446"/>
      <c r="D442" s="48" t="s">
        <v>68</v>
      </c>
      <c r="E442" s="441"/>
      <c r="F442" s="155"/>
      <c r="G442" s="226"/>
      <c r="H442" s="126">
        <v>180</v>
      </c>
      <c r="I442" s="126"/>
      <c r="J442" s="2"/>
      <c r="K442" s="18"/>
      <c r="L442" s="18"/>
      <c r="M442" s="18"/>
      <c r="N442" s="18"/>
      <c r="O442" s="126"/>
      <c r="P442" s="126"/>
      <c r="Q442" s="126"/>
      <c r="R442" s="436"/>
      <c r="S442" s="436"/>
      <c r="T442" s="18"/>
      <c r="U442" s="18"/>
      <c r="V442" s="127"/>
      <c r="W442" s="45"/>
      <c r="X442" s="67"/>
    </row>
    <row r="443" spans="1:25" ht="15" customHeight="1">
      <c r="A443" s="427"/>
      <c r="B443" s="122" t="s">
        <v>122</v>
      </c>
      <c r="C443" s="180" t="s">
        <v>123</v>
      </c>
      <c r="D443" s="48" t="s">
        <v>56</v>
      </c>
      <c r="E443" s="441"/>
      <c r="F443" s="155" t="s">
        <v>64</v>
      </c>
      <c r="G443" s="119"/>
      <c r="H443" s="126"/>
      <c r="I443" s="126"/>
      <c r="J443" s="2"/>
      <c r="K443" s="18"/>
      <c r="L443" s="18"/>
      <c r="M443" s="18">
        <v>6400</v>
      </c>
      <c r="N443" s="18">
        <v>2</v>
      </c>
      <c r="O443" s="126"/>
      <c r="P443" s="126"/>
      <c r="Q443" s="126"/>
      <c r="R443" s="436"/>
      <c r="S443" s="436"/>
      <c r="T443" s="18"/>
      <c r="U443" s="18"/>
      <c r="V443" s="127">
        <f>O443-T443-U443+V413</f>
        <v>21764</v>
      </c>
      <c r="W443" s="45"/>
      <c r="X443" s="67"/>
    </row>
    <row r="444" spans="1:25" ht="14.25" customHeight="1">
      <c r="A444" s="427"/>
      <c r="B444" s="137" t="s">
        <v>58</v>
      </c>
      <c r="C444" s="157" t="s">
        <v>243</v>
      </c>
      <c r="D444" s="48" t="s">
        <v>56</v>
      </c>
      <c r="E444" s="441"/>
      <c r="F444" s="118" t="s">
        <v>64</v>
      </c>
      <c r="G444" s="225"/>
      <c r="H444" s="126"/>
      <c r="I444" s="126"/>
      <c r="J444" s="126"/>
      <c r="K444" s="18"/>
      <c r="L444" s="18"/>
      <c r="M444" s="18"/>
      <c r="N444" s="80"/>
      <c r="O444" s="126"/>
      <c r="P444" s="126"/>
      <c r="Q444" s="126"/>
      <c r="R444" s="436"/>
      <c r="S444" s="436"/>
      <c r="T444" s="18"/>
      <c r="U444" s="18"/>
      <c r="V444" s="127">
        <f>O444-T444-U444+V414</f>
        <v>8562</v>
      </c>
      <c r="W444" s="45"/>
      <c r="X444" s="67"/>
    </row>
    <row r="445" spans="1:25" ht="14.25" customHeight="1">
      <c r="A445" s="427"/>
      <c r="B445" s="122" t="s">
        <v>61</v>
      </c>
      <c r="C445" s="180" t="s">
        <v>137</v>
      </c>
      <c r="D445" s="48" t="s">
        <v>56</v>
      </c>
      <c r="E445" s="441"/>
      <c r="F445" s="118" t="s">
        <v>67</v>
      </c>
      <c r="G445" s="225"/>
      <c r="H445" s="126"/>
      <c r="I445" s="126"/>
      <c r="J445" s="126"/>
      <c r="K445" s="18"/>
      <c r="L445" s="18"/>
      <c r="M445" s="18"/>
      <c r="N445" s="80"/>
      <c r="O445" s="126"/>
      <c r="P445" s="126"/>
      <c r="Q445" s="126"/>
      <c r="R445" s="436"/>
      <c r="S445" s="436"/>
      <c r="T445" s="18"/>
      <c r="U445" s="18"/>
      <c r="V445" s="127">
        <f>O445-T445-U445+V415</f>
        <v>5844</v>
      </c>
      <c r="W445" s="45"/>
      <c r="X445" s="67"/>
    </row>
    <row r="446" spans="1:25" ht="14.25" customHeight="1">
      <c r="A446" s="427"/>
      <c r="B446" s="122" t="s">
        <v>125</v>
      </c>
      <c r="C446" s="180" t="s">
        <v>88</v>
      </c>
      <c r="D446" s="48" t="s">
        <v>124</v>
      </c>
      <c r="E446" s="441"/>
      <c r="F446" s="118" t="s">
        <v>64</v>
      </c>
      <c r="G446" s="225"/>
      <c r="H446" s="126"/>
      <c r="I446" s="126"/>
      <c r="J446" s="126"/>
      <c r="K446" s="18"/>
      <c r="L446" s="18"/>
      <c r="M446" s="18">
        <v>51200</v>
      </c>
      <c r="N446" s="80">
        <v>7</v>
      </c>
      <c r="O446" s="126"/>
      <c r="P446" s="126"/>
      <c r="Q446" s="126"/>
      <c r="R446" s="436"/>
      <c r="S446" s="436"/>
      <c r="T446" s="18"/>
      <c r="U446" s="18"/>
      <c r="V446" s="127">
        <f>O446-T446-U446+V416</f>
        <v>23615</v>
      </c>
      <c r="W446" s="45"/>
      <c r="X446" s="67"/>
    </row>
    <row r="447" spans="1:25" ht="14.25" customHeight="1">
      <c r="A447" s="427"/>
      <c r="B447" s="137" t="s">
        <v>47</v>
      </c>
      <c r="C447" s="157" t="s">
        <v>100</v>
      </c>
      <c r="D447" s="48" t="s">
        <v>99</v>
      </c>
      <c r="E447" s="441"/>
      <c r="F447" s="118" t="s">
        <v>71</v>
      </c>
      <c r="G447" s="225"/>
      <c r="H447" s="126"/>
      <c r="I447" s="126"/>
      <c r="J447" s="126"/>
      <c r="K447" s="18"/>
      <c r="L447" s="18"/>
      <c r="M447" s="18"/>
      <c r="N447" s="80"/>
      <c r="O447" s="126">
        <f>May!CM326</f>
        <v>1500</v>
      </c>
      <c r="P447" s="126">
        <f>May!CN326</f>
        <v>2035</v>
      </c>
      <c r="Q447" s="126">
        <f>May!CL326</f>
        <v>7</v>
      </c>
      <c r="R447" s="436"/>
      <c r="S447" s="436"/>
      <c r="T447" s="18"/>
      <c r="U447" s="18"/>
      <c r="V447" s="127">
        <f>O447-T447-U447+V417</f>
        <v>35166</v>
      </c>
      <c r="W447" s="45"/>
      <c r="X447" s="67"/>
    </row>
    <row r="448" spans="1:25" ht="15" customHeight="1">
      <c r="A448" s="427"/>
      <c r="B448" s="122" t="s">
        <v>196</v>
      </c>
      <c r="C448" s="180" t="s">
        <v>63</v>
      </c>
      <c r="D448" s="48" t="s">
        <v>135</v>
      </c>
      <c r="E448" s="441"/>
      <c r="F448" s="118" t="s">
        <v>64</v>
      </c>
      <c r="G448" s="226"/>
      <c r="H448" s="126"/>
      <c r="I448" s="126"/>
      <c r="J448" s="2"/>
      <c r="K448" s="18"/>
      <c r="L448" s="18"/>
      <c r="M448" s="18"/>
      <c r="N448" s="18"/>
      <c r="O448" s="126">
        <f>May!CM334</f>
        <v>859</v>
      </c>
      <c r="P448" s="126">
        <f>May!CN334</f>
        <v>1430</v>
      </c>
      <c r="Q448" s="126">
        <f>May!CL334</f>
        <v>5</v>
      </c>
      <c r="R448" s="436"/>
      <c r="S448" s="436"/>
      <c r="T448" s="18"/>
      <c r="U448" s="18"/>
      <c r="V448" s="127">
        <f t="shared" ref="V448:V453" si="28">O448-T448-U448+V419</f>
        <v>15620</v>
      </c>
      <c r="W448" s="45"/>
      <c r="X448" s="67"/>
    </row>
    <row r="449" spans="1:25" ht="15" customHeight="1">
      <c r="A449" s="427"/>
      <c r="B449" s="122" t="s">
        <v>363</v>
      </c>
      <c r="C449" s="180" t="s">
        <v>325</v>
      </c>
      <c r="D449" s="48" t="s">
        <v>328</v>
      </c>
      <c r="E449" s="441"/>
      <c r="F449" s="118" t="s">
        <v>48</v>
      </c>
      <c r="G449" s="226"/>
      <c r="H449" s="126">
        <v>288</v>
      </c>
      <c r="I449" s="126"/>
      <c r="J449" s="2"/>
      <c r="K449" s="18"/>
      <c r="L449" s="18"/>
      <c r="M449" s="18"/>
      <c r="N449" s="18"/>
      <c r="O449" s="126">
        <f>May!CM332</f>
        <v>2000</v>
      </c>
      <c r="P449" s="126">
        <f>May!CN332</f>
        <v>608</v>
      </c>
      <c r="Q449" s="126">
        <f>May!CL332</f>
        <v>2</v>
      </c>
      <c r="R449" s="436"/>
      <c r="S449" s="436"/>
      <c r="T449" s="18"/>
      <c r="U449" s="18"/>
      <c r="V449" s="127">
        <f t="shared" si="28"/>
        <v>4149</v>
      </c>
      <c r="W449" s="45"/>
      <c r="X449" s="67"/>
    </row>
    <row r="450" spans="1:25" ht="15" customHeight="1">
      <c r="A450" s="427"/>
      <c r="B450" s="122" t="s">
        <v>253</v>
      </c>
      <c r="C450" s="180" t="s">
        <v>365</v>
      </c>
      <c r="D450" s="48" t="s">
        <v>246</v>
      </c>
      <c r="E450" s="441"/>
      <c r="F450" s="118" t="s">
        <v>247</v>
      </c>
      <c r="G450" s="226"/>
      <c r="H450" s="126"/>
      <c r="I450" s="126"/>
      <c r="J450" s="2"/>
      <c r="K450" s="18"/>
      <c r="L450" s="18"/>
      <c r="M450" s="18"/>
      <c r="N450" s="18"/>
      <c r="O450" s="126">
        <f>May!CM327</f>
        <v>2248</v>
      </c>
      <c r="P450" s="126">
        <f>May!CN327</f>
        <v>742</v>
      </c>
      <c r="Q450" s="126">
        <f>May!CL327</f>
        <v>4</v>
      </c>
      <c r="R450" s="436"/>
      <c r="S450" s="436"/>
      <c r="T450" s="18"/>
      <c r="U450" s="18"/>
      <c r="V450" s="127">
        <f t="shared" si="28"/>
        <v>13188</v>
      </c>
      <c r="W450" s="45"/>
      <c r="X450" s="67"/>
    </row>
    <row r="451" spans="1:25" ht="15" customHeight="1">
      <c r="A451" s="427"/>
      <c r="B451" s="122" t="s">
        <v>366</v>
      </c>
      <c r="C451" s="180" t="s">
        <v>367</v>
      </c>
      <c r="D451" s="48" t="s">
        <v>132</v>
      </c>
      <c r="E451" s="441"/>
      <c r="F451" s="118" t="s">
        <v>64</v>
      </c>
      <c r="G451" s="119"/>
      <c r="H451" s="126"/>
      <c r="I451" s="126"/>
      <c r="J451" s="2"/>
      <c r="K451" s="18"/>
      <c r="L451" s="18"/>
      <c r="M451" s="18"/>
      <c r="N451" s="18"/>
      <c r="O451" s="126">
        <f>May!CM331</f>
        <v>0</v>
      </c>
      <c r="P451" s="126">
        <f>May!CN331</f>
        <v>397</v>
      </c>
      <c r="Q451" s="126">
        <f>May!CL331</f>
        <v>1</v>
      </c>
      <c r="R451" s="436"/>
      <c r="S451" s="436"/>
      <c r="T451" s="18">
        <v>2910</v>
      </c>
      <c r="U451" s="18"/>
      <c r="V451" s="18">
        <f t="shared" si="28"/>
        <v>0</v>
      </c>
      <c r="W451" s="45"/>
      <c r="X451" s="67"/>
    </row>
    <row r="452" spans="1:25" ht="15" customHeight="1">
      <c r="A452" s="427"/>
      <c r="B452" s="122" t="s">
        <v>101</v>
      </c>
      <c r="C452" s="180" t="s">
        <v>327</v>
      </c>
      <c r="D452" s="48" t="s">
        <v>102</v>
      </c>
      <c r="E452" s="441"/>
      <c r="F452" s="118" t="s">
        <v>64</v>
      </c>
      <c r="G452" s="119"/>
      <c r="H452" s="126"/>
      <c r="I452" s="126"/>
      <c r="J452" s="2"/>
      <c r="K452" s="18"/>
      <c r="L452" s="18"/>
      <c r="M452" s="18">
        <v>28000</v>
      </c>
      <c r="N452" s="18">
        <v>4</v>
      </c>
      <c r="O452" s="126">
        <f>May!CM330</f>
        <v>3000</v>
      </c>
      <c r="P452" s="126">
        <f>May!CN330</f>
        <v>3202</v>
      </c>
      <c r="Q452" s="126">
        <f>May!CL330</f>
        <v>8</v>
      </c>
      <c r="R452" s="436"/>
      <c r="S452" s="436"/>
      <c r="T452" s="18"/>
      <c r="U452" s="18"/>
      <c r="V452" s="18">
        <f t="shared" si="28"/>
        <v>6402</v>
      </c>
      <c r="W452" s="45"/>
      <c r="X452" s="67"/>
    </row>
    <row r="453" spans="1:25" s="4" customFormat="1" ht="15" customHeight="1">
      <c r="A453" s="427"/>
      <c r="B453" s="122" t="s">
        <v>375</v>
      </c>
      <c r="C453" s="157" t="s">
        <v>376</v>
      </c>
      <c r="D453" s="48" t="s">
        <v>248</v>
      </c>
      <c r="E453" s="441"/>
      <c r="F453" s="48" t="s">
        <v>64</v>
      </c>
      <c r="G453" s="170">
        <v>4528.01</v>
      </c>
      <c r="H453" s="34">
        <v>1440</v>
      </c>
      <c r="I453" s="34"/>
      <c r="J453" s="6"/>
      <c r="K453" s="211">
        <v>12000</v>
      </c>
      <c r="L453" s="211">
        <v>3</v>
      </c>
      <c r="M453" s="211">
        <v>81200</v>
      </c>
      <c r="N453" s="211">
        <v>20</v>
      </c>
      <c r="O453" s="34">
        <f>May!CM333</f>
        <v>6910</v>
      </c>
      <c r="P453" s="34">
        <f>May!CN333</f>
        <v>8262</v>
      </c>
      <c r="Q453" s="34">
        <f>May!CL333</f>
        <v>24</v>
      </c>
      <c r="R453" s="436"/>
      <c r="S453" s="436"/>
      <c r="T453" s="211">
        <v>7858</v>
      </c>
      <c r="U453" s="211"/>
      <c r="V453" s="211">
        <f t="shared" si="28"/>
        <v>7475</v>
      </c>
      <c r="W453" s="260"/>
      <c r="X453" s="67"/>
    </row>
    <row r="454" spans="1:25" s="4" customFormat="1" ht="15" customHeight="1">
      <c r="A454" s="427"/>
      <c r="B454" s="122" t="s">
        <v>289</v>
      </c>
      <c r="C454" s="180" t="s">
        <v>290</v>
      </c>
      <c r="D454" s="48" t="s">
        <v>75</v>
      </c>
      <c r="E454" s="441"/>
      <c r="F454" s="48" t="s">
        <v>381</v>
      </c>
      <c r="G454" s="122"/>
      <c r="H454" s="34"/>
      <c r="I454" s="34"/>
      <c r="J454" s="6"/>
      <c r="K454" s="211"/>
      <c r="L454" s="211"/>
      <c r="M454" s="211"/>
      <c r="N454" s="211"/>
      <c r="O454" s="34"/>
      <c r="P454" s="34">
        <f>May!CN329</f>
        <v>251</v>
      </c>
      <c r="Q454" s="34">
        <f>May!CL329</f>
        <v>1</v>
      </c>
      <c r="R454" s="436"/>
      <c r="S454" s="436"/>
      <c r="T454" s="211"/>
      <c r="U454" s="211"/>
      <c r="V454" s="211"/>
      <c r="W454" s="260"/>
      <c r="X454" s="67"/>
    </row>
    <row r="455" spans="1:25" ht="15" customHeight="1">
      <c r="A455" s="427"/>
      <c r="B455" s="122" t="s">
        <v>103</v>
      </c>
      <c r="C455" s="157" t="s">
        <v>197</v>
      </c>
      <c r="D455" s="48" t="s">
        <v>104</v>
      </c>
      <c r="E455" s="441"/>
      <c r="F455" s="118" t="s">
        <v>105</v>
      </c>
      <c r="G455" s="119"/>
      <c r="H455" s="126"/>
      <c r="I455" s="126"/>
      <c r="J455" s="2"/>
      <c r="K455" s="18"/>
      <c r="L455" s="18"/>
      <c r="M455" s="18"/>
      <c r="N455" s="18"/>
      <c r="O455" s="126"/>
      <c r="P455" s="126"/>
      <c r="Q455" s="126">
        <f>May!CL335</f>
        <v>1</v>
      </c>
      <c r="R455" s="436"/>
      <c r="S455" s="436"/>
      <c r="T455" s="18"/>
      <c r="U455" s="18"/>
      <c r="V455" s="18"/>
      <c r="W455" s="45"/>
      <c r="X455" s="67"/>
    </row>
    <row r="456" spans="1:25" ht="15" customHeight="1">
      <c r="A456" s="427"/>
      <c r="B456" s="137" t="s">
        <v>112</v>
      </c>
      <c r="C456" s="157" t="s">
        <v>197</v>
      </c>
      <c r="D456" s="48" t="s">
        <v>104</v>
      </c>
      <c r="E456" s="441"/>
      <c r="F456" s="118" t="s">
        <v>113</v>
      </c>
      <c r="G456" s="119"/>
      <c r="H456" s="126"/>
      <c r="I456" s="126"/>
      <c r="J456" s="2"/>
      <c r="K456" s="18"/>
      <c r="L456" s="18"/>
      <c r="M456" s="18"/>
      <c r="N456" s="18"/>
      <c r="O456" s="126"/>
      <c r="P456" s="126"/>
      <c r="Q456" s="126">
        <f>May!CL337</f>
        <v>1</v>
      </c>
      <c r="R456" s="436"/>
      <c r="S456" s="436"/>
      <c r="T456" s="18"/>
      <c r="U456" s="18"/>
      <c r="V456" s="18"/>
      <c r="W456" s="45"/>
      <c r="X456" s="67"/>
    </row>
    <row r="457" spans="1:25" ht="15" customHeight="1" thickBot="1">
      <c r="A457" s="428"/>
      <c r="B457" s="44" t="s">
        <v>107</v>
      </c>
      <c r="C457" s="181" t="s">
        <v>195</v>
      </c>
      <c r="D457" s="61" t="s">
        <v>108</v>
      </c>
      <c r="E457" s="447"/>
      <c r="F457" s="133" t="s">
        <v>48</v>
      </c>
      <c r="G457" s="132"/>
      <c r="H457" s="109"/>
      <c r="I457" s="134"/>
      <c r="J457" s="129"/>
      <c r="K457" s="130"/>
      <c r="L457" s="130"/>
      <c r="M457" s="130"/>
      <c r="N457" s="130"/>
      <c r="O457" s="134"/>
      <c r="P457" s="134"/>
      <c r="Q457" s="134"/>
      <c r="R457" s="437"/>
      <c r="S457" s="437"/>
      <c r="T457" s="130"/>
      <c r="U457" s="130"/>
      <c r="V457" s="128">
        <f t="shared" ref="V457:V463" si="29">O457-T457-U457+V428</f>
        <v>903</v>
      </c>
      <c r="W457" s="85"/>
      <c r="X457" s="67"/>
    </row>
    <row r="458" spans="1:25" ht="15" customHeight="1">
      <c r="A458" s="426">
        <v>46164</v>
      </c>
      <c r="B458" s="429" t="s">
        <v>44</v>
      </c>
      <c r="C458" s="432" t="s">
        <v>240</v>
      </c>
      <c r="D458" s="19" t="s">
        <v>37</v>
      </c>
      <c r="E458" s="19" t="s">
        <v>25</v>
      </c>
      <c r="F458" s="39" t="s">
        <v>40</v>
      </c>
      <c r="G458" s="41"/>
      <c r="H458" s="32"/>
      <c r="I458" s="32"/>
      <c r="J458" s="32"/>
      <c r="K458" s="20">
        <v>32400</v>
      </c>
      <c r="L458" s="20">
        <v>4</v>
      </c>
      <c r="M458" s="20">
        <v>144400</v>
      </c>
      <c r="N458" s="84">
        <v>18</v>
      </c>
      <c r="O458" s="32">
        <f>May!CP311</f>
        <v>51380</v>
      </c>
      <c r="P458" s="32">
        <f>May!CQ311</f>
        <v>34762</v>
      </c>
      <c r="Q458" s="32">
        <f>May!CO311</f>
        <v>95</v>
      </c>
      <c r="R458" s="435">
        <f>May!CP340</f>
        <v>97075</v>
      </c>
      <c r="S458" s="435">
        <f>May!CQ340</f>
        <v>91857</v>
      </c>
      <c r="T458" s="20">
        <v>26768</v>
      </c>
      <c r="U458" s="20">
        <v>10</v>
      </c>
      <c r="V458" s="20">
        <f>O458-T458-U458+V429</f>
        <v>201718</v>
      </c>
      <c r="W458" s="77"/>
      <c r="X458" s="36"/>
    </row>
    <row r="459" spans="1:25" ht="15" customHeight="1">
      <c r="A459" s="427"/>
      <c r="B459" s="430"/>
      <c r="C459" s="433"/>
      <c r="D459" s="113" t="s">
        <v>128</v>
      </c>
      <c r="E459" s="438" t="s">
        <v>24</v>
      </c>
      <c r="F459" s="118" t="s">
        <v>40</v>
      </c>
      <c r="G459" s="38"/>
      <c r="H459" s="126"/>
      <c r="I459" s="125"/>
      <c r="J459" s="125"/>
      <c r="K459" s="18"/>
      <c r="L459" s="127"/>
      <c r="M459" s="216"/>
      <c r="N459" s="238"/>
      <c r="O459" s="126"/>
      <c r="P459" s="125"/>
      <c r="Q459" s="125"/>
      <c r="R459" s="436"/>
      <c r="S459" s="436"/>
      <c r="T459" s="127">
        <v>12283</v>
      </c>
      <c r="U459" s="127">
        <v>24</v>
      </c>
      <c r="V459" s="127"/>
      <c r="W459" s="46"/>
      <c r="X459" s="67"/>
    </row>
    <row r="460" spans="1:25" ht="15" customHeight="1">
      <c r="A460" s="427"/>
      <c r="B460" s="431"/>
      <c r="C460" s="434"/>
      <c r="D460" s="113" t="s">
        <v>307</v>
      </c>
      <c r="E460" s="431"/>
      <c r="F460" s="118" t="s">
        <v>40</v>
      </c>
      <c r="G460" s="170">
        <v>6556.48</v>
      </c>
      <c r="H460" s="158">
        <v>4860</v>
      </c>
      <c r="I460" s="125"/>
      <c r="J460" s="125"/>
      <c r="K460" s="127">
        <v>16000</v>
      </c>
      <c r="L460" s="127">
        <v>2</v>
      </c>
      <c r="M460" s="216">
        <v>183400</v>
      </c>
      <c r="N460" s="238">
        <v>23</v>
      </c>
      <c r="O460" s="126">
        <f>May!CP313</f>
        <v>12478</v>
      </c>
      <c r="P460" s="125">
        <f>May!CQ313</f>
        <v>25052</v>
      </c>
      <c r="Q460" s="125">
        <f>May!CO313</f>
        <v>68</v>
      </c>
      <c r="R460" s="436"/>
      <c r="S460" s="436"/>
      <c r="T460" s="127">
        <v>34064</v>
      </c>
      <c r="U460" s="127"/>
      <c r="V460" s="127">
        <f t="shared" si="29"/>
        <v>54067</v>
      </c>
      <c r="W460" s="46"/>
      <c r="X460" s="67"/>
    </row>
    <row r="461" spans="1:25" ht="15" customHeight="1">
      <c r="A461" s="427"/>
      <c r="B461" s="442" t="s">
        <v>45</v>
      </c>
      <c r="C461" s="448" t="s">
        <v>59</v>
      </c>
      <c r="D461" s="118" t="s">
        <v>75</v>
      </c>
      <c r="E461" s="438" t="s">
        <v>25</v>
      </c>
      <c r="F461" s="131" t="s">
        <v>57</v>
      </c>
      <c r="G461" s="87"/>
      <c r="H461" s="152"/>
      <c r="I461" s="126"/>
      <c r="J461" s="2"/>
      <c r="K461" s="127"/>
      <c r="L461" s="18"/>
      <c r="M461" s="18">
        <v>41440</v>
      </c>
      <c r="N461" s="80">
        <v>8</v>
      </c>
      <c r="O461" s="126">
        <f>May!CP317</f>
        <v>2156</v>
      </c>
      <c r="P461" s="126">
        <f>May!CQ317</f>
        <v>1520</v>
      </c>
      <c r="Q461" s="2">
        <f>May!CO317</f>
        <v>6</v>
      </c>
      <c r="R461" s="436"/>
      <c r="S461" s="436"/>
      <c r="T461" s="18"/>
      <c r="U461" s="18"/>
      <c r="V461" s="127">
        <f t="shared" si="29"/>
        <v>5667</v>
      </c>
      <c r="W461" s="46"/>
      <c r="Y461" s="13"/>
    </row>
    <row r="462" spans="1:25" ht="15" customHeight="1">
      <c r="A462" s="427"/>
      <c r="B462" s="439"/>
      <c r="C462" s="440"/>
      <c r="D462" s="118" t="s">
        <v>291</v>
      </c>
      <c r="E462" s="430"/>
      <c r="F462" s="131" t="s">
        <v>57</v>
      </c>
      <c r="G462" s="87"/>
      <c r="H462" s="152"/>
      <c r="I462" s="126"/>
      <c r="J462" s="2"/>
      <c r="K462" s="127"/>
      <c r="L462" s="18"/>
      <c r="M462" s="18"/>
      <c r="N462" s="80"/>
      <c r="O462" s="126">
        <f>May!CP318</f>
        <v>5557</v>
      </c>
      <c r="P462" s="126">
        <f>May!CQ318</f>
        <v>1446</v>
      </c>
      <c r="Q462" s="2">
        <f>May!CO318</f>
        <v>6</v>
      </c>
      <c r="R462" s="436"/>
      <c r="S462" s="436"/>
      <c r="T462" s="18">
        <v>5325</v>
      </c>
      <c r="U462" s="18"/>
      <c r="V462" s="127">
        <f t="shared" si="29"/>
        <v>6619</v>
      </c>
      <c r="W462" s="46"/>
      <c r="Y462" s="13"/>
    </row>
    <row r="463" spans="1:25">
      <c r="A463" s="427"/>
      <c r="B463" s="439"/>
      <c r="C463" s="440"/>
      <c r="D463" s="118" t="s">
        <v>72</v>
      </c>
      <c r="E463" s="424" t="s">
        <v>24</v>
      </c>
      <c r="F463" s="131" t="s">
        <v>57</v>
      </c>
      <c r="G463" s="224"/>
      <c r="H463" s="152"/>
      <c r="I463" s="126"/>
      <c r="J463" s="126"/>
      <c r="K463" s="127"/>
      <c r="L463" s="18"/>
      <c r="M463" s="18">
        <v>70000</v>
      </c>
      <c r="N463" s="80">
        <v>14</v>
      </c>
      <c r="O463" s="126">
        <f>May!CP319</f>
        <v>1412</v>
      </c>
      <c r="P463" s="126">
        <f>May!CQ319</f>
        <v>2128</v>
      </c>
      <c r="Q463" s="126">
        <f>May!CO319</f>
        <v>9</v>
      </c>
      <c r="R463" s="436"/>
      <c r="S463" s="436"/>
      <c r="T463" s="18"/>
      <c r="U463" s="18"/>
      <c r="V463" s="127">
        <f t="shared" si="29"/>
        <v>8409</v>
      </c>
      <c r="W463" s="46"/>
      <c r="Y463" s="13"/>
    </row>
    <row r="464" spans="1:25">
      <c r="A464" s="427"/>
      <c r="B464" s="439"/>
      <c r="C464" s="440"/>
      <c r="D464" s="115" t="s">
        <v>73</v>
      </c>
      <c r="E464" s="425"/>
      <c r="F464" s="131"/>
      <c r="G464" s="224"/>
      <c r="H464" s="152"/>
      <c r="I464" s="126"/>
      <c r="J464" s="126"/>
      <c r="K464" s="127"/>
      <c r="L464" s="18"/>
      <c r="M464" s="18"/>
      <c r="N464" s="80"/>
      <c r="O464" s="126"/>
      <c r="P464" s="126"/>
      <c r="Q464" s="126"/>
      <c r="R464" s="436"/>
      <c r="S464" s="436"/>
      <c r="T464" s="18"/>
      <c r="U464" s="18"/>
      <c r="V464" s="127"/>
      <c r="W464" s="46"/>
      <c r="Y464" s="13"/>
    </row>
    <row r="465" spans="1:24" ht="14.25" customHeight="1">
      <c r="A465" s="427"/>
      <c r="B465" s="439"/>
      <c r="C465" s="440"/>
      <c r="D465" s="115" t="s">
        <v>79</v>
      </c>
      <c r="E465" s="424" t="s">
        <v>65</v>
      </c>
      <c r="F465" s="131" t="s">
        <v>57</v>
      </c>
      <c r="G465" s="224"/>
      <c r="H465" s="126"/>
      <c r="I465" s="126"/>
      <c r="J465" s="126"/>
      <c r="K465" s="18"/>
      <c r="L465" s="18"/>
      <c r="M465" s="18"/>
      <c r="N465" s="80"/>
      <c r="O465" s="126"/>
      <c r="P465" s="126">
        <f>May!CQ320</f>
        <v>792</v>
      </c>
      <c r="Q465" s="126">
        <f>May!CO320</f>
        <v>5</v>
      </c>
      <c r="R465" s="436"/>
      <c r="S465" s="436"/>
      <c r="T465" s="18"/>
      <c r="U465" s="18"/>
      <c r="V465" s="127">
        <f>O465-T465-U465+V435</f>
        <v>0</v>
      </c>
      <c r="W465" s="45"/>
      <c r="X465" s="36"/>
    </row>
    <row r="466" spans="1:24" ht="14.25" customHeight="1">
      <c r="A466" s="427"/>
      <c r="B466" s="439"/>
      <c r="C466" s="449"/>
      <c r="D466" s="115" t="s">
        <v>385</v>
      </c>
      <c r="E466" s="425"/>
      <c r="F466" s="131"/>
      <c r="G466" s="224"/>
      <c r="H466" s="37"/>
      <c r="I466" s="126"/>
      <c r="J466" s="126"/>
      <c r="K466" s="18"/>
      <c r="L466" s="18"/>
      <c r="M466" s="18"/>
      <c r="N466" s="80"/>
      <c r="O466" s="126"/>
      <c r="P466" s="126"/>
      <c r="Q466" s="126"/>
      <c r="R466" s="436"/>
      <c r="S466" s="436"/>
      <c r="T466" s="18"/>
      <c r="U466" s="18"/>
      <c r="V466" s="127"/>
      <c r="W466" s="45"/>
      <c r="X466" s="67"/>
    </row>
    <row r="467" spans="1:24" ht="14.25" customHeight="1">
      <c r="A467" s="427"/>
      <c r="B467" s="439"/>
      <c r="C467" s="448" t="s">
        <v>299</v>
      </c>
      <c r="D467" s="115" t="s">
        <v>296</v>
      </c>
      <c r="E467" s="424" t="s">
        <v>25</v>
      </c>
      <c r="F467" s="131" t="s">
        <v>298</v>
      </c>
      <c r="G467" s="224"/>
      <c r="H467" s="37"/>
      <c r="I467" s="126"/>
      <c r="J467" s="126"/>
      <c r="K467" s="18"/>
      <c r="L467" s="18"/>
      <c r="M467" s="18"/>
      <c r="N467" s="80"/>
      <c r="O467" s="126">
        <f>May!CP321</f>
        <v>1100</v>
      </c>
      <c r="P467" s="126">
        <f>May!CQ321</f>
        <v>563</v>
      </c>
      <c r="Q467" s="126">
        <f>May!CO321</f>
        <v>2</v>
      </c>
      <c r="R467" s="436"/>
      <c r="S467" s="436"/>
      <c r="T467" s="18"/>
      <c r="U467" s="18"/>
      <c r="V467" s="127">
        <f t="shared" ref="V467:V472" si="30">O467-T467-U467+V436</f>
        <v>3848</v>
      </c>
      <c r="W467" s="45"/>
      <c r="X467" s="67"/>
    </row>
    <row r="468" spans="1:24" ht="14.25" customHeight="1">
      <c r="A468" s="427"/>
      <c r="B468" s="443"/>
      <c r="C468" s="449"/>
      <c r="D468" s="115" t="s">
        <v>75</v>
      </c>
      <c r="E468" s="425"/>
      <c r="F468" s="131" t="s">
        <v>298</v>
      </c>
      <c r="G468" s="224"/>
      <c r="H468" s="37"/>
      <c r="I468" s="126"/>
      <c r="J468" s="126"/>
      <c r="K468" s="18"/>
      <c r="L468" s="18"/>
      <c r="M468" s="18"/>
      <c r="N468" s="80"/>
      <c r="O468" s="126">
        <f>May!CP322</f>
        <v>2200</v>
      </c>
      <c r="P468" s="126">
        <f>May!CQ322</f>
        <v>557</v>
      </c>
      <c r="Q468" s="126">
        <f>May!CO322</f>
        <v>2</v>
      </c>
      <c r="R468" s="436"/>
      <c r="S468" s="436"/>
      <c r="T468" s="18"/>
      <c r="U468" s="18"/>
      <c r="V468" s="127">
        <f t="shared" si="30"/>
        <v>4400</v>
      </c>
      <c r="W468" s="45"/>
      <c r="X468" s="67"/>
    </row>
    <row r="469" spans="1:24" ht="14.25" customHeight="1">
      <c r="A469" s="427"/>
      <c r="B469" s="442" t="s">
        <v>53</v>
      </c>
      <c r="C469" s="444" t="s">
        <v>60</v>
      </c>
      <c r="D469" s="43" t="s">
        <v>130</v>
      </c>
      <c r="E469" s="424" t="s">
        <v>66</v>
      </c>
      <c r="F469" s="118" t="s">
        <v>54</v>
      </c>
      <c r="G469" s="224"/>
      <c r="H469" s="37"/>
      <c r="I469" s="126"/>
      <c r="J469" s="126"/>
      <c r="K469" s="18"/>
      <c r="L469" s="18"/>
      <c r="M469" s="18"/>
      <c r="N469" s="80"/>
      <c r="O469" s="126">
        <f>May!CP314</f>
        <v>1200</v>
      </c>
      <c r="P469" s="126">
        <f>May!CQ314</f>
        <v>2037</v>
      </c>
      <c r="Q469" s="126">
        <f>May!CO314</f>
        <v>6</v>
      </c>
      <c r="R469" s="436"/>
      <c r="S469" s="436"/>
      <c r="T469" s="18"/>
      <c r="U469" s="18"/>
      <c r="V469" s="127">
        <f t="shared" si="30"/>
        <v>3322</v>
      </c>
      <c r="W469" s="45"/>
      <c r="X469" s="67"/>
    </row>
    <row r="470" spans="1:24" ht="14.25" customHeight="1">
      <c r="A470" s="427"/>
      <c r="B470" s="439"/>
      <c r="C470" s="445"/>
      <c r="D470" s="43" t="s">
        <v>320</v>
      </c>
      <c r="E470" s="425"/>
      <c r="F470" s="118" t="s">
        <v>54</v>
      </c>
      <c r="G470" s="224"/>
      <c r="H470" s="37"/>
      <c r="I470" s="126"/>
      <c r="J470" s="126"/>
      <c r="K470" s="18"/>
      <c r="L470" s="18"/>
      <c r="M470" s="18">
        <v>65500</v>
      </c>
      <c r="N470" s="80">
        <v>11</v>
      </c>
      <c r="O470" s="126">
        <f>May!CP315</f>
        <v>4800</v>
      </c>
      <c r="P470" s="126">
        <f>May!CQ315</f>
        <v>2726</v>
      </c>
      <c r="Q470" s="126">
        <f>May!CO315</f>
        <v>8</v>
      </c>
      <c r="R470" s="436"/>
      <c r="S470" s="436"/>
      <c r="T470" s="18"/>
      <c r="U470" s="18"/>
      <c r="V470" s="127">
        <f t="shared" si="30"/>
        <v>9777</v>
      </c>
      <c r="W470" s="45"/>
      <c r="X470" s="67"/>
    </row>
    <row r="471" spans="1:24" ht="14.25" customHeight="1">
      <c r="A471" s="427"/>
      <c r="B471" s="443"/>
      <c r="C471" s="446"/>
      <c r="D471" s="43" t="s">
        <v>199</v>
      </c>
      <c r="E471" s="114" t="s">
        <v>25</v>
      </c>
      <c r="F471" s="118" t="s">
        <v>54</v>
      </c>
      <c r="G471" s="224"/>
      <c r="H471" s="135"/>
      <c r="I471" s="158"/>
      <c r="J471" s="158"/>
      <c r="K471" s="128"/>
      <c r="L471" s="128"/>
      <c r="M471" s="128"/>
      <c r="N471" s="164"/>
      <c r="O471" s="158"/>
      <c r="P471" s="158"/>
      <c r="Q471" s="158"/>
      <c r="R471" s="436"/>
      <c r="S471" s="436"/>
      <c r="T471" s="18"/>
      <c r="U471" s="18"/>
      <c r="V471" s="127">
        <f t="shared" si="30"/>
        <v>68</v>
      </c>
      <c r="W471" s="45"/>
      <c r="X471" s="67"/>
    </row>
    <row r="472" spans="1:24" ht="15.75" customHeight="1">
      <c r="A472" s="427"/>
      <c r="B472" s="122" t="s">
        <v>55</v>
      </c>
      <c r="C472" s="180" t="s">
        <v>133</v>
      </c>
      <c r="D472" s="48" t="s">
        <v>56</v>
      </c>
      <c r="E472" s="424" t="s">
        <v>25</v>
      </c>
      <c r="F472" s="118" t="s">
        <v>67</v>
      </c>
      <c r="G472" s="226"/>
      <c r="H472" s="126"/>
      <c r="I472" s="126"/>
      <c r="J472" s="2"/>
      <c r="K472" s="18"/>
      <c r="L472" s="18"/>
      <c r="M472" s="18"/>
      <c r="N472" s="18"/>
      <c r="O472" s="126">
        <f>May!CP338</f>
        <v>700</v>
      </c>
      <c r="P472" s="126">
        <f>May!CQ338</f>
        <v>503</v>
      </c>
      <c r="Q472" s="126">
        <f>May!CO338</f>
        <v>1</v>
      </c>
      <c r="R472" s="436"/>
      <c r="S472" s="436"/>
      <c r="T472" s="18"/>
      <c r="U472" s="18"/>
      <c r="V472" s="127">
        <f t="shared" si="30"/>
        <v>1700</v>
      </c>
      <c r="W472" s="45"/>
      <c r="X472" s="67"/>
    </row>
    <row r="473" spans="1:24" ht="15" customHeight="1">
      <c r="A473" s="427"/>
      <c r="B473" s="122" t="s">
        <v>122</v>
      </c>
      <c r="C473" s="180" t="s">
        <v>123</v>
      </c>
      <c r="D473" s="48" t="s">
        <v>56</v>
      </c>
      <c r="E473" s="441"/>
      <c r="F473" s="155" t="s">
        <v>64</v>
      </c>
      <c r="G473" s="119"/>
      <c r="H473" s="126"/>
      <c r="I473" s="126"/>
      <c r="J473" s="2"/>
      <c r="K473" s="18"/>
      <c r="L473" s="18"/>
      <c r="M473" s="18">
        <v>6400</v>
      </c>
      <c r="N473" s="18">
        <v>2</v>
      </c>
      <c r="O473" s="126"/>
      <c r="P473" s="126"/>
      <c r="Q473" s="126"/>
      <c r="R473" s="436"/>
      <c r="S473" s="436"/>
      <c r="T473" s="18"/>
      <c r="U473" s="18"/>
      <c r="V473" s="127">
        <f t="shared" ref="V473:V483" si="31">O473-T473-U473+V443</f>
        <v>21764</v>
      </c>
      <c r="W473" s="45"/>
      <c r="X473" s="67"/>
    </row>
    <row r="474" spans="1:24" ht="14.25" customHeight="1">
      <c r="A474" s="427"/>
      <c r="B474" s="137" t="s">
        <v>58</v>
      </c>
      <c r="C474" s="157" t="s">
        <v>243</v>
      </c>
      <c r="D474" s="48" t="s">
        <v>56</v>
      </c>
      <c r="E474" s="441"/>
      <c r="F474" s="118" t="s">
        <v>64</v>
      </c>
      <c r="G474" s="225"/>
      <c r="H474" s="126"/>
      <c r="I474" s="126"/>
      <c r="J474" s="126"/>
      <c r="K474" s="18"/>
      <c r="L474" s="18"/>
      <c r="M474" s="18"/>
      <c r="N474" s="80"/>
      <c r="O474" s="126"/>
      <c r="P474" s="126"/>
      <c r="Q474" s="126"/>
      <c r="R474" s="436"/>
      <c r="S474" s="436"/>
      <c r="T474" s="18"/>
      <c r="U474" s="18"/>
      <c r="V474" s="127">
        <f t="shared" si="31"/>
        <v>8562</v>
      </c>
      <c r="W474" s="45"/>
      <c r="X474" s="67"/>
    </row>
    <row r="475" spans="1:24" ht="14.25" customHeight="1">
      <c r="A475" s="427"/>
      <c r="B475" s="122" t="s">
        <v>61</v>
      </c>
      <c r="C475" s="180" t="s">
        <v>137</v>
      </c>
      <c r="D475" s="48" t="s">
        <v>56</v>
      </c>
      <c r="E475" s="441"/>
      <c r="F475" s="118" t="s">
        <v>67</v>
      </c>
      <c r="G475" s="225"/>
      <c r="H475" s="126"/>
      <c r="I475" s="126"/>
      <c r="J475" s="126"/>
      <c r="K475" s="18"/>
      <c r="L475" s="18"/>
      <c r="M475" s="18"/>
      <c r="N475" s="80"/>
      <c r="O475" s="126"/>
      <c r="P475" s="126"/>
      <c r="Q475" s="126"/>
      <c r="R475" s="436"/>
      <c r="S475" s="436"/>
      <c r="T475" s="18"/>
      <c r="U475" s="18"/>
      <c r="V475" s="127">
        <f t="shared" si="31"/>
        <v>5844</v>
      </c>
      <c r="W475" s="45"/>
      <c r="X475" s="67"/>
    </row>
    <row r="476" spans="1:24" ht="14.25" customHeight="1">
      <c r="A476" s="427"/>
      <c r="B476" s="122" t="s">
        <v>125</v>
      </c>
      <c r="C476" s="180" t="s">
        <v>88</v>
      </c>
      <c r="D476" s="48" t="s">
        <v>124</v>
      </c>
      <c r="E476" s="441"/>
      <c r="F476" s="118" t="s">
        <v>64</v>
      </c>
      <c r="G476" s="225"/>
      <c r="H476" s="126"/>
      <c r="I476" s="126"/>
      <c r="J476" s="126"/>
      <c r="K476" s="18"/>
      <c r="L476" s="18"/>
      <c r="M476" s="18">
        <v>51200</v>
      </c>
      <c r="N476" s="80">
        <v>7</v>
      </c>
      <c r="O476" s="126"/>
      <c r="P476" s="126"/>
      <c r="Q476" s="126"/>
      <c r="R476" s="436"/>
      <c r="S476" s="436"/>
      <c r="T476" s="18"/>
      <c r="U476" s="18"/>
      <c r="V476" s="127">
        <f t="shared" si="31"/>
        <v>23615</v>
      </c>
      <c r="W476" s="45"/>
      <c r="X476" s="67"/>
    </row>
    <row r="477" spans="1:24" ht="14.25" customHeight="1">
      <c r="A477" s="427"/>
      <c r="B477" s="137" t="s">
        <v>47</v>
      </c>
      <c r="C477" s="157" t="s">
        <v>100</v>
      </c>
      <c r="D477" s="48" t="s">
        <v>99</v>
      </c>
      <c r="E477" s="441"/>
      <c r="F477" s="118" t="s">
        <v>71</v>
      </c>
      <c r="G477" s="225"/>
      <c r="H477" s="126"/>
      <c r="I477" s="126"/>
      <c r="J477" s="126"/>
      <c r="K477" s="18"/>
      <c r="L477" s="18"/>
      <c r="M477" s="18"/>
      <c r="N477" s="80"/>
      <c r="O477" s="126">
        <f>May!CP326</f>
        <v>2804</v>
      </c>
      <c r="P477" s="126">
        <f>May!CQ326</f>
        <v>1577</v>
      </c>
      <c r="Q477" s="126">
        <f>May!CO326</f>
        <v>6</v>
      </c>
      <c r="R477" s="436"/>
      <c r="S477" s="436"/>
      <c r="T477" s="18"/>
      <c r="U477" s="18"/>
      <c r="V477" s="127">
        <f t="shared" si="31"/>
        <v>37970</v>
      </c>
      <c r="W477" s="45"/>
      <c r="X477" s="67"/>
    </row>
    <row r="478" spans="1:24" ht="15" customHeight="1">
      <c r="A478" s="427"/>
      <c r="B478" s="122" t="s">
        <v>196</v>
      </c>
      <c r="C478" s="180" t="s">
        <v>63</v>
      </c>
      <c r="D478" s="48" t="s">
        <v>135</v>
      </c>
      <c r="E478" s="441"/>
      <c r="F478" s="118" t="s">
        <v>64</v>
      </c>
      <c r="G478" s="226"/>
      <c r="H478" s="126"/>
      <c r="I478" s="126"/>
      <c r="J478" s="2"/>
      <c r="K478" s="18"/>
      <c r="L478" s="18"/>
      <c r="M478" s="18"/>
      <c r="N478" s="18"/>
      <c r="O478" s="126"/>
      <c r="P478" s="126">
        <f>May!CQ334</f>
        <v>1396</v>
      </c>
      <c r="Q478" s="126">
        <f>May!CO334</f>
        <v>5</v>
      </c>
      <c r="R478" s="436"/>
      <c r="S478" s="436"/>
      <c r="T478" s="18"/>
      <c r="U478" s="18"/>
      <c r="V478" s="127">
        <f t="shared" si="31"/>
        <v>15620</v>
      </c>
      <c r="W478" s="45"/>
      <c r="X478" s="67"/>
    </row>
    <row r="479" spans="1:24" ht="15" customHeight="1">
      <c r="A479" s="427"/>
      <c r="B479" s="122" t="s">
        <v>363</v>
      </c>
      <c r="C479" s="180" t="s">
        <v>325</v>
      </c>
      <c r="D479" s="48" t="s">
        <v>328</v>
      </c>
      <c r="E479" s="441"/>
      <c r="F479" s="118" t="s">
        <v>48</v>
      </c>
      <c r="G479" s="226"/>
      <c r="H479" s="126"/>
      <c r="I479" s="126"/>
      <c r="J479" s="2"/>
      <c r="K479" s="18"/>
      <c r="L479" s="18"/>
      <c r="M479" s="18"/>
      <c r="N479" s="18"/>
      <c r="O479" s="126"/>
      <c r="P479" s="126">
        <f>May!CQ332</f>
        <v>604</v>
      </c>
      <c r="Q479" s="126">
        <f>May!CO332</f>
        <v>2</v>
      </c>
      <c r="R479" s="436"/>
      <c r="S479" s="436"/>
      <c r="T479" s="18"/>
      <c r="U479" s="18"/>
      <c r="V479" s="127">
        <f t="shared" si="31"/>
        <v>4149</v>
      </c>
      <c r="W479" s="45"/>
      <c r="X479" s="67"/>
    </row>
    <row r="480" spans="1:24" ht="15" customHeight="1">
      <c r="A480" s="427"/>
      <c r="B480" s="122" t="s">
        <v>253</v>
      </c>
      <c r="C480" s="180" t="s">
        <v>365</v>
      </c>
      <c r="D480" s="48" t="s">
        <v>246</v>
      </c>
      <c r="E480" s="441"/>
      <c r="F480" s="118" t="s">
        <v>247</v>
      </c>
      <c r="G480" s="226"/>
      <c r="H480" s="126"/>
      <c r="I480" s="126"/>
      <c r="J480" s="2"/>
      <c r="K480" s="18"/>
      <c r="L480" s="18"/>
      <c r="M480" s="18"/>
      <c r="N480" s="18"/>
      <c r="O480" s="126"/>
      <c r="P480" s="126">
        <f>May!CQ327</f>
        <v>739</v>
      </c>
      <c r="Q480" s="126">
        <f>May!CO327</f>
        <v>4</v>
      </c>
      <c r="R480" s="436"/>
      <c r="S480" s="436"/>
      <c r="T480" s="18"/>
      <c r="U480" s="18"/>
      <c r="V480" s="127">
        <f t="shared" si="31"/>
        <v>13188</v>
      </c>
      <c r="W480" s="45"/>
      <c r="X480" s="67"/>
    </row>
    <row r="481" spans="1:25" ht="15" customHeight="1">
      <c r="A481" s="427"/>
      <c r="B481" s="122" t="s">
        <v>366</v>
      </c>
      <c r="C481" s="180" t="s">
        <v>367</v>
      </c>
      <c r="D481" s="48" t="s">
        <v>132</v>
      </c>
      <c r="E481" s="441"/>
      <c r="F481" s="118" t="s">
        <v>64</v>
      </c>
      <c r="G481" s="119"/>
      <c r="H481" s="126"/>
      <c r="I481" s="126"/>
      <c r="J481" s="2"/>
      <c r="K481" s="18"/>
      <c r="L481" s="18"/>
      <c r="M481" s="18"/>
      <c r="N481" s="18"/>
      <c r="O481" s="126"/>
      <c r="P481" s="126">
        <f>May!CQ331</f>
        <v>428</v>
      </c>
      <c r="Q481" s="126">
        <f>May!CO331</f>
        <v>1</v>
      </c>
      <c r="R481" s="436"/>
      <c r="S481" s="436"/>
      <c r="T481" s="18"/>
      <c r="U481" s="18"/>
      <c r="V481" s="18">
        <f t="shared" si="31"/>
        <v>0</v>
      </c>
      <c r="W481" s="45"/>
      <c r="X481" s="67"/>
    </row>
    <row r="482" spans="1:25" ht="15" customHeight="1">
      <c r="A482" s="427"/>
      <c r="B482" s="122" t="s">
        <v>101</v>
      </c>
      <c r="C482" s="180" t="s">
        <v>327</v>
      </c>
      <c r="D482" s="48" t="s">
        <v>102</v>
      </c>
      <c r="E482" s="441"/>
      <c r="F482" s="118" t="s">
        <v>64</v>
      </c>
      <c r="G482" s="119"/>
      <c r="H482" s="126"/>
      <c r="I482" s="126"/>
      <c r="J482" s="2"/>
      <c r="K482" s="18"/>
      <c r="L482" s="18"/>
      <c r="M482" s="18">
        <v>28000</v>
      </c>
      <c r="N482" s="18">
        <v>4</v>
      </c>
      <c r="O482" s="126">
        <f>May!CP330</f>
        <v>3444</v>
      </c>
      <c r="P482" s="126">
        <f>May!CQ330</f>
        <v>2852</v>
      </c>
      <c r="Q482" s="126">
        <f>May!CO330</f>
        <v>8</v>
      </c>
      <c r="R482" s="436"/>
      <c r="S482" s="436"/>
      <c r="T482" s="18">
        <v>6000</v>
      </c>
      <c r="U482" s="18"/>
      <c r="V482" s="18">
        <f t="shared" si="31"/>
        <v>3846</v>
      </c>
      <c r="W482" s="45"/>
      <c r="X482" s="67"/>
    </row>
    <row r="483" spans="1:25" s="4" customFormat="1" ht="15" customHeight="1">
      <c r="A483" s="427"/>
      <c r="B483" s="122" t="s">
        <v>375</v>
      </c>
      <c r="C483" s="157" t="s">
        <v>376</v>
      </c>
      <c r="D483" s="48" t="s">
        <v>248</v>
      </c>
      <c r="E483" s="441"/>
      <c r="F483" s="48" t="s">
        <v>64</v>
      </c>
      <c r="G483" s="122"/>
      <c r="H483" s="34">
        <v>2880</v>
      </c>
      <c r="I483" s="34"/>
      <c r="J483" s="6"/>
      <c r="K483" s="211">
        <f>8300+8000</f>
        <v>16300</v>
      </c>
      <c r="L483" s="211">
        <v>4</v>
      </c>
      <c r="M483" s="211">
        <v>64900</v>
      </c>
      <c r="N483" s="211">
        <v>16</v>
      </c>
      <c r="O483" s="34">
        <f>May!CP333</f>
        <v>7844</v>
      </c>
      <c r="P483" s="34">
        <f>May!CQ333</f>
        <v>11916</v>
      </c>
      <c r="Q483" s="34">
        <f>May!CO333</f>
        <v>27</v>
      </c>
      <c r="R483" s="436"/>
      <c r="S483" s="436"/>
      <c r="T483" s="211">
        <v>155</v>
      </c>
      <c r="U483" s="211"/>
      <c r="V483" s="211">
        <f t="shared" si="31"/>
        <v>15164</v>
      </c>
      <c r="W483" s="260"/>
      <c r="X483" s="67"/>
    </row>
    <row r="484" spans="1:25" s="4" customFormat="1" ht="15" customHeight="1">
      <c r="A484" s="427"/>
      <c r="B484" s="442" t="s">
        <v>289</v>
      </c>
      <c r="C484" s="444" t="s">
        <v>290</v>
      </c>
      <c r="D484" s="48" t="s">
        <v>75</v>
      </c>
      <c r="E484" s="441"/>
      <c r="F484" s="48" t="s">
        <v>381</v>
      </c>
      <c r="G484" s="122"/>
      <c r="H484" s="34"/>
      <c r="I484" s="34"/>
      <c r="J484" s="6"/>
      <c r="K484" s="211"/>
      <c r="L484" s="211"/>
      <c r="M484" s="211"/>
      <c r="N484" s="211"/>
      <c r="O484" s="34"/>
      <c r="P484" s="34">
        <f>May!CQ329</f>
        <v>259</v>
      </c>
      <c r="Q484" s="34">
        <f>May!CO329</f>
        <v>1</v>
      </c>
      <c r="R484" s="436"/>
      <c r="S484" s="436"/>
      <c r="T484" s="211"/>
      <c r="U484" s="211"/>
      <c r="V484" s="211"/>
      <c r="W484" s="260"/>
      <c r="X484" s="67"/>
    </row>
    <row r="485" spans="1:25" s="4" customFormat="1" ht="15" customHeight="1">
      <c r="A485" s="427"/>
      <c r="B485" s="443"/>
      <c r="C485" s="446"/>
      <c r="D485" s="48" t="s">
        <v>329</v>
      </c>
      <c r="E485" s="441"/>
      <c r="F485" s="48"/>
      <c r="G485" s="122"/>
      <c r="H485" s="293">
        <v>30.6</v>
      </c>
      <c r="I485" s="34"/>
      <c r="J485" s="6"/>
      <c r="K485" s="211"/>
      <c r="L485" s="211"/>
      <c r="M485" s="211"/>
      <c r="N485" s="211"/>
      <c r="O485" s="34"/>
      <c r="P485" s="34"/>
      <c r="Q485" s="34"/>
      <c r="R485" s="436"/>
      <c r="S485" s="436"/>
      <c r="T485" s="211"/>
      <c r="U485" s="211"/>
      <c r="V485" s="211"/>
      <c r="W485" s="260"/>
      <c r="X485" s="67"/>
    </row>
    <row r="486" spans="1:25" ht="15" customHeight="1">
      <c r="A486" s="427"/>
      <c r="B486" s="122" t="s">
        <v>103</v>
      </c>
      <c r="C486" s="157" t="s">
        <v>197</v>
      </c>
      <c r="D486" s="48" t="s">
        <v>104</v>
      </c>
      <c r="E486" s="441"/>
      <c r="F486" s="118" t="s">
        <v>105</v>
      </c>
      <c r="G486" s="119"/>
      <c r="H486" s="126"/>
      <c r="I486" s="126"/>
      <c r="J486" s="2"/>
      <c r="K486" s="18"/>
      <c r="L486" s="18"/>
      <c r="M486" s="18"/>
      <c r="N486" s="18"/>
      <c r="O486" s="126"/>
      <c r="P486" s="126"/>
      <c r="Q486" s="126">
        <f>May!CO335</f>
        <v>1</v>
      </c>
      <c r="R486" s="436"/>
      <c r="S486" s="436"/>
      <c r="T486" s="18"/>
      <c r="U486" s="18"/>
      <c r="V486" s="18"/>
      <c r="W486" s="45"/>
      <c r="X486" s="67"/>
    </row>
    <row r="487" spans="1:25" ht="15" customHeight="1">
      <c r="A487" s="427"/>
      <c r="B487" s="137" t="s">
        <v>112</v>
      </c>
      <c r="C487" s="157" t="s">
        <v>197</v>
      </c>
      <c r="D487" s="48" t="s">
        <v>104</v>
      </c>
      <c r="E487" s="441"/>
      <c r="F487" s="118" t="s">
        <v>113</v>
      </c>
      <c r="G487" s="119"/>
      <c r="H487" s="126"/>
      <c r="I487" s="126"/>
      <c r="J487" s="2"/>
      <c r="K487" s="18"/>
      <c r="L487" s="18"/>
      <c r="M487" s="18"/>
      <c r="N487" s="18"/>
      <c r="O487" s="126"/>
      <c r="P487" s="126"/>
      <c r="Q487" s="126">
        <f>May!CO337</f>
        <v>1</v>
      </c>
      <c r="R487" s="436"/>
      <c r="S487" s="436"/>
      <c r="T487" s="18"/>
      <c r="U487" s="18"/>
      <c r="V487" s="18"/>
      <c r="W487" s="45"/>
      <c r="X487" s="67"/>
    </row>
    <row r="488" spans="1:25" ht="15" customHeight="1" thickBot="1">
      <c r="A488" s="428"/>
      <c r="B488" s="44" t="s">
        <v>107</v>
      </c>
      <c r="C488" s="181" t="s">
        <v>195</v>
      </c>
      <c r="D488" s="61" t="s">
        <v>108</v>
      </c>
      <c r="E488" s="447"/>
      <c r="F488" s="133" t="s">
        <v>48</v>
      </c>
      <c r="G488" s="132"/>
      <c r="H488" s="109"/>
      <c r="I488" s="134"/>
      <c r="J488" s="129"/>
      <c r="K488" s="130"/>
      <c r="L488" s="130"/>
      <c r="M488" s="130"/>
      <c r="N488" s="130"/>
      <c r="O488" s="134"/>
      <c r="P488" s="134"/>
      <c r="Q488" s="134"/>
      <c r="R488" s="437"/>
      <c r="S488" s="437"/>
      <c r="T488" s="130"/>
      <c r="U488" s="130"/>
      <c r="V488" s="128">
        <f>O488-T488-U488+V457</f>
        <v>903</v>
      </c>
      <c r="W488" s="85"/>
      <c r="X488" s="67"/>
    </row>
    <row r="489" spans="1:25" ht="15" customHeight="1">
      <c r="A489" s="426">
        <v>46165</v>
      </c>
      <c r="B489" s="429" t="s">
        <v>44</v>
      </c>
      <c r="C489" s="432" t="s">
        <v>240</v>
      </c>
      <c r="D489" s="19" t="s">
        <v>37</v>
      </c>
      <c r="E489" s="19" t="s">
        <v>25</v>
      </c>
      <c r="F489" s="39" t="s">
        <v>40</v>
      </c>
      <c r="G489" s="41"/>
      <c r="H489" s="32">
        <v>5744</v>
      </c>
      <c r="I489" s="32"/>
      <c r="J489" s="32"/>
      <c r="K489" s="20"/>
      <c r="L489" s="20"/>
      <c r="M489" s="20">
        <v>144400</v>
      </c>
      <c r="N489" s="84">
        <v>18</v>
      </c>
      <c r="O489" s="32">
        <f>May!CS311</f>
        <v>22332</v>
      </c>
      <c r="P489" s="32">
        <f>May!CT311</f>
        <v>32740</v>
      </c>
      <c r="Q489" s="32">
        <f>May!CR311</f>
        <v>94</v>
      </c>
      <c r="R489" s="435">
        <f>May!CS340</f>
        <v>91147</v>
      </c>
      <c r="S489" s="435">
        <f>May!CT340</f>
        <v>89859</v>
      </c>
      <c r="T489" s="20">
        <v>36629</v>
      </c>
      <c r="U489" s="20"/>
      <c r="V489" s="20">
        <f>O489-T489-U489+V458</f>
        <v>187421</v>
      </c>
      <c r="W489" s="77"/>
      <c r="X489" s="36"/>
    </row>
    <row r="490" spans="1:25" ht="15" customHeight="1">
      <c r="A490" s="427"/>
      <c r="B490" s="431"/>
      <c r="C490" s="434"/>
      <c r="D490" s="113" t="s">
        <v>307</v>
      </c>
      <c r="E490" s="113" t="s">
        <v>24</v>
      </c>
      <c r="F490" s="118" t="s">
        <v>40</v>
      </c>
      <c r="G490" s="135"/>
      <c r="H490" s="158"/>
      <c r="I490" s="125"/>
      <c r="J490" s="125"/>
      <c r="K490" s="127">
        <v>56000</v>
      </c>
      <c r="L490" s="127">
        <v>7</v>
      </c>
      <c r="M490" s="216">
        <v>127400</v>
      </c>
      <c r="N490" s="238">
        <v>16</v>
      </c>
      <c r="O490" s="126">
        <f>May!CS313</f>
        <v>37424</v>
      </c>
      <c r="P490" s="125">
        <f>May!CT313</f>
        <v>24240</v>
      </c>
      <c r="Q490" s="125">
        <f>May!CR313</f>
        <v>71</v>
      </c>
      <c r="R490" s="436"/>
      <c r="S490" s="436"/>
      <c r="T490" s="127">
        <v>24110</v>
      </c>
      <c r="U490" s="127">
        <v>33</v>
      </c>
      <c r="V490" s="127">
        <f>O490-T490-U490+V460</f>
        <v>67348</v>
      </c>
      <c r="W490" s="46"/>
      <c r="X490" s="67"/>
    </row>
    <row r="491" spans="1:25" ht="15" customHeight="1">
      <c r="A491" s="427"/>
      <c r="B491" s="442" t="s">
        <v>45</v>
      </c>
      <c r="C491" s="471" t="s">
        <v>59</v>
      </c>
      <c r="D491" s="118" t="s">
        <v>75</v>
      </c>
      <c r="E491" s="438" t="s">
        <v>25</v>
      </c>
      <c r="F491" s="131" t="s">
        <v>57</v>
      </c>
      <c r="G491" s="87"/>
      <c r="H491" s="152"/>
      <c r="I491" s="126"/>
      <c r="J491" s="2"/>
      <c r="K491" s="127">
        <v>5180</v>
      </c>
      <c r="L491" s="18">
        <v>1</v>
      </c>
      <c r="M491" s="18">
        <v>36260</v>
      </c>
      <c r="N491" s="80">
        <v>7</v>
      </c>
      <c r="O491" s="126">
        <f>May!CS317</f>
        <v>1096</v>
      </c>
      <c r="P491" s="126">
        <f>May!CT317</f>
        <v>1708</v>
      </c>
      <c r="Q491" s="2">
        <f>May!CR317</f>
        <v>7</v>
      </c>
      <c r="R491" s="436"/>
      <c r="S491" s="436"/>
      <c r="T491" s="18"/>
      <c r="U491" s="18"/>
      <c r="V491" s="127">
        <f>O491-T491-U491+V461</f>
        <v>6763</v>
      </c>
      <c r="W491" s="46"/>
      <c r="Y491" s="13"/>
    </row>
    <row r="492" spans="1:25" ht="15" customHeight="1">
      <c r="A492" s="427"/>
      <c r="B492" s="439"/>
      <c r="C492" s="471"/>
      <c r="D492" s="118" t="s">
        <v>291</v>
      </c>
      <c r="E492" s="430"/>
      <c r="F492" s="131" t="s">
        <v>57</v>
      </c>
      <c r="G492" s="87"/>
      <c r="H492" s="152"/>
      <c r="I492" s="126"/>
      <c r="J492" s="2"/>
      <c r="K492" s="127"/>
      <c r="L492" s="18"/>
      <c r="M492" s="18"/>
      <c r="N492" s="80"/>
      <c r="O492" s="126"/>
      <c r="P492" s="126">
        <f>May!CT318</f>
        <v>1208</v>
      </c>
      <c r="Q492" s="2">
        <f>May!CR318</f>
        <v>5</v>
      </c>
      <c r="R492" s="436"/>
      <c r="S492" s="436"/>
      <c r="T492" s="18"/>
      <c r="U492" s="18"/>
      <c r="V492" s="127">
        <f>O492-T492-U492+V462</f>
        <v>6619</v>
      </c>
      <c r="W492" s="46"/>
      <c r="Y492" s="13"/>
    </row>
    <row r="493" spans="1:25">
      <c r="A493" s="427"/>
      <c r="B493" s="439"/>
      <c r="C493" s="471"/>
      <c r="D493" s="118" t="s">
        <v>72</v>
      </c>
      <c r="E493" s="424" t="s">
        <v>24</v>
      </c>
      <c r="F493" s="131" t="s">
        <v>57</v>
      </c>
      <c r="G493" s="224"/>
      <c r="H493" s="152"/>
      <c r="I493" s="126"/>
      <c r="J493" s="126"/>
      <c r="K493" s="127"/>
      <c r="L493" s="18"/>
      <c r="M493" s="18">
        <v>70000</v>
      </c>
      <c r="N493" s="80">
        <v>14</v>
      </c>
      <c r="O493" s="126">
        <f>May!CS319</f>
        <v>2310</v>
      </c>
      <c r="P493" s="126">
        <f>May!CT319</f>
        <v>1869</v>
      </c>
      <c r="Q493" s="126">
        <f>May!CR319</f>
        <v>9</v>
      </c>
      <c r="R493" s="436"/>
      <c r="S493" s="436"/>
      <c r="T493" s="18"/>
      <c r="U493" s="18"/>
      <c r="V493" s="127">
        <f>O493-T493-U493+V463</f>
        <v>10719</v>
      </c>
      <c r="W493" s="46"/>
      <c r="Y493" s="13"/>
    </row>
    <row r="494" spans="1:25">
      <c r="A494" s="427"/>
      <c r="B494" s="439"/>
      <c r="C494" s="471"/>
      <c r="D494" s="115" t="s">
        <v>73</v>
      </c>
      <c r="E494" s="425"/>
      <c r="F494" s="131"/>
      <c r="G494" s="224"/>
      <c r="H494" s="152">
        <v>1980</v>
      </c>
      <c r="I494" s="126"/>
      <c r="J494" s="126"/>
      <c r="K494" s="127"/>
      <c r="L494" s="18"/>
      <c r="M494" s="18"/>
      <c r="N494" s="80"/>
      <c r="O494" s="126"/>
      <c r="P494" s="126"/>
      <c r="Q494" s="126"/>
      <c r="R494" s="436"/>
      <c r="S494" s="436"/>
      <c r="T494" s="18"/>
      <c r="U494" s="18"/>
      <c r="V494" s="127"/>
      <c r="W494" s="46"/>
      <c r="Y494" s="13"/>
    </row>
    <row r="495" spans="1:25" ht="14.25" customHeight="1">
      <c r="A495" s="427"/>
      <c r="B495" s="439"/>
      <c r="C495" s="471"/>
      <c r="D495" s="115" t="s">
        <v>79</v>
      </c>
      <c r="E495" s="118" t="s">
        <v>65</v>
      </c>
      <c r="F495" s="131" t="s">
        <v>57</v>
      </c>
      <c r="G495" s="224"/>
      <c r="H495" s="126"/>
      <c r="I495" s="126"/>
      <c r="J495" s="126"/>
      <c r="K495" s="18"/>
      <c r="L495" s="18"/>
      <c r="M495" s="18"/>
      <c r="N495" s="80"/>
      <c r="O495" s="126"/>
      <c r="P495" s="126">
        <f>May!CT320</f>
        <v>916</v>
      </c>
      <c r="Q495" s="126">
        <f>May!CR320</f>
        <v>5</v>
      </c>
      <c r="R495" s="436"/>
      <c r="S495" s="436"/>
      <c r="T495" s="18"/>
      <c r="U495" s="18"/>
      <c r="V495" s="127">
        <f>O495-T495-U495+V465</f>
        <v>0</v>
      </c>
      <c r="W495" s="45"/>
      <c r="X495" s="36"/>
    </row>
    <row r="496" spans="1:25" ht="14.25" customHeight="1">
      <c r="A496" s="427"/>
      <c r="B496" s="439"/>
      <c r="C496" s="448" t="s">
        <v>299</v>
      </c>
      <c r="D496" s="115" t="s">
        <v>296</v>
      </c>
      <c r="E496" s="424" t="s">
        <v>25</v>
      </c>
      <c r="F496" s="131" t="s">
        <v>298</v>
      </c>
      <c r="G496" s="224"/>
      <c r="H496" s="37"/>
      <c r="I496" s="126"/>
      <c r="J496" s="126"/>
      <c r="K496" s="18"/>
      <c r="L496" s="18"/>
      <c r="M496" s="18"/>
      <c r="N496" s="80"/>
      <c r="O496" s="126"/>
      <c r="P496" s="126">
        <f>May!CT321</f>
        <v>522</v>
      </c>
      <c r="Q496" s="126">
        <f>May!CR321</f>
        <v>2</v>
      </c>
      <c r="R496" s="436"/>
      <c r="S496" s="436"/>
      <c r="T496" s="18"/>
      <c r="U496" s="18"/>
      <c r="V496" s="127">
        <f t="shared" ref="V496:V513" si="32">O496-T496-U496+V467</f>
        <v>3848</v>
      </c>
      <c r="W496" s="45"/>
      <c r="X496" s="67"/>
    </row>
    <row r="497" spans="1:24" ht="14.25" customHeight="1">
      <c r="A497" s="427"/>
      <c r="B497" s="443"/>
      <c r="C497" s="449"/>
      <c r="D497" s="115" t="s">
        <v>75</v>
      </c>
      <c r="E497" s="425"/>
      <c r="F497" s="131" t="s">
        <v>298</v>
      </c>
      <c r="G497" s="224"/>
      <c r="H497" s="37"/>
      <c r="I497" s="126"/>
      <c r="J497" s="126"/>
      <c r="K497" s="18"/>
      <c r="L497" s="18"/>
      <c r="M497" s="18"/>
      <c r="N497" s="80"/>
      <c r="O497" s="126"/>
      <c r="P497" s="126">
        <f>May!CT322</f>
        <v>536</v>
      </c>
      <c r="Q497" s="126">
        <f>May!CR322</f>
        <v>2</v>
      </c>
      <c r="R497" s="436"/>
      <c r="S497" s="436"/>
      <c r="T497" s="18"/>
      <c r="U497" s="18"/>
      <c r="V497" s="127">
        <f t="shared" si="32"/>
        <v>4400</v>
      </c>
      <c r="W497" s="45"/>
      <c r="X497" s="67"/>
    </row>
    <row r="498" spans="1:24" ht="14.25" customHeight="1">
      <c r="A498" s="427"/>
      <c r="B498" s="442" t="s">
        <v>53</v>
      </c>
      <c r="C498" s="444" t="s">
        <v>60</v>
      </c>
      <c r="D498" s="43" t="s">
        <v>130</v>
      </c>
      <c r="E498" s="424" t="s">
        <v>66</v>
      </c>
      <c r="F498" s="118" t="s">
        <v>54</v>
      </c>
      <c r="G498" s="224"/>
      <c r="H498" s="37"/>
      <c r="I498" s="126"/>
      <c r="J498" s="126"/>
      <c r="K498" s="18"/>
      <c r="L498" s="18"/>
      <c r="M498" s="18"/>
      <c r="N498" s="80"/>
      <c r="O498" s="126">
        <f>May!CS314</f>
        <v>3337</v>
      </c>
      <c r="P498" s="126">
        <f>May!CT314</f>
        <v>1665</v>
      </c>
      <c r="Q498" s="126">
        <f>May!CR314</f>
        <v>6</v>
      </c>
      <c r="R498" s="436"/>
      <c r="S498" s="436"/>
      <c r="T498" s="18"/>
      <c r="U498" s="18"/>
      <c r="V498" s="127">
        <f t="shared" si="32"/>
        <v>6659</v>
      </c>
      <c r="W498" s="45"/>
      <c r="X498" s="67"/>
    </row>
    <row r="499" spans="1:24" ht="14.25" customHeight="1">
      <c r="A499" s="427"/>
      <c r="B499" s="439"/>
      <c r="C499" s="445"/>
      <c r="D499" s="43" t="s">
        <v>320</v>
      </c>
      <c r="E499" s="425"/>
      <c r="F499" s="118" t="s">
        <v>54</v>
      </c>
      <c r="G499" s="224"/>
      <c r="H499" s="37"/>
      <c r="I499" s="126"/>
      <c r="J499" s="126"/>
      <c r="K499" s="18"/>
      <c r="L499" s="18"/>
      <c r="M499" s="18">
        <v>65500</v>
      </c>
      <c r="N499" s="80">
        <v>11</v>
      </c>
      <c r="O499" s="126">
        <f>May!CS315</f>
        <v>1200</v>
      </c>
      <c r="P499" s="126">
        <f>May!CT315</f>
        <v>2580</v>
      </c>
      <c r="Q499" s="126">
        <f>May!CR315</f>
        <v>8</v>
      </c>
      <c r="R499" s="436"/>
      <c r="S499" s="436"/>
      <c r="T499" s="18">
        <v>7377</v>
      </c>
      <c r="U499" s="18"/>
      <c r="V499" s="127">
        <f t="shared" si="32"/>
        <v>3600</v>
      </c>
      <c r="W499" s="45"/>
      <c r="X499" s="67"/>
    </row>
    <row r="500" spans="1:24" ht="14.25" customHeight="1">
      <c r="A500" s="427"/>
      <c r="B500" s="443"/>
      <c r="C500" s="446"/>
      <c r="D500" s="43" t="s">
        <v>199</v>
      </c>
      <c r="E500" s="114" t="s">
        <v>25</v>
      </c>
      <c r="F500" s="118" t="s">
        <v>54</v>
      </c>
      <c r="G500" s="224"/>
      <c r="H500" s="135"/>
      <c r="I500" s="158"/>
      <c r="J500" s="158"/>
      <c r="K500" s="128"/>
      <c r="L500" s="128"/>
      <c r="M500" s="128"/>
      <c r="N500" s="164"/>
      <c r="O500" s="158"/>
      <c r="P500" s="158"/>
      <c r="Q500" s="158"/>
      <c r="R500" s="436"/>
      <c r="S500" s="436"/>
      <c r="T500" s="18"/>
      <c r="U500" s="18"/>
      <c r="V500" s="127">
        <f t="shared" si="32"/>
        <v>68</v>
      </c>
      <c r="W500" s="45"/>
      <c r="X500" s="67"/>
    </row>
    <row r="501" spans="1:24" ht="15.75" customHeight="1">
      <c r="A501" s="427"/>
      <c r="B501" s="122" t="s">
        <v>55</v>
      </c>
      <c r="C501" s="180" t="s">
        <v>133</v>
      </c>
      <c r="D501" s="48" t="s">
        <v>56</v>
      </c>
      <c r="E501" s="424" t="s">
        <v>25</v>
      </c>
      <c r="F501" s="118" t="s">
        <v>67</v>
      </c>
      <c r="G501" s="226"/>
      <c r="H501" s="126"/>
      <c r="I501" s="126"/>
      <c r="J501" s="2"/>
      <c r="K501" s="18"/>
      <c r="L501" s="18"/>
      <c r="M501" s="18"/>
      <c r="N501" s="18"/>
      <c r="O501" s="126"/>
      <c r="P501" s="126">
        <f>May!CT338</f>
        <v>498</v>
      </c>
      <c r="Q501" s="126">
        <f>May!CR338</f>
        <v>1</v>
      </c>
      <c r="R501" s="436"/>
      <c r="S501" s="436"/>
      <c r="T501" s="18"/>
      <c r="U501" s="18"/>
      <c r="V501" s="127">
        <f t="shared" si="32"/>
        <v>1700</v>
      </c>
      <c r="W501" s="45"/>
      <c r="X501" s="67"/>
    </row>
    <row r="502" spans="1:24" ht="15" customHeight="1">
      <c r="A502" s="427"/>
      <c r="B502" s="122" t="s">
        <v>122</v>
      </c>
      <c r="C502" s="180" t="s">
        <v>123</v>
      </c>
      <c r="D502" s="48" t="s">
        <v>56</v>
      </c>
      <c r="E502" s="441"/>
      <c r="F502" s="155" t="s">
        <v>64</v>
      </c>
      <c r="G502" s="119"/>
      <c r="H502" s="126"/>
      <c r="I502" s="126"/>
      <c r="J502" s="2"/>
      <c r="K502" s="18"/>
      <c r="L502" s="18"/>
      <c r="M502" s="18">
        <v>6400</v>
      </c>
      <c r="N502" s="18">
        <v>2</v>
      </c>
      <c r="O502" s="126"/>
      <c r="P502" s="126"/>
      <c r="Q502" s="126"/>
      <c r="R502" s="436"/>
      <c r="S502" s="436"/>
      <c r="T502" s="18"/>
      <c r="U502" s="18"/>
      <c r="V502" s="127">
        <f t="shared" si="32"/>
        <v>21764</v>
      </c>
      <c r="W502" s="45"/>
      <c r="X502" s="67"/>
    </row>
    <row r="503" spans="1:24" ht="14.25" customHeight="1">
      <c r="A503" s="427"/>
      <c r="B503" s="137" t="s">
        <v>58</v>
      </c>
      <c r="C503" s="157" t="s">
        <v>243</v>
      </c>
      <c r="D503" s="48" t="s">
        <v>56</v>
      </c>
      <c r="E503" s="441"/>
      <c r="F503" s="118" t="s">
        <v>64</v>
      </c>
      <c r="G503" s="225"/>
      <c r="H503" s="126"/>
      <c r="I503" s="126"/>
      <c r="J503" s="126"/>
      <c r="K503" s="18"/>
      <c r="L503" s="18"/>
      <c r="M503" s="18"/>
      <c r="N503" s="80"/>
      <c r="O503" s="126"/>
      <c r="P503" s="126"/>
      <c r="Q503" s="126"/>
      <c r="R503" s="436"/>
      <c r="S503" s="436"/>
      <c r="T503" s="18"/>
      <c r="U503" s="18"/>
      <c r="V503" s="127">
        <f t="shared" si="32"/>
        <v>8562</v>
      </c>
      <c r="W503" s="45"/>
      <c r="X503" s="67"/>
    </row>
    <row r="504" spans="1:24" ht="14.25" customHeight="1">
      <c r="A504" s="427"/>
      <c r="B504" s="122" t="s">
        <v>61</v>
      </c>
      <c r="C504" s="180" t="s">
        <v>137</v>
      </c>
      <c r="D504" s="48" t="s">
        <v>56</v>
      </c>
      <c r="E504" s="441"/>
      <c r="F504" s="118" t="s">
        <v>67</v>
      </c>
      <c r="G504" s="225"/>
      <c r="H504" s="126"/>
      <c r="I504" s="126"/>
      <c r="J504" s="126"/>
      <c r="K504" s="18"/>
      <c r="L504" s="18"/>
      <c r="M504" s="18"/>
      <c r="N504" s="80"/>
      <c r="O504" s="126"/>
      <c r="P504" s="126"/>
      <c r="Q504" s="126"/>
      <c r="R504" s="436"/>
      <c r="S504" s="436"/>
      <c r="T504" s="18"/>
      <c r="U504" s="18"/>
      <c r="V504" s="127">
        <f t="shared" si="32"/>
        <v>5844</v>
      </c>
      <c r="W504" s="45"/>
      <c r="X504" s="67"/>
    </row>
    <row r="505" spans="1:24" ht="14.25" customHeight="1">
      <c r="A505" s="427"/>
      <c r="B505" s="122" t="s">
        <v>125</v>
      </c>
      <c r="C505" s="180" t="s">
        <v>88</v>
      </c>
      <c r="D505" s="48" t="s">
        <v>124</v>
      </c>
      <c r="E505" s="441"/>
      <c r="F505" s="118" t="s">
        <v>64</v>
      </c>
      <c r="G505" s="225"/>
      <c r="H505" s="126"/>
      <c r="I505" s="126"/>
      <c r="J505" s="126"/>
      <c r="K505" s="18"/>
      <c r="L505" s="18"/>
      <c r="M505" s="18">
        <v>51200</v>
      </c>
      <c r="N505" s="80">
        <v>7</v>
      </c>
      <c r="O505" s="126"/>
      <c r="P505" s="126"/>
      <c r="Q505" s="126"/>
      <c r="R505" s="436"/>
      <c r="S505" s="436"/>
      <c r="T505" s="18"/>
      <c r="U505" s="18"/>
      <c r="V505" s="127">
        <f t="shared" si="32"/>
        <v>23615</v>
      </c>
      <c r="W505" s="45"/>
      <c r="X505" s="67"/>
    </row>
    <row r="506" spans="1:24" ht="14.25" customHeight="1">
      <c r="A506" s="427"/>
      <c r="B506" s="137" t="s">
        <v>47</v>
      </c>
      <c r="C506" s="157" t="s">
        <v>100</v>
      </c>
      <c r="D506" s="48" t="s">
        <v>99</v>
      </c>
      <c r="E506" s="441"/>
      <c r="F506" s="118" t="s">
        <v>71</v>
      </c>
      <c r="G506" s="225"/>
      <c r="H506" s="126"/>
      <c r="I506" s="126"/>
      <c r="J506" s="126"/>
      <c r="K506" s="18"/>
      <c r="L506" s="18"/>
      <c r="M506" s="18"/>
      <c r="N506" s="80"/>
      <c r="O506" s="126">
        <f>May!CS326</f>
        <v>1331</v>
      </c>
      <c r="P506" s="126">
        <f>May!CT326</f>
        <v>1177</v>
      </c>
      <c r="Q506" s="126">
        <f>May!CR326</f>
        <v>4</v>
      </c>
      <c r="R506" s="436"/>
      <c r="S506" s="436"/>
      <c r="T506" s="18"/>
      <c r="U506" s="18"/>
      <c r="V506" s="127">
        <f t="shared" si="32"/>
        <v>39301</v>
      </c>
      <c r="W506" s="45"/>
      <c r="X506" s="67"/>
    </row>
    <row r="507" spans="1:24" ht="15" customHeight="1">
      <c r="A507" s="427"/>
      <c r="B507" s="122" t="s">
        <v>196</v>
      </c>
      <c r="C507" s="180" t="s">
        <v>63</v>
      </c>
      <c r="D507" s="48" t="s">
        <v>135</v>
      </c>
      <c r="E507" s="441"/>
      <c r="F507" s="118" t="s">
        <v>64</v>
      </c>
      <c r="G507" s="226"/>
      <c r="H507" s="126"/>
      <c r="I507" s="126"/>
      <c r="J507" s="2"/>
      <c r="K507" s="18"/>
      <c r="L507" s="18"/>
      <c r="M507" s="18"/>
      <c r="N507" s="18"/>
      <c r="O507" s="126">
        <f>May!CS334</f>
        <v>2980</v>
      </c>
      <c r="P507" s="126">
        <f>May!CT334</f>
        <v>1301</v>
      </c>
      <c r="Q507" s="126">
        <f>May!CR334</f>
        <v>5</v>
      </c>
      <c r="R507" s="436"/>
      <c r="S507" s="436"/>
      <c r="T507" s="18"/>
      <c r="U507" s="18"/>
      <c r="V507" s="127">
        <f t="shared" si="32"/>
        <v>18600</v>
      </c>
      <c r="W507" s="45"/>
      <c r="X507" s="67"/>
    </row>
    <row r="508" spans="1:24" ht="15" customHeight="1">
      <c r="A508" s="427"/>
      <c r="B508" s="122" t="s">
        <v>363</v>
      </c>
      <c r="C508" s="180" t="s">
        <v>325</v>
      </c>
      <c r="D508" s="48" t="s">
        <v>328</v>
      </c>
      <c r="E508" s="441"/>
      <c r="F508" s="118" t="s">
        <v>48</v>
      </c>
      <c r="G508" s="226"/>
      <c r="H508" s="126"/>
      <c r="I508" s="126"/>
      <c r="J508" s="2"/>
      <c r="K508" s="18"/>
      <c r="L508" s="18"/>
      <c r="M508" s="18"/>
      <c r="N508" s="18"/>
      <c r="O508" s="126"/>
      <c r="P508" s="126">
        <f>May!CT332</f>
        <v>583</v>
      </c>
      <c r="Q508" s="126">
        <f>May!CR332</f>
        <v>2</v>
      </c>
      <c r="R508" s="436"/>
      <c r="S508" s="436"/>
      <c r="T508" s="18"/>
      <c r="U508" s="18"/>
      <c r="V508" s="127">
        <f t="shared" si="32"/>
        <v>4149</v>
      </c>
      <c r="W508" s="45"/>
      <c r="X508" s="67"/>
    </row>
    <row r="509" spans="1:24" ht="15" customHeight="1">
      <c r="A509" s="427"/>
      <c r="B509" s="122" t="s">
        <v>253</v>
      </c>
      <c r="C509" s="180" t="s">
        <v>365</v>
      </c>
      <c r="D509" s="48" t="s">
        <v>246</v>
      </c>
      <c r="E509" s="441"/>
      <c r="F509" s="118" t="s">
        <v>247</v>
      </c>
      <c r="G509" s="226"/>
      <c r="H509" s="126"/>
      <c r="I509" s="126"/>
      <c r="J509" s="2"/>
      <c r="K509" s="18"/>
      <c r="L509" s="18"/>
      <c r="M509" s="18"/>
      <c r="N509" s="18"/>
      <c r="O509" s="126">
        <f>May!CS327</f>
        <v>2000</v>
      </c>
      <c r="P509" s="126">
        <f>May!CT327</f>
        <v>505</v>
      </c>
      <c r="Q509" s="126">
        <f>May!CR327</f>
        <v>4</v>
      </c>
      <c r="R509" s="436"/>
      <c r="S509" s="436"/>
      <c r="T509" s="18"/>
      <c r="U509" s="18"/>
      <c r="V509" s="127">
        <f t="shared" si="32"/>
        <v>15188</v>
      </c>
      <c r="W509" s="45"/>
      <c r="X509" s="67"/>
    </row>
    <row r="510" spans="1:24" ht="15" customHeight="1">
      <c r="A510" s="427"/>
      <c r="B510" s="122" t="s">
        <v>366</v>
      </c>
      <c r="C510" s="180" t="s">
        <v>367</v>
      </c>
      <c r="D510" s="48" t="s">
        <v>132</v>
      </c>
      <c r="E510" s="441"/>
      <c r="F510" s="118" t="s">
        <v>64</v>
      </c>
      <c r="G510" s="119"/>
      <c r="H510" s="126"/>
      <c r="I510" s="126"/>
      <c r="J510" s="2"/>
      <c r="K510" s="18"/>
      <c r="L510" s="18"/>
      <c r="M510" s="18"/>
      <c r="N510" s="18"/>
      <c r="O510" s="126"/>
      <c r="P510" s="126">
        <f>May!CT331</f>
        <v>410</v>
      </c>
      <c r="Q510" s="126">
        <f>May!CR331</f>
        <v>1</v>
      </c>
      <c r="R510" s="436"/>
      <c r="S510" s="436"/>
      <c r="T510" s="18"/>
      <c r="U510" s="18"/>
      <c r="V510" s="18">
        <f t="shared" si="32"/>
        <v>0</v>
      </c>
      <c r="W510" s="45"/>
      <c r="X510" s="67"/>
    </row>
    <row r="511" spans="1:24" ht="15" customHeight="1">
      <c r="A511" s="427"/>
      <c r="B511" s="122" t="s">
        <v>101</v>
      </c>
      <c r="C511" s="180" t="s">
        <v>327</v>
      </c>
      <c r="D511" s="48" t="s">
        <v>102</v>
      </c>
      <c r="E511" s="441"/>
      <c r="F511" s="118" t="s">
        <v>64</v>
      </c>
      <c r="G511" s="119"/>
      <c r="H511" s="37">
        <v>535.5</v>
      </c>
      <c r="I511" s="126"/>
      <c r="J511" s="2"/>
      <c r="K511" s="18">
        <v>7000</v>
      </c>
      <c r="L511" s="18">
        <v>1</v>
      </c>
      <c r="M511" s="18">
        <v>21000</v>
      </c>
      <c r="N511" s="18">
        <v>3</v>
      </c>
      <c r="O511" s="126">
        <f>May!CS330</f>
        <v>1660</v>
      </c>
      <c r="P511" s="126">
        <f>May!CT330</f>
        <v>2659</v>
      </c>
      <c r="Q511" s="126">
        <f>May!CR330</f>
        <v>8</v>
      </c>
      <c r="R511" s="436"/>
      <c r="S511" s="436"/>
      <c r="T511" s="18">
        <v>4099</v>
      </c>
      <c r="U511" s="18">
        <v>1</v>
      </c>
      <c r="V511" s="18">
        <f t="shared" si="32"/>
        <v>1406</v>
      </c>
      <c r="W511" s="45"/>
      <c r="X511" s="67"/>
    </row>
    <row r="512" spans="1:24" s="4" customFormat="1" ht="15" customHeight="1">
      <c r="A512" s="427"/>
      <c r="B512" s="122" t="s">
        <v>375</v>
      </c>
      <c r="C512" s="157" t="s">
        <v>376</v>
      </c>
      <c r="D512" s="48" t="s">
        <v>248</v>
      </c>
      <c r="E512" s="441"/>
      <c r="F512" s="48" t="s">
        <v>64</v>
      </c>
      <c r="G512" s="37">
        <v>4107.2</v>
      </c>
      <c r="H512" s="34"/>
      <c r="I512" s="34"/>
      <c r="J512" s="6"/>
      <c r="K512" s="211">
        <v>16000</v>
      </c>
      <c r="L512" s="211">
        <v>4</v>
      </c>
      <c r="M512" s="211">
        <v>89900</v>
      </c>
      <c r="N512" s="211">
        <v>22</v>
      </c>
      <c r="O512" s="34">
        <f>May!CS333</f>
        <v>14803</v>
      </c>
      <c r="P512" s="34">
        <f>May!CT333</f>
        <v>14517</v>
      </c>
      <c r="Q512" s="34">
        <f>May!CR333</f>
        <v>32</v>
      </c>
      <c r="R512" s="436"/>
      <c r="S512" s="436"/>
      <c r="T512" s="211">
        <v>1600</v>
      </c>
      <c r="U512" s="211"/>
      <c r="V512" s="211">
        <f t="shared" si="32"/>
        <v>28367</v>
      </c>
      <c r="W512" s="260"/>
      <c r="X512" s="67"/>
    </row>
    <row r="513" spans="1:25" s="4" customFormat="1" ht="15" customHeight="1">
      <c r="A513" s="427"/>
      <c r="B513" s="122" t="s">
        <v>289</v>
      </c>
      <c r="C513" s="180" t="s">
        <v>290</v>
      </c>
      <c r="D513" s="48" t="s">
        <v>75</v>
      </c>
      <c r="E513" s="441"/>
      <c r="F513" s="48" t="s">
        <v>381</v>
      </c>
      <c r="G513" s="122"/>
      <c r="H513" s="34"/>
      <c r="I513" s="34"/>
      <c r="J513" s="6"/>
      <c r="K513" s="211"/>
      <c r="L513" s="211"/>
      <c r="M513" s="211"/>
      <c r="N513" s="211"/>
      <c r="O513" s="34">
        <f>May!CS329</f>
        <v>674</v>
      </c>
      <c r="P513" s="34">
        <f>May!CT329</f>
        <v>225</v>
      </c>
      <c r="Q513" s="34">
        <f>May!CR329</f>
        <v>1</v>
      </c>
      <c r="R513" s="436"/>
      <c r="S513" s="436"/>
      <c r="T513" s="211">
        <v>674</v>
      </c>
      <c r="U513" s="211"/>
      <c r="V513" s="211">
        <f t="shared" si="32"/>
        <v>0</v>
      </c>
      <c r="W513" s="260"/>
      <c r="X513" s="67"/>
    </row>
    <row r="514" spans="1:25" ht="15" customHeight="1">
      <c r="A514" s="427"/>
      <c r="B514" s="122" t="s">
        <v>103</v>
      </c>
      <c r="C514" s="157" t="s">
        <v>197</v>
      </c>
      <c r="D514" s="48" t="s">
        <v>104</v>
      </c>
      <c r="E514" s="441"/>
      <c r="F514" s="118" t="s">
        <v>105</v>
      </c>
      <c r="G514" s="119"/>
      <c r="H514" s="126"/>
      <c r="I514" s="126"/>
      <c r="J514" s="2"/>
      <c r="K514" s="18"/>
      <c r="L514" s="18"/>
      <c r="M514" s="18"/>
      <c r="N514" s="18"/>
      <c r="O514" s="126"/>
      <c r="P514" s="126"/>
      <c r="Q514" s="126">
        <f>May!CR335</f>
        <v>1</v>
      </c>
      <c r="R514" s="436"/>
      <c r="S514" s="436"/>
      <c r="T514" s="18"/>
      <c r="U514" s="18"/>
      <c r="V514" s="18"/>
      <c r="W514" s="45"/>
      <c r="X514" s="67"/>
    </row>
    <row r="515" spans="1:25" ht="15" customHeight="1">
      <c r="A515" s="427"/>
      <c r="B515" s="137" t="s">
        <v>112</v>
      </c>
      <c r="C515" s="157" t="s">
        <v>197</v>
      </c>
      <c r="D515" s="48" t="s">
        <v>104</v>
      </c>
      <c r="E515" s="441"/>
      <c r="F515" s="118" t="s">
        <v>113</v>
      </c>
      <c r="G515" s="119"/>
      <c r="H515" s="126"/>
      <c r="I515" s="126"/>
      <c r="J515" s="2"/>
      <c r="K515" s="18"/>
      <c r="L515" s="18"/>
      <c r="M515" s="18"/>
      <c r="N515" s="18"/>
      <c r="O515" s="126"/>
      <c r="P515" s="126"/>
      <c r="Q515" s="126">
        <f>May!CR337</f>
        <v>1</v>
      </c>
      <c r="R515" s="436"/>
      <c r="S515" s="436"/>
      <c r="T515" s="18"/>
      <c r="U515" s="18"/>
      <c r="V515" s="18"/>
      <c r="W515" s="45"/>
      <c r="X515" s="67"/>
    </row>
    <row r="516" spans="1:25" ht="15" customHeight="1" thickBot="1">
      <c r="A516" s="428"/>
      <c r="B516" s="44" t="s">
        <v>107</v>
      </c>
      <c r="C516" s="181" t="s">
        <v>195</v>
      </c>
      <c r="D516" s="61" t="s">
        <v>108</v>
      </c>
      <c r="E516" s="447"/>
      <c r="F516" s="133" t="s">
        <v>48</v>
      </c>
      <c r="G516" s="132"/>
      <c r="H516" s="109"/>
      <c r="I516" s="134"/>
      <c r="J516" s="129"/>
      <c r="K516" s="130"/>
      <c r="L516" s="130"/>
      <c r="M516" s="130"/>
      <c r="N516" s="130"/>
      <c r="O516" s="134"/>
      <c r="P516" s="134"/>
      <c r="Q516" s="134"/>
      <c r="R516" s="437"/>
      <c r="S516" s="437"/>
      <c r="T516" s="130"/>
      <c r="U516" s="130"/>
      <c r="V516" s="128">
        <f>O516-T516-U516+V488</f>
        <v>903</v>
      </c>
      <c r="W516" s="85"/>
      <c r="X516" s="67"/>
    </row>
    <row r="517" spans="1:25" ht="15" customHeight="1">
      <c r="A517" s="426">
        <v>46167</v>
      </c>
      <c r="B517" s="429" t="s">
        <v>44</v>
      </c>
      <c r="C517" s="432" t="s">
        <v>240</v>
      </c>
      <c r="D517" s="19" t="s">
        <v>37</v>
      </c>
      <c r="E517" s="19" t="s">
        <v>25</v>
      </c>
      <c r="F517" s="39" t="s">
        <v>40</v>
      </c>
      <c r="G517" s="41"/>
      <c r="H517" s="32"/>
      <c r="I517" s="32"/>
      <c r="J517" s="32"/>
      <c r="K517" s="20">
        <v>8400</v>
      </c>
      <c r="L517" s="20">
        <v>1</v>
      </c>
      <c r="M517" s="20">
        <v>136000</v>
      </c>
      <c r="N517" s="84">
        <v>17</v>
      </c>
      <c r="O517" s="32">
        <f>May!CY311</f>
        <v>33411</v>
      </c>
      <c r="P517" s="32">
        <f>May!CZ311</f>
        <v>34626</v>
      </c>
      <c r="Q517" s="32">
        <f>May!CX311</f>
        <v>93</v>
      </c>
      <c r="R517" s="435">
        <f>May!CY340</f>
        <v>105773</v>
      </c>
      <c r="S517" s="435">
        <f>May!CZ340</f>
        <v>95598</v>
      </c>
      <c r="T517" s="20">
        <v>37239</v>
      </c>
      <c r="U517" s="20">
        <v>25</v>
      </c>
      <c r="V517" s="20">
        <f>O517-T517-U517+V489</f>
        <v>183568</v>
      </c>
      <c r="W517" s="77"/>
      <c r="X517" s="36"/>
    </row>
    <row r="518" spans="1:25" ht="15" customHeight="1">
      <c r="A518" s="427"/>
      <c r="B518" s="431"/>
      <c r="C518" s="434"/>
      <c r="D518" s="113" t="s">
        <v>307</v>
      </c>
      <c r="E518" s="113" t="s">
        <v>24</v>
      </c>
      <c r="F518" s="118" t="s">
        <v>40</v>
      </c>
      <c r="G518" s="135"/>
      <c r="H518" s="158"/>
      <c r="I518" s="125"/>
      <c r="J518" s="125"/>
      <c r="K518" s="127">
        <v>56000</v>
      </c>
      <c r="L518" s="127">
        <v>7</v>
      </c>
      <c r="M518" s="216">
        <v>71400</v>
      </c>
      <c r="N518" s="238">
        <v>9</v>
      </c>
      <c r="O518" s="126">
        <f>May!CY313</f>
        <v>30052</v>
      </c>
      <c r="P518" s="125">
        <f>May!CZ313</f>
        <v>26921</v>
      </c>
      <c r="Q518" s="125">
        <f>May!CX313</f>
        <v>72</v>
      </c>
      <c r="R518" s="436"/>
      <c r="S518" s="436"/>
      <c r="T518" s="127">
        <v>26569</v>
      </c>
      <c r="U518" s="127">
        <v>11</v>
      </c>
      <c r="V518" s="127">
        <f>O518-T518-U518+V490</f>
        <v>70820</v>
      </c>
      <c r="W518" s="46"/>
      <c r="X518" s="67"/>
    </row>
    <row r="519" spans="1:25" ht="15" customHeight="1">
      <c r="A519" s="427"/>
      <c r="B519" s="442" t="s">
        <v>45</v>
      </c>
      <c r="C519" s="448" t="s">
        <v>59</v>
      </c>
      <c r="D519" s="118" t="s">
        <v>75</v>
      </c>
      <c r="E519" s="438" t="s">
        <v>25</v>
      </c>
      <c r="F519" s="131" t="s">
        <v>57</v>
      </c>
      <c r="G519" s="87"/>
      <c r="H519" s="152"/>
      <c r="I519" s="126"/>
      <c r="J519" s="2"/>
      <c r="K519" s="127"/>
      <c r="L519" s="18"/>
      <c r="M519" s="18">
        <v>36260</v>
      </c>
      <c r="N519" s="80">
        <v>7</v>
      </c>
      <c r="O519" s="126">
        <f>May!CY317</f>
        <v>2200</v>
      </c>
      <c r="P519" s="126">
        <f>May!CZ317</f>
        <v>1833</v>
      </c>
      <c r="Q519" s="2">
        <f>May!CX317</f>
        <v>7</v>
      </c>
      <c r="R519" s="436"/>
      <c r="S519" s="436"/>
      <c r="T519" s="18"/>
      <c r="U519" s="18"/>
      <c r="V519" s="127">
        <f>O519-T519-U519+V491</f>
        <v>8963</v>
      </c>
      <c r="W519" s="46"/>
      <c r="Y519" s="13"/>
    </row>
    <row r="520" spans="1:25" ht="15" customHeight="1">
      <c r="A520" s="427"/>
      <c r="B520" s="439"/>
      <c r="C520" s="440"/>
      <c r="D520" s="118" t="s">
        <v>291</v>
      </c>
      <c r="E520" s="430"/>
      <c r="F520" s="131" t="s">
        <v>57</v>
      </c>
      <c r="G520" s="87"/>
      <c r="H520" s="152"/>
      <c r="I520" s="126"/>
      <c r="J520" s="2"/>
      <c r="K520" s="127"/>
      <c r="L520" s="18"/>
      <c r="M520" s="18"/>
      <c r="N520" s="80"/>
      <c r="O520" s="126">
        <f>May!CY318</f>
        <v>508</v>
      </c>
      <c r="P520" s="126">
        <f>May!CZ318</f>
        <v>1269</v>
      </c>
      <c r="Q520" s="2">
        <f>May!CX318</f>
        <v>5</v>
      </c>
      <c r="R520" s="436"/>
      <c r="S520" s="436"/>
      <c r="T520" s="18"/>
      <c r="U520" s="18"/>
      <c r="V520" s="127">
        <f>O520-T520-U520+V492</f>
        <v>7127</v>
      </c>
      <c r="W520" s="46"/>
      <c r="Y520" s="13"/>
    </row>
    <row r="521" spans="1:25" ht="15" customHeight="1">
      <c r="A521" s="427"/>
      <c r="B521" s="439"/>
      <c r="C521" s="440"/>
      <c r="D521" s="118" t="s">
        <v>94</v>
      </c>
      <c r="E521" s="431"/>
      <c r="F521" s="131"/>
      <c r="G521" s="87"/>
      <c r="H521" s="152">
        <v>2268</v>
      </c>
      <c r="I521" s="126"/>
      <c r="J521" s="2"/>
      <c r="K521" s="127"/>
      <c r="L521" s="18"/>
      <c r="M521" s="18"/>
      <c r="N521" s="80"/>
      <c r="O521" s="126"/>
      <c r="P521" s="126"/>
      <c r="Q521" s="2"/>
      <c r="R521" s="436"/>
      <c r="S521" s="436"/>
      <c r="T521" s="18"/>
      <c r="U521" s="18"/>
      <c r="V521" s="127"/>
      <c r="W521" s="46"/>
      <c r="Y521" s="13"/>
    </row>
    <row r="522" spans="1:25">
      <c r="A522" s="427"/>
      <c r="B522" s="439"/>
      <c r="C522" s="440"/>
      <c r="D522" s="118" t="s">
        <v>72</v>
      </c>
      <c r="E522" s="424" t="s">
        <v>24</v>
      </c>
      <c r="F522" s="131" t="s">
        <v>57</v>
      </c>
      <c r="G522" s="224"/>
      <c r="H522" s="152"/>
      <c r="I522" s="126"/>
      <c r="J522" s="126"/>
      <c r="K522" s="127">
        <v>10000</v>
      </c>
      <c r="L522" s="18">
        <v>2</v>
      </c>
      <c r="M522" s="18">
        <v>60000</v>
      </c>
      <c r="N522" s="80">
        <v>12</v>
      </c>
      <c r="O522" s="126">
        <f>May!CY319</f>
        <v>2418</v>
      </c>
      <c r="P522" s="126">
        <f>May!CZ319</f>
        <v>2124</v>
      </c>
      <c r="Q522" s="126">
        <f>May!CX319</f>
        <v>9</v>
      </c>
      <c r="R522" s="436"/>
      <c r="S522" s="436"/>
      <c r="T522" s="18"/>
      <c r="U522" s="18"/>
      <c r="V522" s="127">
        <f>O522-T522-U522+V493</f>
        <v>13137</v>
      </c>
      <c r="W522" s="46"/>
      <c r="Y522" s="13"/>
    </row>
    <row r="523" spans="1:25">
      <c r="A523" s="427"/>
      <c r="B523" s="439"/>
      <c r="C523" s="440"/>
      <c r="D523" s="115" t="s">
        <v>73</v>
      </c>
      <c r="E523" s="425"/>
      <c r="F523" s="131"/>
      <c r="G523" s="224"/>
      <c r="H523" s="152"/>
      <c r="I523" s="126"/>
      <c r="J523" s="126"/>
      <c r="K523" s="127"/>
      <c r="L523" s="18"/>
      <c r="M523" s="18"/>
      <c r="N523" s="80"/>
      <c r="O523" s="126"/>
      <c r="P523" s="126"/>
      <c r="Q523" s="126"/>
      <c r="R523" s="436"/>
      <c r="S523" s="436"/>
      <c r="T523" s="18"/>
      <c r="U523" s="18"/>
      <c r="V523" s="127"/>
      <c r="W523" s="46"/>
      <c r="Y523" s="13"/>
    </row>
    <row r="524" spans="1:25" ht="14.25" customHeight="1">
      <c r="A524" s="427"/>
      <c r="B524" s="439"/>
      <c r="C524" s="440"/>
      <c r="D524" s="115" t="s">
        <v>79</v>
      </c>
      <c r="E524" s="118" t="s">
        <v>65</v>
      </c>
      <c r="F524" s="131" t="s">
        <v>57</v>
      </c>
      <c r="G524" s="224"/>
      <c r="H524" s="126"/>
      <c r="I524" s="126"/>
      <c r="J524" s="126"/>
      <c r="K524" s="18"/>
      <c r="L524" s="18"/>
      <c r="M524" s="18"/>
      <c r="N524" s="80"/>
      <c r="O524" s="126"/>
      <c r="P524" s="126">
        <f>May!CZ320</f>
        <v>1121</v>
      </c>
      <c r="Q524" s="126">
        <f>May!CX320</f>
        <v>5</v>
      </c>
      <c r="R524" s="436"/>
      <c r="S524" s="436"/>
      <c r="T524" s="18"/>
      <c r="U524" s="18"/>
      <c r="V524" s="127">
        <f>O524-T524-U524+V495</f>
        <v>0</v>
      </c>
      <c r="W524" s="45"/>
      <c r="X524" s="36"/>
    </row>
    <row r="525" spans="1:25" ht="14.25" customHeight="1">
      <c r="A525" s="427"/>
      <c r="B525" s="439"/>
      <c r="C525" s="449"/>
      <c r="D525" s="115" t="s">
        <v>80</v>
      </c>
      <c r="E525" s="118" t="s">
        <v>65</v>
      </c>
      <c r="F525" s="131"/>
      <c r="G525" s="224"/>
      <c r="H525" s="37">
        <f>611.1+210.3</f>
        <v>821.40000000000009</v>
      </c>
      <c r="I525" s="126"/>
      <c r="J525" s="126"/>
      <c r="K525" s="18"/>
      <c r="L525" s="18"/>
      <c r="M525" s="18"/>
      <c r="N525" s="80"/>
      <c r="O525" s="126"/>
      <c r="P525" s="126"/>
      <c r="Q525" s="126"/>
      <c r="R525" s="436"/>
      <c r="S525" s="436"/>
      <c r="T525" s="18"/>
      <c r="U525" s="18"/>
      <c r="V525" s="127"/>
      <c r="W525" s="45"/>
      <c r="X525" s="67"/>
    </row>
    <row r="526" spans="1:25" ht="14.25" customHeight="1">
      <c r="A526" s="427"/>
      <c r="B526" s="439"/>
      <c r="C526" s="448" t="s">
        <v>299</v>
      </c>
      <c r="D526" s="115" t="s">
        <v>296</v>
      </c>
      <c r="E526" s="424" t="s">
        <v>25</v>
      </c>
      <c r="F526" s="131" t="s">
        <v>298</v>
      </c>
      <c r="G526" s="224"/>
      <c r="H526" s="37"/>
      <c r="I526" s="126"/>
      <c r="J526" s="126"/>
      <c r="K526" s="18"/>
      <c r="L526" s="18"/>
      <c r="M526" s="18"/>
      <c r="N526" s="80"/>
      <c r="O526" s="126">
        <f>May!CY321</f>
        <v>1100</v>
      </c>
      <c r="P526" s="126">
        <f>May!CZ321</f>
        <v>553</v>
      </c>
      <c r="Q526" s="126">
        <f>May!CX321</f>
        <v>2</v>
      </c>
      <c r="R526" s="436"/>
      <c r="S526" s="436"/>
      <c r="T526" s="18"/>
      <c r="U526" s="18"/>
      <c r="V526" s="127">
        <f t="shared" ref="V526:V543" si="33">O526-T526-U526+V496</f>
        <v>4948</v>
      </c>
      <c r="W526" s="45"/>
      <c r="X526" s="67"/>
    </row>
    <row r="527" spans="1:25" ht="14.25" customHeight="1">
      <c r="A527" s="427"/>
      <c r="B527" s="443"/>
      <c r="C527" s="449"/>
      <c r="D527" s="115" t="s">
        <v>75</v>
      </c>
      <c r="E527" s="425"/>
      <c r="F527" s="131" t="s">
        <v>298</v>
      </c>
      <c r="G527" s="224"/>
      <c r="H527" s="37"/>
      <c r="I527" s="126"/>
      <c r="J527" s="126"/>
      <c r="K527" s="18"/>
      <c r="L527" s="18"/>
      <c r="M527" s="18"/>
      <c r="N527" s="80"/>
      <c r="O527" s="126"/>
      <c r="P527" s="126">
        <f>May!CZ322</f>
        <v>577</v>
      </c>
      <c r="Q527" s="126">
        <f>May!CX322</f>
        <v>2</v>
      </c>
      <c r="R527" s="436"/>
      <c r="S527" s="436"/>
      <c r="T527" s="18">
        <v>4400</v>
      </c>
      <c r="U527" s="18"/>
      <c r="V527" s="127">
        <f t="shared" si="33"/>
        <v>0</v>
      </c>
      <c r="W527" s="45"/>
      <c r="X527" s="67"/>
    </row>
    <row r="528" spans="1:25" ht="14.25" customHeight="1">
      <c r="A528" s="427"/>
      <c r="B528" s="442" t="s">
        <v>53</v>
      </c>
      <c r="C528" s="444" t="s">
        <v>60</v>
      </c>
      <c r="D528" s="43" t="s">
        <v>130</v>
      </c>
      <c r="E528" s="424" t="s">
        <v>66</v>
      </c>
      <c r="F528" s="118" t="s">
        <v>54</v>
      </c>
      <c r="G528" s="224"/>
      <c r="H528" s="37"/>
      <c r="I528" s="126"/>
      <c r="J528" s="126"/>
      <c r="K528" s="18"/>
      <c r="L528" s="18"/>
      <c r="M528" s="18"/>
      <c r="N528" s="80"/>
      <c r="O528" s="126">
        <f>May!CY314</f>
        <v>2911</v>
      </c>
      <c r="P528" s="126">
        <f>May!CZ314</f>
        <v>751</v>
      </c>
      <c r="Q528" s="126">
        <f>May!CX314</f>
        <v>3</v>
      </c>
      <c r="R528" s="436"/>
      <c r="S528" s="436"/>
      <c r="T528" s="18">
        <v>6937</v>
      </c>
      <c r="U528" s="18"/>
      <c r="V528" s="127">
        <f t="shared" si="33"/>
        <v>2633</v>
      </c>
      <c r="W528" s="45"/>
      <c r="X528" s="67"/>
    </row>
    <row r="529" spans="1:24" ht="14.25" customHeight="1">
      <c r="A529" s="427"/>
      <c r="B529" s="439"/>
      <c r="C529" s="445"/>
      <c r="D529" s="43" t="s">
        <v>320</v>
      </c>
      <c r="E529" s="425"/>
      <c r="F529" s="118" t="s">
        <v>54</v>
      </c>
      <c r="G529" s="224"/>
      <c r="H529" s="37"/>
      <c r="I529" s="126"/>
      <c r="J529" s="126"/>
      <c r="K529" s="18">
        <v>17500</v>
      </c>
      <c r="L529" s="18">
        <v>3</v>
      </c>
      <c r="M529" s="18">
        <v>48000</v>
      </c>
      <c r="N529" s="80">
        <v>8</v>
      </c>
      <c r="O529" s="126">
        <f>May!CY315</f>
        <v>3600</v>
      </c>
      <c r="P529" s="126">
        <f>May!CZ315</f>
        <v>3566</v>
      </c>
      <c r="Q529" s="126">
        <f>May!CX315</f>
        <v>11</v>
      </c>
      <c r="R529" s="436"/>
      <c r="S529" s="436"/>
      <c r="T529" s="18"/>
      <c r="U529" s="18"/>
      <c r="V529" s="127">
        <f t="shared" si="33"/>
        <v>7200</v>
      </c>
      <c r="W529" s="45"/>
      <c r="X529" s="67"/>
    </row>
    <row r="530" spans="1:24" ht="14.25" customHeight="1">
      <c r="A530" s="427"/>
      <c r="B530" s="443"/>
      <c r="C530" s="446"/>
      <c r="D530" s="43" t="s">
        <v>199</v>
      </c>
      <c r="E530" s="114" t="s">
        <v>25</v>
      </c>
      <c r="F530" s="118" t="s">
        <v>54</v>
      </c>
      <c r="G530" s="224"/>
      <c r="H530" s="135"/>
      <c r="I530" s="158"/>
      <c r="J530" s="158"/>
      <c r="K530" s="128"/>
      <c r="L530" s="128"/>
      <c r="M530" s="128"/>
      <c r="N530" s="164"/>
      <c r="O530" s="158"/>
      <c r="P530" s="158"/>
      <c r="Q530" s="158"/>
      <c r="R530" s="436"/>
      <c r="S530" s="436"/>
      <c r="T530" s="18"/>
      <c r="U530" s="18"/>
      <c r="V530" s="127">
        <f t="shared" si="33"/>
        <v>68</v>
      </c>
      <c r="W530" s="45"/>
      <c r="X530" s="67"/>
    </row>
    <row r="531" spans="1:24" ht="15.75" customHeight="1">
      <c r="A531" s="427"/>
      <c r="B531" s="122" t="s">
        <v>55</v>
      </c>
      <c r="C531" s="180" t="s">
        <v>133</v>
      </c>
      <c r="D531" s="48" t="s">
        <v>56</v>
      </c>
      <c r="E531" s="424" t="s">
        <v>25</v>
      </c>
      <c r="F531" s="118" t="s">
        <v>67</v>
      </c>
      <c r="G531" s="226"/>
      <c r="H531" s="126"/>
      <c r="I531" s="126"/>
      <c r="J531" s="2"/>
      <c r="K531" s="18"/>
      <c r="L531" s="18"/>
      <c r="M531" s="18"/>
      <c r="N531" s="18"/>
      <c r="O531" s="126">
        <f>May!CY338</f>
        <v>1096</v>
      </c>
      <c r="P531" s="126">
        <f>May!CZ338</f>
        <v>483</v>
      </c>
      <c r="Q531" s="126">
        <f>May!CX338</f>
        <v>1</v>
      </c>
      <c r="R531" s="436"/>
      <c r="S531" s="436"/>
      <c r="T531" s="18"/>
      <c r="U531" s="18"/>
      <c r="V531" s="127">
        <f t="shared" si="33"/>
        <v>2796</v>
      </c>
      <c r="W531" s="45"/>
      <c r="X531" s="67"/>
    </row>
    <row r="532" spans="1:24" ht="15" customHeight="1">
      <c r="A532" s="427"/>
      <c r="B532" s="122" t="s">
        <v>122</v>
      </c>
      <c r="C532" s="180" t="s">
        <v>123</v>
      </c>
      <c r="D532" s="48" t="s">
        <v>56</v>
      </c>
      <c r="E532" s="441"/>
      <c r="F532" s="155" t="s">
        <v>64</v>
      </c>
      <c r="G532" s="119"/>
      <c r="H532" s="126"/>
      <c r="I532" s="126"/>
      <c r="J532" s="2"/>
      <c r="K532" s="18"/>
      <c r="L532" s="18"/>
      <c r="M532" s="18">
        <v>6400</v>
      </c>
      <c r="N532" s="18">
        <v>2</v>
      </c>
      <c r="O532" s="126"/>
      <c r="P532" s="126"/>
      <c r="Q532" s="126"/>
      <c r="R532" s="436"/>
      <c r="S532" s="436"/>
      <c r="T532" s="18"/>
      <c r="U532" s="18"/>
      <c r="V532" s="127">
        <f t="shared" si="33"/>
        <v>21764</v>
      </c>
      <c r="W532" s="45"/>
      <c r="X532" s="67"/>
    </row>
    <row r="533" spans="1:24" ht="14.25" customHeight="1">
      <c r="A533" s="427"/>
      <c r="B533" s="137" t="s">
        <v>58</v>
      </c>
      <c r="C533" s="157" t="s">
        <v>243</v>
      </c>
      <c r="D533" s="48" t="s">
        <v>56</v>
      </c>
      <c r="E533" s="441"/>
      <c r="F533" s="118" t="s">
        <v>64</v>
      </c>
      <c r="G533" s="225"/>
      <c r="H533" s="126"/>
      <c r="I533" s="126"/>
      <c r="J533" s="126"/>
      <c r="K533" s="18"/>
      <c r="L533" s="18"/>
      <c r="M533" s="18"/>
      <c r="N533" s="80"/>
      <c r="O533" s="126"/>
      <c r="P533" s="126"/>
      <c r="Q533" s="126"/>
      <c r="R533" s="436"/>
      <c r="S533" s="436"/>
      <c r="T533" s="18"/>
      <c r="U533" s="18"/>
      <c r="V533" s="127">
        <f t="shared" si="33"/>
        <v>8562</v>
      </c>
      <c r="W533" s="45"/>
      <c r="X533" s="67"/>
    </row>
    <row r="534" spans="1:24" ht="14.25" customHeight="1">
      <c r="A534" s="427"/>
      <c r="B534" s="122" t="s">
        <v>61</v>
      </c>
      <c r="C534" s="180" t="s">
        <v>137</v>
      </c>
      <c r="D534" s="48" t="s">
        <v>56</v>
      </c>
      <c r="E534" s="441"/>
      <c r="F534" s="118" t="s">
        <v>67</v>
      </c>
      <c r="G534" s="225"/>
      <c r="H534" s="126"/>
      <c r="I534" s="126"/>
      <c r="J534" s="126"/>
      <c r="K534" s="18"/>
      <c r="L534" s="18"/>
      <c r="M534" s="18"/>
      <c r="N534" s="80"/>
      <c r="O534" s="126"/>
      <c r="P534" s="126"/>
      <c r="Q534" s="126"/>
      <c r="R534" s="436"/>
      <c r="S534" s="436"/>
      <c r="T534" s="18"/>
      <c r="U534" s="18"/>
      <c r="V534" s="127">
        <f t="shared" si="33"/>
        <v>5844</v>
      </c>
      <c r="W534" s="45"/>
      <c r="X534" s="67"/>
    </row>
    <row r="535" spans="1:24" ht="14.25" customHeight="1">
      <c r="A535" s="427"/>
      <c r="B535" s="122" t="s">
        <v>125</v>
      </c>
      <c r="C535" s="180" t="s">
        <v>88</v>
      </c>
      <c r="D535" s="48" t="s">
        <v>124</v>
      </c>
      <c r="E535" s="441"/>
      <c r="F535" s="118" t="s">
        <v>64</v>
      </c>
      <c r="G535" s="225"/>
      <c r="H535" s="126"/>
      <c r="I535" s="126"/>
      <c r="J535" s="126"/>
      <c r="K535" s="18"/>
      <c r="L535" s="18"/>
      <c r="M535" s="18">
        <v>51200</v>
      </c>
      <c r="N535" s="80">
        <v>7</v>
      </c>
      <c r="O535" s="126"/>
      <c r="P535" s="126"/>
      <c r="Q535" s="126"/>
      <c r="R535" s="436"/>
      <c r="S535" s="436"/>
      <c r="T535" s="18"/>
      <c r="U535" s="18"/>
      <c r="V535" s="127">
        <f t="shared" si="33"/>
        <v>23615</v>
      </c>
      <c r="W535" s="45"/>
      <c r="X535" s="67"/>
    </row>
    <row r="536" spans="1:24" ht="14.25" customHeight="1">
      <c r="A536" s="427"/>
      <c r="B536" s="137" t="s">
        <v>47</v>
      </c>
      <c r="C536" s="157" t="s">
        <v>100</v>
      </c>
      <c r="D536" s="48" t="s">
        <v>99</v>
      </c>
      <c r="E536" s="441"/>
      <c r="F536" s="118" t="s">
        <v>71</v>
      </c>
      <c r="G536" s="225"/>
      <c r="H536" s="126"/>
      <c r="I536" s="126"/>
      <c r="J536" s="126"/>
      <c r="K536" s="18"/>
      <c r="L536" s="18"/>
      <c r="M536" s="18"/>
      <c r="N536" s="80"/>
      <c r="O536" s="126">
        <f>May!CY326</f>
        <v>1500</v>
      </c>
      <c r="P536" s="126">
        <f>May!CZ326</f>
        <v>1184</v>
      </c>
      <c r="Q536" s="126">
        <f>May!CX326</f>
        <v>4</v>
      </c>
      <c r="R536" s="436"/>
      <c r="S536" s="436"/>
      <c r="T536" s="18"/>
      <c r="U536" s="18"/>
      <c r="V536" s="127">
        <f t="shared" si="33"/>
        <v>40801</v>
      </c>
      <c r="W536" s="45"/>
      <c r="X536" s="67"/>
    </row>
    <row r="537" spans="1:24" ht="15" customHeight="1">
      <c r="A537" s="427"/>
      <c r="B537" s="122" t="s">
        <v>196</v>
      </c>
      <c r="C537" s="180" t="s">
        <v>63</v>
      </c>
      <c r="D537" s="48" t="s">
        <v>135</v>
      </c>
      <c r="E537" s="441"/>
      <c r="F537" s="118" t="s">
        <v>64</v>
      </c>
      <c r="G537" s="226"/>
      <c r="H537" s="126"/>
      <c r="I537" s="126"/>
      <c r="J537" s="2"/>
      <c r="K537" s="18"/>
      <c r="L537" s="18"/>
      <c r="M537" s="18"/>
      <c r="N537" s="18"/>
      <c r="O537" s="126">
        <f>May!CY334</f>
        <v>4459</v>
      </c>
      <c r="P537" s="126">
        <f>May!CZ334</f>
        <v>1397</v>
      </c>
      <c r="Q537" s="126">
        <f>May!CX334</f>
        <v>5</v>
      </c>
      <c r="R537" s="436"/>
      <c r="S537" s="436"/>
      <c r="T537" s="18"/>
      <c r="U537" s="18"/>
      <c r="V537" s="127">
        <f t="shared" si="33"/>
        <v>23059</v>
      </c>
      <c r="W537" s="45"/>
      <c r="X537" s="67"/>
    </row>
    <row r="538" spans="1:24" ht="15" customHeight="1">
      <c r="A538" s="427"/>
      <c r="B538" s="122" t="s">
        <v>363</v>
      </c>
      <c r="C538" s="180" t="s">
        <v>325</v>
      </c>
      <c r="D538" s="48" t="s">
        <v>328</v>
      </c>
      <c r="E538" s="441"/>
      <c r="F538" s="118" t="s">
        <v>48</v>
      </c>
      <c r="G538" s="226"/>
      <c r="H538" s="126"/>
      <c r="I538" s="126"/>
      <c r="J538" s="2"/>
      <c r="K538" s="18"/>
      <c r="L538" s="18"/>
      <c r="M538" s="18"/>
      <c r="N538" s="18"/>
      <c r="O538" s="126">
        <f>May!CY332</f>
        <v>1000</v>
      </c>
      <c r="P538" s="126">
        <f>May!CZ332</f>
        <v>615</v>
      </c>
      <c r="Q538" s="126">
        <f>May!CX332</f>
        <v>2</v>
      </c>
      <c r="R538" s="436"/>
      <c r="S538" s="436"/>
      <c r="T538" s="18"/>
      <c r="U538" s="18"/>
      <c r="V538" s="127">
        <f t="shared" si="33"/>
        <v>5149</v>
      </c>
      <c r="W538" s="45"/>
      <c r="X538" s="67"/>
    </row>
    <row r="539" spans="1:24" ht="15" customHeight="1">
      <c r="A539" s="427"/>
      <c r="B539" s="122" t="s">
        <v>253</v>
      </c>
      <c r="C539" s="180" t="s">
        <v>365</v>
      </c>
      <c r="D539" s="48" t="s">
        <v>246</v>
      </c>
      <c r="E539" s="441"/>
      <c r="F539" s="118" t="s">
        <v>247</v>
      </c>
      <c r="G539" s="226"/>
      <c r="H539" s="38">
        <v>297.36</v>
      </c>
      <c r="I539" s="126"/>
      <c r="J539" s="2"/>
      <c r="K539" s="18"/>
      <c r="L539" s="18"/>
      <c r="M539" s="18"/>
      <c r="N539" s="18"/>
      <c r="O539" s="126">
        <f>May!CY327</f>
        <v>0</v>
      </c>
      <c r="P539" s="126">
        <f>May!CZ327</f>
        <v>482</v>
      </c>
      <c r="Q539" s="126">
        <f>May!CX327</f>
        <v>4</v>
      </c>
      <c r="R539" s="436"/>
      <c r="S539" s="436"/>
      <c r="T539" s="18"/>
      <c r="U539" s="18"/>
      <c r="V539" s="127">
        <f t="shared" si="33"/>
        <v>15188</v>
      </c>
      <c r="W539" s="45"/>
      <c r="X539" s="67"/>
    </row>
    <row r="540" spans="1:24" ht="15" customHeight="1">
      <c r="A540" s="427"/>
      <c r="B540" s="122" t="s">
        <v>366</v>
      </c>
      <c r="C540" s="180" t="s">
        <v>367</v>
      </c>
      <c r="D540" s="48" t="s">
        <v>132</v>
      </c>
      <c r="E540" s="441"/>
      <c r="F540" s="118" t="s">
        <v>64</v>
      </c>
      <c r="G540" s="119"/>
      <c r="H540" s="126"/>
      <c r="I540" s="126"/>
      <c r="J540" s="2"/>
      <c r="K540" s="18"/>
      <c r="L540" s="18"/>
      <c r="M540" s="18"/>
      <c r="N540" s="18"/>
      <c r="O540" s="126">
        <f>May!CY331</f>
        <v>1560</v>
      </c>
      <c r="P540" s="126">
        <f>May!CZ331</f>
        <v>365</v>
      </c>
      <c r="Q540" s="126">
        <f>May!CX331</f>
        <v>1</v>
      </c>
      <c r="R540" s="436"/>
      <c r="S540" s="436"/>
      <c r="T540" s="18"/>
      <c r="U540" s="18"/>
      <c r="V540" s="18">
        <f t="shared" si="33"/>
        <v>1560</v>
      </c>
      <c r="W540" s="45"/>
      <c r="X540" s="67"/>
    </row>
    <row r="541" spans="1:24" ht="15" customHeight="1">
      <c r="A541" s="427"/>
      <c r="B541" s="122" t="s">
        <v>101</v>
      </c>
      <c r="C541" s="180" t="s">
        <v>327</v>
      </c>
      <c r="D541" s="48" t="s">
        <v>102</v>
      </c>
      <c r="E541" s="441"/>
      <c r="F541" s="118" t="s">
        <v>64</v>
      </c>
      <c r="G541" s="38">
        <v>925.86</v>
      </c>
      <c r="H541" s="126"/>
      <c r="I541" s="126"/>
      <c r="J541" s="2"/>
      <c r="K541" s="18">
        <v>14000</v>
      </c>
      <c r="L541" s="18">
        <v>2</v>
      </c>
      <c r="M541" s="18">
        <v>21000</v>
      </c>
      <c r="N541" s="18">
        <v>3</v>
      </c>
      <c r="O541" s="126">
        <f>May!CY330</f>
        <v>4006</v>
      </c>
      <c r="P541" s="126">
        <f>May!CZ330</f>
        <v>2508</v>
      </c>
      <c r="Q541" s="126">
        <f>May!CX330</f>
        <v>8</v>
      </c>
      <c r="R541" s="436"/>
      <c r="S541" s="436"/>
      <c r="T541" s="18">
        <v>3403</v>
      </c>
      <c r="U541" s="18">
        <v>7</v>
      </c>
      <c r="V541" s="18">
        <f t="shared" si="33"/>
        <v>2002</v>
      </c>
      <c r="W541" s="45"/>
      <c r="X541" s="67"/>
    </row>
    <row r="542" spans="1:24" s="4" customFormat="1" ht="15" customHeight="1">
      <c r="A542" s="427"/>
      <c r="B542" s="122" t="s">
        <v>375</v>
      </c>
      <c r="C542" s="157" t="s">
        <v>376</v>
      </c>
      <c r="D542" s="48" t="s">
        <v>248</v>
      </c>
      <c r="E542" s="441"/>
      <c r="F542" s="48" t="s">
        <v>64</v>
      </c>
      <c r="G542" s="38">
        <v>3696.48</v>
      </c>
      <c r="H542" s="34">
        <v>1782</v>
      </c>
      <c r="I542" s="34"/>
      <c r="J542" s="6"/>
      <c r="K542" s="211"/>
      <c r="L542" s="211"/>
      <c r="M542" s="211">
        <v>126800</v>
      </c>
      <c r="N542" s="211">
        <v>31</v>
      </c>
      <c r="O542" s="34">
        <f>May!CY333</f>
        <v>15952</v>
      </c>
      <c r="P542" s="34">
        <f>May!CZ333</f>
        <v>15022</v>
      </c>
      <c r="Q542" s="34">
        <f>May!CX333</f>
        <v>32</v>
      </c>
      <c r="R542" s="436"/>
      <c r="S542" s="436"/>
      <c r="T542" s="211">
        <v>1600</v>
      </c>
      <c r="U542" s="211"/>
      <c r="V542" s="211">
        <f t="shared" si="33"/>
        <v>42719</v>
      </c>
      <c r="W542" s="260"/>
      <c r="X542" s="67"/>
    </row>
    <row r="543" spans="1:24" s="4" customFormat="1" ht="15" customHeight="1">
      <c r="A543" s="427"/>
      <c r="B543" s="122" t="s">
        <v>289</v>
      </c>
      <c r="C543" s="180" t="s">
        <v>290</v>
      </c>
      <c r="D543" s="48" t="s">
        <v>75</v>
      </c>
      <c r="E543" s="441"/>
      <c r="F543" s="48" t="s">
        <v>381</v>
      </c>
      <c r="G543" s="122"/>
      <c r="H543" s="34"/>
      <c r="I543" s="34"/>
      <c r="J543" s="6"/>
      <c r="K543" s="211"/>
      <c r="L543" s="211"/>
      <c r="M543" s="211"/>
      <c r="N543" s="211"/>
      <c r="O543" s="34"/>
      <c r="P543" s="34">
        <f>May!CZ329</f>
        <v>201</v>
      </c>
      <c r="Q543" s="34">
        <f>May!CX329</f>
        <v>1</v>
      </c>
      <c r="R543" s="436"/>
      <c r="S543" s="436"/>
      <c r="T543" s="211"/>
      <c r="U543" s="211"/>
      <c r="V543" s="211">
        <f t="shared" si="33"/>
        <v>0</v>
      </c>
      <c r="W543" s="260"/>
      <c r="X543" s="67"/>
    </row>
    <row r="544" spans="1:24" ht="15" customHeight="1">
      <c r="A544" s="427"/>
      <c r="B544" s="122" t="s">
        <v>103</v>
      </c>
      <c r="C544" s="157" t="s">
        <v>197</v>
      </c>
      <c r="D544" s="48" t="s">
        <v>104</v>
      </c>
      <c r="E544" s="441"/>
      <c r="F544" s="118" t="s">
        <v>105</v>
      </c>
      <c r="G544" s="119"/>
      <c r="H544" s="126"/>
      <c r="I544" s="126"/>
      <c r="J544" s="2"/>
      <c r="K544" s="18"/>
      <c r="L544" s="18"/>
      <c r="M544" s="18"/>
      <c r="N544" s="18"/>
      <c r="O544" s="126"/>
      <c r="P544" s="126"/>
      <c r="Q544" s="126">
        <f>May!CX335</f>
        <v>1</v>
      </c>
      <c r="R544" s="436"/>
      <c r="S544" s="436"/>
      <c r="T544" s="18"/>
      <c r="U544" s="18"/>
      <c r="V544" s="18"/>
      <c r="W544" s="45"/>
      <c r="X544" s="67"/>
    </row>
    <row r="545" spans="1:25" ht="15" customHeight="1">
      <c r="A545" s="427"/>
      <c r="B545" s="137" t="s">
        <v>112</v>
      </c>
      <c r="C545" s="157" t="s">
        <v>197</v>
      </c>
      <c r="D545" s="48" t="s">
        <v>104</v>
      </c>
      <c r="E545" s="441"/>
      <c r="F545" s="118" t="s">
        <v>113</v>
      </c>
      <c r="G545" s="119"/>
      <c r="H545" s="126"/>
      <c r="I545" s="126"/>
      <c r="J545" s="2"/>
      <c r="K545" s="18"/>
      <c r="L545" s="18"/>
      <c r="M545" s="18"/>
      <c r="N545" s="18"/>
      <c r="O545" s="126"/>
      <c r="P545" s="126"/>
      <c r="Q545" s="126">
        <f>May!CX337</f>
        <v>1</v>
      </c>
      <c r="R545" s="436"/>
      <c r="S545" s="436"/>
      <c r="T545" s="18"/>
      <c r="U545" s="18"/>
      <c r="V545" s="18"/>
      <c r="W545" s="45"/>
      <c r="X545" s="67"/>
    </row>
    <row r="546" spans="1:25" ht="15" customHeight="1" thickBot="1">
      <c r="A546" s="428"/>
      <c r="B546" s="44" t="s">
        <v>107</v>
      </c>
      <c r="C546" s="181" t="s">
        <v>195</v>
      </c>
      <c r="D546" s="61" t="s">
        <v>108</v>
      </c>
      <c r="E546" s="447"/>
      <c r="F546" s="133" t="s">
        <v>48</v>
      </c>
      <c r="G546" s="132"/>
      <c r="H546" s="109"/>
      <c r="I546" s="134"/>
      <c r="J546" s="129"/>
      <c r="K546" s="130"/>
      <c r="L546" s="130"/>
      <c r="M546" s="130"/>
      <c r="N546" s="130"/>
      <c r="O546" s="134"/>
      <c r="P546" s="134"/>
      <c r="Q546" s="134"/>
      <c r="R546" s="437"/>
      <c r="S546" s="437"/>
      <c r="T546" s="130"/>
      <c r="U546" s="130"/>
      <c r="V546" s="128">
        <f>O546-T546-U546+V516</f>
        <v>903</v>
      </c>
      <c r="W546" s="85"/>
      <c r="X546" s="67"/>
    </row>
    <row r="547" spans="1:25" ht="15" customHeight="1">
      <c r="A547" s="426">
        <v>46168</v>
      </c>
      <c r="B547" s="429" t="s">
        <v>44</v>
      </c>
      <c r="C547" s="432" t="s">
        <v>240</v>
      </c>
      <c r="D547" s="19" t="s">
        <v>37</v>
      </c>
      <c r="E547" s="19" t="s">
        <v>25</v>
      </c>
      <c r="F547" s="39" t="s">
        <v>40</v>
      </c>
      <c r="G547" s="41"/>
      <c r="H547" s="32">
        <v>4608</v>
      </c>
      <c r="I547" s="32"/>
      <c r="J547" s="32"/>
      <c r="K547" s="20"/>
      <c r="L547" s="20"/>
      <c r="M547" s="20">
        <v>136000</v>
      </c>
      <c r="N547" s="84">
        <v>17</v>
      </c>
      <c r="O547" s="32">
        <f>May!DB311</f>
        <v>37424</v>
      </c>
      <c r="P547" s="32">
        <f>May!DC311</f>
        <v>33389</v>
      </c>
      <c r="Q547" s="32">
        <f>May!DA311</f>
        <v>92</v>
      </c>
      <c r="R547" s="493">
        <f>May!DB340</f>
        <v>90347</v>
      </c>
      <c r="S547" s="435">
        <f>May!DC340</f>
        <v>94831</v>
      </c>
      <c r="T547" s="20">
        <v>8202</v>
      </c>
      <c r="U547" s="20"/>
      <c r="V547" s="20">
        <f>O547-T547-U547+V517</f>
        <v>212790</v>
      </c>
      <c r="W547" s="77"/>
      <c r="X547" s="36"/>
    </row>
    <row r="548" spans="1:25" ht="15" customHeight="1">
      <c r="A548" s="427"/>
      <c r="B548" s="431"/>
      <c r="C548" s="434"/>
      <c r="D548" s="113" t="s">
        <v>307</v>
      </c>
      <c r="E548" s="113" t="s">
        <v>24</v>
      </c>
      <c r="F548" s="118" t="s">
        <v>40</v>
      </c>
      <c r="G548" s="170">
        <v>6556.48</v>
      </c>
      <c r="H548" s="170"/>
      <c r="I548" s="125"/>
      <c r="J548" s="125"/>
      <c r="K548" s="127">
        <f>55400+7700</f>
        <v>63100</v>
      </c>
      <c r="L548" s="127">
        <v>8</v>
      </c>
      <c r="M548" s="216">
        <f>111400-7700</f>
        <v>103700</v>
      </c>
      <c r="N548" s="238">
        <v>13</v>
      </c>
      <c r="O548" s="126">
        <f>May!DB313</f>
        <v>24898</v>
      </c>
      <c r="P548" s="125">
        <f>May!DC313</f>
        <v>26947</v>
      </c>
      <c r="Q548" s="125">
        <f>May!DA313</f>
        <v>73</v>
      </c>
      <c r="R548" s="436"/>
      <c r="S548" s="436"/>
      <c r="T548" s="127">
        <v>26762</v>
      </c>
      <c r="U548" s="127">
        <v>7</v>
      </c>
      <c r="V548" s="127">
        <f>O548-T548-U548+V518</f>
        <v>68949</v>
      </c>
      <c r="W548" s="46"/>
      <c r="X548" s="67"/>
    </row>
    <row r="549" spans="1:25" ht="15" customHeight="1">
      <c r="A549" s="427"/>
      <c r="B549" s="442" t="s">
        <v>45</v>
      </c>
      <c r="C549" s="471" t="s">
        <v>59</v>
      </c>
      <c r="D549" s="118" t="s">
        <v>75</v>
      </c>
      <c r="E549" s="438" t="s">
        <v>25</v>
      </c>
      <c r="F549" s="131" t="s">
        <v>57</v>
      </c>
      <c r="G549" s="87"/>
      <c r="H549" s="152"/>
      <c r="I549" s="126"/>
      <c r="J549" s="2"/>
      <c r="K549" s="127"/>
      <c r="L549" s="18"/>
      <c r="M549" s="18">
        <v>36260</v>
      </c>
      <c r="N549" s="80">
        <v>7</v>
      </c>
      <c r="O549" s="126">
        <f>May!DB317</f>
        <v>2432</v>
      </c>
      <c r="P549" s="126">
        <f>May!DC317</f>
        <v>1576</v>
      </c>
      <c r="Q549" s="2">
        <f>May!DA317</f>
        <v>7</v>
      </c>
      <c r="R549" s="436"/>
      <c r="S549" s="436"/>
      <c r="T549" s="18">
        <v>6552</v>
      </c>
      <c r="U549" s="18"/>
      <c r="V549" s="127">
        <f>O549-T549-U549+V519</f>
        <v>4843</v>
      </c>
      <c r="W549" s="46"/>
      <c r="Y549" s="13"/>
    </row>
    <row r="550" spans="1:25" ht="15" customHeight="1">
      <c r="A550" s="427"/>
      <c r="B550" s="439"/>
      <c r="C550" s="471"/>
      <c r="D550" s="118" t="s">
        <v>291</v>
      </c>
      <c r="E550" s="430"/>
      <c r="F550" s="131" t="s">
        <v>57</v>
      </c>
      <c r="G550" s="87"/>
      <c r="H550" s="152"/>
      <c r="I550" s="126"/>
      <c r="J550" s="2"/>
      <c r="K550" s="127"/>
      <c r="L550" s="18"/>
      <c r="M550" s="18"/>
      <c r="N550" s="80"/>
      <c r="O550" s="126">
        <f>May!DB318</f>
        <v>685</v>
      </c>
      <c r="P550" s="126">
        <f>May!DC318</f>
        <v>1130</v>
      </c>
      <c r="Q550" s="2">
        <f>May!DA318</f>
        <v>5</v>
      </c>
      <c r="R550" s="436"/>
      <c r="S550" s="436"/>
      <c r="T550" s="18">
        <v>6619</v>
      </c>
      <c r="U550" s="18"/>
      <c r="V550" s="127">
        <f>O550-T550-U550+V520</f>
        <v>1193</v>
      </c>
      <c r="W550" s="46"/>
      <c r="Y550" s="13"/>
    </row>
    <row r="551" spans="1:25">
      <c r="A551" s="427"/>
      <c r="B551" s="439"/>
      <c r="C551" s="471"/>
      <c r="D551" s="118" t="s">
        <v>72</v>
      </c>
      <c r="E551" s="424" t="s">
        <v>24</v>
      </c>
      <c r="F551" s="131" t="s">
        <v>57</v>
      </c>
      <c r="G551" s="224"/>
      <c r="H551" s="152"/>
      <c r="I551" s="126"/>
      <c r="J551" s="126"/>
      <c r="K551" s="127">
        <v>5000</v>
      </c>
      <c r="L551" s="18">
        <v>1</v>
      </c>
      <c r="M551" s="18">
        <v>55000</v>
      </c>
      <c r="N551" s="80">
        <v>11</v>
      </c>
      <c r="O551" s="126">
        <f>May!DB319</f>
        <v>2684</v>
      </c>
      <c r="P551" s="126">
        <f>May!DC319</f>
        <v>2114</v>
      </c>
      <c r="Q551" s="126">
        <f>May!DA319</f>
        <v>9</v>
      </c>
      <c r="R551" s="436"/>
      <c r="S551" s="436"/>
      <c r="T551" s="18"/>
      <c r="U551" s="18"/>
      <c r="V551" s="127">
        <f>O551-T551-U551+V522</f>
        <v>15821</v>
      </c>
      <c r="W551" s="46"/>
      <c r="Y551" s="13"/>
    </row>
    <row r="552" spans="1:25">
      <c r="A552" s="427"/>
      <c r="B552" s="439"/>
      <c r="C552" s="471"/>
      <c r="D552" s="115" t="s">
        <v>73</v>
      </c>
      <c r="E552" s="425"/>
      <c r="F552" s="131"/>
      <c r="G552" s="224"/>
      <c r="H552" s="152"/>
      <c r="I552" s="126"/>
      <c r="J552" s="126"/>
      <c r="K552" s="127"/>
      <c r="L552" s="18"/>
      <c r="M552" s="18"/>
      <c r="N552" s="80"/>
      <c r="O552" s="126"/>
      <c r="P552" s="126"/>
      <c r="Q552" s="126"/>
      <c r="R552" s="436"/>
      <c r="S552" s="436"/>
      <c r="T552" s="18"/>
      <c r="U552" s="18"/>
      <c r="V552" s="127"/>
      <c r="W552" s="46"/>
      <c r="Y552" s="13"/>
    </row>
    <row r="553" spans="1:25" ht="14.25" customHeight="1">
      <c r="A553" s="427"/>
      <c r="B553" s="439"/>
      <c r="C553" s="471"/>
      <c r="D553" s="115" t="s">
        <v>79</v>
      </c>
      <c r="E553" s="118" t="s">
        <v>65</v>
      </c>
      <c r="F553" s="131" t="s">
        <v>57</v>
      </c>
      <c r="G553" s="224"/>
      <c r="H553" s="126"/>
      <c r="I553" s="126"/>
      <c r="J553" s="126"/>
      <c r="K553" s="18"/>
      <c r="L553" s="18"/>
      <c r="M553" s="18"/>
      <c r="N553" s="80"/>
      <c r="O553" s="126">
        <f>May!DB320</f>
        <v>1600</v>
      </c>
      <c r="P553" s="126">
        <f>May!DC320</f>
        <v>1126</v>
      </c>
      <c r="Q553" s="126">
        <f>May!DA320</f>
        <v>5</v>
      </c>
      <c r="R553" s="436"/>
      <c r="S553" s="436"/>
      <c r="T553" s="18"/>
      <c r="U553" s="18"/>
      <c r="V553" s="127">
        <f>O553-T553-U553+V524</f>
        <v>1600</v>
      </c>
      <c r="W553" s="45"/>
      <c r="X553" s="36"/>
    </row>
    <row r="554" spans="1:25" ht="14.25" customHeight="1">
      <c r="A554" s="427"/>
      <c r="B554" s="439"/>
      <c r="C554" s="448" t="s">
        <v>299</v>
      </c>
      <c r="D554" s="115" t="s">
        <v>296</v>
      </c>
      <c r="E554" s="424" t="s">
        <v>25</v>
      </c>
      <c r="F554" s="131" t="s">
        <v>298</v>
      </c>
      <c r="G554" s="224"/>
      <c r="H554" s="37"/>
      <c r="I554" s="126"/>
      <c r="J554" s="126"/>
      <c r="K554" s="18"/>
      <c r="L554" s="18"/>
      <c r="M554" s="18"/>
      <c r="N554" s="80"/>
      <c r="O554" s="126"/>
      <c r="P554" s="126">
        <f>May!DC321</f>
        <v>542</v>
      </c>
      <c r="Q554" s="126">
        <f>May!DA321</f>
        <v>2</v>
      </c>
      <c r="R554" s="436"/>
      <c r="S554" s="436"/>
      <c r="T554" s="18"/>
      <c r="U554" s="18"/>
      <c r="V554" s="127">
        <f>O554-T554-U554+V526</f>
        <v>4948</v>
      </c>
      <c r="W554" s="45"/>
      <c r="X554" s="67"/>
    </row>
    <row r="555" spans="1:25" ht="14.25" customHeight="1">
      <c r="A555" s="427"/>
      <c r="B555" s="443"/>
      <c r="C555" s="449"/>
      <c r="D555" s="115" t="s">
        <v>75</v>
      </c>
      <c r="E555" s="425"/>
      <c r="F555" s="131" t="s">
        <v>298</v>
      </c>
      <c r="G555" s="224"/>
      <c r="H555" s="37"/>
      <c r="I555" s="126"/>
      <c r="J555" s="126"/>
      <c r="K555" s="18"/>
      <c r="L555" s="18"/>
      <c r="M555" s="18"/>
      <c r="N555" s="80"/>
      <c r="O555" s="126"/>
      <c r="P555" s="126">
        <f>May!DC322</f>
        <v>565</v>
      </c>
      <c r="Q555" s="126">
        <f>May!DA322</f>
        <v>2</v>
      </c>
      <c r="R555" s="436"/>
      <c r="S555" s="436"/>
      <c r="T555" s="18"/>
      <c r="U555" s="18"/>
      <c r="V555" s="127">
        <f>O555-T555-U555+V527</f>
        <v>0</v>
      </c>
      <c r="W555" s="45"/>
      <c r="X555" s="67"/>
    </row>
    <row r="556" spans="1:25" ht="14.25" customHeight="1">
      <c r="A556" s="427"/>
      <c r="B556" s="442" t="s">
        <v>53</v>
      </c>
      <c r="C556" s="444" t="s">
        <v>60</v>
      </c>
      <c r="D556" s="43" t="s">
        <v>130</v>
      </c>
      <c r="E556" s="424" t="s">
        <v>66</v>
      </c>
      <c r="F556" s="118" t="s">
        <v>54</v>
      </c>
      <c r="G556" s="224"/>
      <c r="H556" s="37"/>
      <c r="I556" s="126"/>
      <c r="J556" s="126"/>
      <c r="K556" s="18"/>
      <c r="L556" s="18"/>
      <c r="M556" s="18"/>
      <c r="N556" s="80"/>
      <c r="O556" s="126"/>
      <c r="P556" s="126">
        <f>May!DC314</f>
        <v>331</v>
      </c>
      <c r="Q556" s="126">
        <f>May!DA314</f>
        <v>1</v>
      </c>
      <c r="R556" s="436"/>
      <c r="S556" s="436"/>
      <c r="T556" s="18"/>
      <c r="U556" s="18"/>
      <c r="V556" s="127">
        <f>O556-T556-U556+V528</f>
        <v>2633</v>
      </c>
      <c r="W556" s="45"/>
      <c r="X556" s="67"/>
    </row>
    <row r="557" spans="1:25" ht="14.25" customHeight="1">
      <c r="A557" s="427"/>
      <c r="B557" s="439"/>
      <c r="C557" s="445"/>
      <c r="D557" s="43" t="s">
        <v>320</v>
      </c>
      <c r="E557" s="425"/>
      <c r="F557" s="118" t="s">
        <v>54</v>
      </c>
      <c r="G557" s="224"/>
      <c r="H557" s="37"/>
      <c r="I557" s="126"/>
      <c r="J557" s="126"/>
      <c r="K557" s="18">
        <v>12000</v>
      </c>
      <c r="L557" s="18">
        <v>2</v>
      </c>
      <c r="M557" s="18">
        <v>36000</v>
      </c>
      <c r="N557" s="80">
        <v>6</v>
      </c>
      <c r="O557" s="126">
        <f>May!DB315</f>
        <v>2301</v>
      </c>
      <c r="P557" s="126">
        <f>May!DC315</f>
        <v>4087</v>
      </c>
      <c r="Q557" s="126">
        <f>May!DA315</f>
        <v>13</v>
      </c>
      <c r="R557" s="436"/>
      <c r="S557" s="436"/>
      <c r="T557" s="18">
        <v>7200</v>
      </c>
      <c r="U557" s="18"/>
      <c r="V557" s="127">
        <f>O557-T557-U557+V529</f>
        <v>2301</v>
      </c>
      <c r="W557" s="45"/>
      <c r="X557" s="67"/>
    </row>
    <row r="558" spans="1:25" ht="14.25" customHeight="1">
      <c r="A558" s="427"/>
      <c r="B558" s="439"/>
      <c r="C558" s="445"/>
      <c r="D558" s="43" t="s">
        <v>199</v>
      </c>
      <c r="E558" s="118" t="s">
        <v>25</v>
      </c>
      <c r="F558" s="118" t="s">
        <v>54</v>
      </c>
      <c r="G558" s="224"/>
      <c r="H558" s="37"/>
      <c r="I558" s="126"/>
      <c r="J558" s="126"/>
      <c r="K558" s="18"/>
      <c r="L558" s="18"/>
      <c r="M558" s="18"/>
      <c r="N558" s="80"/>
      <c r="O558" s="126"/>
      <c r="P558" s="126"/>
      <c r="Q558" s="126"/>
      <c r="R558" s="436"/>
      <c r="S558" s="436"/>
      <c r="T558" s="18"/>
      <c r="U558" s="18"/>
      <c r="V558" s="127">
        <f>O558-T558-U558+V530</f>
        <v>68</v>
      </c>
      <c r="W558" s="45"/>
      <c r="X558" s="67"/>
    </row>
    <row r="559" spans="1:25" ht="14.25" customHeight="1">
      <c r="A559" s="427"/>
      <c r="B559" s="443"/>
      <c r="C559" s="446"/>
      <c r="D559" s="43" t="s">
        <v>385</v>
      </c>
      <c r="E559" s="118" t="s">
        <v>25</v>
      </c>
      <c r="F559" s="118"/>
      <c r="G559" s="224"/>
      <c r="H559" s="158">
        <v>4172</v>
      </c>
      <c r="I559" s="158"/>
      <c r="J559" s="158"/>
      <c r="K559" s="128"/>
      <c r="L559" s="128"/>
      <c r="M559" s="128"/>
      <c r="N559" s="164"/>
      <c r="O559" s="158"/>
      <c r="P559" s="158"/>
      <c r="Q559" s="158"/>
      <c r="R559" s="436"/>
      <c r="S559" s="436"/>
      <c r="T559" s="18"/>
      <c r="U559" s="18"/>
      <c r="V559" s="127"/>
      <c r="W559" s="45"/>
      <c r="X559" s="67"/>
    </row>
    <row r="560" spans="1:25" ht="15.75" customHeight="1">
      <c r="A560" s="427"/>
      <c r="B560" s="122" t="s">
        <v>55</v>
      </c>
      <c r="C560" s="180" t="s">
        <v>133</v>
      </c>
      <c r="D560" s="48" t="s">
        <v>56</v>
      </c>
      <c r="E560" s="424" t="s">
        <v>25</v>
      </c>
      <c r="F560" s="118" t="s">
        <v>67</v>
      </c>
      <c r="G560" s="226"/>
      <c r="H560" s="126"/>
      <c r="I560" s="126"/>
      <c r="J560" s="2"/>
      <c r="K560" s="18"/>
      <c r="L560" s="18"/>
      <c r="M560" s="18"/>
      <c r="N560" s="18"/>
      <c r="O560" s="126">
        <f>May!DB338</f>
        <v>439</v>
      </c>
      <c r="P560" s="126">
        <f>May!DC338</f>
        <v>285</v>
      </c>
      <c r="Q560" s="126">
        <f>May!DA338</f>
        <v>1</v>
      </c>
      <c r="R560" s="436"/>
      <c r="S560" s="436"/>
      <c r="T560" s="18"/>
      <c r="U560" s="18"/>
      <c r="V560" s="127">
        <f t="shared" ref="V560:V572" si="34">O560-T560-U560+V531</f>
        <v>3235</v>
      </c>
      <c r="W560" s="45"/>
      <c r="X560" s="67"/>
    </row>
    <row r="561" spans="1:24" ht="15" customHeight="1">
      <c r="A561" s="427"/>
      <c r="B561" s="122" t="s">
        <v>122</v>
      </c>
      <c r="C561" s="180" t="s">
        <v>123</v>
      </c>
      <c r="D561" s="48" t="s">
        <v>56</v>
      </c>
      <c r="E561" s="441"/>
      <c r="F561" s="155" t="s">
        <v>64</v>
      </c>
      <c r="G561" s="119"/>
      <c r="H561" s="126"/>
      <c r="I561" s="126"/>
      <c r="J561" s="2"/>
      <c r="K561" s="18"/>
      <c r="L561" s="18"/>
      <c r="M561" s="18">
        <v>6400</v>
      </c>
      <c r="N561" s="18">
        <v>2</v>
      </c>
      <c r="O561" s="126"/>
      <c r="P561" s="126"/>
      <c r="Q561" s="126"/>
      <c r="R561" s="436"/>
      <c r="S561" s="436"/>
      <c r="T561" s="18"/>
      <c r="U561" s="18"/>
      <c r="V561" s="127">
        <f t="shared" si="34"/>
        <v>21764</v>
      </c>
      <c r="W561" s="45"/>
      <c r="X561" s="67"/>
    </row>
    <row r="562" spans="1:24" ht="14.25" customHeight="1">
      <c r="A562" s="427"/>
      <c r="B562" s="137" t="s">
        <v>58</v>
      </c>
      <c r="C562" s="157" t="s">
        <v>243</v>
      </c>
      <c r="D562" s="48" t="s">
        <v>56</v>
      </c>
      <c r="E562" s="441"/>
      <c r="F562" s="118" t="s">
        <v>64</v>
      </c>
      <c r="G562" s="225"/>
      <c r="H562" s="126"/>
      <c r="I562" s="126"/>
      <c r="J562" s="126"/>
      <c r="K562" s="18"/>
      <c r="L562" s="18"/>
      <c r="M562" s="18"/>
      <c r="N562" s="80"/>
      <c r="O562" s="126"/>
      <c r="P562" s="126"/>
      <c r="Q562" s="126"/>
      <c r="R562" s="436"/>
      <c r="S562" s="436"/>
      <c r="T562" s="18"/>
      <c r="U562" s="18"/>
      <c r="V562" s="127">
        <f t="shared" si="34"/>
        <v>8562</v>
      </c>
      <c r="W562" s="45"/>
      <c r="X562" s="67"/>
    </row>
    <row r="563" spans="1:24" ht="14.25" customHeight="1">
      <c r="A563" s="427"/>
      <c r="B563" s="122" t="s">
        <v>61</v>
      </c>
      <c r="C563" s="180" t="s">
        <v>137</v>
      </c>
      <c r="D563" s="48" t="s">
        <v>56</v>
      </c>
      <c r="E563" s="441"/>
      <c r="F563" s="118" t="s">
        <v>67</v>
      </c>
      <c r="G563" s="225"/>
      <c r="H563" s="126"/>
      <c r="I563" s="126"/>
      <c r="J563" s="126"/>
      <c r="K563" s="18"/>
      <c r="L563" s="18"/>
      <c r="M563" s="18"/>
      <c r="N563" s="80"/>
      <c r="O563" s="126"/>
      <c r="P563" s="126"/>
      <c r="Q563" s="126"/>
      <c r="R563" s="436"/>
      <c r="S563" s="436"/>
      <c r="T563" s="18"/>
      <c r="U563" s="18"/>
      <c r="V563" s="127">
        <f t="shared" si="34"/>
        <v>5844</v>
      </c>
      <c r="W563" s="45"/>
      <c r="X563" s="67"/>
    </row>
    <row r="564" spans="1:24" ht="14.25" customHeight="1">
      <c r="A564" s="427"/>
      <c r="B564" s="122" t="s">
        <v>125</v>
      </c>
      <c r="C564" s="180" t="s">
        <v>88</v>
      </c>
      <c r="D564" s="48" t="s">
        <v>124</v>
      </c>
      <c r="E564" s="441"/>
      <c r="F564" s="118" t="s">
        <v>64</v>
      </c>
      <c r="G564" s="225"/>
      <c r="H564" s="126"/>
      <c r="I564" s="126"/>
      <c r="J564" s="126"/>
      <c r="K564" s="18"/>
      <c r="L564" s="18"/>
      <c r="M564" s="18">
        <v>51200</v>
      </c>
      <c r="N564" s="80">
        <v>7</v>
      </c>
      <c r="O564" s="126"/>
      <c r="P564" s="126"/>
      <c r="Q564" s="126"/>
      <c r="R564" s="436"/>
      <c r="S564" s="436"/>
      <c r="T564" s="18"/>
      <c r="U564" s="18"/>
      <c r="V564" s="127">
        <f t="shared" si="34"/>
        <v>23615</v>
      </c>
      <c r="W564" s="45"/>
      <c r="X564" s="67"/>
    </row>
    <row r="565" spans="1:24" ht="14.25" customHeight="1">
      <c r="A565" s="427"/>
      <c r="B565" s="137" t="s">
        <v>47</v>
      </c>
      <c r="C565" s="157" t="s">
        <v>100</v>
      </c>
      <c r="D565" s="48" t="s">
        <v>99</v>
      </c>
      <c r="E565" s="441"/>
      <c r="F565" s="118" t="s">
        <v>71</v>
      </c>
      <c r="G565" s="225"/>
      <c r="H565" s="126"/>
      <c r="I565" s="126"/>
      <c r="J565" s="126"/>
      <c r="K565" s="18"/>
      <c r="L565" s="18"/>
      <c r="M565" s="18"/>
      <c r="N565" s="80"/>
      <c r="O565" s="126">
        <f>May!DB326</f>
        <v>3000</v>
      </c>
      <c r="P565" s="126">
        <f>May!DC326</f>
        <v>1175</v>
      </c>
      <c r="Q565" s="126">
        <f>May!DA326</f>
        <v>4</v>
      </c>
      <c r="R565" s="436"/>
      <c r="S565" s="436"/>
      <c r="T565" s="18"/>
      <c r="U565" s="18"/>
      <c r="V565" s="127">
        <f t="shared" si="34"/>
        <v>43801</v>
      </c>
      <c r="W565" s="45"/>
      <c r="X565" s="67"/>
    </row>
    <row r="566" spans="1:24" ht="15" customHeight="1">
      <c r="A566" s="427"/>
      <c r="B566" s="122" t="s">
        <v>196</v>
      </c>
      <c r="C566" s="180" t="s">
        <v>63</v>
      </c>
      <c r="D566" s="48" t="s">
        <v>135</v>
      </c>
      <c r="E566" s="441"/>
      <c r="F566" s="118" t="s">
        <v>64</v>
      </c>
      <c r="G566" s="226"/>
      <c r="H566" s="126"/>
      <c r="I566" s="126"/>
      <c r="J566" s="2"/>
      <c r="K566" s="18"/>
      <c r="L566" s="18"/>
      <c r="M566" s="18"/>
      <c r="N566" s="18"/>
      <c r="O566" s="126"/>
      <c r="P566" s="126">
        <f>May!DC334</f>
        <v>1399</v>
      </c>
      <c r="Q566" s="126">
        <f>May!DA334</f>
        <v>5</v>
      </c>
      <c r="R566" s="436"/>
      <c r="S566" s="436"/>
      <c r="T566" s="18"/>
      <c r="U566" s="18"/>
      <c r="V566" s="127">
        <f t="shared" si="34"/>
        <v>23059</v>
      </c>
      <c r="W566" s="45"/>
      <c r="X566" s="67"/>
    </row>
    <row r="567" spans="1:24" ht="15" customHeight="1">
      <c r="A567" s="427"/>
      <c r="B567" s="122" t="s">
        <v>363</v>
      </c>
      <c r="C567" s="180" t="s">
        <v>325</v>
      </c>
      <c r="D567" s="48" t="s">
        <v>328</v>
      </c>
      <c r="E567" s="441"/>
      <c r="F567" s="118" t="s">
        <v>48</v>
      </c>
      <c r="G567" s="226"/>
      <c r="H567" s="126"/>
      <c r="I567" s="126"/>
      <c r="J567" s="2"/>
      <c r="K567" s="18"/>
      <c r="L567" s="18"/>
      <c r="M567" s="18"/>
      <c r="N567" s="18"/>
      <c r="O567" s="126">
        <f>May!DB332</f>
        <v>1000</v>
      </c>
      <c r="P567" s="126">
        <f>May!DC332</f>
        <v>605</v>
      </c>
      <c r="Q567" s="126">
        <f>May!DA332</f>
        <v>2</v>
      </c>
      <c r="R567" s="436"/>
      <c r="S567" s="436"/>
      <c r="T567" s="18"/>
      <c r="U567" s="18"/>
      <c r="V567" s="127">
        <f t="shared" si="34"/>
        <v>6149</v>
      </c>
      <c r="W567" s="45"/>
      <c r="X567" s="67"/>
    </row>
    <row r="568" spans="1:24" ht="15" customHeight="1">
      <c r="A568" s="427"/>
      <c r="B568" s="122" t="s">
        <v>253</v>
      </c>
      <c r="C568" s="180" t="s">
        <v>365</v>
      </c>
      <c r="D568" s="48" t="s">
        <v>246</v>
      </c>
      <c r="E568" s="441"/>
      <c r="F568" s="118" t="s">
        <v>247</v>
      </c>
      <c r="G568" s="226"/>
      <c r="H568" s="126"/>
      <c r="I568" s="126"/>
      <c r="J568" s="2"/>
      <c r="K568" s="18"/>
      <c r="L568" s="18"/>
      <c r="M568" s="18"/>
      <c r="N568" s="18"/>
      <c r="O568" s="126"/>
      <c r="P568" s="126">
        <f>May!DC327</f>
        <v>426</v>
      </c>
      <c r="Q568" s="126">
        <f>May!DA327</f>
        <v>4</v>
      </c>
      <c r="R568" s="436"/>
      <c r="S568" s="436"/>
      <c r="T568" s="18"/>
      <c r="U568" s="18"/>
      <c r="V568" s="127">
        <f t="shared" si="34"/>
        <v>15188</v>
      </c>
      <c r="W568" s="45"/>
      <c r="X568" s="67"/>
    </row>
    <row r="569" spans="1:24" ht="15" customHeight="1">
      <c r="A569" s="427"/>
      <c r="B569" s="122" t="s">
        <v>366</v>
      </c>
      <c r="C569" s="180" t="s">
        <v>367</v>
      </c>
      <c r="D569" s="48" t="s">
        <v>132</v>
      </c>
      <c r="E569" s="441"/>
      <c r="F569" s="118" t="s">
        <v>64</v>
      </c>
      <c r="G569" s="119"/>
      <c r="H569" s="126"/>
      <c r="I569" s="126"/>
      <c r="J569" s="2"/>
      <c r="K569" s="18"/>
      <c r="L569" s="18"/>
      <c r="M569" s="18"/>
      <c r="N569" s="18"/>
      <c r="O569" s="126"/>
      <c r="P569" s="126">
        <f>May!DC331</f>
        <v>364</v>
      </c>
      <c r="Q569" s="126">
        <f>May!DA331</f>
        <v>1</v>
      </c>
      <c r="R569" s="436"/>
      <c r="S569" s="436"/>
      <c r="T569" s="18">
        <v>1552</v>
      </c>
      <c r="U569" s="18">
        <v>8</v>
      </c>
      <c r="V569" s="18">
        <f t="shared" si="34"/>
        <v>0</v>
      </c>
      <c r="W569" s="45"/>
      <c r="X569" s="67"/>
    </row>
    <row r="570" spans="1:24" ht="15" customHeight="1">
      <c r="A570" s="427"/>
      <c r="B570" s="122" t="s">
        <v>101</v>
      </c>
      <c r="C570" s="180" t="s">
        <v>327</v>
      </c>
      <c r="D570" s="48" t="s">
        <v>102</v>
      </c>
      <c r="E570" s="441"/>
      <c r="F570" s="118" t="s">
        <v>64</v>
      </c>
      <c r="G570" s="119"/>
      <c r="H570" s="126"/>
      <c r="I570" s="126"/>
      <c r="J570" s="2"/>
      <c r="K570" s="18"/>
      <c r="L570" s="18"/>
      <c r="M570" s="18">
        <v>21000</v>
      </c>
      <c r="N570" s="18">
        <v>3</v>
      </c>
      <c r="O570" s="126">
        <f>May!DB330</f>
        <v>1371</v>
      </c>
      <c r="P570" s="126">
        <f>May!DC330</f>
        <v>2632</v>
      </c>
      <c r="Q570" s="126">
        <f>May!DA330</f>
        <v>8</v>
      </c>
      <c r="R570" s="436"/>
      <c r="S570" s="436"/>
      <c r="T570" s="18"/>
      <c r="U570" s="18"/>
      <c r="V570" s="18">
        <f t="shared" si="34"/>
        <v>3373</v>
      </c>
      <c r="W570" s="45"/>
      <c r="X570" s="67"/>
    </row>
    <row r="571" spans="1:24" s="4" customFormat="1" ht="15" customHeight="1">
      <c r="A571" s="427"/>
      <c r="B571" s="122" t="s">
        <v>375</v>
      </c>
      <c r="C571" s="157" t="s">
        <v>376</v>
      </c>
      <c r="D571" s="48" t="s">
        <v>248</v>
      </c>
      <c r="E571" s="441"/>
      <c r="F571" s="48" t="s">
        <v>64</v>
      </c>
      <c r="G571" s="170">
        <v>1232.1600000000001</v>
      </c>
      <c r="H571" s="34">
        <v>2160</v>
      </c>
      <c r="I571" s="34"/>
      <c r="J571" s="6"/>
      <c r="K571" s="211">
        <v>12400</v>
      </c>
      <c r="L571" s="211">
        <v>3</v>
      </c>
      <c r="M571" s="211">
        <v>126700</v>
      </c>
      <c r="N571" s="211">
        <v>31</v>
      </c>
      <c r="O571" s="34">
        <f>May!DB333</f>
        <v>12513</v>
      </c>
      <c r="P571" s="34">
        <f>May!DC333</f>
        <v>15656</v>
      </c>
      <c r="Q571" s="34">
        <f>May!DA333</f>
        <v>32</v>
      </c>
      <c r="R571" s="436"/>
      <c r="S571" s="436"/>
      <c r="T571" s="211">
        <v>1600</v>
      </c>
      <c r="U571" s="211"/>
      <c r="V571" s="211">
        <f t="shared" si="34"/>
        <v>53632</v>
      </c>
      <c r="W571" s="260"/>
      <c r="X571" s="67"/>
    </row>
    <row r="572" spans="1:24" s="4" customFormat="1" ht="15" customHeight="1">
      <c r="A572" s="427"/>
      <c r="B572" s="442" t="s">
        <v>289</v>
      </c>
      <c r="C572" s="444" t="s">
        <v>290</v>
      </c>
      <c r="D572" s="48" t="s">
        <v>75</v>
      </c>
      <c r="E572" s="441"/>
      <c r="F572" s="48" t="s">
        <v>381</v>
      </c>
      <c r="G572" s="122"/>
      <c r="H572" s="34"/>
      <c r="I572" s="34"/>
      <c r="J572" s="6"/>
      <c r="K572" s="211"/>
      <c r="L572" s="211"/>
      <c r="M572" s="211"/>
      <c r="N572" s="211"/>
      <c r="O572" s="34"/>
      <c r="P572" s="34">
        <f>May!DC329</f>
        <v>206</v>
      </c>
      <c r="Q572" s="34">
        <f>May!DA329</f>
        <v>1</v>
      </c>
      <c r="R572" s="436"/>
      <c r="S572" s="436"/>
      <c r="T572" s="211"/>
      <c r="U572" s="211"/>
      <c r="V572" s="211">
        <f t="shared" si="34"/>
        <v>0</v>
      </c>
      <c r="W572" s="260"/>
      <c r="X572" s="67"/>
    </row>
    <row r="573" spans="1:24" s="4" customFormat="1" ht="15" customHeight="1">
      <c r="A573" s="427"/>
      <c r="B573" s="443"/>
      <c r="C573" s="446"/>
      <c r="D573" s="48" t="s">
        <v>433</v>
      </c>
      <c r="E573" s="441"/>
      <c r="F573" s="48"/>
      <c r="G573" s="122"/>
      <c r="H573" s="293">
        <v>91.8</v>
      </c>
      <c r="I573" s="34"/>
      <c r="J573" s="6"/>
      <c r="K573" s="211"/>
      <c r="L573" s="211"/>
      <c r="M573" s="211"/>
      <c r="N573" s="211"/>
      <c r="O573" s="34"/>
      <c r="P573" s="34"/>
      <c r="Q573" s="34"/>
      <c r="R573" s="436"/>
      <c r="S573" s="436"/>
      <c r="T573" s="211"/>
      <c r="U573" s="211"/>
      <c r="V573" s="211"/>
      <c r="W573" s="260"/>
      <c r="X573" s="67"/>
    </row>
    <row r="574" spans="1:24" ht="15" customHeight="1">
      <c r="A574" s="427"/>
      <c r="B574" s="122" t="s">
        <v>103</v>
      </c>
      <c r="C574" s="157" t="s">
        <v>197</v>
      </c>
      <c r="D574" s="48" t="s">
        <v>104</v>
      </c>
      <c r="E574" s="441"/>
      <c r="F574" s="118" t="s">
        <v>105</v>
      </c>
      <c r="G574" s="119"/>
      <c r="H574" s="126"/>
      <c r="I574" s="126"/>
      <c r="J574" s="2"/>
      <c r="K574" s="18"/>
      <c r="L574" s="18"/>
      <c r="M574" s="18"/>
      <c r="N574" s="18"/>
      <c r="O574" s="126"/>
      <c r="P574" s="126"/>
      <c r="Q574" s="126">
        <f>May!DA335</f>
        <v>1</v>
      </c>
      <c r="R574" s="436"/>
      <c r="S574" s="436"/>
      <c r="T574" s="18"/>
      <c r="U574" s="18"/>
      <c r="V574" s="18"/>
      <c r="W574" s="45"/>
      <c r="X574" s="67"/>
    </row>
    <row r="575" spans="1:24" ht="15" customHeight="1">
      <c r="A575" s="427"/>
      <c r="B575" s="137" t="s">
        <v>112</v>
      </c>
      <c r="C575" s="157" t="s">
        <v>197</v>
      </c>
      <c r="D575" s="48" t="s">
        <v>104</v>
      </c>
      <c r="E575" s="441"/>
      <c r="F575" s="118" t="s">
        <v>113</v>
      </c>
      <c r="G575" s="119"/>
      <c r="H575" s="126"/>
      <c r="I575" s="126"/>
      <c r="J575" s="2"/>
      <c r="K575" s="18"/>
      <c r="L575" s="18"/>
      <c r="M575" s="18"/>
      <c r="N575" s="18"/>
      <c r="O575" s="126"/>
      <c r="P575" s="126"/>
      <c r="Q575" s="126">
        <f>May!DA337</f>
        <v>1</v>
      </c>
      <c r="R575" s="436"/>
      <c r="S575" s="436"/>
      <c r="T575" s="18"/>
      <c r="U575" s="18"/>
      <c r="V575" s="18"/>
      <c r="W575" s="45"/>
      <c r="X575" s="67"/>
    </row>
    <row r="576" spans="1:24" ht="15" customHeight="1" thickBot="1">
      <c r="A576" s="428"/>
      <c r="B576" s="44" t="s">
        <v>107</v>
      </c>
      <c r="C576" s="181" t="s">
        <v>386</v>
      </c>
      <c r="D576" s="61" t="s">
        <v>108</v>
      </c>
      <c r="E576" s="447"/>
      <c r="F576" s="133" t="s">
        <v>48</v>
      </c>
      <c r="G576" s="261">
        <v>965.46</v>
      </c>
      <c r="H576" s="134">
        <f>336+105</f>
        <v>441</v>
      </c>
      <c r="I576" s="134"/>
      <c r="J576" s="129"/>
      <c r="K576" s="130">
        <v>6500</v>
      </c>
      <c r="L576" s="130">
        <v>1</v>
      </c>
      <c r="M576" s="130">
        <v>6500</v>
      </c>
      <c r="N576" s="130">
        <v>1</v>
      </c>
      <c r="O576" s="134"/>
      <c r="P576" s="134">
        <f>May!DC336</f>
        <v>276</v>
      </c>
      <c r="Q576" s="134">
        <f>May!DA336</f>
        <v>1</v>
      </c>
      <c r="R576" s="437"/>
      <c r="S576" s="437"/>
      <c r="T576" s="130"/>
      <c r="U576" s="130"/>
      <c r="V576" s="128">
        <f t="shared" ref="V576:V581" si="35">O576-T576-U576+V546</f>
        <v>903</v>
      </c>
      <c r="W576" s="85"/>
      <c r="X576" s="67"/>
    </row>
    <row r="577" spans="1:25" ht="15" customHeight="1">
      <c r="A577" s="426">
        <v>46169</v>
      </c>
      <c r="B577" s="429" t="s">
        <v>44</v>
      </c>
      <c r="C577" s="432" t="s">
        <v>240</v>
      </c>
      <c r="D577" s="19" t="s">
        <v>37</v>
      </c>
      <c r="E577" s="19" t="s">
        <v>25</v>
      </c>
      <c r="F577" s="39" t="s">
        <v>40</v>
      </c>
      <c r="G577" s="41"/>
      <c r="H577" s="32"/>
      <c r="I577" s="32"/>
      <c r="J577" s="32"/>
      <c r="K577" s="20"/>
      <c r="L577" s="20"/>
      <c r="M577" s="20">
        <v>136000</v>
      </c>
      <c r="N577" s="84">
        <v>17</v>
      </c>
      <c r="O577" s="32">
        <f>May!DE311</f>
        <v>45568</v>
      </c>
      <c r="P577" s="32">
        <f>May!DF311</f>
        <v>32489</v>
      </c>
      <c r="Q577" s="32">
        <f>May!DD311</f>
        <v>92</v>
      </c>
      <c r="R577" s="435">
        <f>May!DE340</f>
        <v>91169</v>
      </c>
      <c r="S577" s="435">
        <f>May!DF340</f>
        <v>91382</v>
      </c>
      <c r="T577" s="20">
        <v>27657</v>
      </c>
      <c r="U577" s="20">
        <v>11</v>
      </c>
      <c r="V577" s="20">
        <f t="shared" si="35"/>
        <v>230690</v>
      </c>
      <c r="W577" s="77"/>
      <c r="X577" s="36"/>
    </row>
    <row r="578" spans="1:25" ht="15" customHeight="1">
      <c r="A578" s="427"/>
      <c r="B578" s="431"/>
      <c r="C578" s="434"/>
      <c r="D578" s="113" t="s">
        <v>307</v>
      </c>
      <c r="E578" s="113" t="s">
        <v>24</v>
      </c>
      <c r="F578" s="118" t="s">
        <v>40</v>
      </c>
      <c r="G578" s="135"/>
      <c r="H578" s="135">
        <v>3292.5</v>
      </c>
      <c r="I578" s="125"/>
      <c r="J578" s="125"/>
      <c r="K578" s="127">
        <v>31700</v>
      </c>
      <c r="L578" s="127">
        <v>4</v>
      </c>
      <c r="M578" s="216">
        <v>72000</v>
      </c>
      <c r="N578" s="238">
        <v>9</v>
      </c>
      <c r="O578" s="126">
        <f>May!DE313</f>
        <v>10816</v>
      </c>
      <c r="P578" s="125">
        <f>May!DF313</f>
        <v>27886</v>
      </c>
      <c r="Q578" s="125">
        <f>May!DD313</f>
        <v>74</v>
      </c>
      <c r="R578" s="436"/>
      <c r="S578" s="436"/>
      <c r="T578" s="127">
        <v>44619</v>
      </c>
      <c r="U578" s="127">
        <v>24</v>
      </c>
      <c r="V578" s="127">
        <f t="shared" si="35"/>
        <v>35122</v>
      </c>
      <c r="W578" s="46"/>
      <c r="X578" s="67"/>
    </row>
    <row r="579" spans="1:25" ht="15" customHeight="1">
      <c r="A579" s="427"/>
      <c r="B579" s="442" t="s">
        <v>45</v>
      </c>
      <c r="C579" s="471" t="s">
        <v>59</v>
      </c>
      <c r="D579" s="118" t="s">
        <v>75</v>
      </c>
      <c r="E579" s="438" t="s">
        <v>25</v>
      </c>
      <c r="F579" s="131" t="s">
        <v>57</v>
      </c>
      <c r="G579" s="87"/>
      <c r="H579" s="152"/>
      <c r="I579" s="126"/>
      <c r="J579" s="2"/>
      <c r="K579" s="127">
        <v>10360</v>
      </c>
      <c r="L579" s="18">
        <v>2</v>
      </c>
      <c r="M579" s="18">
        <v>25900</v>
      </c>
      <c r="N579" s="80">
        <v>5</v>
      </c>
      <c r="O579" s="126">
        <f>May!DE317</f>
        <v>1107</v>
      </c>
      <c r="P579" s="126">
        <f>May!DF317</f>
        <v>1997</v>
      </c>
      <c r="Q579" s="2">
        <f>May!DD317</f>
        <v>8</v>
      </c>
      <c r="R579" s="436"/>
      <c r="S579" s="436"/>
      <c r="T579" s="18"/>
      <c r="U579" s="18"/>
      <c r="V579" s="127">
        <f t="shared" si="35"/>
        <v>5950</v>
      </c>
      <c r="W579" s="46"/>
      <c r="Y579" s="13"/>
    </row>
    <row r="580" spans="1:25" ht="15" customHeight="1">
      <c r="A580" s="427"/>
      <c r="B580" s="439"/>
      <c r="C580" s="471"/>
      <c r="D580" s="118" t="s">
        <v>291</v>
      </c>
      <c r="E580" s="430"/>
      <c r="F580" s="131" t="s">
        <v>57</v>
      </c>
      <c r="G580" s="87"/>
      <c r="H580" s="152"/>
      <c r="I580" s="126"/>
      <c r="J580" s="2"/>
      <c r="K580" s="127"/>
      <c r="L580" s="18"/>
      <c r="M580" s="18"/>
      <c r="N580" s="80"/>
      <c r="O580" s="126">
        <f>May!DE318</f>
        <v>2200</v>
      </c>
      <c r="P580" s="126">
        <f>May!DF318</f>
        <v>995</v>
      </c>
      <c r="Q580" s="2">
        <f>May!DD318</f>
        <v>4</v>
      </c>
      <c r="R580" s="436"/>
      <c r="S580" s="436"/>
      <c r="T580" s="18"/>
      <c r="U580" s="18"/>
      <c r="V580" s="127">
        <f t="shared" si="35"/>
        <v>3393</v>
      </c>
      <c r="W580" s="46"/>
      <c r="Y580" s="13"/>
    </row>
    <row r="581" spans="1:25">
      <c r="A581" s="427"/>
      <c r="B581" s="439"/>
      <c r="C581" s="471"/>
      <c r="D581" s="118" t="s">
        <v>72</v>
      </c>
      <c r="E581" s="155" t="s">
        <v>24</v>
      </c>
      <c r="F581" s="131" t="s">
        <v>57</v>
      </c>
      <c r="G581" s="224"/>
      <c r="H581" s="152"/>
      <c r="I581" s="126"/>
      <c r="J581" s="126"/>
      <c r="K581" s="127">
        <v>5000</v>
      </c>
      <c r="L581" s="18">
        <v>1</v>
      </c>
      <c r="M581" s="18">
        <v>50000</v>
      </c>
      <c r="N581" s="80">
        <v>10</v>
      </c>
      <c r="O581" s="126">
        <f>May!DE319</f>
        <v>1211</v>
      </c>
      <c r="P581" s="126">
        <f>May!DF319</f>
        <v>2102</v>
      </c>
      <c r="Q581" s="126">
        <f>May!DD319</f>
        <v>9</v>
      </c>
      <c r="R581" s="436"/>
      <c r="S581" s="436"/>
      <c r="T581" s="18"/>
      <c r="U581" s="18"/>
      <c r="V581" s="127">
        <f t="shared" si="35"/>
        <v>17032</v>
      </c>
      <c r="W581" s="46"/>
      <c r="Y581" s="13"/>
    </row>
    <row r="582" spans="1:25" ht="14.25" customHeight="1">
      <c r="A582" s="427"/>
      <c r="B582" s="439"/>
      <c r="C582" s="471"/>
      <c r="D582" s="115" t="s">
        <v>79</v>
      </c>
      <c r="E582" s="118" t="s">
        <v>65</v>
      </c>
      <c r="F582" s="131" t="s">
        <v>57</v>
      </c>
      <c r="G582" s="224"/>
      <c r="H582" s="126"/>
      <c r="I582" s="126"/>
      <c r="J582" s="126"/>
      <c r="K582" s="18"/>
      <c r="L582" s="18"/>
      <c r="M582" s="18"/>
      <c r="N582" s="80"/>
      <c r="O582" s="126">
        <f>May!DE320</f>
        <v>930</v>
      </c>
      <c r="P582" s="126">
        <f>May!DF320</f>
        <v>1170</v>
      </c>
      <c r="Q582" s="126">
        <f>May!DD320</f>
        <v>5</v>
      </c>
      <c r="R582" s="436"/>
      <c r="S582" s="436"/>
      <c r="T582" s="18"/>
      <c r="U582" s="18"/>
      <c r="V582" s="127">
        <f t="shared" ref="V582:V587" si="36">O582-T582-U582+V553</f>
        <v>2530</v>
      </c>
      <c r="W582" s="45"/>
      <c r="X582" s="36"/>
    </row>
    <row r="583" spans="1:25" ht="14.25" customHeight="1">
      <c r="A583" s="427"/>
      <c r="B583" s="439"/>
      <c r="C583" s="448" t="s">
        <v>299</v>
      </c>
      <c r="D583" s="115" t="s">
        <v>296</v>
      </c>
      <c r="E583" s="424" t="s">
        <v>25</v>
      </c>
      <c r="F583" s="131" t="s">
        <v>298</v>
      </c>
      <c r="G583" s="224"/>
      <c r="H583" s="37"/>
      <c r="I583" s="126"/>
      <c r="J583" s="126"/>
      <c r="K583" s="18"/>
      <c r="L583" s="18"/>
      <c r="M583" s="18"/>
      <c r="N583" s="80"/>
      <c r="O583" s="126"/>
      <c r="P583" s="126">
        <f>May!DF321</f>
        <v>549</v>
      </c>
      <c r="Q583" s="126">
        <f>May!DD321</f>
        <v>2</v>
      </c>
      <c r="R583" s="436"/>
      <c r="S583" s="436"/>
      <c r="T583" s="18"/>
      <c r="U583" s="18"/>
      <c r="V583" s="127">
        <f t="shared" si="36"/>
        <v>4948</v>
      </c>
      <c r="W583" s="45"/>
      <c r="X583" s="67"/>
    </row>
    <row r="584" spans="1:25" ht="14.25" customHeight="1">
      <c r="A584" s="427"/>
      <c r="B584" s="443"/>
      <c r="C584" s="449"/>
      <c r="D584" s="115" t="s">
        <v>75</v>
      </c>
      <c r="E584" s="425"/>
      <c r="F584" s="131" t="s">
        <v>298</v>
      </c>
      <c r="G584" s="224"/>
      <c r="H584" s="37"/>
      <c r="I584" s="126"/>
      <c r="J584" s="126"/>
      <c r="K584" s="18"/>
      <c r="L584" s="18"/>
      <c r="M584" s="18"/>
      <c r="N584" s="80"/>
      <c r="O584" s="126">
        <f>May!DE322</f>
        <v>2195</v>
      </c>
      <c r="P584" s="126">
        <f>May!DF322</f>
        <v>554</v>
      </c>
      <c r="Q584" s="126">
        <f>May!DD322</f>
        <v>2</v>
      </c>
      <c r="R584" s="436"/>
      <c r="S584" s="436"/>
      <c r="T584" s="18"/>
      <c r="U584" s="18"/>
      <c r="V584" s="127">
        <f t="shared" si="36"/>
        <v>2195</v>
      </c>
      <c r="W584" s="45"/>
      <c r="X584" s="67"/>
    </row>
    <row r="585" spans="1:25" ht="14.25" customHeight="1">
      <c r="A585" s="427"/>
      <c r="B585" s="442" t="s">
        <v>53</v>
      </c>
      <c r="C585" s="444" t="s">
        <v>60</v>
      </c>
      <c r="D585" s="43" t="s">
        <v>130</v>
      </c>
      <c r="E585" s="424" t="s">
        <v>66</v>
      </c>
      <c r="F585" s="118" t="s">
        <v>54</v>
      </c>
      <c r="G585" s="224"/>
      <c r="H585" s="37"/>
      <c r="I585" s="126"/>
      <c r="J585" s="126"/>
      <c r="K585" s="18"/>
      <c r="L585" s="18"/>
      <c r="M585" s="18"/>
      <c r="N585" s="80"/>
      <c r="O585" s="126">
        <f>May!DE314</f>
        <v>977</v>
      </c>
      <c r="P585" s="126">
        <f>May!DF314</f>
        <v>179</v>
      </c>
      <c r="Q585" s="126">
        <f>May!DD314</f>
        <v>1</v>
      </c>
      <c r="R585" s="436"/>
      <c r="S585" s="436"/>
      <c r="T585" s="18"/>
      <c r="U585" s="18"/>
      <c r="V585" s="127">
        <f t="shared" si="36"/>
        <v>3610</v>
      </c>
      <c r="W585" s="45"/>
      <c r="X585" s="67"/>
    </row>
    <row r="586" spans="1:25" ht="14.25" customHeight="1">
      <c r="A586" s="427"/>
      <c r="B586" s="439"/>
      <c r="C586" s="445"/>
      <c r="D586" s="43" t="s">
        <v>320</v>
      </c>
      <c r="E586" s="425"/>
      <c r="F586" s="118" t="s">
        <v>54</v>
      </c>
      <c r="G586" s="224"/>
      <c r="H586" s="37"/>
      <c r="I586" s="126"/>
      <c r="J586" s="126"/>
      <c r="K586" s="18">
        <v>6000</v>
      </c>
      <c r="L586" s="18">
        <v>1</v>
      </c>
      <c r="M586" s="18">
        <v>30000</v>
      </c>
      <c r="N586" s="80">
        <v>5</v>
      </c>
      <c r="O586" s="126">
        <f>May!DE315</f>
        <v>2994</v>
      </c>
      <c r="P586" s="126">
        <f>May!DF315</f>
        <v>4188</v>
      </c>
      <c r="Q586" s="126">
        <f>May!DD315</f>
        <v>13</v>
      </c>
      <c r="R586" s="436"/>
      <c r="S586" s="436"/>
      <c r="T586" s="18"/>
      <c r="U586" s="18"/>
      <c r="V586" s="127">
        <f t="shared" si="36"/>
        <v>5295</v>
      </c>
      <c r="W586" s="45"/>
      <c r="X586" s="67"/>
    </row>
    <row r="587" spans="1:25" ht="14.25" customHeight="1">
      <c r="A587" s="427"/>
      <c r="B587" s="443"/>
      <c r="C587" s="446"/>
      <c r="D587" s="43" t="s">
        <v>199</v>
      </c>
      <c r="E587" s="114" t="s">
        <v>25</v>
      </c>
      <c r="F587" s="118" t="s">
        <v>54</v>
      </c>
      <c r="G587" s="224"/>
      <c r="H587" s="135"/>
      <c r="I587" s="158"/>
      <c r="J587" s="158"/>
      <c r="K587" s="128"/>
      <c r="L587" s="128"/>
      <c r="M587" s="128"/>
      <c r="N587" s="164"/>
      <c r="O587" s="158"/>
      <c r="P587" s="158"/>
      <c r="Q587" s="158"/>
      <c r="R587" s="436"/>
      <c r="S587" s="436"/>
      <c r="T587" s="18"/>
      <c r="U587" s="18"/>
      <c r="V587" s="127">
        <f t="shared" si="36"/>
        <v>68</v>
      </c>
      <c r="W587" s="45"/>
      <c r="X587" s="67"/>
    </row>
    <row r="588" spans="1:25" ht="15.75" customHeight="1">
      <c r="A588" s="427"/>
      <c r="B588" s="122" t="s">
        <v>55</v>
      </c>
      <c r="C588" s="180" t="s">
        <v>133</v>
      </c>
      <c r="D588" s="48" t="s">
        <v>56</v>
      </c>
      <c r="E588" s="424" t="s">
        <v>25</v>
      </c>
      <c r="F588" s="118" t="s">
        <v>67</v>
      </c>
      <c r="G588" s="226"/>
      <c r="H588" s="126"/>
      <c r="I588" s="126"/>
      <c r="J588" s="2"/>
      <c r="K588" s="18"/>
      <c r="L588" s="18"/>
      <c r="M588" s="18"/>
      <c r="N588" s="18"/>
      <c r="O588" s="126"/>
      <c r="P588" s="126">
        <f>May!DF338</f>
        <v>427</v>
      </c>
      <c r="Q588" s="126">
        <f>May!DD338</f>
        <v>1</v>
      </c>
      <c r="R588" s="436"/>
      <c r="S588" s="436"/>
      <c r="T588" s="18"/>
      <c r="U588" s="18"/>
      <c r="V588" s="127">
        <f t="shared" ref="V588:V600" si="37">O588-T588-U588+V560</f>
        <v>3235</v>
      </c>
      <c r="W588" s="45"/>
      <c r="X588" s="67"/>
    </row>
    <row r="589" spans="1:25" ht="15" customHeight="1">
      <c r="A589" s="427"/>
      <c r="B589" s="122" t="s">
        <v>122</v>
      </c>
      <c r="C589" s="180" t="s">
        <v>123</v>
      </c>
      <c r="D589" s="48" t="s">
        <v>56</v>
      </c>
      <c r="E589" s="441"/>
      <c r="F589" s="155" t="s">
        <v>64</v>
      </c>
      <c r="G589" s="119"/>
      <c r="H589" s="126"/>
      <c r="I589" s="126"/>
      <c r="J589" s="2"/>
      <c r="K589" s="18"/>
      <c r="L589" s="18"/>
      <c r="M589" s="18">
        <v>6400</v>
      </c>
      <c r="N589" s="18">
        <v>2</v>
      </c>
      <c r="O589" s="126"/>
      <c r="P589" s="126"/>
      <c r="Q589" s="126"/>
      <c r="R589" s="436"/>
      <c r="S589" s="436"/>
      <c r="T589" s="18"/>
      <c r="U589" s="18"/>
      <c r="V589" s="127">
        <f t="shared" si="37"/>
        <v>21764</v>
      </c>
      <c r="W589" s="45"/>
      <c r="X589" s="67"/>
    </row>
    <row r="590" spans="1:25" ht="14.25" customHeight="1">
      <c r="A590" s="427"/>
      <c r="B590" s="137" t="s">
        <v>58</v>
      </c>
      <c r="C590" s="157" t="s">
        <v>243</v>
      </c>
      <c r="D590" s="48" t="s">
        <v>56</v>
      </c>
      <c r="E590" s="441"/>
      <c r="F590" s="118" t="s">
        <v>64</v>
      </c>
      <c r="G590" s="225"/>
      <c r="H590" s="126"/>
      <c r="I590" s="126"/>
      <c r="J590" s="126"/>
      <c r="K590" s="18"/>
      <c r="L590" s="18"/>
      <c r="M590" s="18"/>
      <c r="N590" s="80"/>
      <c r="O590" s="126"/>
      <c r="P590" s="126"/>
      <c r="Q590" s="126"/>
      <c r="R590" s="436"/>
      <c r="S590" s="436"/>
      <c r="T590" s="18"/>
      <c r="U590" s="18"/>
      <c r="V590" s="127">
        <f t="shared" si="37"/>
        <v>8562</v>
      </c>
      <c r="W590" s="45"/>
      <c r="X590" s="67"/>
    </row>
    <row r="591" spans="1:25" ht="14.25" customHeight="1">
      <c r="A591" s="427"/>
      <c r="B591" s="122" t="s">
        <v>61</v>
      </c>
      <c r="C591" s="180" t="s">
        <v>137</v>
      </c>
      <c r="D591" s="48" t="s">
        <v>56</v>
      </c>
      <c r="E591" s="441"/>
      <c r="F591" s="118" t="s">
        <v>67</v>
      </c>
      <c r="G591" s="225"/>
      <c r="H591" s="126"/>
      <c r="I591" s="126"/>
      <c r="J591" s="126"/>
      <c r="K591" s="18"/>
      <c r="L591" s="18"/>
      <c r="M591" s="18"/>
      <c r="N591" s="80"/>
      <c r="O591" s="126"/>
      <c r="P591" s="126"/>
      <c r="Q591" s="126"/>
      <c r="R591" s="436"/>
      <c r="S591" s="436"/>
      <c r="T591" s="18"/>
      <c r="U591" s="18"/>
      <c r="V591" s="127">
        <f t="shared" si="37"/>
        <v>5844</v>
      </c>
      <c r="W591" s="45"/>
      <c r="X591" s="67"/>
    </row>
    <row r="592" spans="1:25" ht="14.25" customHeight="1">
      <c r="A592" s="427"/>
      <c r="B592" s="122" t="s">
        <v>125</v>
      </c>
      <c r="C592" s="180" t="s">
        <v>88</v>
      </c>
      <c r="D592" s="48" t="s">
        <v>124</v>
      </c>
      <c r="E592" s="441"/>
      <c r="F592" s="118" t="s">
        <v>64</v>
      </c>
      <c r="G592" s="225"/>
      <c r="H592" s="126"/>
      <c r="I592" s="126"/>
      <c r="J592" s="126"/>
      <c r="K592" s="18"/>
      <c r="L592" s="18"/>
      <c r="M592" s="18">
        <v>51200</v>
      </c>
      <c r="N592" s="80">
        <v>7</v>
      </c>
      <c r="O592" s="126"/>
      <c r="P592" s="126"/>
      <c r="Q592" s="126"/>
      <c r="R592" s="436"/>
      <c r="S592" s="436"/>
      <c r="T592" s="18"/>
      <c r="U592" s="18"/>
      <c r="V592" s="127">
        <f t="shared" si="37"/>
        <v>23615</v>
      </c>
      <c r="W592" s="45"/>
      <c r="X592" s="67"/>
    </row>
    <row r="593" spans="1:25" ht="14.25" customHeight="1">
      <c r="A593" s="427"/>
      <c r="B593" s="137" t="s">
        <v>47</v>
      </c>
      <c r="C593" s="157" t="s">
        <v>100</v>
      </c>
      <c r="D593" s="48" t="s">
        <v>99</v>
      </c>
      <c r="E593" s="441"/>
      <c r="F593" s="118" t="s">
        <v>71</v>
      </c>
      <c r="G593" s="225"/>
      <c r="H593" s="126"/>
      <c r="I593" s="126"/>
      <c r="J593" s="126"/>
      <c r="K593" s="18"/>
      <c r="L593" s="18"/>
      <c r="M593" s="18"/>
      <c r="N593" s="80"/>
      <c r="O593" s="126">
        <f>May!DE326</f>
        <v>1500</v>
      </c>
      <c r="P593" s="126">
        <f>May!DF326</f>
        <v>1181</v>
      </c>
      <c r="Q593" s="126">
        <f>May!DD326</f>
        <v>4</v>
      </c>
      <c r="R593" s="436"/>
      <c r="S593" s="436"/>
      <c r="T593" s="18"/>
      <c r="U593" s="18"/>
      <c r="V593" s="127">
        <f t="shared" si="37"/>
        <v>45301</v>
      </c>
      <c r="W593" s="45"/>
      <c r="X593" s="67"/>
    </row>
    <row r="594" spans="1:25" ht="15" customHeight="1">
      <c r="A594" s="427"/>
      <c r="B594" s="122" t="s">
        <v>196</v>
      </c>
      <c r="C594" s="180" t="s">
        <v>63</v>
      </c>
      <c r="D594" s="48" t="s">
        <v>135</v>
      </c>
      <c r="E594" s="441"/>
      <c r="F594" s="118" t="s">
        <v>64</v>
      </c>
      <c r="G594" s="226"/>
      <c r="H594" s="126"/>
      <c r="I594" s="126"/>
      <c r="J594" s="2"/>
      <c r="K594" s="18"/>
      <c r="L594" s="18"/>
      <c r="M594" s="18"/>
      <c r="N594" s="18"/>
      <c r="O594" s="126">
        <f>May!DE334</f>
        <v>900</v>
      </c>
      <c r="P594" s="126">
        <f>May!DF334</f>
        <v>1431</v>
      </c>
      <c r="Q594" s="126">
        <f>May!DD334</f>
        <v>5</v>
      </c>
      <c r="R594" s="436"/>
      <c r="S594" s="436"/>
      <c r="T594" s="18"/>
      <c r="U594" s="18"/>
      <c r="V594" s="127">
        <f t="shared" si="37"/>
        <v>23959</v>
      </c>
      <c r="W594" s="45"/>
      <c r="X594" s="67"/>
    </row>
    <row r="595" spans="1:25" ht="15" customHeight="1">
      <c r="A595" s="427"/>
      <c r="B595" s="122" t="s">
        <v>363</v>
      </c>
      <c r="C595" s="180" t="s">
        <v>325</v>
      </c>
      <c r="D595" s="48" t="s">
        <v>328</v>
      </c>
      <c r="E595" s="441"/>
      <c r="F595" s="118" t="s">
        <v>48</v>
      </c>
      <c r="G595" s="170">
        <v>1014.38</v>
      </c>
      <c r="H595" s="126">
        <v>288</v>
      </c>
      <c r="I595" s="126"/>
      <c r="J595" s="2"/>
      <c r="K595" s="18"/>
      <c r="L595" s="18"/>
      <c r="M595" s="18">
        <v>12000</v>
      </c>
      <c r="N595" s="18">
        <v>2</v>
      </c>
      <c r="O595" s="126"/>
      <c r="P595" s="126">
        <f>May!DF332</f>
        <v>611</v>
      </c>
      <c r="Q595" s="126">
        <f>May!DD332</f>
        <v>2</v>
      </c>
      <c r="R595" s="436"/>
      <c r="S595" s="436"/>
      <c r="T595" s="18"/>
      <c r="U595" s="18"/>
      <c r="V595" s="127">
        <f t="shared" si="37"/>
        <v>6149</v>
      </c>
      <c r="W595" s="45"/>
      <c r="X595" s="67"/>
    </row>
    <row r="596" spans="1:25" ht="15" customHeight="1">
      <c r="A596" s="427"/>
      <c r="B596" s="122" t="s">
        <v>253</v>
      </c>
      <c r="C596" s="180" t="s">
        <v>365</v>
      </c>
      <c r="D596" s="48" t="s">
        <v>246</v>
      </c>
      <c r="E596" s="441"/>
      <c r="F596" s="118" t="s">
        <v>247</v>
      </c>
      <c r="G596" s="226"/>
      <c r="H596" s="126"/>
      <c r="I596" s="126"/>
      <c r="J596" s="2"/>
      <c r="K596" s="18"/>
      <c r="L596" s="18"/>
      <c r="M596" s="18"/>
      <c r="N596" s="18"/>
      <c r="O596" s="126"/>
      <c r="P596" s="126">
        <f>May!DF327</f>
        <v>265</v>
      </c>
      <c r="Q596" s="126">
        <f>May!DD327</f>
        <v>4</v>
      </c>
      <c r="R596" s="436"/>
      <c r="S596" s="436"/>
      <c r="T596" s="18"/>
      <c r="U596" s="18"/>
      <c r="V596" s="127">
        <f t="shared" si="37"/>
        <v>15188</v>
      </c>
      <c r="W596" s="45"/>
      <c r="X596" s="67"/>
    </row>
    <row r="597" spans="1:25" ht="15" customHeight="1">
      <c r="A597" s="427"/>
      <c r="B597" s="122" t="s">
        <v>366</v>
      </c>
      <c r="C597" s="180" t="s">
        <v>367</v>
      </c>
      <c r="D597" s="48" t="s">
        <v>132</v>
      </c>
      <c r="E597" s="441"/>
      <c r="F597" s="118" t="s">
        <v>64</v>
      </c>
      <c r="G597" s="119"/>
      <c r="H597" s="126"/>
      <c r="I597" s="126"/>
      <c r="J597" s="2"/>
      <c r="K597" s="18"/>
      <c r="L597" s="18"/>
      <c r="M597" s="18"/>
      <c r="N597" s="18"/>
      <c r="O597" s="126">
        <f>May!DE331</f>
        <v>790</v>
      </c>
      <c r="P597" s="126">
        <f>May!DF331</f>
        <v>335</v>
      </c>
      <c r="Q597" s="126">
        <f>May!DD331</f>
        <v>1</v>
      </c>
      <c r="R597" s="436"/>
      <c r="S597" s="436"/>
      <c r="T597" s="18"/>
      <c r="U597" s="18"/>
      <c r="V597" s="18">
        <f t="shared" si="37"/>
        <v>790</v>
      </c>
      <c r="W597" s="45"/>
      <c r="X597" s="67"/>
    </row>
    <row r="598" spans="1:25" ht="15" customHeight="1">
      <c r="A598" s="427"/>
      <c r="B598" s="122" t="s">
        <v>101</v>
      </c>
      <c r="C598" s="180" t="s">
        <v>327</v>
      </c>
      <c r="D598" s="48" t="s">
        <v>102</v>
      </c>
      <c r="E598" s="441"/>
      <c r="F598" s="118" t="s">
        <v>64</v>
      </c>
      <c r="G598" s="119"/>
      <c r="H598" s="37">
        <v>535.5</v>
      </c>
      <c r="I598" s="126"/>
      <c r="J598" s="2"/>
      <c r="K598" s="18"/>
      <c r="L598" s="18"/>
      <c r="M598" s="18">
        <v>21000</v>
      </c>
      <c r="N598" s="18">
        <v>3</v>
      </c>
      <c r="O598" s="126">
        <f>May!DE330</f>
        <v>3618</v>
      </c>
      <c r="P598" s="126">
        <f>May!DF330</f>
        <v>2305</v>
      </c>
      <c r="Q598" s="126">
        <f>May!DD330</f>
        <v>7</v>
      </c>
      <c r="R598" s="436"/>
      <c r="S598" s="436"/>
      <c r="T598" s="18">
        <v>2971</v>
      </c>
      <c r="U598" s="18"/>
      <c r="V598" s="18">
        <f t="shared" si="37"/>
        <v>4020</v>
      </c>
      <c r="W598" s="45"/>
      <c r="X598" s="67"/>
    </row>
    <row r="599" spans="1:25" s="4" customFormat="1" ht="15" customHeight="1">
      <c r="A599" s="427"/>
      <c r="B599" s="122" t="s">
        <v>375</v>
      </c>
      <c r="C599" s="157" t="s">
        <v>376</v>
      </c>
      <c r="D599" s="48" t="s">
        <v>248</v>
      </c>
      <c r="E599" s="441"/>
      <c r="F599" s="48" t="s">
        <v>64</v>
      </c>
      <c r="G599" s="122"/>
      <c r="H599" s="34">
        <v>2160</v>
      </c>
      <c r="I599" s="34"/>
      <c r="J599" s="6"/>
      <c r="K599" s="211">
        <v>12400</v>
      </c>
      <c r="L599" s="211">
        <v>3</v>
      </c>
      <c r="M599" s="211">
        <v>114300</v>
      </c>
      <c r="N599" s="211">
        <v>28</v>
      </c>
      <c r="O599" s="34">
        <f>May!DE333</f>
        <v>16363</v>
      </c>
      <c r="P599" s="34">
        <f>May!DF333</f>
        <v>12063</v>
      </c>
      <c r="Q599" s="34">
        <f>May!DD333</f>
        <v>32</v>
      </c>
      <c r="R599" s="436"/>
      <c r="S599" s="436"/>
      <c r="T599" s="211"/>
      <c r="U599" s="211"/>
      <c r="V599" s="211">
        <f t="shared" si="37"/>
        <v>69995</v>
      </c>
      <c r="W599" s="260"/>
      <c r="X599" s="67"/>
    </row>
    <row r="600" spans="1:25" s="4" customFormat="1" ht="15" customHeight="1">
      <c r="A600" s="427"/>
      <c r="B600" s="122" t="s">
        <v>289</v>
      </c>
      <c r="C600" s="180" t="s">
        <v>290</v>
      </c>
      <c r="D600" s="48" t="s">
        <v>75</v>
      </c>
      <c r="E600" s="441"/>
      <c r="F600" s="48" t="s">
        <v>381</v>
      </c>
      <c r="G600" s="122"/>
      <c r="H600" s="34"/>
      <c r="I600" s="34"/>
      <c r="J600" s="6"/>
      <c r="K600" s="211"/>
      <c r="L600" s="211"/>
      <c r="M600" s="211"/>
      <c r="N600" s="211"/>
      <c r="O600" s="34"/>
      <c r="P600" s="34"/>
      <c r="Q600" s="34">
        <f>May!DD329</f>
        <v>1</v>
      </c>
      <c r="R600" s="436"/>
      <c r="S600" s="436"/>
      <c r="T600" s="211"/>
      <c r="U600" s="211"/>
      <c r="V600" s="211">
        <f t="shared" si="37"/>
        <v>0</v>
      </c>
      <c r="W600" s="260"/>
      <c r="X600" s="67"/>
    </row>
    <row r="601" spans="1:25" ht="15" customHeight="1">
      <c r="A601" s="427"/>
      <c r="B601" s="122" t="s">
        <v>103</v>
      </c>
      <c r="C601" s="157" t="s">
        <v>197</v>
      </c>
      <c r="D601" s="48" t="s">
        <v>104</v>
      </c>
      <c r="E601" s="441"/>
      <c r="F601" s="118" t="s">
        <v>105</v>
      </c>
      <c r="G601" s="119"/>
      <c r="H601" s="126"/>
      <c r="I601" s="126"/>
      <c r="J601" s="2"/>
      <c r="K601" s="18"/>
      <c r="L601" s="18"/>
      <c r="M601" s="18"/>
      <c r="N601" s="18"/>
      <c r="O601" s="126"/>
      <c r="P601" s="126"/>
      <c r="Q601" s="126">
        <f>May!DD335</f>
        <v>1</v>
      </c>
      <c r="R601" s="436"/>
      <c r="S601" s="436"/>
      <c r="T601" s="18"/>
      <c r="U601" s="18"/>
      <c r="V601" s="18"/>
      <c r="W601" s="45"/>
      <c r="X601" s="67"/>
    </row>
    <row r="602" spans="1:25" ht="15" customHeight="1">
      <c r="A602" s="427"/>
      <c r="B602" s="137" t="s">
        <v>112</v>
      </c>
      <c r="C602" s="157" t="s">
        <v>197</v>
      </c>
      <c r="D602" s="48" t="s">
        <v>104</v>
      </c>
      <c r="E602" s="441"/>
      <c r="F602" s="118" t="s">
        <v>113</v>
      </c>
      <c r="G602" s="119"/>
      <c r="H602" s="126"/>
      <c r="I602" s="126"/>
      <c r="J602" s="2"/>
      <c r="K602" s="18"/>
      <c r="L602" s="18"/>
      <c r="M602" s="18"/>
      <c r="N602" s="18"/>
      <c r="O602" s="126"/>
      <c r="P602" s="126"/>
      <c r="Q602" s="126">
        <f>May!DD337</f>
        <v>1</v>
      </c>
      <c r="R602" s="436"/>
      <c r="S602" s="436"/>
      <c r="T602" s="18"/>
      <c r="U602" s="18"/>
      <c r="V602" s="18"/>
      <c r="W602" s="45"/>
      <c r="X602" s="67"/>
    </row>
    <row r="603" spans="1:25" ht="15" customHeight="1">
      <c r="A603" s="427"/>
      <c r="B603" s="137" t="s">
        <v>106</v>
      </c>
      <c r="C603" s="157" t="s">
        <v>141</v>
      </c>
      <c r="D603" s="48" t="s">
        <v>68</v>
      </c>
      <c r="E603" s="441"/>
      <c r="F603" s="118" t="s">
        <v>67</v>
      </c>
      <c r="G603" s="119"/>
      <c r="H603" s="126"/>
      <c r="I603" s="126"/>
      <c r="J603" s="2"/>
      <c r="K603" s="18"/>
      <c r="L603" s="18"/>
      <c r="M603" s="18"/>
      <c r="N603" s="18"/>
      <c r="O603" s="126"/>
      <c r="P603" s="126"/>
      <c r="Q603" s="126"/>
      <c r="R603" s="436"/>
      <c r="S603" s="436"/>
      <c r="T603" s="18"/>
      <c r="U603" s="18"/>
      <c r="V603" s="18"/>
      <c r="W603" s="45"/>
      <c r="X603" s="67"/>
    </row>
    <row r="604" spans="1:25" ht="15" customHeight="1" thickBot="1">
      <c r="A604" s="428"/>
      <c r="B604" s="44" t="s">
        <v>107</v>
      </c>
      <c r="C604" s="181" t="s">
        <v>386</v>
      </c>
      <c r="D604" s="61" t="s">
        <v>108</v>
      </c>
      <c r="E604" s="447"/>
      <c r="F604" s="133" t="s">
        <v>48</v>
      </c>
      <c r="G604" s="261">
        <v>965.46</v>
      </c>
      <c r="H604" s="109"/>
      <c r="I604" s="134"/>
      <c r="J604" s="129"/>
      <c r="K604" s="130">
        <v>6500</v>
      </c>
      <c r="L604" s="130">
        <v>1</v>
      </c>
      <c r="M604" s="130">
        <v>13000</v>
      </c>
      <c r="N604" s="130">
        <v>2</v>
      </c>
      <c r="O604" s="134"/>
      <c r="P604" s="134">
        <f>May!DF336</f>
        <v>655</v>
      </c>
      <c r="Q604" s="134">
        <f>May!DD336</f>
        <v>2</v>
      </c>
      <c r="R604" s="437"/>
      <c r="S604" s="437"/>
      <c r="T604" s="130"/>
      <c r="U604" s="130"/>
      <c r="V604" s="128">
        <f t="shared" ref="V604:V609" si="38">O604-T604-U604+V576</f>
        <v>903</v>
      </c>
      <c r="W604" s="85"/>
      <c r="X604" s="67"/>
    </row>
    <row r="605" spans="1:25" ht="15" customHeight="1">
      <c r="A605" s="426">
        <v>46170</v>
      </c>
      <c r="B605" s="429" t="s">
        <v>44</v>
      </c>
      <c r="C605" s="432" t="s">
        <v>240</v>
      </c>
      <c r="D605" s="19" t="s">
        <v>37</v>
      </c>
      <c r="E605" s="19" t="s">
        <v>25</v>
      </c>
      <c r="F605" s="39" t="s">
        <v>40</v>
      </c>
      <c r="G605" s="168">
        <v>5498.1</v>
      </c>
      <c r="H605" s="32">
        <v>4608</v>
      </c>
      <c r="I605" s="32"/>
      <c r="J605" s="32"/>
      <c r="K605" s="20">
        <v>72000</v>
      </c>
      <c r="L605" s="20">
        <v>9</v>
      </c>
      <c r="M605" s="20">
        <v>144000</v>
      </c>
      <c r="N605" s="84">
        <v>18</v>
      </c>
      <c r="O605" s="32">
        <f>May!DH311</f>
        <v>27554</v>
      </c>
      <c r="P605" s="32">
        <f>May!DI311</f>
        <v>33453</v>
      </c>
      <c r="Q605" s="32">
        <f>May!DG311</f>
        <v>91</v>
      </c>
      <c r="R605" s="435">
        <f>May!DH340</f>
        <v>96426</v>
      </c>
      <c r="S605" s="435">
        <f>May!DI340</f>
        <v>83503</v>
      </c>
      <c r="T605" s="20">
        <v>33568</v>
      </c>
      <c r="U605" s="20">
        <v>77</v>
      </c>
      <c r="V605" s="20">
        <f>O605-T605-U605+V577</f>
        <v>224599</v>
      </c>
      <c r="W605" s="77"/>
      <c r="X605" s="36"/>
    </row>
    <row r="606" spans="1:25" ht="15" customHeight="1">
      <c r="A606" s="427"/>
      <c r="B606" s="431"/>
      <c r="C606" s="434"/>
      <c r="D606" s="113" t="s">
        <v>307</v>
      </c>
      <c r="E606" s="113" t="s">
        <v>24</v>
      </c>
      <c r="F606" s="118" t="s">
        <v>40</v>
      </c>
      <c r="G606" s="135"/>
      <c r="H606" s="135">
        <v>3037.5</v>
      </c>
      <c r="I606" s="125"/>
      <c r="J606" s="125"/>
      <c r="K606" s="127">
        <v>16000</v>
      </c>
      <c r="L606" s="127">
        <v>2</v>
      </c>
      <c r="M606" s="216">
        <v>56000</v>
      </c>
      <c r="N606" s="238">
        <v>7</v>
      </c>
      <c r="O606" s="126">
        <f>May!DH313</f>
        <v>38793</v>
      </c>
      <c r="P606" s="125">
        <f>May!DI313</f>
        <v>28071</v>
      </c>
      <c r="Q606" s="125">
        <f>May!DG313</f>
        <v>74</v>
      </c>
      <c r="R606" s="436"/>
      <c r="S606" s="436"/>
      <c r="T606" s="127">
        <v>17483</v>
      </c>
      <c r="U606" s="127">
        <v>43</v>
      </c>
      <c r="V606" s="127">
        <f t="shared" si="38"/>
        <v>56389</v>
      </c>
      <c r="W606" s="46"/>
      <c r="X606" s="67"/>
    </row>
    <row r="607" spans="1:25" ht="15" customHeight="1">
      <c r="A607" s="427"/>
      <c r="B607" s="442" t="s">
        <v>45</v>
      </c>
      <c r="C607" s="471" t="s">
        <v>59</v>
      </c>
      <c r="D607" s="118" t="s">
        <v>75</v>
      </c>
      <c r="E607" s="438" t="s">
        <v>25</v>
      </c>
      <c r="F607" s="131" t="s">
        <v>57</v>
      </c>
      <c r="G607" s="87"/>
      <c r="H607" s="152"/>
      <c r="I607" s="126"/>
      <c r="J607" s="2"/>
      <c r="K607" s="127"/>
      <c r="L607" s="18"/>
      <c r="M607" s="18">
        <v>25900</v>
      </c>
      <c r="N607" s="80">
        <v>5</v>
      </c>
      <c r="O607" s="126">
        <f>May!DH317</f>
        <v>1100</v>
      </c>
      <c r="P607" s="126">
        <f>May!DI317</f>
        <v>2053</v>
      </c>
      <c r="Q607" s="2">
        <f>May!DG317</f>
        <v>8</v>
      </c>
      <c r="R607" s="436"/>
      <c r="S607" s="436"/>
      <c r="T607" s="18"/>
      <c r="U607" s="18"/>
      <c r="V607" s="127">
        <f t="shared" si="38"/>
        <v>7050</v>
      </c>
      <c r="W607" s="46"/>
      <c r="Y607" s="13"/>
    </row>
    <row r="608" spans="1:25" ht="15" customHeight="1">
      <c r="A608" s="427"/>
      <c r="B608" s="439"/>
      <c r="C608" s="471"/>
      <c r="D608" s="118" t="s">
        <v>291</v>
      </c>
      <c r="E608" s="430"/>
      <c r="F608" s="131" t="s">
        <v>57</v>
      </c>
      <c r="G608" s="87"/>
      <c r="H608" s="152"/>
      <c r="I608" s="126"/>
      <c r="J608" s="2"/>
      <c r="K608" s="127"/>
      <c r="L608" s="18"/>
      <c r="M608" s="18"/>
      <c r="N608" s="80"/>
      <c r="O608" s="126">
        <f>May!DH318</f>
        <v>2328</v>
      </c>
      <c r="P608" s="126">
        <f>May!DI318</f>
        <v>847</v>
      </c>
      <c r="Q608" s="2">
        <f>May!DG318</f>
        <v>4</v>
      </c>
      <c r="R608" s="436"/>
      <c r="S608" s="436"/>
      <c r="T608" s="18"/>
      <c r="U608" s="18"/>
      <c r="V608" s="127">
        <f t="shared" si="38"/>
        <v>5721</v>
      </c>
      <c r="W608" s="46"/>
      <c r="Y608" s="13"/>
    </row>
    <row r="609" spans="1:25">
      <c r="A609" s="427"/>
      <c r="B609" s="439"/>
      <c r="C609" s="471"/>
      <c r="D609" s="118" t="s">
        <v>72</v>
      </c>
      <c r="E609" s="424" t="s">
        <v>24</v>
      </c>
      <c r="F609" s="131" t="s">
        <v>57</v>
      </c>
      <c r="G609" s="224"/>
      <c r="H609" s="152"/>
      <c r="I609" s="126"/>
      <c r="J609" s="126"/>
      <c r="K609" s="127">
        <v>5000</v>
      </c>
      <c r="L609" s="18">
        <v>1</v>
      </c>
      <c r="M609" s="18">
        <v>45000</v>
      </c>
      <c r="N609" s="80">
        <v>9</v>
      </c>
      <c r="O609" s="126">
        <f>May!DH319</f>
        <v>1496</v>
      </c>
      <c r="P609" s="126">
        <f>May!DI319</f>
        <v>1941</v>
      </c>
      <c r="Q609" s="126">
        <f>May!DG319</f>
        <v>9</v>
      </c>
      <c r="R609" s="436"/>
      <c r="S609" s="436"/>
      <c r="T609" s="18">
        <v>6441</v>
      </c>
      <c r="U609" s="18">
        <v>35</v>
      </c>
      <c r="V609" s="127">
        <f t="shared" si="38"/>
        <v>12052</v>
      </c>
      <c r="W609" s="46"/>
      <c r="Y609" s="13"/>
    </row>
    <row r="610" spans="1:25">
      <c r="A610" s="427"/>
      <c r="B610" s="439"/>
      <c r="C610" s="471"/>
      <c r="D610" s="115" t="s">
        <v>73</v>
      </c>
      <c r="E610" s="425"/>
      <c r="F610" s="131"/>
      <c r="G610" s="224"/>
      <c r="H610" s="152"/>
      <c r="I610" s="126"/>
      <c r="J610" s="126"/>
      <c r="K610" s="127"/>
      <c r="L610" s="18"/>
      <c r="M610" s="18"/>
      <c r="N610" s="80"/>
      <c r="O610" s="126"/>
      <c r="P610" s="126"/>
      <c r="Q610" s="126"/>
      <c r="R610" s="436"/>
      <c r="S610" s="436"/>
      <c r="T610" s="18"/>
      <c r="U610" s="18"/>
      <c r="V610" s="127"/>
      <c r="W610" s="46"/>
      <c r="Y610" s="13"/>
    </row>
    <row r="611" spans="1:25" ht="14.25" customHeight="1">
      <c r="A611" s="427"/>
      <c r="B611" s="439"/>
      <c r="C611" s="471"/>
      <c r="D611" s="115" t="s">
        <v>79</v>
      </c>
      <c r="E611" s="118" t="s">
        <v>65</v>
      </c>
      <c r="F611" s="131" t="s">
        <v>57</v>
      </c>
      <c r="G611" s="224"/>
      <c r="H611" s="126"/>
      <c r="I611" s="126"/>
      <c r="J611" s="126"/>
      <c r="K611" s="18"/>
      <c r="L611" s="18"/>
      <c r="M611" s="18"/>
      <c r="N611" s="80"/>
      <c r="O611" s="126">
        <f>May!DH320</f>
        <v>2200</v>
      </c>
      <c r="P611" s="126">
        <f>May!DI320</f>
        <v>1184</v>
      </c>
      <c r="Q611" s="126">
        <f>May!DG320</f>
        <v>5</v>
      </c>
      <c r="R611" s="436"/>
      <c r="S611" s="436"/>
      <c r="T611" s="18"/>
      <c r="U611" s="18"/>
      <c r="V611" s="127">
        <f t="shared" ref="V611:V617" si="39">O611-T611-U611+V582</f>
        <v>4730</v>
      </c>
      <c r="W611" s="45"/>
      <c r="X611" s="36"/>
    </row>
    <row r="612" spans="1:25" ht="14.25" customHeight="1">
      <c r="A612" s="427"/>
      <c r="B612" s="439"/>
      <c r="C612" s="448" t="s">
        <v>299</v>
      </c>
      <c r="D612" s="115" t="s">
        <v>296</v>
      </c>
      <c r="E612" s="424" t="s">
        <v>25</v>
      </c>
      <c r="F612" s="131" t="s">
        <v>298</v>
      </c>
      <c r="G612" s="224"/>
      <c r="H612" s="37"/>
      <c r="I612" s="126"/>
      <c r="J612" s="126"/>
      <c r="K612" s="18"/>
      <c r="L612" s="18"/>
      <c r="M612" s="18"/>
      <c r="N612" s="80"/>
      <c r="O612" s="126">
        <f>May!DH321</f>
        <v>1100</v>
      </c>
      <c r="P612" s="126">
        <f>May!DI321</f>
        <v>535</v>
      </c>
      <c r="Q612" s="126">
        <f>May!DG321</f>
        <v>2</v>
      </c>
      <c r="R612" s="436"/>
      <c r="S612" s="436"/>
      <c r="T612" s="18"/>
      <c r="U612" s="18"/>
      <c r="V612" s="127">
        <f t="shared" si="39"/>
        <v>6048</v>
      </c>
      <c r="W612" s="45"/>
      <c r="X612" s="67"/>
    </row>
    <row r="613" spans="1:25" ht="14.25" customHeight="1">
      <c r="A613" s="427"/>
      <c r="B613" s="443"/>
      <c r="C613" s="449"/>
      <c r="D613" s="115" t="s">
        <v>75</v>
      </c>
      <c r="E613" s="425"/>
      <c r="F613" s="131" t="s">
        <v>298</v>
      </c>
      <c r="G613" s="229">
        <v>1304.1600000000001</v>
      </c>
      <c r="H613" s="37"/>
      <c r="I613" s="126"/>
      <c r="J613" s="126"/>
      <c r="K613" s="18"/>
      <c r="L613" s="18"/>
      <c r="M613" s="18">
        <v>20000</v>
      </c>
      <c r="N613" s="80">
        <v>4</v>
      </c>
      <c r="O613" s="126"/>
      <c r="P613" s="126">
        <f>May!DI322</f>
        <v>554</v>
      </c>
      <c r="Q613" s="126">
        <f>May!DG322</f>
        <v>2</v>
      </c>
      <c r="R613" s="436"/>
      <c r="S613" s="436"/>
      <c r="T613" s="18"/>
      <c r="U613" s="18"/>
      <c r="V613" s="127">
        <f t="shared" si="39"/>
        <v>2195</v>
      </c>
      <c r="W613" s="45"/>
      <c r="X613" s="67"/>
    </row>
    <row r="614" spans="1:25" ht="14.25" customHeight="1">
      <c r="A614" s="427"/>
      <c r="B614" s="442" t="s">
        <v>53</v>
      </c>
      <c r="C614" s="444" t="s">
        <v>60</v>
      </c>
      <c r="D614" s="43" t="s">
        <v>130</v>
      </c>
      <c r="E614" s="424" t="s">
        <v>66</v>
      </c>
      <c r="F614" s="118" t="s">
        <v>54</v>
      </c>
      <c r="G614" s="224"/>
      <c r="H614" s="37"/>
      <c r="I614" s="126"/>
      <c r="J614" s="126"/>
      <c r="K614" s="18"/>
      <c r="L614" s="18"/>
      <c r="M614" s="18"/>
      <c r="N614" s="80"/>
      <c r="O614" s="126"/>
      <c r="P614" s="126"/>
      <c r="Q614" s="126"/>
      <c r="R614" s="436"/>
      <c r="S614" s="436"/>
      <c r="T614" s="18"/>
      <c r="U614" s="18"/>
      <c r="V614" s="127">
        <f t="shared" si="39"/>
        <v>3610</v>
      </c>
      <c r="W614" s="45"/>
      <c r="X614" s="67"/>
    </row>
    <row r="615" spans="1:25" ht="14.25" customHeight="1">
      <c r="A615" s="427"/>
      <c r="B615" s="439"/>
      <c r="C615" s="445"/>
      <c r="D615" s="43" t="s">
        <v>320</v>
      </c>
      <c r="E615" s="425"/>
      <c r="F615" s="118" t="s">
        <v>54</v>
      </c>
      <c r="G615" s="224"/>
      <c r="H615" s="37"/>
      <c r="I615" s="126"/>
      <c r="J615" s="126"/>
      <c r="K615" s="18">
        <v>18000</v>
      </c>
      <c r="L615" s="18">
        <v>3</v>
      </c>
      <c r="M615" s="18">
        <v>12000</v>
      </c>
      <c r="N615" s="80">
        <v>2</v>
      </c>
      <c r="O615" s="126">
        <f>May!DH315</f>
        <v>5248</v>
      </c>
      <c r="P615" s="126">
        <f>May!DI315</f>
        <v>4687</v>
      </c>
      <c r="Q615" s="126">
        <f>May!DG315</f>
        <v>14</v>
      </c>
      <c r="R615" s="436"/>
      <c r="S615" s="436"/>
      <c r="T615" s="18"/>
      <c r="U615" s="18"/>
      <c r="V615" s="127">
        <f t="shared" si="39"/>
        <v>10543</v>
      </c>
      <c r="W615" s="45"/>
      <c r="X615" s="67"/>
    </row>
    <row r="616" spans="1:25" ht="14.25" customHeight="1">
      <c r="A616" s="427"/>
      <c r="B616" s="443"/>
      <c r="C616" s="446"/>
      <c r="D616" s="43" t="s">
        <v>199</v>
      </c>
      <c r="E616" s="114" t="s">
        <v>25</v>
      </c>
      <c r="F616" s="118" t="s">
        <v>54</v>
      </c>
      <c r="G616" s="224"/>
      <c r="H616" s="135"/>
      <c r="I616" s="158"/>
      <c r="J616" s="158"/>
      <c r="K616" s="128"/>
      <c r="L616" s="128"/>
      <c r="M616" s="128"/>
      <c r="N616" s="164"/>
      <c r="O616" s="158"/>
      <c r="P616" s="158"/>
      <c r="Q616" s="158"/>
      <c r="R616" s="436"/>
      <c r="S616" s="436"/>
      <c r="T616" s="18"/>
      <c r="U616" s="18"/>
      <c r="V616" s="127">
        <f t="shared" si="39"/>
        <v>68</v>
      </c>
      <c r="W616" s="45"/>
      <c r="X616" s="67"/>
    </row>
    <row r="617" spans="1:25" ht="15.75" customHeight="1">
      <c r="A617" s="427"/>
      <c r="B617" s="442" t="s">
        <v>55</v>
      </c>
      <c r="C617" s="444" t="s">
        <v>133</v>
      </c>
      <c r="D617" s="48" t="s">
        <v>56</v>
      </c>
      <c r="E617" s="424" t="s">
        <v>25</v>
      </c>
      <c r="F617" s="118" t="s">
        <v>67</v>
      </c>
      <c r="G617" s="226"/>
      <c r="H617" s="126"/>
      <c r="I617" s="126"/>
      <c r="J617" s="2"/>
      <c r="K617" s="18"/>
      <c r="L617" s="18"/>
      <c r="M617" s="18"/>
      <c r="N617" s="18"/>
      <c r="O617" s="126">
        <f>May!DH338</f>
        <v>700</v>
      </c>
      <c r="P617" s="126">
        <f>May!DI338</f>
        <v>499</v>
      </c>
      <c r="Q617" s="126">
        <f>May!DG338</f>
        <v>1</v>
      </c>
      <c r="R617" s="436"/>
      <c r="S617" s="436"/>
      <c r="T617" s="18"/>
      <c r="U617" s="18"/>
      <c r="V617" s="127">
        <f t="shared" si="39"/>
        <v>3935</v>
      </c>
      <c r="W617" s="45"/>
      <c r="X617" s="67"/>
    </row>
    <row r="618" spans="1:25" ht="15.75" customHeight="1">
      <c r="A618" s="427"/>
      <c r="B618" s="443"/>
      <c r="C618" s="446"/>
      <c r="D618" s="48" t="s">
        <v>68</v>
      </c>
      <c r="E618" s="441"/>
      <c r="F618" s="155"/>
      <c r="G618" s="226"/>
      <c r="H618" s="126">
        <v>144</v>
      </c>
      <c r="I618" s="126"/>
      <c r="J618" s="2"/>
      <c r="K618" s="18"/>
      <c r="L618" s="18"/>
      <c r="M618" s="18"/>
      <c r="N618" s="18"/>
      <c r="O618" s="126"/>
      <c r="P618" s="126"/>
      <c r="Q618" s="126"/>
      <c r="R618" s="436"/>
      <c r="S618" s="436"/>
      <c r="T618" s="18"/>
      <c r="U618" s="18"/>
      <c r="V618" s="127"/>
      <c r="W618" s="45"/>
      <c r="X618" s="67"/>
    </row>
    <row r="619" spans="1:25" ht="15" customHeight="1">
      <c r="A619" s="427"/>
      <c r="B619" s="122" t="s">
        <v>122</v>
      </c>
      <c r="C619" s="180" t="s">
        <v>123</v>
      </c>
      <c r="D619" s="48" t="s">
        <v>56</v>
      </c>
      <c r="E619" s="441"/>
      <c r="F619" s="155" t="s">
        <v>64</v>
      </c>
      <c r="G619" s="119"/>
      <c r="H619" s="126"/>
      <c r="I619" s="126"/>
      <c r="J619" s="2"/>
      <c r="K619" s="18"/>
      <c r="L619" s="18"/>
      <c r="M619" s="18">
        <v>6400</v>
      </c>
      <c r="N619" s="18">
        <v>2</v>
      </c>
      <c r="O619" s="126"/>
      <c r="P619" s="126"/>
      <c r="Q619" s="126"/>
      <c r="R619" s="436"/>
      <c r="S619" s="436"/>
      <c r="T619" s="18">
        <v>3631</v>
      </c>
      <c r="U619" s="18">
        <v>12</v>
      </c>
      <c r="V619" s="127">
        <f t="shared" ref="V619:V630" si="40">O619-T619-U619+V589</f>
        <v>18121</v>
      </c>
      <c r="W619" s="45"/>
      <c r="X619" s="67"/>
    </row>
    <row r="620" spans="1:25" ht="14.25" customHeight="1">
      <c r="A620" s="427"/>
      <c r="B620" s="137" t="s">
        <v>58</v>
      </c>
      <c r="C620" s="157" t="s">
        <v>243</v>
      </c>
      <c r="D620" s="48" t="s">
        <v>56</v>
      </c>
      <c r="E620" s="441"/>
      <c r="F620" s="118" t="s">
        <v>64</v>
      </c>
      <c r="G620" s="225"/>
      <c r="H620" s="126"/>
      <c r="I620" s="126"/>
      <c r="J620" s="126"/>
      <c r="K620" s="18"/>
      <c r="L620" s="18"/>
      <c r="M620" s="18"/>
      <c r="N620" s="80"/>
      <c r="O620" s="126"/>
      <c r="P620" s="126"/>
      <c r="Q620" s="126"/>
      <c r="R620" s="436"/>
      <c r="S620" s="436"/>
      <c r="T620" s="18">
        <v>408</v>
      </c>
      <c r="U620" s="18">
        <v>10</v>
      </c>
      <c r="V620" s="127">
        <f t="shared" si="40"/>
        <v>8144</v>
      </c>
      <c r="W620" s="45"/>
      <c r="X620" s="67"/>
    </row>
    <row r="621" spans="1:25" ht="14.25" customHeight="1">
      <c r="A621" s="427"/>
      <c r="B621" s="122" t="s">
        <v>61</v>
      </c>
      <c r="C621" s="180" t="s">
        <v>137</v>
      </c>
      <c r="D621" s="48" t="s">
        <v>56</v>
      </c>
      <c r="E621" s="441"/>
      <c r="F621" s="118" t="s">
        <v>67</v>
      </c>
      <c r="G621" s="225"/>
      <c r="H621" s="126"/>
      <c r="I621" s="126"/>
      <c r="J621" s="126"/>
      <c r="K621" s="18"/>
      <c r="L621" s="18"/>
      <c r="M621" s="18"/>
      <c r="N621" s="80"/>
      <c r="O621" s="126"/>
      <c r="P621" s="126"/>
      <c r="Q621" s="126"/>
      <c r="R621" s="436"/>
      <c r="S621" s="436"/>
      <c r="T621" s="18"/>
      <c r="U621" s="18"/>
      <c r="V621" s="127">
        <f t="shared" si="40"/>
        <v>5844</v>
      </c>
      <c r="W621" s="45"/>
      <c r="X621" s="67"/>
    </row>
    <row r="622" spans="1:25" ht="14.25" customHeight="1">
      <c r="A622" s="427"/>
      <c r="B622" s="122" t="s">
        <v>125</v>
      </c>
      <c r="C622" s="180" t="s">
        <v>88</v>
      </c>
      <c r="D622" s="48" t="s">
        <v>124</v>
      </c>
      <c r="E622" s="441"/>
      <c r="F622" s="118" t="s">
        <v>64</v>
      </c>
      <c r="G622" s="225"/>
      <c r="H622" s="126"/>
      <c r="I622" s="126"/>
      <c r="J622" s="126"/>
      <c r="K622" s="18"/>
      <c r="L622" s="18"/>
      <c r="M622" s="18">
        <v>51200</v>
      </c>
      <c r="N622" s="80">
        <v>7</v>
      </c>
      <c r="O622" s="126"/>
      <c r="P622" s="126"/>
      <c r="Q622" s="126"/>
      <c r="R622" s="436"/>
      <c r="S622" s="436"/>
      <c r="T622" s="18"/>
      <c r="U622" s="18"/>
      <c r="V622" s="127">
        <f t="shared" si="40"/>
        <v>23615</v>
      </c>
      <c r="W622" s="45"/>
      <c r="X622" s="67"/>
    </row>
    <row r="623" spans="1:25" ht="14.25" customHeight="1">
      <c r="A623" s="427"/>
      <c r="B623" s="137" t="s">
        <v>47</v>
      </c>
      <c r="C623" s="157" t="s">
        <v>100</v>
      </c>
      <c r="D623" s="48" t="s">
        <v>99</v>
      </c>
      <c r="E623" s="441"/>
      <c r="F623" s="118" t="s">
        <v>71</v>
      </c>
      <c r="G623" s="225"/>
      <c r="H623" s="126"/>
      <c r="I623" s="126"/>
      <c r="J623" s="126"/>
      <c r="K623" s="18"/>
      <c r="L623" s="18"/>
      <c r="M623" s="18"/>
      <c r="N623" s="80"/>
      <c r="O623" s="126"/>
      <c r="P623" s="126">
        <f>May!DI326</f>
        <v>1191</v>
      </c>
      <c r="Q623" s="126">
        <f>May!DG326</f>
        <v>4</v>
      </c>
      <c r="R623" s="436"/>
      <c r="S623" s="436"/>
      <c r="T623" s="18"/>
      <c r="U623" s="18"/>
      <c r="V623" s="127">
        <f t="shared" si="40"/>
        <v>45301</v>
      </c>
      <c r="W623" s="45"/>
      <c r="X623" s="67"/>
    </row>
    <row r="624" spans="1:25" ht="15" customHeight="1">
      <c r="A624" s="427"/>
      <c r="B624" s="122" t="s">
        <v>196</v>
      </c>
      <c r="C624" s="180" t="s">
        <v>63</v>
      </c>
      <c r="D624" s="48" t="s">
        <v>135</v>
      </c>
      <c r="E624" s="441"/>
      <c r="F624" s="118" t="s">
        <v>64</v>
      </c>
      <c r="G624" s="226"/>
      <c r="H624" s="126"/>
      <c r="I624" s="126"/>
      <c r="J624" s="2"/>
      <c r="K624" s="18"/>
      <c r="L624" s="18"/>
      <c r="M624" s="18"/>
      <c r="N624" s="18"/>
      <c r="O624" s="126">
        <f>May!DH334</f>
        <v>2800</v>
      </c>
      <c r="P624" s="126">
        <f>May!DI334</f>
        <v>1444</v>
      </c>
      <c r="Q624" s="126">
        <f>May!DG334</f>
        <v>5</v>
      </c>
      <c r="R624" s="436"/>
      <c r="S624" s="436"/>
      <c r="T624" s="18"/>
      <c r="U624" s="18"/>
      <c r="V624" s="127">
        <f t="shared" si="40"/>
        <v>26759</v>
      </c>
      <c r="W624" s="45"/>
      <c r="X624" s="67"/>
    </row>
    <row r="625" spans="1:25" ht="15" customHeight="1">
      <c r="A625" s="427"/>
      <c r="B625" s="122" t="s">
        <v>363</v>
      </c>
      <c r="C625" s="180" t="s">
        <v>325</v>
      </c>
      <c r="D625" s="48" t="s">
        <v>328</v>
      </c>
      <c r="E625" s="441"/>
      <c r="F625" s="118" t="s">
        <v>48</v>
      </c>
      <c r="G625" s="226"/>
      <c r="H625" s="126"/>
      <c r="I625" s="126"/>
      <c r="J625" s="2"/>
      <c r="K625" s="18"/>
      <c r="L625" s="18"/>
      <c r="M625" s="18">
        <v>12000</v>
      </c>
      <c r="N625" s="18">
        <v>2</v>
      </c>
      <c r="O625" s="126">
        <f>May!DH332</f>
        <v>1000</v>
      </c>
      <c r="P625" s="126">
        <f>May!DI332</f>
        <v>612</v>
      </c>
      <c r="Q625" s="126">
        <f>May!DG332</f>
        <v>2</v>
      </c>
      <c r="R625" s="436"/>
      <c r="S625" s="436"/>
      <c r="T625" s="18"/>
      <c r="U625" s="18"/>
      <c r="V625" s="127">
        <f t="shared" si="40"/>
        <v>7149</v>
      </c>
      <c r="W625" s="45"/>
      <c r="X625" s="67"/>
    </row>
    <row r="626" spans="1:25" ht="15" customHeight="1">
      <c r="A626" s="427"/>
      <c r="B626" s="122" t="s">
        <v>253</v>
      </c>
      <c r="C626" s="180" t="s">
        <v>365</v>
      </c>
      <c r="D626" s="48" t="s">
        <v>246</v>
      </c>
      <c r="E626" s="441"/>
      <c r="F626" s="118" t="s">
        <v>247</v>
      </c>
      <c r="G626" s="226"/>
      <c r="H626" s="126"/>
      <c r="I626" s="126"/>
      <c r="J626" s="2"/>
      <c r="K626" s="18"/>
      <c r="L626" s="18"/>
      <c r="M626" s="18"/>
      <c r="N626" s="18"/>
      <c r="O626" s="126">
        <f>May!DH327</f>
        <v>2039</v>
      </c>
      <c r="P626" s="126">
        <f>May!DI327</f>
        <v>431</v>
      </c>
      <c r="Q626" s="126">
        <f>May!DG327</f>
        <v>4</v>
      </c>
      <c r="R626" s="436"/>
      <c r="S626" s="436"/>
      <c r="T626" s="18"/>
      <c r="U626" s="18"/>
      <c r="V626" s="127">
        <f t="shared" si="40"/>
        <v>17227</v>
      </c>
      <c r="W626" s="45"/>
      <c r="X626" s="67"/>
    </row>
    <row r="627" spans="1:25" ht="15" customHeight="1">
      <c r="A627" s="427"/>
      <c r="B627" s="122" t="s">
        <v>366</v>
      </c>
      <c r="C627" s="180" t="s">
        <v>367</v>
      </c>
      <c r="D627" s="48" t="s">
        <v>132</v>
      </c>
      <c r="E627" s="441"/>
      <c r="F627" s="118" t="s">
        <v>64</v>
      </c>
      <c r="G627" s="119"/>
      <c r="H627" s="126"/>
      <c r="I627" s="126"/>
      <c r="J627" s="2"/>
      <c r="K627" s="18"/>
      <c r="L627" s="18"/>
      <c r="M627" s="18"/>
      <c r="N627" s="18"/>
      <c r="O627" s="126">
        <f>May!DH331</f>
        <v>160</v>
      </c>
      <c r="P627" s="126">
        <f>May!DI331</f>
        <v>113</v>
      </c>
      <c r="Q627" s="126">
        <f>May!DG331</f>
        <v>1</v>
      </c>
      <c r="R627" s="436"/>
      <c r="S627" s="436"/>
      <c r="T627" s="18"/>
      <c r="U627" s="18"/>
      <c r="V627" s="18">
        <f t="shared" si="40"/>
        <v>950</v>
      </c>
      <c r="W627" s="45"/>
      <c r="X627" s="67"/>
    </row>
    <row r="628" spans="1:25" ht="15" customHeight="1">
      <c r="A628" s="427"/>
      <c r="B628" s="122" t="s">
        <v>101</v>
      </c>
      <c r="C628" s="180" t="s">
        <v>327</v>
      </c>
      <c r="D628" s="48" t="s">
        <v>102</v>
      </c>
      <c r="E628" s="441"/>
      <c r="F628" s="118" t="s">
        <v>64</v>
      </c>
      <c r="G628" s="119"/>
      <c r="H628" s="126"/>
      <c r="I628" s="126"/>
      <c r="J628" s="2"/>
      <c r="K628" s="18">
        <v>7000</v>
      </c>
      <c r="L628" s="18">
        <v>1</v>
      </c>
      <c r="M628" s="18">
        <v>14000</v>
      </c>
      <c r="N628" s="18">
        <v>2</v>
      </c>
      <c r="O628" s="126">
        <f>May!DH330</f>
        <v>1558</v>
      </c>
      <c r="P628" s="126">
        <f>May!DI330</f>
        <v>3027</v>
      </c>
      <c r="Q628" s="126">
        <f>May!DG330</f>
        <v>8</v>
      </c>
      <c r="R628" s="436"/>
      <c r="S628" s="436"/>
      <c r="T628" s="18">
        <v>5109</v>
      </c>
      <c r="U628" s="18">
        <v>101</v>
      </c>
      <c r="V628" s="18">
        <f t="shared" si="40"/>
        <v>368</v>
      </c>
      <c r="W628" s="45"/>
      <c r="X628" s="67"/>
    </row>
    <row r="629" spans="1:25" s="4" customFormat="1" ht="15" customHeight="1">
      <c r="A629" s="427"/>
      <c r="B629" s="122" t="s">
        <v>375</v>
      </c>
      <c r="C629" s="157" t="s">
        <v>376</v>
      </c>
      <c r="D629" s="48" t="s">
        <v>248</v>
      </c>
      <c r="E629" s="441"/>
      <c r="F629" s="48" t="s">
        <v>64</v>
      </c>
      <c r="G629" s="122"/>
      <c r="H629" s="34"/>
      <c r="I629" s="34"/>
      <c r="J629" s="6"/>
      <c r="K629" s="211"/>
      <c r="L629" s="211"/>
      <c r="M629" s="211">
        <v>114300</v>
      </c>
      <c r="N629" s="211">
        <v>28</v>
      </c>
      <c r="O629" s="34">
        <f>May!DH333</f>
        <v>7742</v>
      </c>
      <c r="P629" s="34">
        <f>May!DI333</f>
        <v>2548</v>
      </c>
      <c r="Q629" s="34">
        <f>May!DG333</f>
        <v>32</v>
      </c>
      <c r="R629" s="436"/>
      <c r="S629" s="436"/>
      <c r="T629" s="211"/>
      <c r="U629" s="211"/>
      <c r="V629" s="211">
        <f t="shared" si="40"/>
        <v>77737</v>
      </c>
      <c r="W629" s="260"/>
      <c r="X629" s="67"/>
    </row>
    <row r="630" spans="1:25" s="4" customFormat="1" ht="15" customHeight="1">
      <c r="A630" s="427"/>
      <c r="B630" s="442" t="s">
        <v>289</v>
      </c>
      <c r="C630" s="444" t="s">
        <v>290</v>
      </c>
      <c r="D630" s="48" t="s">
        <v>75</v>
      </c>
      <c r="E630" s="441"/>
      <c r="F630" s="48" t="s">
        <v>381</v>
      </c>
      <c r="G630" s="122"/>
      <c r="H630" s="34"/>
      <c r="I630" s="34"/>
      <c r="J630" s="6"/>
      <c r="K630" s="211"/>
      <c r="L630" s="211"/>
      <c r="M630" s="211"/>
      <c r="N630" s="211"/>
      <c r="O630" s="34">
        <f>May!DH329</f>
        <v>608</v>
      </c>
      <c r="P630" s="34"/>
      <c r="Q630" s="34">
        <f>May!DG329</f>
        <v>1</v>
      </c>
      <c r="R630" s="436"/>
      <c r="S630" s="436"/>
      <c r="T630" s="211">
        <v>608</v>
      </c>
      <c r="U630" s="211"/>
      <c r="V630" s="211">
        <f t="shared" si="40"/>
        <v>0</v>
      </c>
      <c r="W630" s="260"/>
      <c r="X630" s="67"/>
    </row>
    <row r="631" spans="1:25" s="4" customFormat="1" ht="15" customHeight="1">
      <c r="A631" s="427"/>
      <c r="B631" s="443"/>
      <c r="C631" s="446"/>
      <c r="D631" s="48" t="s">
        <v>433</v>
      </c>
      <c r="E631" s="441"/>
      <c r="F631" s="48"/>
      <c r="G631" s="122"/>
      <c r="H631" s="293">
        <v>61.2</v>
      </c>
      <c r="I631" s="34"/>
      <c r="J631" s="6"/>
      <c r="K631" s="211"/>
      <c r="L631" s="211"/>
      <c r="M631" s="211"/>
      <c r="N631" s="211"/>
      <c r="O631" s="34"/>
      <c r="P631" s="34"/>
      <c r="Q631" s="34"/>
      <c r="R631" s="436"/>
      <c r="S631" s="436"/>
      <c r="T631" s="211"/>
      <c r="U631" s="211"/>
      <c r="V631" s="211"/>
      <c r="W631" s="260"/>
      <c r="X631" s="67"/>
    </row>
    <row r="632" spans="1:25" ht="15" customHeight="1">
      <c r="A632" s="427"/>
      <c r="B632" s="122" t="s">
        <v>103</v>
      </c>
      <c r="C632" s="157" t="s">
        <v>197</v>
      </c>
      <c r="D632" s="48" t="s">
        <v>104</v>
      </c>
      <c r="E632" s="441"/>
      <c r="F632" s="118" t="s">
        <v>105</v>
      </c>
      <c r="G632" s="119"/>
      <c r="H632" s="126"/>
      <c r="I632" s="126"/>
      <c r="J632" s="2"/>
      <c r="K632" s="18"/>
      <c r="L632" s="18"/>
      <c r="M632" s="18"/>
      <c r="N632" s="18"/>
      <c r="O632" s="126"/>
      <c r="P632" s="126"/>
      <c r="Q632" s="126">
        <f>May!DG335</f>
        <v>1</v>
      </c>
      <c r="R632" s="436"/>
      <c r="S632" s="436"/>
      <c r="T632" s="18"/>
      <c r="U632" s="18"/>
      <c r="V632" s="18"/>
      <c r="W632" s="45"/>
      <c r="X632" s="67"/>
    </row>
    <row r="633" spans="1:25" ht="15" customHeight="1">
      <c r="A633" s="427"/>
      <c r="B633" s="137" t="s">
        <v>112</v>
      </c>
      <c r="C633" s="157" t="s">
        <v>197</v>
      </c>
      <c r="D633" s="48" t="s">
        <v>104</v>
      </c>
      <c r="E633" s="441"/>
      <c r="F633" s="118" t="s">
        <v>113</v>
      </c>
      <c r="G633" s="119"/>
      <c r="H633" s="126"/>
      <c r="I633" s="126"/>
      <c r="J633" s="2"/>
      <c r="K633" s="18"/>
      <c r="L633" s="18"/>
      <c r="M633" s="18"/>
      <c r="N633" s="18"/>
      <c r="O633" s="126"/>
      <c r="P633" s="126"/>
      <c r="Q633" s="126">
        <f>May!DG337</f>
        <v>1</v>
      </c>
      <c r="R633" s="436"/>
      <c r="S633" s="436"/>
      <c r="T633" s="18"/>
      <c r="U633" s="18"/>
      <c r="V633" s="18"/>
      <c r="W633" s="45"/>
      <c r="X633" s="67"/>
    </row>
    <row r="634" spans="1:25" ht="15" customHeight="1" thickBot="1">
      <c r="A634" s="428"/>
      <c r="B634" s="44" t="s">
        <v>107</v>
      </c>
      <c r="C634" s="181" t="s">
        <v>386</v>
      </c>
      <c r="D634" s="61" t="s">
        <v>108</v>
      </c>
      <c r="E634" s="447"/>
      <c r="F634" s="133" t="s">
        <v>48</v>
      </c>
      <c r="G634" s="132"/>
      <c r="H634" s="109"/>
      <c r="I634" s="134"/>
      <c r="J634" s="129"/>
      <c r="K634" s="130"/>
      <c r="L634" s="130"/>
      <c r="M634" s="130">
        <v>13000</v>
      </c>
      <c r="N634" s="130">
        <v>2</v>
      </c>
      <c r="O634" s="134"/>
      <c r="P634" s="134">
        <f>May!DI336</f>
        <v>313</v>
      </c>
      <c r="Q634" s="134">
        <f>May!DG336</f>
        <v>2</v>
      </c>
      <c r="R634" s="437"/>
      <c r="S634" s="437"/>
      <c r="T634" s="130"/>
      <c r="U634" s="130"/>
      <c r="V634" s="128">
        <f t="shared" ref="V634:V639" si="41">O634-T634-U634+V604</f>
        <v>903</v>
      </c>
      <c r="W634" s="85"/>
      <c r="X634" s="67"/>
    </row>
    <row r="635" spans="1:25" ht="15" customHeight="1">
      <c r="A635" s="426">
        <v>46171</v>
      </c>
      <c r="B635" s="429" t="s">
        <v>44</v>
      </c>
      <c r="C635" s="432" t="s">
        <v>240</v>
      </c>
      <c r="D635" s="19" t="s">
        <v>37</v>
      </c>
      <c r="E635" s="19" t="s">
        <v>25</v>
      </c>
      <c r="F635" s="39" t="s">
        <v>40</v>
      </c>
      <c r="G635" s="41"/>
      <c r="H635" s="32"/>
      <c r="I635" s="32"/>
      <c r="J635" s="32"/>
      <c r="K635" s="20">
        <v>32000</v>
      </c>
      <c r="L635" s="20">
        <v>4</v>
      </c>
      <c r="M635" s="20">
        <v>11200</v>
      </c>
      <c r="N635" s="84">
        <v>14</v>
      </c>
      <c r="O635" s="32">
        <f>May!DK311</f>
        <v>26616</v>
      </c>
      <c r="P635" s="32">
        <f>May!DL311</f>
        <v>33127</v>
      </c>
      <c r="Q635" s="32">
        <f>May!DJ311</f>
        <v>91</v>
      </c>
      <c r="R635" s="435">
        <f>May!DK340</f>
        <v>65802</v>
      </c>
      <c r="S635" s="435">
        <f>May!DL340</f>
        <v>81986</v>
      </c>
      <c r="T635" s="20">
        <v>8936</v>
      </c>
      <c r="U635" s="20"/>
      <c r="V635" s="20">
        <f t="shared" si="41"/>
        <v>242279</v>
      </c>
      <c r="W635" s="77"/>
      <c r="X635" s="36"/>
    </row>
    <row r="636" spans="1:25" ht="15" customHeight="1">
      <c r="A636" s="427"/>
      <c r="B636" s="431"/>
      <c r="C636" s="434"/>
      <c r="D636" s="113" t="s">
        <v>307</v>
      </c>
      <c r="E636" s="113" t="s">
        <v>24</v>
      </c>
      <c r="F636" s="118" t="s">
        <v>40</v>
      </c>
      <c r="G636" s="170">
        <v>5498.09</v>
      </c>
      <c r="H636" s="158"/>
      <c r="I636" s="125"/>
      <c r="J636" s="125"/>
      <c r="K636" s="127">
        <v>8000</v>
      </c>
      <c r="L636" s="127">
        <v>1</v>
      </c>
      <c r="M636" s="216">
        <v>128000</v>
      </c>
      <c r="N636" s="238">
        <v>16</v>
      </c>
      <c r="O636" s="126">
        <f>May!DK313</f>
        <v>24270</v>
      </c>
      <c r="P636" s="125">
        <f>May!DL313</f>
        <v>28990</v>
      </c>
      <c r="Q636" s="125">
        <f>May!DJ313</f>
        <v>75</v>
      </c>
      <c r="R636" s="436"/>
      <c r="S636" s="436"/>
      <c r="T636" s="127">
        <v>45790</v>
      </c>
      <c r="U636" s="127">
        <v>12</v>
      </c>
      <c r="V636" s="127">
        <f t="shared" si="41"/>
        <v>34857</v>
      </c>
      <c r="W636" s="46"/>
      <c r="X636" s="67"/>
    </row>
    <row r="637" spans="1:25" ht="15" customHeight="1">
      <c r="A637" s="427"/>
      <c r="B637" s="442" t="s">
        <v>45</v>
      </c>
      <c r="C637" s="471" t="s">
        <v>59</v>
      </c>
      <c r="D637" s="118" t="s">
        <v>75</v>
      </c>
      <c r="E637" s="438" t="s">
        <v>25</v>
      </c>
      <c r="F637" s="131" t="s">
        <v>57</v>
      </c>
      <c r="G637" s="87"/>
      <c r="H637" s="152"/>
      <c r="I637" s="126"/>
      <c r="J637" s="2"/>
      <c r="K637" s="127">
        <v>5180</v>
      </c>
      <c r="L637" s="18">
        <v>1</v>
      </c>
      <c r="M637" s="18">
        <v>20720</v>
      </c>
      <c r="N637" s="80">
        <v>4</v>
      </c>
      <c r="O637" s="126">
        <f>May!DK317</f>
        <v>1100</v>
      </c>
      <c r="P637" s="126">
        <f>May!DL317</f>
        <v>2532</v>
      </c>
      <c r="Q637" s="2">
        <f>May!DJ317</f>
        <v>10</v>
      </c>
      <c r="R637" s="436"/>
      <c r="S637" s="436"/>
      <c r="T637" s="18"/>
      <c r="U637" s="18"/>
      <c r="V637" s="127">
        <f t="shared" si="41"/>
        <v>8150</v>
      </c>
      <c r="W637" s="46"/>
      <c r="Y637" s="13"/>
    </row>
    <row r="638" spans="1:25" ht="15" customHeight="1">
      <c r="A638" s="427"/>
      <c r="B638" s="439"/>
      <c r="C638" s="471"/>
      <c r="D638" s="118" t="s">
        <v>291</v>
      </c>
      <c r="E638" s="430"/>
      <c r="F638" s="131" t="s">
        <v>57</v>
      </c>
      <c r="G638" s="87"/>
      <c r="H638" s="152"/>
      <c r="I638" s="126"/>
      <c r="J638" s="2"/>
      <c r="K638" s="127"/>
      <c r="L638" s="18"/>
      <c r="M638" s="18"/>
      <c r="N638" s="80"/>
      <c r="O638" s="126"/>
      <c r="P638" s="126">
        <f>May!DL318</f>
        <v>496</v>
      </c>
      <c r="Q638" s="2">
        <f>May!DJ318</f>
        <v>2</v>
      </c>
      <c r="R638" s="436"/>
      <c r="S638" s="436"/>
      <c r="T638" s="18"/>
      <c r="U638" s="18"/>
      <c r="V638" s="127">
        <f t="shared" si="41"/>
        <v>5721</v>
      </c>
      <c r="W638" s="46"/>
      <c r="Y638" s="13"/>
    </row>
    <row r="639" spans="1:25">
      <c r="A639" s="427"/>
      <c r="B639" s="439"/>
      <c r="C639" s="471"/>
      <c r="D639" s="118" t="s">
        <v>72</v>
      </c>
      <c r="E639" s="155" t="s">
        <v>24</v>
      </c>
      <c r="F639" s="131" t="s">
        <v>57</v>
      </c>
      <c r="G639" s="224"/>
      <c r="H639" s="152"/>
      <c r="I639" s="126"/>
      <c r="J639" s="126"/>
      <c r="K639" s="127">
        <v>5000</v>
      </c>
      <c r="L639" s="18">
        <v>1</v>
      </c>
      <c r="M639" s="18">
        <v>40000</v>
      </c>
      <c r="N639" s="80">
        <v>8</v>
      </c>
      <c r="O639" s="126">
        <f>May!DK319</f>
        <v>3083</v>
      </c>
      <c r="P639" s="126">
        <f>May!DL319</f>
        <v>2056</v>
      </c>
      <c r="Q639" s="126">
        <f>May!DJ319</f>
        <v>9</v>
      </c>
      <c r="R639" s="436"/>
      <c r="S639" s="436"/>
      <c r="T639" s="18">
        <v>11812</v>
      </c>
      <c r="U639" s="18"/>
      <c r="V639" s="127">
        <f t="shared" si="41"/>
        <v>3323</v>
      </c>
      <c r="W639" s="46"/>
      <c r="Y639" s="13"/>
    </row>
    <row r="640" spans="1:25" ht="14.25" customHeight="1">
      <c r="A640" s="427"/>
      <c r="B640" s="439"/>
      <c r="C640" s="471"/>
      <c r="D640" s="115" t="s">
        <v>79</v>
      </c>
      <c r="E640" s="118" t="s">
        <v>65</v>
      </c>
      <c r="F640" s="131" t="s">
        <v>57</v>
      </c>
      <c r="G640" s="224"/>
      <c r="H640" s="126"/>
      <c r="I640" s="126"/>
      <c r="J640" s="126"/>
      <c r="K640" s="18"/>
      <c r="L640" s="18"/>
      <c r="M640" s="18"/>
      <c r="N640" s="80"/>
      <c r="O640" s="126">
        <f>May!DK320</f>
        <v>708</v>
      </c>
      <c r="P640" s="126">
        <f>May!DL320</f>
        <v>1196</v>
      </c>
      <c r="Q640" s="126">
        <f>May!DJ320</f>
        <v>5</v>
      </c>
      <c r="R640" s="436"/>
      <c r="S640" s="436"/>
      <c r="T640" s="18"/>
      <c r="U640" s="18"/>
      <c r="V640" s="127">
        <f>O640-T640-U640+V611</f>
        <v>5438</v>
      </c>
      <c r="W640" s="45"/>
      <c r="X640" s="36"/>
    </row>
    <row r="641" spans="1:27" ht="14.25" customHeight="1">
      <c r="A641" s="427"/>
      <c r="B641" s="439"/>
      <c r="C641" s="448" t="s">
        <v>299</v>
      </c>
      <c r="D641" s="115" t="s">
        <v>296</v>
      </c>
      <c r="E641" s="424" t="s">
        <v>25</v>
      </c>
      <c r="F641" s="131" t="s">
        <v>298</v>
      </c>
      <c r="G641" s="224"/>
      <c r="H641" s="37"/>
      <c r="I641" s="126"/>
      <c r="J641" s="126"/>
      <c r="K641" s="18"/>
      <c r="L641" s="18"/>
      <c r="M641" s="18"/>
      <c r="N641" s="80"/>
      <c r="O641" s="126"/>
      <c r="P641" s="126">
        <f>May!DL321</f>
        <v>545</v>
      </c>
      <c r="Q641" s="126">
        <f>May!DJ321</f>
        <v>2</v>
      </c>
      <c r="R641" s="436"/>
      <c r="S641" s="436"/>
      <c r="T641" s="18"/>
      <c r="U641" s="18"/>
      <c r="V641" s="127">
        <f>O641-T641-U641+V612</f>
        <v>6048</v>
      </c>
      <c r="W641" s="45"/>
      <c r="X641" s="67"/>
    </row>
    <row r="642" spans="1:27" ht="14.25" customHeight="1">
      <c r="A642" s="427"/>
      <c r="B642" s="443"/>
      <c r="C642" s="449"/>
      <c r="D642" s="115" t="s">
        <v>75</v>
      </c>
      <c r="E642" s="425"/>
      <c r="F642" s="131" t="s">
        <v>298</v>
      </c>
      <c r="G642" s="224"/>
      <c r="H642" s="37"/>
      <c r="I642" s="126"/>
      <c r="J642" s="126"/>
      <c r="K642" s="18"/>
      <c r="L642" s="18"/>
      <c r="M642" s="18">
        <v>20000</v>
      </c>
      <c r="N642" s="80">
        <v>4</v>
      </c>
      <c r="O642" s="126"/>
      <c r="P642" s="126">
        <f>May!DL322</f>
        <v>556</v>
      </c>
      <c r="Q642" s="126">
        <f>May!DJ322</f>
        <v>2</v>
      </c>
      <c r="R642" s="436"/>
      <c r="S642" s="436"/>
      <c r="T642" s="18"/>
      <c r="U642" s="18"/>
      <c r="V642" s="127">
        <f>O642-T642-U642+V613</f>
        <v>2195</v>
      </c>
      <c r="W642" s="45"/>
      <c r="X642" s="67"/>
    </row>
    <row r="643" spans="1:27" ht="14.25" customHeight="1">
      <c r="A643" s="427"/>
      <c r="B643" s="442" t="s">
        <v>53</v>
      </c>
      <c r="C643" s="444" t="s">
        <v>60</v>
      </c>
      <c r="D643" s="43" t="s">
        <v>130</v>
      </c>
      <c r="E643" s="424" t="s">
        <v>66</v>
      </c>
      <c r="F643" s="118" t="s">
        <v>54</v>
      </c>
      <c r="G643" s="224"/>
      <c r="H643" s="37"/>
      <c r="I643" s="126"/>
      <c r="J643" s="126"/>
      <c r="K643" s="18"/>
      <c r="L643" s="18"/>
      <c r="M643" s="18"/>
      <c r="N643" s="80"/>
      <c r="O643" s="126"/>
      <c r="P643" s="126"/>
      <c r="Q643" s="126"/>
      <c r="R643" s="436"/>
      <c r="S643" s="436"/>
      <c r="T643" s="18">
        <v>3888</v>
      </c>
      <c r="U643" s="18"/>
      <c r="V643" s="127"/>
      <c r="W643" s="45"/>
      <c r="X643" s="67"/>
    </row>
    <row r="644" spans="1:27" ht="14.25" customHeight="1">
      <c r="A644" s="427"/>
      <c r="B644" s="439"/>
      <c r="C644" s="445"/>
      <c r="D644" s="43" t="s">
        <v>320</v>
      </c>
      <c r="E644" s="441"/>
      <c r="F644" s="118" t="s">
        <v>54</v>
      </c>
      <c r="G644" s="229"/>
      <c r="H644" s="37"/>
      <c r="I644" s="126"/>
      <c r="J644" s="126"/>
      <c r="K644" s="18"/>
      <c r="L644" s="18"/>
      <c r="M644" s="18">
        <v>12000</v>
      </c>
      <c r="N644" s="80">
        <v>2</v>
      </c>
      <c r="O644" s="126">
        <f>May!DK315</f>
        <v>4800</v>
      </c>
      <c r="P644" s="126">
        <f>May!DL315</f>
        <v>4761</v>
      </c>
      <c r="Q644" s="126">
        <f>May!DJ315</f>
        <v>14</v>
      </c>
      <c r="R644" s="436"/>
      <c r="S644" s="436"/>
      <c r="T644" s="18">
        <v>7549</v>
      </c>
      <c r="U644" s="18"/>
      <c r="V644" s="127">
        <f>O644-T644-U644+V615</f>
        <v>7794</v>
      </c>
      <c r="W644" s="45"/>
      <c r="X644" s="67"/>
    </row>
    <row r="645" spans="1:27" ht="14.25" customHeight="1">
      <c r="A645" s="427"/>
      <c r="B645" s="439"/>
      <c r="C645" s="445"/>
      <c r="D645" s="43" t="s">
        <v>387</v>
      </c>
      <c r="E645" s="425"/>
      <c r="F645" s="118" t="s">
        <v>54</v>
      </c>
      <c r="G645" s="229">
        <v>1279.47</v>
      </c>
      <c r="H645" s="37"/>
      <c r="I645" s="126"/>
      <c r="J645" s="126"/>
      <c r="K645" s="18"/>
      <c r="L645" s="18"/>
      <c r="M645" s="18">
        <v>18000</v>
      </c>
      <c r="N645" s="80">
        <v>3</v>
      </c>
      <c r="O645" s="126"/>
      <c r="P645" s="126"/>
      <c r="Q645" s="126"/>
      <c r="R645" s="436"/>
      <c r="S645" s="436"/>
      <c r="T645" s="18"/>
      <c r="U645" s="18"/>
      <c r="V645" s="127"/>
      <c r="W645" s="45"/>
      <c r="X645" s="67"/>
    </row>
    <row r="646" spans="1:27" ht="14.25" customHeight="1">
      <c r="A646" s="427"/>
      <c r="B646" s="443"/>
      <c r="C646" s="446"/>
      <c r="D646" s="43" t="s">
        <v>199</v>
      </c>
      <c r="E646" s="114" t="s">
        <v>25</v>
      </c>
      <c r="F646" s="118" t="s">
        <v>54</v>
      </c>
      <c r="G646" s="224"/>
      <c r="H646" s="135"/>
      <c r="I646" s="158"/>
      <c r="J646" s="158"/>
      <c r="K646" s="128"/>
      <c r="L646" s="128"/>
      <c r="M646" s="128"/>
      <c r="N646" s="164"/>
      <c r="O646" s="158"/>
      <c r="P646" s="158"/>
      <c r="Q646" s="158"/>
      <c r="R646" s="436"/>
      <c r="S646" s="436"/>
      <c r="T646" s="18"/>
      <c r="U646" s="18"/>
      <c r="V646" s="127">
        <f>O646-T646-U646+V616</f>
        <v>68</v>
      </c>
      <c r="W646" s="45"/>
      <c r="X646" s="67"/>
    </row>
    <row r="647" spans="1:27" ht="15.75" customHeight="1">
      <c r="A647" s="427"/>
      <c r="B647" s="122" t="s">
        <v>55</v>
      </c>
      <c r="C647" s="180" t="s">
        <v>133</v>
      </c>
      <c r="D647" s="48" t="s">
        <v>56</v>
      </c>
      <c r="E647" s="424" t="s">
        <v>25</v>
      </c>
      <c r="F647" s="118" t="s">
        <v>67</v>
      </c>
      <c r="G647" s="226">
        <v>346.64</v>
      </c>
      <c r="H647" s="126"/>
      <c r="I647" s="126"/>
      <c r="J647" s="2"/>
      <c r="K647" s="18"/>
      <c r="L647" s="18"/>
      <c r="M647" s="18">
        <v>2800</v>
      </c>
      <c r="N647" s="18">
        <v>1</v>
      </c>
      <c r="O647" s="126">
        <f>May!DK338</f>
        <v>313</v>
      </c>
      <c r="P647" s="126">
        <f>May!DL338</f>
        <v>87</v>
      </c>
      <c r="Q647" s="126">
        <f>May!DJ338</f>
        <v>1</v>
      </c>
      <c r="R647" s="436"/>
      <c r="S647" s="436"/>
      <c r="T647" s="18">
        <v>700</v>
      </c>
      <c r="U647" s="18"/>
      <c r="V647" s="127">
        <f>O647-T647-U647+V617</f>
        <v>3548</v>
      </c>
      <c r="W647" s="45"/>
      <c r="X647" s="67"/>
    </row>
    <row r="648" spans="1:27" ht="15" customHeight="1">
      <c r="A648" s="427"/>
      <c r="B648" s="122" t="s">
        <v>122</v>
      </c>
      <c r="C648" s="180" t="s">
        <v>123</v>
      </c>
      <c r="D648" s="48" t="s">
        <v>56</v>
      </c>
      <c r="E648" s="441"/>
      <c r="F648" s="155" t="s">
        <v>64</v>
      </c>
      <c r="G648" s="119"/>
      <c r="H648" s="126"/>
      <c r="I648" s="126"/>
      <c r="J648" s="2"/>
      <c r="K648" s="18"/>
      <c r="L648" s="18"/>
      <c r="M648" s="18">
        <v>6400</v>
      </c>
      <c r="N648" s="18">
        <v>2</v>
      </c>
      <c r="O648" s="126"/>
      <c r="P648" s="126"/>
      <c r="Q648" s="126"/>
      <c r="R648" s="436"/>
      <c r="S648" s="436"/>
      <c r="T648" s="18"/>
      <c r="U648" s="18"/>
      <c r="V648" s="127">
        <f t="shared" ref="V648:V659" si="42">O648-T648-U648+V619</f>
        <v>18121</v>
      </c>
      <c r="W648" s="45"/>
      <c r="X648" s="67"/>
    </row>
    <row r="649" spans="1:27" ht="14.25" customHeight="1">
      <c r="A649" s="427"/>
      <c r="B649" s="137" t="s">
        <v>58</v>
      </c>
      <c r="C649" s="157" t="s">
        <v>243</v>
      </c>
      <c r="D649" s="48" t="s">
        <v>56</v>
      </c>
      <c r="E649" s="441"/>
      <c r="F649" s="118" t="s">
        <v>64</v>
      </c>
      <c r="G649" s="225"/>
      <c r="H649" s="126"/>
      <c r="I649" s="126"/>
      <c r="J649" s="126"/>
      <c r="K649" s="18"/>
      <c r="L649" s="18"/>
      <c r="M649" s="18"/>
      <c r="N649" s="80"/>
      <c r="O649" s="126"/>
      <c r="P649" s="126"/>
      <c r="Q649" s="126"/>
      <c r="R649" s="436"/>
      <c r="S649" s="436"/>
      <c r="T649" s="18"/>
      <c r="U649" s="18"/>
      <c r="V649" s="127">
        <f t="shared" si="42"/>
        <v>8144</v>
      </c>
      <c r="W649" s="45"/>
      <c r="X649" s="67"/>
      <c r="AA649" s="319"/>
    </row>
    <row r="650" spans="1:27" ht="14.25" customHeight="1">
      <c r="A650" s="427"/>
      <c r="B650" s="122" t="s">
        <v>61</v>
      </c>
      <c r="C650" s="180" t="s">
        <v>137</v>
      </c>
      <c r="D650" s="48" t="s">
        <v>56</v>
      </c>
      <c r="E650" s="441"/>
      <c r="F650" s="118" t="s">
        <v>67</v>
      </c>
      <c r="G650" s="225"/>
      <c r="H650" s="126"/>
      <c r="I650" s="126"/>
      <c r="J650" s="126"/>
      <c r="K650" s="18"/>
      <c r="L650" s="18"/>
      <c r="M650" s="18"/>
      <c r="N650" s="80"/>
      <c r="O650" s="126"/>
      <c r="P650" s="126"/>
      <c r="Q650" s="126"/>
      <c r="R650" s="436"/>
      <c r="S650" s="436"/>
      <c r="T650" s="18"/>
      <c r="U650" s="18"/>
      <c r="V650" s="127">
        <f t="shared" si="42"/>
        <v>5844</v>
      </c>
      <c r="W650" s="45"/>
      <c r="X650" s="67"/>
    </row>
    <row r="651" spans="1:27" ht="14.25" customHeight="1">
      <c r="A651" s="427"/>
      <c r="B651" s="122" t="s">
        <v>125</v>
      </c>
      <c r="C651" s="180" t="s">
        <v>88</v>
      </c>
      <c r="D651" s="48" t="s">
        <v>124</v>
      </c>
      <c r="E651" s="441"/>
      <c r="F651" s="118" t="s">
        <v>64</v>
      </c>
      <c r="G651" s="225"/>
      <c r="H651" s="126"/>
      <c r="I651" s="126"/>
      <c r="J651" s="126"/>
      <c r="K651" s="18"/>
      <c r="L651" s="18"/>
      <c r="M651" s="18">
        <v>51200</v>
      </c>
      <c r="N651" s="80">
        <v>7</v>
      </c>
      <c r="O651" s="126"/>
      <c r="P651" s="126"/>
      <c r="Q651" s="126"/>
      <c r="R651" s="436"/>
      <c r="S651" s="436"/>
      <c r="T651" s="18"/>
      <c r="U651" s="18"/>
      <c r="V651" s="127">
        <f t="shared" si="42"/>
        <v>23615</v>
      </c>
      <c r="W651" s="45"/>
      <c r="X651" s="67"/>
    </row>
    <row r="652" spans="1:27" ht="14.25" customHeight="1">
      <c r="A652" s="427"/>
      <c r="B652" s="137" t="s">
        <v>47</v>
      </c>
      <c r="C652" s="157" t="s">
        <v>100</v>
      </c>
      <c r="D652" s="48" t="s">
        <v>99</v>
      </c>
      <c r="E652" s="441"/>
      <c r="F652" s="118" t="s">
        <v>71</v>
      </c>
      <c r="G652" s="225"/>
      <c r="H652" s="126"/>
      <c r="I652" s="126"/>
      <c r="J652" s="126"/>
      <c r="K652" s="18"/>
      <c r="L652" s="18"/>
      <c r="M652" s="18"/>
      <c r="N652" s="80"/>
      <c r="O652" s="126"/>
      <c r="P652" s="126">
        <f>May!DL326</f>
        <v>1197</v>
      </c>
      <c r="Q652" s="126">
        <f>May!DJ326</f>
        <v>4</v>
      </c>
      <c r="R652" s="436"/>
      <c r="S652" s="436"/>
      <c r="T652" s="18"/>
      <c r="U652" s="18"/>
      <c r="V652" s="127">
        <f t="shared" si="42"/>
        <v>45301</v>
      </c>
      <c r="W652" s="45"/>
      <c r="X652" s="67"/>
    </row>
    <row r="653" spans="1:27" ht="15" customHeight="1">
      <c r="A653" s="427"/>
      <c r="B653" s="122" t="s">
        <v>196</v>
      </c>
      <c r="C653" s="180" t="s">
        <v>63</v>
      </c>
      <c r="D653" s="48" t="s">
        <v>135</v>
      </c>
      <c r="E653" s="441"/>
      <c r="F653" s="118" t="s">
        <v>64</v>
      </c>
      <c r="G653" s="226"/>
      <c r="H653" s="126"/>
      <c r="I653" s="126"/>
      <c r="J653" s="2"/>
      <c r="K653" s="18"/>
      <c r="L653" s="18"/>
      <c r="M653" s="18"/>
      <c r="N653" s="18"/>
      <c r="O653" s="126"/>
      <c r="P653" s="126">
        <f>May!DL334</f>
        <v>1448</v>
      </c>
      <c r="Q653" s="126">
        <f>May!DJ334</f>
        <v>5</v>
      </c>
      <c r="R653" s="436"/>
      <c r="S653" s="436"/>
      <c r="T653" s="18"/>
      <c r="U653" s="18"/>
      <c r="V653" s="127">
        <f t="shared" si="42"/>
        <v>26759</v>
      </c>
      <c r="W653" s="45"/>
      <c r="X653" s="67"/>
    </row>
    <row r="654" spans="1:27" ht="15" customHeight="1">
      <c r="A654" s="427"/>
      <c r="B654" s="122" t="s">
        <v>363</v>
      </c>
      <c r="C654" s="180" t="s">
        <v>325</v>
      </c>
      <c r="D654" s="48" t="s">
        <v>328</v>
      </c>
      <c r="E654" s="441"/>
      <c r="F654" s="118" t="s">
        <v>48</v>
      </c>
      <c r="G654" s="226"/>
      <c r="H654" s="126"/>
      <c r="I654" s="126"/>
      <c r="J654" s="2"/>
      <c r="K654" s="18">
        <v>6000</v>
      </c>
      <c r="L654" s="18">
        <v>1</v>
      </c>
      <c r="M654" s="18">
        <v>6000</v>
      </c>
      <c r="N654" s="18">
        <v>1</v>
      </c>
      <c r="O654" s="126">
        <f>May!DK332</f>
        <v>910</v>
      </c>
      <c r="P654" s="126">
        <f>May!DL332</f>
        <v>592</v>
      </c>
      <c r="Q654" s="126">
        <f>May!DJ332</f>
        <v>2</v>
      </c>
      <c r="R654" s="436"/>
      <c r="S654" s="436"/>
      <c r="T654" s="18"/>
      <c r="U654" s="18"/>
      <c r="V654" s="127">
        <f t="shared" si="42"/>
        <v>8059</v>
      </c>
      <c r="W654" s="45"/>
      <c r="X654" s="67"/>
    </row>
    <row r="655" spans="1:27" ht="15" customHeight="1">
      <c r="A655" s="427"/>
      <c r="B655" s="122" t="s">
        <v>253</v>
      </c>
      <c r="C655" s="180" t="s">
        <v>365</v>
      </c>
      <c r="D655" s="48" t="s">
        <v>246</v>
      </c>
      <c r="E655" s="441"/>
      <c r="F655" s="118" t="s">
        <v>247</v>
      </c>
      <c r="G655" s="226"/>
      <c r="H655" s="126"/>
      <c r="I655" s="126"/>
      <c r="J655" s="2"/>
      <c r="K655" s="18"/>
      <c r="L655" s="18"/>
      <c r="M655" s="18"/>
      <c r="N655" s="18"/>
      <c r="O655" s="126"/>
      <c r="P655" s="126">
        <f>May!DL327</f>
        <v>459</v>
      </c>
      <c r="Q655" s="126">
        <f>May!DJ327</f>
        <v>4</v>
      </c>
      <c r="R655" s="436"/>
      <c r="S655" s="436"/>
      <c r="T655" s="18"/>
      <c r="U655" s="18"/>
      <c r="V655" s="127">
        <f t="shared" si="42"/>
        <v>17227</v>
      </c>
      <c r="W655" s="45"/>
      <c r="X655" s="67"/>
    </row>
    <row r="656" spans="1:27" ht="15" customHeight="1">
      <c r="A656" s="427"/>
      <c r="B656" s="122" t="s">
        <v>366</v>
      </c>
      <c r="C656" s="180" t="s">
        <v>367</v>
      </c>
      <c r="D656" s="48" t="s">
        <v>132</v>
      </c>
      <c r="E656" s="441"/>
      <c r="F656" s="118" t="s">
        <v>64</v>
      </c>
      <c r="G656" s="119"/>
      <c r="H656" s="126"/>
      <c r="I656" s="126"/>
      <c r="J656" s="2"/>
      <c r="K656" s="18"/>
      <c r="L656" s="18"/>
      <c r="M656" s="18"/>
      <c r="N656" s="18"/>
      <c r="O656" s="126"/>
      <c r="P656" s="126"/>
      <c r="Q656" s="126"/>
      <c r="R656" s="436"/>
      <c r="S656" s="436"/>
      <c r="T656" s="18">
        <v>950</v>
      </c>
      <c r="U656" s="18"/>
      <c r="V656" s="18">
        <f t="shared" si="42"/>
        <v>0</v>
      </c>
      <c r="W656" s="45"/>
      <c r="X656" s="67"/>
    </row>
    <row r="657" spans="1:25" ht="15" customHeight="1">
      <c r="A657" s="427"/>
      <c r="B657" s="122" t="s">
        <v>101</v>
      </c>
      <c r="C657" s="180" t="s">
        <v>327</v>
      </c>
      <c r="D657" s="48" t="s">
        <v>102</v>
      </c>
      <c r="E657" s="441"/>
      <c r="F657" s="118" t="s">
        <v>64</v>
      </c>
      <c r="G657" s="119"/>
      <c r="H657" s="126"/>
      <c r="I657" s="126"/>
      <c r="J657" s="2"/>
      <c r="K657" s="18"/>
      <c r="L657" s="18"/>
      <c r="M657" s="18">
        <v>14000</v>
      </c>
      <c r="N657" s="18">
        <v>2</v>
      </c>
      <c r="O657" s="126">
        <f>May!DK330</f>
        <v>3108</v>
      </c>
      <c r="P657" s="126">
        <f>May!DL330</f>
        <v>3187</v>
      </c>
      <c r="Q657" s="126">
        <f>May!DJ330</f>
        <v>8</v>
      </c>
      <c r="R657" s="436"/>
      <c r="S657" s="436"/>
      <c r="T657" s="18"/>
      <c r="U657" s="18"/>
      <c r="V657" s="18">
        <f t="shared" si="42"/>
        <v>3476</v>
      </c>
      <c r="W657" s="45"/>
      <c r="X657" s="67"/>
    </row>
    <row r="658" spans="1:25" s="4" customFormat="1" ht="15" customHeight="1">
      <c r="A658" s="427"/>
      <c r="B658" s="122" t="s">
        <v>375</v>
      </c>
      <c r="C658" s="157" t="s">
        <v>376</v>
      </c>
      <c r="D658" s="48" t="s">
        <v>248</v>
      </c>
      <c r="E658" s="441"/>
      <c r="F658" s="48" t="s">
        <v>64</v>
      </c>
      <c r="G658" s="122"/>
      <c r="H658" s="34"/>
      <c r="I658" s="34"/>
      <c r="J658" s="6"/>
      <c r="K658" s="211"/>
      <c r="L658" s="211"/>
      <c r="M658" s="211">
        <v>114300</v>
      </c>
      <c r="N658" s="211">
        <v>28</v>
      </c>
      <c r="O658" s="34"/>
      <c r="P658" s="34">
        <f>May!DL333</f>
        <v>119</v>
      </c>
      <c r="Q658" s="34">
        <f>May!DJ333</f>
        <v>32</v>
      </c>
      <c r="R658" s="436"/>
      <c r="S658" s="436"/>
      <c r="T658" s="211">
        <v>800</v>
      </c>
      <c r="U658" s="211"/>
      <c r="V658" s="211">
        <f t="shared" si="42"/>
        <v>76937</v>
      </c>
      <c r="W658" s="260"/>
      <c r="X658" s="67"/>
    </row>
    <row r="659" spans="1:25" s="4" customFormat="1" ht="15" customHeight="1">
      <c r="A659" s="427"/>
      <c r="B659" s="122" t="s">
        <v>289</v>
      </c>
      <c r="C659" s="180" t="s">
        <v>290</v>
      </c>
      <c r="D659" s="48" t="s">
        <v>75</v>
      </c>
      <c r="E659" s="441"/>
      <c r="F659" s="48" t="s">
        <v>381</v>
      </c>
      <c r="G659" s="122"/>
      <c r="H659" s="34"/>
      <c r="I659" s="34"/>
      <c r="J659" s="6"/>
      <c r="K659" s="211"/>
      <c r="L659" s="211"/>
      <c r="M659" s="211"/>
      <c r="N659" s="211"/>
      <c r="O659" s="34"/>
      <c r="P659" s="34">
        <f>May!DL329</f>
        <v>272</v>
      </c>
      <c r="Q659" s="34">
        <f>May!DJ329</f>
        <v>1</v>
      </c>
      <c r="R659" s="436"/>
      <c r="S659" s="436"/>
      <c r="T659" s="211"/>
      <c r="U659" s="211"/>
      <c r="V659" s="211">
        <f t="shared" si="42"/>
        <v>0</v>
      </c>
      <c r="W659" s="260"/>
      <c r="X659" s="67"/>
    </row>
    <row r="660" spans="1:25" ht="15" customHeight="1">
      <c r="A660" s="427"/>
      <c r="B660" s="122" t="s">
        <v>103</v>
      </c>
      <c r="C660" s="157" t="s">
        <v>197</v>
      </c>
      <c r="D660" s="48" t="s">
        <v>104</v>
      </c>
      <c r="E660" s="441"/>
      <c r="F660" s="118" t="s">
        <v>105</v>
      </c>
      <c r="G660" s="119"/>
      <c r="H660" s="126"/>
      <c r="I660" s="126"/>
      <c r="J660" s="2"/>
      <c r="K660" s="18"/>
      <c r="L660" s="18"/>
      <c r="M660" s="18"/>
      <c r="N660" s="18"/>
      <c r="O660" s="126"/>
      <c r="P660" s="126"/>
      <c r="Q660" s="126">
        <f>May!DJ335</f>
        <v>1</v>
      </c>
      <c r="R660" s="436"/>
      <c r="S660" s="436"/>
      <c r="T660" s="18"/>
      <c r="U660" s="18"/>
      <c r="V660" s="18"/>
      <c r="W660" s="45"/>
      <c r="X660" s="67"/>
    </row>
    <row r="661" spans="1:25" ht="15" customHeight="1">
      <c r="A661" s="427"/>
      <c r="B661" s="137" t="s">
        <v>112</v>
      </c>
      <c r="C661" s="157" t="s">
        <v>197</v>
      </c>
      <c r="D661" s="48" t="s">
        <v>104</v>
      </c>
      <c r="E661" s="441"/>
      <c r="F661" s="118" t="s">
        <v>113</v>
      </c>
      <c r="G661" s="119"/>
      <c r="H661" s="126"/>
      <c r="I661" s="126"/>
      <c r="J661" s="2"/>
      <c r="K661" s="18"/>
      <c r="L661" s="18"/>
      <c r="M661" s="18"/>
      <c r="N661" s="18"/>
      <c r="O661" s="126"/>
      <c r="P661" s="126"/>
      <c r="Q661" s="126">
        <f>May!DJ337</f>
        <v>1</v>
      </c>
      <c r="R661" s="436"/>
      <c r="S661" s="436"/>
      <c r="T661" s="18"/>
      <c r="U661" s="18"/>
      <c r="V661" s="18"/>
      <c r="W661" s="45"/>
      <c r="X661" s="67"/>
    </row>
    <row r="662" spans="1:25" ht="15" customHeight="1" thickBot="1">
      <c r="A662" s="428"/>
      <c r="B662" s="44" t="s">
        <v>107</v>
      </c>
      <c r="C662" s="181" t="s">
        <v>386</v>
      </c>
      <c r="D662" s="61" t="s">
        <v>108</v>
      </c>
      <c r="E662" s="447"/>
      <c r="F662" s="133" t="s">
        <v>48</v>
      </c>
      <c r="G662" s="132"/>
      <c r="H662" s="109"/>
      <c r="I662" s="134"/>
      <c r="J662" s="129"/>
      <c r="K662" s="130"/>
      <c r="L662" s="130"/>
      <c r="M662" s="130">
        <v>13000</v>
      </c>
      <c r="N662" s="130">
        <v>2</v>
      </c>
      <c r="O662" s="134">
        <f>May!DK336</f>
        <v>894</v>
      </c>
      <c r="P662" s="134">
        <f>May!DL336</f>
        <v>366</v>
      </c>
      <c r="Q662" s="134">
        <f>May!DJ336</f>
        <v>2</v>
      </c>
      <c r="R662" s="437"/>
      <c r="S662" s="437"/>
      <c r="T662" s="130"/>
      <c r="U662" s="130"/>
      <c r="V662" s="128">
        <f>O662-T662-U662+V634</f>
        <v>1797</v>
      </c>
      <c r="W662" s="85"/>
      <c r="X662" s="67"/>
    </row>
    <row r="663" spans="1:25" ht="15" customHeight="1">
      <c r="A663" s="426">
        <v>46172</v>
      </c>
      <c r="B663" s="429" t="s">
        <v>44</v>
      </c>
      <c r="C663" s="432" t="s">
        <v>240</v>
      </c>
      <c r="D663" s="19" t="s">
        <v>37</v>
      </c>
      <c r="E663" s="19" t="s">
        <v>25</v>
      </c>
      <c r="F663" s="39" t="s">
        <v>40</v>
      </c>
      <c r="G663" s="41">
        <v>3298.86</v>
      </c>
      <c r="H663" s="32">
        <v>1152</v>
      </c>
      <c r="I663" s="32"/>
      <c r="J663" s="32"/>
      <c r="K663" s="20">
        <v>88000</v>
      </c>
      <c r="L663" s="20">
        <v>11</v>
      </c>
      <c r="M663" s="20">
        <v>72000</v>
      </c>
      <c r="N663" s="84">
        <v>9</v>
      </c>
      <c r="O663" s="32">
        <f>May!DN311</f>
        <v>25991</v>
      </c>
      <c r="P663" s="32">
        <f>May!DO311</f>
        <v>30166</v>
      </c>
      <c r="Q663" s="32">
        <f>May!DM311</f>
        <v>91</v>
      </c>
      <c r="R663" s="435">
        <f>May!DN340</f>
        <v>76562</v>
      </c>
      <c r="S663" s="435">
        <f>May!DO340</f>
        <v>74714</v>
      </c>
      <c r="T663" s="20">
        <v>17723</v>
      </c>
      <c r="U663" s="20">
        <v>14</v>
      </c>
      <c r="V663" s="20">
        <f>O663-T663-U663+V635</f>
        <v>250533</v>
      </c>
      <c r="W663" s="77"/>
      <c r="X663" s="36"/>
    </row>
    <row r="664" spans="1:25" ht="15" customHeight="1">
      <c r="A664" s="427"/>
      <c r="B664" s="431"/>
      <c r="C664" s="434"/>
      <c r="D664" s="113" t="s">
        <v>307</v>
      </c>
      <c r="E664" s="113" t="s">
        <v>24</v>
      </c>
      <c r="F664" s="118" t="s">
        <v>40</v>
      </c>
      <c r="G664" s="170">
        <v>3298.86</v>
      </c>
      <c r="H664" s="135">
        <f>523.7+537.2+1215</f>
        <v>2275.9</v>
      </c>
      <c r="I664" s="125"/>
      <c r="J664" s="125"/>
      <c r="K664" s="127"/>
      <c r="L664" s="127"/>
      <c r="M664" s="216">
        <v>176000</v>
      </c>
      <c r="N664" s="238">
        <v>22</v>
      </c>
      <c r="O664" s="126">
        <f>May!DN313</f>
        <v>33796</v>
      </c>
      <c r="P664" s="125">
        <f>May!DO313</f>
        <v>26153</v>
      </c>
      <c r="Q664" s="125">
        <f>May!DM313</f>
        <v>75</v>
      </c>
      <c r="R664" s="436"/>
      <c r="S664" s="436"/>
      <c r="T664" s="127">
        <v>46645</v>
      </c>
      <c r="U664" s="127"/>
      <c r="V664" s="127">
        <f>O664-T664-U664+V636</f>
        <v>22008</v>
      </c>
      <c r="W664" s="46"/>
      <c r="X664" s="67"/>
    </row>
    <row r="665" spans="1:25" ht="15" customHeight="1">
      <c r="A665" s="427"/>
      <c r="B665" s="442" t="s">
        <v>45</v>
      </c>
      <c r="C665" s="448" t="s">
        <v>59</v>
      </c>
      <c r="D665" s="118" t="s">
        <v>75</v>
      </c>
      <c r="E665" s="438" t="s">
        <v>25</v>
      </c>
      <c r="F665" s="131" t="s">
        <v>57</v>
      </c>
      <c r="G665" s="87"/>
      <c r="H665" s="152"/>
      <c r="I665" s="126"/>
      <c r="J665" s="2"/>
      <c r="K665" s="127"/>
      <c r="L665" s="18"/>
      <c r="M665" s="18">
        <v>20720</v>
      </c>
      <c r="N665" s="80">
        <v>4</v>
      </c>
      <c r="O665" s="126">
        <f>May!DN317</f>
        <v>2200</v>
      </c>
      <c r="P665" s="126">
        <f>May!DO317</f>
        <v>2299</v>
      </c>
      <c r="Q665" s="2">
        <f>May!DM317</f>
        <v>10</v>
      </c>
      <c r="R665" s="436"/>
      <c r="S665" s="436"/>
      <c r="T665" s="18"/>
      <c r="U665" s="18"/>
      <c r="V665" s="127">
        <f>O665-T665-U665+V637</f>
        <v>10350</v>
      </c>
      <c r="W665" s="46"/>
      <c r="Y665" s="13"/>
    </row>
    <row r="666" spans="1:25" ht="15" customHeight="1">
      <c r="A666" s="427"/>
      <c r="B666" s="439"/>
      <c r="C666" s="440"/>
      <c r="D666" s="118" t="s">
        <v>291</v>
      </c>
      <c r="E666" s="430"/>
      <c r="F666" s="131" t="s">
        <v>57</v>
      </c>
      <c r="G666" s="87"/>
      <c r="H666" s="152"/>
      <c r="I666" s="126"/>
      <c r="J666" s="2"/>
      <c r="K666" s="127"/>
      <c r="L666" s="18"/>
      <c r="M666" s="18"/>
      <c r="N666" s="80"/>
      <c r="O666" s="126"/>
      <c r="P666" s="126">
        <f>May!DO318</f>
        <v>474</v>
      </c>
      <c r="Q666" s="2">
        <f>May!DM318</f>
        <v>2</v>
      </c>
      <c r="R666" s="436"/>
      <c r="S666" s="436"/>
      <c r="T666" s="18"/>
      <c r="U666" s="18"/>
      <c r="V666" s="127">
        <f>O666-T666-U666+V638</f>
        <v>5721</v>
      </c>
      <c r="W666" s="46"/>
      <c r="Y666" s="13"/>
    </row>
    <row r="667" spans="1:25" ht="15" customHeight="1">
      <c r="A667" s="427"/>
      <c r="B667" s="439"/>
      <c r="C667" s="440"/>
      <c r="D667" s="118" t="s">
        <v>94</v>
      </c>
      <c r="E667" s="431"/>
      <c r="F667" s="131"/>
      <c r="G667" s="87"/>
      <c r="H667" s="152">
        <v>648</v>
      </c>
      <c r="I667" s="126"/>
      <c r="J667" s="2"/>
      <c r="K667" s="127"/>
      <c r="L667" s="18"/>
      <c r="M667" s="18"/>
      <c r="N667" s="80"/>
      <c r="O667" s="126"/>
      <c r="P667" s="126"/>
      <c r="Q667" s="2"/>
      <c r="R667" s="436"/>
      <c r="S667" s="436"/>
      <c r="T667" s="18"/>
      <c r="U667" s="18"/>
      <c r="V667" s="127"/>
      <c r="W667" s="46"/>
      <c r="Y667" s="13"/>
    </row>
    <row r="668" spans="1:25">
      <c r="A668" s="427"/>
      <c r="B668" s="439"/>
      <c r="C668" s="440"/>
      <c r="D668" s="118" t="s">
        <v>72</v>
      </c>
      <c r="E668" s="155" t="s">
        <v>24</v>
      </c>
      <c r="F668" s="131" t="s">
        <v>57</v>
      </c>
      <c r="G668" s="224"/>
      <c r="H668" s="152"/>
      <c r="I668" s="126"/>
      <c r="J668" s="126"/>
      <c r="K668" s="127"/>
      <c r="L668" s="18"/>
      <c r="M668" s="18">
        <v>40000</v>
      </c>
      <c r="N668" s="80">
        <v>8</v>
      </c>
      <c r="O668" s="126"/>
      <c r="P668" s="126">
        <f>May!DO319</f>
        <v>1930</v>
      </c>
      <c r="Q668" s="126">
        <f>May!DM319</f>
        <v>9</v>
      </c>
      <c r="R668" s="436"/>
      <c r="S668" s="436"/>
      <c r="T668" s="18"/>
      <c r="U668" s="18"/>
      <c r="V668" s="127">
        <f>O668-T668-U668+V639</f>
        <v>3323</v>
      </c>
      <c r="W668" s="46"/>
      <c r="Y668" s="13"/>
    </row>
    <row r="669" spans="1:25" ht="14.25" customHeight="1">
      <c r="A669" s="427"/>
      <c r="B669" s="439"/>
      <c r="C669" s="440"/>
      <c r="D669" s="115" t="s">
        <v>79</v>
      </c>
      <c r="E669" s="155" t="s">
        <v>65</v>
      </c>
      <c r="F669" s="131" t="s">
        <v>57</v>
      </c>
      <c r="G669" s="224"/>
      <c r="H669" s="126"/>
      <c r="I669" s="126"/>
      <c r="J669" s="126"/>
      <c r="K669" s="18"/>
      <c r="L669" s="18"/>
      <c r="M669" s="18"/>
      <c r="N669" s="80"/>
      <c r="O669" s="126"/>
      <c r="P669" s="126">
        <f>May!DO320</f>
        <v>1092</v>
      </c>
      <c r="Q669" s="126">
        <f>May!DM320</f>
        <v>5</v>
      </c>
      <c r="R669" s="436"/>
      <c r="S669" s="436"/>
      <c r="T669" s="18"/>
      <c r="U669" s="18"/>
      <c r="V669" s="127">
        <f>O669-T669-U669+V640</f>
        <v>5438</v>
      </c>
      <c r="W669" s="45"/>
      <c r="X669" s="36"/>
    </row>
    <row r="670" spans="1:25" ht="14.25" customHeight="1">
      <c r="A670" s="427"/>
      <c r="B670" s="439"/>
      <c r="C670" s="448" t="s">
        <v>299</v>
      </c>
      <c r="D670" s="115" t="s">
        <v>296</v>
      </c>
      <c r="E670" s="424" t="s">
        <v>25</v>
      </c>
      <c r="F670" s="131" t="s">
        <v>298</v>
      </c>
      <c r="G670" s="224"/>
      <c r="H670" s="37"/>
      <c r="I670" s="126"/>
      <c r="J670" s="126"/>
      <c r="K670" s="18"/>
      <c r="L670" s="18"/>
      <c r="M670" s="18"/>
      <c r="N670" s="80"/>
      <c r="O670" s="126">
        <f>May!DN321</f>
        <v>1278</v>
      </c>
      <c r="P670" s="126">
        <f>May!DO321</f>
        <v>324</v>
      </c>
      <c r="Q670" s="126">
        <f>May!DM321</f>
        <v>1</v>
      </c>
      <c r="R670" s="436"/>
      <c r="S670" s="436"/>
      <c r="T670" s="18"/>
      <c r="U670" s="18"/>
      <c r="V670" s="127">
        <f>O670-T670-U670+V641</f>
        <v>7326</v>
      </c>
      <c r="W670" s="45"/>
      <c r="X670" s="67"/>
    </row>
    <row r="671" spans="1:25" ht="14.25" customHeight="1">
      <c r="A671" s="427"/>
      <c r="B671" s="443"/>
      <c r="C671" s="449"/>
      <c r="D671" s="115" t="s">
        <v>75</v>
      </c>
      <c r="E671" s="425"/>
      <c r="F671" s="131" t="s">
        <v>298</v>
      </c>
      <c r="G671" s="224"/>
      <c r="H671" s="37"/>
      <c r="I671" s="126"/>
      <c r="J671" s="126"/>
      <c r="K671" s="18">
        <v>5000</v>
      </c>
      <c r="L671" s="18">
        <v>1</v>
      </c>
      <c r="M671" s="18">
        <v>15000</v>
      </c>
      <c r="N671" s="80">
        <v>3</v>
      </c>
      <c r="O671" s="126">
        <f>May!DN322</f>
        <v>746</v>
      </c>
      <c r="P671" s="126">
        <f>May!DO322</f>
        <v>505</v>
      </c>
      <c r="Q671" s="126">
        <f>May!DM322</f>
        <v>3</v>
      </c>
      <c r="R671" s="436"/>
      <c r="S671" s="436"/>
      <c r="T671" s="18"/>
      <c r="U671" s="18"/>
      <c r="V671" s="127">
        <f>O671-T671-U671+V642</f>
        <v>2941</v>
      </c>
      <c r="W671" s="45"/>
      <c r="X671" s="67"/>
    </row>
    <row r="672" spans="1:25" ht="14.25" customHeight="1">
      <c r="A672" s="427"/>
      <c r="B672" s="442" t="s">
        <v>53</v>
      </c>
      <c r="C672" s="444" t="s">
        <v>60</v>
      </c>
      <c r="D672" s="43" t="s">
        <v>130</v>
      </c>
      <c r="E672" s="424" t="s">
        <v>66</v>
      </c>
      <c r="F672" s="118" t="s">
        <v>54</v>
      </c>
      <c r="G672" s="224"/>
      <c r="H672" s="37"/>
      <c r="I672" s="126"/>
      <c r="J672" s="126"/>
      <c r="K672" s="18"/>
      <c r="L672" s="18"/>
      <c r="M672" s="18"/>
      <c r="N672" s="80"/>
      <c r="O672" s="126"/>
      <c r="P672" s="126"/>
      <c r="Q672" s="126"/>
      <c r="R672" s="436"/>
      <c r="S672" s="436"/>
      <c r="T672" s="18"/>
      <c r="U672" s="18"/>
      <c r="V672" s="127"/>
      <c r="W672" s="45"/>
      <c r="X672" s="67"/>
    </row>
    <row r="673" spans="1:24" ht="14.25" customHeight="1">
      <c r="A673" s="427"/>
      <c r="B673" s="439"/>
      <c r="C673" s="445"/>
      <c r="D673" s="43" t="s">
        <v>320</v>
      </c>
      <c r="E673" s="441"/>
      <c r="F673" s="118" t="s">
        <v>54</v>
      </c>
      <c r="G673" s="224"/>
      <c r="H673" s="37"/>
      <c r="I673" s="126"/>
      <c r="J673" s="126"/>
      <c r="K673" s="18"/>
      <c r="L673" s="18"/>
      <c r="M673" s="18">
        <v>12000</v>
      </c>
      <c r="N673" s="80">
        <v>2</v>
      </c>
      <c r="O673" s="126">
        <f>May!DN315</f>
        <v>3270</v>
      </c>
      <c r="P673" s="126">
        <f>May!DO315</f>
        <v>4315</v>
      </c>
      <c r="Q673" s="126">
        <f>May!DM315</f>
        <v>14</v>
      </c>
      <c r="R673" s="436"/>
      <c r="S673" s="436"/>
      <c r="T673" s="18">
        <v>7200</v>
      </c>
      <c r="U673" s="18"/>
      <c r="V673" s="127">
        <f>O673-T673-U673+V644</f>
        <v>3864</v>
      </c>
      <c r="W673" s="45"/>
      <c r="X673" s="67"/>
    </row>
    <row r="674" spans="1:24" ht="14.25" customHeight="1">
      <c r="A674" s="427"/>
      <c r="B674" s="439"/>
      <c r="C674" s="445"/>
      <c r="D674" s="43" t="s">
        <v>387</v>
      </c>
      <c r="E674" s="425"/>
      <c r="F674" s="118" t="s">
        <v>54</v>
      </c>
      <c r="G674" s="229">
        <v>1279.47</v>
      </c>
      <c r="H674" s="182"/>
      <c r="I674" s="125"/>
      <c r="J674" s="125"/>
      <c r="K674" s="127"/>
      <c r="L674" s="127"/>
      <c r="M674" s="127">
        <v>36000</v>
      </c>
      <c r="N674" s="171">
        <v>6</v>
      </c>
      <c r="O674" s="125"/>
      <c r="P674" s="125"/>
      <c r="Q674" s="125"/>
      <c r="R674" s="436"/>
      <c r="S674" s="436"/>
      <c r="T674" s="18"/>
      <c r="U674" s="18"/>
      <c r="V674" s="127"/>
      <c r="W674" s="45"/>
      <c r="X674" s="67"/>
    </row>
    <row r="675" spans="1:24" ht="14.25" customHeight="1">
      <c r="A675" s="427"/>
      <c r="B675" s="443"/>
      <c r="C675" s="446"/>
      <c r="D675" s="43" t="s">
        <v>199</v>
      </c>
      <c r="E675" s="114" t="s">
        <v>25</v>
      </c>
      <c r="F675" s="118" t="s">
        <v>54</v>
      </c>
      <c r="G675" s="224"/>
      <c r="H675" s="135"/>
      <c r="I675" s="158"/>
      <c r="J675" s="158"/>
      <c r="K675" s="128"/>
      <c r="L675" s="128"/>
      <c r="M675" s="128"/>
      <c r="N675" s="164"/>
      <c r="O675" s="158"/>
      <c r="P675" s="158"/>
      <c r="Q675" s="158"/>
      <c r="R675" s="436"/>
      <c r="S675" s="436"/>
      <c r="T675" s="18"/>
      <c r="U675" s="18"/>
      <c r="V675" s="127">
        <f t="shared" ref="V675:V684" si="43">O675-T675-U675+V646</f>
        <v>68</v>
      </c>
      <c r="W675" s="45"/>
      <c r="X675" s="67"/>
    </row>
    <row r="676" spans="1:24" ht="15.75" customHeight="1">
      <c r="A676" s="427"/>
      <c r="B676" s="122" t="s">
        <v>55</v>
      </c>
      <c r="C676" s="180" t="s">
        <v>133</v>
      </c>
      <c r="D676" s="48" t="s">
        <v>56</v>
      </c>
      <c r="E676" s="424" t="s">
        <v>25</v>
      </c>
      <c r="F676" s="118" t="s">
        <v>67</v>
      </c>
      <c r="G676" s="226"/>
      <c r="H676" s="126"/>
      <c r="I676" s="126"/>
      <c r="J676" s="2"/>
      <c r="K676" s="18">
        <v>2800</v>
      </c>
      <c r="L676" s="18">
        <v>1</v>
      </c>
      <c r="M676" s="18"/>
      <c r="N676" s="18"/>
      <c r="O676" s="126"/>
      <c r="P676" s="126">
        <f>May!DO338</f>
        <v>346</v>
      </c>
      <c r="Q676" s="126">
        <f>May!DM338</f>
        <v>1</v>
      </c>
      <c r="R676" s="436"/>
      <c r="S676" s="436"/>
      <c r="T676" s="18"/>
      <c r="U676" s="18"/>
      <c r="V676" s="127">
        <f t="shared" si="43"/>
        <v>3548</v>
      </c>
      <c r="W676" s="45"/>
      <c r="X676" s="67"/>
    </row>
    <row r="677" spans="1:24" ht="15" customHeight="1">
      <c r="A677" s="427"/>
      <c r="B677" s="122" t="s">
        <v>122</v>
      </c>
      <c r="C677" s="180" t="s">
        <v>123</v>
      </c>
      <c r="D677" s="48" t="s">
        <v>56</v>
      </c>
      <c r="E677" s="441"/>
      <c r="F677" s="155" t="s">
        <v>64</v>
      </c>
      <c r="G677" s="119"/>
      <c r="H677" s="126"/>
      <c r="I677" s="126"/>
      <c r="J677" s="2"/>
      <c r="K677" s="18"/>
      <c r="L677" s="18"/>
      <c r="M677" s="18">
        <v>6400</v>
      </c>
      <c r="N677" s="18">
        <v>2</v>
      </c>
      <c r="O677" s="126"/>
      <c r="P677" s="126"/>
      <c r="Q677" s="126"/>
      <c r="R677" s="436"/>
      <c r="S677" s="436"/>
      <c r="T677" s="18"/>
      <c r="U677" s="18"/>
      <c r="V677" s="127">
        <f t="shared" si="43"/>
        <v>18121</v>
      </c>
      <c r="W677" s="45"/>
      <c r="X677" s="67"/>
    </row>
    <row r="678" spans="1:24" ht="14.25" customHeight="1">
      <c r="A678" s="427"/>
      <c r="B678" s="137" t="s">
        <v>58</v>
      </c>
      <c r="C678" s="157" t="s">
        <v>243</v>
      </c>
      <c r="D678" s="48" t="s">
        <v>56</v>
      </c>
      <c r="E678" s="441"/>
      <c r="F678" s="118" t="s">
        <v>64</v>
      </c>
      <c r="G678" s="225"/>
      <c r="H678" s="126"/>
      <c r="I678" s="126"/>
      <c r="J678" s="126"/>
      <c r="K678" s="18"/>
      <c r="L678" s="18"/>
      <c r="M678" s="18"/>
      <c r="N678" s="80"/>
      <c r="O678" s="126"/>
      <c r="P678" s="126"/>
      <c r="Q678" s="126"/>
      <c r="R678" s="436"/>
      <c r="S678" s="436"/>
      <c r="T678" s="18"/>
      <c r="U678" s="18"/>
      <c r="V678" s="127">
        <f t="shared" si="43"/>
        <v>8144</v>
      </c>
      <c r="W678" s="45"/>
      <c r="X678" s="67"/>
    </row>
    <row r="679" spans="1:24" ht="14.25" customHeight="1">
      <c r="A679" s="427"/>
      <c r="B679" s="122" t="s">
        <v>61</v>
      </c>
      <c r="C679" s="180" t="s">
        <v>137</v>
      </c>
      <c r="D679" s="48" t="s">
        <v>56</v>
      </c>
      <c r="E679" s="441"/>
      <c r="F679" s="118" t="s">
        <v>67</v>
      </c>
      <c r="G679" s="225"/>
      <c r="H679" s="126"/>
      <c r="I679" s="126"/>
      <c r="J679" s="126"/>
      <c r="K679" s="18"/>
      <c r="L679" s="18"/>
      <c r="M679" s="18"/>
      <c r="N679" s="80"/>
      <c r="O679" s="126"/>
      <c r="P679" s="126"/>
      <c r="Q679" s="126"/>
      <c r="R679" s="436"/>
      <c r="S679" s="436"/>
      <c r="T679" s="18"/>
      <c r="U679" s="18"/>
      <c r="V679" s="127">
        <f t="shared" si="43"/>
        <v>5844</v>
      </c>
      <c r="W679" s="45"/>
      <c r="X679" s="67"/>
    </row>
    <row r="680" spans="1:24" ht="14.25" customHeight="1">
      <c r="A680" s="427"/>
      <c r="B680" s="122" t="s">
        <v>125</v>
      </c>
      <c r="C680" s="180" t="s">
        <v>88</v>
      </c>
      <c r="D680" s="48" t="s">
        <v>124</v>
      </c>
      <c r="E680" s="441"/>
      <c r="F680" s="118" t="s">
        <v>64</v>
      </c>
      <c r="G680" s="225"/>
      <c r="H680" s="126"/>
      <c r="I680" s="126"/>
      <c r="J680" s="126"/>
      <c r="K680" s="18"/>
      <c r="L680" s="18"/>
      <c r="M680" s="18">
        <v>51200</v>
      </c>
      <c r="N680" s="80">
        <v>7</v>
      </c>
      <c r="O680" s="126"/>
      <c r="P680" s="126"/>
      <c r="Q680" s="126"/>
      <c r="R680" s="436"/>
      <c r="S680" s="436"/>
      <c r="T680" s="18"/>
      <c r="U680" s="18"/>
      <c r="V680" s="127">
        <f t="shared" si="43"/>
        <v>23615</v>
      </c>
      <c r="W680" s="45"/>
      <c r="X680" s="67"/>
    </row>
    <row r="681" spans="1:24" ht="14.25" customHeight="1">
      <c r="A681" s="427"/>
      <c r="B681" s="137" t="s">
        <v>47</v>
      </c>
      <c r="C681" s="157" t="s">
        <v>100</v>
      </c>
      <c r="D681" s="48" t="s">
        <v>99</v>
      </c>
      <c r="E681" s="441"/>
      <c r="F681" s="118" t="s">
        <v>71</v>
      </c>
      <c r="G681" s="225"/>
      <c r="H681" s="126"/>
      <c r="I681" s="126"/>
      <c r="J681" s="126"/>
      <c r="K681" s="18"/>
      <c r="L681" s="18"/>
      <c r="M681" s="18"/>
      <c r="N681" s="80"/>
      <c r="O681" s="126">
        <f>May!DN326</f>
        <v>2670</v>
      </c>
      <c r="P681" s="126">
        <f>May!DO326</f>
        <v>1072</v>
      </c>
      <c r="Q681" s="126">
        <f>May!DM326</f>
        <v>4</v>
      </c>
      <c r="R681" s="436"/>
      <c r="S681" s="436"/>
      <c r="T681" s="18"/>
      <c r="U681" s="18"/>
      <c r="V681" s="127">
        <f t="shared" si="43"/>
        <v>47971</v>
      </c>
      <c r="W681" s="45"/>
      <c r="X681" s="67"/>
    </row>
    <row r="682" spans="1:24" ht="15" customHeight="1">
      <c r="A682" s="427"/>
      <c r="B682" s="122" t="s">
        <v>196</v>
      </c>
      <c r="C682" s="180" t="s">
        <v>63</v>
      </c>
      <c r="D682" s="48" t="s">
        <v>135</v>
      </c>
      <c r="E682" s="441"/>
      <c r="F682" s="118" t="s">
        <v>64</v>
      </c>
      <c r="G682" s="226"/>
      <c r="H682" s="126"/>
      <c r="I682" s="126"/>
      <c r="J682" s="2"/>
      <c r="K682" s="18"/>
      <c r="L682" s="18"/>
      <c r="M682" s="18"/>
      <c r="N682" s="18"/>
      <c r="O682" s="126">
        <f>May!DN334</f>
        <v>900</v>
      </c>
      <c r="P682" s="126">
        <f>May!DO334</f>
        <v>1323</v>
      </c>
      <c r="Q682" s="126">
        <f>May!DM334</f>
        <v>5</v>
      </c>
      <c r="R682" s="436"/>
      <c r="S682" s="436"/>
      <c r="T682" s="18"/>
      <c r="U682" s="18"/>
      <c r="V682" s="127">
        <f t="shared" si="43"/>
        <v>27659</v>
      </c>
      <c r="W682" s="45"/>
      <c r="X682" s="67"/>
    </row>
    <row r="683" spans="1:24" ht="15" customHeight="1">
      <c r="A683" s="427"/>
      <c r="B683" s="122" t="s">
        <v>363</v>
      </c>
      <c r="C683" s="180" t="s">
        <v>325</v>
      </c>
      <c r="D683" s="48" t="s">
        <v>328</v>
      </c>
      <c r="E683" s="441"/>
      <c r="F683" s="118" t="s">
        <v>48</v>
      </c>
      <c r="G683" s="226"/>
      <c r="H683" s="126"/>
      <c r="I683" s="126"/>
      <c r="J683" s="2"/>
      <c r="K683" s="18">
        <v>6000</v>
      </c>
      <c r="L683" s="18">
        <v>1</v>
      </c>
      <c r="M683" s="18"/>
      <c r="N683" s="18"/>
      <c r="O683" s="126">
        <f>May!DN332</f>
        <v>379</v>
      </c>
      <c r="P683" s="126">
        <f>May!DO332</f>
        <v>535</v>
      </c>
      <c r="Q683" s="126">
        <f>May!DM332</f>
        <v>2</v>
      </c>
      <c r="R683" s="436"/>
      <c r="S683" s="436"/>
      <c r="T683" s="18"/>
      <c r="U683" s="18"/>
      <c r="V683" s="127">
        <f t="shared" si="43"/>
        <v>8438</v>
      </c>
      <c r="W683" s="45"/>
      <c r="X683" s="67"/>
    </row>
    <row r="684" spans="1:24" ht="15" customHeight="1">
      <c r="A684" s="427"/>
      <c r="B684" s="122" t="s">
        <v>253</v>
      </c>
      <c r="C684" s="180" t="s">
        <v>365</v>
      </c>
      <c r="D684" s="48" t="s">
        <v>246</v>
      </c>
      <c r="E684" s="441"/>
      <c r="F684" s="118" t="s">
        <v>247</v>
      </c>
      <c r="G684" s="226"/>
      <c r="H684" s="126"/>
      <c r="I684" s="126"/>
      <c r="J684" s="2"/>
      <c r="K684" s="18"/>
      <c r="L684" s="18"/>
      <c r="M684" s="18"/>
      <c r="N684" s="18"/>
      <c r="O684" s="126"/>
      <c r="P684" s="126">
        <f>May!DO327</f>
        <v>291</v>
      </c>
      <c r="Q684" s="126">
        <f>May!DM327</f>
        <v>4</v>
      </c>
      <c r="R684" s="436"/>
      <c r="S684" s="436"/>
      <c r="T684" s="18"/>
      <c r="U684" s="18"/>
      <c r="V684" s="127">
        <f t="shared" si="43"/>
        <v>17227</v>
      </c>
      <c r="W684" s="45"/>
      <c r="X684" s="67"/>
    </row>
    <row r="685" spans="1:24" ht="15" customHeight="1">
      <c r="A685" s="427"/>
      <c r="B685" s="122" t="s">
        <v>366</v>
      </c>
      <c r="C685" s="180" t="s">
        <v>367</v>
      </c>
      <c r="D685" s="48" t="s">
        <v>132</v>
      </c>
      <c r="E685" s="441"/>
      <c r="F685" s="118" t="s">
        <v>64</v>
      </c>
      <c r="G685" s="119"/>
      <c r="H685" s="126"/>
      <c r="I685" s="126"/>
      <c r="J685" s="2"/>
      <c r="K685" s="18"/>
      <c r="L685" s="18"/>
      <c r="M685" s="18"/>
      <c r="N685" s="18"/>
      <c r="O685" s="126"/>
      <c r="P685" s="126"/>
      <c r="Q685" s="126"/>
      <c r="R685" s="436"/>
      <c r="S685" s="436"/>
      <c r="T685" s="18"/>
      <c r="U685" s="18"/>
      <c r="V685" s="18"/>
      <c r="W685" s="45"/>
      <c r="X685" s="67"/>
    </row>
    <row r="686" spans="1:24" ht="15" customHeight="1">
      <c r="A686" s="427"/>
      <c r="B686" s="122" t="s">
        <v>101</v>
      </c>
      <c r="C686" s="180" t="s">
        <v>327</v>
      </c>
      <c r="D686" s="48" t="s">
        <v>102</v>
      </c>
      <c r="E686" s="441"/>
      <c r="F686" s="118" t="s">
        <v>64</v>
      </c>
      <c r="G686" s="119"/>
      <c r="H686" s="126"/>
      <c r="I686" s="126"/>
      <c r="J686" s="2"/>
      <c r="K686" s="18"/>
      <c r="L686" s="18"/>
      <c r="M686" s="18">
        <v>14000</v>
      </c>
      <c r="N686" s="18">
        <v>2</v>
      </c>
      <c r="O686" s="126">
        <f>May!DN330</f>
        <v>4532</v>
      </c>
      <c r="P686" s="126">
        <f>May!DO330</f>
        <v>2864</v>
      </c>
      <c r="Q686" s="126">
        <f>May!DM330</f>
        <v>8</v>
      </c>
      <c r="R686" s="436"/>
      <c r="S686" s="436"/>
      <c r="T686" s="18">
        <v>3104</v>
      </c>
      <c r="U686" s="18">
        <v>4</v>
      </c>
      <c r="V686" s="18">
        <f>O686-T686-U686+V657</f>
        <v>4900</v>
      </c>
      <c r="W686" s="45"/>
      <c r="X686" s="67"/>
    </row>
    <row r="687" spans="1:24" s="4" customFormat="1" ht="15" customHeight="1">
      <c r="A687" s="427"/>
      <c r="B687" s="122" t="s">
        <v>375</v>
      </c>
      <c r="C687" s="157" t="s">
        <v>376</v>
      </c>
      <c r="D687" s="48" t="s">
        <v>248</v>
      </c>
      <c r="E687" s="441"/>
      <c r="F687" s="48" t="s">
        <v>64</v>
      </c>
      <c r="G687" s="122"/>
      <c r="H687" s="34"/>
      <c r="I687" s="34"/>
      <c r="J687" s="6"/>
      <c r="K687" s="211"/>
      <c r="L687" s="211"/>
      <c r="M687" s="211">
        <v>114300</v>
      </c>
      <c r="N687" s="211">
        <v>28</v>
      </c>
      <c r="O687" s="34"/>
      <c r="P687" s="34"/>
      <c r="Q687" s="34">
        <f>May!DM333</f>
        <v>32</v>
      </c>
      <c r="R687" s="436"/>
      <c r="S687" s="436"/>
      <c r="T687" s="211"/>
      <c r="U687" s="211"/>
      <c r="V687" s="211">
        <f>O687-T687-U687+V658</f>
        <v>76937</v>
      </c>
      <c r="W687" s="260"/>
      <c r="X687" s="67"/>
    </row>
    <row r="688" spans="1:24" s="4" customFormat="1" ht="15" customHeight="1">
      <c r="A688" s="427"/>
      <c r="B688" s="122" t="s">
        <v>289</v>
      </c>
      <c r="C688" s="180" t="s">
        <v>290</v>
      </c>
      <c r="D688" s="48" t="s">
        <v>75</v>
      </c>
      <c r="E688" s="441"/>
      <c r="F688" s="48" t="s">
        <v>381</v>
      </c>
      <c r="G688" s="122"/>
      <c r="H688" s="34"/>
      <c r="I688" s="34"/>
      <c r="J688" s="6"/>
      <c r="K688" s="211"/>
      <c r="L688" s="211"/>
      <c r="M688" s="211"/>
      <c r="N688" s="211"/>
      <c r="O688" s="34"/>
      <c r="P688" s="34">
        <f>May!DO329</f>
        <v>259</v>
      </c>
      <c r="Q688" s="34">
        <f>May!DM329</f>
        <v>1</v>
      </c>
      <c r="R688" s="436"/>
      <c r="S688" s="436"/>
      <c r="T688" s="211"/>
      <c r="U688" s="211"/>
      <c r="V688" s="211">
        <f>O688-T688-U688+V659</f>
        <v>0</v>
      </c>
      <c r="W688" s="260"/>
      <c r="X688" s="67"/>
    </row>
    <row r="689" spans="1:24" ht="15" customHeight="1">
      <c r="A689" s="427"/>
      <c r="B689" s="122" t="s">
        <v>103</v>
      </c>
      <c r="C689" s="157" t="s">
        <v>197</v>
      </c>
      <c r="D689" s="48" t="s">
        <v>104</v>
      </c>
      <c r="E689" s="441"/>
      <c r="F689" s="118" t="s">
        <v>105</v>
      </c>
      <c r="G689" s="119"/>
      <c r="H689" s="126"/>
      <c r="I689" s="126"/>
      <c r="J689" s="2"/>
      <c r="K689" s="18"/>
      <c r="L689" s="18"/>
      <c r="M689" s="18"/>
      <c r="N689" s="18"/>
      <c r="O689" s="126"/>
      <c r="P689" s="126"/>
      <c r="Q689" s="126">
        <f>May!DM335</f>
        <v>1</v>
      </c>
      <c r="R689" s="436"/>
      <c r="S689" s="436"/>
      <c r="T689" s="18"/>
      <c r="U689" s="18"/>
      <c r="V689" s="18"/>
      <c r="W689" s="45"/>
      <c r="X689" s="67"/>
    </row>
    <row r="690" spans="1:24" ht="15" customHeight="1">
      <c r="A690" s="427"/>
      <c r="B690" s="137" t="s">
        <v>112</v>
      </c>
      <c r="C690" s="157" t="s">
        <v>197</v>
      </c>
      <c r="D690" s="48" t="s">
        <v>104</v>
      </c>
      <c r="E690" s="441"/>
      <c r="F690" s="118" t="s">
        <v>113</v>
      </c>
      <c r="G690" s="119"/>
      <c r="H690" s="126"/>
      <c r="I690" s="126"/>
      <c r="J690" s="2"/>
      <c r="K690" s="18"/>
      <c r="L690" s="18"/>
      <c r="M690" s="18"/>
      <c r="N690" s="18"/>
      <c r="O690" s="126"/>
      <c r="P690" s="126"/>
      <c r="Q690" s="126">
        <f>May!DM337</f>
        <v>1</v>
      </c>
      <c r="R690" s="436"/>
      <c r="S690" s="436"/>
      <c r="T690" s="18"/>
      <c r="U690" s="18"/>
      <c r="V690" s="18"/>
      <c r="W690" s="45"/>
      <c r="X690" s="67"/>
    </row>
    <row r="691" spans="1:24" ht="15" customHeight="1">
      <c r="A691" s="427"/>
      <c r="B691" s="137" t="s">
        <v>106</v>
      </c>
      <c r="C691" s="157" t="s">
        <v>141</v>
      </c>
      <c r="D691" s="48" t="s">
        <v>68</v>
      </c>
      <c r="E691" s="441"/>
      <c r="F691" s="118" t="s">
        <v>67</v>
      </c>
      <c r="G691" s="119"/>
      <c r="H691" s="126"/>
      <c r="I691" s="126"/>
      <c r="J691" s="2"/>
      <c r="K691" s="18"/>
      <c r="L691" s="18"/>
      <c r="M691" s="18"/>
      <c r="N691" s="18"/>
      <c r="O691" s="126"/>
      <c r="P691" s="126"/>
      <c r="Q691" s="126"/>
      <c r="R691" s="436"/>
      <c r="S691" s="436"/>
      <c r="T691" s="18"/>
      <c r="U691" s="18"/>
      <c r="V691" s="18"/>
      <c r="W691" s="45"/>
      <c r="X691" s="67"/>
    </row>
    <row r="692" spans="1:24" ht="15" customHeight="1" thickBot="1">
      <c r="A692" s="428"/>
      <c r="B692" s="44" t="s">
        <v>107</v>
      </c>
      <c r="C692" s="181" t="s">
        <v>386</v>
      </c>
      <c r="D692" s="61" t="s">
        <v>108</v>
      </c>
      <c r="E692" s="447"/>
      <c r="F692" s="133" t="s">
        <v>48</v>
      </c>
      <c r="G692" s="132"/>
      <c r="H692" s="109"/>
      <c r="I692" s="134"/>
      <c r="J692" s="129"/>
      <c r="K692" s="130"/>
      <c r="L692" s="130"/>
      <c r="M692" s="130">
        <v>13000</v>
      </c>
      <c r="N692" s="130">
        <v>2</v>
      </c>
      <c r="O692" s="134">
        <f>May!DN336</f>
        <v>800</v>
      </c>
      <c r="P692" s="134">
        <f>May!DO336</f>
        <v>766</v>
      </c>
      <c r="Q692" s="134">
        <f>May!DM336</f>
        <v>2</v>
      </c>
      <c r="R692" s="437"/>
      <c r="S692" s="437"/>
      <c r="T692" s="130"/>
      <c r="U692" s="130"/>
      <c r="V692" s="128">
        <f>O692-T692-U692+V662</f>
        <v>2597</v>
      </c>
      <c r="W692" s="85"/>
      <c r="X692" s="67"/>
    </row>
    <row r="693" spans="1:24" ht="17.25" customHeight="1">
      <c r="A693" s="450" t="s">
        <v>360</v>
      </c>
      <c r="B693" s="429" t="s">
        <v>44</v>
      </c>
      <c r="C693" s="432" t="s">
        <v>241</v>
      </c>
      <c r="D693" s="19" t="s">
        <v>37</v>
      </c>
      <c r="E693" s="19" t="s">
        <v>25</v>
      </c>
      <c r="F693" s="39" t="s">
        <v>40</v>
      </c>
      <c r="G693" s="47">
        <f>SUMIF($D$4:$D$692,"SC-1020",$G$4:$G$692)</f>
        <v>55530.80999999999</v>
      </c>
      <c r="H693" s="183">
        <f>SUMIF($D$4:$D$692,"SC-1020",$H$4:$H$692)</f>
        <v>47744</v>
      </c>
      <c r="I693" s="481">
        <f>SUM(I4:I692)</f>
        <v>660</v>
      </c>
      <c r="J693" s="478">
        <f>SUM(J4:J692)</f>
        <v>22.4</v>
      </c>
      <c r="K693" s="30">
        <f>SUMIFS($K$4:$K$692,$D$4:$D$692,"SC-1020",$F$4:$F$692,"65""")</f>
        <v>856000</v>
      </c>
      <c r="L693" s="30">
        <f>SUMIFS($L$4:$L$692,$D$4:$D$692,"SC-1020",$F$4:$F$692,"65""")</f>
        <v>107</v>
      </c>
      <c r="M693" s="30">
        <v>72000</v>
      </c>
      <c r="N693" s="30">
        <v>9</v>
      </c>
      <c r="O693" s="30">
        <f>SUMIFS($O$4:$O$692,$D$4:$D$692,"SC-1020",$F$4:$F$692,"65""")</f>
        <v>684280</v>
      </c>
      <c r="P693" s="30">
        <f>SUMIFS($P$4:$P$692,$D$4:$D$692,"SC-1020",$F$4:$F$692,"65""")</f>
        <v>723002</v>
      </c>
      <c r="Q693" s="30"/>
      <c r="R693" s="453">
        <f>SUM(R4:R692)</f>
        <v>1958606</v>
      </c>
      <c r="S693" s="453">
        <f>SUM(S4:S692)</f>
        <v>1979043</v>
      </c>
      <c r="T693" s="208">
        <f>SUMIFS($T$4:$T$692,$D$4:$D$692,"SC-1020",$F$4:$F$692,"65""")</f>
        <v>612204</v>
      </c>
      <c r="U693" s="194">
        <f>SUMIFS($U$4:$U$692,$D$4:$D$692,"SC-1020",$F$4:$F$692,"65""")</f>
        <v>345</v>
      </c>
      <c r="V693" s="208">
        <f>V663</f>
        <v>250533</v>
      </c>
      <c r="W693" s="19"/>
    </row>
    <row r="694" spans="1:24" ht="17.25" customHeight="1">
      <c r="A694" s="451"/>
      <c r="B694" s="430"/>
      <c r="C694" s="433"/>
      <c r="D694" s="119" t="s">
        <v>128</v>
      </c>
      <c r="E694" s="424" t="s">
        <v>24</v>
      </c>
      <c r="F694" s="118" t="s">
        <v>40</v>
      </c>
      <c r="G694" s="47"/>
      <c r="H694" s="183">
        <f>SUMIF($D$4:$D$692,"011-4",$H$4:$H$692)</f>
        <v>0</v>
      </c>
      <c r="I694" s="482"/>
      <c r="J694" s="479"/>
      <c r="K694" s="12">
        <f>SUMIFS($K$4:$K$692,$D$4:$D$692,"011-4",$F$4:$F$692,"65""")</f>
        <v>0</v>
      </c>
      <c r="L694" s="12">
        <f>SUMIFS($L$4:$L$692,$D$4:$D$692,"011-4",$F$4:$F$692,"65""")</f>
        <v>0</v>
      </c>
      <c r="M694" s="2"/>
      <c r="O694" s="12">
        <f>SUMIFS($O$4:$O$692,$D$4:$D$692,"011-4",$F$4:$F$692,"65""")</f>
        <v>164602</v>
      </c>
      <c r="P694" s="12">
        <f>SUMIFS($P$4:$P$692,$D$4:$D$692,"011-4",$F$4:$F$692,"65""")</f>
        <v>131859</v>
      </c>
      <c r="Q694" s="117"/>
      <c r="R694" s="454"/>
      <c r="S694" s="454"/>
      <c r="T694" s="194">
        <f>SUMIFS($T$4:$T$692,$D$4:$D$692,"011-4",$F$4:$F$692,"65""")</f>
        <v>176634</v>
      </c>
      <c r="U694" s="194">
        <f>SUMIFS($U$4:$U$692,$D$4:$D$692,"011-4",$F$4:$F$692,"65""")</f>
        <v>941</v>
      </c>
      <c r="V694" s="194"/>
      <c r="W694" s="113"/>
    </row>
    <row r="695" spans="1:24" ht="17.25" customHeight="1">
      <c r="A695" s="451"/>
      <c r="B695" s="431"/>
      <c r="C695" s="434"/>
      <c r="D695" s="119" t="s">
        <v>307</v>
      </c>
      <c r="E695" s="425"/>
      <c r="F695" s="118" t="s">
        <v>40</v>
      </c>
      <c r="G695" s="47">
        <f>SUMIF($D$4:$D$692,"011-5",$G$4:$G$692)</f>
        <v>47118.69</v>
      </c>
      <c r="H695" s="218">
        <f>SUMIF($D$4:$D$692,"011-5",$H$4:$H$692)</f>
        <v>43516.1</v>
      </c>
      <c r="I695" s="482"/>
      <c r="J695" s="479"/>
      <c r="K695" s="12">
        <f>SUMIFS($K$4:$K$692,$D$4:$D$692,"011-5",$F$4:$F$692,"65""")</f>
        <v>605600</v>
      </c>
      <c r="L695" s="12">
        <f>SUMIFS($L$4:$L$692,$D$4:$D$692,"011-5",$F$4:$F$692,"65""")</f>
        <v>76</v>
      </c>
      <c r="M695" s="12">
        <v>176000</v>
      </c>
      <c r="N695" s="12">
        <v>22</v>
      </c>
      <c r="O695" s="12">
        <f>SUMIFS($O$4:$O$692,$D$4:$D$692,"011-5",$F$4:$F$692,"65""")</f>
        <v>547828</v>
      </c>
      <c r="P695" s="12">
        <f>SUMIFS($P$4:$P$692,$D$4:$D$692,"011-5",$F$4:$F$692,"65""")</f>
        <v>562592</v>
      </c>
      <c r="Q695" s="117"/>
      <c r="R695" s="454"/>
      <c r="S695" s="454"/>
      <c r="T695" s="194">
        <f>SUMIFS($T$4:$T$692,$D$4:$D$692,"011-5",$F$4:$F$692,"65""")</f>
        <v>538431</v>
      </c>
      <c r="U695" s="194">
        <f>SUMIFS($U$4:$U$692,$D$4:$D$692,"011-5",$F$4:$F$692,"65""")</f>
        <v>298</v>
      </c>
      <c r="V695" s="194">
        <f>V664</f>
        <v>22008</v>
      </c>
      <c r="W695" s="113"/>
    </row>
    <row r="696" spans="1:24" s="4" customFormat="1" ht="17.25" customHeight="1">
      <c r="A696" s="451"/>
      <c r="B696" s="442" t="s">
        <v>45</v>
      </c>
      <c r="C696" s="471" t="s">
        <v>59</v>
      </c>
      <c r="D696" s="48" t="s">
        <v>75</v>
      </c>
      <c r="E696" s="441" t="s">
        <v>25</v>
      </c>
      <c r="F696" s="122" t="s">
        <v>57</v>
      </c>
      <c r="G696" s="196">
        <f>SUMIFS($G$4:$G$692,$D$4:$D$692,"AAZ43",$F$4:$F$692,"66.5""")</f>
        <v>5631.08</v>
      </c>
      <c r="H696" s="183"/>
      <c r="I696" s="482"/>
      <c r="J696" s="479"/>
      <c r="K696" s="183">
        <f>SUMIFS($K$4:$K$692,$D$4:$D$692,"AAZ43",$F$4:$F$692,"66.5""")</f>
        <v>51800</v>
      </c>
      <c r="L696" s="183">
        <f>SUMIFS($L$4:$L$692,$D$4:$D$692,"AAZ43",$F$4:$F$692,"66.5""")</f>
        <v>10</v>
      </c>
      <c r="M696" s="12">
        <v>20720</v>
      </c>
      <c r="N696" s="12">
        <v>4</v>
      </c>
      <c r="O696" s="183">
        <f>SUMIFS($O$4:$O$692,$D$4:$D$692,"AAZ43",$F$4:$F$692,"66.5""")</f>
        <v>20550</v>
      </c>
      <c r="P696" s="183">
        <f>SUMIFS($P$4:$P$692,$D$4:$D$692,"AAZ43",$F$4:$F$692,"66.5""")</f>
        <v>25361</v>
      </c>
      <c r="Q696" s="183"/>
      <c r="R696" s="454"/>
      <c r="S696" s="454"/>
      <c r="T696" s="194">
        <f>SUMIFS($T$4:$T$692,$D$4:$D$692,"AAZ43",$F$4:$F$692,"66.5""")</f>
        <v>50186</v>
      </c>
      <c r="U696" s="194">
        <f>SUMIFS($U$4:$U$692,$D$4:$D$692,"AAZ43",$F$4:$F$692,"66.5""")</f>
        <v>120</v>
      </c>
      <c r="V696" s="183">
        <f>V665</f>
        <v>10350</v>
      </c>
      <c r="W696" s="122"/>
    </row>
    <row r="697" spans="1:24" s="4" customFormat="1" ht="17.25" customHeight="1">
      <c r="A697" s="451"/>
      <c r="B697" s="439"/>
      <c r="C697" s="471"/>
      <c r="D697" s="48" t="s">
        <v>291</v>
      </c>
      <c r="E697" s="441"/>
      <c r="F697" s="122" t="s">
        <v>57</v>
      </c>
      <c r="G697" s="183">
        <f>SUMIFS($G$4:$G$692,$D$4:$D$692,"RD242Z",$F$4:$F$692,"66.5""")</f>
        <v>0</v>
      </c>
      <c r="H697" s="183"/>
      <c r="I697" s="482"/>
      <c r="J697" s="479"/>
      <c r="K697" s="183">
        <f>SUMIFS($K$4:$K$692,$D$4:$D$692,"RD242Z",$F$4:$F$692,"66.5""")</f>
        <v>14700</v>
      </c>
      <c r="L697" s="183">
        <f>SUMIFS($L$4:$L$692,$D$4:$D$692,"RD242Z",$F$4:$F$692,"66.5""")</f>
        <v>3</v>
      </c>
      <c r="M697" s="183"/>
      <c r="N697" s="183"/>
      <c r="O697" s="183">
        <f>SUMIFS($O$4:$O$692,$D$4:$D$692,"RD242Z",$F$4:$F$692,"66.5""")</f>
        <v>59828</v>
      </c>
      <c r="P697" s="183">
        <f>SUMIFS($P$4:$P$692,$D$4:$D$692,"RD242Z",$F$4:$F$692,"66.5""")</f>
        <v>55526</v>
      </c>
      <c r="Q697" s="183"/>
      <c r="R697" s="454"/>
      <c r="S697" s="454"/>
      <c r="T697" s="194">
        <f>SUMIFS($T$4:$T$692,$D$4:$D$692,"RD242Z",$F$4:$F$692,"66.5""")</f>
        <v>74089</v>
      </c>
      <c r="U697" s="194">
        <f>SUMIFS($U$4:$U$692,$D$4:$D$692,"RD242Z",$F$4:$F$692,"66.5""")</f>
        <v>29</v>
      </c>
      <c r="V697" s="183">
        <f>V666</f>
        <v>5721</v>
      </c>
      <c r="W697" s="122"/>
    </row>
    <row r="698" spans="1:24" ht="17.25" customHeight="1">
      <c r="A698" s="451"/>
      <c r="B698" s="439"/>
      <c r="C698" s="471"/>
      <c r="D698" s="48" t="s">
        <v>94</v>
      </c>
      <c r="E698" s="425"/>
      <c r="F698" s="119"/>
      <c r="G698" s="47"/>
      <c r="H698" s="183">
        <f>SUMIF($D$4:$D$692,"AAZ86",$H$4:$H$692)</f>
        <v>11340</v>
      </c>
      <c r="I698" s="482"/>
      <c r="J698" s="479"/>
      <c r="K698" s="12"/>
      <c r="L698" s="12"/>
      <c r="M698" s="12"/>
      <c r="N698" s="12"/>
      <c r="O698" s="12"/>
      <c r="P698" s="12"/>
      <c r="Q698" s="12"/>
      <c r="R698" s="454"/>
      <c r="S698" s="454"/>
      <c r="T698" s="117"/>
      <c r="U698" s="117"/>
      <c r="V698" s="183"/>
      <c r="W698" s="12"/>
    </row>
    <row r="699" spans="1:24" ht="17.25" customHeight="1">
      <c r="A699" s="451"/>
      <c r="B699" s="439"/>
      <c r="C699" s="471"/>
      <c r="D699" s="118" t="s">
        <v>72</v>
      </c>
      <c r="E699" s="424" t="s">
        <v>24</v>
      </c>
      <c r="F699" s="119" t="s">
        <v>57</v>
      </c>
      <c r="G699" s="47">
        <f>SUMIF($D$4:$D$692,"1800A",$G$4:$G$692)</f>
        <v>1941.25</v>
      </c>
      <c r="H699" s="12"/>
      <c r="I699" s="482"/>
      <c r="J699" s="479"/>
      <c r="K699" s="12">
        <f>SUMIFS($K$4:$K$692,$D$4:$D$692,"1800A",$F$4:$F$692,"66.5""")</f>
        <v>35000</v>
      </c>
      <c r="L699" s="12">
        <f>SUMIFS($L$4:$L$692,$D$4:$D$692,"1800A",$F$4:$F$692,"66.5""")</f>
        <v>7</v>
      </c>
      <c r="M699" s="12">
        <v>40000</v>
      </c>
      <c r="N699" s="12">
        <v>8</v>
      </c>
      <c r="O699" s="12">
        <f>SUMIFS($O$4:$O$692,$D$4:$D$692,"1800A",$F$4:$F$692,"66.5""")</f>
        <v>73524</v>
      </c>
      <c r="P699" s="12">
        <f>SUMIFS($P$4:$P$692,$D$4:$D$692,"1800A",$F$4:$F$692,"66.5""")</f>
        <v>65527</v>
      </c>
      <c r="Q699" s="12"/>
      <c r="R699" s="454"/>
      <c r="S699" s="454"/>
      <c r="T699" s="194">
        <f>SUMIFS($T$4:$T$692,$D$4:$D$692,"1800A",$F$4:$F$692,"66.5""")</f>
        <v>75970</v>
      </c>
      <c r="U699" s="194">
        <f>SUMIFS($U$4:$U$692,$D$4:$D$692,"1800A",$F$4:$F$692,"66.5""")</f>
        <v>488</v>
      </c>
      <c r="V699" s="183">
        <f>V668</f>
        <v>3323</v>
      </c>
      <c r="W699" s="119"/>
    </row>
    <row r="700" spans="1:24" ht="17.25" customHeight="1">
      <c r="A700" s="451"/>
      <c r="B700" s="439"/>
      <c r="C700" s="471"/>
      <c r="D700" s="115" t="s">
        <v>73</v>
      </c>
      <c r="E700" s="425"/>
      <c r="F700" s="119"/>
      <c r="G700" s="12"/>
      <c r="H700" s="183">
        <f>SUMIF($D$4:$D$692,"1801D",$H$4:$H$692)</f>
        <v>6666</v>
      </c>
      <c r="I700" s="482"/>
      <c r="J700" s="479"/>
      <c r="K700" s="12"/>
      <c r="L700" s="12"/>
      <c r="M700" s="12"/>
      <c r="N700" s="12"/>
      <c r="O700" s="12"/>
      <c r="P700" s="12"/>
      <c r="Q700" s="12"/>
      <c r="R700" s="454"/>
      <c r="S700" s="454"/>
      <c r="T700" s="194"/>
      <c r="U700" s="194"/>
      <c r="V700" s="183"/>
      <c r="W700" s="119"/>
    </row>
    <row r="701" spans="1:24" s="4" customFormat="1" ht="17.25" customHeight="1">
      <c r="A701" s="451"/>
      <c r="B701" s="439"/>
      <c r="C701" s="471"/>
      <c r="D701" s="43" t="s">
        <v>79</v>
      </c>
      <c r="E701" s="424" t="s">
        <v>65</v>
      </c>
      <c r="F701" s="122" t="s">
        <v>57</v>
      </c>
      <c r="G701" s="196"/>
      <c r="H701" s="183"/>
      <c r="I701" s="482"/>
      <c r="J701" s="479"/>
      <c r="K701" s="183"/>
      <c r="L701" s="183"/>
      <c r="M701" s="183"/>
      <c r="N701" s="183"/>
      <c r="O701" s="183">
        <f>SUMIFS($O$4:$O$692,$D$4:$D$692,"DJ-234",$F$4:$F$692,"66.5""")</f>
        <v>5438</v>
      </c>
      <c r="P701" s="183">
        <f>SUMIFS($P$4:$P$692,$D$4:$D$692,"DJ-234",$F$4:$F$692,"66.5""")</f>
        <v>8597</v>
      </c>
      <c r="Q701" s="183"/>
      <c r="R701" s="454"/>
      <c r="S701" s="454"/>
      <c r="T701" s="194"/>
      <c r="U701" s="194"/>
      <c r="V701" s="183">
        <f>V669</f>
        <v>5438</v>
      </c>
      <c r="W701" s="122"/>
    </row>
    <row r="702" spans="1:24" ht="17.25" customHeight="1">
      <c r="A702" s="451"/>
      <c r="B702" s="439"/>
      <c r="C702" s="471"/>
      <c r="D702" s="115" t="s">
        <v>80</v>
      </c>
      <c r="E702" s="441"/>
      <c r="F702" s="119"/>
      <c r="G702" s="122"/>
      <c r="H702" s="218">
        <f>SUMIF($D$4:$D$692,"DJ-232A",$H$4:$H$692)</f>
        <v>821.40000000000009</v>
      </c>
      <c r="I702" s="482"/>
      <c r="J702" s="479"/>
      <c r="K702" s="12"/>
      <c r="L702" s="12"/>
      <c r="M702" s="12"/>
      <c r="N702" s="12"/>
      <c r="O702" s="12"/>
      <c r="P702" s="12"/>
      <c r="Q702" s="119"/>
      <c r="R702" s="454"/>
      <c r="S702" s="454"/>
      <c r="T702" s="117"/>
      <c r="U702" s="117"/>
      <c r="V702" s="183"/>
      <c r="W702" s="119"/>
    </row>
    <row r="703" spans="1:24" ht="17.25" customHeight="1">
      <c r="A703" s="451"/>
      <c r="B703" s="439"/>
      <c r="C703" s="471"/>
      <c r="D703" s="115" t="s">
        <v>42</v>
      </c>
      <c r="E703" s="424" t="s">
        <v>25</v>
      </c>
      <c r="F703" s="119"/>
      <c r="G703" s="122"/>
      <c r="H703" s="183"/>
      <c r="I703" s="482"/>
      <c r="J703" s="479"/>
      <c r="K703" s="12"/>
      <c r="L703" s="12"/>
      <c r="M703" s="12">
        <v>2743</v>
      </c>
      <c r="N703" s="12">
        <v>1</v>
      </c>
      <c r="O703" s="12"/>
      <c r="P703" s="12"/>
      <c r="Q703" s="119"/>
      <c r="R703" s="454"/>
      <c r="S703" s="454"/>
      <c r="T703" s="117"/>
      <c r="U703" s="117"/>
      <c r="V703" s="183"/>
      <c r="W703" s="119"/>
    </row>
    <row r="704" spans="1:24" ht="21.75" customHeight="1">
      <c r="A704" s="451"/>
      <c r="B704" s="439"/>
      <c r="C704" s="448" t="s">
        <v>300</v>
      </c>
      <c r="D704" s="115" t="s">
        <v>296</v>
      </c>
      <c r="E704" s="425"/>
      <c r="F704" s="119" t="s">
        <v>298</v>
      </c>
      <c r="G704" s="196">
        <f>SUMIFS($G$4:$G$692,$D$4:$D$692,"RD176Z,RD242Z",$F$4:$F$692,"55.5""")</f>
        <v>652.08000000000004</v>
      </c>
      <c r="H704" s="194"/>
      <c r="I704" s="482"/>
      <c r="J704" s="479"/>
      <c r="K704" s="183">
        <f>SUMIFS($K$4:$K$692,$D$4:$D$692,"RD176Z,RD242Z",$F$4:$F$692,"55.5""")</f>
        <v>10000</v>
      </c>
      <c r="L704" s="183">
        <f>SUMIFS($L$4:$L$692,$D$4:$D$692,"RD176Z,RD242Z",$F$4:$F$692,"55.5""")</f>
        <v>2</v>
      </c>
      <c r="M704" s="183"/>
      <c r="N704" s="183"/>
      <c r="O704" s="183">
        <f>SUMIFS($O$4:$O$692,$D$4:$D$692,"RD176Z,RD242Z",$F$4:$F$692,"55.5""")</f>
        <v>10067</v>
      </c>
      <c r="P704" s="183">
        <f>SUMIFS($P$4:$P$692,$D$4:$D$692,"RD176Z,RD242Z",$F$4:$F$692,"55.5""")</f>
        <v>10795</v>
      </c>
      <c r="Q704" s="119"/>
      <c r="R704" s="454"/>
      <c r="S704" s="454"/>
      <c r="T704" s="194">
        <f>SUMIFS($T$4:$T$692,$D$4:$D$692,"RD176Z,RD242Z",$F$4:$F$692,"55.5""")</f>
        <v>2741</v>
      </c>
      <c r="U704" s="117"/>
      <c r="V704" s="183">
        <f>V670</f>
        <v>7326</v>
      </c>
      <c r="W704" s="119"/>
    </row>
    <row r="705" spans="1:30" s="4" customFormat="1" ht="21.75" customHeight="1">
      <c r="A705" s="451"/>
      <c r="B705" s="443"/>
      <c r="C705" s="449"/>
      <c r="D705" s="43" t="s">
        <v>75</v>
      </c>
      <c r="E705" s="89"/>
      <c r="F705" s="122" t="s">
        <v>298</v>
      </c>
      <c r="G705" s="196">
        <f>SUMIFS($G$4:$G$692,$D$4:$D$692,"AAZ43",$F$4:$F$692,"55.5""")</f>
        <v>1956.2400000000002</v>
      </c>
      <c r="H705" s="194"/>
      <c r="I705" s="482"/>
      <c r="J705" s="479"/>
      <c r="K705" s="183">
        <f>SUMIFS($K$4:$K$692,$D$4:$D$692,"AAZ43",$F$4:$F$692,"55.5""")</f>
        <v>15000</v>
      </c>
      <c r="L705" s="183">
        <f>SUMIFS($L$4:$L$692,$D$4:$D$692,"AAZ43",$F$4:$F$692,"55.5""")</f>
        <v>3</v>
      </c>
      <c r="M705" s="183">
        <v>15000</v>
      </c>
      <c r="N705" s="183">
        <v>3</v>
      </c>
      <c r="O705" s="183">
        <f>SUMIFS($O$4:$O$692,$D$4:$D$692,"AAZ43",$F$4:$F$692,"55.5""")</f>
        <v>8626</v>
      </c>
      <c r="P705" s="183">
        <f>SUMIFS($P$4:$P$692,$D$4:$D$692,"AAZ43",$F$4:$F$692,"55.5""")</f>
        <v>9684</v>
      </c>
      <c r="Q705" s="122"/>
      <c r="R705" s="454"/>
      <c r="S705" s="454"/>
      <c r="T705" s="183">
        <f>SUMIFS($T$4:$T$692,$D$4:$D$692,"AAZ43",$F$4:$F$692,"55.5""")</f>
        <v>5685</v>
      </c>
      <c r="U705" s="194"/>
      <c r="V705" s="183">
        <f>V671</f>
        <v>2941</v>
      </c>
      <c r="W705" s="122"/>
    </row>
    <row r="706" spans="1:30" ht="17.25" customHeight="1">
      <c r="A706" s="451"/>
      <c r="B706" s="442" t="s">
        <v>53</v>
      </c>
      <c r="C706" s="444" t="s">
        <v>60</v>
      </c>
      <c r="D706" s="43" t="s">
        <v>130</v>
      </c>
      <c r="E706" s="448" t="s">
        <v>66</v>
      </c>
      <c r="F706" s="118" t="s">
        <v>54</v>
      </c>
      <c r="G706" s="218">
        <f>SUMIF($D$4:$D$692,"RD225Z,DR1074Z",$G$4:$G$692)</f>
        <v>0</v>
      </c>
      <c r="H706" s="268"/>
      <c r="I706" s="482"/>
      <c r="J706" s="479"/>
      <c r="K706" s="12">
        <f>SUMIFS($K$4:$K$692,$D$4:$D$692,"RD225Z,DR1074Z",$F$4:$F$692,"67""")</f>
        <v>30000</v>
      </c>
      <c r="L706" s="12">
        <f>SUMIFS($L$4:$L$692,$D$4:$D$692,"RD225Z,DR1074Z",$F$4:$F$692,"67""")</f>
        <v>5</v>
      </c>
      <c r="M706" s="12"/>
      <c r="N706" s="12"/>
      <c r="O706" s="12">
        <f>SUMIFS($O$4:$O$692,$D$4:$D$692,"RD225Z,DR1074Z",$F$4:$F$692,"67""")</f>
        <v>88823</v>
      </c>
      <c r="P706" s="12">
        <f>SUMIFS($P$4:$P$692,$D$4:$D$692,"RD225Z,DR1074Z",$F$4:$F$692,"67""")</f>
        <v>77371</v>
      </c>
      <c r="Q706" s="12"/>
      <c r="R706" s="454"/>
      <c r="S706" s="454"/>
      <c r="T706" s="117">
        <f>SUMIFS($T$4:$T$692,$D$4:$D$692,"RD225Z,DR1074Z",$F$4:$F$692,"67""")</f>
        <v>102344</v>
      </c>
      <c r="U706" s="194">
        <f>SUMIFS($U$4:$U$692,$D$4:$D$692,"RD225Z,DR1074Z",$F$4:$F$692,"67""")</f>
        <v>7</v>
      </c>
      <c r="V706" s="183">
        <f>V643</f>
        <v>0</v>
      </c>
      <c r="W706" s="119"/>
      <c r="AD706" s="13"/>
    </row>
    <row r="707" spans="1:30" ht="17.25" customHeight="1">
      <c r="A707" s="451"/>
      <c r="B707" s="439"/>
      <c r="C707" s="445"/>
      <c r="D707" s="43" t="s">
        <v>320</v>
      </c>
      <c r="E707" s="440"/>
      <c r="F707" s="118" t="s">
        <v>54</v>
      </c>
      <c r="G707" s="196">
        <f>SUMIF($D$4:$D$692,"RD225Z,DR1177Z",$G$4:$G$692)</f>
        <v>3340.84</v>
      </c>
      <c r="H707" s="268"/>
      <c r="I707" s="482"/>
      <c r="J707" s="479"/>
      <c r="K707" s="12">
        <f>SUMIFS($K$4:$K$692,$D$4:$D$692,"RD225Z,DR1177Z",$F$4:$F$692,"67""")</f>
        <v>101000</v>
      </c>
      <c r="L707" s="12">
        <f>SUMIFS($L$4:$L$692,$D$4:$D$692,"RD225Z,DR1177Z",$F$4:$F$692,"67""")</f>
        <v>17</v>
      </c>
      <c r="M707" s="12">
        <v>12000</v>
      </c>
      <c r="N707" s="12">
        <v>2</v>
      </c>
      <c r="O707" s="12">
        <f>SUMIFS($O$4:$O$692,$D$4:$D$692,"RD225Z,DR1177Z",$F$4:$F$692,"67""")</f>
        <v>47595</v>
      </c>
      <c r="P707" s="12">
        <f>SUMIFS($P$4:$P$692,$D$4:$D$692,"RD225Z,DR1177Z",$F$4:$F$692,"67""")</f>
        <v>55223</v>
      </c>
      <c r="Q707" s="12"/>
      <c r="R707" s="454"/>
      <c r="S707" s="454"/>
      <c r="T707" s="117">
        <f>SUMIFS($T$4:$T$692,$D$4:$D$692,"RD225Z,DR1177Z",$F$4:$F$692,"67""")</f>
        <v>43719</v>
      </c>
      <c r="U707" s="194">
        <f>SUMIFS($U$4:$U$692,$D$4:$D$692,"RD225Z,DR1177Z",$F$4:$F$692,"67""")</f>
        <v>12</v>
      </c>
      <c r="V707" s="191">
        <f>V673</f>
        <v>3864</v>
      </c>
      <c r="W707" s="119"/>
      <c r="AD707" s="13"/>
    </row>
    <row r="708" spans="1:30" ht="17.25" customHeight="1">
      <c r="A708" s="451"/>
      <c r="B708" s="439"/>
      <c r="C708" s="445"/>
      <c r="D708" s="43" t="s">
        <v>387</v>
      </c>
      <c r="E708" s="449"/>
      <c r="F708" s="118" t="s">
        <v>54</v>
      </c>
      <c r="G708" s="196">
        <f>SUMIF($D$4:$D$692,"DJ-6DH48,DR1177Z",$G$4:$G$692)</f>
        <v>2558.94</v>
      </c>
      <c r="H708" s="268"/>
      <c r="I708" s="482"/>
      <c r="J708" s="479"/>
      <c r="K708" s="12"/>
      <c r="L708" s="12"/>
      <c r="M708" s="12">
        <v>36000</v>
      </c>
      <c r="N708" s="12">
        <v>6</v>
      </c>
      <c r="O708" s="12"/>
      <c r="P708" s="12"/>
      <c r="Q708" s="12"/>
      <c r="R708" s="454"/>
      <c r="S708" s="454"/>
      <c r="T708" s="117"/>
      <c r="U708" s="194"/>
      <c r="V708" s="191"/>
      <c r="W708" s="119"/>
      <c r="AD708" s="13"/>
    </row>
    <row r="709" spans="1:30" s="4" customFormat="1" ht="17.25" customHeight="1">
      <c r="A709" s="451"/>
      <c r="B709" s="439"/>
      <c r="C709" s="445"/>
      <c r="D709" s="48" t="s">
        <v>199</v>
      </c>
      <c r="E709" s="43" t="s">
        <v>25</v>
      </c>
      <c r="F709" s="48" t="s">
        <v>54</v>
      </c>
      <c r="G709" s="196">
        <f>SUMIF($D$4:$D$692,"RD225Z",$G$4:$G$692)</f>
        <v>0</v>
      </c>
      <c r="H709" s="268"/>
      <c r="I709" s="482"/>
      <c r="J709" s="479"/>
      <c r="K709" s="183">
        <f>SUMIFS($K$4:$K$692,$D$4:$D$692,"RD225Z",$F$4:$F$692,"67""")</f>
        <v>0</v>
      </c>
      <c r="L709" s="183">
        <f>SUMIFS($L$4:$L$692,$D$4:$D$692,"RD225Z",$F$4:$F$692,"67""")</f>
        <v>0</v>
      </c>
      <c r="M709" s="183"/>
      <c r="N709" s="183"/>
      <c r="O709" s="183">
        <f>SUMIFS($O$4:$O$692,$D$4:$D$692,"RD225Z",$F$4:$F$692,"67""")</f>
        <v>68</v>
      </c>
      <c r="P709" s="183">
        <f>SUMIFS($P$4:$P$692,$D$4:$D$692,"RD225Z",$F$4:$F$692,"67""")</f>
        <v>0</v>
      </c>
      <c r="Q709" s="183"/>
      <c r="R709" s="454"/>
      <c r="S709" s="454"/>
      <c r="T709" s="194">
        <f>SUMIFS($T$4:$T$692,$D$4:$D$692,"RD225Z",$F$4:$F$692,"67""")</f>
        <v>0</v>
      </c>
      <c r="U709" s="194"/>
      <c r="V709" s="191">
        <f>V675</f>
        <v>68</v>
      </c>
      <c r="W709" s="122"/>
      <c r="AD709" s="219"/>
    </row>
    <row r="710" spans="1:30" ht="17.25" customHeight="1">
      <c r="A710" s="451"/>
      <c r="B710" s="439"/>
      <c r="C710" s="445"/>
      <c r="D710" s="48" t="s">
        <v>199</v>
      </c>
      <c r="E710" s="424" t="s">
        <v>25</v>
      </c>
      <c r="F710" s="119"/>
      <c r="G710" s="183"/>
      <c r="H710" s="183">
        <f>SUMIF($D$4:$D$692,"RD225Z",$H$4:$H$692)</f>
        <v>5508</v>
      </c>
      <c r="I710" s="482"/>
      <c r="J710" s="479"/>
      <c r="K710" s="12"/>
      <c r="L710" s="12"/>
      <c r="M710" s="12"/>
      <c r="N710" s="12"/>
      <c r="O710" s="12"/>
      <c r="P710" s="117"/>
      <c r="Q710" s="119"/>
      <c r="R710" s="454"/>
      <c r="S710" s="454"/>
      <c r="T710" s="117"/>
      <c r="U710" s="117"/>
      <c r="V710" s="191"/>
      <c r="W710" s="119"/>
    </row>
    <row r="711" spans="1:30" ht="17.25" customHeight="1">
      <c r="A711" s="451"/>
      <c r="B711" s="439"/>
      <c r="C711" s="445"/>
      <c r="D711" s="48" t="s">
        <v>385</v>
      </c>
      <c r="E711" s="425"/>
      <c r="F711" s="119"/>
      <c r="G711" s="183"/>
      <c r="H711" s="183">
        <f>SUMIFS($H$4:$H$692,$D$4:$D$692,"DJ-6DH48",$E$4:$E$692,"WHITE")</f>
        <v>4172</v>
      </c>
      <c r="I711" s="482"/>
      <c r="J711" s="479"/>
      <c r="K711" s="12"/>
      <c r="L711" s="12"/>
      <c r="M711" s="12"/>
      <c r="N711" s="12"/>
      <c r="O711" s="12"/>
      <c r="P711" s="117"/>
      <c r="Q711" s="119"/>
      <c r="R711" s="454"/>
      <c r="S711" s="454"/>
      <c r="T711" s="117"/>
      <c r="U711" s="117"/>
      <c r="V711" s="191"/>
      <c r="W711" s="119"/>
    </row>
    <row r="712" spans="1:30" ht="17.25" customHeight="1">
      <c r="A712" s="451"/>
      <c r="B712" s="439"/>
      <c r="C712" s="445"/>
      <c r="D712" s="48" t="s">
        <v>96</v>
      </c>
      <c r="E712" s="438" t="s">
        <v>65</v>
      </c>
      <c r="F712" s="119"/>
      <c r="G712" s="196"/>
      <c r="H712" s="183">
        <f>SUMIF($D$4:$D$692,"DR1075Z",$H$4:$H$692)</f>
        <v>0</v>
      </c>
      <c r="I712" s="482"/>
      <c r="J712" s="479"/>
      <c r="K712" s="12"/>
      <c r="L712" s="12"/>
      <c r="M712" s="12"/>
      <c r="N712" s="12"/>
      <c r="O712" s="12"/>
      <c r="P712" s="117"/>
      <c r="Q712" s="119"/>
      <c r="R712" s="454"/>
      <c r="S712" s="454"/>
      <c r="T712" s="117"/>
      <c r="U712" s="117"/>
      <c r="V712" s="191"/>
      <c r="W712" s="119"/>
    </row>
    <row r="713" spans="1:30" ht="15.75" customHeight="1">
      <c r="A713" s="451"/>
      <c r="B713" s="443"/>
      <c r="C713" s="446"/>
      <c r="D713" s="43" t="s">
        <v>324</v>
      </c>
      <c r="E713" s="431"/>
      <c r="F713" s="119"/>
      <c r="G713" s="196"/>
      <c r="H713" s="183">
        <f>SUMIF($D$4:$D$692,"DR1178Z",$H$4:$H$692)</f>
        <v>612</v>
      </c>
      <c r="I713" s="482"/>
      <c r="J713" s="479"/>
      <c r="K713" s="12"/>
      <c r="L713" s="12"/>
      <c r="M713" s="117"/>
      <c r="N713" s="117"/>
      <c r="O713" s="12"/>
      <c r="P713" s="117"/>
      <c r="Q713" s="113"/>
      <c r="R713" s="454"/>
      <c r="S713" s="454"/>
      <c r="T713" s="117"/>
      <c r="U713" s="117"/>
      <c r="V713" s="191"/>
      <c r="W713" s="119"/>
    </row>
    <row r="714" spans="1:30" s="4" customFormat="1" ht="15.75" customHeight="1">
      <c r="A714" s="451"/>
      <c r="B714" s="442" t="s">
        <v>55</v>
      </c>
      <c r="C714" s="444" t="s">
        <v>133</v>
      </c>
      <c r="D714" s="43" t="s">
        <v>56</v>
      </c>
      <c r="E714" s="430" t="s">
        <v>25</v>
      </c>
      <c r="F714" s="48" t="s">
        <v>67</v>
      </c>
      <c r="G714" s="196">
        <f>SUMIFS($G$4:$G$692,$D$4:$D$692,"ACZ07",$F$4:$F$692,"56""",$C$4:$C$692,"P/OX 600D*300D, 64T, 135GR/SQM, recycle 67%")</f>
        <v>346.64</v>
      </c>
      <c r="H714" s="218"/>
      <c r="I714" s="482"/>
      <c r="J714" s="479"/>
      <c r="K714" s="183">
        <f>SUMIFS($K$4:$K$692,$D$4:$D$692,"ACZ07",$F$4:$F$692,"56""",$C$4:$C$692,"P/OX 600D*300D, 64T, 135GR/SQM, recycle 67%")</f>
        <v>5600</v>
      </c>
      <c r="L714" s="183">
        <f>SUMIFS($L$4:$L$692,$D$4:$D$692,"ACZ07",$F$4:$F$692,"56""",$C$4:$C$692,"P/OX 600D*300D, 64T, 135GR/SQM, recycle 67%")</f>
        <v>2</v>
      </c>
      <c r="M714" s="194"/>
      <c r="N714" s="194"/>
      <c r="O714" s="183">
        <f>SUMIFS($O$4:$O$692,$D$4:$D$692,"ACZ07",$F$4:$F$692,"56""",$C$4:$C$692,"P/OX 600D*300D, 64T, 135GR/SQM, recycle 67%")</f>
        <v>3748</v>
      </c>
      <c r="P714" s="183">
        <f>SUMIFS($P$4:$P$692,$D$4:$D$692,"ACZ07",$F$4:$F$692,"56""",$C$4:$C$692,"P/OX 600D*300D, 64T, 135GR/SQM, recycle 67%")</f>
        <v>3961</v>
      </c>
      <c r="Q714" s="194"/>
      <c r="R714" s="454"/>
      <c r="S714" s="454"/>
      <c r="T714" s="183">
        <f>SUMIFS($T$4:$T$692,$D$4:$D$692,"ACZ07",$F$4:$F$692,"56""",$C$4:$C$692,"P/OX 600D*300D, 64T, 135GR/SQM, recycle 67%")</f>
        <v>700</v>
      </c>
      <c r="U714" s="183"/>
      <c r="V714" s="183">
        <f>V676</f>
        <v>3548</v>
      </c>
      <c r="W714" s="6"/>
      <c r="Y714" s="219"/>
    </row>
    <row r="715" spans="1:30" ht="15.75" customHeight="1">
      <c r="A715" s="451"/>
      <c r="B715" s="443"/>
      <c r="C715" s="446"/>
      <c r="D715" s="43" t="s">
        <v>68</v>
      </c>
      <c r="E715" s="430"/>
      <c r="F715" s="48"/>
      <c r="G715" s="47"/>
      <c r="H715" s="183">
        <f>SUMIF($D$4:$D$692,"1T3035ZC-35",$H$4:$H$692)</f>
        <v>324</v>
      </c>
      <c r="I715" s="482"/>
      <c r="J715" s="479"/>
      <c r="K715" s="12"/>
      <c r="L715" s="12"/>
      <c r="M715" s="117"/>
      <c r="N715" s="117"/>
      <c r="O715" s="12"/>
      <c r="P715" s="12"/>
      <c r="Q715" s="117"/>
      <c r="R715" s="454"/>
      <c r="S715" s="454"/>
      <c r="T715" s="117"/>
      <c r="U715" s="117"/>
      <c r="V715" s="183"/>
      <c r="W715" s="2"/>
      <c r="Y715" s="13"/>
      <c r="Z715" s="13"/>
    </row>
    <row r="716" spans="1:30" s="302" customFormat="1" ht="15.75" customHeight="1">
      <c r="A716" s="451"/>
      <c r="B716" s="122" t="s">
        <v>55</v>
      </c>
      <c r="C716" s="180" t="s">
        <v>316</v>
      </c>
      <c r="D716" s="48" t="s">
        <v>317</v>
      </c>
      <c r="E716" s="430"/>
      <c r="F716" s="48" t="s">
        <v>67</v>
      </c>
      <c r="G716" s="218">
        <f>SUMIFS($G$4:$G$692,$D$4:$D$692,"P28V855",$F$4:$F$692,"56""",$C$4:$C$692,"P/OX 600D*300D, 64T, 135GR/SQM, Virgin 100%")</f>
        <v>0</v>
      </c>
      <c r="H716" s="183">
        <f>SUMIF($D$4:$D$692,"P28V855",$H$4:$H$692)</f>
        <v>11</v>
      </c>
      <c r="I716" s="482"/>
      <c r="J716" s="479"/>
      <c r="K716" s="183">
        <f>SUMIFS($K$4:$K$692,$D$4:$D$692,"P28V855",$F$4:$F$692,"56""",$C$4:$C$692,"P/OX 600D*300D, 64T, 135GR/SQM, Virgin 100%")</f>
        <v>0</v>
      </c>
      <c r="L716" s="183">
        <f>SUMIFS($L$4:$L$692,$D$4:$D$692,"P28V855",$F$4:$F$692,"56""",$C$4:$C$692,"P/OX 600D*300D, 64T, 135GR/SQM, Virgin 100%")</f>
        <v>0</v>
      </c>
      <c r="M716" s="194"/>
      <c r="N716" s="194"/>
      <c r="O716" s="183">
        <f>SUMIFS($O$4:$O$692,$D$4:$D$692,"P28V855",$F$4:$F$692,"56""",$C$4:$C$692,"P/OX 600D*300D, 64T, 135GR/SQM, Virgin 100%")</f>
        <v>450</v>
      </c>
      <c r="P716" s="183">
        <f>SUMIFS($P$4:$P$692,$D$4:$D$692,"P28V855",$F$4:$F$692,"56""",$C$4:$C$692,"P/OX 600D*300D, 64T, 135GR/SQM, Virgin 100%")</f>
        <v>450</v>
      </c>
      <c r="Q716" s="194"/>
      <c r="R716" s="454"/>
      <c r="S716" s="454"/>
      <c r="T716" s="183">
        <f>SUMIFS($T$4:$T$692,$D$4:$D$692,"P28V855",$F$4:$F$692,"56""",$C$4:$C$692,"P/OX 600D*300D, 64T, 135GR/SQM, Virgin 100%")</f>
        <v>450</v>
      </c>
      <c r="U716" s="194"/>
      <c r="V716" s="183"/>
      <c r="W716" s="303"/>
      <c r="Y716" s="304"/>
      <c r="Z716" s="304"/>
    </row>
    <row r="717" spans="1:30" s="4" customFormat="1" ht="15.75" customHeight="1">
      <c r="A717" s="451"/>
      <c r="B717" s="442" t="s">
        <v>122</v>
      </c>
      <c r="C717" s="444" t="s">
        <v>123</v>
      </c>
      <c r="D717" s="48" t="s">
        <v>56</v>
      </c>
      <c r="E717" s="430"/>
      <c r="F717" s="48" t="s">
        <v>64</v>
      </c>
      <c r="G717" s="196"/>
      <c r="H717" s="183"/>
      <c r="I717" s="482"/>
      <c r="J717" s="479"/>
      <c r="K717" s="183"/>
      <c r="L717" s="183"/>
      <c r="M717" s="194">
        <v>6400</v>
      </c>
      <c r="N717" s="194">
        <v>2</v>
      </c>
      <c r="O717" s="183"/>
      <c r="P717" s="183"/>
      <c r="Q717" s="194"/>
      <c r="R717" s="454"/>
      <c r="S717" s="454"/>
      <c r="T717" s="183">
        <f>SUMIFS($T$4:$T$692,$D$4:$D$692,"ACZ07",$F$4:$F$692,"60""",$C$4:$C$692,"P/OX 300D* P/SPUN 10'S, Recycle 60""")</f>
        <v>12958</v>
      </c>
      <c r="U717" s="183">
        <f>SUMIFS($U$4:$U$692,$D$4:$D$692,"ACZ07",$F$4:$F$692,"60""",$C$4:$C$692,"P/OX 300D* P/SPUN 10'S, Recycle 60""")</f>
        <v>225</v>
      </c>
      <c r="V717" s="183">
        <f>V677</f>
        <v>18121</v>
      </c>
      <c r="W717" s="6"/>
      <c r="Y717" s="219"/>
    </row>
    <row r="718" spans="1:30" s="4" customFormat="1" ht="15.75" customHeight="1">
      <c r="A718" s="451"/>
      <c r="B718" s="443"/>
      <c r="C718" s="446"/>
      <c r="D718" s="48" t="s">
        <v>129</v>
      </c>
      <c r="E718" s="430"/>
      <c r="F718" s="48"/>
      <c r="G718" s="218"/>
      <c r="H718" s="183"/>
      <c r="I718" s="482"/>
      <c r="J718" s="479"/>
      <c r="K718" s="194"/>
      <c r="L718" s="194"/>
      <c r="M718" s="194"/>
      <c r="N718" s="194"/>
      <c r="O718" s="183"/>
      <c r="P718" s="183"/>
      <c r="Q718" s="194"/>
      <c r="R718" s="454"/>
      <c r="S718" s="454"/>
      <c r="T718" s="194"/>
      <c r="U718" s="194"/>
      <c r="V718" s="183"/>
      <c r="W718" s="6"/>
      <c r="Y718" s="219"/>
    </row>
    <row r="719" spans="1:30" s="4" customFormat="1" ht="15.75" customHeight="1">
      <c r="A719" s="451"/>
      <c r="B719" s="442" t="s">
        <v>58</v>
      </c>
      <c r="C719" s="444" t="s">
        <v>243</v>
      </c>
      <c r="D719" s="48" t="s">
        <v>56</v>
      </c>
      <c r="E719" s="430"/>
      <c r="F719" s="59" t="s">
        <v>64</v>
      </c>
      <c r="G719" s="183"/>
      <c r="H719" s="183"/>
      <c r="I719" s="482"/>
      <c r="J719" s="479"/>
      <c r="K719" s="183"/>
      <c r="L719" s="183"/>
      <c r="M719" s="191"/>
      <c r="N719" s="183"/>
      <c r="O719" s="183"/>
      <c r="P719" s="183"/>
      <c r="Q719" s="183"/>
      <c r="R719" s="454"/>
      <c r="S719" s="454"/>
      <c r="T719" s="183">
        <f>SUMIFS($T$4:$T$692,$D$4:$D$692,"ACZ07",$F$4:$F$692,"60""",$C$4:$C$692,"P/OX 300D* P/SPUN 16'S, Recycle 60""")</f>
        <v>408</v>
      </c>
      <c r="U719" s="183">
        <f>SUMIFS($U$4:$U$692,$D$4:$D$692,"ACZ07",$F$4:$F$692,"60""",$C$4:$C$692,"P/OX 300D* P/SPUN 16'S, Recycle 60""")</f>
        <v>10</v>
      </c>
      <c r="V719" s="191">
        <f>V678</f>
        <v>8144</v>
      </c>
      <c r="W719" s="122"/>
    </row>
    <row r="720" spans="1:30" s="4" customFormat="1" ht="15.75" customHeight="1">
      <c r="A720" s="451"/>
      <c r="B720" s="443"/>
      <c r="C720" s="446"/>
      <c r="D720" s="48" t="s">
        <v>92</v>
      </c>
      <c r="E720" s="430"/>
      <c r="F720" s="59"/>
      <c r="G720" s="191"/>
      <c r="H720" s="196"/>
      <c r="I720" s="482"/>
      <c r="J720" s="479"/>
      <c r="K720" s="218"/>
      <c r="L720" s="218"/>
      <c r="M720" s="191"/>
      <c r="N720" s="183"/>
      <c r="O720" s="183"/>
      <c r="P720" s="183"/>
      <c r="Q720" s="183"/>
      <c r="R720" s="454"/>
      <c r="S720" s="454"/>
      <c r="T720" s="194"/>
      <c r="U720" s="191"/>
      <c r="V720" s="191"/>
      <c r="W720" s="122"/>
    </row>
    <row r="721" spans="1:25" s="4" customFormat="1" ht="15.75" customHeight="1">
      <c r="A721" s="451"/>
      <c r="B721" s="122" t="s">
        <v>61</v>
      </c>
      <c r="C721" s="180" t="s">
        <v>137</v>
      </c>
      <c r="D721" s="48" t="s">
        <v>56</v>
      </c>
      <c r="E721" s="430"/>
      <c r="F721" s="59" t="s">
        <v>67</v>
      </c>
      <c r="G721" s="183"/>
      <c r="H721" s="191"/>
      <c r="I721" s="482"/>
      <c r="J721" s="479"/>
      <c r="K721" s="183"/>
      <c r="L721" s="183"/>
      <c r="M721" s="183"/>
      <c r="N721" s="183"/>
      <c r="O721" s="183"/>
      <c r="P721" s="183"/>
      <c r="Q721" s="183"/>
      <c r="R721" s="454"/>
      <c r="S721" s="454"/>
      <c r="T721" s="183"/>
      <c r="U721" s="183"/>
      <c r="V721" s="191">
        <f>V679</f>
        <v>5844</v>
      </c>
      <c r="W721" s="122"/>
    </row>
    <row r="722" spans="1:25" s="4" customFormat="1" ht="15.75" customHeight="1">
      <c r="A722" s="451"/>
      <c r="B722" s="122" t="s">
        <v>125</v>
      </c>
      <c r="C722" s="180" t="s">
        <v>88</v>
      </c>
      <c r="D722" s="48" t="s">
        <v>124</v>
      </c>
      <c r="E722" s="430"/>
      <c r="F722" s="48" t="s">
        <v>64</v>
      </c>
      <c r="G722" s="218"/>
      <c r="H722" s="183"/>
      <c r="I722" s="482"/>
      <c r="J722" s="479"/>
      <c r="K722" s="183"/>
      <c r="L722" s="183"/>
      <c r="M722" s="194">
        <v>51200</v>
      </c>
      <c r="N722" s="194">
        <v>7</v>
      </c>
      <c r="O722" s="183"/>
      <c r="P722" s="183"/>
      <c r="Q722" s="194"/>
      <c r="R722" s="454"/>
      <c r="S722" s="454"/>
      <c r="T722" s="194"/>
      <c r="U722" s="194"/>
      <c r="V722" s="183">
        <f>V680</f>
        <v>23615</v>
      </c>
      <c r="W722" s="6"/>
      <c r="Y722" s="219"/>
    </row>
    <row r="723" spans="1:25" s="281" customFormat="1" ht="15.75" customHeight="1">
      <c r="A723" s="451"/>
      <c r="B723" s="442" t="s">
        <v>47</v>
      </c>
      <c r="C723" s="472" t="s">
        <v>100</v>
      </c>
      <c r="D723" s="89" t="s">
        <v>99</v>
      </c>
      <c r="E723" s="430"/>
      <c r="F723" s="89" t="s">
        <v>71</v>
      </c>
      <c r="G723" s="196">
        <f>SUMIFS($G$4:$G$692,$B$4:$B$692,"INNER CUSHION",$D$4:$D$692,"RD159Z")</f>
        <v>0</v>
      </c>
      <c r="H723" s="221"/>
      <c r="I723" s="482"/>
      <c r="J723" s="479"/>
      <c r="K723" s="183">
        <f>SUMIFS($K$4:$K$692,$D$4:$D$692,"RD159Z",$F$4:$F$692,"60.5""")</f>
        <v>22800</v>
      </c>
      <c r="L723" s="183">
        <f>SUMIFS($L$4:$L$692,$D$4:$D$692,"RD159Z",$F$4:$F$692,"60.5""")</f>
        <v>4</v>
      </c>
      <c r="M723" s="221"/>
      <c r="N723" s="221"/>
      <c r="O723" s="221">
        <f>SUMIFS($O$4:$O$692,$D$4:$D$692,"RD159Z",$F$4:$F$692,"60.5""")</f>
        <v>44977</v>
      </c>
      <c r="P723" s="221">
        <f>SUMIFS($P$4:$P$692,$D$4:$D$692,"RD159Z",$F$4:$F$692,"60.5""")</f>
        <v>40729</v>
      </c>
      <c r="Q723" s="221"/>
      <c r="R723" s="454"/>
      <c r="S723" s="454"/>
      <c r="T723" s="194">
        <f>SUMIFS($T$4:$T$692,$D$4:$D$692,"RD159Z",$F$4:$F$692,"60.5""")</f>
        <v>0</v>
      </c>
      <c r="U723" s="194">
        <f>SUMIFS($U$4:$U$692,$D$4:$D$692,"RD159Z",$F$4:$F$692,"60.5""")</f>
        <v>0</v>
      </c>
      <c r="V723" s="183">
        <f>V681</f>
        <v>47971</v>
      </c>
      <c r="W723" s="122"/>
    </row>
    <row r="724" spans="1:25" s="4" customFormat="1" ht="15.75" customHeight="1">
      <c r="A724" s="451"/>
      <c r="B724" s="439"/>
      <c r="C724" s="473"/>
      <c r="D724" s="59" t="s">
        <v>121</v>
      </c>
      <c r="E724" s="430"/>
      <c r="F724" s="59"/>
      <c r="G724" s="191"/>
      <c r="H724" s="183">
        <f>SUMIF($D$4:$D$692,"RD152Z",$H$4:$H$692)</f>
        <v>1836</v>
      </c>
      <c r="I724" s="482"/>
      <c r="J724" s="479"/>
      <c r="K724" s="191"/>
      <c r="L724" s="191"/>
      <c r="M724" s="191"/>
      <c r="N724" s="191"/>
      <c r="O724" s="183"/>
      <c r="P724" s="183"/>
      <c r="Q724" s="183"/>
      <c r="R724" s="454"/>
      <c r="S724" s="454"/>
      <c r="T724" s="183"/>
      <c r="U724" s="191"/>
      <c r="V724" s="191"/>
      <c r="W724" s="122"/>
    </row>
    <row r="725" spans="1:25" s="4" customFormat="1" ht="15.75" customHeight="1">
      <c r="A725" s="451"/>
      <c r="B725" s="122" t="s">
        <v>196</v>
      </c>
      <c r="C725" s="180" t="s">
        <v>63</v>
      </c>
      <c r="D725" s="48" t="s">
        <v>135</v>
      </c>
      <c r="E725" s="430"/>
      <c r="F725" s="59" t="s">
        <v>64</v>
      </c>
      <c r="G725" s="183"/>
      <c r="H725" s="218">
        <f>SUMIF($D$4:$D$692,"XB080718",$H$4:$H$692)</f>
        <v>535.5</v>
      </c>
      <c r="I725" s="482"/>
      <c r="J725" s="479"/>
      <c r="K725" s="183">
        <f>SUMIFS($K$4:$K$692,$D$4:$D$692,"XB080718",$F$4:$F$692,"60""")</f>
        <v>33200</v>
      </c>
      <c r="L725" s="183">
        <f>SUMIFS($L$4:$L$692,$D$4:$D$692,"XB080718",$F$4:$F$692,"60""")</f>
        <v>4</v>
      </c>
      <c r="M725" s="191"/>
      <c r="N725" s="183"/>
      <c r="O725" s="183">
        <f>SUMIFS($O$4:$O$692,$D$4:$D$692,"XB080718",$F$4:$F$692,"60""")</f>
        <v>12898</v>
      </c>
      <c r="P725" s="183">
        <f>SUMIFS($P$4:$P$692,$D$4:$D$692,"XB080718",$F$4:$F$692,"60""")</f>
        <v>16621</v>
      </c>
      <c r="Q725" s="183"/>
      <c r="R725" s="454"/>
      <c r="S725" s="454"/>
      <c r="T725" s="183">
        <f>SUMIFS($T$4:$T$692,$D$4:$D$692,"XB080718",$F$4:$F$692,"60""")</f>
        <v>0</v>
      </c>
      <c r="U725" s="191"/>
      <c r="V725" s="191">
        <f>V682</f>
        <v>27659</v>
      </c>
      <c r="W725" s="122"/>
    </row>
    <row r="726" spans="1:25" s="4" customFormat="1" ht="15.75" customHeight="1">
      <c r="A726" s="451"/>
      <c r="B726" s="122" t="s">
        <v>363</v>
      </c>
      <c r="C726" s="180" t="s">
        <v>325</v>
      </c>
      <c r="D726" s="48" t="s">
        <v>328</v>
      </c>
      <c r="E726" s="430"/>
      <c r="F726" s="59" t="s">
        <v>48</v>
      </c>
      <c r="G726" s="47">
        <f>SUMIF($D$4:$D$692,"SC1039",$G$4:$G$692)</f>
        <v>1014.38</v>
      </c>
      <c r="H726" s="183">
        <f>SUMIF($D$4:$D$692,"SC1039",$H$4:$H$692)</f>
        <v>1320</v>
      </c>
      <c r="I726" s="482"/>
      <c r="J726" s="479"/>
      <c r="K726" s="183">
        <f>SUMIFS($K$4:$K$692,$D$4:$D$692,"SC1039",$F$4:$F$692,"61""")</f>
        <v>24000</v>
      </c>
      <c r="L726" s="183">
        <f>SUMIFS($L$4:$L$692,$D$4:$D$692,"SC1039",$F$4:$F$692,"61""")</f>
        <v>4</v>
      </c>
      <c r="M726" s="191"/>
      <c r="N726" s="183"/>
      <c r="O726" s="183">
        <f>SUMIFS($O$4:$O$692,$D$4:$D$692,"SC1039",$F$4:$F$692,"61""")</f>
        <v>11686</v>
      </c>
      <c r="P726" s="183">
        <f>SUMIFS($P$4:$P$692,$D$4:$D$692,"SC1039",$F$4:$F$692,"61""")</f>
        <v>12443</v>
      </c>
      <c r="Q726" s="183"/>
      <c r="R726" s="454"/>
      <c r="S726" s="454"/>
      <c r="T726" s="183">
        <f>SUMIFS($T$4:$T$692,$D$4:$D$692,"SC1039",$F$4:$F$692,"61""")</f>
        <v>3248</v>
      </c>
      <c r="U726" s="191"/>
      <c r="V726" s="191">
        <f>V683</f>
        <v>8438</v>
      </c>
      <c r="W726" s="122"/>
    </row>
    <row r="727" spans="1:25" s="4" customFormat="1" ht="15.75" customHeight="1">
      <c r="A727" s="451"/>
      <c r="B727" s="137" t="s">
        <v>289</v>
      </c>
      <c r="C727" s="157" t="s">
        <v>290</v>
      </c>
      <c r="D727" s="48" t="s">
        <v>291</v>
      </c>
      <c r="E727" s="430"/>
      <c r="F727" s="59" t="s">
        <v>292</v>
      </c>
      <c r="G727" s="218">
        <f>SUMIFS($G$4:$G$692,$D$4:$D$692,"RD242Z",$F$4:$F$692,"82.68""")</f>
        <v>0</v>
      </c>
      <c r="H727" s="218"/>
      <c r="I727" s="482"/>
      <c r="J727" s="479"/>
      <c r="K727" s="183">
        <f>SUMIFS($K$4:$K$692,$D$4:$D$692,"RD242Z",$F$4:$F$692,"82.68""")</f>
        <v>0</v>
      </c>
      <c r="L727" s="183">
        <f>SUMIFS($L$4:$L$692,$D$4:$D$692,"RD242Z",$F$4:$F$692,"82.68""")</f>
        <v>0</v>
      </c>
      <c r="M727" s="191"/>
      <c r="N727" s="183"/>
      <c r="O727" s="183">
        <f>SUMIFS($O$4:$O$692,$D$4:$D$692,"RD242Z",$F$4:$F$692,"82.68""")</f>
        <v>885</v>
      </c>
      <c r="P727" s="183">
        <f>SUMIFS($P$4:$P$692,$D$4:$D$692,"RD242Z",$F$4:$F$692,"82.68""")</f>
        <v>128</v>
      </c>
      <c r="Q727" s="183"/>
      <c r="R727" s="454"/>
      <c r="S727" s="454"/>
      <c r="T727" s="194">
        <f>SUMIFS($T$4:$T$692,$D$4:$D$692,"RD242Z",$F$4:$F$692,"82.68""")</f>
        <v>885</v>
      </c>
      <c r="U727" s="191"/>
      <c r="V727" s="191"/>
      <c r="W727" s="122"/>
    </row>
    <row r="728" spans="1:25" s="4" customFormat="1" ht="15.75" customHeight="1">
      <c r="A728" s="451"/>
      <c r="B728" s="442" t="s">
        <v>289</v>
      </c>
      <c r="C728" s="444" t="s">
        <v>290</v>
      </c>
      <c r="D728" s="48" t="s">
        <v>75</v>
      </c>
      <c r="E728" s="430"/>
      <c r="F728" s="59" t="s">
        <v>381</v>
      </c>
      <c r="G728" s="196">
        <f>SUMIFS($G$4:$G$692,$D$4:$D$692,"AAZ43",$F$4:$F$692,"94.5""")</f>
        <v>167.88</v>
      </c>
      <c r="H728" s="218"/>
      <c r="I728" s="482"/>
      <c r="J728" s="479"/>
      <c r="K728" s="183">
        <f>SUMIFS($K$4:$K$692,$D$4:$D$692,"AAZ43",$F$4:$F$692,"94.5""")</f>
        <v>2000</v>
      </c>
      <c r="L728" s="183">
        <f>SUMIFS($L$4:$L$692,$D$4:$D$692,"AAZ43",$F$4:$F$692,"94.5""")</f>
        <v>1</v>
      </c>
      <c r="M728" s="191"/>
      <c r="N728" s="183"/>
      <c r="O728" s="183">
        <f>SUMIFS($O$4:$O$692,$D$4:$D$692,"AAZ43",$F$4:$F$692,"94.5""")</f>
        <v>1282</v>
      </c>
      <c r="P728" s="183">
        <f>SUMIFS($P$4:$P$692,$D$4:$D$692,"AAZ43",$F$4:$F$692,"94.5""")</f>
        <v>1813</v>
      </c>
      <c r="Q728" s="183"/>
      <c r="R728" s="454"/>
      <c r="S728" s="454"/>
      <c r="T728" s="183">
        <f>SUMIFS($T$4:$T$692,$D$4:$D$692,"AAZ43",$F$4:$F$692,"94.5""")</f>
        <v>1282</v>
      </c>
      <c r="U728" s="191"/>
      <c r="V728" s="191"/>
      <c r="W728" s="122"/>
    </row>
    <row r="729" spans="1:25" s="4" customFormat="1" ht="15.75" customHeight="1">
      <c r="A729" s="451"/>
      <c r="B729" s="439"/>
      <c r="C729" s="445"/>
      <c r="D729" s="48" t="s">
        <v>329</v>
      </c>
      <c r="E729" s="430"/>
      <c r="F729" s="59"/>
      <c r="G729" s="218"/>
      <c r="H729" s="218">
        <f>SUMIF($D$4:$D$692,"RD271Z",$H$4:$H$692)</f>
        <v>91.800000000000011</v>
      </c>
      <c r="I729" s="482"/>
      <c r="J729" s="479"/>
      <c r="K729" s="183"/>
      <c r="L729" s="183"/>
      <c r="M729" s="191"/>
      <c r="N729" s="183"/>
      <c r="O729" s="183"/>
      <c r="P729" s="183"/>
      <c r="Q729" s="183"/>
      <c r="R729" s="454"/>
      <c r="S729" s="454"/>
      <c r="T729" s="194"/>
      <c r="U729" s="191"/>
      <c r="V729" s="191"/>
      <c r="W729" s="122"/>
    </row>
    <row r="730" spans="1:25" s="4" customFormat="1" ht="15.75" customHeight="1">
      <c r="A730" s="451"/>
      <c r="B730" s="443"/>
      <c r="C730" s="446"/>
      <c r="D730" s="48" t="s">
        <v>433</v>
      </c>
      <c r="E730" s="430"/>
      <c r="F730" s="59"/>
      <c r="G730" s="218"/>
      <c r="H730" s="183">
        <f>SUMIF($D$4:$D$692,"RD278Z",$H$4:$H$692)</f>
        <v>153</v>
      </c>
      <c r="I730" s="482"/>
      <c r="J730" s="479"/>
      <c r="K730" s="183"/>
      <c r="L730" s="183"/>
      <c r="M730" s="191"/>
      <c r="N730" s="183"/>
      <c r="O730" s="183"/>
      <c r="P730" s="183"/>
      <c r="Q730" s="183"/>
      <c r="R730" s="454"/>
      <c r="S730" s="454"/>
      <c r="T730" s="194"/>
      <c r="U730" s="191"/>
      <c r="V730" s="191"/>
      <c r="W730" s="122"/>
    </row>
    <row r="731" spans="1:25" s="4" customFormat="1" ht="21" customHeight="1">
      <c r="A731" s="451"/>
      <c r="B731" s="122" t="s">
        <v>253</v>
      </c>
      <c r="C731" s="180" t="s">
        <v>365</v>
      </c>
      <c r="D731" s="48" t="s">
        <v>246</v>
      </c>
      <c r="E731" s="430"/>
      <c r="F731" s="59" t="s">
        <v>247</v>
      </c>
      <c r="G731" s="196">
        <f>SUMIFS($G$4:$G$692,$B$4:$B$692,"샤워 커튼",$D$4:$D$692,"SC-1012",$F$4:$F$692,"76.8""")</f>
        <v>0</v>
      </c>
      <c r="H731" s="196">
        <f>SUMIFS($H$4:$H$692,$B$4:$B$692,"샤워 커튼",$D$4:$D$692,"SC-1012",$F$4:$F$692,"76.8""")</f>
        <v>1189.44</v>
      </c>
      <c r="I731" s="482"/>
      <c r="J731" s="479"/>
      <c r="K731" s="183">
        <f>SUMIFS($K$4:$K$692,$D$4:$D$692,"SC-1012",$F$4:$F$692,"76.8""")</f>
        <v>15500</v>
      </c>
      <c r="L731" s="183">
        <f>SUMIFS($L$4:$L$692,$D$4:$D$692,"SC-1012",$F$4:$F$692,"76.8""")</f>
        <v>2</v>
      </c>
      <c r="M731" s="191"/>
      <c r="N731" s="183"/>
      <c r="O731" s="183">
        <f>SUMIFS($O$4:$O$692,$D$4:$D$692,"SC-1012",$F$4:$F$692,"76.8""")</f>
        <v>17227</v>
      </c>
      <c r="P731" s="183">
        <f>SUMIFS($P$4:$P$692,$D$4:$D$692,"SC-1012",$F$4:$F$692,"76.8""")</f>
        <v>18468</v>
      </c>
      <c r="Q731" s="183"/>
      <c r="R731" s="454"/>
      <c r="S731" s="454"/>
      <c r="T731" s="183">
        <f>SUMIFS($T$4:$T$692,$D$4:$D$692,"SC-1012",$F$4:$F$692,"76.8""")</f>
        <v>0</v>
      </c>
      <c r="U731" s="191"/>
      <c r="V731" s="191">
        <f>V684</f>
        <v>17227</v>
      </c>
      <c r="W731" s="122"/>
    </row>
    <row r="732" spans="1:25" s="139" customFormat="1" ht="15.75" customHeight="1">
      <c r="A732" s="451"/>
      <c r="B732" s="295" t="s">
        <v>366</v>
      </c>
      <c r="C732" s="296" t="s">
        <v>367</v>
      </c>
      <c r="D732" s="297" t="s">
        <v>132</v>
      </c>
      <c r="E732" s="430"/>
      <c r="F732" s="298" t="s">
        <v>64</v>
      </c>
      <c r="G732" s="299">
        <f>SUMIFS($G$4:$G$692,$D$4:$D$692,"M5101413",$F$4:$F$692,"60""")</f>
        <v>771.9</v>
      </c>
      <c r="H732" s="300">
        <f>SUMIFS($H$4:$H$692,$D$4:$D$692,"M5101413",$F$4:$F$692,"60""")</f>
        <v>693</v>
      </c>
      <c r="I732" s="482"/>
      <c r="J732" s="479"/>
      <c r="K732" s="300">
        <f>SUMIFS($K$4:$K$692,$D$4:$D$692,"M5101413",$F$4:$F$692,"60""")</f>
        <v>9000</v>
      </c>
      <c r="L732" s="300">
        <f>SUMIFS($L$4:$L$692,$D$4:$D$692,"M5101413",$F$4:$F$692,"60""")</f>
        <v>2</v>
      </c>
      <c r="M732" s="300"/>
      <c r="N732" s="300"/>
      <c r="O732" s="300">
        <f>SUMIFS($O$4:$O$692,$D$4:$D$692,"M5101413",$F$4:$F$692,"60""")</f>
        <v>8712</v>
      </c>
      <c r="P732" s="300">
        <f>SUMIFS($P$4:$P$692,$D$4:$D$692,"M5101413",$F$4:$F$692,"60""")</f>
        <v>8712</v>
      </c>
      <c r="Q732" s="300"/>
      <c r="R732" s="454"/>
      <c r="S732" s="454"/>
      <c r="T732" s="300">
        <f>SUMIFS($T$4:$T$692,$D$4:$D$692,"M5101413",$F$4:$F$692,"60""")</f>
        <v>8604</v>
      </c>
      <c r="U732" s="300">
        <f>SUMIFS($U$4:$U$692,$D$4:$D$692,"M5101413",$F$4:$F$692,"60""")</f>
        <v>108</v>
      </c>
      <c r="V732" s="301">
        <f>V685</f>
        <v>0</v>
      </c>
      <c r="W732" s="295"/>
    </row>
    <row r="733" spans="1:25" s="4" customFormat="1" ht="17.25" customHeight="1">
      <c r="A733" s="451"/>
      <c r="B733" s="122" t="s">
        <v>101</v>
      </c>
      <c r="C733" s="180" t="s">
        <v>327</v>
      </c>
      <c r="D733" s="48" t="s">
        <v>102</v>
      </c>
      <c r="E733" s="430"/>
      <c r="F733" s="48" t="s">
        <v>64</v>
      </c>
      <c r="G733" s="196">
        <f>SUMIFS($G$4:$G$692,$D$4:$D$692,"XB061218",$F$4:$F$692,"60""")</f>
        <v>4629.3</v>
      </c>
      <c r="H733" s="183">
        <f>SUMIF($D$4:$D$692,"XB061218",$H$4:$H$692)</f>
        <v>2941</v>
      </c>
      <c r="I733" s="482"/>
      <c r="J733" s="479"/>
      <c r="K733" s="183">
        <f>SUMIFS($K$4:$K$692,$D$4:$D$692,"XB061218",$F$4:$F$692,"60""")</f>
        <v>83000</v>
      </c>
      <c r="L733" s="183">
        <f>SUMIFS($L$4:$L$692,$D$4:$D$692,"XB061218",$F$4:$F$692,"60""")</f>
        <v>12</v>
      </c>
      <c r="M733" s="183">
        <v>14000</v>
      </c>
      <c r="N733" s="183">
        <v>2</v>
      </c>
      <c r="O733" s="183">
        <f>SUMIFS($O$4:$O$692,$D$4:$D$692,"XB061218",$F$4:$F$692,"60""")</f>
        <v>49764</v>
      </c>
      <c r="P733" s="183">
        <f>SUMIFS($P$4:$P$692,$D$4:$D$692,"XB061218",$F$4:$F$692,"60""")</f>
        <v>52129</v>
      </c>
      <c r="Q733" s="183"/>
      <c r="R733" s="454"/>
      <c r="S733" s="454"/>
      <c r="T733" s="183">
        <f>SUMIFS($T$4:$T$692,$D$4:$D$692,"XB061218",$F$4:$F$692,"60""")</f>
        <v>44746</v>
      </c>
      <c r="U733" s="183">
        <f>SUMIFS($U$4:$U$692,$D$4:$D$692,"XB061218",$F$4:$F$692,"60""")</f>
        <v>118</v>
      </c>
      <c r="V733" s="183">
        <f>V686</f>
        <v>4900</v>
      </c>
      <c r="W733" s="122"/>
      <c r="Y733" s="219"/>
    </row>
    <row r="734" spans="1:25" s="4" customFormat="1" ht="17.25" customHeight="1">
      <c r="A734" s="451"/>
      <c r="B734" s="122" t="s">
        <v>375</v>
      </c>
      <c r="C734" s="157" t="s">
        <v>376</v>
      </c>
      <c r="D734" s="48" t="s">
        <v>248</v>
      </c>
      <c r="E734" s="430"/>
      <c r="F734" s="59" t="s">
        <v>64</v>
      </c>
      <c r="G734" s="196">
        <f>SUMIFS($G$4:$G$692,$B$4:$B$692,"TGT 400D",$D$4:$D$692,"H20123")</f>
        <v>26847.359999999997</v>
      </c>
      <c r="H734" s="183">
        <f>SUMIFS($H$4:$H$692,$B$4:$B$692,"TGT 400D",$D$4:$D$692,"H20123")</f>
        <v>13260</v>
      </c>
      <c r="I734" s="482"/>
      <c r="J734" s="479"/>
      <c r="K734" s="183">
        <f>SUMIFS($K$4:$K$692,$B$4:$B$692,"TGT 400D",$D$4:$D$692,"H20123")</f>
        <v>133550</v>
      </c>
      <c r="L734" s="183">
        <f>SUMIFS($L$4:$L$692,$B$4:$B$692,"TGT 400D",$D$4:$D$692,"H20123")</f>
        <v>33</v>
      </c>
      <c r="M734" s="191">
        <v>114300</v>
      </c>
      <c r="N734" s="191">
        <v>28</v>
      </c>
      <c r="O734" s="183">
        <f>SUMIFS($O$4:$O$692,$B$4:$B$692,"TGT 400D",$D$4:$D$692,"H20123")</f>
        <v>92651</v>
      </c>
      <c r="P734" s="183">
        <f>SUMIFS($P$4:$P$692,$B$4:$B$692,"TGT 400D",$D$4:$D$692,"H20123")</f>
        <v>94773</v>
      </c>
      <c r="Q734" s="183"/>
      <c r="R734" s="454"/>
      <c r="S734" s="454"/>
      <c r="T734" s="183">
        <f>SUMIFS($T$4:$T$692,$B$4:$B$692,"TGT 400D",$D$4:$D$692,"H20123")</f>
        <v>15714</v>
      </c>
      <c r="U734" s="191"/>
      <c r="V734" s="191">
        <f>V687</f>
        <v>76937</v>
      </c>
      <c r="W734" s="122"/>
      <c r="Y734" s="219"/>
    </row>
    <row r="735" spans="1:25" ht="17.25" customHeight="1">
      <c r="A735" s="451"/>
      <c r="B735" s="122" t="s">
        <v>103</v>
      </c>
      <c r="C735" s="157" t="s">
        <v>197</v>
      </c>
      <c r="D735" s="48" t="s">
        <v>104</v>
      </c>
      <c r="E735" s="430"/>
      <c r="F735" s="59" t="s">
        <v>105</v>
      </c>
      <c r="G735" s="116"/>
      <c r="H735" s="49"/>
      <c r="I735" s="482"/>
      <c r="J735" s="479"/>
      <c r="K735" s="12"/>
      <c r="L735" s="12"/>
      <c r="M735" s="116"/>
      <c r="N735" s="116"/>
      <c r="O735" s="183"/>
      <c r="P735" s="183"/>
      <c r="Q735" s="12"/>
      <c r="R735" s="454"/>
      <c r="S735" s="454"/>
      <c r="T735" s="12"/>
      <c r="U735" s="116"/>
      <c r="V735" s="191"/>
      <c r="W735" s="119"/>
    </row>
    <row r="736" spans="1:25" ht="17.25" customHeight="1">
      <c r="A736" s="451"/>
      <c r="B736" s="137" t="s">
        <v>112</v>
      </c>
      <c r="C736" s="157" t="s">
        <v>197</v>
      </c>
      <c r="D736" s="48" t="s">
        <v>104</v>
      </c>
      <c r="E736" s="430"/>
      <c r="F736" s="59" t="s">
        <v>113</v>
      </c>
      <c r="G736" s="116"/>
      <c r="H736" s="184"/>
      <c r="I736" s="482"/>
      <c r="J736" s="479"/>
      <c r="K736" s="12"/>
      <c r="L736" s="12"/>
      <c r="M736" s="116"/>
      <c r="N736" s="116"/>
      <c r="O736" s="183"/>
      <c r="P736" s="183"/>
      <c r="Q736" s="12"/>
      <c r="R736" s="454"/>
      <c r="S736" s="454"/>
      <c r="T736" s="12"/>
      <c r="U736" s="116"/>
      <c r="V736" s="191"/>
      <c r="W736" s="131"/>
    </row>
    <row r="737" spans="1:25" s="4" customFormat="1" ht="17.25" customHeight="1">
      <c r="A737" s="451"/>
      <c r="B737" s="442" t="s">
        <v>106</v>
      </c>
      <c r="C737" s="444" t="s">
        <v>141</v>
      </c>
      <c r="D737" s="48" t="s">
        <v>68</v>
      </c>
      <c r="E737" s="430"/>
      <c r="F737" s="59" t="s">
        <v>67</v>
      </c>
      <c r="G737" s="47"/>
      <c r="H737" s="193"/>
      <c r="I737" s="482"/>
      <c r="J737" s="479"/>
      <c r="K737" s="183"/>
      <c r="L737" s="183"/>
      <c r="M737" s="191"/>
      <c r="N737" s="191"/>
      <c r="O737" s="183">
        <f>SUMIFS($O$4:$O$692,$D$4:$D$692,"1T3035ZC-35",$F$4:$F$692,"56""")</f>
        <v>0</v>
      </c>
      <c r="P737" s="183">
        <f>SUMIFS($P$4:$P$692,$D$4:$D$692,"1T3035ZC-35",$F$4:$F$692,"56""")</f>
        <v>0</v>
      </c>
      <c r="Q737" s="183"/>
      <c r="R737" s="454"/>
      <c r="S737" s="454"/>
      <c r="T737" s="183">
        <f>SUMIFS($T$4:$T$692,$D$4:$D$692,"1T3035ZC-35",$F$4:$F$692,"56""")</f>
        <v>0</v>
      </c>
      <c r="U737" s="191"/>
      <c r="V737" s="191"/>
      <c r="W737" s="137"/>
    </row>
    <row r="738" spans="1:25" ht="17.25" customHeight="1">
      <c r="A738" s="451"/>
      <c r="B738" s="443"/>
      <c r="C738" s="446"/>
      <c r="D738" s="59" t="s">
        <v>109</v>
      </c>
      <c r="E738" s="430"/>
      <c r="F738" s="59"/>
      <c r="G738" s="116"/>
      <c r="H738" s="183">
        <f>SUMIF($D$4:$D$692,"1T2587ZC-46",$H$4:$H$692)</f>
        <v>0</v>
      </c>
      <c r="I738" s="482"/>
      <c r="J738" s="479"/>
      <c r="K738" s="116"/>
      <c r="L738" s="116"/>
      <c r="M738" s="116"/>
      <c r="N738" s="116"/>
      <c r="O738" s="12"/>
      <c r="P738" s="12"/>
      <c r="Q738" s="12"/>
      <c r="R738" s="454"/>
      <c r="S738" s="454"/>
      <c r="T738" s="116"/>
      <c r="U738" s="116"/>
      <c r="V738" s="116"/>
      <c r="W738" s="131"/>
    </row>
    <row r="739" spans="1:25" ht="18" customHeight="1" thickBot="1">
      <c r="A739" s="451"/>
      <c r="B739" s="122" t="s">
        <v>107</v>
      </c>
      <c r="C739" s="180" t="s">
        <v>195</v>
      </c>
      <c r="D739" s="48" t="s">
        <v>108</v>
      </c>
      <c r="E739" s="430"/>
      <c r="F739" s="48" t="s">
        <v>48</v>
      </c>
      <c r="G739" s="196">
        <f>SUMIFS($G$4:$G$692,$D$4:$D$692,"M5102014",$F$4:$F$692,"61""")</f>
        <v>1930.92</v>
      </c>
      <c r="H739" s="300">
        <f>SUMIFS($H$4:$H$692,$D$4:$D$692,"M5102014",$F$4:$F$692,"61""")</f>
        <v>504</v>
      </c>
      <c r="I739" s="483"/>
      <c r="J739" s="480"/>
      <c r="K739" s="300">
        <f>SUMIFS($K$4:$K$692,$D$4:$D$692,"M5102014",$F$4:$F$692,"61""")</f>
        <v>13000</v>
      </c>
      <c r="L739" s="300">
        <f>SUMIFS($L$4:$L$692,$D$4:$D$692,"M5102014",$F$4:$F$692,"61""")</f>
        <v>2</v>
      </c>
      <c r="M739" s="12">
        <v>13000</v>
      </c>
      <c r="N739" s="12">
        <v>2</v>
      </c>
      <c r="O739" s="183">
        <f>SUMIFS($O$4:$O$692,$D$4:$D$692,"M5102014",$F$4:$F$692,"61""")</f>
        <v>3097</v>
      </c>
      <c r="P739" s="183">
        <f>SUMIFS($P$4:$P$692,$D$4:$D$692,"M5102014",$F$4:$F$692,"61""")</f>
        <v>3279</v>
      </c>
      <c r="Q739" s="117"/>
      <c r="R739" s="454"/>
      <c r="S739" s="454"/>
      <c r="T739" s="183">
        <f>SUMIFS($T$4:$T$692,$D$4:$D$692,"M5102014",$F$4:$F$692,"61""")</f>
        <v>500</v>
      </c>
      <c r="U739" s="12"/>
      <c r="V739" s="12">
        <f>V692</f>
        <v>2597</v>
      </c>
      <c r="W739" s="119"/>
    </row>
    <row r="740" spans="1:25" s="247" customFormat="1" ht="17.25" customHeight="1" thickBot="1">
      <c r="A740" s="242" t="s">
        <v>5</v>
      </c>
      <c r="B740" s="243"/>
      <c r="C740" s="244"/>
      <c r="D740" s="243"/>
      <c r="E740" s="243"/>
      <c r="F740" s="243"/>
      <c r="G740" s="245">
        <f t="shared" ref="G740:P740" si="44">SUM(G693:G739)</f>
        <v>154438.31000000003</v>
      </c>
      <c r="H740" s="245">
        <f t="shared" si="44"/>
        <v>143238.24</v>
      </c>
      <c r="I740" s="246">
        <f t="shared" si="44"/>
        <v>660</v>
      </c>
      <c r="J740" s="308">
        <f t="shared" si="44"/>
        <v>22.4</v>
      </c>
      <c r="K740" s="246">
        <f t="shared" si="44"/>
        <v>2060750</v>
      </c>
      <c r="L740" s="246">
        <f t="shared" si="44"/>
        <v>296</v>
      </c>
      <c r="M740" s="246">
        <f t="shared" si="44"/>
        <v>573363</v>
      </c>
      <c r="N740" s="246">
        <f t="shared" si="44"/>
        <v>96</v>
      </c>
      <c r="O740" s="246">
        <f t="shared" si="44"/>
        <v>1958606</v>
      </c>
      <c r="P740" s="310">
        <f t="shared" si="44"/>
        <v>1979043</v>
      </c>
      <c r="Q740" s="310"/>
      <c r="R740" s="310">
        <f>SUM(R693:R739)</f>
        <v>1958606</v>
      </c>
      <c r="S740" s="310">
        <f>SUM(S693:S739)</f>
        <v>1979043</v>
      </c>
      <c r="T740" s="246">
        <f>SUM(T693:T739)</f>
        <v>1771498</v>
      </c>
      <c r="U740" s="246">
        <f>SUM(U693:U739)</f>
        <v>2701</v>
      </c>
      <c r="V740" s="246">
        <f>SUM(V693:V739)</f>
        <v>556573</v>
      </c>
      <c r="W740" s="243"/>
      <c r="Y740" s="248"/>
    </row>
    <row r="741" spans="1:25">
      <c r="G741" s="103"/>
      <c r="P741" s="29"/>
      <c r="Q741" s="13"/>
    </row>
    <row r="742" spans="1:25">
      <c r="G742" s="195"/>
      <c r="K742" s="13"/>
      <c r="L742" s="13"/>
      <c r="M742" s="13"/>
      <c r="N742" s="13"/>
      <c r="Q742" s="13"/>
    </row>
    <row r="743" spans="1:25">
      <c r="G743" s="197"/>
      <c r="H743" s="103"/>
      <c r="K743" s="13"/>
      <c r="L743" s="13"/>
      <c r="M743" s="13"/>
      <c r="N743" s="13"/>
      <c r="Q743" s="13"/>
      <c r="W743" s="13"/>
    </row>
    <row r="744" spans="1:25" ht="15.75">
      <c r="B744" s="241"/>
      <c r="G744" s="103"/>
      <c r="H744" s="103"/>
      <c r="K744" s="13"/>
      <c r="L744" s="13"/>
      <c r="M744" s="13"/>
      <c r="N744" s="13"/>
      <c r="Q744" s="13"/>
    </row>
    <row r="745" spans="1:25">
      <c r="K745" s="13"/>
      <c r="L745" s="13"/>
      <c r="M745" s="13"/>
      <c r="N745" s="13"/>
      <c r="Q745" s="13"/>
      <c r="W745" s="13"/>
    </row>
    <row r="746" spans="1:25">
      <c r="K746" s="13"/>
      <c r="L746" s="13"/>
      <c r="M746" s="13"/>
      <c r="N746" s="13"/>
      <c r="Q746" s="13"/>
    </row>
    <row r="747" spans="1:25">
      <c r="H747" s="103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</row>
    <row r="749" spans="1:25">
      <c r="X749" s="4"/>
    </row>
    <row r="754" spans="1:24" s="4" customFormat="1">
      <c r="A754" s="15"/>
      <c r="B754" s="1"/>
      <c r="C754" s="7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3"/>
      <c r="P754" s="13"/>
      <c r="Q754" s="1"/>
      <c r="R754" s="13"/>
      <c r="S754" s="13"/>
      <c r="T754" s="13"/>
      <c r="U754" s="13"/>
      <c r="V754" s="13"/>
      <c r="W754" s="1"/>
      <c r="X754" s="1"/>
    </row>
    <row r="758" spans="1:24">
      <c r="H758" s="103"/>
    </row>
  </sheetData>
  <mergeCells count="427">
    <mergeCell ref="C630:C631"/>
    <mergeCell ref="B630:B631"/>
    <mergeCell ref="C728:C730"/>
    <mergeCell ref="B728:B730"/>
    <mergeCell ref="R693:R739"/>
    <mergeCell ref="B696:B705"/>
    <mergeCell ref="A693:A739"/>
    <mergeCell ref="B693:B695"/>
    <mergeCell ref="C693:C695"/>
    <mergeCell ref="E703:E704"/>
    <mergeCell ref="E710:E711"/>
    <mergeCell ref="C704:C705"/>
    <mergeCell ref="E694:E695"/>
    <mergeCell ref="E712:E713"/>
    <mergeCell ref="E714:E739"/>
    <mergeCell ref="B706:B713"/>
    <mergeCell ref="A663:A692"/>
    <mergeCell ref="A635:A662"/>
    <mergeCell ref="B635:B636"/>
    <mergeCell ref="C635:C636"/>
    <mergeCell ref="R635:R662"/>
    <mergeCell ref="B579:B584"/>
    <mergeCell ref="C579:C582"/>
    <mergeCell ref="E579:E580"/>
    <mergeCell ref="C583:C584"/>
    <mergeCell ref="E583:E584"/>
    <mergeCell ref="B585:B587"/>
    <mergeCell ref="C585:C587"/>
    <mergeCell ref="E585:E586"/>
    <mergeCell ref="E588:E604"/>
    <mergeCell ref="A547:A576"/>
    <mergeCell ref="B547:B548"/>
    <mergeCell ref="C547:C548"/>
    <mergeCell ref="R547:R576"/>
    <mergeCell ref="C706:C713"/>
    <mergeCell ref="C696:C703"/>
    <mergeCell ref="C723:C724"/>
    <mergeCell ref="B737:B738"/>
    <mergeCell ref="C737:C738"/>
    <mergeCell ref="B714:B715"/>
    <mergeCell ref="B719:B720"/>
    <mergeCell ref="C719:C720"/>
    <mergeCell ref="B723:B724"/>
    <mergeCell ref="C714:C715"/>
    <mergeCell ref="B717:B718"/>
    <mergeCell ref="C717:C718"/>
    <mergeCell ref="E607:E608"/>
    <mergeCell ref="R663:R692"/>
    <mergeCell ref="I693:I739"/>
    <mergeCell ref="J693:J739"/>
    <mergeCell ref="C665:C669"/>
    <mergeCell ref="E706:E708"/>
    <mergeCell ref="A577:A604"/>
    <mergeCell ref="C670:C671"/>
    <mergeCell ref="S547:S576"/>
    <mergeCell ref="B549:B555"/>
    <mergeCell ref="C549:C553"/>
    <mergeCell ref="E549:E550"/>
    <mergeCell ref="E551:E552"/>
    <mergeCell ref="C554:C555"/>
    <mergeCell ref="E554:E555"/>
    <mergeCell ref="E556:E557"/>
    <mergeCell ref="E560:E576"/>
    <mergeCell ref="C556:C559"/>
    <mergeCell ref="B556:B559"/>
    <mergeCell ref="C572:C573"/>
    <mergeCell ref="B572:B573"/>
    <mergeCell ref="S663:S692"/>
    <mergeCell ref="S693:S739"/>
    <mergeCell ref="B577:B578"/>
    <mergeCell ref="C577:C578"/>
    <mergeCell ref="R577:R604"/>
    <mergeCell ref="S577:S604"/>
    <mergeCell ref="R458:R488"/>
    <mergeCell ref="S458:S488"/>
    <mergeCell ref="E459:E460"/>
    <mergeCell ref="B461:B468"/>
    <mergeCell ref="E461:E462"/>
    <mergeCell ref="E463:E464"/>
    <mergeCell ref="C467:C468"/>
    <mergeCell ref="E467:E468"/>
    <mergeCell ref="B469:B471"/>
    <mergeCell ref="C469:C471"/>
    <mergeCell ref="E469:E470"/>
    <mergeCell ref="E472:E488"/>
    <mergeCell ref="C461:C466"/>
    <mergeCell ref="E465:E466"/>
    <mergeCell ref="C484:C485"/>
    <mergeCell ref="B484:B485"/>
    <mergeCell ref="R489:R516"/>
    <mergeCell ref="S489:S516"/>
    <mergeCell ref="S307:S337"/>
    <mergeCell ref="E308:E309"/>
    <mergeCell ref="C314:C315"/>
    <mergeCell ref="E441:E457"/>
    <mergeCell ref="C441:C442"/>
    <mergeCell ref="B441:B442"/>
    <mergeCell ref="A458:A488"/>
    <mergeCell ref="B458:B460"/>
    <mergeCell ref="C458:C460"/>
    <mergeCell ref="A429:A457"/>
    <mergeCell ref="B429:B431"/>
    <mergeCell ref="C429:C431"/>
    <mergeCell ref="R368:R397"/>
    <mergeCell ref="S368:S397"/>
    <mergeCell ref="E369:E370"/>
    <mergeCell ref="B371:B377"/>
    <mergeCell ref="C371:C375"/>
    <mergeCell ref="C376:C377"/>
    <mergeCell ref="E376:E377"/>
    <mergeCell ref="B378:B380"/>
    <mergeCell ref="C378:C380"/>
    <mergeCell ref="E378:E379"/>
    <mergeCell ref="E381:E397"/>
    <mergeCell ref="R307:R337"/>
    <mergeCell ref="R194:R221"/>
    <mergeCell ref="E178:E193"/>
    <mergeCell ref="R138:R164"/>
    <mergeCell ref="R58:R82"/>
    <mergeCell ref="B175:B177"/>
    <mergeCell ref="C175:C177"/>
    <mergeCell ref="S279:S306"/>
    <mergeCell ref="E288:E289"/>
    <mergeCell ref="E291:E306"/>
    <mergeCell ref="J279:J306"/>
    <mergeCell ref="E280:E281"/>
    <mergeCell ref="E282:E283"/>
    <mergeCell ref="E286:E287"/>
    <mergeCell ref="S165:S193"/>
    <mergeCell ref="S250:S278"/>
    <mergeCell ref="E232:E233"/>
    <mergeCell ref="E235:E249"/>
    <mergeCell ref="E225:E227"/>
    <mergeCell ref="R165:R193"/>
    <mergeCell ref="S194:S221"/>
    <mergeCell ref="E195:E196"/>
    <mergeCell ref="C197:C200"/>
    <mergeCell ref="E197:E198"/>
    <mergeCell ref="C201:C202"/>
    <mergeCell ref="S138:S164"/>
    <mergeCell ref="C147:C149"/>
    <mergeCell ref="E147:E148"/>
    <mergeCell ref="E150:E164"/>
    <mergeCell ref="E141:E142"/>
    <mergeCell ref="E143:E144"/>
    <mergeCell ref="A32:A57"/>
    <mergeCell ref="A58:A82"/>
    <mergeCell ref="A110:A137"/>
    <mergeCell ref="B110:B112"/>
    <mergeCell ref="C110:C112"/>
    <mergeCell ref="R110:R137"/>
    <mergeCell ref="B83:B85"/>
    <mergeCell ref="C83:C85"/>
    <mergeCell ref="R83:R109"/>
    <mergeCell ref="A83:A109"/>
    <mergeCell ref="C91:C94"/>
    <mergeCell ref="E59:E60"/>
    <mergeCell ref="B61:B65"/>
    <mergeCell ref="S32:S57"/>
    <mergeCell ref="E33:E34"/>
    <mergeCell ref="B35:B39"/>
    <mergeCell ref="C35:C38"/>
    <mergeCell ref="E35:E36"/>
    <mergeCell ref="B40:B42"/>
    <mergeCell ref="C40:C42"/>
    <mergeCell ref="E40:E41"/>
    <mergeCell ref="E43:E57"/>
    <mergeCell ref="R32:R57"/>
    <mergeCell ref="S58:S82"/>
    <mergeCell ref="E61:E62"/>
    <mergeCell ref="B66:B68"/>
    <mergeCell ref="C66:C68"/>
    <mergeCell ref="E66:E67"/>
    <mergeCell ref="E69:E82"/>
    <mergeCell ref="C58:C60"/>
    <mergeCell ref="C61:C64"/>
    <mergeCell ref="B91:B94"/>
    <mergeCell ref="E93:E94"/>
    <mergeCell ref="S83:S109"/>
    <mergeCell ref="E84:E85"/>
    <mergeCell ref="C86:C89"/>
    <mergeCell ref="E86:E87"/>
    <mergeCell ref="E95:E109"/>
    <mergeCell ref="S110:S137"/>
    <mergeCell ref="E111:E112"/>
    <mergeCell ref="C113:C117"/>
    <mergeCell ref="B119:B121"/>
    <mergeCell ref="C119:C121"/>
    <mergeCell ref="E119:E120"/>
    <mergeCell ref="E122:E137"/>
    <mergeCell ref="C128:C129"/>
    <mergeCell ref="B128:B129"/>
    <mergeCell ref="E113:E115"/>
    <mergeCell ref="B86:B90"/>
    <mergeCell ref="B113:B118"/>
    <mergeCell ref="E91:E92"/>
    <mergeCell ref="C316:C319"/>
    <mergeCell ref="B316:B319"/>
    <mergeCell ref="B333:B334"/>
    <mergeCell ref="C333:C334"/>
    <mergeCell ref="C222:C224"/>
    <mergeCell ref="B368:B370"/>
    <mergeCell ref="C368:C370"/>
    <mergeCell ref="C173:C174"/>
    <mergeCell ref="E166:E167"/>
    <mergeCell ref="E347:E348"/>
    <mergeCell ref="E351:E367"/>
    <mergeCell ref="E253:E254"/>
    <mergeCell ref="C257:C258"/>
    <mergeCell ref="B197:B202"/>
    <mergeCell ref="B203:B206"/>
    <mergeCell ref="E5:E6"/>
    <mergeCell ref="L2:L3"/>
    <mergeCell ref="E676:E692"/>
    <mergeCell ref="E10:E11"/>
    <mergeCell ref="B663:B664"/>
    <mergeCell ref="C663:C664"/>
    <mergeCell ref="B7:B13"/>
    <mergeCell ref="C7:C12"/>
    <mergeCell ref="B14:B16"/>
    <mergeCell ref="C14:C16"/>
    <mergeCell ref="E14:E15"/>
    <mergeCell ref="B32:B34"/>
    <mergeCell ref="C32:C34"/>
    <mergeCell ref="B672:B675"/>
    <mergeCell ref="B58:B60"/>
    <mergeCell ref="B138:B140"/>
    <mergeCell ref="B665:B671"/>
    <mergeCell ref="E2:E3"/>
    <mergeCell ref="E17:E31"/>
    <mergeCell ref="C2:C3"/>
    <mergeCell ref="D2:D3"/>
    <mergeCell ref="E314:E315"/>
    <mergeCell ref="E316:E317"/>
    <mergeCell ref="E320:E337"/>
    <mergeCell ref="W2:W3"/>
    <mergeCell ref="A4:A31"/>
    <mergeCell ref="R4:R31"/>
    <mergeCell ref="S4:S31"/>
    <mergeCell ref="M2:M3"/>
    <mergeCell ref="N2:N3"/>
    <mergeCell ref="O2:O3"/>
    <mergeCell ref="P2:P3"/>
    <mergeCell ref="Q2:Q3"/>
    <mergeCell ref="R2:S2"/>
    <mergeCell ref="G2:G3"/>
    <mergeCell ref="H2:H3"/>
    <mergeCell ref="I2:I3"/>
    <mergeCell ref="J2:J3"/>
    <mergeCell ref="K2:K3"/>
    <mergeCell ref="E7:E9"/>
    <mergeCell ref="A2:A3"/>
    <mergeCell ref="B2:B3"/>
    <mergeCell ref="V2:V3"/>
    <mergeCell ref="T2:T3"/>
    <mergeCell ref="U2:U3"/>
    <mergeCell ref="F2:F3"/>
    <mergeCell ref="B4:B6"/>
    <mergeCell ref="C4:C6"/>
    <mergeCell ref="R250:R278"/>
    <mergeCell ref="C268:C269"/>
    <mergeCell ref="B268:B269"/>
    <mergeCell ref="B253:B258"/>
    <mergeCell ref="A165:A193"/>
    <mergeCell ref="B165:B167"/>
    <mergeCell ref="C165:C167"/>
    <mergeCell ref="A138:A164"/>
    <mergeCell ref="R279:R306"/>
    <mergeCell ref="R222:R249"/>
    <mergeCell ref="A194:A221"/>
    <mergeCell ref="B194:B196"/>
    <mergeCell ref="E175:E176"/>
    <mergeCell ref="A222:A249"/>
    <mergeCell ref="B147:B149"/>
    <mergeCell ref="C253:C256"/>
    <mergeCell ref="C288:C290"/>
    <mergeCell ref="B282:B287"/>
    <mergeCell ref="C282:C285"/>
    <mergeCell ref="C286:C287"/>
    <mergeCell ref="B288:B290"/>
    <mergeCell ref="C194:C196"/>
    <mergeCell ref="B168:B174"/>
    <mergeCell ref="C168:C172"/>
    <mergeCell ref="A250:A278"/>
    <mergeCell ref="B250:B252"/>
    <mergeCell ref="C250:C252"/>
    <mergeCell ref="C138:C140"/>
    <mergeCell ref="E168:E170"/>
    <mergeCell ref="E173:E174"/>
    <mergeCell ref="C141:C145"/>
    <mergeCell ref="E139:E140"/>
    <mergeCell ref="B141:B146"/>
    <mergeCell ref="E201:E202"/>
    <mergeCell ref="E203:E204"/>
    <mergeCell ref="E207:E221"/>
    <mergeCell ref="C203:C206"/>
    <mergeCell ref="E205:E206"/>
    <mergeCell ref="E371:E373"/>
    <mergeCell ref="B222:B224"/>
    <mergeCell ref="A279:A306"/>
    <mergeCell ref="B279:B281"/>
    <mergeCell ref="C279:C281"/>
    <mergeCell ref="E257:E258"/>
    <mergeCell ref="B259:B261"/>
    <mergeCell ref="C259:C261"/>
    <mergeCell ref="E259:E260"/>
    <mergeCell ref="E262:E278"/>
    <mergeCell ref="A338:A367"/>
    <mergeCell ref="B338:B340"/>
    <mergeCell ref="C338:C340"/>
    <mergeCell ref="A307:A337"/>
    <mergeCell ref="B307:B309"/>
    <mergeCell ref="C307:C309"/>
    <mergeCell ref="B310:B315"/>
    <mergeCell ref="C310:C313"/>
    <mergeCell ref="E310:E311"/>
    <mergeCell ref="E251:E252"/>
    <mergeCell ref="A368:A397"/>
    <mergeCell ref="C347:C350"/>
    <mergeCell ref="B347:B350"/>
    <mergeCell ref="E349:E350"/>
    <mergeCell ref="S222:S249"/>
    <mergeCell ref="E223:E224"/>
    <mergeCell ref="B225:B231"/>
    <mergeCell ref="C225:C229"/>
    <mergeCell ref="C230:C231"/>
    <mergeCell ref="E230:E231"/>
    <mergeCell ref="B232:B234"/>
    <mergeCell ref="C232:C234"/>
    <mergeCell ref="E701:E702"/>
    <mergeCell ref="E670:E671"/>
    <mergeCell ref="E696:E698"/>
    <mergeCell ref="E699:E700"/>
    <mergeCell ref="C672:C675"/>
    <mergeCell ref="E672:E674"/>
    <mergeCell ref="E665:E667"/>
    <mergeCell ref="I368:I397"/>
    <mergeCell ref="R338:R367"/>
    <mergeCell ref="S338:S367"/>
    <mergeCell ref="E339:E340"/>
    <mergeCell ref="B341:B346"/>
    <mergeCell ref="C341:C344"/>
    <mergeCell ref="E341:E342"/>
    <mergeCell ref="C345:C346"/>
    <mergeCell ref="E345:E346"/>
    <mergeCell ref="C498:C500"/>
    <mergeCell ref="E498:E499"/>
    <mergeCell ref="A398:A428"/>
    <mergeCell ref="B398:B400"/>
    <mergeCell ref="C398:C400"/>
    <mergeCell ref="R398:R428"/>
    <mergeCell ref="S398:S428"/>
    <mergeCell ref="E399:E400"/>
    <mergeCell ref="B401:B407"/>
    <mergeCell ref="C401:C405"/>
    <mergeCell ref="C406:C407"/>
    <mergeCell ref="E406:E407"/>
    <mergeCell ref="B408:B410"/>
    <mergeCell ref="C408:C410"/>
    <mergeCell ref="E408:E409"/>
    <mergeCell ref="E411:E428"/>
    <mergeCell ref="E401:E403"/>
    <mergeCell ref="C417:C418"/>
    <mergeCell ref="B417:B418"/>
    <mergeCell ref="C436:C437"/>
    <mergeCell ref="E436:E437"/>
    <mergeCell ref="B438:B440"/>
    <mergeCell ref="C438:C440"/>
    <mergeCell ref="E438:E439"/>
    <mergeCell ref="R429:R457"/>
    <mergeCell ref="S429:S457"/>
    <mergeCell ref="E430:E431"/>
    <mergeCell ref="B432:B437"/>
    <mergeCell ref="C432:C435"/>
    <mergeCell ref="E432:E433"/>
    <mergeCell ref="A517:A546"/>
    <mergeCell ref="B517:B518"/>
    <mergeCell ref="C517:C518"/>
    <mergeCell ref="R517:R546"/>
    <mergeCell ref="S517:S546"/>
    <mergeCell ref="B519:B527"/>
    <mergeCell ref="E522:E523"/>
    <mergeCell ref="C526:C527"/>
    <mergeCell ref="E526:E527"/>
    <mergeCell ref="B528:B530"/>
    <mergeCell ref="C528:C530"/>
    <mergeCell ref="E528:E529"/>
    <mergeCell ref="E531:E546"/>
    <mergeCell ref="E519:E521"/>
    <mergeCell ref="C519:C525"/>
    <mergeCell ref="A489:A516"/>
    <mergeCell ref="B489:B490"/>
    <mergeCell ref="B491:B497"/>
    <mergeCell ref="C489:C490"/>
    <mergeCell ref="A605:A634"/>
    <mergeCell ref="B605:B606"/>
    <mergeCell ref="C605:C606"/>
    <mergeCell ref="R605:R634"/>
    <mergeCell ref="S605:S634"/>
    <mergeCell ref="B607:B613"/>
    <mergeCell ref="C607:C611"/>
    <mergeCell ref="E609:E610"/>
    <mergeCell ref="C612:C613"/>
    <mergeCell ref="E612:E613"/>
    <mergeCell ref="B614:B616"/>
    <mergeCell ref="C614:C616"/>
    <mergeCell ref="E614:E615"/>
    <mergeCell ref="E617:E634"/>
    <mergeCell ref="C617:C618"/>
    <mergeCell ref="B617:B618"/>
    <mergeCell ref="E501:E516"/>
    <mergeCell ref="C491:C495"/>
    <mergeCell ref="E491:E492"/>
    <mergeCell ref="E493:E494"/>
    <mergeCell ref="C496:C497"/>
    <mergeCell ref="E496:E497"/>
    <mergeCell ref="B498:B500"/>
    <mergeCell ref="S635:S662"/>
    <mergeCell ref="B637:B642"/>
    <mergeCell ref="C637:C640"/>
    <mergeCell ref="E637:E638"/>
    <mergeCell ref="C641:C642"/>
    <mergeCell ref="E641:E642"/>
    <mergeCell ref="B643:B646"/>
    <mergeCell ref="C643:C646"/>
    <mergeCell ref="E647:E662"/>
    <mergeCell ref="E643:E645"/>
  </mergeCells>
  <pageMargins left="0.16" right="0.16" top="0.16" bottom="1.29" header="0.16" footer="0.16"/>
  <pageSetup paperSize="9" scale="4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S347"/>
  <sheetViews>
    <sheetView zoomScale="80" zoomScaleNormal="80" workbookViewId="0">
      <pane xSplit="1" ySplit="4" topLeftCell="AF5" activePane="bottomRight" state="frozen"/>
      <selection activeCell="K16" sqref="K16"/>
      <selection pane="topRight" activeCell="K16" sqref="K16"/>
      <selection pane="bottomLeft" activeCell="K16" sqref="K16"/>
      <selection pane="bottomRight" activeCell="AE1" sqref="AE1:AE1048576"/>
    </sheetView>
  </sheetViews>
  <sheetFormatPr defaultRowHeight="15"/>
  <cols>
    <col min="1" max="1" width="95.28515625" style="4" customWidth="1"/>
    <col min="2" max="2" width="10.7109375" style="4" hidden="1" customWidth="1"/>
    <col min="3" max="3" width="9.140625" style="4" hidden="1" customWidth="1"/>
    <col min="4" max="4" width="9.7109375" style="4" hidden="1" customWidth="1"/>
    <col min="5" max="20" width="21" style="139" hidden="1" customWidth="1"/>
    <col min="21" max="31" width="22.42578125" style="139" hidden="1" customWidth="1"/>
    <col min="32" max="33" width="9.140625" style="4" customWidth="1"/>
    <col min="34" max="34" width="10.28515625" style="4" customWidth="1"/>
    <col min="35" max="36" width="9.140625" style="4" customWidth="1"/>
    <col min="37" max="37" width="10.28515625" style="4" customWidth="1"/>
    <col min="38" max="39" width="9.140625" style="4" customWidth="1"/>
    <col min="40" max="40" width="9.7109375" style="4" customWidth="1"/>
    <col min="41" max="41" width="9.140625" style="4" customWidth="1"/>
    <col min="42" max="42" width="10.5703125" style="4" customWidth="1"/>
    <col min="43" max="43" width="10.85546875" style="4" customWidth="1"/>
    <col min="44" max="45" width="9.140625" style="4" customWidth="1"/>
    <col min="46" max="46" width="9.85546875" style="4" customWidth="1"/>
    <col min="47" max="48" width="9.140625" style="4" customWidth="1"/>
    <col min="49" max="49" width="9.7109375" style="4" customWidth="1"/>
    <col min="50" max="51" width="9.140625" style="4" customWidth="1"/>
    <col min="52" max="52" width="9.7109375" style="4" customWidth="1"/>
    <col min="53" max="54" width="9.140625" style="4" customWidth="1"/>
    <col min="55" max="55" width="9.85546875" style="4" customWidth="1"/>
    <col min="56" max="57" width="9.140625" style="4" customWidth="1"/>
    <col min="58" max="58" width="9.5703125" style="4" customWidth="1"/>
    <col min="59" max="60" width="9.140625" style="4" customWidth="1"/>
    <col min="61" max="61" width="10.28515625" style="4" customWidth="1"/>
    <col min="62" max="62" width="9.7109375" style="4" customWidth="1"/>
    <col min="63" max="63" width="9.140625" style="4" customWidth="1"/>
    <col min="64" max="64" width="10.28515625" style="4" customWidth="1"/>
    <col min="65" max="66" width="9.140625" style="4" customWidth="1"/>
    <col min="67" max="67" width="10.42578125" style="4" customWidth="1"/>
    <col min="68" max="68" width="9.140625" style="4" customWidth="1"/>
    <col min="69" max="69" width="10.28515625" style="4" customWidth="1"/>
    <col min="70" max="70" width="10.42578125" style="4" customWidth="1"/>
    <col min="71" max="72" width="9.140625" style="4" customWidth="1"/>
    <col min="73" max="73" width="10" style="4" customWidth="1"/>
    <col min="74" max="75" width="9.140625" style="4" customWidth="1"/>
    <col min="76" max="76" width="9.85546875" style="4" customWidth="1"/>
    <col min="77" max="78" width="9.140625" style="4" customWidth="1"/>
    <col min="79" max="79" width="9.5703125" style="4" customWidth="1"/>
    <col min="80" max="81" width="9.140625" style="4" customWidth="1"/>
    <col min="82" max="82" width="10.28515625" style="4" customWidth="1"/>
    <col min="83" max="83" width="9.7109375" style="4" customWidth="1"/>
    <col min="84" max="84" width="9.140625" style="4" customWidth="1"/>
    <col min="85" max="85" width="10.42578125" style="4" customWidth="1"/>
    <col min="86" max="87" width="9.140625" style="4" customWidth="1"/>
    <col min="88" max="88" width="9.5703125" style="4" customWidth="1"/>
    <col min="89" max="90" width="9.140625" style="4" customWidth="1"/>
    <col min="91" max="91" width="10.28515625" style="4" customWidth="1"/>
    <col min="92" max="92" width="10.7109375" style="4" customWidth="1"/>
    <col min="93" max="93" width="9.140625" style="4" customWidth="1"/>
    <col min="94" max="94" width="10.42578125" style="4" customWidth="1"/>
    <col min="95" max="95" width="9.140625" style="4" customWidth="1"/>
    <col min="96" max="96" width="10.7109375" style="4" customWidth="1"/>
    <col min="97" max="97" width="9.85546875" style="4" customWidth="1"/>
    <col min="98" max="99" width="9.140625" style="4" customWidth="1"/>
    <col min="100" max="100" width="10.7109375" style="4" customWidth="1"/>
    <col min="101" max="102" width="9.140625" style="4" customWidth="1"/>
    <col min="103" max="103" width="10.7109375" style="4" customWidth="1"/>
    <col min="104" max="104" width="9.7109375" style="4" customWidth="1"/>
    <col min="105" max="105" width="9.140625" style="4" customWidth="1"/>
    <col min="106" max="106" width="9.85546875" style="4" customWidth="1"/>
    <col min="107" max="108" width="9.140625" style="4" customWidth="1"/>
    <col min="109" max="109" width="9.5703125" style="4" customWidth="1"/>
    <col min="110" max="111" width="9.140625" style="4" customWidth="1"/>
    <col min="112" max="112" width="9.7109375" style="4" customWidth="1"/>
    <col min="113" max="113" width="10.7109375" style="4" customWidth="1"/>
    <col min="114" max="114" width="9.140625" style="4" customWidth="1"/>
    <col min="115" max="115" width="9.7109375" style="4" customWidth="1"/>
    <col min="116" max="116" width="10.7109375" style="4" customWidth="1"/>
    <col min="117" max="117" width="9.140625" style="4" customWidth="1"/>
    <col min="118" max="118" width="9.7109375" style="4" customWidth="1"/>
    <col min="119" max="119" width="10.7109375" style="4" customWidth="1"/>
    <col min="120" max="120" width="9.140625" style="4" customWidth="1"/>
    <col min="121" max="121" width="9.7109375" style="4" customWidth="1"/>
    <col min="122" max="16384" width="9.140625" style="5"/>
  </cols>
  <sheetData>
    <row r="1" spans="1:121" ht="44.25" customHeight="1">
      <c r="A1" s="21" t="s">
        <v>93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21"/>
      <c r="AI1" s="21"/>
      <c r="AL1" s="21"/>
      <c r="AO1" s="21"/>
      <c r="AR1" s="21"/>
      <c r="AU1" s="21"/>
      <c r="AY1" s="29"/>
      <c r="BA1" s="21"/>
      <c r="BD1" s="21"/>
      <c r="BG1" s="21"/>
      <c r="BJ1" s="21"/>
      <c r="BM1" s="14"/>
      <c r="BP1" s="14"/>
      <c r="BS1" s="14"/>
      <c r="BV1" s="14"/>
      <c r="BY1" s="14"/>
      <c r="CB1" s="14"/>
      <c r="CC1" s="14"/>
      <c r="CD1" s="14"/>
      <c r="CE1" s="14"/>
      <c r="CH1" s="14"/>
      <c r="CK1" s="14"/>
      <c r="CT1" s="14"/>
      <c r="CZ1" s="14"/>
      <c r="DF1" s="14"/>
    </row>
    <row r="2" spans="1:121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BS2" s="306"/>
      <c r="BY2" s="306"/>
      <c r="CB2" s="306"/>
      <c r="CC2" s="306"/>
      <c r="CD2" s="306"/>
      <c r="CE2" s="306"/>
      <c r="CF2" s="306"/>
      <c r="CG2" s="306"/>
      <c r="CH2" s="306"/>
      <c r="CI2" s="306"/>
      <c r="CJ2" s="306"/>
      <c r="CK2" s="306"/>
      <c r="CL2" s="306"/>
      <c r="CM2" s="306"/>
      <c r="CN2" s="306"/>
      <c r="CO2" s="306"/>
      <c r="CQ2" s="306"/>
      <c r="CR2" s="306"/>
      <c r="CS2" s="306"/>
    </row>
    <row r="3" spans="1:121" ht="20.25" customHeight="1">
      <c r="A3" s="6"/>
      <c r="B3" s="240">
        <v>46137</v>
      </c>
      <c r="C3" s="6" t="s">
        <v>26</v>
      </c>
      <c r="D3" s="6" t="s">
        <v>0</v>
      </c>
      <c r="E3" s="33" t="s">
        <v>36</v>
      </c>
      <c r="F3" s="33" t="s">
        <v>36</v>
      </c>
      <c r="G3" s="33" t="s">
        <v>36</v>
      </c>
      <c r="H3" s="33" t="s">
        <v>36</v>
      </c>
      <c r="I3" s="33" t="s">
        <v>36</v>
      </c>
      <c r="J3" s="33" t="s">
        <v>36</v>
      </c>
      <c r="K3" s="33" t="s">
        <v>36</v>
      </c>
      <c r="L3" s="33" t="s">
        <v>36</v>
      </c>
      <c r="M3" s="33" t="s">
        <v>36</v>
      </c>
      <c r="N3" s="33" t="s">
        <v>36</v>
      </c>
      <c r="O3" s="33" t="s">
        <v>36</v>
      </c>
      <c r="P3" s="33" t="s">
        <v>36</v>
      </c>
      <c r="Q3" s="33" t="s">
        <v>36</v>
      </c>
      <c r="R3" s="33" t="s">
        <v>36</v>
      </c>
      <c r="S3" s="33" t="s">
        <v>36</v>
      </c>
      <c r="T3" s="33" t="s">
        <v>36</v>
      </c>
      <c r="U3" s="33" t="s">
        <v>36</v>
      </c>
      <c r="V3" s="33" t="s">
        <v>36</v>
      </c>
      <c r="W3" s="33" t="s">
        <v>36</v>
      </c>
      <c r="X3" s="33" t="s">
        <v>36</v>
      </c>
      <c r="Y3" s="33" t="s">
        <v>36</v>
      </c>
      <c r="Z3" s="33" t="s">
        <v>36</v>
      </c>
      <c r="AA3" s="33" t="s">
        <v>36</v>
      </c>
      <c r="AB3" s="33" t="s">
        <v>36</v>
      </c>
      <c r="AC3" s="33" t="s">
        <v>36</v>
      </c>
      <c r="AD3" s="33" t="s">
        <v>36</v>
      </c>
      <c r="AE3" s="33" t="s">
        <v>36</v>
      </c>
      <c r="AF3" s="6" t="s">
        <v>389</v>
      </c>
      <c r="AG3" s="6" t="s">
        <v>4</v>
      </c>
      <c r="AH3" s="6" t="s">
        <v>0</v>
      </c>
      <c r="AI3" s="6" t="s">
        <v>390</v>
      </c>
      <c r="AJ3" s="6" t="s">
        <v>4</v>
      </c>
      <c r="AK3" s="6" t="s">
        <v>0</v>
      </c>
      <c r="AL3" s="6" t="s">
        <v>391</v>
      </c>
      <c r="AM3" s="6" t="s">
        <v>4</v>
      </c>
      <c r="AN3" s="6" t="s">
        <v>2</v>
      </c>
      <c r="AO3" s="6" t="s">
        <v>392</v>
      </c>
      <c r="AP3" s="6" t="s">
        <v>26</v>
      </c>
      <c r="AQ3" s="6" t="s">
        <v>0</v>
      </c>
      <c r="AR3" s="6" t="s">
        <v>393</v>
      </c>
      <c r="AS3" s="6" t="s">
        <v>4</v>
      </c>
      <c r="AT3" s="6" t="s">
        <v>0</v>
      </c>
      <c r="AU3" s="6" t="s">
        <v>394</v>
      </c>
      <c r="AV3" s="6" t="s">
        <v>4</v>
      </c>
      <c r="AW3" s="6" t="s">
        <v>0</v>
      </c>
      <c r="AX3" s="6" t="s">
        <v>395</v>
      </c>
      <c r="AY3" s="6" t="s">
        <v>4</v>
      </c>
      <c r="AZ3" s="6" t="s">
        <v>0</v>
      </c>
      <c r="BA3" s="6" t="s">
        <v>396</v>
      </c>
      <c r="BB3" s="6" t="s">
        <v>4</v>
      </c>
      <c r="BC3" s="6" t="s">
        <v>0</v>
      </c>
      <c r="BD3" s="6" t="s">
        <v>397</v>
      </c>
      <c r="BE3" s="6" t="s">
        <v>4</v>
      </c>
      <c r="BF3" s="6" t="s">
        <v>0</v>
      </c>
      <c r="BG3" s="6" t="s">
        <v>398</v>
      </c>
      <c r="BH3" s="6" t="s">
        <v>4</v>
      </c>
      <c r="BI3" s="6" t="s">
        <v>0</v>
      </c>
      <c r="BJ3" s="6" t="s">
        <v>399</v>
      </c>
      <c r="BK3" s="6" t="s">
        <v>26</v>
      </c>
      <c r="BL3" s="6" t="s">
        <v>2</v>
      </c>
      <c r="BM3" s="6" t="s">
        <v>400</v>
      </c>
      <c r="BN3" s="6" t="s">
        <v>26</v>
      </c>
      <c r="BO3" s="6" t="s">
        <v>2</v>
      </c>
      <c r="BP3" s="6" t="s">
        <v>401</v>
      </c>
      <c r="BQ3" s="6" t="s">
        <v>26</v>
      </c>
      <c r="BR3" s="6" t="s">
        <v>2</v>
      </c>
      <c r="BS3" s="6" t="s">
        <v>402</v>
      </c>
      <c r="BT3" s="6" t="s">
        <v>26</v>
      </c>
      <c r="BU3" s="6" t="s">
        <v>2</v>
      </c>
      <c r="BV3" s="6" t="s">
        <v>403</v>
      </c>
      <c r="BW3" s="6" t="s">
        <v>26</v>
      </c>
      <c r="BX3" s="6" t="s">
        <v>2</v>
      </c>
      <c r="BY3" s="6" t="s">
        <v>404</v>
      </c>
      <c r="BZ3" s="6" t="s">
        <v>26</v>
      </c>
      <c r="CA3" s="6" t="s">
        <v>0</v>
      </c>
      <c r="CB3" s="6" t="s">
        <v>405</v>
      </c>
      <c r="CC3" s="6" t="s">
        <v>26</v>
      </c>
      <c r="CD3" s="6" t="s">
        <v>0</v>
      </c>
      <c r="CE3" s="6" t="s">
        <v>406</v>
      </c>
      <c r="CF3" s="6" t="s">
        <v>26</v>
      </c>
      <c r="CG3" s="6" t="s">
        <v>0</v>
      </c>
      <c r="CH3" s="6" t="s">
        <v>407</v>
      </c>
      <c r="CI3" s="6" t="s">
        <v>26</v>
      </c>
      <c r="CJ3" s="6" t="s">
        <v>0</v>
      </c>
      <c r="CK3" s="6" t="s">
        <v>408</v>
      </c>
      <c r="CL3" s="6" t="s">
        <v>26</v>
      </c>
      <c r="CM3" s="6" t="s">
        <v>0</v>
      </c>
      <c r="CN3" s="6" t="s">
        <v>409</v>
      </c>
      <c r="CO3" s="6" t="s">
        <v>26</v>
      </c>
      <c r="CP3" s="6" t="s">
        <v>0</v>
      </c>
      <c r="CQ3" s="6" t="s">
        <v>410</v>
      </c>
      <c r="CR3" s="6" t="s">
        <v>26</v>
      </c>
      <c r="CS3" s="6" t="s">
        <v>0</v>
      </c>
      <c r="CT3" s="6" t="s">
        <v>411</v>
      </c>
      <c r="CU3" s="6" t="s">
        <v>26</v>
      </c>
      <c r="CV3" s="6" t="s">
        <v>0</v>
      </c>
      <c r="CW3" s="6" t="s">
        <v>412</v>
      </c>
      <c r="CX3" s="6" t="s">
        <v>26</v>
      </c>
      <c r="CY3" s="6" t="s">
        <v>0</v>
      </c>
      <c r="CZ3" s="6" t="s">
        <v>413</v>
      </c>
      <c r="DA3" s="6" t="s">
        <v>26</v>
      </c>
      <c r="DB3" s="6" t="s">
        <v>0</v>
      </c>
      <c r="DC3" s="6" t="s">
        <v>414</v>
      </c>
      <c r="DD3" s="6" t="s">
        <v>26</v>
      </c>
      <c r="DE3" s="6" t="s">
        <v>0</v>
      </c>
      <c r="DF3" s="6" t="s">
        <v>415</v>
      </c>
      <c r="DG3" s="6" t="s">
        <v>4</v>
      </c>
      <c r="DH3" s="6" t="s">
        <v>0</v>
      </c>
      <c r="DI3" s="6" t="s">
        <v>416</v>
      </c>
      <c r="DJ3" s="6" t="s">
        <v>26</v>
      </c>
      <c r="DK3" s="6" t="s">
        <v>0</v>
      </c>
      <c r="DL3" s="6" t="s">
        <v>417</v>
      </c>
      <c r="DM3" s="6" t="s">
        <v>26</v>
      </c>
      <c r="DN3" s="6" t="s">
        <v>0</v>
      </c>
      <c r="DO3" s="6" t="s">
        <v>418</v>
      </c>
      <c r="DP3" s="6" t="s">
        <v>26</v>
      </c>
      <c r="DQ3" s="6" t="s">
        <v>0</v>
      </c>
    </row>
    <row r="4" spans="1:121">
      <c r="A4" s="6" t="s">
        <v>35</v>
      </c>
      <c r="B4" s="6"/>
      <c r="C4" s="6"/>
      <c r="D4" s="6"/>
      <c r="E4" s="140">
        <v>46172</v>
      </c>
      <c r="F4" s="140">
        <v>46174</v>
      </c>
      <c r="G4" s="140">
        <v>46175</v>
      </c>
      <c r="H4" s="140">
        <v>46176</v>
      </c>
      <c r="I4" s="140">
        <v>46177</v>
      </c>
      <c r="J4" s="140">
        <v>46178</v>
      </c>
      <c r="K4" s="140">
        <v>46179</v>
      </c>
      <c r="L4" s="140">
        <v>46181</v>
      </c>
      <c r="M4" s="140">
        <v>46182</v>
      </c>
      <c r="N4" s="140">
        <v>46183</v>
      </c>
      <c r="O4" s="140">
        <v>46184</v>
      </c>
      <c r="P4" s="140">
        <v>46185</v>
      </c>
      <c r="Q4" s="140">
        <v>46186</v>
      </c>
      <c r="R4" s="140">
        <v>46188</v>
      </c>
      <c r="S4" s="140">
        <v>46189</v>
      </c>
      <c r="T4" s="140">
        <v>46190</v>
      </c>
      <c r="U4" s="140">
        <v>46191</v>
      </c>
      <c r="V4" s="140">
        <v>46192</v>
      </c>
      <c r="W4" s="140">
        <v>46193</v>
      </c>
      <c r="X4" s="140">
        <v>46195</v>
      </c>
      <c r="Y4" s="140">
        <v>46196</v>
      </c>
      <c r="Z4" s="140">
        <v>46197</v>
      </c>
      <c r="AA4" s="140">
        <v>46198</v>
      </c>
      <c r="AB4" s="140">
        <v>46199</v>
      </c>
      <c r="AC4" s="140">
        <v>46200</v>
      </c>
      <c r="AD4" s="140">
        <v>46202</v>
      </c>
      <c r="AE4" s="140">
        <v>46203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</row>
    <row r="5" spans="1:121">
      <c r="A5" s="6">
        <v>1</v>
      </c>
      <c r="B5" s="6">
        <v>358</v>
      </c>
      <c r="C5" s="6"/>
      <c r="D5" s="6">
        <v>348</v>
      </c>
      <c r="E5" s="33" t="s">
        <v>37</v>
      </c>
      <c r="F5" s="33" t="s">
        <v>37</v>
      </c>
      <c r="G5" s="33" t="s">
        <v>37</v>
      </c>
      <c r="H5" s="33" t="s">
        <v>37</v>
      </c>
      <c r="I5" s="33" t="s">
        <v>37</v>
      </c>
      <c r="J5" s="33" t="s">
        <v>37</v>
      </c>
      <c r="K5" s="33" t="s">
        <v>37</v>
      </c>
      <c r="L5" s="33" t="s">
        <v>37</v>
      </c>
      <c r="M5" s="33" t="s">
        <v>37</v>
      </c>
      <c r="N5" s="148" t="s">
        <v>37</v>
      </c>
      <c r="O5" s="33" t="s">
        <v>37</v>
      </c>
      <c r="P5" s="33" t="s">
        <v>37</v>
      </c>
      <c r="Q5" s="33" t="s">
        <v>37</v>
      </c>
      <c r="R5" s="33" t="s">
        <v>37</v>
      </c>
      <c r="S5" s="33" t="s">
        <v>37</v>
      </c>
      <c r="T5" s="33" t="s">
        <v>37</v>
      </c>
      <c r="U5" s="33" t="s">
        <v>37</v>
      </c>
      <c r="V5" s="33" t="s">
        <v>37</v>
      </c>
      <c r="W5" s="33" t="s">
        <v>37</v>
      </c>
      <c r="X5" s="33" t="s">
        <v>37</v>
      </c>
      <c r="Y5" s="33" t="s">
        <v>37</v>
      </c>
      <c r="Z5" s="33" t="s">
        <v>37</v>
      </c>
      <c r="AA5" s="33" t="s">
        <v>37</v>
      </c>
      <c r="AB5" s="33" t="s">
        <v>37</v>
      </c>
      <c r="AC5" s="33" t="s">
        <v>37</v>
      </c>
      <c r="AD5" s="33" t="s">
        <v>37</v>
      </c>
      <c r="AE5" s="33" t="s">
        <v>37</v>
      </c>
      <c r="AF5" s="6">
        <v>91</v>
      </c>
      <c r="AG5" s="6">
        <v>672</v>
      </c>
      <c r="AH5" s="35">
        <f>AG5+AF5-B5</f>
        <v>405</v>
      </c>
      <c r="AI5" s="6">
        <v>467</v>
      </c>
      <c r="AJ5" s="6"/>
      <c r="AK5" s="35">
        <f>AJ5+AI5-AF5</f>
        <v>376</v>
      </c>
      <c r="AL5" s="35">
        <v>264</v>
      </c>
      <c r="AM5" s="35">
        <v>578</v>
      </c>
      <c r="AN5" s="35">
        <f>AM5+AL5-AI5</f>
        <v>375</v>
      </c>
      <c r="AO5" s="35">
        <v>643</v>
      </c>
      <c r="AP5" s="6"/>
      <c r="AQ5" s="35">
        <f>AP5+AO5-AL5</f>
        <v>379</v>
      </c>
      <c r="AR5" s="6">
        <v>1015</v>
      </c>
      <c r="AS5" s="6"/>
      <c r="AT5" s="34">
        <f>AS5+AR5-AO5</f>
        <v>372</v>
      </c>
      <c r="AU5" s="35">
        <v>1377</v>
      </c>
      <c r="AV5" s="35"/>
      <c r="AW5" s="35">
        <f>AV5+AU5-AR5</f>
        <v>362</v>
      </c>
      <c r="AX5" s="6"/>
      <c r="AY5" s="6"/>
      <c r="AZ5" s="35"/>
      <c r="BA5" s="6">
        <v>198</v>
      </c>
      <c r="BB5" s="6">
        <v>1561</v>
      </c>
      <c r="BC5" s="35">
        <f>BB5+BA5-AU5</f>
        <v>382</v>
      </c>
      <c r="BD5" s="35">
        <v>0</v>
      </c>
      <c r="BE5" s="35">
        <v>362</v>
      </c>
      <c r="BF5" s="35">
        <f>BE5+BD5-BA5</f>
        <v>164</v>
      </c>
      <c r="BG5" s="6">
        <v>324</v>
      </c>
      <c r="BH5" s="6"/>
      <c r="BI5" s="35">
        <f>BH5+BG5-BD5</f>
        <v>324</v>
      </c>
      <c r="BJ5" s="6">
        <v>701</v>
      </c>
      <c r="BK5" s="6"/>
      <c r="BL5" s="35">
        <f>BK5+BJ5-BG5</f>
        <v>377</v>
      </c>
      <c r="BM5" s="6">
        <v>1066</v>
      </c>
      <c r="BN5" s="6"/>
      <c r="BO5" s="6">
        <f>BN5+BM5-BJ5</f>
        <v>365</v>
      </c>
      <c r="BP5" s="6">
        <v>1418</v>
      </c>
      <c r="BQ5" s="6"/>
      <c r="BR5" s="6">
        <f>BQ5+BP5-BM5</f>
        <v>352</v>
      </c>
      <c r="BS5" s="6"/>
      <c r="BT5" s="6"/>
      <c r="BU5" s="35"/>
      <c r="BV5" s="6">
        <v>240</v>
      </c>
      <c r="BW5" s="6">
        <v>1560</v>
      </c>
      <c r="BX5" s="6">
        <f>BW5+BV5-BP5</f>
        <v>382</v>
      </c>
      <c r="BY5" s="6">
        <v>620</v>
      </c>
      <c r="BZ5" s="6"/>
      <c r="CA5" s="35">
        <f>BZ5+BY5-BV5</f>
        <v>380</v>
      </c>
      <c r="CB5" s="6">
        <v>999</v>
      </c>
      <c r="CC5" s="6"/>
      <c r="CD5" s="6">
        <f>CC5+CB5-BY5</f>
        <v>379</v>
      </c>
      <c r="CE5" s="6">
        <v>1379</v>
      </c>
      <c r="CF5" s="6"/>
      <c r="CG5" s="6">
        <f>CF5+CE5-CB5</f>
        <v>380</v>
      </c>
      <c r="CH5" s="6">
        <v>201</v>
      </c>
      <c r="CI5" s="6">
        <v>1560</v>
      </c>
      <c r="CJ5" s="6">
        <f>CI5+CH5-CE5</f>
        <v>382</v>
      </c>
      <c r="CK5" s="6">
        <v>570</v>
      </c>
      <c r="CL5" s="6"/>
      <c r="CM5" s="6">
        <f>CL5+CK5-CH5</f>
        <v>369</v>
      </c>
      <c r="CN5" s="6"/>
      <c r="CO5" s="6"/>
      <c r="CP5" s="6"/>
      <c r="CQ5" s="6">
        <v>953</v>
      </c>
      <c r="CR5" s="6"/>
      <c r="CS5" s="6">
        <f>CR5+CQ5-CK5</f>
        <v>383</v>
      </c>
      <c r="CT5" s="6">
        <v>1304</v>
      </c>
      <c r="CU5" s="6"/>
      <c r="CV5" s="6">
        <f>CU5+CT5-CQ5</f>
        <v>351</v>
      </c>
      <c r="CW5" s="6">
        <v>115</v>
      </c>
      <c r="CX5" s="6">
        <v>1560</v>
      </c>
      <c r="CY5" s="6">
        <f>CX5+CW5-CT5</f>
        <v>371</v>
      </c>
      <c r="CZ5" s="6">
        <v>495</v>
      </c>
      <c r="DA5" s="6"/>
      <c r="DB5" s="6">
        <f>DA5+CZ5-CW5</f>
        <v>380</v>
      </c>
      <c r="DC5" s="6">
        <v>873</v>
      </c>
      <c r="DD5" s="6"/>
      <c r="DE5" s="6">
        <f>DD5+DC5-CZ5</f>
        <v>378</v>
      </c>
      <c r="DF5" s="6">
        <v>1231</v>
      </c>
      <c r="DG5" s="6"/>
      <c r="DH5" s="6">
        <f>DG5+DF5-DC5</f>
        <v>358</v>
      </c>
      <c r="DI5" s="6"/>
      <c r="DJ5" s="6"/>
      <c r="DK5" s="6"/>
      <c r="DL5" s="6">
        <v>234</v>
      </c>
      <c r="DM5" s="6">
        <v>1362</v>
      </c>
      <c r="DN5" s="6">
        <f>DM5+DL5-DF5</f>
        <v>365</v>
      </c>
      <c r="DO5" s="6">
        <v>591</v>
      </c>
      <c r="DP5" s="6"/>
      <c r="DQ5" s="6">
        <f>DP5+DO5-DL5</f>
        <v>357</v>
      </c>
    </row>
    <row r="6" spans="1:121">
      <c r="A6" s="6">
        <v>2</v>
      </c>
      <c r="B6" s="6">
        <v>912</v>
      </c>
      <c r="C6" s="6"/>
      <c r="D6" s="6">
        <v>353</v>
      </c>
      <c r="E6" s="33" t="s">
        <v>307</v>
      </c>
      <c r="F6" s="33" t="s">
        <v>307</v>
      </c>
      <c r="G6" s="33" t="s">
        <v>307</v>
      </c>
      <c r="H6" s="33" t="s">
        <v>307</v>
      </c>
      <c r="I6" s="33" t="s">
        <v>307</v>
      </c>
      <c r="J6" s="33" t="s">
        <v>307</v>
      </c>
      <c r="K6" s="33" t="s">
        <v>307</v>
      </c>
      <c r="L6" s="148" t="s">
        <v>37</v>
      </c>
      <c r="M6" s="33" t="s">
        <v>37</v>
      </c>
      <c r="N6" s="33" t="s">
        <v>37</v>
      </c>
      <c r="O6" s="33" t="s">
        <v>37</v>
      </c>
      <c r="P6" s="33" t="s">
        <v>37</v>
      </c>
      <c r="Q6" s="33" t="s">
        <v>37</v>
      </c>
      <c r="R6" s="33" t="s">
        <v>37</v>
      </c>
      <c r="S6" s="33" t="s">
        <v>37</v>
      </c>
      <c r="T6" s="33" t="s">
        <v>37</v>
      </c>
      <c r="U6" s="33" t="s">
        <v>37</v>
      </c>
      <c r="V6" s="33" t="s">
        <v>37</v>
      </c>
      <c r="W6" s="33" t="s">
        <v>37</v>
      </c>
      <c r="X6" s="33" t="s">
        <v>37</v>
      </c>
      <c r="Y6" s="33" t="s">
        <v>37</v>
      </c>
      <c r="Z6" s="33" t="s">
        <v>37</v>
      </c>
      <c r="AA6" s="33" t="s">
        <v>37</v>
      </c>
      <c r="AB6" s="33" t="s">
        <v>37</v>
      </c>
      <c r="AC6" s="33" t="s">
        <v>37</v>
      </c>
      <c r="AD6" s="33" t="s">
        <v>37</v>
      </c>
      <c r="AE6" s="33" t="s">
        <v>37</v>
      </c>
      <c r="AF6" s="6">
        <v>1327</v>
      </c>
      <c r="AG6" s="6"/>
      <c r="AH6" s="35">
        <f t="shared" ref="AH6:AH69" si="0">AG6+AF6-B6</f>
        <v>415</v>
      </c>
      <c r="AI6" s="6">
        <v>149</v>
      </c>
      <c r="AJ6" s="6">
        <v>1560</v>
      </c>
      <c r="AK6" s="35">
        <f t="shared" ref="AK6:AK69" si="1">AJ6+AI6-AF6</f>
        <v>382</v>
      </c>
      <c r="AL6" s="35">
        <v>535</v>
      </c>
      <c r="AM6" s="35"/>
      <c r="AN6" s="35">
        <f t="shared" ref="AN6:AN69" si="2">AM6+AL6-AI6</f>
        <v>386</v>
      </c>
      <c r="AO6" s="6">
        <v>917</v>
      </c>
      <c r="AP6" s="6"/>
      <c r="AQ6" s="35">
        <f t="shared" ref="AQ6:AQ69" si="3">AP6+AO6-AL6</f>
        <v>382</v>
      </c>
      <c r="AR6" s="6">
        <v>1303</v>
      </c>
      <c r="AS6" s="6"/>
      <c r="AT6" s="34">
        <f t="shared" ref="AT6:AT69" si="4">AS6+AR6-AO6</f>
        <v>386</v>
      </c>
      <c r="AU6" s="35">
        <v>0</v>
      </c>
      <c r="AV6" s="35">
        <v>1610</v>
      </c>
      <c r="AW6" s="35">
        <f t="shared" ref="AW6:AW69" si="5">AV6+AU6-AR6</f>
        <v>307</v>
      </c>
      <c r="AX6" s="6"/>
      <c r="AY6" s="6"/>
      <c r="AZ6" s="35"/>
      <c r="BA6" s="6">
        <v>352</v>
      </c>
      <c r="BB6" s="6"/>
      <c r="BC6" s="35">
        <f t="shared" ref="BC6:BC69" si="6">BB6+BA6-AU6</f>
        <v>352</v>
      </c>
      <c r="BD6" s="35">
        <v>732</v>
      </c>
      <c r="BE6" s="35"/>
      <c r="BF6" s="35">
        <f t="shared" ref="BF6:BF69" si="7">BE6+BD6-BA6</f>
        <v>380</v>
      </c>
      <c r="BG6" s="6">
        <v>1119</v>
      </c>
      <c r="BH6" s="6"/>
      <c r="BI6" s="35">
        <f t="shared" ref="BI6:BI69" si="8">BH6+BG6-BD6</f>
        <v>387</v>
      </c>
      <c r="BJ6" s="6">
        <v>1506</v>
      </c>
      <c r="BK6" s="6"/>
      <c r="BL6" s="35">
        <f t="shared" ref="BL6:BL69" si="9">BK6+BJ6-BG6</f>
        <v>387</v>
      </c>
      <c r="BM6" s="6">
        <v>332</v>
      </c>
      <c r="BN6" s="6">
        <v>1560</v>
      </c>
      <c r="BO6" s="6">
        <f t="shared" ref="BO6:BO69" si="10">BN6+BM6-BJ6</f>
        <v>386</v>
      </c>
      <c r="BP6" s="6">
        <v>699</v>
      </c>
      <c r="BQ6" s="6"/>
      <c r="BR6" s="6">
        <f t="shared" ref="BR6:BR69" si="11">BQ6+BP6-BM6</f>
        <v>367</v>
      </c>
      <c r="BS6" s="6"/>
      <c r="BT6" s="6"/>
      <c r="BU6" s="35"/>
      <c r="BV6" s="6">
        <v>1092</v>
      </c>
      <c r="BW6" s="6"/>
      <c r="BX6" s="6">
        <f t="shared" ref="BX6:BX69" si="12">BW6+BV6-BP6</f>
        <v>393</v>
      </c>
      <c r="BY6" s="6">
        <v>19</v>
      </c>
      <c r="BZ6" s="6">
        <v>1454</v>
      </c>
      <c r="CA6" s="35">
        <f t="shared" ref="CA6:CA69" si="13">BZ6+BY6-BV6</f>
        <v>381</v>
      </c>
      <c r="CB6" s="6">
        <v>407</v>
      </c>
      <c r="CC6" s="6"/>
      <c r="CD6" s="6">
        <f t="shared" ref="CD6:CD69" si="14">CC6+CB6-BY6</f>
        <v>388</v>
      </c>
      <c r="CE6" s="6">
        <v>794</v>
      </c>
      <c r="CF6" s="6"/>
      <c r="CG6" s="6">
        <f t="shared" ref="CG6:CG69" si="15">CF6+CE6-CB6</f>
        <v>387</v>
      </c>
      <c r="CH6" s="6">
        <v>1180</v>
      </c>
      <c r="CI6" s="6"/>
      <c r="CJ6" s="6">
        <f t="shared" ref="CJ6:CJ69" si="16">CI6+CH6-CE6</f>
        <v>386</v>
      </c>
      <c r="CK6" s="6">
        <v>2</v>
      </c>
      <c r="CL6" s="6">
        <v>1550</v>
      </c>
      <c r="CM6" s="6">
        <f t="shared" ref="CM6:CM69" si="17">CL6+CK6-CH6</f>
        <v>372</v>
      </c>
      <c r="CN6" s="6"/>
      <c r="CO6" s="6"/>
      <c r="CP6" s="6"/>
      <c r="CQ6" s="6">
        <f>39+354</f>
        <v>393</v>
      </c>
      <c r="CR6" s="6"/>
      <c r="CS6" s="6">
        <f t="shared" ref="CS6:CS69" si="18">CR6+CQ6-CK6</f>
        <v>391</v>
      </c>
      <c r="CT6" s="6">
        <f>415+354</f>
        <v>769</v>
      </c>
      <c r="CU6" s="6"/>
      <c r="CV6" s="6">
        <f t="shared" ref="CV6:CV69" si="19">CU6+CT6-CQ6</f>
        <v>376</v>
      </c>
      <c r="CW6" s="6">
        <f>787+354</f>
        <v>1141</v>
      </c>
      <c r="CX6" s="6"/>
      <c r="CY6" s="6">
        <f t="shared" ref="CY6:CY69" si="20">CX6+CW6-CT6</f>
        <v>372</v>
      </c>
      <c r="CZ6" s="6">
        <f>1170+354</f>
        <v>1524</v>
      </c>
      <c r="DA6" s="6"/>
      <c r="DB6" s="6">
        <f t="shared" ref="DB6:DB69" si="21">DA6+CZ6-CW6</f>
        <v>383</v>
      </c>
      <c r="DC6" s="6">
        <v>343</v>
      </c>
      <c r="DD6" s="6">
        <v>1560</v>
      </c>
      <c r="DE6" s="6">
        <f t="shared" ref="DE6:DE69" si="22">DD6+DC6-CZ6</f>
        <v>379</v>
      </c>
      <c r="DF6" s="6">
        <v>699</v>
      </c>
      <c r="DG6" s="6"/>
      <c r="DH6" s="6">
        <f t="shared" ref="DH6:DH69" si="23">DG6+DF6-DC6</f>
        <v>356</v>
      </c>
      <c r="DI6" s="6"/>
      <c r="DJ6" s="6"/>
      <c r="DK6" s="6"/>
      <c r="DL6" s="6">
        <v>1083</v>
      </c>
      <c r="DM6" s="6"/>
      <c r="DN6" s="6">
        <f t="shared" ref="DN6:DN69" si="24">DM6+DL6-DF6</f>
        <v>384</v>
      </c>
      <c r="DO6" s="6">
        <v>1415</v>
      </c>
      <c r="DP6" s="6"/>
      <c r="DQ6" s="6">
        <f t="shared" ref="DQ6:DQ69" si="25">DP6+DO6-DL6</f>
        <v>332</v>
      </c>
    </row>
    <row r="7" spans="1:121">
      <c r="A7" s="6">
        <v>3</v>
      </c>
      <c r="B7" s="6">
        <v>330</v>
      </c>
      <c r="C7" s="6"/>
      <c r="D7" s="6">
        <v>330</v>
      </c>
      <c r="E7" s="148" t="s">
        <v>37</v>
      </c>
      <c r="F7" s="33" t="s">
        <v>37</v>
      </c>
      <c r="G7" s="33" t="s">
        <v>37</v>
      </c>
      <c r="H7" s="33" t="s">
        <v>37</v>
      </c>
      <c r="I7" s="33" t="s">
        <v>37</v>
      </c>
      <c r="J7" s="33" t="s">
        <v>37</v>
      </c>
      <c r="K7" s="33" t="s">
        <v>37</v>
      </c>
      <c r="L7" s="33" t="s">
        <v>37</v>
      </c>
      <c r="M7" s="33" t="s">
        <v>37</v>
      </c>
      <c r="N7" s="33" t="s">
        <v>37</v>
      </c>
      <c r="O7" s="33" t="s">
        <v>37</v>
      </c>
      <c r="P7" s="33" t="s">
        <v>37</v>
      </c>
      <c r="Q7" s="33" t="s">
        <v>37</v>
      </c>
      <c r="R7" s="33" t="s">
        <v>37</v>
      </c>
      <c r="S7" s="33" t="s">
        <v>37</v>
      </c>
      <c r="T7" s="33" t="s">
        <v>37</v>
      </c>
      <c r="U7" s="33" t="s">
        <v>37</v>
      </c>
      <c r="V7" s="33" t="s">
        <v>37</v>
      </c>
      <c r="W7" s="33" t="s">
        <v>37</v>
      </c>
      <c r="X7" s="33" t="s">
        <v>37</v>
      </c>
      <c r="Y7" s="33" t="s">
        <v>37</v>
      </c>
      <c r="Z7" s="148" t="s">
        <v>37</v>
      </c>
      <c r="AA7" s="33" t="s">
        <v>37</v>
      </c>
      <c r="AB7" s="33" t="s">
        <v>37</v>
      </c>
      <c r="AC7" s="33" t="s">
        <v>37</v>
      </c>
      <c r="AD7" s="33" t="s">
        <v>37</v>
      </c>
      <c r="AE7" s="33" t="s">
        <v>37</v>
      </c>
      <c r="AF7" s="6">
        <v>732</v>
      </c>
      <c r="AG7" s="6"/>
      <c r="AH7" s="35">
        <f t="shared" si="0"/>
        <v>402</v>
      </c>
      <c r="AI7" s="6">
        <v>1089</v>
      </c>
      <c r="AJ7" s="6"/>
      <c r="AK7" s="35">
        <f t="shared" si="1"/>
        <v>357</v>
      </c>
      <c r="AL7" s="35">
        <v>1471</v>
      </c>
      <c r="AM7" s="35"/>
      <c r="AN7" s="35">
        <f t="shared" si="2"/>
        <v>382</v>
      </c>
      <c r="AO7" s="35">
        <v>280</v>
      </c>
      <c r="AP7" s="6">
        <v>1560</v>
      </c>
      <c r="AQ7" s="35">
        <f t="shared" si="3"/>
        <v>369</v>
      </c>
      <c r="AR7" s="6">
        <v>656</v>
      </c>
      <c r="AS7" s="6"/>
      <c r="AT7" s="34">
        <f t="shared" si="4"/>
        <v>376</v>
      </c>
      <c r="AU7" s="35">
        <v>1016</v>
      </c>
      <c r="AV7" s="35"/>
      <c r="AW7" s="35">
        <f t="shared" si="5"/>
        <v>360</v>
      </c>
      <c r="AX7" s="6"/>
      <c r="AY7" s="6"/>
      <c r="AZ7" s="35"/>
      <c r="BA7" s="6">
        <v>1399</v>
      </c>
      <c r="BB7" s="6"/>
      <c r="BC7" s="35">
        <f t="shared" si="6"/>
        <v>383</v>
      </c>
      <c r="BD7" s="35">
        <v>340</v>
      </c>
      <c r="BE7" s="35">
        <v>1436</v>
      </c>
      <c r="BF7" s="35">
        <f t="shared" si="7"/>
        <v>377</v>
      </c>
      <c r="BG7" s="6">
        <v>717</v>
      </c>
      <c r="BH7" s="6"/>
      <c r="BI7" s="35">
        <f t="shared" si="8"/>
        <v>377</v>
      </c>
      <c r="BJ7" s="6">
        <v>1087</v>
      </c>
      <c r="BK7" s="6"/>
      <c r="BL7" s="35">
        <f t="shared" si="9"/>
        <v>370</v>
      </c>
      <c r="BM7" s="6">
        <v>1469</v>
      </c>
      <c r="BN7" s="6"/>
      <c r="BO7" s="6">
        <f t="shared" si="10"/>
        <v>382</v>
      </c>
      <c r="BP7" s="6">
        <v>260</v>
      </c>
      <c r="BQ7" s="6">
        <v>1560</v>
      </c>
      <c r="BR7" s="6">
        <f t="shared" si="11"/>
        <v>351</v>
      </c>
      <c r="BS7" s="6"/>
      <c r="BT7" s="6"/>
      <c r="BU7" s="35"/>
      <c r="BV7" s="6">
        <v>638</v>
      </c>
      <c r="BW7" s="6"/>
      <c r="BX7" s="6">
        <f t="shared" si="12"/>
        <v>378</v>
      </c>
      <c r="BY7" s="6">
        <v>1014</v>
      </c>
      <c r="BZ7" s="6"/>
      <c r="CA7" s="35">
        <f t="shared" si="13"/>
        <v>376</v>
      </c>
      <c r="CB7" s="6">
        <v>1391</v>
      </c>
      <c r="CC7" s="6"/>
      <c r="CD7" s="6">
        <f t="shared" si="14"/>
        <v>377</v>
      </c>
      <c r="CE7" s="6">
        <v>212</v>
      </c>
      <c r="CF7" s="6">
        <v>1560</v>
      </c>
      <c r="CG7" s="6">
        <f t="shared" si="15"/>
        <v>381</v>
      </c>
      <c r="CH7" s="6">
        <v>595</v>
      </c>
      <c r="CI7" s="6"/>
      <c r="CJ7" s="6">
        <f t="shared" si="16"/>
        <v>383</v>
      </c>
      <c r="CK7" s="6">
        <v>965</v>
      </c>
      <c r="CL7" s="6"/>
      <c r="CM7" s="6">
        <f t="shared" si="17"/>
        <v>370</v>
      </c>
      <c r="CN7" s="6"/>
      <c r="CO7" s="6"/>
      <c r="CP7" s="6"/>
      <c r="CQ7" s="6">
        <v>1351</v>
      </c>
      <c r="CR7" s="6"/>
      <c r="CS7" s="6">
        <f t="shared" si="18"/>
        <v>386</v>
      </c>
      <c r="CT7" s="6">
        <v>1709</v>
      </c>
      <c r="CU7" s="6"/>
      <c r="CV7" s="6">
        <f t="shared" si="19"/>
        <v>358</v>
      </c>
      <c r="CW7" s="6">
        <v>359</v>
      </c>
      <c r="CX7" s="6">
        <v>1718</v>
      </c>
      <c r="CY7" s="6">
        <f t="shared" si="20"/>
        <v>368</v>
      </c>
      <c r="CZ7" s="6">
        <v>750</v>
      </c>
      <c r="DA7" s="6"/>
      <c r="DB7" s="6">
        <f t="shared" si="21"/>
        <v>391</v>
      </c>
      <c r="DC7" s="6">
        <v>1142</v>
      </c>
      <c r="DD7" s="6"/>
      <c r="DE7" s="6">
        <f t="shared" si="22"/>
        <v>392</v>
      </c>
      <c r="DF7" s="6">
        <v>1510</v>
      </c>
      <c r="DG7" s="6"/>
      <c r="DH7" s="6">
        <f t="shared" si="23"/>
        <v>368</v>
      </c>
      <c r="DI7" s="6"/>
      <c r="DJ7" s="6"/>
      <c r="DK7" s="6"/>
      <c r="DL7" s="6">
        <v>326</v>
      </c>
      <c r="DM7" s="6">
        <v>1560</v>
      </c>
      <c r="DN7" s="6">
        <f t="shared" si="24"/>
        <v>376</v>
      </c>
      <c r="DO7" s="6">
        <v>684</v>
      </c>
      <c r="DP7" s="6"/>
      <c r="DQ7" s="6">
        <f t="shared" si="25"/>
        <v>358</v>
      </c>
    </row>
    <row r="8" spans="1:121">
      <c r="A8" s="6">
        <v>4</v>
      </c>
      <c r="B8" s="6">
        <v>1339</v>
      </c>
      <c r="C8" s="6"/>
      <c r="D8" s="6">
        <v>352</v>
      </c>
      <c r="E8" s="33" t="s">
        <v>37</v>
      </c>
      <c r="F8" s="33" t="s">
        <v>37</v>
      </c>
      <c r="G8" s="33" t="s">
        <v>37</v>
      </c>
      <c r="H8" s="33" t="s">
        <v>37</v>
      </c>
      <c r="I8" s="33" t="s">
        <v>37</v>
      </c>
      <c r="J8" s="33" t="s">
        <v>37</v>
      </c>
      <c r="K8" s="33" t="s">
        <v>37</v>
      </c>
      <c r="L8" s="33" t="s">
        <v>37</v>
      </c>
      <c r="M8" s="33" t="s">
        <v>37</v>
      </c>
      <c r="N8" s="33" t="s">
        <v>37</v>
      </c>
      <c r="O8" s="33" t="s">
        <v>37</v>
      </c>
      <c r="P8" s="33" t="s">
        <v>37</v>
      </c>
      <c r="Q8" s="33" t="s">
        <v>37</v>
      </c>
      <c r="R8" s="33" t="s">
        <v>37</v>
      </c>
      <c r="S8" s="148" t="s">
        <v>37</v>
      </c>
      <c r="T8" s="33" t="s">
        <v>37</v>
      </c>
      <c r="U8" s="33" t="s">
        <v>37</v>
      </c>
      <c r="V8" s="33" t="s">
        <v>37</v>
      </c>
      <c r="W8" s="33" t="s">
        <v>37</v>
      </c>
      <c r="X8" s="33" t="s">
        <v>37</v>
      </c>
      <c r="Y8" s="33" t="s">
        <v>37</v>
      </c>
      <c r="Z8" s="33" t="s">
        <v>37</v>
      </c>
      <c r="AA8" s="33" t="s">
        <v>37</v>
      </c>
      <c r="AB8" s="33" t="s">
        <v>37</v>
      </c>
      <c r="AC8" s="33" t="s">
        <v>37</v>
      </c>
      <c r="AD8" s="33" t="s">
        <v>37</v>
      </c>
      <c r="AE8" s="33" t="s">
        <v>37</v>
      </c>
      <c r="AF8" s="6">
        <v>185</v>
      </c>
      <c r="AG8" s="6">
        <v>1558</v>
      </c>
      <c r="AH8" s="35">
        <f t="shared" si="0"/>
        <v>404</v>
      </c>
      <c r="AI8" s="6">
        <v>556</v>
      </c>
      <c r="AJ8" s="6"/>
      <c r="AK8" s="35">
        <f t="shared" si="1"/>
        <v>371</v>
      </c>
      <c r="AL8" s="35">
        <v>936</v>
      </c>
      <c r="AM8" s="35"/>
      <c r="AN8" s="35">
        <f t="shared" si="2"/>
        <v>380</v>
      </c>
      <c r="AO8" s="6">
        <v>1313</v>
      </c>
      <c r="AP8" s="6"/>
      <c r="AQ8" s="35">
        <f t="shared" si="3"/>
        <v>377</v>
      </c>
      <c r="AR8" s="6">
        <v>130</v>
      </c>
      <c r="AS8" s="6">
        <v>1561</v>
      </c>
      <c r="AT8" s="34">
        <f t="shared" si="4"/>
        <v>378</v>
      </c>
      <c r="AU8" s="35">
        <v>492</v>
      </c>
      <c r="AV8" s="35"/>
      <c r="AW8" s="35">
        <f t="shared" si="5"/>
        <v>362</v>
      </c>
      <c r="AX8" s="6"/>
      <c r="AY8" s="6"/>
      <c r="AZ8" s="35"/>
      <c r="BA8" s="6">
        <v>862</v>
      </c>
      <c r="BB8" s="6"/>
      <c r="BC8" s="35">
        <f t="shared" si="6"/>
        <v>370</v>
      </c>
      <c r="BD8" s="35">
        <v>1237</v>
      </c>
      <c r="BE8" s="35"/>
      <c r="BF8" s="35">
        <f t="shared" si="7"/>
        <v>375</v>
      </c>
      <c r="BG8" s="6">
        <v>53</v>
      </c>
      <c r="BH8" s="6">
        <v>1560</v>
      </c>
      <c r="BI8" s="35">
        <f t="shared" si="8"/>
        <v>376</v>
      </c>
      <c r="BJ8" s="6">
        <v>431</v>
      </c>
      <c r="BK8" s="6"/>
      <c r="BL8" s="35">
        <f t="shared" si="9"/>
        <v>378</v>
      </c>
      <c r="BM8" s="6">
        <v>813</v>
      </c>
      <c r="BN8" s="6"/>
      <c r="BO8" s="6">
        <f t="shared" si="10"/>
        <v>382</v>
      </c>
      <c r="BP8" s="6">
        <v>1169</v>
      </c>
      <c r="BQ8" s="6"/>
      <c r="BR8" s="6">
        <f t="shared" si="11"/>
        <v>356</v>
      </c>
      <c r="BS8" s="6"/>
      <c r="BT8" s="6"/>
      <c r="BU8" s="35"/>
      <c r="BV8" s="6">
        <v>1554</v>
      </c>
      <c r="BW8" s="6"/>
      <c r="BX8" s="6">
        <f t="shared" si="12"/>
        <v>385</v>
      </c>
      <c r="BY8" s="6">
        <v>329</v>
      </c>
      <c r="BZ8" s="6">
        <v>1590</v>
      </c>
      <c r="CA8" s="35">
        <f t="shared" si="13"/>
        <v>365</v>
      </c>
      <c r="CB8" s="6">
        <v>711</v>
      </c>
      <c r="CC8" s="6"/>
      <c r="CD8" s="6">
        <f t="shared" si="14"/>
        <v>382</v>
      </c>
      <c r="CE8" s="6">
        <v>1092</v>
      </c>
      <c r="CF8" s="6"/>
      <c r="CG8" s="6">
        <f t="shared" si="15"/>
        <v>381</v>
      </c>
      <c r="CH8" s="6">
        <v>1468</v>
      </c>
      <c r="CI8" s="6"/>
      <c r="CJ8" s="6">
        <f t="shared" si="16"/>
        <v>376</v>
      </c>
      <c r="CK8" s="6">
        <v>271</v>
      </c>
      <c r="CL8" s="6">
        <v>1560</v>
      </c>
      <c r="CM8" s="6">
        <f t="shared" si="17"/>
        <v>363</v>
      </c>
      <c r="CN8" s="6"/>
      <c r="CO8" s="6"/>
      <c r="CP8" s="6"/>
      <c r="CQ8" s="6">
        <v>655</v>
      </c>
      <c r="CR8" s="6"/>
      <c r="CS8" s="6">
        <f t="shared" si="18"/>
        <v>384</v>
      </c>
      <c r="CT8" s="6">
        <v>1026</v>
      </c>
      <c r="CU8" s="6"/>
      <c r="CV8" s="6">
        <f t="shared" si="19"/>
        <v>371</v>
      </c>
      <c r="CW8" s="6">
        <v>1407</v>
      </c>
      <c r="CX8" s="6"/>
      <c r="CY8" s="6">
        <f t="shared" si="20"/>
        <v>381</v>
      </c>
      <c r="CZ8" s="6">
        <v>221</v>
      </c>
      <c r="DA8" s="6">
        <v>1560</v>
      </c>
      <c r="DB8" s="6">
        <f t="shared" si="21"/>
        <v>374</v>
      </c>
      <c r="DC8" s="6">
        <v>602</v>
      </c>
      <c r="DD8" s="6"/>
      <c r="DE8" s="6">
        <f t="shared" si="22"/>
        <v>381</v>
      </c>
      <c r="DF8" s="6">
        <v>955</v>
      </c>
      <c r="DG8" s="6"/>
      <c r="DH8" s="6">
        <f t="shared" si="23"/>
        <v>353</v>
      </c>
      <c r="DI8" s="6"/>
      <c r="DJ8" s="6"/>
      <c r="DK8" s="6"/>
      <c r="DL8" s="6">
        <v>1337</v>
      </c>
      <c r="DM8" s="6"/>
      <c r="DN8" s="6">
        <f t="shared" si="24"/>
        <v>382</v>
      </c>
      <c r="DO8" s="6">
        <v>127</v>
      </c>
      <c r="DP8" s="6">
        <v>1563</v>
      </c>
      <c r="DQ8" s="6">
        <f t="shared" si="25"/>
        <v>353</v>
      </c>
    </row>
    <row r="9" spans="1:121">
      <c r="A9" s="6">
        <v>5</v>
      </c>
      <c r="B9" s="6">
        <v>1367</v>
      </c>
      <c r="C9" s="6"/>
      <c r="D9" s="6">
        <v>354</v>
      </c>
      <c r="E9" s="33" t="s">
        <v>37</v>
      </c>
      <c r="F9" s="148" t="s">
        <v>37</v>
      </c>
      <c r="G9" s="33" t="s">
        <v>37</v>
      </c>
      <c r="H9" s="33" t="s">
        <v>37</v>
      </c>
      <c r="I9" s="33" t="s">
        <v>37</v>
      </c>
      <c r="J9" s="33" t="s">
        <v>37</v>
      </c>
      <c r="K9" s="33" t="s">
        <v>37</v>
      </c>
      <c r="L9" s="33" t="s">
        <v>37</v>
      </c>
      <c r="M9" s="33" t="s">
        <v>37</v>
      </c>
      <c r="N9" s="33" t="s">
        <v>37</v>
      </c>
      <c r="O9" s="33" t="s">
        <v>37</v>
      </c>
      <c r="P9" s="33" t="s">
        <v>37</v>
      </c>
      <c r="Q9" s="33" t="s">
        <v>37</v>
      </c>
      <c r="R9" s="33" t="s">
        <v>37</v>
      </c>
      <c r="S9" s="33" t="s">
        <v>37</v>
      </c>
      <c r="T9" s="33" t="s">
        <v>37</v>
      </c>
      <c r="U9" s="33" t="s">
        <v>37</v>
      </c>
      <c r="V9" s="33" t="s">
        <v>37</v>
      </c>
      <c r="W9" s="33" t="s">
        <v>37</v>
      </c>
      <c r="X9" s="33" t="s">
        <v>37</v>
      </c>
      <c r="Y9" s="33" t="s">
        <v>37</v>
      </c>
      <c r="Z9" s="33" t="s">
        <v>37</v>
      </c>
      <c r="AA9" s="148" t="s">
        <v>37</v>
      </c>
      <c r="AB9" s="33" t="s">
        <v>37</v>
      </c>
      <c r="AC9" s="33" t="s">
        <v>37</v>
      </c>
      <c r="AD9" s="33" t="s">
        <v>37</v>
      </c>
      <c r="AE9" s="33" t="s">
        <v>37</v>
      </c>
      <c r="AF9" s="6">
        <v>298</v>
      </c>
      <c r="AG9" s="6">
        <v>1448</v>
      </c>
      <c r="AH9" s="35">
        <f t="shared" si="0"/>
        <v>379</v>
      </c>
      <c r="AI9" s="6">
        <v>675</v>
      </c>
      <c r="AJ9" s="6"/>
      <c r="AK9" s="35">
        <f t="shared" si="1"/>
        <v>377</v>
      </c>
      <c r="AL9" s="35">
        <v>1054</v>
      </c>
      <c r="AM9" s="35"/>
      <c r="AN9" s="35">
        <f t="shared" si="2"/>
        <v>379</v>
      </c>
      <c r="AO9" s="35">
        <v>1419</v>
      </c>
      <c r="AP9" s="6"/>
      <c r="AQ9" s="35">
        <f t="shared" si="3"/>
        <v>365</v>
      </c>
      <c r="AR9" s="6">
        <v>243</v>
      </c>
      <c r="AS9" s="6">
        <v>1560</v>
      </c>
      <c r="AT9" s="34">
        <f t="shared" si="4"/>
        <v>384</v>
      </c>
      <c r="AU9" s="35">
        <v>607</v>
      </c>
      <c r="AV9" s="35"/>
      <c r="AW9" s="35">
        <f t="shared" si="5"/>
        <v>364</v>
      </c>
      <c r="AX9" s="6"/>
      <c r="AY9" s="6"/>
      <c r="AZ9" s="35"/>
      <c r="BA9" s="6">
        <v>994</v>
      </c>
      <c r="BB9" s="6"/>
      <c r="BC9" s="35">
        <f t="shared" si="6"/>
        <v>387</v>
      </c>
      <c r="BD9" s="35">
        <v>1377</v>
      </c>
      <c r="BE9" s="35"/>
      <c r="BF9" s="35">
        <f t="shared" si="7"/>
        <v>383</v>
      </c>
      <c r="BG9" s="6">
        <v>202</v>
      </c>
      <c r="BH9" s="6">
        <v>1560</v>
      </c>
      <c r="BI9" s="35">
        <f t="shared" si="8"/>
        <v>385</v>
      </c>
      <c r="BJ9" s="6">
        <v>577</v>
      </c>
      <c r="BK9" s="6"/>
      <c r="BL9" s="35">
        <f t="shared" si="9"/>
        <v>375</v>
      </c>
      <c r="BM9" s="6">
        <v>959</v>
      </c>
      <c r="BN9" s="6"/>
      <c r="BO9" s="6">
        <f t="shared" si="10"/>
        <v>382</v>
      </c>
      <c r="BP9" s="6">
        <v>1322</v>
      </c>
      <c r="BQ9" s="6"/>
      <c r="BR9" s="6">
        <f t="shared" si="11"/>
        <v>363</v>
      </c>
      <c r="BS9" s="6"/>
      <c r="BT9" s="6"/>
      <c r="BU9" s="35"/>
      <c r="BV9" s="6">
        <v>135</v>
      </c>
      <c r="BW9" s="6">
        <v>1560</v>
      </c>
      <c r="BX9" s="6">
        <f t="shared" si="12"/>
        <v>373</v>
      </c>
      <c r="BY9" s="6">
        <v>506</v>
      </c>
      <c r="BZ9" s="6"/>
      <c r="CA9" s="35">
        <f t="shared" si="13"/>
        <v>371</v>
      </c>
      <c r="CB9" s="6">
        <v>891</v>
      </c>
      <c r="CC9" s="6"/>
      <c r="CD9" s="6">
        <f t="shared" si="14"/>
        <v>385</v>
      </c>
      <c r="CE9" s="6">
        <v>1277</v>
      </c>
      <c r="CF9" s="6"/>
      <c r="CG9" s="6">
        <f t="shared" si="15"/>
        <v>386</v>
      </c>
      <c r="CH9" s="6">
        <v>101</v>
      </c>
      <c r="CI9" s="6">
        <v>1560</v>
      </c>
      <c r="CJ9" s="6">
        <f t="shared" si="16"/>
        <v>384</v>
      </c>
      <c r="CK9" s="6">
        <v>476</v>
      </c>
      <c r="CL9" s="6"/>
      <c r="CM9" s="6">
        <f t="shared" si="17"/>
        <v>375</v>
      </c>
      <c r="CN9" s="6"/>
      <c r="CO9" s="6"/>
      <c r="CP9" s="6"/>
      <c r="CQ9" s="6">
        <v>870</v>
      </c>
      <c r="CR9" s="6"/>
      <c r="CS9" s="6">
        <f t="shared" si="18"/>
        <v>394</v>
      </c>
      <c r="CT9" s="6">
        <v>1238</v>
      </c>
      <c r="CU9" s="6"/>
      <c r="CV9" s="6">
        <f t="shared" si="19"/>
        <v>368</v>
      </c>
      <c r="CW9" s="6">
        <v>1</v>
      </c>
      <c r="CX9" s="6">
        <v>1622</v>
      </c>
      <c r="CY9" s="6">
        <f t="shared" si="20"/>
        <v>385</v>
      </c>
      <c r="CZ9" s="6">
        <v>370</v>
      </c>
      <c r="DA9" s="6"/>
      <c r="DB9" s="6">
        <f t="shared" si="21"/>
        <v>369</v>
      </c>
      <c r="DC9" s="6">
        <v>754</v>
      </c>
      <c r="DD9" s="6"/>
      <c r="DE9" s="6">
        <f t="shared" si="22"/>
        <v>384</v>
      </c>
      <c r="DF9" s="6">
        <v>1114</v>
      </c>
      <c r="DG9" s="6"/>
      <c r="DH9" s="6">
        <f t="shared" si="23"/>
        <v>360</v>
      </c>
      <c r="DI9" s="6"/>
      <c r="DJ9" s="6"/>
      <c r="DK9" s="6"/>
      <c r="DL9" s="6">
        <v>1495</v>
      </c>
      <c r="DM9" s="6"/>
      <c r="DN9" s="6">
        <f t="shared" si="24"/>
        <v>381</v>
      </c>
      <c r="DO9" s="6">
        <v>346</v>
      </c>
      <c r="DP9" s="6">
        <v>1508</v>
      </c>
      <c r="DQ9" s="6">
        <f t="shared" si="25"/>
        <v>359</v>
      </c>
    </row>
    <row r="10" spans="1:121">
      <c r="A10" s="6">
        <v>6</v>
      </c>
      <c r="B10" s="6">
        <v>704</v>
      </c>
      <c r="C10" s="6"/>
      <c r="D10" s="6">
        <v>354</v>
      </c>
      <c r="E10" s="33" t="s">
        <v>307</v>
      </c>
      <c r="F10" s="33" t="s">
        <v>307</v>
      </c>
      <c r="G10" s="33" t="s">
        <v>307</v>
      </c>
      <c r="H10" s="33" t="s">
        <v>307</v>
      </c>
      <c r="I10" s="33" t="s">
        <v>307</v>
      </c>
      <c r="J10" s="33" t="s">
        <v>307</v>
      </c>
      <c r="K10" s="33" t="s">
        <v>307</v>
      </c>
      <c r="L10" s="33" t="s">
        <v>307</v>
      </c>
      <c r="M10" s="33" t="s">
        <v>307</v>
      </c>
      <c r="N10" s="33" t="s">
        <v>307</v>
      </c>
      <c r="O10" s="33" t="s">
        <v>307</v>
      </c>
      <c r="P10" s="33" t="s">
        <v>307</v>
      </c>
      <c r="Q10" s="33" t="s">
        <v>307</v>
      </c>
      <c r="R10" s="148" t="s">
        <v>307</v>
      </c>
      <c r="S10" s="33" t="s">
        <v>307</v>
      </c>
      <c r="T10" s="33" t="s">
        <v>307</v>
      </c>
      <c r="U10" s="33" t="s">
        <v>307</v>
      </c>
      <c r="V10" s="33" t="s">
        <v>307</v>
      </c>
      <c r="W10" s="33" t="s">
        <v>307</v>
      </c>
      <c r="X10" s="33" t="s">
        <v>307</v>
      </c>
      <c r="Y10" s="33" t="s">
        <v>307</v>
      </c>
      <c r="Z10" s="33" t="s">
        <v>307</v>
      </c>
      <c r="AA10" s="33" t="s">
        <v>307</v>
      </c>
      <c r="AB10" s="33" t="s">
        <v>307</v>
      </c>
      <c r="AC10" s="33" t="s">
        <v>307</v>
      </c>
      <c r="AD10" s="33" t="s">
        <v>307</v>
      </c>
      <c r="AE10" s="33" t="s">
        <v>307</v>
      </c>
      <c r="AF10" s="6">
        <v>1108</v>
      </c>
      <c r="AG10" s="6"/>
      <c r="AH10" s="35">
        <f t="shared" si="0"/>
        <v>404</v>
      </c>
      <c r="AI10" s="6">
        <v>1492</v>
      </c>
      <c r="AJ10" s="6"/>
      <c r="AK10" s="35">
        <f t="shared" si="1"/>
        <v>384</v>
      </c>
      <c r="AL10" s="35">
        <v>330</v>
      </c>
      <c r="AM10" s="35">
        <v>1560</v>
      </c>
      <c r="AN10" s="35">
        <f t="shared" si="2"/>
        <v>398</v>
      </c>
      <c r="AO10" s="6">
        <v>728</v>
      </c>
      <c r="AP10" s="6"/>
      <c r="AQ10" s="35">
        <f t="shared" si="3"/>
        <v>398</v>
      </c>
      <c r="AR10" s="6">
        <v>1127</v>
      </c>
      <c r="AS10" s="6"/>
      <c r="AT10" s="34">
        <f t="shared" si="4"/>
        <v>399</v>
      </c>
      <c r="AU10" s="35">
        <v>1494</v>
      </c>
      <c r="AV10" s="35"/>
      <c r="AW10" s="35">
        <f t="shared" si="5"/>
        <v>367</v>
      </c>
      <c r="AX10" s="6"/>
      <c r="AY10" s="6"/>
      <c r="AZ10" s="35"/>
      <c r="BA10" s="6">
        <v>321</v>
      </c>
      <c r="BB10" s="6">
        <v>1563</v>
      </c>
      <c r="BC10" s="35">
        <f t="shared" si="6"/>
        <v>390</v>
      </c>
      <c r="BD10" s="35">
        <v>706</v>
      </c>
      <c r="BE10" s="35"/>
      <c r="BF10" s="35">
        <f t="shared" si="7"/>
        <v>385</v>
      </c>
      <c r="BG10" s="6">
        <v>1094</v>
      </c>
      <c r="BH10" s="6"/>
      <c r="BI10" s="35">
        <f t="shared" si="8"/>
        <v>388</v>
      </c>
      <c r="BJ10" s="6">
        <v>1474</v>
      </c>
      <c r="BK10" s="6"/>
      <c r="BL10" s="35">
        <f t="shared" si="9"/>
        <v>380</v>
      </c>
      <c r="BM10" s="6">
        <v>302</v>
      </c>
      <c r="BN10" s="6">
        <v>1560</v>
      </c>
      <c r="BO10" s="6">
        <f t="shared" si="10"/>
        <v>388</v>
      </c>
      <c r="BP10" s="6">
        <v>0</v>
      </c>
      <c r="BQ10" s="6">
        <v>624</v>
      </c>
      <c r="BR10" s="6">
        <f t="shared" si="11"/>
        <v>322</v>
      </c>
      <c r="BS10" s="6"/>
      <c r="BT10" s="6"/>
      <c r="BU10" s="35"/>
      <c r="BV10" s="6">
        <v>0</v>
      </c>
      <c r="BW10" s="6"/>
      <c r="BX10" s="6">
        <f t="shared" si="12"/>
        <v>0</v>
      </c>
      <c r="BY10" s="6">
        <v>0</v>
      </c>
      <c r="BZ10" s="6"/>
      <c r="CA10" s="35">
        <f t="shared" si="13"/>
        <v>0</v>
      </c>
      <c r="CB10" s="6">
        <v>0</v>
      </c>
      <c r="CC10" s="6"/>
      <c r="CD10" s="6">
        <f>CC10+CB10-BY10</f>
        <v>0</v>
      </c>
      <c r="CE10" s="6">
        <v>0</v>
      </c>
      <c r="CF10" s="6"/>
      <c r="CG10" s="6">
        <f t="shared" si="15"/>
        <v>0</v>
      </c>
      <c r="CH10" s="6">
        <v>0</v>
      </c>
      <c r="CI10" s="6"/>
      <c r="CJ10" s="6">
        <f t="shared" si="16"/>
        <v>0</v>
      </c>
      <c r="CK10" s="6">
        <v>4</v>
      </c>
      <c r="CL10" s="6"/>
      <c r="CM10" s="6">
        <f t="shared" si="17"/>
        <v>4</v>
      </c>
      <c r="CN10" s="6"/>
      <c r="CO10" s="6"/>
      <c r="CP10" s="6"/>
      <c r="CQ10" s="6">
        <v>397</v>
      </c>
      <c r="CR10" s="6"/>
      <c r="CS10" s="6">
        <f t="shared" si="18"/>
        <v>393</v>
      </c>
      <c r="CT10" s="6">
        <v>779</v>
      </c>
      <c r="CU10" s="6"/>
      <c r="CV10" s="6">
        <f t="shared" si="19"/>
        <v>382</v>
      </c>
      <c r="CW10" s="6">
        <v>1161</v>
      </c>
      <c r="CX10" s="6"/>
      <c r="CY10" s="6">
        <f t="shared" si="20"/>
        <v>382</v>
      </c>
      <c r="CZ10" s="6">
        <v>1544</v>
      </c>
      <c r="DA10" s="6"/>
      <c r="DB10" s="6">
        <f t="shared" si="21"/>
        <v>383</v>
      </c>
      <c r="DC10" s="6">
        <v>104</v>
      </c>
      <c r="DD10" s="6">
        <v>1820</v>
      </c>
      <c r="DE10" s="6">
        <f t="shared" si="22"/>
        <v>380</v>
      </c>
      <c r="DF10" s="6">
        <v>472</v>
      </c>
      <c r="DG10" s="6"/>
      <c r="DH10" s="6">
        <f t="shared" si="23"/>
        <v>368</v>
      </c>
      <c r="DI10" s="6"/>
      <c r="DJ10" s="6"/>
      <c r="DK10" s="6"/>
      <c r="DL10" s="6">
        <v>853</v>
      </c>
      <c r="DM10" s="6"/>
      <c r="DN10" s="6">
        <f t="shared" si="24"/>
        <v>381</v>
      </c>
      <c r="DO10" s="6">
        <v>1210</v>
      </c>
      <c r="DP10" s="6"/>
      <c r="DQ10" s="6">
        <f t="shared" si="25"/>
        <v>357</v>
      </c>
    </row>
    <row r="11" spans="1:121">
      <c r="A11" s="6">
        <v>7</v>
      </c>
      <c r="B11" s="6">
        <v>988</v>
      </c>
      <c r="C11" s="6"/>
      <c r="D11" s="6">
        <v>349</v>
      </c>
      <c r="E11" s="33" t="s">
        <v>37</v>
      </c>
      <c r="F11" s="148" t="s">
        <v>37</v>
      </c>
      <c r="G11" s="33" t="s">
        <v>37</v>
      </c>
      <c r="H11" s="33" t="s">
        <v>37</v>
      </c>
      <c r="I11" s="33" t="s">
        <v>37</v>
      </c>
      <c r="J11" s="33" t="s">
        <v>37</v>
      </c>
      <c r="K11" s="33" t="s">
        <v>37</v>
      </c>
      <c r="L11" s="33" t="s">
        <v>37</v>
      </c>
      <c r="M11" s="33" t="s">
        <v>37</v>
      </c>
      <c r="N11" s="33" t="s">
        <v>37</v>
      </c>
      <c r="O11" s="33" t="s">
        <v>37</v>
      </c>
      <c r="P11" s="33" t="s">
        <v>37</v>
      </c>
      <c r="Q11" s="33" t="s">
        <v>37</v>
      </c>
      <c r="R11" s="33" t="s">
        <v>37</v>
      </c>
      <c r="S11" s="33" t="s">
        <v>37</v>
      </c>
      <c r="T11" s="33" t="s">
        <v>37</v>
      </c>
      <c r="U11" s="33" t="s">
        <v>37</v>
      </c>
      <c r="V11" s="33" t="s">
        <v>37</v>
      </c>
      <c r="W11" s="33" t="s">
        <v>37</v>
      </c>
      <c r="X11" s="33" t="s">
        <v>37</v>
      </c>
      <c r="Y11" s="33" t="s">
        <v>37</v>
      </c>
      <c r="Z11" s="33" t="s">
        <v>37</v>
      </c>
      <c r="AA11" s="148" t="s">
        <v>37</v>
      </c>
      <c r="AB11" s="33" t="s">
        <v>37</v>
      </c>
      <c r="AC11" s="33" t="s">
        <v>37</v>
      </c>
      <c r="AD11" s="33" t="s">
        <v>37</v>
      </c>
      <c r="AE11" s="33" t="s">
        <v>37</v>
      </c>
      <c r="AF11" s="6">
        <v>281</v>
      </c>
      <c r="AG11" s="35">
        <v>1092</v>
      </c>
      <c r="AH11" s="35">
        <f t="shared" si="0"/>
        <v>385</v>
      </c>
      <c r="AI11" s="6">
        <v>657</v>
      </c>
      <c r="AJ11" s="35"/>
      <c r="AK11" s="35">
        <f t="shared" si="1"/>
        <v>376</v>
      </c>
      <c r="AL11" s="35">
        <v>1038</v>
      </c>
      <c r="AM11" s="35"/>
      <c r="AN11" s="35">
        <f t="shared" si="2"/>
        <v>381</v>
      </c>
      <c r="AO11" s="35">
        <v>1412</v>
      </c>
      <c r="AP11" s="6"/>
      <c r="AQ11" s="35">
        <f t="shared" si="3"/>
        <v>374</v>
      </c>
      <c r="AR11" s="6">
        <v>229</v>
      </c>
      <c r="AS11" s="6">
        <v>1560</v>
      </c>
      <c r="AT11" s="34">
        <f t="shared" si="4"/>
        <v>377</v>
      </c>
      <c r="AU11" s="35">
        <v>588</v>
      </c>
      <c r="AV11" s="35"/>
      <c r="AW11" s="35">
        <f t="shared" si="5"/>
        <v>359</v>
      </c>
      <c r="AX11" s="6"/>
      <c r="AY11" s="6"/>
      <c r="AZ11" s="35"/>
      <c r="BA11" s="6">
        <v>967</v>
      </c>
      <c r="BB11" s="6"/>
      <c r="BC11" s="35">
        <f t="shared" si="6"/>
        <v>379</v>
      </c>
      <c r="BD11" s="35">
        <v>1334</v>
      </c>
      <c r="BE11" s="35"/>
      <c r="BF11" s="35">
        <f t="shared" si="7"/>
        <v>367</v>
      </c>
      <c r="BG11" s="6">
        <v>138</v>
      </c>
      <c r="BH11" s="6">
        <v>1560</v>
      </c>
      <c r="BI11" s="35">
        <f t="shared" si="8"/>
        <v>364</v>
      </c>
      <c r="BJ11" s="6">
        <v>510</v>
      </c>
      <c r="BK11" s="6"/>
      <c r="BL11" s="35">
        <f t="shared" si="9"/>
        <v>372</v>
      </c>
      <c r="BM11" s="6">
        <v>888</v>
      </c>
      <c r="BN11" s="6"/>
      <c r="BO11" s="6">
        <f t="shared" si="10"/>
        <v>378</v>
      </c>
      <c r="BP11" s="6">
        <v>1240</v>
      </c>
      <c r="BQ11" s="6"/>
      <c r="BR11" s="6">
        <f t="shared" si="11"/>
        <v>352</v>
      </c>
      <c r="BS11" s="6"/>
      <c r="BT11" s="6"/>
      <c r="BU11" s="35"/>
      <c r="BV11" s="6">
        <v>64</v>
      </c>
      <c r="BW11" s="6">
        <v>1560</v>
      </c>
      <c r="BX11" s="6">
        <f t="shared" si="12"/>
        <v>384</v>
      </c>
      <c r="BY11" s="6">
        <v>443</v>
      </c>
      <c r="BZ11" s="6"/>
      <c r="CA11" s="35">
        <f t="shared" si="13"/>
        <v>379</v>
      </c>
      <c r="CB11" s="6">
        <v>817</v>
      </c>
      <c r="CC11" s="6"/>
      <c r="CD11" s="6">
        <f t="shared" si="14"/>
        <v>374</v>
      </c>
      <c r="CE11" s="6">
        <v>1189</v>
      </c>
      <c r="CF11" s="6"/>
      <c r="CG11" s="6">
        <f t="shared" si="15"/>
        <v>372</v>
      </c>
      <c r="CH11" s="6">
        <v>11</v>
      </c>
      <c r="CI11" s="6">
        <v>1560</v>
      </c>
      <c r="CJ11" s="6">
        <f t="shared" si="16"/>
        <v>382</v>
      </c>
      <c r="CK11" s="6">
        <v>376</v>
      </c>
      <c r="CL11" s="6"/>
      <c r="CM11" s="6">
        <f t="shared" si="17"/>
        <v>365</v>
      </c>
      <c r="CN11" s="6"/>
      <c r="CO11" s="6"/>
      <c r="CP11" s="6"/>
      <c r="CQ11" s="6">
        <v>749</v>
      </c>
      <c r="CR11" s="6"/>
      <c r="CS11" s="6">
        <f t="shared" si="18"/>
        <v>373</v>
      </c>
      <c r="CT11" s="6">
        <v>333</v>
      </c>
      <c r="CU11" s="6">
        <v>774</v>
      </c>
      <c r="CV11" s="6">
        <f t="shared" si="19"/>
        <v>358</v>
      </c>
      <c r="CW11" s="6">
        <v>711</v>
      </c>
      <c r="CX11" s="6"/>
      <c r="CY11" s="6">
        <f t="shared" si="20"/>
        <v>378</v>
      </c>
      <c r="CZ11" s="6">
        <v>245</v>
      </c>
      <c r="DA11" s="6">
        <v>837</v>
      </c>
      <c r="DB11" s="6">
        <f t="shared" si="21"/>
        <v>371</v>
      </c>
      <c r="DC11" s="6">
        <v>617</v>
      </c>
      <c r="DD11" s="6"/>
      <c r="DE11" s="6">
        <f t="shared" si="22"/>
        <v>372</v>
      </c>
      <c r="DF11" s="6">
        <v>976</v>
      </c>
      <c r="DG11" s="6"/>
      <c r="DH11" s="6">
        <f t="shared" si="23"/>
        <v>359</v>
      </c>
      <c r="DI11" s="6"/>
      <c r="DJ11" s="6"/>
      <c r="DK11" s="6"/>
      <c r="DL11" s="6">
        <v>1362</v>
      </c>
      <c r="DM11" s="6"/>
      <c r="DN11" s="6">
        <f t="shared" si="24"/>
        <v>386</v>
      </c>
      <c r="DO11" s="6">
        <v>160</v>
      </c>
      <c r="DP11" s="6">
        <v>1560</v>
      </c>
      <c r="DQ11" s="6">
        <f t="shared" si="25"/>
        <v>358</v>
      </c>
    </row>
    <row r="12" spans="1:121">
      <c r="A12" s="6">
        <v>8</v>
      </c>
      <c r="B12" s="6">
        <v>1059</v>
      </c>
      <c r="C12" s="6"/>
      <c r="D12" s="6">
        <v>351</v>
      </c>
      <c r="E12" s="33" t="s">
        <v>307</v>
      </c>
      <c r="F12" s="33" t="s">
        <v>307</v>
      </c>
      <c r="G12" s="33" t="s">
        <v>307</v>
      </c>
      <c r="H12" s="33" t="s">
        <v>307</v>
      </c>
      <c r="I12" s="33" t="s">
        <v>307</v>
      </c>
      <c r="J12" s="33" t="s">
        <v>307</v>
      </c>
      <c r="K12" s="148" t="s">
        <v>37</v>
      </c>
      <c r="L12" s="33" t="s">
        <v>37</v>
      </c>
      <c r="M12" s="33" t="s">
        <v>37</v>
      </c>
      <c r="N12" s="33" t="s">
        <v>37</v>
      </c>
      <c r="O12" s="33" t="s">
        <v>37</v>
      </c>
      <c r="P12" s="33" t="s">
        <v>37</v>
      </c>
      <c r="Q12" s="33" t="s">
        <v>37</v>
      </c>
      <c r="R12" s="33" t="s">
        <v>37</v>
      </c>
      <c r="S12" s="33" t="s">
        <v>37</v>
      </c>
      <c r="T12" s="33" t="s">
        <v>37</v>
      </c>
      <c r="U12" s="33" t="s">
        <v>37</v>
      </c>
      <c r="V12" s="33" t="s">
        <v>37</v>
      </c>
      <c r="W12" s="33" t="s">
        <v>37</v>
      </c>
      <c r="X12" s="33" t="s">
        <v>37</v>
      </c>
      <c r="Y12" s="33" t="s">
        <v>37</v>
      </c>
      <c r="Z12" s="33" t="s">
        <v>37</v>
      </c>
      <c r="AA12" s="33" t="s">
        <v>37</v>
      </c>
      <c r="AB12" s="33" t="s">
        <v>37</v>
      </c>
      <c r="AC12" s="33" t="s">
        <v>37</v>
      </c>
      <c r="AD12" s="33" t="s">
        <v>37</v>
      </c>
      <c r="AE12" s="33" t="s">
        <v>37</v>
      </c>
      <c r="AF12" s="35">
        <v>136</v>
      </c>
      <c r="AG12" s="35">
        <v>1321</v>
      </c>
      <c r="AH12" s="35">
        <f t="shared" si="0"/>
        <v>398</v>
      </c>
      <c r="AI12" s="35">
        <v>509</v>
      </c>
      <c r="AJ12" s="35"/>
      <c r="AK12" s="35">
        <f t="shared" si="1"/>
        <v>373</v>
      </c>
      <c r="AL12" s="35">
        <v>866</v>
      </c>
      <c r="AM12" s="35"/>
      <c r="AN12" s="35">
        <f t="shared" si="2"/>
        <v>357</v>
      </c>
      <c r="AO12" s="35">
        <v>1241</v>
      </c>
      <c r="AP12" s="35"/>
      <c r="AQ12" s="35">
        <f t="shared" si="3"/>
        <v>375</v>
      </c>
      <c r="AR12" s="35">
        <v>0</v>
      </c>
      <c r="AS12" s="35">
        <v>1557</v>
      </c>
      <c r="AT12" s="34">
        <f t="shared" si="4"/>
        <v>316</v>
      </c>
      <c r="AU12" s="35">
        <v>351</v>
      </c>
      <c r="AV12" s="35"/>
      <c r="AW12" s="35">
        <f t="shared" si="5"/>
        <v>351</v>
      </c>
      <c r="AX12" s="6"/>
      <c r="AY12" s="6"/>
      <c r="AZ12" s="35"/>
      <c r="BA12" s="35">
        <v>737</v>
      </c>
      <c r="BB12" s="35"/>
      <c r="BC12" s="35">
        <f t="shared" si="6"/>
        <v>386</v>
      </c>
      <c r="BD12" s="35">
        <v>1116</v>
      </c>
      <c r="BE12" s="35"/>
      <c r="BF12" s="35">
        <f t="shared" si="7"/>
        <v>379</v>
      </c>
      <c r="BG12" s="6">
        <v>1494</v>
      </c>
      <c r="BH12" s="6"/>
      <c r="BI12" s="35">
        <f t="shared" si="8"/>
        <v>378</v>
      </c>
      <c r="BJ12" s="6">
        <v>314</v>
      </c>
      <c r="BK12" s="6">
        <v>1560</v>
      </c>
      <c r="BL12" s="35">
        <f t="shared" si="9"/>
        <v>380</v>
      </c>
      <c r="BM12" s="6">
        <v>695</v>
      </c>
      <c r="BN12" s="35"/>
      <c r="BO12" s="6">
        <f t="shared" si="10"/>
        <v>381</v>
      </c>
      <c r="BP12" s="6">
        <v>1057</v>
      </c>
      <c r="BQ12" s="6"/>
      <c r="BR12" s="6">
        <f t="shared" si="11"/>
        <v>362</v>
      </c>
      <c r="BS12" s="6"/>
      <c r="BT12" s="6"/>
      <c r="BU12" s="35"/>
      <c r="BV12" s="6">
        <v>1443</v>
      </c>
      <c r="BW12" s="6"/>
      <c r="BX12" s="6">
        <f t="shared" si="12"/>
        <v>386</v>
      </c>
      <c r="BY12" s="6">
        <v>264</v>
      </c>
      <c r="BZ12" s="6">
        <v>1560</v>
      </c>
      <c r="CA12" s="35">
        <f t="shared" si="13"/>
        <v>381</v>
      </c>
      <c r="CB12" s="6">
        <v>640</v>
      </c>
      <c r="CC12" s="35"/>
      <c r="CD12" s="6">
        <f t="shared" si="14"/>
        <v>376</v>
      </c>
      <c r="CE12" s="6">
        <v>1020</v>
      </c>
      <c r="CF12" s="6"/>
      <c r="CG12" s="6">
        <f t="shared" si="15"/>
        <v>380</v>
      </c>
      <c r="CH12" s="6">
        <v>1396</v>
      </c>
      <c r="CI12" s="35"/>
      <c r="CJ12" s="6">
        <f t="shared" si="16"/>
        <v>376</v>
      </c>
      <c r="CK12" s="6">
        <v>202</v>
      </c>
      <c r="CL12" s="6">
        <v>1562</v>
      </c>
      <c r="CM12" s="6">
        <f t="shared" si="17"/>
        <v>368</v>
      </c>
      <c r="CN12" s="6"/>
      <c r="CO12" s="6"/>
      <c r="CP12" s="6"/>
      <c r="CQ12" s="6">
        <v>590</v>
      </c>
      <c r="CR12" s="6"/>
      <c r="CS12" s="6">
        <f t="shared" si="18"/>
        <v>388</v>
      </c>
      <c r="CT12" s="6">
        <v>969</v>
      </c>
      <c r="CU12" s="6"/>
      <c r="CV12" s="6">
        <f t="shared" si="19"/>
        <v>379</v>
      </c>
      <c r="CW12" s="6">
        <v>1342</v>
      </c>
      <c r="CX12" s="6"/>
      <c r="CY12" s="6">
        <f t="shared" si="20"/>
        <v>373</v>
      </c>
      <c r="CZ12" s="6">
        <v>158</v>
      </c>
      <c r="DA12" s="6">
        <v>1560</v>
      </c>
      <c r="DB12" s="6">
        <f t="shared" si="21"/>
        <v>376</v>
      </c>
      <c r="DC12" s="6">
        <v>531</v>
      </c>
      <c r="DD12" s="6"/>
      <c r="DE12" s="6">
        <f t="shared" si="22"/>
        <v>373</v>
      </c>
      <c r="DF12" s="6">
        <v>889</v>
      </c>
      <c r="DG12" s="6"/>
      <c r="DH12" s="6">
        <f t="shared" si="23"/>
        <v>358</v>
      </c>
      <c r="DI12" s="6"/>
      <c r="DJ12" s="6"/>
      <c r="DK12" s="6"/>
      <c r="DL12" s="6">
        <v>1275</v>
      </c>
      <c r="DM12" s="6"/>
      <c r="DN12" s="6">
        <f t="shared" si="24"/>
        <v>386</v>
      </c>
      <c r="DO12" s="6">
        <v>0</v>
      </c>
      <c r="DP12" s="6">
        <v>1591</v>
      </c>
      <c r="DQ12" s="6">
        <f t="shared" si="25"/>
        <v>316</v>
      </c>
    </row>
    <row r="13" spans="1:121">
      <c r="A13" s="6">
        <v>9</v>
      </c>
      <c r="B13" s="6">
        <v>288</v>
      </c>
      <c r="C13" s="6">
        <v>1559</v>
      </c>
      <c r="D13" s="6">
        <v>350</v>
      </c>
      <c r="E13" s="33" t="s">
        <v>307</v>
      </c>
      <c r="F13" s="33" t="s">
        <v>307</v>
      </c>
      <c r="G13" s="33" t="s">
        <v>307</v>
      </c>
      <c r="H13" s="33" t="s">
        <v>307</v>
      </c>
      <c r="I13" s="33" t="s">
        <v>307</v>
      </c>
      <c r="J13" s="33" t="s">
        <v>307</v>
      </c>
      <c r="K13" s="33" t="s">
        <v>307</v>
      </c>
      <c r="L13" s="33" t="s">
        <v>307</v>
      </c>
      <c r="M13" s="33" t="s">
        <v>307</v>
      </c>
      <c r="N13" s="33" t="s">
        <v>307</v>
      </c>
      <c r="O13" s="33" t="s">
        <v>307</v>
      </c>
      <c r="P13" s="33" t="s">
        <v>307</v>
      </c>
      <c r="Q13" s="33" t="s">
        <v>307</v>
      </c>
      <c r="R13" s="33" t="s">
        <v>307</v>
      </c>
      <c r="S13" s="33" t="s">
        <v>307</v>
      </c>
      <c r="T13" s="33" t="s">
        <v>307</v>
      </c>
      <c r="U13" s="33" t="s">
        <v>307</v>
      </c>
      <c r="V13" s="33" t="s">
        <v>307</v>
      </c>
      <c r="W13" s="148" t="s">
        <v>307</v>
      </c>
      <c r="X13" s="33" t="s">
        <v>307</v>
      </c>
      <c r="Y13" s="33" t="s">
        <v>307</v>
      </c>
      <c r="Z13" s="33" t="s">
        <v>307</v>
      </c>
      <c r="AA13" s="33" t="s">
        <v>307</v>
      </c>
      <c r="AB13" s="33" t="s">
        <v>307</v>
      </c>
      <c r="AC13" s="33" t="s">
        <v>307</v>
      </c>
      <c r="AD13" s="33" t="s">
        <v>307</v>
      </c>
      <c r="AE13" s="33" t="s">
        <v>307</v>
      </c>
      <c r="AF13" s="35">
        <v>704</v>
      </c>
      <c r="AG13" s="35"/>
      <c r="AH13" s="35">
        <f t="shared" si="0"/>
        <v>416</v>
      </c>
      <c r="AI13" s="35">
        <v>1080</v>
      </c>
      <c r="AJ13" s="35"/>
      <c r="AK13" s="35">
        <f t="shared" si="1"/>
        <v>376</v>
      </c>
      <c r="AL13" s="35">
        <v>1470</v>
      </c>
      <c r="AM13" s="35"/>
      <c r="AN13" s="35">
        <f t="shared" si="2"/>
        <v>390</v>
      </c>
      <c r="AO13" s="35">
        <v>295</v>
      </c>
      <c r="AP13" s="35">
        <v>1560</v>
      </c>
      <c r="AQ13" s="35">
        <f t="shared" si="3"/>
        <v>385</v>
      </c>
      <c r="AR13" s="6">
        <v>685</v>
      </c>
      <c r="AS13" s="6"/>
      <c r="AT13" s="34">
        <f t="shared" si="4"/>
        <v>390</v>
      </c>
      <c r="AU13" s="35">
        <v>1032</v>
      </c>
      <c r="AV13" s="35"/>
      <c r="AW13" s="35">
        <f t="shared" si="5"/>
        <v>347</v>
      </c>
      <c r="AX13" s="6"/>
      <c r="AY13" s="6"/>
      <c r="AZ13" s="35"/>
      <c r="BA13" s="6">
        <v>1422</v>
      </c>
      <c r="BB13" s="6"/>
      <c r="BC13" s="35">
        <f t="shared" si="6"/>
        <v>390</v>
      </c>
      <c r="BD13" s="6">
        <v>247</v>
      </c>
      <c r="BE13" s="6">
        <v>1560</v>
      </c>
      <c r="BF13" s="35">
        <f t="shared" si="7"/>
        <v>385</v>
      </c>
      <c r="BG13" s="6">
        <v>628</v>
      </c>
      <c r="BH13" s="6"/>
      <c r="BI13" s="35">
        <f t="shared" si="8"/>
        <v>381</v>
      </c>
      <c r="BJ13" s="6">
        <v>1014</v>
      </c>
      <c r="BK13" s="6"/>
      <c r="BL13" s="35">
        <f t="shared" si="9"/>
        <v>386</v>
      </c>
      <c r="BM13" s="6">
        <v>1400</v>
      </c>
      <c r="BN13" s="35"/>
      <c r="BO13" s="6">
        <f t="shared" si="10"/>
        <v>386</v>
      </c>
      <c r="BP13" s="6">
        <v>1742</v>
      </c>
      <c r="BQ13" s="6"/>
      <c r="BR13" s="6">
        <f t="shared" si="11"/>
        <v>342</v>
      </c>
      <c r="BS13" s="6"/>
      <c r="BT13" s="6"/>
      <c r="BU13" s="35"/>
      <c r="BV13" s="6">
        <v>141</v>
      </c>
      <c r="BW13" s="6">
        <v>1820</v>
      </c>
      <c r="BX13" s="6">
        <f t="shared" si="12"/>
        <v>219</v>
      </c>
      <c r="BY13" s="6">
        <v>367</v>
      </c>
      <c r="BZ13" s="6"/>
      <c r="CA13" s="35">
        <f t="shared" si="13"/>
        <v>226</v>
      </c>
      <c r="CB13" s="6">
        <v>744</v>
      </c>
      <c r="CC13" s="35"/>
      <c r="CD13" s="6">
        <f t="shared" si="14"/>
        <v>377</v>
      </c>
      <c r="CE13" s="6">
        <v>1122</v>
      </c>
      <c r="CF13" s="6"/>
      <c r="CG13" s="6">
        <f t="shared" si="15"/>
        <v>378</v>
      </c>
      <c r="CH13" s="6">
        <v>0</v>
      </c>
      <c r="CI13" s="35">
        <v>1366</v>
      </c>
      <c r="CJ13" s="6">
        <f t="shared" si="16"/>
        <v>244</v>
      </c>
      <c r="CK13" s="6">
        <v>14</v>
      </c>
      <c r="CL13" s="6"/>
      <c r="CM13" s="6">
        <f t="shared" si="17"/>
        <v>14</v>
      </c>
      <c r="CN13" s="6"/>
      <c r="CO13" s="6"/>
      <c r="CP13" s="6"/>
      <c r="CQ13" s="6">
        <v>407</v>
      </c>
      <c r="CR13" s="6"/>
      <c r="CS13" s="6">
        <f t="shared" si="18"/>
        <v>393</v>
      </c>
      <c r="CT13" s="6">
        <v>775</v>
      </c>
      <c r="CU13" s="6"/>
      <c r="CV13" s="6">
        <f t="shared" si="19"/>
        <v>368</v>
      </c>
      <c r="CW13" s="6">
        <v>1165</v>
      </c>
      <c r="CX13" s="6"/>
      <c r="CY13" s="6">
        <f t="shared" si="20"/>
        <v>390</v>
      </c>
      <c r="CZ13" s="6">
        <v>1558</v>
      </c>
      <c r="DA13" s="6"/>
      <c r="DB13" s="6">
        <f t="shared" si="21"/>
        <v>393</v>
      </c>
      <c r="DC13" s="6">
        <v>115</v>
      </c>
      <c r="DD13" s="6">
        <v>1820</v>
      </c>
      <c r="DE13" s="6">
        <f t="shared" si="22"/>
        <v>377</v>
      </c>
      <c r="DF13" s="6">
        <v>479</v>
      </c>
      <c r="DG13" s="6"/>
      <c r="DH13" s="6">
        <f t="shared" si="23"/>
        <v>364</v>
      </c>
      <c r="DI13" s="6"/>
      <c r="DJ13" s="6"/>
      <c r="DK13" s="6"/>
      <c r="DL13" s="6">
        <v>865</v>
      </c>
      <c r="DM13" s="6"/>
      <c r="DN13" s="6">
        <f t="shared" si="24"/>
        <v>386</v>
      </c>
      <c r="DO13" s="6">
        <v>1226</v>
      </c>
      <c r="DP13" s="6"/>
      <c r="DQ13" s="6">
        <f t="shared" si="25"/>
        <v>361</v>
      </c>
    </row>
    <row r="14" spans="1:121">
      <c r="A14" s="6">
        <v>10</v>
      </c>
      <c r="B14" s="6">
        <v>319</v>
      </c>
      <c r="C14" s="6"/>
      <c r="D14" s="6">
        <v>319</v>
      </c>
      <c r="E14" s="148" t="s">
        <v>37</v>
      </c>
      <c r="F14" s="33" t="s">
        <v>37</v>
      </c>
      <c r="G14" s="33" t="s">
        <v>37</v>
      </c>
      <c r="H14" s="33" t="s">
        <v>37</v>
      </c>
      <c r="I14" s="33" t="s">
        <v>37</v>
      </c>
      <c r="J14" s="33" t="s">
        <v>37</v>
      </c>
      <c r="K14" s="33" t="s">
        <v>37</v>
      </c>
      <c r="L14" s="33" t="s">
        <v>37</v>
      </c>
      <c r="M14" s="33" t="s">
        <v>37</v>
      </c>
      <c r="N14" s="33" t="s">
        <v>37</v>
      </c>
      <c r="O14" s="33" t="s">
        <v>37</v>
      </c>
      <c r="P14" s="33" t="s">
        <v>37</v>
      </c>
      <c r="Q14" s="33" t="s">
        <v>37</v>
      </c>
      <c r="R14" s="33" t="s">
        <v>37</v>
      </c>
      <c r="S14" s="33" t="s">
        <v>37</v>
      </c>
      <c r="T14" s="33" t="s">
        <v>37</v>
      </c>
      <c r="U14" s="33" t="s">
        <v>37</v>
      </c>
      <c r="V14" s="33" t="s">
        <v>37</v>
      </c>
      <c r="W14" s="33" t="s">
        <v>37</v>
      </c>
      <c r="X14" s="33" t="s">
        <v>37</v>
      </c>
      <c r="Y14" s="33" t="s">
        <v>37</v>
      </c>
      <c r="Z14" s="148" t="s">
        <v>37</v>
      </c>
      <c r="AA14" s="33" t="s">
        <v>37</v>
      </c>
      <c r="AB14" s="33" t="s">
        <v>37</v>
      </c>
      <c r="AC14" s="33" t="s">
        <v>37</v>
      </c>
      <c r="AD14" s="33" t="s">
        <v>37</v>
      </c>
      <c r="AE14" s="33" t="s">
        <v>37</v>
      </c>
      <c r="AF14" s="6">
        <v>728</v>
      </c>
      <c r="AG14" s="6"/>
      <c r="AH14" s="35">
        <f t="shared" si="0"/>
        <v>409</v>
      </c>
      <c r="AI14" s="6">
        <v>1106</v>
      </c>
      <c r="AJ14" s="6"/>
      <c r="AK14" s="35">
        <f t="shared" si="1"/>
        <v>378</v>
      </c>
      <c r="AL14" s="35">
        <v>355</v>
      </c>
      <c r="AM14" s="35">
        <v>1127</v>
      </c>
      <c r="AN14" s="35">
        <f t="shared" si="2"/>
        <v>376</v>
      </c>
      <c r="AO14" s="6">
        <v>719</v>
      </c>
      <c r="AP14" s="6"/>
      <c r="AQ14" s="35">
        <f t="shared" si="3"/>
        <v>364</v>
      </c>
      <c r="AR14" s="6">
        <v>13</v>
      </c>
      <c r="AS14" s="6">
        <v>1080</v>
      </c>
      <c r="AT14" s="34">
        <f t="shared" si="4"/>
        <v>374</v>
      </c>
      <c r="AU14" s="35">
        <v>363</v>
      </c>
      <c r="AV14" s="35"/>
      <c r="AW14" s="35">
        <f t="shared" si="5"/>
        <v>350</v>
      </c>
      <c r="AX14" s="6"/>
      <c r="AY14" s="6"/>
      <c r="AZ14" s="35"/>
      <c r="BA14" s="6">
        <v>729</v>
      </c>
      <c r="BB14" s="6"/>
      <c r="BC14" s="35">
        <f t="shared" si="6"/>
        <v>366</v>
      </c>
      <c r="BD14" s="35">
        <v>60</v>
      </c>
      <c r="BE14" s="35">
        <v>1036</v>
      </c>
      <c r="BF14" s="35">
        <f t="shared" si="7"/>
        <v>367</v>
      </c>
      <c r="BG14" s="6">
        <v>420</v>
      </c>
      <c r="BH14" s="6"/>
      <c r="BI14" s="35">
        <f t="shared" si="8"/>
        <v>360</v>
      </c>
      <c r="BJ14" s="6">
        <v>790</v>
      </c>
      <c r="BK14" s="6"/>
      <c r="BL14" s="35">
        <f t="shared" si="9"/>
        <v>370</v>
      </c>
      <c r="BM14" s="6">
        <v>1165</v>
      </c>
      <c r="BN14" s="6"/>
      <c r="BO14" s="6">
        <f t="shared" si="10"/>
        <v>375</v>
      </c>
      <c r="BP14" s="6">
        <v>114</v>
      </c>
      <c r="BQ14" s="6">
        <v>1402</v>
      </c>
      <c r="BR14" s="6">
        <f t="shared" si="11"/>
        <v>351</v>
      </c>
      <c r="BS14" s="6"/>
      <c r="BT14" s="6"/>
      <c r="BU14" s="35"/>
      <c r="BV14" s="6">
        <v>51</v>
      </c>
      <c r="BW14" s="6">
        <f>323+114</f>
        <v>437</v>
      </c>
      <c r="BX14" s="6">
        <f t="shared" si="12"/>
        <v>374</v>
      </c>
      <c r="BY14" s="6">
        <v>421</v>
      </c>
      <c r="BZ14" s="6"/>
      <c r="CA14" s="35">
        <f t="shared" si="13"/>
        <v>370</v>
      </c>
      <c r="CB14" s="6">
        <v>798</v>
      </c>
      <c r="CC14" s="6"/>
      <c r="CD14" s="6">
        <f t="shared" si="14"/>
        <v>377</v>
      </c>
      <c r="CE14" s="6">
        <v>1178</v>
      </c>
      <c r="CF14" s="6"/>
      <c r="CG14" s="6">
        <f t="shared" si="15"/>
        <v>380</v>
      </c>
      <c r="CH14" s="6">
        <v>1555</v>
      </c>
      <c r="CI14" s="6"/>
      <c r="CJ14" s="6">
        <f t="shared" si="16"/>
        <v>377</v>
      </c>
      <c r="CK14" s="6">
        <v>362</v>
      </c>
      <c r="CL14" s="6">
        <v>1560</v>
      </c>
      <c r="CM14" s="6">
        <f t="shared" si="17"/>
        <v>367</v>
      </c>
      <c r="CN14" s="6"/>
      <c r="CO14" s="6"/>
      <c r="CP14" s="6"/>
      <c r="CQ14" s="6">
        <v>740</v>
      </c>
      <c r="CR14" s="6"/>
      <c r="CS14" s="6">
        <f t="shared" si="18"/>
        <v>378</v>
      </c>
      <c r="CT14" s="6">
        <v>1114</v>
      </c>
      <c r="CU14" s="6"/>
      <c r="CV14" s="6">
        <f t="shared" si="19"/>
        <v>374</v>
      </c>
      <c r="CW14" s="6">
        <v>260</v>
      </c>
      <c r="CX14" s="6">
        <v>1220</v>
      </c>
      <c r="CY14" s="6">
        <f t="shared" si="20"/>
        <v>366</v>
      </c>
      <c r="CZ14" s="6">
        <v>637</v>
      </c>
      <c r="DA14" s="6"/>
      <c r="DB14" s="6">
        <f t="shared" si="21"/>
        <v>377</v>
      </c>
      <c r="DC14" s="6">
        <v>1014</v>
      </c>
      <c r="DD14" s="6"/>
      <c r="DE14" s="6">
        <f t="shared" si="22"/>
        <v>377</v>
      </c>
      <c r="DF14" s="6">
        <v>1376</v>
      </c>
      <c r="DG14" s="6"/>
      <c r="DH14" s="6">
        <f t="shared" si="23"/>
        <v>362</v>
      </c>
      <c r="DI14" s="6"/>
      <c r="DJ14" s="6"/>
      <c r="DK14" s="6"/>
      <c r="DL14" s="6">
        <v>198</v>
      </c>
      <c r="DM14" s="6">
        <v>1565</v>
      </c>
      <c r="DN14" s="6">
        <f t="shared" si="24"/>
        <v>387</v>
      </c>
      <c r="DO14" s="6">
        <v>557</v>
      </c>
      <c r="DP14" s="6"/>
      <c r="DQ14" s="6">
        <f t="shared" si="25"/>
        <v>359</v>
      </c>
    </row>
    <row r="15" spans="1:121">
      <c r="A15" s="6">
        <v>11</v>
      </c>
      <c r="B15" s="6">
        <v>1516</v>
      </c>
      <c r="C15" s="6"/>
      <c r="D15" s="6">
        <v>355</v>
      </c>
      <c r="E15" s="309" t="s">
        <v>307</v>
      </c>
      <c r="F15" s="309" t="s">
        <v>307</v>
      </c>
      <c r="G15" s="309" t="s">
        <v>307</v>
      </c>
      <c r="H15" s="309" t="s">
        <v>307</v>
      </c>
      <c r="I15" s="309" t="s">
        <v>307</v>
      </c>
      <c r="J15" s="309" t="s">
        <v>307</v>
      </c>
      <c r="K15" s="309" t="s">
        <v>307</v>
      </c>
      <c r="L15" s="309" t="s">
        <v>307</v>
      </c>
      <c r="M15" s="321" t="s">
        <v>37</v>
      </c>
      <c r="N15" s="326" t="s">
        <v>37</v>
      </c>
      <c r="O15" s="326" t="s">
        <v>37</v>
      </c>
      <c r="P15" s="326" t="s">
        <v>37</v>
      </c>
      <c r="Q15" s="326" t="s">
        <v>37</v>
      </c>
      <c r="R15" s="326" t="s">
        <v>37</v>
      </c>
      <c r="S15" s="326" t="s">
        <v>37</v>
      </c>
      <c r="T15" s="326" t="s">
        <v>37</v>
      </c>
      <c r="U15" s="326" t="s">
        <v>37</v>
      </c>
      <c r="V15" s="326" t="s">
        <v>37</v>
      </c>
      <c r="W15" s="326" t="s">
        <v>37</v>
      </c>
      <c r="X15" s="326" t="s">
        <v>37</v>
      </c>
      <c r="Y15" s="326" t="s">
        <v>37</v>
      </c>
      <c r="Z15" s="326" t="s">
        <v>37</v>
      </c>
      <c r="AA15" s="326" t="s">
        <v>37</v>
      </c>
      <c r="AB15" s="326" t="s">
        <v>37</v>
      </c>
      <c r="AC15" s="326" t="s">
        <v>37</v>
      </c>
      <c r="AD15" s="326" t="s">
        <v>37</v>
      </c>
      <c r="AE15" s="326" t="s">
        <v>37</v>
      </c>
      <c r="AF15" s="6">
        <v>360</v>
      </c>
      <c r="AG15" s="6">
        <v>1560</v>
      </c>
      <c r="AH15" s="35">
        <f t="shared" si="0"/>
        <v>404</v>
      </c>
      <c r="AI15" s="6">
        <v>730</v>
      </c>
      <c r="AJ15" s="6"/>
      <c r="AK15" s="35">
        <f t="shared" si="1"/>
        <v>370</v>
      </c>
      <c r="AL15" s="35">
        <v>1103</v>
      </c>
      <c r="AM15" s="35"/>
      <c r="AN15" s="35">
        <f t="shared" si="2"/>
        <v>373</v>
      </c>
      <c r="AO15" s="6">
        <v>1459</v>
      </c>
      <c r="AP15" s="6"/>
      <c r="AQ15" s="35">
        <f t="shared" si="3"/>
        <v>356</v>
      </c>
      <c r="AR15" s="6">
        <v>263</v>
      </c>
      <c r="AS15" s="6">
        <v>1560</v>
      </c>
      <c r="AT15" s="34">
        <f t="shared" si="4"/>
        <v>364</v>
      </c>
      <c r="AU15" s="35">
        <v>623</v>
      </c>
      <c r="AV15" s="35"/>
      <c r="AW15" s="35">
        <f t="shared" si="5"/>
        <v>360</v>
      </c>
      <c r="AX15" s="6"/>
      <c r="AY15" s="6"/>
      <c r="AZ15" s="35"/>
      <c r="BA15" s="6">
        <v>0</v>
      </c>
      <c r="BB15" s="6">
        <v>913</v>
      </c>
      <c r="BC15" s="35">
        <f t="shared" si="6"/>
        <v>290</v>
      </c>
      <c r="BD15" s="6">
        <v>345</v>
      </c>
      <c r="BE15" s="6"/>
      <c r="BF15" s="35">
        <f t="shared" si="7"/>
        <v>345</v>
      </c>
      <c r="BG15" s="6">
        <v>711</v>
      </c>
      <c r="BH15" s="6"/>
      <c r="BI15" s="35">
        <f t="shared" si="8"/>
        <v>366</v>
      </c>
      <c r="BJ15" s="6">
        <v>1084</v>
      </c>
      <c r="BK15" s="6"/>
      <c r="BL15" s="35">
        <f t="shared" si="9"/>
        <v>373</v>
      </c>
      <c r="BM15" s="6">
        <v>1463</v>
      </c>
      <c r="BN15" s="35"/>
      <c r="BO15" s="6">
        <f t="shared" si="10"/>
        <v>379</v>
      </c>
      <c r="BP15" s="6">
        <v>235</v>
      </c>
      <c r="BQ15" s="6">
        <v>1588</v>
      </c>
      <c r="BR15" s="6">
        <f t="shared" si="11"/>
        <v>360</v>
      </c>
      <c r="BS15" s="6"/>
      <c r="BT15" s="6"/>
      <c r="BU15" s="35"/>
      <c r="BV15" s="6">
        <v>617</v>
      </c>
      <c r="BW15" s="6"/>
      <c r="BX15" s="6">
        <f t="shared" si="12"/>
        <v>382</v>
      </c>
      <c r="BY15" s="6">
        <v>990</v>
      </c>
      <c r="BZ15" s="6"/>
      <c r="CA15" s="35">
        <f t="shared" si="13"/>
        <v>373</v>
      </c>
      <c r="CB15" s="6">
        <v>1372</v>
      </c>
      <c r="CC15" s="35"/>
      <c r="CD15" s="6">
        <f t="shared" si="14"/>
        <v>382</v>
      </c>
      <c r="CE15" s="6">
        <v>181</v>
      </c>
      <c r="CF15" s="6">
        <v>1560</v>
      </c>
      <c r="CG15" s="6">
        <f t="shared" si="15"/>
        <v>369</v>
      </c>
      <c r="CH15" s="6">
        <v>559</v>
      </c>
      <c r="CI15" s="35"/>
      <c r="CJ15" s="6">
        <f t="shared" si="16"/>
        <v>378</v>
      </c>
      <c r="CK15" s="6">
        <v>909</v>
      </c>
      <c r="CL15" s="6"/>
      <c r="CM15" s="6">
        <f t="shared" si="17"/>
        <v>350</v>
      </c>
      <c r="CN15" s="6"/>
      <c r="CO15" s="6"/>
      <c r="CP15" s="6"/>
      <c r="CQ15" s="6">
        <v>1292</v>
      </c>
      <c r="CR15" s="6"/>
      <c r="CS15" s="6">
        <f t="shared" si="18"/>
        <v>383</v>
      </c>
      <c r="CT15" s="6">
        <v>94</v>
      </c>
      <c r="CU15" s="6">
        <v>1560</v>
      </c>
      <c r="CV15" s="6">
        <f t="shared" si="19"/>
        <v>362</v>
      </c>
      <c r="CW15" s="6">
        <v>471</v>
      </c>
      <c r="CX15" s="6"/>
      <c r="CY15" s="6">
        <f t="shared" si="20"/>
        <v>377</v>
      </c>
      <c r="CZ15" s="6">
        <v>853</v>
      </c>
      <c r="DA15" s="6"/>
      <c r="DB15" s="6">
        <f t="shared" si="21"/>
        <v>382</v>
      </c>
      <c r="DC15" s="6">
        <v>1221</v>
      </c>
      <c r="DD15" s="6"/>
      <c r="DE15" s="6">
        <f t="shared" si="22"/>
        <v>368</v>
      </c>
      <c r="DF15" s="6">
        <v>16</v>
      </c>
      <c r="DG15" s="6">
        <v>1560</v>
      </c>
      <c r="DH15" s="6">
        <f t="shared" si="23"/>
        <v>355</v>
      </c>
      <c r="DI15" s="6"/>
      <c r="DJ15" s="6"/>
      <c r="DK15" s="6"/>
      <c r="DL15" s="6">
        <v>405</v>
      </c>
      <c r="DM15" s="6"/>
      <c r="DN15" s="6">
        <f t="shared" si="24"/>
        <v>389</v>
      </c>
      <c r="DO15" s="6">
        <v>765</v>
      </c>
      <c r="DP15" s="6"/>
      <c r="DQ15" s="6">
        <f t="shared" si="25"/>
        <v>360</v>
      </c>
    </row>
    <row r="16" spans="1:121">
      <c r="A16" s="6">
        <v>12</v>
      </c>
      <c r="B16" s="6">
        <v>1310</v>
      </c>
      <c r="C16" s="6"/>
      <c r="D16" s="6">
        <v>348</v>
      </c>
      <c r="E16" s="230" t="s">
        <v>37</v>
      </c>
      <c r="F16" s="230" t="s">
        <v>37</v>
      </c>
      <c r="G16" s="230" t="s">
        <v>37</v>
      </c>
      <c r="H16" s="230" t="s">
        <v>37</v>
      </c>
      <c r="I16" s="230" t="s">
        <v>37</v>
      </c>
      <c r="J16" s="230" t="s">
        <v>37</v>
      </c>
      <c r="K16" s="227" t="s">
        <v>37</v>
      </c>
      <c r="L16" s="230" t="s">
        <v>37</v>
      </c>
      <c r="M16" s="230" t="s">
        <v>37</v>
      </c>
      <c r="N16" s="230" t="s">
        <v>37</v>
      </c>
      <c r="O16" s="230" t="s">
        <v>37</v>
      </c>
      <c r="P16" s="230" t="s">
        <v>37</v>
      </c>
      <c r="Q16" s="230" t="s">
        <v>37</v>
      </c>
      <c r="R16" s="230" t="s">
        <v>37</v>
      </c>
      <c r="S16" s="230" t="s">
        <v>37</v>
      </c>
      <c r="T16" s="230" t="s">
        <v>37</v>
      </c>
      <c r="U16" s="230" t="s">
        <v>37</v>
      </c>
      <c r="V16" s="230" t="s">
        <v>37</v>
      </c>
      <c r="W16" s="230" t="s">
        <v>37</v>
      </c>
      <c r="X16" s="230" t="s">
        <v>37</v>
      </c>
      <c r="Y16" s="230" t="s">
        <v>37</v>
      </c>
      <c r="Z16" s="230" t="s">
        <v>37</v>
      </c>
      <c r="AA16" s="230" t="s">
        <v>37</v>
      </c>
      <c r="AB16" s="230" t="s">
        <v>37</v>
      </c>
      <c r="AC16" s="230" t="s">
        <v>37</v>
      </c>
      <c r="AD16" s="230" t="s">
        <v>37</v>
      </c>
      <c r="AE16" s="230" t="s">
        <v>37</v>
      </c>
      <c r="AF16" s="35">
        <v>151</v>
      </c>
      <c r="AG16" s="35">
        <v>1562</v>
      </c>
      <c r="AH16" s="35">
        <f t="shared" si="0"/>
        <v>403</v>
      </c>
      <c r="AI16" s="35">
        <v>526</v>
      </c>
      <c r="AJ16" s="35"/>
      <c r="AK16" s="35">
        <f t="shared" si="1"/>
        <v>375</v>
      </c>
      <c r="AL16" s="35">
        <v>906</v>
      </c>
      <c r="AM16" s="35"/>
      <c r="AN16" s="35">
        <f t="shared" si="2"/>
        <v>380</v>
      </c>
      <c r="AO16" s="6">
        <v>1286</v>
      </c>
      <c r="AP16" s="35"/>
      <c r="AQ16" s="35">
        <f t="shared" si="3"/>
        <v>380</v>
      </c>
      <c r="AR16" s="6">
        <v>0</v>
      </c>
      <c r="AS16" s="6">
        <v>1594</v>
      </c>
      <c r="AT16" s="34">
        <f t="shared" si="4"/>
        <v>308</v>
      </c>
      <c r="AU16" s="35">
        <v>341</v>
      </c>
      <c r="AV16" s="35"/>
      <c r="AW16" s="35">
        <f t="shared" si="5"/>
        <v>341</v>
      </c>
      <c r="AX16" s="6"/>
      <c r="AY16" s="6"/>
      <c r="AZ16" s="35"/>
      <c r="BA16" s="6">
        <v>722</v>
      </c>
      <c r="BB16" s="6"/>
      <c r="BC16" s="35">
        <f t="shared" si="6"/>
        <v>381</v>
      </c>
      <c r="BD16" s="6">
        <v>1095</v>
      </c>
      <c r="BE16" s="6"/>
      <c r="BF16" s="35">
        <f t="shared" si="7"/>
        <v>373</v>
      </c>
      <c r="BG16" s="6">
        <v>1476</v>
      </c>
      <c r="BH16" s="6"/>
      <c r="BI16" s="35">
        <f t="shared" si="8"/>
        <v>381</v>
      </c>
      <c r="BJ16" s="6">
        <v>290</v>
      </c>
      <c r="BK16" s="6">
        <v>1560</v>
      </c>
      <c r="BL16" s="35">
        <f t="shared" si="9"/>
        <v>374</v>
      </c>
      <c r="BM16" s="6">
        <v>668</v>
      </c>
      <c r="BN16" s="35"/>
      <c r="BO16" s="6">
        <f t="shared" si="10"/>
        <v>378</v>
      </c>
      <c r="BP16" s="6">
        <v>1028</v>
      </c>
      <c r="BQ16" s="6"/>
      <c r="BR16" s="6">
        <f t="shared" si="11"/>
        <v>360</v>
      </c>
      <c r="BS16" s="6"/>
      <c r="BT16" s="6"/>
      <c r="BU16" s="35"/>
      <c r="BV16" s="6">
        <v>1406</v>
      </c>
      <c r="BW16" s="6"/>
      <c r="BX16" s="6">
        <f t="shared" si="12"/>
        <v>378</v>
      </c>
      <c r="BY16" s="6">
        <v>218</v>
      </c>
      <c r="BZ16" s="6">
        <v>1560</v>
      </c>
      <c r="CA16" s="35">
        <f t="shared" si="13"/>
        <v>372</v>
      </c>
      <c r="CB16" s="6">
        <v>597</v>
      </c>
      <c r="CC16" s="35"/>
      <c r="CD16" s="6">
        <f t="shared" si="14"/>
        <v>379</v>
      </c>
      <c r="CE16" s="6">
        <v>976</v>
      </c>
      <c r="CF16" s="6"/>
      <c r="CG16" s="6">
        <f t="shared" si="15"/>
        <v>379</v>
      </c>
      <c r="CH16" s="6">
        <v>1355</v>
      </c>
      <c r="CI16" s="35"/>
      <c r="CJ16" s="6">
        <f t="shared" si="16"/>
        <v>379</v>
      </c>
      <c r="CK16" s="6">
        <v>156</v>
      </c>
      <c r="CL16" s="6">
        <v>1560</v>
      </c>
      <c r="CM16" s="6">
        <f t="shared" si="17"/>
        <v>361</v>
      </c>
      <c r="CN16" s="6"/>
      <c r="CO16" s="6"/>
      <c r="CP16" s="6"/>
      <c r="CQ16" s="6">
        <v>529</v>
      </c>
      <c r="CR16" s="6"/>
      <c r="CS16" s="6">
        <f t="shared" si="18"/>
        <v>373</v>
      </c>
      <c r="CT16" s="6">
        <v>898</v>
      </c>
      <c r="CU16" s="6"/>
      <c r="CV16" s="6">
        <f t="shared" si="19"/>
        <v>369</v>
      </c>
      <c r="CW16" s="6">
        <v>1267</v>
      </c>
      <c r="CX16" s="6"/>
      <c r="CY16" s="6">
        <f t="shared" si="20"/>
        <v>369</v>
      </c>
      <c r="CZ16" s="6">
        <v>82</v>
      </c>
      <c r="DA16" s="6">
        <v>1560</v>
      </c>
      <c r="DB16" s="6">
        <f t="shared" si="21"/>
        <v>375</v>
      </c>
      <c r="DC16" s="6">
        <v>457</v>
      </c>
      <c r="DD16" s="6"/>
      <c r="DE16" s="6">
        <f t="shared" si="22"/>
        <v>375</v>
      </c>
      <c r="DF16" s="6">
        <v>805</v>
      </c>
      <c r="DG16" s="6"/>
      <c r="DH16" s="6">
        <f t="shared" si="23"/>
        <v>348</v>
      </c>
      <c r="DI16" s="6"/>
      <c r="DJ16" s="6"/>
      <c r="DK16" s="6"/>
      <c r="DL16" s="6">
        <v>1187</v>
      </c>
      <c r="DM16" s="6"/>
      <c r="DN16" s="6">
        <f t="shared" si="24"/>
        <v>382</v>
      </c>
      <c r="DO16" s="6">
        <v>1542</v>
      </c>
      <c r="DP16" s="6"/>
      <c r="DQ16" s="6">
        <f t="shared" si="25"/>
        <v>355</v>
      </c>
    </row>
    <row r="17" spans="1:121">
      <c r="A17" s="6">
        <v>13</v>
      </c>
      <c r="B17" s="6">
        <v>1178</v>
      </c>
      <c r="C17" s="6"/>
      <c r="D17" s="6">
        <v>351</v>
      </c>
      <c r="E17" s="222" t="s">
        <v>37</v>
      </c>
      <c r="F17" s="222" t="s">
        <v>37</v>
      </c>
      <c r="G17" s="222" t="s">
        <v>37</v>
      </c>
      <c r="H17" s="222" t="s">
        <v>37</v>
      </c>
      <c r="I17" s="217" t="s">
        <v>37</v>
      </c>
      <c r="J17" s="222" t="s">
        <v>37</v>
      </c>
      <c r="K17" s="222" t="s">
        <v>37</v>
      </c>
      <c r="L17" s="222" t="s">
        <v>37</v>
      </c>
      <c r="M17" s="222" t="s">
        <v>37</v>
      </c>
      <c r="N17" s="222" t="s">
        <v>37</v>
      </c>
      <c r="O17" s="222" t="s">
        <v>37</v>
      </c>
      <c r="P17" s="222" t="s">
        <v>37</v>
      </c>
      <c r="Q17" s="222" t="s">
        <v>37</v>
      </c>
      <c r="R17" s="222" t="s">
        <v>37</v>
      </c>
      <c r="S17" s="222" t="s">
        <v>37</v>
      </c>
      <c r="T17" s="222" t="s">
        <v>37</v>
      </c>
      <c r="U17" s="222" t="s">
        <v>37</v>
      </c>
      <c r="V17" s="222" t="s">
        <v>37</v>
      </c>
      <c r="W17" s="222" t="s">
        <v>37</v>
      </c>
      <c r="X17" s="222" t="s">
        <v>37</v>
      </c>
      <c r="Y17" s="222" t="s">
        <v>37</v>
      </c>
      <c r="Z17" s="222" t="s">
        <v>37</v>
      </c>
      <c r="AA17" s="222" t="s">
        <v>37</v>
      </c>
      <c r="AB17" s="222" t="s">
        <v>37</v>
      </c>
      <c r="AC17" s="222" t="s">
        <v>37</v>
      </c>
      <c r="AD17" s="222" t="s">
        <v>37</v>
      </c>
      <c r="AE17" s="217" t="s">
        <v>37</v>
      </c>
      <c r="AF17" s="6">
        <v>1549</v>
      </c>
      <c r="AG17" s="6"/>
      <c r="AH17" s="35">
        <f t="shared" si="0"/>
        <v>371</v>
      </c>
      <c r="AI17" s="6">
        <v>318</v>
      </c>
      <c r="AJ17" s="6">
        <v>1551</v>
      </c>
      <c r="AK17" s="35">
        <f t="shared" si="1"/>
        <v>320</v>
      </c>
      <c r="AL17" s="35">
        <v>695</v>
      </c>
      <c r="AM17" s="35"/>
      <c r="AN17" s="35">
        <f t="shared" si="2"/>
        <v>377</v>
      </c>
      <c r="AO17" s="6">
        <v>240</v>
      </c>
      <c r="AP17" s="6">
        <v>778</v>
      </c>
      <c r="AQ17" s="35">
        <f t="shared" si="3"/>
        <v>323</v>
      </c>
      <c r="AR17" s="6">
        <v>611</v>
      </c>
      <c r="AS17" s="6"/>
      <c r="AT17" s="34">
        <f t="shared" si="4"/>
        <v>371</v>
      </c>
      <c r="AU17" s="35">
        <v>969</v>
      </c>
      <c r="AV17" s="35"/>
      <c r="AW17" s="35">
        <f t="shared" si="5"/>
        <v>358</v>
      </c>
      <c r="AX17" s="6"/>
      <c r="AY17" s="6"/>
      <c r="AZ17" s="35"/>
      <c r="BA17" s="6">
        <v>1347</v>
      </c>
      <c r="BB17" s="6"/>
      <c r="BC17" s="35">
        <f t="shared" si="6"/>
        <v>378</v>
      </c>
      <c r="BD17" s="35">
        <v>162</v>
      </c>
      <c r="BE17" s="35">
        <v>1560</v>
      </c>
      <c r="BF17" s="35">
        <f t="shared" si="7"/>
        <v>375</v>
      </c>
      <c r="BG17" s="6">
        <v>543</v>
      </c>
      <c r="BH17" s="6"/>
      <c r="BI17" s="35">
        <f t="shared" si="8"/>
        <v>381</v>
      </c>
      <c r="BJ17" s="35">
        <v>921</v>
      </c>
      <c r="BK17" s="6"/>
      <c r="BL17" s="35">
        <f t="shared" si="9"/>
        <v>378</v>
      </c>
      <c r="BM17" s="6">
        <v>1302</v>
      </c>
      <c r="BN17" s="6"/>
      <c r="BO17" s="6">
        <f t="shared" si="10"/>
        <v>381</v>
      </c>
      <c r="BP17" s="6">
        <v>84</v>
      </c>
      <c r="BQ17" s="6">
        <v>1560</v>
      </c>
      <c r="BR17" s="6">
        <f t="shared" si="11"/>
        <v>342</v>
      </c>
      <c r="BS17" s="6"/>
      <c r="BT17" s="6"/>
      <c r="BU17" s="35"/>
      <c r="BV17" s="6">
        <v>477</v>
      </c>
      <c r="BW17" s="6"/>
      <c r="BX17" s="6">
        <f t="shared" si="12"/>
        <v>393</v>
      </c>
      <c r="BY17" s="6">
        <v>862</v>
      </c>
      <c r="BZ17" s="6"/>
      <c r="CA17" s="35">
        <f t="shared" si="13"/>
        <v>385</v>
      </c>
      <c r="CB17" s="6">
        <v>1241</v>
      </c>
      <c r="CC17" s="6"/>
      <c r="CD17" s="6">
        <f t="shared" si="14"/>
        <v>379</v>
      </c>
      <c r="CE17" s="6">
        <v>260</v>
      </c>
      <c r="CF17" s="6">
        <v>1355</v>
      </c>
      <c r="CG17" s="6">
        <f t="shared" si="15"/>
        <v>374</v>
      </c>
      <c r="CH17" s="6">
        <v>641</v>
      </c>
      <c r="CI17" s="6"/>
      <c r="CJ17" s="6">
        <f t="shared" si="16"/>
        <v>381</v>
      </c>
      <c r="CK17" s="6">
        <v>994</v>
      </c>
      <c r="CL17" s="6"/>
      <c r="CM17" s="6">
        <f t="shared" si="17"/>
        <v>353</v>
      </c>
      <c r="CN17" s="6"/>
      <c r="CO17" s="6"/>
      <c r="CP17" s="6"/>
      <c r="CQ17" s="6">
        <v>1383</v>
      </c>
      <c r="CR17" s="6"/>
      <c r="CS17" s="6">
        <f t="shared" si="18"/>
        <v>389</v>
      </c>
      <c r="CT17" s="6">
        <v>183</v>
      </c>
      <c r="CU17" s="6">
        <v>1560</v>
      </c>
      <c r="CV17" s="6">
        <f t="shared" si="19"/>
        <v>360</v>
      </c>
      <c r="CW17" s="6">
        <v>560</v>
      </c>
      <c r="CX17" s="6"/>
      <c r="CY17" s="6">
        <f t="shared" si="20"/>
        <v>377</v>
      </c>
      <c r="CZ17" s="6">
        <v>943</v>
      </c>
      <c r="DA17" s="6"/>
      <c r="DB17" s="6">
        <f t="shared" si="21"/>
        <v>383</v>
      </c>
      <c r="DC17" s="6">
        <v>1316</v>
      </c>
      <c r="DD17" s="6"/>
      <c r="DE17" s="6">
        <f t="shared" si="22"/>
        <v>373</v>
      </c>
      <c r="DF17" s="6">
        <v>1669</v>
      </c>
      <c r="DG17" s="6"/>
      <c r="DH17" s="6">
        <f t="shared" si="23"/>
        <v>353</v>
      </c>
      <c r="DI17" s="6"/>
      <c r="DJ17" s="6"/>
      <c r="DK17" s="6"/>
      <c r="DL17" s="6">
        <v>0</v>
      </c>
      <c r="DM17" s="6">
        <v>1822</v>
      </c>
      <c r="DN17" s="6">
        <f t="shared" si="24"/>
        <v>153</v>
      </c>
      <c r="DO17" s="6">
        <v>339</v>
      </c>
      <c r="DP17" s="6"/>
      <c r="DQ17" s="6">
        <f t="shared" si="25"/>
        <v>339</v>
      </c>
    </row>
    <row r="18" spans="1:121">
      <c r="A18" s="6">
        <v>14</v>
      </c>
      <c r="B18" s="6">
        <v>61</v>
      </c>
      <c r="C18" s="6">
        <v>1560</v>
      </c>
      <c r="D18" s="6">
        <v>345</v>
      </c>
      <c r="E18" s="33" t="s">
        <v>37</v>
      </c>
      <c r="F18" s="33" t="s">
        <v>37</v>
      </c>
      <c r="G18" s="148" t="s">
        <v>37</v>
      </c>
      <c r="H18" s="33" t="s">
        <v>37</v>
      </c>
      <c r="I18" s="33" t="s">
        <v>37</v>
      </c>
      <c r="J18" s="33" t="s">
        <v>37</v>
      </c>
      <c r="K18" s="33" t="s">
        <v>37</v>
      </c>
      <c r="L18" s="33" t="s">
        <v>37</v>
      </c>
      <c r="M18" s="33" t="s">
        <v>37</v>
      </c>
      <c r="N18" s="33" t="s">
        <v>37</v>
      </c>
      <c r="O18" s="33" t="s">
        <v>37</v>
      </c>
      <c r="P18" s="33" t="s">
        <v>37</v>
      </c>
      <c r="Q18" s="33" t="s">
        <v>37</v>
      </c>
      <c r="R18" s="33" t="s">
        <v>37</v>
      </c>
      <c r="S18" s="33" t="s">
        <v>37</v>
      </c>
      <c r="T18" s="33" t="s">
        <v>37</v>
      </c>
      <c r="U18" s="33" t="s">
        <v>37</v>
      </c>
      <c r="V18" s="33" t="s">
        <v>37</v>
      </c>
      <c r="W18" s="33" t="s">
        <v>37</v>
      </c>
      <c r="X18" s="33" t="s">
        <v>37</v>
      </c>
      <c r="Y18" s="33" t="s">
        <v>37</v>
      </c>
      <c r="Z18" s="33" t="s">
        <v>37</v>
      </c>
      <c r="AA18" s="33" t="s">
        <v>37</v>
      </c>
      <c r="AB18" s="148" t="s">
        <v>37</v>
      </c>
      <c r="AC18" s="33" t="s">
        <v>37</v>
      </c>
      <c r="AD18" s="33" t="s">
        <v>37</v>
      </c>
      <c r="AE18" s="33" t="s">
        <v>37</v>
      </c>
      <c r="AF18" s="35">
        <v>436</v>
      </c>
      <c r="AG18" s="35"/>
      <c r="AH18" s="35">
        <f t="shared" si="0"/>
        <v>375</v>
      </c>
      <c r="AI18" s="35">
        <v>246</v>
      </c>
      <c r="AJ18" s="35">
        <v>543</v>
      </c>
      <c r="AK18" s="35">
        <f t="shared" si="1"/>
        <v>353</v>
      </c>
      <c r="AL18" s="35">
        <v>630</v>
      </c>
      <c r="AM18" s="35"/>
      <c r="AN18" s="35">
        <f t="shared" si="2"/>
        <v>384</v>
      </c>
      <c r="AO18" s="35">
        <v>974</v>
      </c>
      <c r="AP18" s="35"/>
      <c r="AQ18" s="35">
        <f t="shared" si="3"/>
        <v>344</v>
      </c>
      <c r="AR18" s="35">
        <v>1341</v>
      </c>
      <c r="AS18" s="35"/>
      <c r="AT18" s="34">
        <f t="shared" si="4"/>
        <v>367</v>
      </c>
      <c r="AU18" s="35">
        <v>138</v>
      </c>
      <c r="AV18" s="35">
        <v>1560</v>
      </c>
      <c r="AW18" s="35">
        <f t="shared" si="5"/>
        <v>357</v>
      </c>
      <c r="AX18" s="6"/>
      <c r="AY18" s="6"/>
      <c r="AZ18" s="35"/>
      <c r="BA18" s="6">
        <v>483</v>
      </c>
      <c r="BB18" s="6"/>
      <c r="BC18" s="35">
        <f t="shared" si="6"/>
        <v>345</v>
      </c>
      <c r="BD18" s="35">
        <v>863</v>
      </c>
      <c r="BE18" s="35"/>
      <c r="BF18" s="35">
        <f t="shared" si="7"/>
        <v>380</v>
      </c>
      <c r="BG18" s="6">
        <v>1218</v>
      </c>
      <c r="BH18" s="6"/>
      <c r="BI18" s="35">
        <f t="shared" si="8"/>
        <v>355</v>
      </c>
      <c r="BJ18" s="6">
        <v>40</v>
      </c>
      <c r="BK18" s="6">
        <v>1560</v>
      </c>
      <c r="BL18" s="35">
        <f t="shared" si="9"/>
        <v>382</v>
      </c>
      <c r="BM18" s="6">
        <v>416</v>
      </c>
      <c r="BN18" s="6"/>
      <c r="BO18" s="6">
        <f t="shared" si="10"/>
        <v>376</v>
      </c>
      <c r="BP18" s="6">
        <v>749</v>
      </c>
      <c r="BQ18" s="6"/>
      <c r="BR18" s="6">
        <f t="shared" si="11"/>
        <v>333</v>
      </c>
      <c r="BS18" s="6"/>
      <c r="BT18" s="6"/>
      <c r="BU18" s="35"/>
      <c r="BV18" s="6">
        <v>1141</v>
      </c>
      <c r="BW18" s="6"/>
      <c r="BX18" s="6">
        <f t="shared" si="12"/>
        <v>392</v>
      </c>
      <c r="BY18" s="6">
        <v>1527</v>
      </c>
      <c r="BZ18" s="6"/>
      <c r="CA18" s="35">
        <f t="shared" si="13"/>
        <v>386</v>
      </c>
      <c r="CB18" s="6">
        <v>352</v>
      </c>
      <c r="CC18" s="6">
        <v>1560</v>
      </c>
      <c r="CD18" s="6">
        <f t="shared" si="14"/>
        <v>385</v>
      </c>
      <c r="CE18" s="6">
        <v>740</v>
      </c>
      <c r="CF18" s="6"/>
      <c r="CG18" s="6">
        <f t="shared" si="15"/>
        <v>388</v>
      </c>
      <c r="CH18" s="6">
        <v>1128</v>
      </c>
      <c r="CI18" s="6"/>
      <c r="CJ18" s="6">
        <f t="shared" si="16"/>
        <v>388</v>
      </c>
      <c r="CK18" s="6">
        <v>1502</v>
      </c>
      <c r="CL18" s="6"/>
      <c r="CM18" s="6">
        <f t="shared" si="17"/>
        <v>374</v>
      </c>
      <c r="CN18" s="6"/>
      <c r="CO18" s="6"/>
      <c r="CP18" s="6"/>
      <c r="CQ18" s="6">
        <v>333</v>
      </c>
      <c r="CR18" s="6">
        <v>1560</v>
      </c>
      <c r="CS18" s="6">
        <f t="shared" si="18"/>
        <v>391</v>
      </c>
      <c r="CT18" s="6">
        <v>712</v>
      </c>
      <c r="CU18" s="6"/>
      <c r="CV18" s="6">
        <f t="shared" si="19"/>
        <v>379</v>
      </c>
      <c r="CW18" s="6">
        <v>1098</v>
      </c>
      <c r="CX18" s="6"/>
      <c r="CY18" s="6">
        <f t="shared" si="20"/>
        <v>386</v>
      </c>
      <c r="CZ18" s="6">
        <v>1485</v>
      </c>
      <c r="DA18" s="6"/>
      <c r="DB18" s="6">
        <f t="shared" si="21"/>
        <v>387</v>
      </c>
      <c r="DC18" s="6">
        <v>244</v>
      </c>
      <c r="DD18" s="6">
        <v>1613</v>
      </c>
      <c r="DE18" s="6">
        <f t="shared" si="22"/>
        <v>372</v>
      </c>
      <c r="DF18" s="6">
        <v>607</v>
      </c>
      <c r="DG18" s="6"/>
      <c r="DH18" s="6">
        <f t="shared" si="23"/>
        <v>363</v>
      </c>
      <c r="DI18" s="6"/>
      <c r="DJ18" s="6"/>
      <c r="DK18" s="6"/>
      <c r="DL18" s="6">
        <v>992</v>
      </c>
      <c r="DM18" s="6"/>
      <c r="DN18" s="6">
        <f t="shared" si="24"/>
        <v>385</v>
      </c>
      <c r="DO18" s="6">
        <v>1341</v>
      </c>
      <c r="DP18" s="6"/>
      <c r="DQ18" s="6">
        <f t="shared" si="25"/>
        <v>349</v>
      </c>
    </row>
    <row r="19" spans="1:121">
      <c r="A19" s="6">
        <v>15</v>
      </c>
      <c r="B19" s="6">
        <v>245</v>
      </c>
      <c r="C19" s="6">
        <v>1564</v>
      </c>
      <c r="D19" s="6">
        <v>355</v>
      </c>
      <c r="E19" s="33" t="s">
        <v>307</v>
      </c>
      <c r="F19" s="33" t="s">
        <v>307</v>
      </c>
      <c r="G19" s="33" t="s">
        <v>307</v>
      </c>
      <c r="H19" s="33" t="s">
        <v>307</v>
      </c>
      <c r="I19" s="33" t="s">
        <v>307</v>
      </c>
      <c r="J19" s="33" t="s">
        <v>307</v>
      </c>
      <c r="K19" s="33" t="s">
        <v>307</v>
      </c>
      <c r="L19" s="33" t="s">
        <v>307</v>
      </c>
      <c r="M19" s="33" t="s">
        <v>307</v>
      </c>
      <c r="N19" s="33" t="s">
        <v>307</v>
      </c>
      <c r="O19" s="33" t="s">
        <v>307</v>
      </c>
      <c r="P19" s="33" t="s">
        <v>307</v>
      </c>
      <c r="Q19" s="33" t="s">
        <v>307</v>
      </c>
      <c r="R19" s="33" t="s">
        <v>307</v>
      </c>
      <c r="S19" s="33" t="s">
        <v>307</v>
      </c>
      <c r="T19" s="33" t="s">
        <v>307</v>
      </c>
      <c r="U19" s="33" t="s">
        <v>307</v>
      </c>
      <c r="V19" s="148" t="s">
        <v>307</v>
      </c>
      <c r="W19" s="33" t="s">
        <v>307</v>
      </c>
      <c r="X19" s="33" t="s">
        <v>307</v>
      </c>
      <c r="Y19" s="33" t="s">
        <v>307</v>
      </c>
      <c r="Z19" s="33" t="s">
        <v>307</v>
      </c>
      <c r="AA19" s="33" t="s">
        <v>307</v>
      </c>
      <c r="AB19" s="33" t="s">
        <v>307</v>
      </c>
      <c r="AC19" s="33" t="s">
        <v>307</v>
      </c>
      <c r="AD19" s="33" t="s">
        <v>307</v>
      </c>
      <c r="AE19" s="33" t="s">
        <v>307</v>
      </c>
      <c r="AF19" s="35">
        <v>645</v>
      </c>
      <c r="AG19" s="35"/>
      <c r="AH19" s="35">
        <f t="shared" si="0"/>
        <v>400</v>
      </c>
      <c r="AI19" s="35">
        <v>1027</v>
      </c>
      <c r="AJ19" s="35"/>
      <c r="AK19" s="35">
        <f t="shared" si="1"/>
        <v>382</v>
      </c>
      <c r="AL19" s="35">
        <v>1408</v>
      </c>
      <c r="AM19" s="35"/>
      <c r="AN19" s="35">
        <f t="shared" si="2"/>
        <v>381</v>
      </c>
      <c r="AO19" s="35">
        <v>205</v>
      </c>
      <c r="AP19" s="35">
        <v>1561</v>
      </c>
      <c r="AQ19" s="35">
        <f t="shared" si="3"/>
        <v>358</v>
      </c>
      <c r="AR19" s="35">
        <v>585</v>
      </c>
      <c r="AS19" s="35"/>
      <c r="AT19" s="34">
        <f t="shared" si="4"/>
        <v>380</v>
      </c>
      <c r="AU19" s="35">
        <v>947</v>
      </c>
      <c r="AV19" s="35"/>
      <c r="AW19" s="35">
        <f t="shared" si="5"/>
        <v>362</v>
      </c>
      <c r="AX19" s="6"/>
      <c r="AY19" s="6"/>
      <c r="AZ19" s="35"/>
      <c r="BA19" s="35">
        <v>356</v>
      </c>
      <c r="BB19" s="35">
        <v>972</v>
      </c>
      <c r="BC19" s="35">
        <f t="shared" si="6"/>
        <v>381</v>
      </c>
      <c r="BD19" s="35">
        <v>726</v>
      </c>
      <c r="BE19" s="35"/>
      <c r="BF19" s="35">
        <f t="shared" si="7"/>
        <v>370</v>
      </c>
      <c r="BG19" s="35">
        <v>1092</v>
      </c>
      <c r="BH19" s="35"/>
      <c r="BI19" s="35">
        <f t="shared" si="8"/>
        <v>366</v>
      </c>
      <c r="BJ19" s="35">
        <v>1466</v>
      </c>
      <c r="BK19" s="35"/>
      <c r="BL19" s="35">
        <f t="shared" si="9"/>
        <v>374</v>
      </c>
      <c r="BM19" s="35">
        <v>266</v>
      </c>
      <c r="BN19" s="35">
        <v>1560</v>
      </c>
      <c r="BO19" s="6">
        <f t="shared" si="10"/>
        <v>360</v>
      </c>
      <c r="BP19" s="35">
        <v>614</v>
      </c>
      <c r="BQ19" s="6"/>
      <c r="BR19" s="6">
        <f t="shared" si="11"/>
        <v>348</v>
      </c>
      <c r="BS19" s="6"/>
      <c r="BT19" s="6"/>
      <c r="BU19" s="35"/>
      <c r="BV19" s="6">
        <v>983</v>
      </c>
      <c r="BW19" s="6"/>
      <c r="BX19" s="6">
        <f t="shared" si="12"/>
        <v>369</v>
      </c>
      <c r="BY19" s="6">
        <v>1332</v>
      </c>
      <c r="BZ19" s="6"/>
      <c r="CA19" s="35">
        <f t="shared" si="13"/>
        <v>349</v>
      </c>
      <c r="CB19" s="6">
        <v>1696</v>
      </c>
      <c r="CC19" s="6"/>
      <c r="CD19" s="6">
        <f t="shared" si="14"/>
        <v>364</v>
      </c>
      <c r="CE19" s="6">
        <v>2060</v>
      </c>
      <c r="CF19" s="6"/>
      <c r="CG19" s="6">
        <f t="shared" si="15"/>
        <v>364</v>
      </c>
      <c r="CH19" s="6">
        <v>0</v>
      </c>
      <c r="CI19" s="6">
        <v>2180</v>
      </c>
      <c r="CJ19" s="6">
        <f t="shared" si="16"/>
        <v>120</v>
      </c>
      <c r="CK19" s="6">
        <v>14</v>
      </c>
      <c r="CL19" s="6"/>
      <c r="CM19" s="6">
        <f t="shared" si="17"/>
        <v>14</v>
      </c>
      <c r="CN19" s="6"/>
      <c r="CO19" s="6"/>
      <c r="CP19" s="6"/>
      <c r="CQ19" s="6">
        <v>383</v>
      </c>
      <c r="CR19" s="6"/>
      <c r="CS19" s="6">
        <f t="shared" si="18"/>
        <v>369</v>
      </c>
      <c r="CT19" s="6">
        <v>730</v>
      </c>
      <c r="CU19" s="6"/>
      <c r="CV19" s="6">
        <f t="shared" si="19"/>
        <v>347</v>
      </c>
      <c r="CW19" s="6">
        <v>1094</v>
      </c>
      <c r="CX19" s="6"/>
      <c r="CY19" s="6">
        <f t="shared" si="20"/>
        <v>364</v>
      </c>
      <c r="CZ19" s="6">
        <v>1459</v>
      </c>
      <c r="DA19" s="6"/>
      <c r="DB19" s="6">
        <f t="shared" si="21"/>
        <v>365</v>
      </c>
      <c r="DC19" s="6">
        <v>262</v>
      </c>
      <c r="DD19" s="6">
        <v>1560</v>
      </c>
      <c r="DE19" s="6">
        <f t="shared" si="22"/>
        <v>363</v>
      </c>
      <c r="DF19" s="6">
        <v>607</v>
      </c>
      <c r="DG19" s="6"/>
      <c r="DH19" s="6">
        <f t="shared" si="23"/>
        <v>345</v>
      </c>
      <c r="DI19" s="6"/>
      <c r="DJ19" s="6"/>
      <c r="DK19" s="6"/>
      <c r="DL19" s="6">
        <v>996</v>
      </c>
      <c r="DM19" s="6"/>
      <c r="DN19" s="6">
        <f t="shared" si="24"/>
        <v>389</v>
      </c>
      <c r="DO19" s="6">
        <v>1361</v>
      </c>
      <c r="DP19" s="6"/>
      <c r="DQ19" s="6">
        <f t="shared" si="25"/>
        <v>365</v>
      </c>
    </row>
    <row r="20" spans="1:121" s="65" customFormat="1">
      <c r="A20" s="63">
        <v>16</v>
      </c>
      <c r="B20" s="63">
        <v>1106</v>
      </c>
      <c r="C20" s="63"/>
      <c r="D20" s="6">
        <v>364</v>
      </c>
      <c r="E20" s="33" t="s">
        <v>307</v>
      </c>
      <c r="F20" s="33" t="s">
        <v>307</v>
      </c>
      <c r="G20" s="33" t="s">
        <v>307</v>
      </c>
      <c r="H20" s="33" t="s">
        <v>307</v>
      </c>
      <c r="I20" s="33" t="s">
        <v>307</v>
      </c>
      <c r="J20" s="33" t="s">
        <v>307</v>
      </c>
      <c r="K20" s="33" t="s">
        <v>307</v>
      </c>
      <c r="L20" s="33" t="s">
        <v>307</v>
      </c>
      <c r="M20" s="33" t="s">
        <v>307</v>
      </c>
      <c r="N20" s="33" t="s">
        <v>307</v>
      </c>
      <c r="O20" s="148" t="s">
        <v>37</v>
      </c>
      <c r="P20" s="33" t="s">
        <v>37</v>
      </c>
      <c r="Q20" s="33" t="s">
        <v>37</v>
      </c>
      <c r="R20" s="33" t="s">
        <v>37</v>
      </c>
      <c r="S20" s="33" t="s">
        <v>37</v>
      </c>
      <c r="T20" s="33" t="s">
        <v>37</v>
      </c>
      <c r="U20" s="33" t="s">
        <v>37</v>
      </c>
      <c r="V20" s="33" t="s">
        <v>37</v>
      </c>
      <c r="W20" s="33" t="s">
        <v>37</v>
      </c>
      <c r="X20" s="33" t="s">
        <v>37</v>
      </c>
      <c r="Y20" s="33" t="s">
        <v>37</v>
      </c>
      <c r="Z20" s="33" t="s">
        <v>37</v>
      </c>
      <c r="AA20" s="33" t="s">
        <v>37</v>
      </c>
      <c r="AB20" s="33" t="s">
        <v>37</v>
      </c>
      <c r="AC20" s="33" t="s">
        <v>37</v>
      </c>
      <c r="AD20" s="33" t="s">
        <v>37</v>
      </c>
      <c r="AE20" s="33" t="s">
        <v>37</v>
      </c>
      <c r="AF20" s="63">
        <v>1525</v>
      </c>
      <c r="AG20" s="63"/>
      <c r="AH20" s="35">
        <f t="shared" si="0"/>
        <v>419</v>
      </c>
      <c r="AI20" s="63">
        <v>353</v>
      </c>
      <c r="AJ20" s="63">
        <v>1560</v>
      </c>
      <c r="AK20" s="35">
        <f t="shared" si="1"/>
        <v>388</v>
      </c>
      <c r="AL20" s="66">
        <v>748</v>
      </c>
      <c r="AM20" s="66"/>
      <c r="AN20" s="35">
        <f t="shared" si="2"/>
        <v>395</v>
      </c>
      <c r="AO20" s="63">
        <v>1140</v>
      </c>
      <c r="AP20" s="63"/>
      <c r="AQ20" s="35">
        <f t="shared" si="3"/>
        <v>392</v>
      </c>
      <c r="AR20" s="6">
        <v>1536</v>
      </c>
      <c r="AS20" s="6"/>
      <c r="AT20" s="34">
        <f t="shared" si="4"/>
        <v>396</v>
      </c>
      <c r="AU20" s="66">
        <v>344</v>
      </c>
      <c r="AV20" s="66">
        <v>1560</v>
      </c>
      <c r="AW20" s="35">
        <f t="shared" si="5"/>
        <v>368</v>
      </c>
      <c r="AX20" s="63"/>
      <c r="AY20" s="63"/>
      <c r="AZ20" s="35"/>
      <c r="BA20" s="63">
        <v>734</v>
      </c>
      <c r="BB20" s="63"/>
      <c r="BC20" s="35">
        <f t="shared" si="6"/>
        <v>390</v>
      </c>
      <c r="BD20" s="66">
        <v>1122</v>
      </c>
      <c r="BE20" s="66"/>
      <c r="BF20" s="35">
        <f t="shared" si="7"/>
        <v>388</v>
      </c>
      <c r="BG20" s="63">
        <v>1483</v>
      </c>
      <c r="BH20" s="63"/>
      <c r="BI20" s="35">
        <f t="shared" si="8"/>
        <v>361</v>
      </c>
      <c r="BJ20" s="63">
        <v>253</v>
      </c>
      <c r="BK20" s="63">
        <v>1605</v>
      </c>
      <c r="BL20" s="35">
        <f t="shared" si="9"/>
        <v>375</v>
      </c>
      <c r="BM20" s="66">
        <v>640</v>
      </c>
      <c r="BN20" s="63"/>
      <c r="BO20" s="6">
        <f t="shared" si="10"/>
        <v>387</v>
      </c>
      <c r="BP20" s="63">
        <v>1003</v>
      </c>
      <c r="BQ20" s="63"/>
      <c r="BR20" s="6">
        <f t="shared" si="11"/>
        <v>363</v>
      </c>
      <c r="BS20" s="63"/>
      <c r="BT20" s="63"/>
      <c r="BU20" s="35"/>
      <c r="BV20" s="63">
        <v>1396</v>
      </c>
      <c r="BW20" s="63"/>
      <c r="BX20" s="6">
        <f t="shared" si="12"/>
        <v>393</v>
      </c>
      <c r="BY20" s="63">
        <v>24</v>
      </c>
      <c r="BZ20" s="63">
        <v>1754</v>
      </c>
      <c r="CA20" s="35">
        <f t="shared" si="13"/>
        <v>382</v>
      </c>
      <c r="CB20" s="63">
        <v>412</v>
      </c>
      <c r="CC20" s="63"/>
      <c r="CD20" s="6">
        <f t="shared" si="14"/>
        <v>388</v>
      </c>
      <c r="CE20" s="63">
        <v>797</v>
      </c>
      <c r="CF20" s="63"/>
      <c r="CG20" s="6">
        <f t="shared" si="15"/>
        <v>385</v>
      </c>
      <c r="CH20" s="63">
        <v>369</v>
      </c>
      <c r="CI20" s="63">
        <v>812</v>
      </c>
      <c r="CJ20" s="6">
        <f t="shared" si="16"/>
        <v>384</v>
      </c>
      <c r="CK20" s="63">
        <v>322</v>
      </c>
      <c r="CL20" s="63">
        <v>403</v>
      </c>
      <c r="CM20" s="6">
        <f t="shared" si="17"/>
        <v>356</v>
      </c>
      <c r="CN20" s="63"/>
      <c r="CO20" s="63"/>
      <c r="CP20" s="6"/>
      <c r="CQ20" s="63">
        <v>717</v>
      </c>
      <c r="CR20" s="63"/>
      <c r="CS20" s="6">
        <f t="shared" si="18"/>
        <v>395</v>
      </c>
      <c r="CT20" s="63">
        <v>1101</v>
      </c>
      <c r="CU20" s="63"/>
      <c r="CV20" s="6">
        <f t="shared" si="19"/>
        <v>384</v>
      </c>
      <c r="CW20" s="63">
        <v>1482</v>
      </c>
      <c r="CX20" s="63"/>
      <c r="CY20" s="6">
        <f t="shared" si="20"/>
        <v>381</v>
      </c>
      <c r="CZ20" s="63">
        <v>304</v>
      </c>
      <c r="DA20" s="63">
        <v>1560</v>
      </c>
      <c r="DB20" s="6">
        <f t="shared" si="21"/>
        <v>382</v>
      </c>
      <c r="DC20" s="63">
        <v>684</v>
      </c>
      <c r="DD20" s="63"/>
      <c r="DE20" s="6">
        <f t="shared" si="22"/>
        <v>380</v>
      </c>
      <c r="DF20" s="63">
        <v>1044</v>
      </c>
      <c r="DG20" s="63"/>
      <c r="DH20" s="6">
        <f t="shared" si="23"/>
        <v>360</v>
      </c>
      <c r="DI20" s="63"/>
      <c r="DJ20" s="63"/>
      <c r="DK20" s="6"/>
      <c r="DL20" s="63">
        <v>1429</v>
      </c>
      <c r="DM20" s="63"/>
      <c r="DN20" s="6">
        <f t="shared" si="24"/>
        <v>385</v>
      </c>
      <c r="DO20" s="63">
        <v>230</v>
      </c>
      <c r="DP20" s="63">
        <v>1560</v>
      </c>
      <c r="DQ20" s="6">
        <f t="shared" si="25"/>
        <v>361</v>
      </c>
    </row>
    <row r="21" spans="1:121">
      <c r="A21" s="6">
        <v>17</v>
      </c>
      <c r="B21" s="6">
        <v>1141</v>
      </c>
      <c r="C21" s="6"/>
      <c r="D21" s="6">
        <v>340</v>
      </c>
      <c r="E21" s="33" t="s">
        <v>37</v>
      </c>
      <c r="F21" s="33" t="s">
        <v>37</v>
      </c>
      <c r="G21" s="33" t="s">
        <v>37</v>
      </c>
      <c r="H21" s="33" t="s">
        <v>37</v>
      </c>
      <c r="I21" s="33" t="s">
        <v>37</v>
      </c>
      <c r="J21" s="33" t="s">
        <v>37</v>
      </c>
      <c r="K21" s="148" t="s">
        <v>37</v>
      </c>
      <c r="L21" s="33" t="s">
        <v>37</v>
      </c>
      <c r="M21" s="33" t="s">
        <v>37</v>
      </c>
      <c r="N21" s="33" t="s">
        <v>37</v>
      </c>
      <c r="O21" s="33" t="s">
        <v>37</v>
      </c>
      <c r="P21" s="33" t="s">
        <v>37</v>
      </c>
      <c r="Q21" s="33" t="s">
        <v>37</v>
      </c>
      <c r="R21" s="33" t="s">
        <v>37</v>
      </c>
      <c r="S21" s="33" t="s">
        <v>37</v>
      </c>
      <c r="T21" s="33" t="s">
        <v>37</v>
      </c>
      <c r="U21" s="33" t="s">
        <v>37</v>
      </c>
      <c r="V21" s="33" t="s">
        <v>37</v>
      </c>
      <c r="W21" s="33" t="s">
        <v>37</v>
      </c>
      <c r="X21" s="33" t="s">
        <v>37</v>
      </c>
      <c r="Y21" s="33" t="s">
        <v>37</v>
      </c>
      <c r="Z21" s="33" t="s">
        <v>37</v>
      </c>
      <c r="AA21" s="33" t="s">
        <v>37</v>
      </c>
      <c r="AB21" s="33" t="s">
        <v>37</v>
      </c>
      <c r="AC21" s="33" t="s">
        <v>37</v>
      </c>
      <c r="AD21" s="33" t="s">
        <v>37</v>
      </c>
      <c r="AE21" s="33" t="s">
        <v>37</v>
      </c>
      <c r="AF21" s="6">
        <v>355</v>
      </c>
      <c r="AG21" s="6">
        <f>1097+76</f>
        <v>1173</v>
      </c>
      <c r="AH21" s="35">
        <f t="shared" si="0"/>
        <v>387</v>
      </c>
      <c r="AI21" s="6">
        <v>19</v>
      </c>
      <c r="AJ21" s="6">
        <v>696</v>
      </c>
      <c r="AK21" s="35">
        <f t="shared" si="1"/>
        <v>360</v>
      </c>
      <c r="AL21" s="35">
        <v>379</v>
      </c>
      <c r="AM21" s="35"/>
      <c r="AN21" s="35">
        <f t="shared" si="2"/>
        <v>360</v>
      </c>
      <c r="AO21" s="6">
        <v>730</v>
      </c>
      <c r="AP21" s="6"/>
      <c r="AQ21" s="35">
        <f t="shared" si="3"/>
        <v>351</v>
      </c>
      <c r="AR21" s="6">
        <v>0</v>
      </c>
      <c r="AS21" s="6">
        <v>874</v>
      </c>
      <c r="AT21" s="34">
        <f t="shared" si="4"/>
        <v>144</v>
      </c>
      <c r="AU21" s="35">
        <v>337</v>
      </c>
      <c r="AV21" s="35"/>
      <c r="AW21" s="35">
        <f t="shared" si="5"/>
        <v>337</v>
      </c>
      <c r="AX21" s="6"/>
      <c r="AY21" s="6"/>
      <c r="AZ21" s="35"/>
      <c r="BA21" s="6">
        <v>714</v>
      </c>
      <c r="BB21" s="6"/>
      <c r="BC21" s="35">
        <f t="shared" si="6"/>
        <v>377</v>
      </c>
      <c r="BD21" s="35">
        <v>1081</v>
      </c>
      <c r="BE21" s="35"/>
      <c r="BF21" s="35">
        <f t="shared" si="7"/>
        <v>367</v>
      </c>
      <c r="BG21" s="6">
        <v>1454</v>
      </c>
      <c r="BH21" s="6"/>
      <c r="BI21" s="35">
        <f t="shared" si="8"/>
        <v>373</v>
      </c>
      <c r="BJ21" s="6">
        <v>262</v>
      </c>
      <c r="BK21" s="6">
        <v>1569</v>
      </c>
      <c r="BL21" s="35">
        <f t="shared" si="9"/>
        <v>377</v>
      </c>
      <c r="BM21" s="6">
        <v>638</v>
      </c>
      <c r="BN21" s="6"/>
      <c r="BO21" s="6">
        <f t="shared" si="10"/>
        <v>376</v>
      </c>
      <c r="BP21" s="6">
        <v>990</v>
      </c>
      <c r="BQ21" s="6"/>
      <c r="BR21" s="6">
        <f t="shared" si="11"/>
        <v>352</v>
      </c>
      <c r="BS21" s="6"/>
      <c r="BT21" s="6"/>
      <c r="BU21" s="35"/>
      <c r="BV21" s="6">
        <v>1365</v>
      </c>
      <c r="BW21" s="6"/>
      <c r="BX21" s="6">
        <f t="shared" si="12"/>
        <v>375</v>
      </c>
      <c r="BY21" s="6">
        <v>158</v>
      </c>
      <c r="BZ21" s="6">
        <v>1560</v>
      </c>
      <c r="CA21" s="35">
        <f t="shared" si="13"/>
        <v>353</v>
      </c>
      <c r="CB21" s="6">
        <v>528</v>
      </c>
      <c r="CC21" s="6"/>
      <c r="CD21" s="6">
        <f t="shared" si="14"/>
        <v>370</v>
      </c>
      <c r="CE21" s="6">
        <v>894</v>
      </c>
      <c r="CF21" s="6"/>
      <c r="CG21" s="6">
        <f t="shared" si="15"/>
        <v>366</v>
      </c>
      <c r="CH21" s="6">
        <v>1267</v>
      </c>
      <c r="CI21" s="6"/>
      <c r="CJ21" s="6">
        <f t="shared" si="16"/>
        <v>373</v>
      </c>
      <c r="CK21" s="6">
        <v>71</v>
      </c>
      <c r="CL21" s="6">
        <v>1562</v>
      </c>
      <c r="CM21" s="6">
        <f t="shared" si="17"/>
        <v>366</v>
      </c>
      <c r="CN21" s="6"/>
      <c r="CO21" s="6"/>
      <c r="CP21" s="6"/>
      <c r="CQ21" s="6">
        <v>444</v>
      </c>
      <c r="CR21" s="6"/>
      <c r="CS21" s="6">
        <f t="shared" si="18"/>
        <v>373</v>
      </c>
      <c r="CT21" s="6">
        <v>794</v>
      </c>
      <c r="CU21" s="6"/>
      <c r="CV21" s="6">
        <f t="shared" si="19"/>
        <v>350</v>
      </c>
      <c r="CW21" s="6">
        <v>1160</v>
      </c>
      <c r="CX21" s="6"/>
      <c r="CY21" s="6">
        <f t="shared" si="20"/>
        <v>366</v>
      </c>
      <c r="CZ21" s="6">
        <v>1524</v>
      </c>
      <c r="DA21" s="6"/>
      <c r="DB21" s="6">
        <f t="shared" si="21"/>
        <v>364</v>
      </c>
      <c r="DC21" s="6">
        <v>73</v>
      </c>
      <c r="DD21" s="6">
        <f>1560+247</f>
        <v>1807</v>
      </c>
      <c r="DE21" s="6">
        <f t="shared" si="22"/>
        <v>356</v>
      </c>
      <c r="DF21" s="6">
        <v>436</v>
      </c>
      <c r="DG21" s="6"/>
      <c r="DH21" s="6">
        <f t="shared" si="23"/>
        <v>363</v>
      </c>
      <c r="DI21" s="6"/>
      <c r="DJ21" s="6"/>
      <c r="DK21" s="6"/>
      <c r="DL21" s="6">
        <v>823</v>
      </c>
      <c r="DM21" s="6"/>
      <c r="DN21" s="6">
        <f t="shared" si="24"/>
        <v>387</v>
      </c>
      <c r="DO21" s="6">
        <v>1176</v>
      </c>
      <c r="DP21" s="6"/>
      <c r="DQ21" s="6">
        <f t="shared" si="25"/>
        <v>353</v>
      </c>
    </row>
    <row r="22" spans="1:121">
      <c r="A22" s="6">
        <v>18</v>
      </c>
      <c r="B22" s="6">
        <v>537</v>
      </c>
      <c r="C22" s="6"/>
      <c r="D22" s="6">
        <v>356</v>
      </c>
      <c r="E22" s="33" t="s">
        <v>307</v>
      </c>
      <c r="F22" s="33" t="s">
        <v>307</v>
      </c>
      <c r="G22" s="33" t="s">
        <v>307</v>
      </c>
      <c r="H22" s="33" t="s">
        <v>307</v>
      </c>
      <c r="I22" s="33" t="s">
        <v>307</v>
      </c>
      <c r="J22" s="33" t="s">
        <v>307</v>
      </c>
      <c r="K22" s="33" t="s">
        <v>307</v>
      </c>
      <c r="L22" s="33" t="s">
        <v>307</v>
      </c>
      <c r="M22" s="33" t="s">
        <v>307</v>
      </c>
      <c r="N22" s="33" t="s">
        <v>307</v>
      </c>
      <c r="O22" s="33" t="s">
        <v>307</v>
      </c>
      <c r="P22" s="33" t="s">
        <v>307</v>
      </c>
      <c r="Q22" s="33" t="s">
        <v>307</v>
      </c>
      <c r="R22" s="33" t="s">
        <v>307</v>
      </c>
      <c r="S22" s="33" t="s">
        <v>307</v>
      </c>
      <c r="T22" s="33" t="s">
        <v>307</v>
      </c>
      <c r="U22" s="33" t="s">
        <v>307</v>
      </c>
      <c r="V22" s="33" t="s">
        <v>307</v>
      </c>
      <c r="W22" s="33" t="s">
        <v>307</v>
      </c>
      <c r="X22" s="33" t="s">
        <v>307</v>
      </c>
      <c r="Y22" s="33" t="s">
        <v>307</v>
      </c>
      <c r="Z22" s="33" t="s">
        <v>307</v>
      </c>
      <c r="AA22" s="148" t="s">
        <v>307</v>
      </c>
      <c r="AB22" s="33" t="s">
        <v>307</v>
      </c>
      <c r="AC22" s="33" t="s">
        <v>307</v>
      </c>
      <c r="AD22" s="33" t="s">
        <v>307</v>
      </c>
      <c r="AE22" s="33" t="s">
        <v>307</v>
      </c>
      <c r="AF22" s="6">
        <f>769+181</f>
        <v>950</v>
      </c>
      <c r="AG22" s="6"/>
      <c r="AH22" s="35">
        <f t="shared" si="0"/>
        <v>413</v>
      </c>
      <c r="AI22" s="6">
        <f>1156+181</f>
        <v>1337</v>
      </c>
      <c r="AJ22" s="6"/>
      <c r="AK22" s="35">
        <f t="shared" si="1"/>
        <v>387</v>
      </c>
      <c r="AL22" s="35">
        <f>1547+181</f>
        <v>1728</v>
      </c>
      <c r="AM22" s="35"/>
      <c r="AN22" s="35">
        <f t="shared" si="2"/>
        <v>391</v>
      </c>
      <c r="AO22" s="6">
        <v>375</v>
      </c>
      <c r="AP22" s="6">
        <f>1560+181</f>
        <v>1741</v>
      </c>
      <c r="AQ22" s="35">
        <f t="shared" si="3"/>
        <v>388</v>
      </c>
      <c r="AR22" s="6">
        <v>762</v>
      </c>
      <c r="AS22" s="6"/>
      <c r="AT22" s="34">
        <f t="shared" si="4"/>
        <v>387</v>
      </c>
      <c r="AU22" s="35">
        <v>1125</v>
      </c>
      <c r="AV22" s="35"/>
      <c r="AW22" s="35">
        <f t="shared" si="5"/>
        <v>363</v>
      </c>
      <c r="AX22" s="6"/>
      <c r="AY22" s="6"/>
      <c r="AZ22" s="35"/>
      <c r="BA22" s="6">
        <v>230</v>
      </c>
      <c r="BB22" s="6">
        <v>1282</v>
      </c>
      <c r="BC22" s="35">
        <f t="shared" si="6"/>
        <v>387</v>
      </c>
      <c r="BD22" s="35">
        <v>616</v>
      </c>
      <c r="BE22" s="35"/>
      <c r="BF22" s="35">
        <f t="shared" si="7"/>
        <v>386</v>
      </c>
      <c r="BG22" s="6">
        <v>242</v>
      </c>
      <c r="BH22" s="6">
        <v>761</v>
      </c>
      <c r="BI22" s="35">
        <f t="shared" si="8"/>
        <v>387</v>
      </c>
      <c r="BJ22" s="6">
        <v>635</v>
      </c>
      <c r="BK22" s="6"/>
      <c r="BL22" s="35">
        <f t="shared" si="9"/>
        <v>393</v>
      </c>
      <c r="BM22" s="6">
        <v>1023</v>
      </c>
      <c r="BN22" s="6"/>
      <c r="BO22" s="6">
        <f t="shared" si="10"/>
        <v>388</v>
      </c>
      <c r="BP22" s="6">
        <v>1394</v>
      </c>
      <c r="BQ22" s="6"/>
      <c r="BR22" s="6">
        <f t="shared" si="11"/>
        <v>371</v>
      </c>
      <c r="BS22" s="6"/>
      <c r="BT22" s="6"/>
      <c r="BU22" s="35"/>
      <c r="BV22" s="6">
        <v>1790</v>
      </c>
      <c r="BW22" s="6"/>
      <c r="BX22" s="6">
        <f t="shared" si="12"/>
        <v>396</v>
      </c>
      <c r="BY22" s="6">
        <v>0</v>
      </c>
      <c r="BZ22" s="6">
        <v>1820</v>
      </c>
      <c r="CA22" s="35">
        <f t="shared" si="13"/>
        <v>30</v>
      </c>
      <c r="CB22" s="6">
        <v>0</v>
      </c>
      <c r="CC22" s="6"/>
      <c r="CD22" s="6">
        <f t="shared" si="14"/>
        <v>0</v>
      </c>
      <c r="CE22" s="6">
        <v>0</v>
      </c>
      <c r="CF22" s="6"/>
      <c r="CG22" s="6">
        <f t="shared" si="15"/>
        <v>0</v>
      </c>
      <c r="CH22" s="6">
        <v>0</v>
      </c>
      <c r="CI22" s="6"/>
      <c r="CJ22" s="6">
        <f t="shared" si="16"/>
        <v>0</v>
      </c>
      <c r="CK22" s="6">
        <v>223</v>
      </c>
      <c r="CL22" s="6"/>
      <c r="CM22" s="6">
        <f t="shared" si="17"/>
        <v>223</v>
      </c>
      <c r="CN22" s="6"/>
      <c r="CO22" s="6"/>
      <c r="CP22" s="6"/>
      <c r="CQ22" s="6">
        <v>620</v>
      </c>
      <c r="CR22" s="6"/>
      <c r="CS22" s="6">
        <f t="shared" si="18"/>
        <v>397</v>
      </c>
      <c r="CT22" s="6">
        <v>1010</v>
      </c>
      <c r="CU22" s="6"/>
      <c r="CV22" s="6">
        <f t="shared" si="19"/>
        <v>390</v>
      </c>
      <c r="CW22" s="6">
        <v>0</v>
      </c>
      <c r="CX22" s="6">
        <v>1328</v>
      </c>
      <c r="CY22" s="6">
        <f t="shared" si="20"/>
        <v>318</v>
      </c>
      <c r="CZ22" s="6">
        <v>371</v>
      </c>
      <c r="DA22" s="6"/>
      <c r="DB22" s="6">
        <f t="shared" si="21"/>
        <v>371</v>
      </c>
      <c r="DC22" s="6">
        <v>743</v>
      </c>
      <c r="DD22" s="6"/>
      <c r="DE22" s="6">
        <f t="shared" si="22"/>
        <v>372</v>
      </c>
      <c r="DF22" s="6">
        <v>1106</v>
      </c>
      <c r="DG22" s="6"/>
      <c r="DH22" s="6">
        <f t="shared" si="23"/>
        <v>363</v>
      </c>
      <c r="DI22" s="6"/>
      <c r="DJ22" s="6"/>
      <c r="DK22" s="6"/>
      <c r="DL22" s="6">
        <v>1495</v>
      </c>
      <c r="DM22" s="6"/>
      <c r="DN22" s="6">
        <f t="shared" si="24"/>
        <v>389</v>
      </c>
      <c r="DO22" s="6">
        <v>0</v>
      </c>
      <c r="DP22" s="6">
        <v>1560</v>
      </c>
      <c r="DQ22" s="6">
        <f t="shared" si="25"/>
        <v>65</v>
      </c>
    </row>
    <row r="23" spans="1:121">
      <c r="A23" s="6">
        <v>19</v>
      </c>
      <c r="B23" s="6">
        <v>1415</v>
      </c>
      <c r="C23" s="6"/>
      <c r="D23" s="6">
        <v>350</v>
      </c>
      <c r="E23" s="33" t="s">
        <v>37</v>
      </c>
      <c r="F23" s="33" t="s">
        <v>37</v>
      </c>
      <c r="G23" s="33" t="s">
        <v>37</v>
      </c>
      <c r="H23" s="33" t="s">
        <v>37</v>
      </c>
      <c r="I23" s="33" t="s">
        <v>37</v>
      </c>
      <c r="J23" s="33" t="s">
        <v>37</v>
      </c>
      <c r="K23" s="33" t="s">
        <v>37</v>
      </c>
      <c r="L23" s="33" t="s">
        <v>37</v>
      </c>
      <c r="M23" s="33" t="s">
        <v>37</v>
      </c>
      <c r="N23" s="33" t="s">
        <v>37</v>
      </c>
      <c r="O23" s="148" t="s">
        <v>37</v>
      </c>
      <c r="P23" s="33" t="s">
        <v>37</v>
      </c>
      <c r="Q23" s="33" t="s">
        <v>37</v>
      </c>
      <c r="R23" s="33" t="s">
        <v>37</v>
      </c>
      <c r="S23" s="33" t="s">
        <v>37</v>
      </c>
      <c r="T23" s="33" t="s">
        <v>37</v>
      </c>
      <c r="U23" s="33" t="s">
        <v>37</v>
      </c>
      <c r="V23" s="33" t="s">
        <v>37</v>
      </c>
      <c r="W23" s="33" t="s">
        <v>37</v>
      </c>
      <c r="X23" s="33" t="s">
        <v>37</v>
      </c>
      <c r="Y23" s="33" t="s">
        <v>37</v>
      </c>
      <c r="Z23" s="33" t="s">
        <v>37</v>
      </c>
      <c r="AA23" s="33" t="s">
        <v>37</v>
      </c>
      <c r="AB23" s="33" t="s">
        <v>37</v>
      </c>
      <c r="AC23" s="33" t="s">
        <v>37</v>
      </c>
      <c r="AD23" s="33" t="s">
        <v>37</v>
      </c>
      <c r="AE23" s="33" t="s">
        <v>37</v>
      </c>
      <c r="AF23" s="6">
        <v>254</v>
      </c>
      <c r="AG23" s="35">
        <v>1561</v>
      </c>
      <c r="AH23" s="35">
        <f t="shared" si="0"/>
        <v>400</v>
      </c>
      <c r="AI23" s="6">
        <v>629</v>
      </c>
      <c r="AJ23" s="35"/>
      <c r="AK23" s="35">
        <f t="shared" si="1"/>
        <v>375</v>
      </c>
      <c r="AL23" s="35">
        <v>1012</v>
      </c>
      <c r="AM23" s="35"/>
      <c r="AN23" s="35">
        <f t="shared" si="2"/>
        <v>383</v>
      </c>
      <c r="AO23" s="6">
        <v>1391</v>
      </c>
      <c r="AP23" s="6"/>
      <c r="AQ23" s="35">
        <f t="shared" si="3"/>
        <v>379</v>
      </c>
      <c r="AR23" s="6">
        <v>204</v>
      </c>
      <c r="AS23" s="6">
        <v>1570</v>
      </c>
      <c r="AT23" s="34">
        <f t="shared" si="4"/>
        <v>383</v>
      </c>
      <c r="AU23" s="35">
        <v>566</v>
      </c>
      <c r="AV23" s="35"/>
      <c r="AW23" s="35">
        <f t="shared" si="5"/>
        <v>362</v>
      </c>
      <c r="AX23" s="6"/>
      <c r="AY23" s="6"/>
      <c r="AZ23" s="35"/>
      <c r="BA23" s="6">
        <v>952</v>
      </c>
      <c r="BB23" s="6"/>
      <c r="BC23" s="35">
        <f t="shared" si="6"/>
        <v>386</v>
      </c>
      <c r="BD23" s="35">
        <v>1333</v>
      </c>
      <c r="BE23" s="35"/>
      <c r="BF23" s="35">
        <f t="shared" si="7"/>
        <v>381</v>
      </c>
      <c r="BG23" s="6">
        <v>0</v>
      </c>
      <c r="BH23" s="6">
        <v>1608</v>
      </c>
      <c r="BI23" s="35">
        <f t="shared" si="8"/>
        <v>275</v>
      </c>
      <c r="BJ23" s="6">
        <v>373</v>
      </c>
      <c r="BK23" s="6"/>
      <c r="BL23" s="35">
        <f t="shared" si="9"/>
        <v>373</v>
      </c>
      <c r="BM23" s="6">
        <v>755</v>
      </c>
      <c r="BN23" s="6"/>
      <c r="BO23" s="6">
        <f t="shared" si="10"/>
        <v>382</v>
      </c>
      <c r="BP23" s="6">
        <v>1116</v>
      </c>
      <c r="BQ23" s="6"/>
      <c r="BR23" s="6">
        <f t="shared" si="11"/>
        <v>361</v>
      </c>
      <c r="BS23" s="6"/>
      <c r="BT23" s="6"/>
      <c r="BU23" s="35"/>
      <c r="BV23" s="6">
        <v>1503</v>
      </c>
      <c r="BW23" s="6"/>
      <c r="BX23" s="6">
        <f t="shared" si="12"/>
        <v>387</v>
      </c>
      <c r="BY23" s="6">
        <v>322</v>
      </c>
      <c r="BZ23" s="6">
        <v>1560</v>
      </c>
      <c r="CA23" s="35">
        <f t="shared" si="13"/>
        <v>379</v>
      </c>
      <c r="CB23" s="6">
        <v>696</v>
      </c>
      <c r="CC23" s="6"/>
      <c r="CD23" s="6">
        <f t="shared" si="14"/>
        <v>374</v>
      </c>
      <c r="CE23" s="6">
        <v>1070</v>
      </c>
      <c r="CF23" s="6"/>
      <c r="CG23" s="6">
        <f t="shared" si="15"/>
        <v>374</v>
      </c>
      <c r="CH23" s="6">
        <v>1448</v>
      </c>
      <c r="CI23" s="6"/>
      <c r="CJ23" s="6">
        <f t="shared" si="16"/>
        <v>378</v>
      </c>
      <c r="CK23" s="6">
        <v>259</v>
      </c>
      <c r="CL23" s="6">
        <v>1560</v>
      </c>
      <c r="CM23" s="6">
        <f t="shared" si="17"/>
        <v>371</v>
      </c>
      <c r="CN23" s="6"/>
      <c r="CO23" s="6"/>
      <c r="CP23" s="6"/>
      <c r="CQ23" s="6">
        <v>647</v>
      </c>
      <c r="CR23" s="6"/>
      <c r="CS23" s="6">
        <f t="shared" si="18"/>
        <v>388</v>
      </c>
      <c r="CT23" s="6">
        <v>1012</v>
      </c>
      <c r="CU23" s="6"/>
      <c r="CV23" s="6">
        <f t="shared" si="19"/>
        <v>365</v>
      </c>
      <c r="CW23" s="6">
        <v>1391</v>
      </c>
      <c r="CX23" s="6"/>
      <c r="CY23" s="6">
        <f t="shared" si="20"/>
        <v>379</v>
      </c>
      <c r="CZ23" s="6">
        <v>209</v>
      </c>
      <c r="DA23" s="6">
        <v>1560</v>
      </c>
      <c r="DB23" s="6">
        <f t="shared" si="21"/>
        <v>378</v>
      </c>
      <c r="DC23" s="6">
        <v>585</v>
      </c>
      <c r="DD23" s="6"/>
      <c r="DE23" s="6">
        <f t="shared" si="22"/>
        <v>376</v>
      </c>
      <c r="DF23" s="6">
        <v>948</v>
      </c>
      <c r="DG23" s="6"/>
      <c r="DH23" s="6">
        <f t="shared" si="23"/>
        <v>363</v>
      </c>
      <c r="DI23" s="6"/>
      <c r="DJ23" s="6"/>
      <c r="DK23" s="6"/>
      <c r="DL23" s="6">
        <v>1337</v>
      </c>
      <c r="DM23" s="6"/>
      <c r="DN23" s="6">
        <f t="shared" si="24"/>
        <v>389</v>
      </c>
      <c r="DO23" s="6">
        <v>140</v>
      </c>
      <c r="DP23" s="6">
        <v>1560</v>
      </c>
      <c r="DQ23" s="6">
        <f t="shared" si="25"/>
        <v>363</v>
      </c>
    </row>
    <row r="24" spans="1:121">
      <c r="A24" s="6">
        <v>20</v>
      </c>
      <c r="B24" s="6">
        <v>305</v>
      </c>
      <c r="C24" s="6">
        <v>1594</v>
      </c>
      <c r="D24" s="6">
        <v>339</v>
      </c>
      <c r="E24" s="256" t="s">
        <v>37</v>
      </c>
      <c r="F24" s="257" t="s">
        <v>37</v>
      </c>
      <c r="G24" s="257" t="s">
        <v>37</v>
      </c>
      <c r="H24" s="257" t="s">
        <v>37</v>
      </c>
      <c r="I24" s="257" t="s">
        <v>37</v>
      </c>
      <c r="J24" s="257" t="s">
        <v>37</v>
      </c>
      <c r="K24" s="257" t="s">
        <v>37</v>
      </c>
      <c r="L24" s="257" t="s">
        <v>37</v>
      </c>
      <c r="M24" s="257" t="s">
        <v>37</v>
      </c>
      <c r="N24" s="257" t="s">
        <v>37</v>
      </c>
      <c r="O24" s="257" t="s">
        <v>37</v>
      </c>
      <c r="P24" s="257" t="s">
        <v>37</v>
      </c>
      <c r="Q24" s="257" t="s">
        <v>37</v>
      </c>
      <c r="R24" s="257" t="s">
        <v>37</v>
      </c>
      <c r="S24" s="257" t="s">
        <v>37</v>
      </c>
      <c r="T24" s="257" t="s">
        <v>37</v>
      </c>
      <c r="U24" s="257" t="s">
        <v>37</v>
      </c>
      <c r="V24" s="257" t="s">
        <v>37</v>
      </c>
      <c r="W24" s="257" t="s">
        <v>37</v>
      </c>
      <c r="X24" s="257" t="s">
        <v>37</v>
      </c>
      <c r="Y24" s="257" t="s">
        <v>37</v>
      </c>
      <c r="Z24" s="256" t="s">
        <v>37</v>
      </c>
      <c r="AA24" s="257" t="s">
        <v>37</v>
      </c>
      <c r="AB24" s="257" t="s">
        <v>37</v>
      </c>
      <c r="AC24" s="257" t="s">
        <v>37</v>
      </c>
      <c r="AD24" s="257" t="s">
        <v>37</v>
      </c>
      <c r="AE24" s="257" t="s">
        <v>37</v>
      </c>
      <c r="AF24" s="6">
        <v>707</v>
      </c>
      <c r="AG24" s="6"/>
      <c r="AH24" s="35">
        <f t="shared" si="0"/>
        <v>402</v>
      </c>
      <c r="AI24" s="6">
        <v>1079</v>
      </c>
      <c r="AJ24" s="6"/>
      <c r="AK24" s="35">
        <f t="shared" si="1"/>
        <v>372</v>
      </c>
      <c r="AL24" s="35">
        <v>1451</v>
      </c>
      <c r="AM24" s="35"/>
      <c r="AN24" s="35">
        <f t="shared" si="2"/>
        <v>372</v>
      </c>
      <c r="AO24" s="35">
        <v>265</v>
      </c>
      <c r="AP24" s="6">
        <v>1561</v>
      </c>
      <c r="AQ24" s="35">
        <f t="shared" si="3"/>
        <v>375</v>
      </c>
      <c r="AR24" s="6">
        <v>638</v>
      </c>
      <c r="AS24" s="6"/>
      <c r="AT24" s="34">
        <f t="shared" si="4"/>
        <v>373</v>
      </c>
      <c r="AU24" s="35">
        <v>996</v>
      </c>
      <c r="AV24" s="35"/>
      <c r="AW24" s="35">
        <f t="shared" si="5"/>
        <v>358</v>
      </c>
      <c r="AX24" s="6"/>
      <c r="AY24" s="6"/>
      <c r="AZ24" s="35"/>
      <c r="BA24" s="6">
        <v>1377</v>
      </c>
      <c r="BB24" s="6"/>
      <c r="BC24" s="35">
        <f t="shared" si="6"/>
        <v>381</v>
      </c>
      <c r="BD24" s="35">
        <v>189</v>
      </c>
      <c r="BE24" s="35">
        <v>1560</v>
      </c>
      <c r="BF24" s="35">
        <f t="shared" si="7"/>
        <v>372</v>
      </c>
      <c r="BG24" s="6">
        <v>567</v>
      </c>
      <c r="BH24" s="6"/>
      <c r="BI24" s="35">
        <f t="shared" si="8"/>
        <v>378</v>
      </c>
      <c r="BJ24" s="6">
        <v>946</v>
      </c>
      <c r="BK24" s="6"/>
      <c r="BL24" s="35">
        <f t="shared" si="9"/>
        <v>379</v>
      </c>
      <c r="BM24" s="6">
        <v>1324</v>
      </c>
      <c r="BN24" s="6"/>
      <c r="BO24" s="6">
        <f t="shared" si="10"/>
        <v>378</v>
      </c>
      <c r="BP24" s="6">
        <v>118</v>
      </c>
      <c r="BQ24" s="6">
        <v>1560</v>
      </c>
      <c r="BR24" s="6">
        <f t="shared" si="11"/>
        <v>354</v>
      </c>
      <c r="BS24" s="6"/>
      <c r="BT24" s="6"/>
      <c r="BU24" s="35"/>
      <c r="BV24" s="6">
        <v>492</v>
      </c>
      <c r="BW24" s="6"/>
      <c r="BX24" s="6">
        <f t="shared" si="12"/>
        <v>374</v>
      </c>
      <c r="BY24" s="6">
        <v>867</v>
      </c>
      <c r="BZ24" s="6"/>
      <c r="CA24" s="35">
        <f t="shared" si="13"/>
        <v>375</v>
      </c>
      <c r="CB24" s="6">
        <v>350</v>
      </c>
      <c r="CC24" s="6">
        <v>889</v>
      </c>
      <c r="CD24" s="6">
        <f t="shared" si="14"/>
        <v>372</v>
      </c>
      <c r="CE24" s="6">
        <v>726</v>
      </c>
      <c r="CF24" s="6"/>
      <c r="CG24" s="6">
        <f t="shared" si="15"/>
        <v>376</v>
      </c>
      <c r="CH24" s="6">
        <v>1101</v>
      </c>
      <c r="CI24" s="6"/>
      <c r="CJ24" s="6">
        <f t="shared" si="16"/>
        <v>375</v>
      </c>
      <c r="CK24" s="6">
        <v>1463</v>
      </c>
      <c r="CL24" s="6"/>
      <c r="CM24" s="6">
        <f t="shared" si="17"/>
        <v>362</v>
      </c>
      <c r="CN24" s="6"/>
      <c r="CO24" s="6"/>
      <c r="CP24" s="6"/>
      <c r="CQ24" s="6">
        <v>287</v>
      </c>
      <c r="CR24" s="6">
        <v>1560</v>
      </c>
      <c r="CS24" s="6">
        <f t="shared" si="18"/>
        <v>384</v>
      </c>
      <c r="CT24" s="6">
        <v>662</v>
      </c>
      <c r="CU24" s="6"/>
      <c r="CV24" s="6">
        <f t="shared" si="19"/>
        <v>375</v>
      </c>
      <c r="CW24" s="6">
        <v>285</v>
      </c>
      <c r="CX24" s="6">
        <v>732</v>
      </c>
      <c r="CY24" s="6">
        <f t="shared" si="20"/>
        <v>355</v>
      </c>
      <c r="CZ24" s="6">
        <v>663</v>
      </c>
      <c r="DA24" s="6"/>
      <c r="DB24" s="6">
        <f t="shared" si="21"/>
        <v>378</v>
      </c>
      <c r="DC24" s="6">
        <v>1043</v>
      </c>
      <c r="DD24" s="6"/>
      <c r="DE24" s="6">
        <f t="shared" si="22"/>
        <v>380</v>
      </c>
      <c r="DF24" s="6">
        <v>1396</v>
      </c>
      <c r="DG24" s="6"/>
      <c r="DH24" s="6">
        <f t="shared" si="23"/>
        <v>353</v>
      </c>
      <c r="DI24" s="6"/>
      <c r="DJ24" s="6"/>
      <c r="DK24" s="6"/>
      <c r="DL24" s="6">
        <v>215</v>
      </c>
      <c r="DM24" s="6">
        <v>1560</v>
      </c>
      <c r="DN24" s="6">
        <f t="shared" si="24"/>
        <v>379</v>
      </c>
      <c r="DO24" s="6">
        <v>575</v>
      </c>
      <c r="DP24" s="6"/>
      <c r="DQ24" s="6">
        <f t="shared" si="25"/>
        <v>360</v>
      </c>
    </row>
    <row r="25" spans="1:121">
      <c r="A25" s="6">
        <v>21</v>
      </c>
      <c r="B25" s="6">
        <v>281</v>
      </c>
      <c r="C25" s="6">
        <v>1560</v>
      </c>
      <c r="D25" s="6">
        <v>354</v>
      </c>
      <c r="E25" s="33" t="s">
        <v>307</v>
      </c>
      <c r="F25" s="33" t="s">
        <v>307</v>
      </c>
      <c r="G25" s="33" t="s">
        <v>307</v>
      </c>
      <c r="H25" s="33" t="s">
        <v>307</v>
      </c>
      <c r="I25" s="33" t="s">
        <v>307</v>
      </c>
      <c r="J25" s="33" t="s">
        <v>307</v>
      </c>
      <c r="K25" s="33" t="s">
        <v>307</v>
      </c>
      <c r="L25" s="33" t="s">
        <v>307</v>
      </c>
      <c r="M25" s="33" t="s">
        <v>307</v>
      </c>
      <c r="N25" s="33" t="s">
        <v>307</v>
      </c>
      <c r="O25" s="33" t="s">
        <v>307</v>
      </c>
      <c r="P25" s="33" t="s">
        <v>307</v>
      </c>
      <c r="Q25" s="33" t="s">
        <v>307</v>
      </c>
      <c r="R25" s="148" t="s">
        <v>307</v>
      </c>
      <c r="S25" s="33" t="s">
        <v>307</v>
      </c>
      <c r="T25" s="33" t="s">
        <v>307</v>
      </c>
      <c r="U25" s="33" t="s">
        <v>307</v>
      </c>
      <c r="V25" s="33" t="s">
        <v>307</v>
      </c>
      <c r="W25" s="33" t="s">
        <v>307</v>
      </c>
      <c r="X25" s="33" t="s">
        <v>307</v>
      </c>
      <c r="Y25" s="33" t="s">
        <v>307</v>
      </c>
      <c r="Z25" s="33" t="s">
        <v>307</v>
      </c>
      <c r="AA25" s="33" t="s">
        <v>307</v>
      </c>
      <c r="AB25" s="33" t="s">
        <v>307</v>
      </c>
      <c r="AC25" s="33" t="s">
        <v>307</v>
      </c>
      <c r="AD25" s="33" t="s">
        <v>307</v>
      </c>
      <c r="AE25" s="33" t="s">
        <v>307</v>
      </c>
      <c r="AF25" s="6">
        <v>695</v>
      </c>
      <c r="AG25" s="6"/>
      <c r="AH25" s="35">
        <f t="shared" si="0"/>
        <v>414</v>
      </c>
      <c r="AI25" s="6">
        <v>1079</v>
      </c>
      <c r="AJ25" s="6"/>
      <c r="AK25" s="35">
        <f t="shared" si="1"/>
        <v>384</v>
      </c>
      <c r="AL25" s="35">
        <v>1469</v>
      </c>
      <c r="AM25" s="35"/>
      <c r="AN25" s="35">
        <f t="shared" si="2"/>
        <v>390</v>
      </c>
      <c r="AO25" s="6">
        <v>289</v>
      </c>
      <c r="AP25" s="6">
        <v>1560</v>
      </c>
      <c r="AQ25" s="35">
        <f t="shared" si="3"/>
        <v>380</v>
      </c>
      <c r="AR25" s="6">
        <v>676</v>
      </c>
      <c r="AS25" s="6"/>
      <c r="AT25" s="34">
        <f t="shared" si="4"/>
        <v>387</v>
      </c>
      <c r="AU25" s="35">
        <v>1043</v>
      </c>
      <c r="AV25" s="35"/>
      <c r="AW25" s="35">
        <f t="shared" si="5"/>
        <v>367</v>
      </c>
      <c r="AX25" s="6"/>
      <c r="AY25" s="6"/>
      <c r="AZ25" s="35"/>
      <c r="BA25" s="6">
        <v>298</v>
      </c>
      <c r="BB25" s="6">
        <v>1131</v>
      </c>
      <c r="BC25" s="35">
        <f t="shared" si="6"/>
        <v>386</v>
      </c>
      <c r="BD25" s="35">
        <v>680</v>
      </c>
      <c r="BE25" s="35"/>
      <c r="BF25" s="35">
        <f t="shared" si="7"/>
        <v>382</v>
      </c>
      <c r="BG25" s="6">
        <v>1062</v>
      </c>
      <c r="BH25" s="6"/>
      <c r="BI25" s="35">
        <f t="shared" si="8"/>
        <v>382</v>
      </c>
      <c r="BJ25" s="6">
        <v>1449</v>
      </c>
      <c r="BK25" s="6"/>
      <c r="BL25" s="35">
        <f t="shared" si="9"/>
        <v>387</v>
      </c>
      <c r="BM25" s="6">
        <v>268</v>
      </c>
      <c r="BN25" s="6">
        <v>1567</v>
      </c>
      <c r="BO25" s="6">
        <f t="shared" si="10"/>
        <v>386</v>
      </c>
      <c r="BP25" s="6">
        <v>0</v>
      </c>
      <c r="BQ25" s="6">
        <v>491</v>
      </c>
      <c r="BR25" s="6">
        <f t="shared" si="11"/>
        <v>223</v>
      </c>
      <c r="BS25" s="6"/>
      <c r="BT25" s="6"/>
      <c r="BU25" s="35"/>
      <c r="BV25" s="6">
        <v>0</v>
      </c>
      <c r="BW25" s="6"/>
      <c r="BX25" s="6">
        <f t="shared" si="12"/>
        <v>0</v>
      </c>
      <c r="BY25" s="6">
        <v>0</v>
      </c>
      <c r="BZ25" s="6"/>
      <c r="CA25" s="35">
        <f t="shared" si="13"/>
        <v>0</v>
      </c>
      <c r="CB25" s="6">
        <v>0</v>
      </c>
      <c r="CC25" s="6"/>
      <c r="CD25" s="6">
        <f t="shared" si="14"/>
        <v>0</v>
      </c>
      <c r="CE25" s="6">
        <v>0</v>
      </c>
      <c r="CF25" s="6"/>
      <c r="CG25" s="6">
        <f t="shared" si="15"/>
        <v>0</v>
      </c>
      <c r="CH25" s="6">
        <v>0</v>
      </c>
      <c r="CI25" s="6"/>
      <c r="CJ25" s="6">
        <f t="shared" si="16"/>
        <v>0</v>
      </c>
      <c r="CK25" s="6">
        <v>14</v>
      </c>
      <c r="CL25" s="6"/>
      <c r="CM25" s="6">
        <f t="shared" si="17"/>
        <v>14</v>
      </c>
      <c r="CN25" s="6"/>
      <c r="CO25" s="6"/>
      <c r="CP25" s="6"/>
      <c r="CQ25" s="6">
        <v>402</v>
      </c>
      <c r="CR25" s="6"/>
      <c r="CS25" s="6">
        <f t="shared" si="18"/>
        <v>388</v>
      </c>
      <c r="CT25" s="6">
        <v>771</v>
      </c>
      <c r="CU25" s="6"/>
      <c r="CV25" s="6">
        <f t="shared" si="19"/>
        <v>369</v>
      </c>
      <c r="CW25" s="6">
        <v>1156</v>
      </c>
      <c r="CX25" s="6"/>
      <c r="CY25" s="6">
        <f t="shared" si="20"/>
        <v>385</v>
      </c>
      <c r="CZ25" s="6">
        <v>1536</v>
      </c>
      <c r="DA25" s="6"/>
      <c r="DB25" s="6">
        <f t="shared" si="21"/>
        <v>380</v>
      </c>
      <c r="DC25" s="6">
        <v>97</v>
      </c>
      <c r="DD25" s="6">
        <v>1820</v>
      </c>
      <c r="DE25" s="6">
        <f t="shared" si="22"/>
        <v>381</v>
      </c>
      <c r="DF25" s="6">
        <v>465</v>
      </c>
      <c r="DG25" s="6"/>
      <c r="DH25" s="6">
        <f t="shared" si="23"/>
        <v>368</v>
      </c>
      <c r="DI25" s="6"/>
      <c r="DJ25" s="6"/>
      <c r="DK25" s="6"/>
      <c r="DL25" s="6">
        <v>851</v>
      </c>
      <c r="DM25" s="6"/>
      <c r="DN25" s="6">
        <f t="shared" si="24"/>
        <v>386</v>
      </c>
      <c r="DO25" s="6">
        <v>1210</v>
      </c>
      <c r="DP25" s="6"/>
      <c r="DQ25" s="6">
        <f t="shared" si="25"/>
        <v>359</v>
      </c>
    </row>
    <row r="26" spans="1:121">
      <c r="A26" s="6">
        <v>22</v>
      </c>
      <c r="B26" s="6">
        <v>1364</v>
      </c>
      <c r="C26" s="6"/>
      <c r="D26" s="6">
        <v>344</v>
      </c>
      <c r="E26" s="33" t="s">
        <v>37</v>
      </c>
      <c r="F26" s="33" t="s">
        <v>37</v>
      </c>
      <c r="G26" s="33" t="s">
        <v>37</v>
      </c>
      <c r="H26" s="33" t="s">
        <v>37</v>
      </c>
      <c r="I26" s="33" t="s">
        <v>37</v>
      </c>
      <c r="J26" s="33" t="s">
        <v>37</v>
      </c>
      <c r="K26" s="33" t="s">
        <v>37</v>
      </c>
      <c r="L26" s="33" t="s">
        <v>37</v>
      </c>
      <c r="M26" s="33" t="s">
        <v>37</v>
      </c>
      <c r="N26" s="33" t="s">
        <v>37</v>
      </c>
      <c r="O26" s="148" t="s">
        <v>37</v>
      </c>
      <c r="P26" s="33" t="s">
        <v>37</v>
      </c>
      <c r="Q26" s="33" t="s">
        <v>37</v>
      </c>
      <c r="R26" s="33" t="s">
        <v>37</v>
      </c>
      <c r="S26" s="33" t="s">
        <v>37</v>
      </c>
      <c r="T26" s="33" t="s">
        <v>37</v>
      </c>
      <c r="U26" s="33" t="s">
        <v>37</v>
      </c>
      <c r="V26" s="33" t="s">
        <v>37</v>
      </c>
      <c r="W26" s="33" t="s">
        <v>37</v>
      </c>
      <c r="X26" s="33" t="s">
        <v>37</v>
      </c>
      <c r="Y26" s="33" t="s">
        <v>37</v>
      </c>
      <c r="Z26" s="33" t="s">
        <v>37</v>
      </c>
      <c r="AA26" s="33" t="s">
        <v>37</v>
      </c>
      <c r="AB26" s="33" t="s">
        <v>37</v>
      </c>
      <c r="AC26" s="33" t="s">
        <v>37</v>
      </c>
      <c r="AD26" s="33" t="s">
        <v>37</v>
      </c>
      <c r="AE26" s="33" t="s">
        <v>37</v>
      </c>
      <c r="AF26" s="6">
        <v>208</v>
      </c>
      <c r="AG26" s="6">
        <v>1560</v>
      </c>
      <c r="AH26" s="35">
        <f t="shared" si="0"/>
        <v>404</v>
      </c>
      <c r="AI26" s="6">
        <v>578</v>
      </c>
      <c r="AJ26" s="6"/>
      <c r="AK26" s="35">
        <f t="shared" si="1"/>
        <v>370</v>
      </c>
      <c r="AL26" s="35">
        <v>949</v>
      </c>
      <c r="AM26" s="35"/>
      <c r="AN26" s="35">
        <f t="shared" si="2"/>
        <v>371</v>
      </c>
      <c r="AO26" s="6">
        <v>1325</v>
      </c>
      <c r="AP26" s="6"/>
      <c r="AQ26" s="35">
        <f t="shared" si="3"/>
        <v>376</v>
      </c>
      <c r="AR26" s="6">
        <v>136</v>
      </c>
      <c r="AS26" s="6">
        <v>1561</v>
      </c>
      <c r="AT26" s="34">
        <f t="shared" si="4"/>
        <v>372</v>
      </c>
      <c r="AU26" s="35">
        <v>497</v>
      </c>
      <c r="AV26" s="35"/>
      <c r="AW26" s="35">
        <f t="shared" si="5"/>
        <v>361</v>
      </c>
      <c r="AX26" s="6"/>
      <c r="AY26" s="6"/>
      <c r="AZ26" s="35"/>
      <c r="BA26" s="6">
        <v>876</v>
      </c>
      <c r="BB26" s="6"/>
      <c r="BC26" s="35">
        <f t="shared" si="6"/>
        <v>379</v>
      </c>
      <c r="BD26" s="35">
        <v>1253</v>
      </c>
      <c r="BE26" s="35"/>
      <c r="BF26" s="35">
        <f t="shared" si="7"/>
        <v>377</v>
      </c>
      <c r="BG26" s="6">
        <v>1629</v>
      </c>
      <c r="BH26" s="6"/>
      <c r="BI26" s="35">
        <f t="shared" si="8"/>
        <v>376</v>
      </c>
      <c r="BJ26" s="6">
        <v>343</v>
      </c>
      <c r="BK26" s="6">
        <v>1646</v>
      </c>
      <c r="BL26" s="35">
        <f t="shared" si="9"/>
        <v>360</v>
      </c>
      <c r="BM26" s="6">
        <v>725</v>
      </c>
      <c r="BN26" s="6"/>
      <c r="BO26" s="6">
        <f t="shared" si="10"/>
        <v>382</v>
      </c>
      <c r="BP26" s="6">
        <v>1086</v>
      </c>
      <c r="BQ26" s="6"/>
      <c r="BR26" s="6">
        <f t="shared" si="11"/>
        <v>361</v>
      </c>
      <c r="BS26" s="6"/>
      <c r="BT26" s="6"/>
      <c r="BU26" s="35"/>
      <c r="BV26" s="6">
        <v>1470</v>
      </c>
      <c r="BW26" s="6"/>
      <c r="BX26" s="6">
        <f t="shared" si="12"/>
        <v>384</v>
      </c>
      <c r="BY26" s="6">
        <v>289</v>
      </c>
      <c r="BZ26" s="6">
        <v>1560</v>
      </c>
      <c r="CA26" s="35">
        <f t="shared" si="13"/>
        <v>379</v>
      </c>
      <c r="CB26" s="6">
        <v>669</v>
      </c>
      <c r="CC26" s="6"/>
      <c r="CD26" s="6">
        <f t="shared" si="14"/>
        <v>380</v>
      </c>
      <c r="CE26" s="6">
        <v>1047</v>
      </c>
      <c r="CF26" s="6"/>
      <c r="CG26" s="6">
        <f t="shared" si="15"/>
        <v>378</v>
      </c>
      <c r="CH26" s="6">
        <v>1423</v>
      </c>
      <c r="CI26" s="6"/>
      <c r="CJ26" s="6">
        <f t="shared" si="16"/>
        <v>376</v>
      </c>
      <c r="CK26" s="6">
        <v>220</v>
      </c>
      <c r="CL26" s="6">
        <v>1560</v>
      </c>
      <c r="CM26" s="6">
        <f t="shared" si="17"/>
        <v>357</v>
      </c>
      <c r="CN26" s="6"/>
      <c r="CO26" s="6"/>
      <c r="CP26" s="6"/>
      <c r="CQ26" s="6">
        <v>606</v>
      </c>
      <c r="CR26" s="6"/>
      <c r="CS26" s="6">
        <f t="shared" si="18"/>
        <v>386</v>
      </c>
      <c r="CT26" s="6">
        <v>983</v>
      </c>
      <c r="CU26" s="6"/>
      <c r="CV26" s="6">
        <f t="shared" si="19"/>
        <v>377</v>
      </c>
      <c r="CW26" s="6">
        <v>1364</v>
      </c>
      <c r="CX26" s="6"/>
      <c r="CY26" s="6">
        <f t="shared" si="20"/>
        <v>381</v>
      </c>
      <c r="CZ26" s="6">
        <v>185</v>
      </c>
      <c r="DA26" s="6">
        <v>1560</v>
      </c>
      <c r="DB26" s="6">
        <f t="shared" si="21"/>
        <v>381</v>
      </c>
      <c r="DC26" s="6">
        <v>568</v>
      </c>
      <c r="DD26" s="6"/>
      <c r="DE26" s="6">
        <f t="shared" si="22"/>
        <v>383</v>
      </c>
      <c r="DF26" s="6">
        <v>929</v>
      </c>
      <c r="DG26" s="6"/>
      <c r="DH26" s="6">
        <f t="shared" si="23"/>
        <v>361</v>
      </c>
      <c r="DI26" s="6"/>
      <c r="DJ26" s="6"/>
      <c r="DK26" s="6"/>
      <c r="DL26" s="6">
        <v>1319</v>
      </c>
      <c r="DM26" s="6"/>
      <c r="DN26" s="6">
        <f t="shared" si="24"/>
        <v>390</v>
      </c>
      <c r="DO26" s="6">
        <v>115</v>
      </c>
      <c r="DP26" s="6">
        <v>1560</v>
      </c>
      <c r="DQ26" s="6">
        <f t="shared" si="25"/>
        <v>356</v>
      </c>
    </row>
    <row r="27" spans="1:121">
      <c r="A27" s="6">
        <v>23</v>
      </c>
      <c r="B27" s="6">
        <v>334</v>
      </c>
      <c r="C27" s="6">
        <v>1561</v>
      </c>
      <c r="D27" s="6">
        <v>352</v>
      </c>
      <c r="E27" s="33" t="s">
        <v>307</v>
      </c>
      <c r="F27" s="33" t="s">
        <v>307</v>
      </c>
      <c r="G27" s="33" t="s">
        <v>307</v>
      </c>
      <c r="H27" s="33" t="s">
        <v>307</v>
      </c>
      <c r="I27" s="33" t="s">
        <v>307</v>
      </c>
      <c r="J27" s="33" t="s">
        <v>307</v>
      </c>
      <c r="K27" s="33" t="s">
        <v>307</v>
      </c>
      <c r="L27" s="33" t="s">
        <v>307</v>
      </c>
      <c r="M27" s="33" t="s">
        <v>307</v>
      </c>
      <c r="N27" s="33" t="s">
        <v>307</v>
      </c>
      <c r="O27" s="33" t="s">
        <v>307</v>
      </c>
      <c r="P27" s="33" t="s">
        <v>307</v>
      </c>
      <c r="Q27" s="33" t="s">
        <v>307</v>
      </c>
      <c r="R27" s="33" t="s">
        <v>307</v>
      </c>
      <c r="S27" s="33" t="s">
        <v>307</v>
      </c>
      <c r="T27" s="33" t="s">
        <v>307</v>
      </c>
      <c r="U27" s="33" t="s">
        <v>307</v>
      </c>
      <c r="V27" s="33" t="s">
        <v>307</v>
      </c>
      <c r="W27" s="33" t="s">
        <v>307</v>
      </c>
      <c r="X27" s="33" t="s">
        <v>307</v>
      </c>
      <c r="Y27" s="33" t="s">
        <v>307</v>
      </c>
      <c r="Z27" s="148" t="s">
        <v>37</v>
      </c>
      <c r="AA27" s="33" t="s">
        <v>37</v>
      </c>
      <c r="AB27" s="33" t="s">
        <v>37</v>
      </c>
      <c r="AC27" s="33" t="s">
        <v>37</v>
      </c>
      <c r="AD27" s="33" t="s">
        <v>37</v>
      </c>
      <c r="AE27" s="33" t="s">
        <v>37</v>
      </c>
      <c r="AF27" s="35">
        <v>744</v>
      </c>
      <c r="AG27" s="35"/>
      <c r="AH27" s="35">
        <f t="shared" si="0"/>
        <v>410</v>
      </c>
      <c r="AI27" s="35">
        <v>1125</v>
      </c>
      <c r="AJ27" s="35"/>
      <c r="AK27" s="35">
        <f t="shared" si="1"/>
        <v>381</v>
      </c>
      <c r="AL27" s="35">
        <v>1512</v>
      </c>
      <c r="AM27" s="35"/>
      <c r="AN27" s="35">
        <f t="shared" si="2"/>
        <v>387</v>
      </c>
      <c r="AO27" s="35">
        <v>333</v>
      </c>
      <c r="AP27" s="35">
        <v>1561</v>
      </c>
      <c r="AQ27" s="35">
        <f t="shared" si="3"/>
        <v>382</v>
      </c>
      <c r="AR27" s="35">
        <v>199</v>
      </c>
      <c r="AS27" s="35">
        <v>502</v>
      </c>
      <c r="AT27" s="34">
        <f t="shared" si="4"/>
        <v>368</v>
      </c>
      <c r="AU27" s="35">
        <v>558</v>
      </c>
      <c r="AV27" s="35"/>
      <c r="AW27" s="35">
        <f t="shared" si="5"/>
        <v>359</v>
      </c>
      <c r="AX27" s="6"/>
      <c r="AY27" s="6"/>
      <c r="AZ27" s="35"/>
      <c r="BA27" s="35">
        <v>946</v>
      </c>
      <c r="BB27" s="35"/>
      <c r="BC27" s="35">
        <f t="shared" si="6"/>
        <v>388</v>
      </c>
      <c r="BD27" s="35">
        <v>1333</v>
      </c>
      <c r="BE27" s="35"/>
      <c r="BF27" s="35">
        <f t="shared" si="7"/>
        <v>387</v>
      </c>
      <c r="BG27" s="35">
        <v>160</v>
      </c>
      <c r="BH27" s="35">
        <v>1561</v>
      </c>
      <c r="BI27" s="35">
        <f t="shared" si="8"/>
        <v>388</v>
      </c>
      <c r="BJ27" s="35">
        <v>535</v>
      </c>
      <c r="BK27" s="35"/>
      <c r="BL27" s="35">
        <f t="shared" si="9"/>
        <v>375</v>
      </c>
      <c r="BM27" s="35">
        <v>919</v>
      </c>
      <c r="BN27" s="35"/>
      <c r="BO27" s="6">
        <f t="shared" si="10"/>
        <v>384</v>
      </c>
      <c r="BP27" s="35">
        <v>1275</v>
      </c>
      <c r="BQ27" s="35"/>
      <c r="BR27" s="6">
        <f t="shared" si="11"/>
        <v>356</v>
      </c>
      <c r="BS27" s="6"/>
      <c r="BT27" s="6"/>
      <c r="BU27" s="35"/>
      <c r="BV27" s="35">
        <v>1660</v>
      </c>
      <c r="BW27" s="35"/>
      <c r="BX27" s="6">
        <f t="shared" si="12"/>
        <v>385</v>
      </c>
      <c r="BY27" s="35">
        <v>0</v>
      </c>
      <c r="BZ27" s="6">
        <v>1824</v>
      </c>
      <c r="CA27" s="35">
        <f t="shared" si="13"/>
        <v>164</v>
      </c>
      <c r="CB27" s="35">
        <v>0</v>
      </c>
      <c r="CC27" s="35"/>
      <c r="CD27" s="6">
        <f t="shared" si="14"/>
        <v>0</v>
      </c>
      <c r="CE27" s="35">
        <v>0</v>
      </c>
      <c r="CF27" s="35"/>
      <c r="CG27" s="6">
        <f t="shared" si="15"/>
        <v>0</v>
      </c>
      <c r="CH27" s="6">
        <v>0</v>
      </c>
      <c r="CI27" s="35"/>
      <c r="CJ27" s="6">
        <f t="shared" si="16"/>
        <v>0</v>
      </c>
      <c r="CK27" s="6">
        <v>77</v>
      </c>
      <c r="CL27" s="6"/>
      <c r="CM27" s="6">
        <f t="shared" si="17"/>
        <v>77</v>
      </c>
      <c r="CN27" s="6"/>
      <c r="CO27" s="6"/>
      <c r="CP27" s="6"/>
      <c r="CQ27" s="6">
        <v>463</v>
      </c>
      <c r="CR27" s="6"/>
      <c r="CS27" s="6">
        <f t="shared" si="18"/>
        <v>386</v>
      </c>
      <c r="CT27" s="6">
        <v>836</v>
      </c>
      <c r="CU27" s="6"/>
      <c r="CV27" s="6">
        <f t="shared" si="19"/>
        <v>373</v>
      </c>
      <c r="CW27" s="6">
        <v>337</v>
      </c>
      <c r="CX27" s="6">
        <v>880</v>
      </c>
      <c r="CY27" s="6">
        <f t="shared" si="20"/>
        <v>381</v>
      </c>
      <c r="CZ27" s="6">
        <v>727</v>
      </c>
      <c r="DA27" s="6"/>
      <c r="DB27" s="6">
        <f t="shared" si="21"/>
        <v>390</v>
      </c>
      <c r="DC27" s="6">
        <v>1120</v>
      </c>
      <c r="DD27" s="6"/>
      <c r="DE27" s="6">
        <f t="shared" si="22"/>
        <v>393</v>
      </c>
      <c r="DF27" s="6">
        <v>1495</v>
      </c>
      <c r="DG27" s="6"/>
      <c r="DH27" s="6">
        <f t="shared" si="23"/>
        <v>375</v>
      </c>
      <c r="DI27" s="6"/>
      <c r="DJ27" s="6"/>
      <c r="DK27" s="6"/>
      <c r="DL27" s="6">
        <v>327</v>
      </c>
      <c r="DM27" s="6">
        <v>1560</v>
      </c>
      <c r="DN27" s="6">
        <f t="shared" si="24"/>
        <v>392</v>
      </c>
      <c r="DO27" s="6">
        <v>689</v>
      </c>
      <c r="DP27" s="6"/>
      <c r="DQ27" s="6">
        <f t="shared" si="25"/>
        <v>362</v>
      </c>
    </row>
    <row r="28" spans="1:121">
      <c r="A28" s="6">
        <v>24</v>
      </c>
      <c r="B28" s="6">
        <v>1069</v>
      </c>
      <c r="C28" s="6"/>
      <c r="D28" s="6">
        <v>334</v>
      </c>
      <c r="E28" s="33" t="s">
        <v>37</v>
      </c>
      <c r="F28" s="33" t="s">
        <v>37</v>
      </c>
      <c r="G28" s="33" t="s">
        <v>37</v>
      </c>
      <c r="H28" s="33" t="s">
        <v>37</v>
      </c>
      <c r="I28" s="33" t="s">
        <v>37</v>
      </c>
      <c r="J28" s="33" t="s">
        <v>37</v>
      </c>
      <c r="K28" s="33" t="s">
        <v>37</v>
      </c>
      <c r="L28" s="33" t="s">
        <v>37</v>
      </c>
      <c r="M28" s="33" t="s">
        <v>37</v>
      </c>
      <c r="N28" s="33" t="s">
        <v>37</v>
      </c>
      <c r="O28" s="33" t="s">
        <v>37</v>
      </c>
      <c r="P28" s="33" t="s">
        <v>37</v>
      </c>
      <c r="Q28" s="33" t="s">
        <v>37</v>
      </c>
      <c r="R28" s="33" t="s">
        <v>37</v>
      </c>
      <c r="S28" s="33" t="s">
        <v>37</v>
      </c>
      <c r="T28" s="33" t="s">
        <v>37</v>
      </c>
      <c r="U28" s="33" t="s">
        <v>37</v>
      </c>
      <c r="V28" s="33" t="s">
        <v>37</v>
      </c>
      <c r="W28" s="33" t="s">
        <v>37</v>
      </c>
      <c r="X28" s="148" t="s">
        <v>37</v>
      </c>
      <c r="Y28" s="33" t="s">
        <v>37</v>
      </c>
      <c r="Z28" s="33" t="s">
        <v>37</v>
      </c>
      <c r="AA28" s="33" t="s">
        <v>37</v>
      </c>
      <c r="AB28" s="33" t="s">
        <v>37</v>
      </c>
      <c r="AC28" s="33" t="s">
        <v>37</v>
      </c>
      <c r="AD28" s="33" t="s">
        <v>37</v>
      </c>
      <c r="AE28" s="33" t="s">
        <v>37</v>
      </c>
      <c r="AF28" s="6">
        <v>6</v>
      </c>
      <c r="AG28" s="6">
        <v>1465</v>
      </c>
      <c r="AH28" s="35">
        <f t="shared" si="0"/>
        <v>402</v>
      </c>
      <c r="AI28" s="6">
        <f>375+6</f>
        <v>381</v>
      </c>
      <c r="AJ28" s="6"/>
      <c r="AK28" s="35">
        <f t="shared" si="1"/>
        <v>375</v>
      </c>
      <c r="AL28" s="35">
        <f>754+6</f>
        <v>760</v>
      </c>
      <c r="AM28" s="35"/>
      <c r="AN28" s="35">
        <f t="shared" si="2"/>
        <v>379</v>
      </c>
      <c r="AO28" s="6">
        <f>1134+6</f>
        <v>1140</v>
      </c>
      <c r="AP28" s="6"/>
      <c r="AQ28" s="35">
        <f t="shared" si="3"/>
        <v>380</v>
      </c>
      <c r="AR28" s="6">
        <f>1513+6</f>
        <v>1519</v>
      </c>
      <c r="AS28" s="6"/>
      <c r="AT28" s="34">
        <f t="shared" si="4"/>
        <v>379</v>
      </c>
      <c r="AU28" s="35">
        <v>307</v>
      </c>
      <c r="AV28" s="35">
        <v>1566</v>
      </c>
      <c r="AW28" s="35">
        <f t="shared" si="5"/>
        <v>354</v>
      </c>
      <c r="AX28" s="6"/>
      <c r="AY28" s="6"/>
      <c r="AZ28" s="35"/>
      <c r="BA28" s="6">
        <v>691</v>
      </c>
      <c r="BB28" s="6"/>
      <c r="BC28" s="35">
        <f t="shared" si="6"/>
        <v>384</v>
      </c>
      <c r="BD28" s="6">
        <v>1068</v>
      </c>
      <c r="BE28" s="6"/>
      <c r="BF28" s="35">
        <f t="shared" si="7"/>
        <v>377</v>
      </c>
      <c r="BG28" s="6">
        <v>1441</v>
      </c>
      <c r="BH28" s="6"/>
      <c r="BI28" s="35">
        <f t="shared" si="8"/>
        <v>373</v>
      </c>
      <c r="BJ28" s="6">
        <v>259</v>
      </c>
      <c r="BK28" s="6">
        <v>1562</v>
      </c>
      <c r="BL28" s="35">
        <f t="shared" si="9"/>
        <v>380</v>
      </c>
      <c r="BM28" s="6">
        <v>639</v>
      </c>
      <c r="BN28" s="35"/>
      <c r="BO28" s="6">
        <f t="shared" si="10"/>
        <v>380</v>
      </c>
      <c r="BP28" s="6">
        <v>996</v>
      </c>
      <c r="BQ28" s="6"/>
      <c r="BR28" s="6">
        <f t="shared" si="11"/>
        <v>357</v>
      </c>
      <c r="BS28" s="6"/>
      <c r="BT28" s="6"/>
      <c r="BU28" s="35"/>
      <c r="BV28" s="6">
        <v>1383</v>
      </c>
      <c r="BW28" s="6"/>
      <c r="BX28" s="6">
        <f t="shared" si="12"/>
        <v>387</v>
      </c>
      <c r="BY28" s="6">
        <v>202</v>
      </c>
      <c r="BZ28" s="6">
        <v>1560</v>
      </c>
      <c r="CA28" s="35">
        <f t="shared" si="13"/>
        <v>379</v>
      </c>
      <c r="CB28" s="6">
        <v>583</v>
      </c>
      <c r="CC28" s="35"/>
      <c r="CD28" s="6">
        <f t="shared" si="14"/>
        <v>381</v>
      </c>
      <c r="CE28" s="6">
        <v>965</v>
      </c>
      <c r="CF28" s="6"/>
      <c r="CG28" s="6">
        <f t="shared" si="15"/>
        <v>382</v>
      </c>
      <c r="CH28" s="6">
        <v>1347</v>
      </c>
      <c r="CI28" s="35"/>
      <c r="CJ28" s="6">
        <f t="shared" si="16"/>
        <v>382</v>
      </c>
      <c r="CK28" s="6">
        <v>1720</v>
      </c>
      <c r="CL28" s="6"/>
      <c r="CM28" s="6">
        <f t="shared" si="17"/>
        <v>373</v>
      </c>
      <c r="CN28" s="6"/>
      <c r="CO28" s="6"/>
      <c r="CP28" s="6"/>
      <c r="CQ28" s="6">
        <v>374</v>
      </c>
      <c r="CR28" s="6">
        <v>1720</v>
      </c>
      <c r="CS28" s="6">
        <f t="shared" si="18"/>
        <v>374</v>
      </c>
      <c r="CT28" s="6">
        <v>753</v>
      </c>
      <c r="CU28" s="6"/>
      <c r="CV28" s="6">
        <f t="shared" si="19"/>
        <v>379</v>
      </c>
      <c r="CW28" s="6">
        <v>1127</v>
      </c>
      <c r="CX28" s="6"/>
      <c r="CY28" s="6">
        <f t="shared" si="20"/>
        <v>374</v>
      </c>
      <c r="CZ28" s="6">
        <v>1506</v>
      </c>
      <c r="DA28" s="6"/>
      <c r="DB28" s="6">
        <f t="shared" si="21"/>
        <v>379</v>
      </c>
      <c r="DC28" s="6">
        <v>305</v>
      </c>
      <c r="DD28" s="6">
        <v>1560</v>
      </c>
      <c r="DE28" s="6">
        <f t="shared" si="22"/>
        <v>359</v>
      </c>
      <c r="DF28" s="6">
        <v>666</v>
      </c>
      <c r="DG28" s="6"/>
      <c r="DH28" s="6">
        <f t="shared" si="23"/>
        <v>361</v>
      </c>
      <c r="DI28" s="6"/>
      <c r="DJ28" s="6"/>
      <c r="DK28" s="6"/>
      <c r="DL28" s="6">
        <v>1054</v>
      </c>
      <c r="DM28" s="6"/>
      <c r="DN28" s="6">
        <f t="shared" si="24"/>
        <v>388</v>
      </c>
      <c r="DO28" s="6">
        <v>1418</v>
      </c>
      <c r="DP28" s="6"/>
      <c r="DQ28" s="6">
        <f t="shared" si="25"/>
        <v>364</v>
      </c>
    </row>
    <row r="29" spans="1:121">
      <c r="A29" s="6">
        <v>25</v>
      </c>
      <c r="B29" s="6">
        <v>215</v>
      </c>
      <c r="C29" s="6">
        <v>1560</v>
      </c>
      <c r="D29" s="6">
        <v>349</v>
      </c>
      <c r="E29" s="33" t="s">
        <v>307</v>
      </c>
      <c r="F29" s="33" t="s">
        <v>307</v>
      </c>
      <c r="G29" s="33" t="s">
        <v>307</v>
      </c>
      <c r="H29" s="33" t="s">
        <v>307</v>
      </c>
      <c r="I29" s="33" t="s">
        <v>307</v>
      </c>
      <c r="J29" s="33" t="s">
        <v>307</v>
      </c>
      <c r="K29" s="33" t="s">
        <v>307</v>
      </c>
      <c r="L29" s="33" t="s">
        <v>307</v>
      </c>
      <c r="M29" s="33" t="s">
        <v>307</v>
      </c>
      <c r="N29" s="33" t="s">
        <v>307</v>
      </c>
      <c r="O29" s="33" t="s">
        <v>307</v>
      </c>
      <c r="P29" s="33" t="s">
        <v>307</v>
      </c>
      <c r="Q29" s="33" t="s">
        <v>307</v>
      </c>
      <c r="R29" s="148" t="s">
        <v>307</v>
      </c>
      <c r="S29" s="33" t="s">
        <v>307</v>
      </c>
      <c r="T29" s="33" t="s">
        <v>307</v>
      </c>
      <c r="U29" s="33" t="s">
        <v>307</v>
      </c>
      <c r="V29" s="33" t="s">
        <v>307</v>
      </c>
      <c r="W29" s="33" t="s">
        <v>307</v>
      </c>
      <c r="X29" s="33" t="s">
        <v>307</v>
      </c>
      <c r="Y29" s="33" t="s">
        <v>307</v>
      </c>
      <c r="Z29" s="33" t="s">
        <v>307</v>
      </c>
      <c r="AA29" s="33" t="s">
        <v>307</v>
      </c>
      <c r="AB29" s="33" t="s">
        <v>307</v>
      </c>
      <c r="AC29" s="33" t="s">
        <v>307</v>
      </c>
      <c r="AD29" s="33" t="s">
        <v>307</v>
      </c>
      <c r="AE29" s="33" t="s">
        <v>307</v>
      </c>
      <c r="AF29" s="6">
        <v>617</v>
      </c>
      <c r="AG29" s="6"/>
      <c r="AH29" s="35">
        <f t="shared" si="0"/>
        <v>402</v>
      </c>
      <c r="AI29" s="6">
        <v>972</v>
      </c>
      <c r="AJ29" s="6"/>
      <c r="AK29" s="35">
        <f t="shared" si="1"/>
        <v>355</v>
      </c>
      <c r="AL29" s="35">
        <v>1350</v>
      </c>
      <c r="AM29" s="35"/>
      <c r="AN29" s="35">
        <f t="shared" si="2"/>
        <v>378</v>
      </c>
      <c r="AO29" s="6">
        <v>164</v>
      </c>
      <c r="AP29" s="6">
        <v>1560</v>
      </c>
      <c r="AQ29" s="35">
        <f t="shared" si="3"/>
        <v>374</v>
      </c>
      <c r="AR29" s="6">
        <v>541</v>
      </c>
      <c r="AS29" s="6"/>
      <c r="AT29" s="34">
        <f t="shared" si="4"/>
        <v>377</v>
      </c>
      <c r="AU29" s="35">
        <v>906</v>
      </c>
      <c r="AV29" s="35"/>
      <c r="AW29" s="35">
        <f t="shared" si="5"/>
        <v>365</v>
      </c>
      <c r="AX29" s="6"/>
      <c r="AY29" s="6"/>
      <c r="AZ29" s="35"/>
      <c r="BA29" s="6">
        <v>1296</v>
      </c>
      <c r="BB29" s="6"/>
      <c r="BC29" s="35">
        <f t="shared" si="6"/>
        <v>390</v>
      </c>
      <c r="BD29" s="35">
        <v>102</v>
      </c>
      <c r="BE29" s="35">
        <v>1561</v>
      </c>
      <c r="BF29" s="35">
        <f t="shared" si="7"/>
        <v>367</v>
      </c>
      <c r="BG29" s="6">
        <v>488</v>
      </c>
      <c r="BH29" s="6"/>
      <c r="BI29" s="35">
        <f t="shared" si="8"/>
        <v>386</v>
      </c>
      <c r="BJ29" s="6">
        <v>877</v>
      </c>
      <c r="BK29" s="6"/>
      <c r="BL29" s="35">
        <f t="shared" si="9"/>
        <v>389</v>
      </c>
      <c r="BM29" s="6">
        <v>1258</v>
      </c>
      <c r="BN29" s="6"/>
      <c r="BO29" s="6">
        <f t="shared" si="10"/>
        <v>381</v>
      </c>
      <c r="BP29" s="6">
        <v>1611</v>
      </c>
      <c r="BQ29" s="6"/>
      <c r="BR29" s="6">
        <f t="shared" si="11"/>
        <v>353</v>
      </c>
      <c r="BS29" s="6"/>
      <c r="BT29" s="6"/>
      <c r="BU29" s="35"/>
      <c r="BV29" s="6">
        <v>0</v>
      </c>
      <c r="BW29" s="6">
        <v>1618</v>
      </c>
      <c r="BX29" s="6">
        <f t="shared" si="12"/>
        <v>7</v>
      </c>
      <c r="BY29" s="6">
        <v>0</v>
      </c>
      <c r="BZ29" s="6"/>
      <c r="CA29" s="35">
        <f t="shared" si="13"/>
        <v>0</v>
      </c>
      <c r="CB29" s="6">
        <v>0</v>
      </c>
      <c r="CC29" s="6"/>
      <c r="CD29" s="6">
        <f t="shared" si="14"/>
        <v>0</v>
      </c>
      <c r="CE29" s="6">
        <v>0</v>
      </c>
      <c r="CF29" s="6"/>
      <c r="CG29" s="6">
        <f t="shared" si="15"/>
        <v>0</v>
      </c>
      <c r="CH29" s="6">
        <v>0</v>
      </c>
      <c r="CI29" s="6"/>
      <c r="CJ29" s="6">
        <f t="shared" si="16"/>
        <v>0</v>
      </c>
      <c r="CK29" s="6">
        <v>15</v>
      </c>
      <c r="CL29" s="6"/>
      <c r="CM29" s="6">
        <f t="shared" si="17"/>
        <v>15</v>
      </c>
      <c r="CN29" s="6"/>
      <c r="CO29" s="6"/>
      <c r="CP29" s="6"/>
      <c r="CQ29" s="6">
        <v>396</v>
      </c>
      <c r="CR29" s="6"/>
      <c r="CS29" s="6">
        <f t="shared" si="18"/>
        <v>381</v>
      </c>
      <c r="CT29" s="6">
        <v>752</v>
      </c>
      <c r="CU29" s="6"/>
      <c r="CV29" s="6">
        <f t="shared" si="19"/>
        <v>356</v>
      </c>
      <c r="CW29" s="6">
        <v>1132</v>
      </c>
      <c r="CX29" s="6"/>
      <c r="CY29" s="6">
        <f t="shared" si="20"/>
        <v>380</v>
      </c>
      <c r="CZ29" s="6">
        <v>1510</v>
      </c>
      <c r="DA29" s="6"/>
      <c r="DB29" s="6">
        <f t="shared" si="21"/>
        <v>378</v>
      </c>
      <c r="DC29" s="6">
        <v>322</v>
      </c>
      <c r="DD29" s="6">
        <v>1560</v>
      </c>
      <c r="DE29" s="6">
        <f t="shared" si="22"/>
        <v>372</v>
      </c>
      <c r="DF29" s="6">
        <v>692</v>
      </c>
      <c r="DG29" s="6"/>
      <c r="DH29" s="6">
        <f t="shared" si="23"/>
        <v>370</v>
      </c>
      <c r="DI29" s="6"/>
      <c r="DJ29" s="6"/>
      <c r="DK29" s="6"/>
      <c r="DL29" s="6">
        <v>1083</v>
      </c>
      <c r="DM29" s="6"/>
      <c r="DN29" s="6">
        <f t="shared" si="24"/>
        <v>391</v>
      </c>
      <c r="DO29" s="6">
        <v>1449</v>
      </c>
      <c r="DP29" s="6"/>
      <c r="DQ29" s="6">
        <f t="shared" si="25"/>
        <v>366</v>
      </c>
    </row>
    <row r="30" spans="1:121">
      <c r="A30" s="6">
        <v>26</v>
      </c>
      <c r="B30" s="6">
        <v>209</v>
      </c>
      <c r="C30" s="6">
        <v>490</v>
      </c>
      <c r="D30" s="6">
        <v>346</v>
      </c>
      <c r="E30" s="33" t="s">
        <v>307</v>
      </c>
      <c r="F30" s="33" t="s">
        <v>307</v>
      </c>
      <c r="G30" s="33" t="s">
        <v>307</v>
      </c>
      <c r="H30" s="33" t="s">
        <v>307</v>
      </c>
      <c r="I30" s="33" t="s">
        <v>307</v>
      </c>
      <c r="J30" s="33" t="s">
        <v>307</v>
      </c>
      <c r="K30" s="33" t="s">
        <v>307</v>
      </c>
      <c r="L30" s="33" t="s">
        <v>307</v>
      </c>
      <c r="M30" s="33" t="s">
        <v>307</v>
      </c>
      <c r="N30" s="33" t="s">
        <v>307</v>
      </c>
      <c r="O30" s="33" t="s">
        <v>307</v>
      </c>
      <c r="P30" s="148" t="s">
        <v>307</v>
      </c>
      <c r="Q30" s="148" t="s">
        <v>307</v>
      </c>
      <c r="R30" s="33" t="s">
        <v>307</v>
      </c>
      <c r="S30" s="33" t="s">
        <v>307</v>
      </c>
      <c r="T30" s="33" t="s">
        <v>307</v>
      </c>
      <c r="U30" s="33" t="s">
        <v>307</v>
      </c>
      <c r="V30" s="33" t="s">
        <v>307</v>
      </c>
      <c r="W30" s="33" t="s">
        <v>307</v>
      </c>
      <c r="X30" s="33" t="s">
        <v>307</v>
      </c>
      <c r="Y30" s="33" t="s">
        <v>307</v>
      </c>
      <c r="Z30" s="33" t="s">
        <v>307</v>
      </c>
      <c r="AA30" s="33" t="s">
        <v>307</v>
      </c>
      <c r="AB30" s="33" t="s">
        <v>307</v>
      </c>
      <c r="AC30" s="33" t="s">
        <v>307</v>
      </c>
      <c r="AD30" s="33" t="s">
        <v>307</v>
      </c>
      <c r="AE30" s="33" t="s">
        <v>307</v>
      </c>
      <c r="AF30" s="6">
        <v>114</v>
      </c>
      <c r="AG30" s="6">
        <v>501</v>
      </c>
      <c r="AH30" s="35">
        <f t="shared" si="0"/>
        <v>406</v>
      </c>
      <c r="AI30" s="6">
        <v>493</v>
      </c>
      <c r="AJ30" s="6"/>
      <c r="AK30" s="35">
        <f t="shared" si="1"/>
        <v>379</v>
      </c>
      <c r="AL30" s="35">
        <v>880</v>
      </c>
      <c r="AM30" s="35"/>
      <c r="AN30" s="35">
        <f t="shared" si="2"/>
        <v>387</v>
      </c>
      <c r="AO30" s="6">
        <v>1267</v>
      </c>
      <c r="AP30" s="6"/>
      <c r="AQ30" s="35">
        <f t="shared" si="3"/>
        <v>387</v>
      </c>
      <c r="AR30" s="6">
        <v>96</v>
      </c>
      <c r="AS30" s="6">
        <v>1560</v>
      </c>
      <c r="AT30" s="34">
        <f t="shared" si="4"/>
        <v>389</v>
      </c>
      <c r="AU30" s="35">
        <v>460</v>
      </c>
      <c r="AV30" s="35"/>
      <c r="AW30" s="35">
        <f t="shared" si="5"/>
        <v>364</v>
      </c>
      <c r="AX30" s="6"/>
      <c r="AY30" s="6"/>
      <c r="AZ30" s="35"/>
      <c r="BA30" s="6">
        <v>852</v>
      </c>
      <c r="BB30" s="6"/>
      <c r="BC30" s="35">
        <f t="shared" si="6"/>
        <v>392</v>
      </c>
      <c r="BD30" s="35">
        <v>1238</v>
      </c>
      <c r="BE30" s="35"/>
      <c r="BF30" s="35">
        <f t="shared" si="7"/>
        <v>386</v>
      </c>
      <c r="BG30" s="6">
        <v>1621</v>
      </c>
      <c r="BH30" s="6"/>
      <c r="BI30" s="35">
        <f t="shared" si="8"/>
        <v>383</v>
      </c>
      <c r="BJ30" s="6">
        <v>0</v>
      </c>
      <c r="BK30" s="6">
        <v>1833</v>
      </c>
      <c r="BL30" s="35">
        <f t="shared" si="9"/>
        <v>212</v>
      </c>
      <c r="BM30" s="6">
        <v>181</v>
      </c>
      <c r="BN30" s="6"/>
      <c r="BO30" s="6">
        <f t="shared" si="10"/>
        <v>181</v>
      </c>
      <c r="BP30" s="6">
        <v>307</v>
      </c>
      <c r="BQ30" s="6">
        <v>185</v>
      </c>
      <c r="BR30" s="6">
        <f t="shared" si="11"/>
        <v>311</v>
      </c>
      <c r="BS30" s="6"/>
      <c r="BT30" s="6"/>
      <c r="BU30" s="35"/>
      <c r="BV30" s="6">
        <v>678</v>
      </c>
      <c r="BW30" s="6"/>
      <c r="BX30" s="6">
        <f t="shared" si="12"/>
        <v>371</v>
      </c>
      <c r="BY30" s="6">
        <v>1046</v>
      </c>
      <c r="BZ30" s="6"/>
      <c r="CA30" s="35">
        <f t="shared" si="13"/>
        <v>368</v>
      </c>
      <c r="CB30" s="6">
        <v>1415</v>
      </c>
      <c r="CC30" s="6"/>
      <c r="CD30" s="6">
        <f t="shared" si="14"/>
        <v>369</v>
      </c>
      <c r="CE30" s="6">
        <v>1786</v>
      </c>
      <c r="CF30" s="6"/>
      <c r="CG30" s="6">
        <f t="shared" si="15"/>
        <v>371</v>
      </c>
      <c r="CH30" s="6">
        <v>0</v>
      </c>
      <c r="CI30" s="6">
        <v>1820</v>
      </c>
      <c r="CJ30" s="6">
        <f t="shared" si="16"/>
        <v>34</v>
      </c>
      <c r="CK30" s="6">
        <v>13</v>
      </c>
      <c r="CL30" s="6"/>
      <c r="CM30" s="6">
        <f t="shared" si="17"/>
        <v>13</v>
      </c>
      <c r="CN30" s="6"/>
      <c r="CO30" s="6"/>
      <c r="CP30" s="6"/>
      <c r="CQ30" s="6">
        <v>388</v>
      </c>
      <c r="CR30" s="6"/>
      <c r="CS30" s="6">
        <f t="shared" si="18"/>
        <v>375</v>
      </c>
      <c r="CT30" s="6">
        <v>751</v>
      </c>
      <c r="CU30" s="6"/>
      <c r="CV30" s="6">
        <f t="shared" si="19"/>
        <v>363</v>
      </c>
      <c r="CW30" s="6">
        <v>1120</v>
      </c>
      <c r="CX30" s="6"/>
      <c r="CY30" s="6">
        <f t="shared" si="20"/>
        <v>369</v>
      </c>
      <c r="CZ30" s="6">
        <v>1487</v>
      </c>
      <c r="DA30" s="6"/>
      <c r="DB30" s="6">
        <f t="shared" si="21"/>
        <v>367</v>
      </c>
      <c r="DC30" s="6">
        <v>33</v>
      </c>
      <c r="DD30" s="6">
        <v>1820</v>
      </c>
      <c r="DE30" s="6">
        <f t="shared" si="22"/>
        <v>366</v>
      </c>
      <c r="DF30" s="6">
        <v>386</v>
      </c>
      <c r="DG30" s="6"/>
      <c r="DH30" s="6">
        <f t="shared" si="23"/>
        <v>353</v>
      </c>
      <c r="DI30" s="6"/>
      <c r="DJ30" s="6"/>
      <c r="DK30" s="6"/>
      <c r="DL30" s="6">
        <v>774</v>
      </c>
      <c r="DM30" s="6"/>
      <c r="DN30" s="6">
        <f t="shared" si="24"/>
        <v>388</v>
      </c>
      <c r="DO30" s="6">
        <v>1137</v>
      </c>
      <c r="DP30" s="6"/>
      <c r="DQ30" s="6">
        <f t="shared" si="25"/>
        <v>363</v>
      </c>
    </row>
    <row r="31" spans="1:121">
      <c r="A31" s="6">
        <v>27</v>
      </c>
      <c r="B31" s="6">
        <v>657</v>
      </c>
      <c r="C31" s="6"/>
      <c r="D31" s="6">
        <v>363</v>
      </c>
      <c r="E31" s="33" t="s">
        <v>307</v>
      </c>
      <c r="F31" s="33" t="s">
        <v>307</v>
      </c>
      <c r="G31" s="33" t="s">
        <v>307</v>
      </c>
      <c r="H31" s="33" t="s">
        <v>307</v>
      </c>
      <c r="I31" s="33" t="s">
        <v>307</v>
      </c>
      <c r="J31" s="33" t="s">
        <v>307</v>
      </c>
      <c r="K31" s="33" t="s">
        <v>307</v>
      </c>
      <c r="L31" s="33" t="s">
        <v>307</v>
      </c>
      <c r="M31" s="33" t="s">
        <v>307</v>
      </c>
      <c r="N31" s="33" t="s">
        <v>307</v>
      </c>
      <c r="O31" s="33" t="s">
        <v>307</v>
      </c>
      <c r="P31" s="148" t="s">
        <v>307</v>
      </c>
      <c r="Q31" s="33" t="s">
        <v>307</v>
      </c>
      <c r="R31" s="33" t="s">
        <v>307</v>
      </c>
      <c r="S31" s="33" t="s">
        <v>307</v>
      </c>
      <c r="T31" s="33" t="s">
        <v>307</v>
      </c>
      <c r="U31" s="33" t="s">
        <v>307</v>
      </c>
      <c r="V31" s="33" t="s">
        <v>307</v>
      </c>
      <c r="W31" s="33" t="s">
        <v>307</v>
      </c>
      <c r="X31" s="33" t="s">
        <v>307</v>
      </c>
      <c r="Y31" s="33" t="s">
        <v>307</v>
      </c>
      <c r="Z31" s="33" t="s">
        <v>307</v>
      </c>
      <c r="AA31" s="33" t="s">
        <v>307</v>
      </c>
      <c r="AB31" s="33" t="s">
        <v>307</v>
      </c>
      <c r="AC31" s="33" t="s">
        <v>307</v>
      </c>
      <c r="AD31" s="33" t="s">
        <v>307</v>
      </c>
      <c r="AE31" s="33" t="s">
        <v>307</v>
      </c>
      <c r="AF31" s="6">
        <v>1077</v>
      </c>
      <c r="AG31" s="6"/>
      <c r="AH31" s="35">
        <f t="shared" si="0"/>
        <v>420</v>
      </c>
      <c r="AI31" s="6">
        <v>1466</v>
      </c>
      <c r="AJ31" s="6"/>
      <c r="AK31" s="35">
        <f t="shared" si="1"/>
        <v>389</v>
      </c>
      <c r="AL31" s="35">
        <v>298</v>
      </c>
      <c r="AM31" s="35">
        <v>1560</v>
      </c>
      <c r="AN31" s="35">
        <f t="shared" si="2"/>
        <v>392</v>
      </c>
      <c r="AO31" s="6">
        <v>688</v>
      </c>
      <c r="AP31" s="6"/>
      <c r="AQ31" s="35">
        <f t="shared" si="3"/>
        <v>390</v>
      </c>
      <c r="AR31" s="6">
        <v>1082</v>
      </c>
      <c r="AS31" s="6"/>
      <c r="AT31" s="34">
        <f t="shared" si="4"/>
        <v>394</v>
      </c>
      <c r="AU31" s="35">
        <v>1456</v>
      </c>
      <c r="AV31" s="35"/>
      <c r="AW31" s="35">
        <f t="shared" si="5"/>
        <v>374</v>
      </c>
      <c r="AX31" s="6"/>
      <c r="AY31" s="6"/>
      <c r="AZ31" s="35"/>
      <c r="BA31" s="6">
        <v>293</v>
      </c>
      <c r="BB31" s="6">
        <v>1560</v>
      </c>
      <c r="BC31" s="35">
        <f t="shared" si="6"/>
        <v>397</v>
      </c>
      <c r="BD31" s="35">
        <v>682</v>
      </c>
      <c r="BE31" s="35"/>
      <c r="BF31" s="35">
        <f t="shared" si="7"/>
        <v>389</v>
      </c>
      <c r="BG31" s="6">
        <v>1076</v>
      </c>
      <c r="BH31" s="6"/>
      <c r="BI31" s="35">
        <f t="shared" si="8"/>
        <v>394</v>
      </c>
      <c r="BJ31" s="6">
        <v>0</v>
      </c>
      <c r="BK31" s="6">
        <v>1307</v>
      </c>
      <c r="BL31" s="35">
        <f t="shared" si="9"/>
        <v>231</v>
      </c>
      <c r="BM31" s="6">
        <v>383</v>
      </c>
      <c r="BN31" s="6"/>
      <c r="BO31" s="6">
        <f t="shared" si="10"/>
        <v>383</v>
      </c>
      <c r="BP31" s="6">
        <v>754</v>
      </c>
      <c r="BQ31" s="6"/>
      <c r="BR31" s="6">
        <f t="shared" si="11"/>
        <v>371</v>
      </c>
      <c r="BS31" s="6"/>
      <c r="BT31" s="6"/>
      <c r="BU31" s="35"/>
      <c r="BV31" s="6">
        <v>1148</v>
      </c>
      <c r="BW31" s="6"/>
      <c r="BX31" s="6">
        <f t="shared" si="12"/>
        <v>394</v>
      </c>
      <c r="BY31" s="6">
        <v>1539</v>
      </c>
      <c r="BZ31" s="6"/>
      <c r="CA31" s="35">
        <f t="shared" si="13"/>
        <v>391</v>
      </c>
      <c r="CB31" s="6">
        <v>0</v>
      </c>
      <c r="CC31" s="6">
        <v>1820</v>
      </c>
      <c r="CD31" s="6">
        <f t="shared" si="14"/>
        <v>281</v>
      </c>
      <c r="CE31" s="6">
        <v>0</v>
      </c>
      <c r="CF31" s="6"/>
      <c r="CG31" s="6">
        <f t="shared" si="15"/>
        <v>0</v>
      </c>
      <c r="CH31" s="6">
        <v>0</v>
      </c>
      <c r="CI31" s="6"/>
      <c r="CJ31" s="6">
        <f t="shared" si="16"/>
        <v>0</v>
      </c>
      <c r="CK31" s="6">
        <v>14</v>
      </c>
      <c r="CL31" s="6"/>
      <c r="CM31" s="6">
        <f t="shared" si="17"/>
        <v>14</v>
      </c>
      <c r="CN31" s="6"/>
      <c r="CO31" s="6"/>
      <c r="CP31" s="6"/>
      <c r="CQ31" s="6">
        <v>418</v>
      </c>
      <c r="CR31" s="6"/>
      <c r="CS31" s="6">
        <f t="shared" si="18"/>
        <v>404</v>
      </c>
      <c r="CT31" s="6">
        <v>800</v>
      </c>
      <c r="CU31" s="6"/>
      <c r="CV31" s="6">
        <f t="shared" si="19"/>
        <v>382</v>
      </c>
      <c r="CW31" s="6">
        <v>1198</v>
      </c>
      <c r="CX31" s="6"/>
      <c r="CY31" s="6">
        <f t="shared" si="20"/>
        <v>398</v>
      </c>
      <c r="CZ31" s="6">
        <v>1596</v>
      </c>
      <c r="DA31" s="6"/>
      <c r="DB31" s="6">
        <f t="shared" si="21"/>
        <v>398</v>
      </c>
      <c r="DC31" s="6">
        <v>172</v>
      </c>
      <c r="DD31" s="6">
        <v>1820</v>
      </c>
      <c r="DE31" s="6">
        <f t="shared" si="22"/>
        <v>396</v>
      </c>
      <c r="DF31" s="6">
        <v>551</v>
      </c>
      <c r="DG31" s="6"/>
      <c r="DH31" s="6">
        <f t="shared" si="23"/>
        <v>379</v>
      </c>
      <c r="DI31" s="6"/>
      <c r="DJ31" s="6"/>
      <c r="DK31" s="6"/>
      <c r="DL31" s="6">
        <v>949</v>
      </c>
      <c r="DM31" s="6"/>
      <c r="DN31" s="6">
        <f t="shared" si="24"/>
        <v>398</v>
      </c>
      <c r="DO31" s="6">
        <v>1318</v>
      </c>
      <c r="DP31" s="6"/>
      <c r="DQ31" s="6">
        <f t="shared" si="25"/>
        <v>369</v>
      </c>
    </row>
    <row r="32" spans="1:121">
      <c r="A32" s="6">
        <v>28</v>
      </c>
      <c r="B32" s="6">
        <v>200</v>
      </c>
      <c r="C32" s="6">
        <v>1529</v>
      </c>
      <c r="D32" s="6">
        <v>347</v>
      </c>
      <c r="E32" s="33" t="s">
        <v>37</v>
      </c>
      <c r="F32" s="33" t="s">
        <v>37</v>
      </c>
      <c r="G32" s="33" t="s">
        <v>37</v>
      </c>
      <c r="H32" s="33" t="s">
        <v>37</v>
      </c>
      <c r="I32" s="33" t="s">
        <v>37</v>
      </c>
      <c r="J32" s="148" t="s">
        <v>37</v>
      </c>
      <c r="K32" s="33" t="s">
        <v>37</v>
      </c>
      <c r="L32" s="33" t="s">
        <v>37</v>
      </c>
      <c r="M32" s="33" t="s">
        <v>37</v>
      </c>
      <c r="N32" s="33" t="s">
        <v>37</v>
      </c>
      <c r="O32" s="33" t="s">
        <v>37</v>
      </c>
      <c r="P32" s="33" t="s">
        <v>37</v>
      </c>
      <c r="Q32" s="33" t="s">
        <v>37</v>
      </c>
      <c r="R32" s="33" t="s">
        <v>37</v>
      </c>
      <c r="S32" s="33" t="s">
        <v>37</v>
      </c>
      <c r="T32" s="33" t="s">
        <v>37</v>
      </c>
      <c r="U32" s="33" t="s">
        <v>37</v>
      </c>
      <c r="V32" s="33" t="s">
        <v>37</v>
      </c>
      <c r="W32" s="33" t="s">
        <v>37</v>
      </c>
      <c r="X32" s="33" t="s">
        <v>37</v>
      </c>
      <c r="Y32" s="33" t="s">
        <v>37</v>
      </c>
      <c r="Z32" s="33" t="s">
        <v>37</v>
      </c>
      <c r="AA32" s="33" t="s">
        <v>37</v>
      </c>
      <c r="AB32" s="33" t="s">
        <v>37</v>
      </c>
      <c r="AC32" s="33" t="s">
        <v>37</v>
      </c>
      <c r="AD32" s="33" t="s">
        <v>37</v>
      </c>
      <c r="AE32" s="148" t="s">
        <v>37</v>
      </c>
      <c r="AF32" s="35">
        <v>602</v>
      </c>
      <c r="AG32" s="35"/>
      <c r="AH32" s="35">
        <f t="shared" si="0"/>
        <v>402</v>
      </c>
      <c r="AI32" s="35">
        <v>979</v>
      </c>
      <c r="AJ32" s="35"/>
      <c r="AK32" s="35">
        <f t="shared" si="1"/>
        <v>377</v>
      </c>
      <c r="AL32" s="35">
        <v>1358</v>
      </c>
      <c r="AM32" s="35"/>
      <c r="AN32" s="35">
        <f t="shared" si="2"/>
        <v>379</v>
      </c>
      <c r="AO32" s="35">
        <v>0</v>
      </c>
      <c r="AP32" s="35">
        <v>1700</v>
      </c>
      <c r="AQ32" s="35">
        <f t="shared" si="3"/>
        <v>342</v>
      </c>
      <c r="AR32" s="6">
        <v>370</v>
      </c>
      <c r="AS32" s="6"/>
      <c r="AT32" s="34">
        <f t="shared" si="4"/>
        <v>370</v>
      </c>
      <c r="AU32" s="35">
        <v>727</v>
      </c>
      <c r="AV32" s="35"/>
      <c r="AW32" s="35">
        <f t="shared" si="5"/>
        <v>357</v>
      </c>
      <c r="AX32" s="6"/>
      <c r="AY32" s="6"/>
      <c r="AZ32" s="35"/>
      <c r="BA32" s="6">
        <v>1102</v>
      </c>
      <c r="BB32" s="6"/>
      <c r="BC32" s="35">
        <f t="shared" si="6"/>
        <v>375</v>
      </c>
      <c r="BD32" s="6">
        <v>1477</v>
      </c>
      <c r="BE32" s="6"/>
      <c r="BF32" s="35">
        <f t="shared" si="7"/>
        <v>375</v>
      </c>
      <c r="BG32" s="6">
        <v>294</v>
      </c>
      <c r="BH32" s="6">
        <v>1560</v>
      </c>
      <c r="BI32" s="35">
        <f t="shared" si="8"/>
        <v>377</v>
      </c>
      <c r="BJ32" s="6">
        <v>675</v>
      </c>
      <c r="BK32" s="6"/>
      <c r="BL32" s="35">
        <f t="shared" si="9"/>
        <v>381</v>
      </c>
      <c r="BM32" s="6">
        <v>1055</v>
      </c>
      <c r="BN32" s="35"/>
      <c r="BO32" s="6">
        <f t="shared" si="10"/>
        <v>380</v>
      </c>
      <c r="BP32" s="6">
        <v>1418</v>
      </c>
      <c r="BQ32" s="6"/>
      <c r="BR32" s="6">
        <f t="shared" si="11"/>
        <v>363</v>
      </c>
      <c r="BS32" s="6"/>
      <c r="BT32" s="6"/>
      <c r="BU32" s="35"/>
      <c r="BV32" s="6">
        <v>224</v>
      </c>
      <c r="BW32" s="6">
        <v>1560</v>
      </c>
      <c r="BX32" s="6">
        <f t="shared" si="12"/>
        <v>366</v>
      </c>
      <c r="BY32" s="6">
        <v>598</v>
      </c>
      <c r="BZ32" s="6"/>
      <c r="CA32" s="35">
        <f t="shared" si="13"/>
        <v>374</v>
      </c>
      <c r="CB32" s="6">
        <v>979</v>
      </c>
      <c r="CC32" s="35"/>
      <c r="CD32" s="6">
        <f t="shared" si="14"/>
        <v>381</v>
      </c>
      <c r="CE32" s="6">
        <v>1361</v>
      </c>
      <c r="CF32" s="6"/>
      <c r="CG32" s="6">
        <f t="shared" si="15"/>
        <v>382</v>
      </c>
      <c r="CH32" s="6">
        <v>179</v>
      </c>
      <c r="CI32" s="35">
        <v>1560</v>
      </c>
      <c r="CJ32" s="6">
        <f t="shared" si="16"/>
        <v>378</v>
      </c>
      <c r="CK32" s="6">
        <v>546</v>
      </c>
      <c r="CL32" s="6"/>
      <c r="CM32" s="6">
        <f t="shared" si="17"/>
        <v>367</v>
      </c>
      <c r="CN32" s="6"/>
      <c r="CO32" s="6"/>
      <c r="CP32" s="6"/>
      <c r="CQ32" s="6">
        <v>934</v>
      </c>
      <c r="CR32" s="6"/>
      <c r="CS32" s="6">
        <f t="shared" si="18"/>
        <v>388</v>
      </c>
      <c r="CT32" s="6">
        <v>1312</v>
      </c>
      <c r="CU32" s="6"/>
      <c r="CV32" s="6">
        <f t="shared" si="19"/>
        <v>378</v>
      </c>
      <c r="CW32" s="6">
        <v>223</v>
      </c>
      <c r="CX32" s="6">
        <v>1419</v>
      </c>
      <c r="CY32" s="6">
        <f t="shared" si="20"/>
        <v>330</v>
      </c>
      <c r="CZ32" s="6">
        <v>600</v>
      </c>
      <c r="DA32" s="6"/>
      <c r="DB32" s="6">
        <f t="shared" si="21"/>
        <v>377</v>
      </c>
      <c r="DC32" s="6">
        <v>979</v>
      </c>
      <c r="DD32" s="6"/>
      <c r="DE32" s="6">
        <f t="shared" si="22"/>
        <v>379</v>
      </c>
      <c r="DF32" s="6">
        <v>1335</v>
      </c>
      <c r="DG32" s="6"/>
      <c r="DH32" s="6">
        <f t="shared" si="23"/>
        <v>356</v>
      </c>
      <c r="DI32" s="6"/>
      <c r="DJ32" s="6"/>
      <c r="DK32" s="6"/>
      <c r="DL32" s="6">
        <v>1721</v>
      </c>
      <c r="DM32" s="6"/>
      <c r="DN32" s="6">
        <f t="shared" si="24"/>
        <v>386</v>
      </c>
      <c r="DO32" s="6">
        <v>279</v>
      </c>
      <c r="DP32" s="6">
        <v>1773</v>
      </c>
      <c r="DQ32" s="6">
        <f t="shared" si="25"/>
        <v>331</v>
      </c>
    </row>
    <row r="33" spans="1:121">
      <c r="A33" s="6">
        <v>29</v>
      </c>
      <c r="B33" s="6">
        <v>336</v>
      </c>
      <c r="C33" s="6">
        <v>1561</v>
      </c>
      <c r="D33" s="6">
        <v>354</v>
      </c>
      <c r="E33" s="33" t="s">
        <v>307</v>
      </c>
      <c r="F33" s="33" t="s">
        <v>307</v>
      </c>
      <c r="G33" s="33" t="s">
        <v>307</v>
      </c>
      <c r="H33" s="33" t="s">
        <v>307</v>
      </c>
      <c r="I33" s="33" t="s">
        <v>307</v>
      </c>
      <c r="J33" s="33" t="s">
        <v>307</v>
      </c>
      <c r="K33" s="33" t="s">
        <v>307</v>
      </c>
      <c r="L33" s="33" t="s">
        <v>307</v>
      </c>
      <c r="M33" s="33" t="s">
        <v>307</v>
      </c>
      <c r="N33" s="33" t="s">
        <v>307</v>
      </c>
      <c r="O33" s="33" t="s">
        <v>307</v>
      </c>
      <c r="P33" s="33" t="s">
        <v>307</v>
      </c>
      <c r="Q33" s="33" t="s">
        <v>307</v>
      </c>
      <c r="R33" s="33" t="s">
        <v>307</v>
      </c>
      <c r="S33" s="33" t="s">
        <v>307</v>
      </c>
      <c r="T33" s="33" t="s">
        <v>307</v>
      </c>
      <c r="U33" s="33" t="s">
        <v>307</v>
      </c>
      <c r="V33" s="33" t="s">
        <v>307</v>
      </c>
      <c r="W33" s="33" t="s">
        <v>307</v>
      </c>
      <c r="X33" s="33" t="s">
        <v>307</v>
      </c>
      <c r="Y33" s="33" t="s">
        <v>307</v>
      </c>
      <c r="Z33" s="33" t="s">
        <v>307</v>
      </c>
      <c r="AA33" s="148" t="s">
        <v>307</v>
      </c>
      <c r="AB33" s="33" t="s">
        <v>307</v>
      </c>
      <c r="AC33" s="33" t="s">
        <v>307</v>
      </c>
      <c r="AD33" s="33" t="s">
        <v>307</v>
      </c>
      <c r="AE33" s="33" t="s">
        <v>307</v>
      </c>
      <c r="AF33" s="35">
        <v>10</v>
      </c>
      <c r="AG33" s="35">
        <v>747</v>
      </c>
      <c r="AH33" s="35">
        <f t="shared" si="0"/>
        <v>421</v>
      </c>
      <c r="AI33" s="35">
        <v>400</v>
      </c>
      <c r="AJ33" s="35"/>
      <c r="AK33" s="35">
        <f t="shared" si="1"/>
        <v>390</v>
      </c>
      <c r="AL33" s="35">
        <v>792</v>
      </c>
      <c r="AM33" s="35"/>
      <c r="AN33" s="35">
        <f t="shared" si="2"/>
        <v>392</v>
      </c>
      <c r="AO33" s="35">
        <v>282</v>
      </c>
      <c r="AP33" s="35">
        <v>806</v>
      </c>
      <c r="AQ33" s="35">
        <f t="shared" si="3"/>
        <v>296</v>
      </c>
      <c r="AR33" s="35">
        <v>665</v>
      </c>
      <c r="AS33" s="35"/>
      <c r="AT33" s="34">
        <f t="shared" si="4"/>
        <v>383</v>
      </c>
      <c r="AU33" s="35">
        <v>1013</v>
      </c>
      <c r="AV33" s="35"/>
      <c r="AW33" s="35">
        <f t="shared" si="5"/>
        <v>348</v>
      </c>
      <c r="AX33" s="6"/>
      <c r="AY33" s="6"/>
      <c r="AZ33" s="35"/>
      <c r="BA33" s="6">
        <v>1383</v>
      </c>
      <c r="BB33" s="6"/>
      <c r="BC33" s="35">
        <f t="shared" si="6"/>
        <v>370</v>
      </c>
      <c r="BD33" s="6">
        <v>168</v>
      </c>
      <c r="BE33" s="6">
        <v>1560</v>
      </c>
      <c r="BF33" s="35">
        <f t="shared" si="7"/>
        <v>345</v>
      </c>
      <c r="BG33" s="6">
        <v>521</v>
      </c>
      <c r="BH33" s="6"/>
      <c r="BI33" s="35">
        <f t="shared" si="8"/>
        <v>353</v>
      </c>
      <c r="BJ33" s="6">
        <v>873</v>
      </c>
      <c r="BK33" s="6"/>
      <c r="BL33" s="35">
        <f t="shared" si="9"/>
        <v>352</v>
      </c>
      <c r="BM33" s="6">
        <v>1245</v>
      </c>
      <c r="BN33" s="35"/>
      <c r="BO33" s="6">
        <f t="shared" si="10"/>
        <v>372</v>
      </c>
      <c r="BP33" s="6">
        <v>1592</v>
      </c>
      <c r="BQ33" s="6"/>
      <c r="BR33" s="6">
        <f t="shared" si="11"/>
        <v>347</v>
      </c>
      <c r="BS33" s="6"/>
      <c r="BT33" s="6"/>
      <c r="BU33" s="35"/>
      <c r="BV33" s="6">
        <v>0</v>
      </c>
      <c r="BW33" s="6">
        <v>1820</v>
      </c>
      <c r="BX33" s="6">
        <f t="shared" si="12"/>
        <v>228</v>
      </c>
      <c r="BY33" s="6">
        <v>0</v>
      </c>
      <c r="BZ33" s="6"/>
      <c r="CA33" s="35">
        <f t="shared" si="13"/>
        <v>0</v>
      </c>
      <c r="CB33" s="6">
        <v>0</v>
      </c>
      <c r="CC33" s="35"/>
      <c r="CD33" s="6">
        <f t="shared" si="14"/>
        <v>0</v>
      </c>
      <c r="CE33" s="6">
        <v>0</v>
      </c>
      <c r="CF33" s="6"/>
      <c r="CG33" s="6">
        <f t="shared" si="15"/>
        <v>0</v>
      </c>
      <c r="CH33" s="6">
        <v>0</v>
      </c>
      <c r="CI33" s="35"/>
      <c r="CJ33" s="6">
        <f t="shared" si="16"/>
        <v>0</v>
      </c>
      <c r="CK33" s="6">
        <v>203</v>
      </c>
      <c r="CL33" s="6"/>
      <c r="CM33" s="6">
        <f t="shared" si="17"/>
        <v>203</v>
      </c>
      <c r="CN33" s="6"/>
      <c r="CO33" s="6"/>
      <c r="CP33" s="6"/>
      <c r="CQ33" s="6">
        <v>580</v>
      </c>
      <c r="CR33" s="6"/>
      <c r="CS33" s="6">
        <f t="shared" si="18"/>
        <v>377</v>
      </c>
      <c r="CT33" s="6">
        <v>921</v>
      </c>
      <c r="CU33" s="6"/>
      <c r="CV33" s="6">
        <f t="shared" si="19"/>
        <v>341</v>
      </c>
      <c r="CW33" s="6">
        <v>1289</v>
      </c>
      <c r="CX33" s="6"/>
      <c r="CY33" s="6">
        <f t="shared" si="20"/>
        <v>368</v>
      </c>
      <c r="CZ33" s="6">
        <v>269</v>
      </c>
      <c r="DA33" s="6">
        <v>1358</v>
      </c>
      <c r="DB33" s="6">
        <f t="shared" si="21"/>
        <v>338</v>
      </c>
      <c r="DC33" s="6">
        <v>7</v>
      </c>
      <c r="DD33" s="6">
        <v>633</v>
      </c>
      <c r="DE33" s="6">
        <f t="shared" si="22"/>
        <v>371</v>
      </c>
      <c r="DF33" s="6">
        <v>366</v>
      </c>
      <c r="DG33" s="6"/>
      <c r="DH33" s="6">
        <f t="shared" si="23"/>
        <v>359</v>
      </c>
      <c r="DI33" s="6"/>
      <c r="DJ33" s="6"/>
      <c r="DK33" s="6"/>
      <c r="DL33" s="6">
        <v>740</v>
      </c>
      <c r="DM33" s="6"/>
      <c r="DN33" s="6">
        <f t="shared" si="24"/>
        <v>374</v>
      </c>
      <c r="DO33" s="6">
        <v>0</v>
      </c>
      <c r="DP33" s="6">
        <v>987</v>
      </c>
      <c r="DQ33" s="6">
        <f t="shared" si="25"/>
        <v>247</v>
      </c>
    </row>
    <row r="34" spans="1:121">
      <c r="A34" s="6">
        <v>30</v>
      </c>
      <c r="B34" s="6">
        <v>346</v>
      </c>
      <c r="C34" s="6"/>
      <c r="D34" s="6">
        <v>346</v>
      </c>
      <c r="E34" s="148" t="s">
        <v>384</v>
      </c>
      <c r="F34" s="33" t="s">
        <v>384</v>
      </c>
      <c r="G34" s="33" t="s">
        <v>384</v>
      </c>
      <c r="H34" s="33" t="s">
        <v>384</v>
      </c>
      <c r="I34" s="33" t="s">
        <v>384</v>
      </c>
      <c r="J34" s="33" t="s">
        <v>384</v>
      </c>
      <c r="K34" s="148" t="s">
        <v>384</v>
      </c>
      <c r="L34" s="33" t="s">
        <v>384</v>
      </c>
      <c r="M34" s="33" t="s">
        <v>384</v>
      </c>
      <c r="N34" s="33" t="s">
        <v>384</v>
      </c>
      <c r="O34" s="33" t="s">
        <v>384</v>
      </c>
      <c r="P34" s="33" t="s">
        <v>384</v>
      </c>
      <c r="Q34" s="33"/>
      <c r="R34" s="33"/>
      <c r="S34" s="33"/>
      <c r="T34" s="33"/>
      <c r="U34" s="33"/>
      <c r="V34" s="33"/>
      <c r="W34" s="33"/>
      <c r="X34" s="33"/>
      <c r="Y34" s="148" t="s">
        <v>37</v>
      </c>
      <c r="Z34" s="33" t="s">
        <v>37</v>
      </c>
      <c r="AA34" s="33" t="s">
        <v>37</v>
      </c>
      <c r="AB34" s="33" t="s">
        <v>37</v>
      </c>
      <c r="AC34" s="33" t="s">
        <v>37</v>
      </c>
      <c r="AD34" s="33" t="s">
        <v>37</v>
      </c>
      <c r="AE34" s="33" t="s">
        <v>37</v>
      </c>
      <c r="AF34" s="6">
        <v>186</v>
      </c>
      <c r="AG34" s="6">
        <v>700</v>
      </c>
      <c r="AH34" s="35">
        <f t="shared" si="0"/>
        <v>540</v>
      </c>
      <c r="AI34" s="6">
        <v>227</v>
      </c>
      <c r="AJ34" s="6">
        <v>445</v>
      </c>
      <c r="AK34" s="35">
        <f t="shared" si="1"/>
        <v>486</v>
      </c>
      <c r="AL34" s="35">
        <v>128</v>
      </c>
      <c r="AM34" s="35">
        <v>608</v>
      </c>
      <c r="AN34" s="35">
        <f t="shared" si="2"/>
        <v>509</v>
      </c>
      <c r="AO34" s="6">
        <v>252</v>
      </c>
      <c r="AP34" s="6">
        <v>373</v>
      </c>
      <c r="AQ34" s="35">
        <f t="shared" si="3"/>
        <v>497</v>
      </c>
      <c r="AR34" s="6">
        <v>0</v>
      </c>
      <c r="AS34" s="6">
        <v>586</v>
      </c>
      <c r="AT34" s="34">
        <f t="shared" si="4"/>
        <v>334</v>
      </c>
      <c r="AU34" s="35">
        <v>380</v>
      </c>
      <c r="AV34" s="35"/>
      <c r="AW34" s="35">
        <f t="shared" si="5"/>
        <v>380</v>
      </c>
      <c r="AX34" s="6"/>
      <c r="AY34" s="6"/>
      <c r="AZ34" s="35"/>
      <c r="BA34" s="6">
        <v>97</v>
      </c>
      <c r="BB34" s="6">
        <v>800</v>
      </c>
      <c r="BC34" s="35">
        <f t="shared" si="6"/>
        <v>517</v>
      </c>
      <c r="BD34" s="35">
        <v>608</v>
      </c>
      <c r="BE34" s="35"/>
      <c r="BF34" s="35">
        <f t="shared" si="7"/>
        <v>511</v>
      </c>
      <c r="BG34" s="6">
        <v>315</v>
      </c>
      <c r="BH34" s="6">
        <v>800</v>
      </c>
      <c r="BI34" s="35">
        <f t="shared" si="8"/>
        <v>507</v>
      </c>
      <c r="BJ34" s="6">
        <v>28</v>
      </c>
      <c r="BK34" s="6">
        <v>800</v>
      </c>
      <c r="BL34" s="35">
        <f t="shared" si="9"/>
        <v>513</v>
      </c>
      <c r="BM34" s="6">
        <v>0</v>
      </c>
      <c r="BN34" s="6">
        <v>310</v>
      </c>
      <c r="BO34" s="6">
        <f t="shared" si="10"/>
        <v>282</v>
      </c>
      <c r="BP34" s="6"/>
      <c r="BQ34" s="6"/>
      <c r="BR34" s="6"/>
      <c r="BS34" s="6"/>
      <c r="BT34" s="6"/>
      <c r="BU34" s="35"/>
      <c r="BV34" s="6"/>
      <c r="BW34" s="6"/>
      <c r="BX34" s="6"/>
      <c r="BY34" s="6"/>
      <c r="BZ34" s="6"/>
      <c r="CA34" s="35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>
        <v>288</v>
      </c>
      <c r="CU34" s="6"/>
      <c r="CV34" s="6">
        <f t="shared" si="19"/>
        <v>288</v>
      </c>
      <c r="CW34" s="6">
        <v>669</v>
      </c>
      <c r="CX34" s="6"/>
      <c r="CY34" s="6">
        <f t="shared" si="20"/>
        <v>381</v>
      </c>
      <c r="CZ34" s="6">
        <v>1042</v>
      </c>
      <c r="DA34" s="6"/>
      <c r="DB34" s="6">
        <f t="shared" si="21"/>
        <v>373</v>
      </c>
      <c r="DC34" s="6">
        <v>1411</v>
      </c>
      <c r="DD34" s="6"/>
      <c r="DE34" s="6">
        <f t="shared" si="22"/>
        <v>369</v>
      </c>
      <c r="DF34" s="6">
        <v>208</v>
      </c>
      <c r="DG34" s="6">
        <v>1560</v>
      </c>
      <c r="DH34" s="6">
        <f t="shared" si="23"/>
        <v>357</v>
      </c>
      <c r="DI34" s="6"/>
      <c r="DJ34" s="6"/>
      <c r="DK34" s="6"/>
      <c r="DL34" s="6">
        <v>595</v>
      </c>
      <c r="DM34" s="6"/>
      <c r="DN34" s="6">
        <f t="shared" si="24"/>
        <v>387</v>
      </c>
      <c r="DO34" s="6">
        <v>952</v>
      </c>
      <c r="DP34" s="6"/>
      <c r="DQ34" s="6">
        <f t="shared" si="25"/>
        <v>357</v>
      </c>
    </row>
    <row r="35" spans="1:121">
      <c r="A35" s="6">
        <v>31</v>
      </c>
      <c r="B35" s="6">
        <v>1086</v>
      </c>
      <c r="C35" s="6"/>
      <c r="D35" s="6">
        <v>347</v>
      </c>
      <c r="E35" s="33" t="s">
        <v>37</v>
      </c>
      <c r="F35" s="33" t="s">
        <v>37</v>
      </c>
      <c r="G35" s="33" t="s">
        <v>37</v>
      </c>
      <c r="H35" s="33" t="s">
        <v>37</v>
      </c>
      <c r="I35" s="33" t="s">
        <v>37</v>
      </c>
      <c r="J35" s="33" t="s">
        <v>37</v>
      </c>
      <c r="K35" s="33" t="s">
        <v>37</v>
      </c>
      <c r="L35" s="33" t="s">
        <v>37</v>
      </c>
      <c r="M35" s="33" t="s">
        <v>37</v>
      </c>
      <c r="N35" s="33" t="s">
        <v>37</v>
      </c>
      <c r="O35" s="33" t="s">
        <v>37</v>
      </c>
      <c r="P35" s="33" t="s">
        <v>37</v>
      </c>
      <c r="Q35" s="33" t="s">
        <v>37</v>
      </c>
      <c r="R35" s="33" t="s">
        <v>37</v>
      </c>
      <c r="S35" s="33" t="s">
        <v>37</v>
      </c>
      <c r="T35" s="33" t="s">
        <v>37</v>
      </c>
      <c r="U35" s="33" t="s">
        <v>37</v>
      </c>
      <c r="V35" s="33" t="s">
        <v>37</v>
      </c>
      <c r="W35" s="33" t="s">
        <v>37</v>
      </c>
      <c r="X35" s="148" t="s">
        <v>37</v>
      </c>
      <c r="Y35" s="33" t="s">
        <v>37</v>
      </c>
      <c r="Z35" s="33" t="s">
        <v>37</v>
      </c>
      <c r="AA35" s="33" t="s">
        <v>37</v>
      </c>
      <c r="AB35" s="33" t="s">
        <v>37</v>
      </c>
      <c r="AC35" s="33" t="s">
        <v>37</v>
      </c>
      <c r="AD35" s="33" t="s">
        <v>37</v>
      </c>
      <c r="AE35" s="33" t="s">
        <v>37</v>
      </c>
      <c r="AF35" s="6">
        <v>1493</v>
      </c>
      <c r="AG35" s="6"/>
      <c r="AH35" s="35">
        <f t="shared" si="0"/>
        <v>407</v>
      </c>
      <c r="AI35" s="6">
        <v>307</v>
      </c>
      <c r="AJ35" s="6">
        <v>1560</v>
      </c>
      <c r="AK35" s="35">
        <f t="shared" si="1"/>
        <v>374</v>
      </c>
      <c r="AL35" s="35">
        <v>687</v>
      </c>
      <c r="AM35" s="35"/>
      <c r="AN35" s="35">
        <f t="shared" si="2"/>
        <v>380</v>
      </c>
      <c r="AO35" s="6">
        <v>1065</v>
      </c>
      <c r="AP35" s="6"/>
      <c r="AQ35" s="35">
        <f t="shared" si="3"/>
        <v>378</v>
      </c>
      <c r="AR35" s="6">
        <v>1445</v>
      </c>
      <c r="AS35" s="6"/>
      <c r="AT35" s="34">
        <f t="shared" si="4"/>
        <v>380</v>
      </c>
      <c r="AU35" s="35">
        <v>238</v>
      </c>
      <c r="AV35" s="35">
        <v>1566</v>
      </c>
      <c r="AW35" s="35">
        <f t="shared" si="5"/>
        <v>359</v>
      </c>
      <c r="AX35" s="6"/>
      <c r="AY35" s="6"/>
      <c r="AZ35" s="35"/>
      <c r="BA35" s="6">
        <v>623</v>
      </c>
      <c r="BB35" s="6"/>
      <c r="BC35" s="35">
        <f t="shared" si="6"/>
        <v>385</v>
      </c>
      <c r="BD35" s="35">
        <v>1001</v>
      </c>
      <c r="BE35" s="35"/>
      <c r="BF35" s="35">
        <f t="shared" si="7"/>
        <v>378</v>
      </c>
      <c r="BG35" s="6">
        <v>1374</v>
      </c>
      <c r="BH35" s="6"/>
      <c r="BI35" s="35">
        <f t="shared" si="8"/>
        <v>373</v>
      </c>
      <c r="BJ35" s="6">
        <v>186</v>
      </c>
      <c r="BK35" s="6">
        <v>1560</v>
      </c>
      <c r="BL35" s="35">
        <f t="shared" si="9"/>
        <v>372</v>
      </c>
      <c r="BM35" s="6">
        <v>566</v>
      </c>
      <c r="BN35" s="6"/>
      <c r="BO35" s="6">
        <f t="shared" si="10"/>
        <v>380</v>
      </c>
      <c r="BP35" s="6">
        <v>921</v>
      </c>
      <c r="BQ35" s="6"/>
      <c r="BR35" s="6">
        <f t="shared" si="11"/>
        <v>355</v>
      </c>
      <c r="BS35" s="6"/>
      <c r="BT35" s="6"/>
      <c r="BU35" s="35"/>
      <c r="BV35" s="6">
        <v>1306</v>
      </c>
      <c r="BW35" s="6"/>
      <c r="BX35" s="6">
        <f t="shared" si="12"/>
        <v>385</v>
      </c>
      <c r="BY35" s="6">
        <v>121</v>
      </c>
      <c r="BZ35" s="6">
        <v>1560</v>
      </c>
      <c r="CA35" s="35">
        <f t="shared" si="13"/>
        <v>375</v>
      </c>
      <c r="CB35" s="6">
        <v>500</v>
      </c>
      <c r="CC35" s="6"/>
      <c r="CD35" s="6">
        <f t="shared" si="14"/>
        <v>379</v>
      </c>
      <c r="CE35" s="6">
        <v>881</v>
      </c>
      <c r="CF35" s="6"/>
      <c r="CG35" s="6">
        <f t="shared" si="15"/>
        <v>381</v>
      </c>
      <c r="CH35" s="6">
        <v>1262</v>
      </c>
      <c r="CI35" s="6"/>
      <c r="CJ35" s="6">
        <f t="shared" si="16"/>
        <v>381</v>
      </c>
      <c r="CK35" s="6">
        <v>0</v>
      </c>
      <c r="CL35" s="6">
        <v>1597</v>
      </c>
      <c r="CM35" s="6">
        <f t="shared" si="17"/>
        <v>335</v>
      </c>
      <c r="CN35" s="6"/>
      <c r="CO35" s="6"/>
      <c r="CP35" s="6"/>
      <c r="CQ35" s="6">
        <v>377</v>
      </c>
      <c r="CR35" s="6"/>
      <c r="CS35" s="6">
        <f t="shared" si="18"/>
        <v>377</v>
      </c>
      <c r="CT35" s="6">
        <v>251</v>
      </c>
      <c r="CU35" s="6">
        <v>480</v>
      </c>
      <c r="CV35" s="6">
        <f t="shared" si="19"/>
        <v>354</v>
      </c>
      <c r="CW35" s="6">
        <v>629</v>
      </c>
      <c r="CX35" s="6"/>
      <c r="CY35" s="6">
        <f t="shared" si="20"/>
        <v>378</v>
      </c>
      <c r="CZ35" s="6">
        <v>1003</v>
      </c>
      <c r="DA35" s="6"/>
      <c r="DB35" s="6">
        <f t="shared" si="21"/>
        <v>374</v>
      </c>
      <c r="DC35" s="6">
        <v>1384</v>
      </c>
      <c r="DD35" s="6"/>
      <c r="DE35" s="6">
        <f t="shared" si="22"/>
        <v>381</v>
      </c>
      <c r="DF35" s="6">
        <v>243</v>
      </c>
      <c r="DG35" s="6">
        <v>1496</v>
      </c>
      <c r="DH35" s="6">
        <f t="shared" si="23"/>
        <v>355</v>
      </c>
      <c r="DI35" s="6"/>
      <c r="DJ35" s="6"/>
      <c r="DK35" s="6"/>
      <c r="DL35" s="6">
        <v>633</v>
      </c>
      <c r="DM35" s="6"/>
      <c r="DN35" s="6">
        <f t="shared" si="24"/>
        <v>390</v>
      </c>
      <c r="DO35" s="6">
        <v>997</v>
      </c>
      <c r="DP35" s="6"/>
      <c r="DQ35" s="6">
        <f t="shared" si="25"/>
        <v>364</v>
      </c>
    </row>
    <row r="36" spans="1:121">
      <c r="A36" s="6">
        <v>32</v>
      </c>
      <c r="B36" s="6">
        <v>99</v>
      </c>
      <c r="C36" s="6">
        <v>1560</v>
      </c>
      <c r="D36" s="6">
        <v>330</v>
      </c>
      <c r="E36" s="33" t="s">
        <v>307</v>
      </c>
      <c r="F36" s="33" t="s">
        <v>307</v>
      </c>
      <c r="G36" s="33" t="s">
        <v>307</v>
      </c>
      <c r="H36" s="33" t="s">
        <v>307</v>
      </c>
      <c r="I36" s="33" t="s">
        <v>307</v>
      </c>
      <c r="J36" s="33" t="s">
        <v>307</v>
      </c>
      <c r="K36" s="33" t="s">
        <v>307</v>
      </c>
      <c r="L36" s="33" t="s">
        <v>307</v>
      </c>
      <c r="M36" s="33" t="s">
        <v>307</v>
      </c>
      <c r="N36" s="33" t="s">
        <v>307</v>
      </c>
      <c r="O36" s="33" t="s">
        <v>307</v>
      </c>
      <c r="P36" s="33" t="s">
        <v>307</v>
      </c>
      <c r="Q36" s="33" t="s">
        <v>307</v>
      </c>
      <c r="R36" s="33" t="s">
        <v>307</v>
      </c>
      <c r="S36" s="33" t="s">
        <v>307</v>
      </c>
      <c r="T36" s="33" t="s">
        <v>307</v>
      </c>
      <c r="U36" s="33" t="s">
        <v>307</v>
      </c>
      <c r="V36" s="33" t="s">
        <v>307</v>
      </c>
      <c r="W36" s="33" t="s">
        <v>307</v>
      </c>
      <c r="X36" s="33" t="s">
        <v>307</v>
      </c>
      <c r="Y36" s="148" t="s">
        <v>37</v>
      </c>
      <c r="Z36" s="33" t="s">
        <v>37</v>
      </c>
      <c r="AA36" s="33" t="s">
        <v>37</v>
      </c>
      <c r="AB36" s="33" t="s">
        <v>37</v>
      </c>
      <c r="AC36" s="33" t="s">
        <v>37</v>
      </c>
      <c r="AD36" s="33" t="s">
        <v>37</v>
      </c>
      <c r="AE36" s="33" t="s">
        <v>37</v>
      </c>
      <c r="AF36" s="6">
        <v>496</v>
      </c>
      <c r="AG36" s="6"/>
      <c r="AH36" s="35">
        <f t="shared" si="0"/>
        <v>397</v>
      </c>
      <c r="AI36" s="6">
        <v>861</v>
      </c>
      <c r="AJ36" s="6"/>
      <c r="AK36" s="35">
        <f t="shared" si="1"/>
        <v>365</v>
      </c>
      <c r="AL36" s="35">
        <v>1231</v>
      </c>
      <c r="AM36" s="35"/>
      <c r="AN36" s="35">
        <f t="shared" si="2"/>
        <v>370</v>
      </c>
      <c r="AO36" s="6">
        <v>21</v>
      </c>
      <c r="AP36" s="6">
        <v>1560</v>
      </c>
      <c r="AQ36" s="35">
        <f t="shared" si="3"/>
        <v>350</v>
      </c>
      <c r="AR36" s="6">
        <v>392</v>
      </c>
      <c r="AS36" s="6"/>
      <c r="AT36" s="34">
        <f t="shared" si="4"/>
        <v>371</v>
      </c>
      <c r="AU36" s="35">
        <v>212</v>
      </c>
      <c r="AV36" s="35">
        <v>502</v>
      </c>
      <c r="AW36" s="35">
        <f t="shared" si="5"/>
        <v>322</v>
      </c>
      <c r="AX36" s="6"/>
      <c r="AY36" s="6"/>
      <c r="AZ36" s="35"/>
      <c r="BA36" s="6">
        <f>373+212</f>
        <v>585</v>
      </c>
      <c r="BB36" s="6"/>
      <c r="BC36" s="35">
        <f t="shared" si="6"/>
        <v>373</v>
      </c>
      <c r="BD36" s="35">
        <f>737+212</f>
        <v>949</v>
      </c>
      <c r="BE36" s="35"/>
      <c r="BF36" s="35">
        <f t="shared" si="7"/>
        <v>364</v>
      </c>
      <c r="BG36" s="6">
        <f>1118+212</f>
        <v>1330</v>
      </c>
      <c r="BH36" s="6"/>
      <c r="BI36" s="35">
        <f t="shared" si="8"/>
        <v>381</v>
      </c>
      <c r="BJ36" s="6">
        <v>147</v>
      </c>
      <c r="BK36" s="6">
        <v>1565</v>
      </c>
      <c r="BL36" s="35">
        <f t="shared" si="9"/>
        <v>382</v>
      </c>
      <c r="BM36" s="6">
        <v>512</v>
      </c>
      <c r="BN36" s="6"/>
      <c r="BO36" s="6">
        <f t="shared" si="10"/>
        <v>365</v>
      </c>
      <c r="BP36" s="6">
        <v>867</v>
      </c>
      <c r="BQ36" s="6"/>
      <c r="BR36" s="6">
        <f t="shared" si="11"/>
        <v>355</v>
      </c>
      <c r="BS36" s="6"/>
      <c r="BT36" s="6"/>
      <c r="BU36" s="35"/>
      <c r="BV36" s="6">
        <v>1249</v>
      </c>
      <c r="BW36" s="6"/>
      <c r="BX36" s="6">
        <f t="shared" si="12"/>
        <v>382</v>
      </c>
      <c r="BY36" s="6">
        <v>1625</v>
      </c>
      <c r="BZ36" s="6"/>
      <c r="CA36" s="35">
        <f t="shared" si="13"/>
        <v>376</v>
      </c>
      <c r="CB36" s="6">
        <v>0</v>
      </c>
      <c r="CC36" s="6">
        <v>1820</v>
      </c>
      <c r="CD36" s="6">
        <f t="shared" si="14"/>
        <v>195</v>
      </c>
      <c r="CE36" s="6">
        <v>0</v>
      </c>
      <c r="CF36" s="6"/>
      <c r="CG36" s="6">
        <f t="shared" si="15"/>
        <v>0</v>
      </c>
      <c r="CH36" s="6">
        <v>0</v>
      </c>
      <c r="CI36" s="6"/>
      <c r="CJ36" s="6">
        <f t="shared" si="16"/>
        <v>0</v>
      </c>
      <c r="CK36" s="6">
        <v>214</v>
      </c>
      <c r="CL36" s="6"/>
      <c r="CM36" s="6">
        <f t="shared" si="17"/>
        <v>214</v>
      </c>
      <c r="CN36" s="6"/>
      <c r="CO36" s="6"/>
      <c r="CP36" s="6"/>
      <c r="CQ36" s="6">
        <v>0</v>
      </c>
      <c r="CR36" s="6">
        <v>552</v>
      </c>
      <c r="CS36" s="6">
        <f t="shared" si="18"/>
        <v>338</v>
      </c>
      <c r="CT36" s="6">
        <v>343</v>
      </c>
      <c r="CU36" s="6"/>
      <c r="CV36" s="6">
        <f t="shared" si="19"/>
        <v>343</v>
      </c>
      <c r="CW36" s="6">
        <v>726</v>
      </c>
      <c r="CX36" s="6"/>
      <c r="CY36" s="6">
        <f t="shared" si="20"/>
        <v>383</v>
      </c>
      <c r="CZ36" s="6">
        <v>1100</v>
      </c>
      <c r="DA36" s="6"/>
      <c r="DB36" s="6">
        <f t="shared" si="21"/>
        <v>374</v>
      </c>
      <c r="DC36" s="6">
        <v>1482</v>
      </c>
      <c r="DD36" s="6"/>
      <c r="DE36" s="6">
        <f t="shared" si="22"/>
        <v>382</v>
      </c>
      <c r="DF36" s="6">
        <v>287</v>
      </c>
      <c r="DG36" s="6">
        <v>1560</v>
      </c>
      <c r="DH36" s="6">
        <f t="shared" si="23"/>
        <v>365</v>
      </c>
      <c r="DI36" s="6"/>
      <c r="DJ36" s="6"/>
      <c r="DK36" s="6"/>
      <c r="DL36" s="6">
        <v>678</v>
      </c>
      <c r="DM36" s="6"/>
      <c r="DN36" s="6">
        <f t="shared" si="24"/>
        <v>391</v>
      </c>
      <c r="DO36" s="6">
        <v>1045</v>
      </c>
      <c r="DP36" s="6"/>
      <c r="DQ36" s="6">
        <f t="shared" si="25"/>
        <v>367</v>
      </c>
    </row>
    <row r="37" spans="1:121">
      <c r="A37" s="6">
        <v>33</v>
      </c>
      <c r="B37" s="6">
        <v>650</v>
      </c>
      <c r="C37" s="6"/>
      <c r="D37" s="6">
        <v>352</v>
      </c>
      <c r="E37" s="33" t="s">
        <v>307</v>
      </c>
      <c r="F37" s="33" t="s">
        <v>307</v>
      </c>
      <c r="G37" s="33" t="s">
        <v>307</v>
      </c>
      <c r="H37" s="33" t="s">
        <v>307</v>
      </c>
      <c r="I37" s="33" t="s">
        <v>307</v>
      </c>
      <c r="J37" s="33" t="s">
        <v>307</v>
      </c>
      <c r="K37" s="33" t="s">
        <v>307</v>
      </c>
      <c r="L37" s="33" t="s">
        <v>307</v>
      </c>
      <c r="M37" s="33" t="s">
        <v>307</v>
      </c>
      <c r="N37" s="33" t="s">
        <v>307</v>
      </c>
      <c r="O37" s="33" t="s">
        <v>307</v>
      </c>
      <c r="P37" s="33" t="s">
        <v>307</v>
      </c>
      <c r="Q37" s="33" t="s">
        <v>307</v>
      </c>
      <c r="R37" s="33" t="s">
        <v>307</v>
      </c>
      <c r="S37" s="33" t="s">
        <v>307</v>
      </c>
      <c r="T37" s="33" t="s">
        <v>307</v>
      </c>
      <c r="U37" s="148" t="s">
        <v>307</v>
      </c>
      <c r="V37" s="33" t="s">
        <v>307</v>
      </c>
      <c r="W37" s="33" t="s">
        <v>307</v>
      </c>
      <c r="X37" s="33" t="s">
        <v>307</v>
      </c>
      <c r="Y37" s="33" t="s">
        <v>307</v>
      </c>
      <c r="Z37" s="33" t="s">
        <v>307</v>
      </c>
      <c r="AA37" s="33" t="s">
        <v>307</v>
      </c>
      <c r="AB37" s="33" t="s">
        <v>307</v>
      </c>
      <c r="AC37" s="33" t="s">
        <v>307</v>
      </c>
      <c r="AD37" s="33" t="s">
        <v>307</v>
      </c>
      <c r="AE37" s="33" t="s">
        <v>307</v>
      </c>
      <c r="AF37" s="35">
        <v>1047</v>
      </c>
      <c r="AG37" s="35"/>
      <c r="AH37" s="35">
        <f t="shared" si="0"/>
        <v>397</v>
      </c>
      <c r="AI37" s="35">
        <v>1408</v>
      </c>
      <c r="AJ37" s="35"/>
      <c r="AK37" s="35">
        <f t="shared" si="1"/>
        <v>361</v>
      </c>
      <c r="AL37" s="35">
        <v>312</v>
      </c>
      <c r="AM37" s="35">
        <v>1408</v>
      </c>
      <c r="AN37" s="35">
        <f t="shared" si="2"/>
        <v>312</v>
      </c>
      <c r="AO37" s="35">
        <v>698</v>
      </c>
      <c r="AP37" s="35"/>
      <c r="AQ37" s="35">
        <f t="shared" si="3"/>
        <v>386</v>
      </c>
      <c r="AR37" s="35">
        <v>1087</v>
      </c>
      <c r="AS37" s="35"/>
      <c r="AT37" s="34">
        <f t="shared" si="4"/>
        <v>389</v>
      </c>
      <c r="AU37" s="35">
        <v>1449</v>
      </c>
      <c r="AV37" s="35"/>
      <c r="AW37" s="35">
        <f t="shared" si="5"/>
        <v>362</v>
      </c>
      <c r="AX37" s="6"/>
      <c r="AY37" s="6"/>
      <c r="AZ37" s="35"/>
      <c r="BA37" s="35">
        <v>270</v>
      </c>
      <c r="BB37" s="35">
        <v>1560</v>
      </c>
      <c r="BC37" s="35">
        <f t="shared" si="6"/>
        <v>381</v>
      </c>
      <c r="BD37" s="6">
        <v>653</v>
      </c>
      <c r="BE37" s="6"/>
      <c r="BF37" s="35">
        <f t="shared" si="7"/>
        <v>383</v>
      </c>
      <c r="BG37" s="6">
        <v>1035</v>
      </c>
      <c r="BH37" s="6"/>
      <c r="BI37" s="35">
        <f t="shared" si="8"/>
        <v>382</v>
      </c>
      <c r="BJ37" s="6">
        <v>1421</v>
      </c>
      <c r="BK37" s="6"/>
      <c r="BL37" s="35">
        <f t="shared" si="9"/>
        <v>386</v>
      </c>
      <c r="BM37" s="6">
        <v>247</v>
      </c>
      <c r="BN37" s="6">
        <v>1561</v>
      </c>
      <c r="BO37" s="6">
        <f t="shared" si="10"/>
        <v>387</v>
      </c>
      <c r="BP37" s="6">
        <v>614</v>
      </c>
      <c r="BQ37" s="6"/>
      <c r="BR37" s="6">
        <f t="shared" si="11"/>
        <v>367</v>
      </c>
      <c r="BS37" s="6"/>
      <c r="BT37" s="6"/>
      <c r="BU37" s="35"/>
      <c r="BV37" s="6">
        <v>997</v>
      </c>
      <c r="BW37" s="6"/>
      <c r="BX37" s="6">
        <f t="shared" si="12"/>
        <v>383</v>
      </c>
      <c r="BY37" s="6">
        <v>1375</v>
      </c>
      <c r="BZ37" s="6"/>
      <c r="CA37" s="35">
        <f t="shared" si="13"/>
        <v>378</v>
      </c>
      <c r="CB37" s="6">
        <v>1756</v>
      </c>
      <c r="CC37" s="6"/>
      <c r="CD37" s="6">
        <f t="shared" si="14"/>
        <v>381</v>
      </c>
      <c r="CE37" s="6">
        <v>0</v>
      </c>
      <c r="CF37" s="6">
        <v>1781</v>
      </c>
      <c r="CG37" s="6">
        <f t="shared" si="15"/>
        <v>25</v>
      </c>
      <c r="CH37" s="6">
        <v>0</v>
      </c>
      <c r="CI37" s="6"/>
      <c r="CJ37" s="6">
        <f t="shared" si="16"/>
        <v>0</v>
      </c>
      <c r="CK37" s="6">
        <v>17</v>
      </c>
      <c r="CL37" s="6"/>
      <c r="CM37" s="6">
        <f t="shared" si="17"/>
        <v>17</v>
      </c>
      <c r="CN37" s="6"/>
      <c r="CO37" s="6"/>
      <c r="CP37" s="6"/>
      <c r="CQ37" s="6">
        <v>403</v>
      </c>
      <c r="CR37" s="6"/>
      <c r="CS37" s="6">
        <f t="shared" si="18"/>
        <v>386</v>
      </c>
      <c r="CT37" s="6">
        <v>765</v>
      </c>
      <c r="CU37" s="6"/>
      <c r="CV37" s="6">
        <f t="shared" si="19"/>
        <v>362</v>
      </c>
      <c r="CW37" s="6">
        <v>1155</v>
      </c>
      <c r="CX37" s="6"/>
      <c r="CY37" s="6">
        <f t="shared" si="20"/>
        <v>390</v>
      </c>
      <c r="CZ37" s="6">
        <v>1544</v>
      </c>
      <c r="DA37" s="6"/>
      <c r="DB37" s="6">
        <f t="shared" si="21"/>
        <v>389</v>
      </c>
      <c r="DC37" s="6">
        <v>112</v>
      </c>
      <c r="DD37" s="6">
        <v>1820</v>
      </c>
      <c r="DE37" s="6">
        <f t="shared" si="22"/>
        <v>388</v>
      </c>
      <c r="DF37" s="6">
        <v>483</v>
      </c>
      <c r="DG37" s="6"/>
      <c r="DH37" s="6">
        <f t="shared" si="23"/>
        <v>371</v>
      </c>
      <c r="DI37" s="6"/>
      <c r="DJ37" s="6"/>
      <c r="DK37" s="6"/>
      <c r="DL37" s="6">
        <v>870</v>
      </c>
      <c r="DM37" s="6"/>
      <c r="DN37" s="6">
        <f t="shared" si="24"/>
        <v>387</v>
      </c>
      <c r="DO37" s="6">
        <v>1238</v>
      </c>
      <c r="DP37" s="6"/>
      <c r="DQ37" s="6">
        <f t="shared" si="25"/>
        <v>368</v>
      </c>
    </row>
    <row r="38" spans="1:121">
      <c r="A38" s="6">
        <v>34</v>
      </c>
      <c r="B38" s="6">
        <v>332</v>
      </c>
      <c r="C38" s="6">
        <v>1560</v>
      </c>
      <c r="D38" s="6">
        <v>359</v>
      </c>
      <c r="E38" s="33" t="s">
        <v>307</v>
      </c>
      <c r="F38" s="33" t="s">
        <v>307</v>
      </c>
      <c r="G38" s="33" t="s">
        <v>307</v>
      </c>
      <c r="H38" s="33" t="s">
        <v>307</v>
      </c>
      <c r="I38" s="33" t="s">
        <v>307</v>
      </c>
      <c r="J38" s="33" t="s">
        <v>307</v>
      </c>
      <c r="K38" s="33" t="s">
        <v>307</v>
      </c>
      <c r="L38" s="33" t="s">
        <v>307</v>
      </c>
      <c r="M38" s="33" t="s">
        <v>307</v>
      </c>
      <c r="N38" s="33" t="s">
        <v>307</v>
      </c>
      <c r="O38" s="33" t="s">
        <v>307</v>
      </c>
      <c r="P38" s="33" t="s">
        <v>307</v>
      </c>
      <c r="Q38" s="33" t="s">
        <v>307</v>
      </c>
      <c r="R38" s="33" t="s">
        <v>307</v>
      </c>
      <c r="S38" s="33" t="s">
        <v>307</v>
      </c>
      <c r="T38" s="33" t="s">
        <v>307</v>
      </c>
      <c r="U38" s="33" t="s">
        <v>307</v>
      </c>
      <c r="V38" s="148" t="s">
        <v>307</v>
      </c>
      <c r="W38" s="33" t="s">
        <v>307</v>
      </c>
      <c r="X38" s="33" t="s">
        <v>307</v>
      </c>
      <c r="Y38" s="33" t="s">
        <v>307</v>
      </c>
      <c r="Z38" s="33" t="s">
        <v>307</v>
      </c>
      <c r="AA38" s="33" t="s">
        <v>307</v>
      </c>
      <c r="AB38" s="33" t="s">
        <v>307</v>
      </c>
      <c r="AC38" s="33" t="s">
        <v>307</v>
      </c>
      <c r="AD38" s="33" t="s">
        <v>307</v>
      </c>
      <c r="AE38" s="33" t="s">
        <v>307</v>
      </c>
      <c r="AF38" s="35">
        <v>736</v>
      </c>
      <c r="AG38" s="35"/>
      <c r="AH38" s="35">
        <f t="shared" si="0"/>
        <v>404</v>
      </c>
      <c r="AI38" s="35">
        <v>1123</v>
      </c>
      <c r="AJ38" s="35"/>
      <c r="AK38" s="35">
        <f t="shared" si="1"/>
        <v>387</v>
      </c>
      <c r="AL38" s="35">
        <v>1516</v>
      </c>
      <c r="AM38" s="35"/>
      <c r="AN38" s="35">
        <f t="shared" si="2"/>
        <v>393</v>
      </c>
      <c r="AO38" s="35">
        <v>345</v>
      </c>
      <c r="AP38" s="35">
        <v>1563</v>
      </c>
      <c r="AQ38" s="35">
        <f t="shared" si="3"/>
        <v>392</v>
      </c>
      <c r="AR38" s="35">
        <v>723</v>
      </c>
      <c r="AS38" s="35"/>
      <c r="AT38" s="34">
        <f t="shared" si="4"/>
        <v>378</v>
      </c>
      <c r="AU38" s="35">
        <v>179</v>
      </c>
      <c r="AV38" s="35">
        <v>899</v>
      </c>
      <c r="AW38" s="35">
        <f t="shared" si="5"/>
        <v>355</v>
      </c>
      <c r="AX38" s="6"/>
      <c r="AY38" s="6"/>
      <c r="AZ38" s="35"/>
      <c r="BA38" s="35">
        <v>559</v>
      </c>
      <c r="BB38" s="6"/>
      <c r="BC38" s="35">
        <f t="shared" si="6"/>
        <v>380</v>
      </c>
      <c r="BD38" s="6">
        <v>213</v>
      </c>
      <c r="BE38" s="6">
        <v>716</v>
      </c>
      <c r="BF38" s="35">
        <f t="shared" si="7"/>
        <v>370</v>
      </c>
      <c r="BG38" s="6">
        <v>595</v>
      </c>
      <c r="BH38" s="6"/>
      <c r="BI38" s="35">
        <f t="shared" si="8"/>
        <v>382</v>
      </c>
      <c r="BJ38" s="6">
        <v>977</v>
      </c>
      <c r="BK38" s="6"/>
      <c r="BL38" s="35">
        <f t="shared" si="9"/>
        <v>382</v>
      </c>
      <c r="BM38" s="6">
        <v>1365</v>
      </c>
      <c r="BN38" s="6"/>
      <c r="BO38" s="6">
        <f t="shared" si="10"/>
        <v>388</v>
      </c>
      <c r="BP38" s="6">
        <v>1728</v>
      </c>
      <c r="BQ38" s="6"/>
      <c r="BR38" s="6">
        <f t="shared" si="11"/>
        <v>363</v>
      </c>
      <c r="BS38" s="6"/>
      <c r="BT38" s="6"/>
      <c r="BU38" s="35"/>
      <c r="BV38" s="6">
        <v>280</v>
      </c>
      <c r="BW38" s="6">
        <v>1820</v>
      </c>
      <c r="BX38" s="6">
        <f t="shared" si="12"/>
        <v>372</v>
      </c>
      <c r="BY38" s="6">
        <v>645</v>
      </c>
      <c r="BZ38" s="6"/>
      <c r="CA38" s="35">
        <f t="shared" si="13"/>
        <v>365</v>
      </c>
      <c r="CB38" s="6">
        <v>1013</v>
      </c>
      <c r="CC38" s="6"/>
      <c r="CD38" s="6">
        <f t="shared" si="14"/>
        <v>368</v>
      </c>
      <c r="CE38" s="6">
        <v>0</v>
      </c>
      <c r="CF38" s="6">
        <v>1290</v>
      </c>
      <c r="CG38" s="6">
        <f t="shared" si="15"/>
        <v>277</v>
      </c>
      <c r="CH38" s="6">
        <v>0</v>
      </c>
      <c r="CI38" s="6"/>
      <c r="CJ38" s="6">
        <f t="shared" si="16"/>
        <v>0</v>
      </c>
      <c r="CK38" s="6">
        <v>13</v>
      </c>
      <c r="CL38" s="6"/>
      <c r="CM38" s="6">
        <f t="shared" si="17"/>
        <v>13</v>
      </c>
      <c r="CN38" s="6"/>
      <c r="CO38" s="6"/>
      <c r="CP38" s="6"/>
      <c r="CQ38" s="6">
        <v>388</v>
      </c>
      <c r="CR38" s="6"/>
      <c r="CS38" s="6">
        <f t="shared" si="18"/>
        <v>375</v>
      </c>
      <c r="CT38" s="6">
        <v>752</v>
      </c>
      <c r="CU38" s="6"/>
      <c r="CV38" s="6">
        <f t="shared" si="19"/>
        <v>364</v>
      </c>
      <c r="CW38" s="6">
        <v>1118</v>
      </c>
      <c r="CX38" s="6"/>
      <c r="CY38" s="6">
        <f t="shared" si="20"/>
        <v>366</v>
      </c>
      <c r="CZ38" s="6">
        <v>1488</v>
      </c>
      <c r="DA38" s="6"/>
      <c r="DB38" s="6">
        <f t="shared" si="21"/>
        <v>370</v>
      </c>
      <c r="DC38" s="6">
        <v>30</v>
      </c>
      <c r="DD38" s="6">
        <v>1820</v>
      </c>
      <c r="DE38" s="6">
        <f t="shared" si="22"/>
        <v>362</v>
      </c>
      <c r="DF38" s="6">
        <v>384</v>
      </c>
      <c r="DG38" s="6"/>
      <c r="DH38" s="6">
        <f t="shared" si="23"/>
        <v>354</v>
      </c>
      <c r="DI38" s="6"/>
      <c r="DJ38" s="6"/>
      <c r="DK38" s="6"/>
      <c r="DL38" s="6">
        <v>782</v>
      </c>
      <c r="DM38" s="6"/>
      <c r="DN38" s="6">
        <f t="shared" si="24"/>
        <v>398</v>
      </c>
      <c r="DO38" s="6">
        <v>1148</v>
      </c>
      <c r="DP38" s="6"/>
      <c r="DQ38" s="6">
        <f t="shared" si="25"/>
        <v>366</v>
      </c>
    </row>
    <row r="39" spans="1:121">
      <c r="A39" s="6">
        <v>35</v>
      </c>
      <c r="B39" s="6">
        <v>458</v>
      </c>
      <c r="C39" s="6"/>
      <c r="D39" s="6">
        <v>332</v>
      </c>
      <c r="E39" s="33" t="s">
        <v>307</v>
      </c>
      <c r="F39" s="33" t="s">
        <v>307</v>
      </c>
      <c r="G39" s="33" t="s">
        <v>307</v>
      </c>
      <c r="H39" s="33" t="s">
        <v>307</v>
      </c>
      <c r="I39" s="33" t="s">
        <v>307</v>
      </c>
      <c r="J39" s="33" t="s">
        <v>307</v>
      </c>
      <c r="K39" s="33" t="s">
        <v>307</v>
      </c>
      <c r="L39" s="33" t="s">
        <v>307</v>
      </c>
      <c r="M39" s="33" t="s">
        <v>307</v>
      </c>
      <c r="N39" s="33" t="s">
        <v>307</v>
      </c>
      <c r="O39" s="33" t="s">
        <v>307</v>
      </c>
      <c r="P39" s="33" t="s">
        <v>307</v>
      </c>
      <c r="Q39" s="33" t="s">
        <v>307</v>
      </c>
      <c r="R39" s="33" t="s">
        <v>307</v>
      </c>
      <c r="S39" s="33" t="s">
        <v>307</v>
      </c>
      <c r="T39" s="33" t="s">
        <v>307</v>
      </c>
      <c r="U39" s="33" t="s">
        <v>307</v>
      </c>
      <c r="V39" s="148" t="s">
        <v>307</v>
      </c>
      <c r="W39" s="33" t="s">
        <v>307</v>
      </c>
      <c r="X39" s="33" t="s">
        <v>307</v>
      </c>
      <c r="Y39" s="33" t="s">
        <v>307</v>
      </c>
      <c r="Z39" s="33" t="s">
        <v>307</v>
      </c>
      <c r="AA39" s="33" t="s">
        <v>307</v>
      </c>
      <c r="AB39" s="33" t="s">
        <v>307</v>
      </c>
      <c r="AC39" s="33" t="s">
        <v>307</v>
      </c>
      <c r="AD39" s="33" t="s">
        <v>307</v>
      </c>
      <c r="AE39" s="33" t="s">
        <v>307</v>
      </c>
      <c r="AF39" s="6">
        <v>866</v>
      </c>
      <c r="AG39" s="6"/>
      <c r="AH39" s="35">
        <f t="shared" si="0"/>
        <v>408</v>
      </c>
      <c r="AI39" s="6">
        <v>1240</v>
      </c>
      <c r="AJ39" s="6"/>
      <c r="AK39" s="35">
        <f t="shared" si="1"/>
        <v>374</v>
      </c>
      <c r="AL39" s="35">
        <v>53</v>
      </c>
      <c r="AM39" s="35">
        <v>1560</v>
      </c>
      <c r="AN39" s="35">
        <f t="shared" si="2"/>
        <v>373</v>
      </c>
      <c r="AO39" s="6">
        <v>433</v>
      </c>
      <c r="AP39" s="6"/>
      <c r="AQ39" s="35">
        <f t="shared" si="3"/>
        <v>380</v>
      </c>
      <c r="AR39" s="6">
        <v>814</v>
      </c>
      <c r="AS39" s="6"/>
      <c r="AT39" s="34">
        <f t="shared" si="4"/>
        <v>381</v>
      </c>
      <c r="AU39" s="35">
        <v>1169</v>
      </c>
      <c r="AV39" s="35"/>
      <c r="AW39" s="35">
        <f t="shared" si="5"/>
        <v>355</v>
      </c>
      <c r="AX39" s="6"/>
      <c r="AY39" s="6"/>
      <c r="AZ39" s="35"/>
      <c r="BA39" s="6">
        <v>1553</v>
      </c>
      <c r="BB39" s="6"/>
      <c r="BC39" s="35">
        <f t="shared" si="6"/>
        <v>384</v>
      </c>
      <c r="BD39" s="35">
        <v>374</v>
      </c>
      <c r="BE39" s="35">
        <v>1560</v>
      </c>
      <c r="BF39" s="35">
        <f t="shared" si="7"/>
        <v>381</v>
      </c>
      <c r="BG39" s="6">
        <v>754</v>
      </c>
      <c r="BH39" s="6"/>
      <c r="BI39" s="35">
        <f t="shared" si="8"/>
        <v>380</v>
      </c>
      <c r="BJ39" s="6">
        <v>1134</v>
      </c>
      <c r="BK39" s="6"/>
      <c r="BL39" s="35">
        <f t="shared" si="9"/>
        <v>380</v>
      </c>
      <c r="BM39" s="6">
        <v>1515</v>
      </c>
      <c r="BN39" s="6"/>
      <c r="BO39" s="6">
        <f t="shared" si="10"/>
        <v>381</v>
      </c>
      <c r="BP39" s="6">
        <v>49</v>
      </c>
      <c r="BQ39" s="6">
        <v>1820</v>
      </c>
      <c r="BR39" s="6">
        <f t="shared" si="11"/>
        <v>354</v>
      </c>
      <c r="BS39" s="6"/>
      <c r="BT39" s="6"/>
      <c r="BU39" s="35"/>
      <c r="BV39" s="6">
        <v>412</v>
      </c>
      <c r="BW39" s="6"/>
      <c r="BX39" s="6">
        <f t="shared" si="12"/>
        <v>363</v>
      </c>
      <c r="BY39" s="6">
        <v>791</v>
      </c>
      <c r="BZ39" s="6"/>
      <c r="CA39" s="35">
        <f t="shared" si="13"/>
        <v>379</v>
      </c>
      <c r="CB39" s="35">
        <v>1178</v>
      </c>
      <c r="CC39" s="6"/>
      <c r="CD39" s="6">
        <f t="shared" si="14"/>
        <v>387</v>
      </c>
      <c r="CE39" s="6">
        <v>0</v>
      </c>
      <c r="CF39" s="6">
        <v>1251</v>
      </c>
      <c r="CG39" s="6">
        <f t="shared" si="15"/>
        <v>73</v>
      </c>
      <c r="CH39" s="6">
        <v>0</v>
      </c>
      <c r="CI39" s="6"/>
      <c r="CJ39" s="6">
        <f t="shared" si="16"/>
        <v>0</v>
      </c>
      <c r="CK39" s="6">
        <v>20</v>
      </c>
      <c r="CL39" s="6"/>
      <c r="CM39" s="6">
        <f t="shared" si="17"/>
        <v>20</v>
      </c>
      <c r="CN39" s="6"/>
      <c r="CO39" s="6"/>
      <c r="CP39" s="6"/>
      <c r="CQ39" s="6">
        <v>402</v>
      </c>
      <c r="CR39" s="6"/>
      <c r="CS39" s="6">
        <f t="shared" si="18"/>
        <v>382</v>
      </c>
      <c r="CT39" s="6">
        <v>145</v>
      </c>
      <c r="CU39" s="6">
        <v>610</v>
      </c>
      <c r="CV39" s="6">
        <f t="shared" si="19"/>
        <v>353</v>
      </c>
      <c r="CW39" s="6">
        <v>531</v>
      </c>
      <c r="CX39" s="6"/>
      <c r="CY39" s="6">
        <f t="shared" si="20"/>
        <v>386</v>
      </c>
      <c r="CZ39" s="6">
        <v>920</v>
      </c>
      <c r="DA39" s="6"/>
      <c r="DB39" s="6">
        <f t="shared" si="21"/>
        <v>389</v>
      </c>
      <c r="DC39" s="6">
        <v>1289</v>
      </c>
      <c r="DD39" s="6"/>
      <c r="DE39" s="6">
        <f t="shared" si="22"/>
        <v>369</v>
      </c>
      <c r="DF39" s="6">
        <v>344</v>
      </c>
      <c r="DG39" s="6">
        <v>1317</v>
      </c>
      <c r="DH39" s="6">
        <f t="shared" si="23"/>
        <v>372</v>
      </c>
      <c r="DI39" s="6"/>
      <c r="DJ39" s="6"/>
      <c r="DK39" s="6"/>
      <c r="DL39" s="6">
        <v>727</v>
      </c>
      <c r="DM39" s="6"/>
      <c r="DN39" s="6">
        <f t="shared" si="24"/>
        <v>383</v>
      </c>
      <c r="DO39" s="6">
        <v>1089</v>
      </c>
      <c r="DP39" s="6"/>
      <c r="DQ39" s="6">
        <f t="shared" si="25"/>
        <v>362</v>
      </c>
    </row>
    <row r="40" spans="1:121" ht="14.25" customHeight="1">
      <c r="A40" s="6">
        <v>36</v>
      </c>
      <c r="B40" s="6">
        <v>1098</v>
      </c>
      <c r="C40" s="6"/>
      <c r="D40" s="6">
        <v>342</v>
      </c>
      <c r="E40" s="33" t="s">
        <v>37</v>
      </c>
      <c r="F40" s="33" t="s">
        <v>37</v>
      </c>
      <c r="G40" s="33" t="s">
        <v>37</v>
      </c>
      <c r="H40" s="33" t="s">
        <v>37</v>
      </c>
      <c r="I40" s="33" t="s">
        <v>37</v>
      </c>
      <c r="J40" s="33" t="s">
        <v>37</v>
      </c>
      <c r="K40" s="33" t="s">
        <v>37</v>
      </c>
      <c r="L40" s="33" t="s">
        <v>37</v>
      </c>
      <c r="M40" s="33" t="s">
        <v>37</v>
      </c>
      <c r="N40" s="33" t="s">
        <v>37</v>
      </c>
      <c r="O40" s="33" t="s">
        <v>37</v>
      </c>
      <c r="P40" s="33" t="s">
        <v>37</v>
      </c>
      <c r="Q40" s="33" t="s">
        <v>37</v>
      </c>
      <c r="R40" s="148" t="s">
        <v>37</v>
      </c>
      <c r="S40" s="33" t="s">
        <v>37</v>
      </c>
      <c r="T40" s="33" t="s">
        <v>37</v>
      </c>
      <c r="U40" s="33" t="s">
        <v>37</v>
      </c>
      <c r="V40" s="33" t="s">
        <v>37</v>
      </c>
      <c r="W40" s="33" t="s">
        <v>37</v>
      </c>
      <c r="X40" s="33" t="s">
        <v>37</v>
      </c>
      <c r="Y40" s="33" t="s">
        <v>37</v>
      </c>
      <c r="Z40" s="33" t="s">
        <v>37</v>
      </c>
      <c r="AA40" s="33" t="s">
        <v>37</v>
      </c>
      <c r="AB40" s="33" t="s">
        <v>37</v>
      </c>
      <c r="AC40" s="33" t="s">
        <v>37</v>
      </c>
      <c r="AD40" s="33" t="s">
        <v>37</v>
      </c>
      <c r="AE40" s="33" t="s">
        <v>37</v>
      </c>
      <c r="AF40" s="6">
        <v>1506</v>
      </c>
      <c r="AG40" s="6"/>
      <c r="AH40" s="35">
        <f t="shared" si="0"/>
        <v>408</v>
      </c>
      <c r="AI40" s="6">
        <v>309</v>
      </c>
      <c r="AJ40" s="6">
        <v>1560</v>
      </c>
      <c r="AK40" s="35">
        <f t="shared" si="1"/>
        <v>363</v>
      </c>
      <c r="AL40" s="35">
        <v>684</v>
      </c>
      <c r="AM40" s="35"/>
      <c r="AN40" s="35">
        <f t="shared" si="2"/>
        <v>375</v>
      </c>
      <c r="AO40" s="6">
        <v>181</v>
      </c>
      <c r="AP40" s="6">
        <v>840</v>
      </c>
      <c r="AQ40" s="35">
        <f t="shared" si="3"/>
        <v>337</v>
      </c>
      <c r="AR40" s="6">
        <v>551</v>
      </c>
      <c r="AS40" s="6"/>
      <c r="AT40" s="34">
        <f t="shared" si="4"/>
        <v>370</v>
      </c>
      <c r="AU40" s="35">
        <v>911</v>
      </c>
      <c r="AV40" s="35"/>
      <c r="AW40" s="35">
        <f t="shared" si="5"/>
        <v>360</v>
      </c>
      <c r="AX40" s="6"/>
      <c r="AY40" s="6"/>
      <c r="AZ40" s="35"/>
      <c r="BA40" s="6">
        <v>1296</v>
      </c>
      <c r="BB40" s="6"/>
      <c r="BC40" s="35">
        <f t="shared" si="6"/>
        <v>385</v>
      </c>
      <c r="BD40" s="35">
        <v>113</v>
      </c>
      <c r="BE40" s="35">
        <v>1561</v>
      </c>
      <c r="BF40" s="35">
        <f t="shared" si="7"/>
        <v>378</v>
      </c>
      <c r="BG40" s="6">
        <v>482</v>
      </c>
      <c r="BH40" s="6"/>
      <c r="BI40" s="35">
        <f t="shared" si="8"/>
        <v>369</v>
      </c>
      <c r="BJ40" s="6">
        <v>861</v>
      </c>
      <c r="BK40" s="6"/>
      <c r="BL40" s="35">
        <f t="shared" si="9"/>
        <v>379</v>
      </c>
      <c r="BM40" s="6">
        <v>245</v>
      </c>
      <c r="BN40" s="6">
        <v>991</v>
      </c>
      <c r="BO40" s="6">
        <f t="shared" si="10"/>
        <v>375</v>
      </c>
      <c r="BP40" s="6">
        <v>0</v>
      </c>
      <c r="BQ40" s="6">
        <v>519</v>
      </c>
      <c r="BR40" s="6">
        <f t="shared" si="11"/>
        <v>274</v>
      </c>
      <c r="BS40" s="6"/>
      <c r="BT40" s="6"/>
      <c r="BU40" s="35"/>
      <c r="BV40" s="6">
        <v>345</v>
      </c>
      <c r="BW40" s="6"/>
      <c r="BX40" s="6">
        <f t="shared" si="12"/>
        <v>345</v>
      </c>
      <c r="BY40" s="6">
        <v>710</v>
      </c>
      <c r="BZ40" s="6"/>
      <c r="CA40" s="35">
        <f t="shared" si="13"/>
        <v>365</v>
      </c>
      <c r="CB40" s="6">
        <v>1089</v>
      </c>
      <c r="CC40" s="6"/>
      <c r="CD40" s="6">
        <f t="shared" si="14"/>
        <v>379</v>
      </c>
      <c r="CE40" s="6">
        <v>1467</v>
      </c>
      <c r="CF40" s="6"/>
      <c r="CG40" s="6">
        <f t="shared" si="15"/>
        <v>378</v>
      </c>
      <c r="CH40" s="6">
        <v>285</v>
      </c>
      <c r="CI40" s="6">
        <v>1560</v>
      </c>
      <c r="CJ40" s="6">
        <f t="shared" si="16"/>
        <v>378</v>
      </c>
      <c r="CK40" s="6">
        <v>652</v>
      </c>
      <c r="CL40" s="6"/>
      <c r="CM40" s="6">
        <f t="shared" si="17"/>
        <v>367</v>
      </c>
      <c r="CN40" s="6"/>
      <c r="CO40" s="6"/>
      <c r="CP40" s="6"/>
      <c r="CQ40" s="6">
        <v>1038</v>
      </c>
      <c r="CR40" s="6"/>
      <c r="CS40" s="6">
        <f t="shared" si="18"/>
        <v>386</v>
      </c>
      <c r="CT40" s="6">
        <v>1416</v>
      </c>
      <c r="CU40" s="6"/>
      <c r="CV40" s="6">
        <f t="shared" si="19"/>
        <v>378</v>
      </c>
      <c r="CW40" s="6">
        <v>221</v>
      </c>
      <c r="CX40" s="6">
        <v>1560</v>
      </c>
      <c r="CY40" s="6">
        <f t="shared" si="20"/>
        <v>365</v>
      </c>
      <c r="CZ40" s="6">
        <v>590</v>
      </c>
      <c r="DA40" s="6"/>
      <c r="DB40" s="6">
        <f t="shared" si="21"/>
        <v>369</v>
      </c>
      <c r="DC40" s="6">
        <v>972</v>
      </c>
      <c r="DD40" s="6"/>
      <c r="DE40" s="6">
        <f t="shared" si="22"/>
        <v>382</v>
      </c>
      <c r="DF40" s="6">
        <v>1335</v>
      </c>
      <c r="DG40" s="6"/>
      <c r="DH40" s="6">
        <f t="shared" si="23"/>
        <v>363</v>
      </c>
      <c r="DI40" s="6"/>
      <c r="DJ40" s="6"/>
      <c r="DK40" s="6"/>
      <c r="DL40" s="6">
        <v>165</v>
      </c>
      <c r="DM40" s="6">
        <v>1534</v>
      </c>
      <c r="DN40" s="6">
        <f t="shared" si="24"/>
        <v>364</v>
      </c>
      <c r="DO40" s="6">
        <v>527</v>
      </c>
      <c r="DP40" s="6"/>
      <c r="DQ40" s="6">
        <f t="shared" si="25"/>
        <v>362</v>
      </c>
    </row>
    <row r="41" spans="1:121">
      <c r="A41" s="6">
        <v>37</v>
      </c>
      <c r="B41" s="6">
        <v>643</v>
      </c>
      <c r="C41" s="6"/>
      <c r="D41" s="6">
        <v>355</v>
      </c>
      <c r="E41" s="33" t="s">
        <v>307</v>
      </c>
      <c r="F41" s="33" t="s">
        <v>307</v>
      </c>
      <c r="G41" s="33" t="s">
        <v>307</v>
      </c>
      <c r="H41" s="33" t="s">
        <v>307</v>
      </c>
      <c r="I41" s="33" t="s">
        <v>307</v>
      </c>
      <c r="J41" s="33" t="s">
        <v>307</v>
      </c>
      <c r="K41" s="33" t="s">
        <v>307</v>
      </c>
      <c r="L41" s="33" t="s">
        <v>307</v>
      </c>
      <c r="M41" s="33" t="s">
        <v>307</v>
      </c>
      <c r="N41" s="33" t="s">
        <v>307</v>
      </c>
      <c r="O41" s="33" t="s">
        <v>307</v>
      </c>
      <c r="P41" s="33" t="s">
        <v>307</v>
      </c>
      <c r="Q41" s="148" t="s">
        <v>307</v>
      </c>
      <c r="R41" s="33" t="s">
        <v>307</v>
      </c>
      <c r="S41" s="33" t="s">
        <v>307</v>
      </c>
      <c r="T41" s="33" t="s">
        <v>307</v>
      </c>
      <c r="U41" s="33" t="s">
        <v>307</v>
      </c>
      <c r="V41" s="33" t="s">
        <v>307</v>
      </c>
      <c r="W41" s="33" t="s">
        <v>307</v>
      </c>
      <c r="X41" s="33" t="s">
        <v>307</v>
      </c>
      <c r="Y41" s="33" t="s">
        <v>307</v>
      </c>
      <c r="Z41" s="33" t="s">
        <v>307</v>
      </c>
      <c r="AA41" s="33" t="s">
        <v>307</v>
      </c>
      <c r="AB41" s="33" t="s">
        <v>307</v>
      </c>
      <c r="AC41" s="33" t="s">
        <v>307</v>
      </c>
      <c r="AD41" s="33" t="s">
        <v>307</v>
      </c>
      <c r="AE41" s="33" t="s">
        <v>307</v>
      </c>
      <c r="AF41" s="6">
        <v>1037</v>
      </c>
      <c r="AG41" s="6"/>
      <c r="AH41" s="35">
        <f t="shared" si="0"/>
        <v>394</v>
      </c>
      <c r="AI41" s="6">
        <v>1415</v>
      </c>
      <c r="AJ41" s="6"/>
      <c r="AK41" s="35">
        <f t="shared" si="1"/>
        <v>378</v>
      </c>
      <c r="AL41" s="35">
        <v>242</v>
      </c>
      <c r="AM41" s="35">
        <v>1560</v>
      </c>
      <c r="AN41" s="35">
        <f t="shared" si="2"/>
        <v>387</v>
      </c>
      <c r="AO41" s="6">
        <v>631</v>
      </c>
      <c r="AP41" s="6"/>
      <c r="AQ41" s="35">
        <f t="shared" si="3"/>
        <v>389</v>
      </c>
      <c r="AR41" s="6">
        <v>1017</v>
      </c>
      <c r="AS41" s="6"/>
      <c r="AT41" s="34">
        <f t="shared" si="4"/>
        <v>386</v>
      </c>
      <c r="AU41" s="35">
        <v>1387</v>
      </c>
      <c r="AV41" s="35"/>
      <c r="AW41" s="35">
        <f t="shared" si="5"/>
        <v>370</v>
      </c>
      <c r="AX41" s="6"/>
      <c r="AY41" s="6"/>
      <c r="AZ41" s="35"/>
      <c r="BA41" s="6">
        <v>212</v>
      </c>
      <c r="BB41" s="6">
        <v>1562</v>
      </c>
      <c r="BC41" s="35">
        <f t="shared" si="6"/>
        <v>387</v>
      </c>
      <c r="BD41" s="35">
        <v>604</v>
      </c>
      <c r="BE41" s="35"/>
      <c r="BF41" s="35">
        <f t="shared" si="7"/>
        <v>392</v>
      </c>
      <c r="BG41" s="6">
        <v>996</v>
      </c>
      <c r="BH41" s="6"/>
      <c r="BI41" s="35">
        <f t="shared" si="8"/>
        <v>392</v>
      </c>
      <c r="BJ41" s="6">
        <v>1390</v>
      </c>
      <c r="BK41" s="6"/>
      <c r="BL41" s="35">
        <f t="shared" si="9"/>
        <v>394</v>
      </c>
      <c r="BM41" s="6">
        <v>0</v>
      </c>
      <c r="BN41" s="6">
        <v>1653</v>
      </c>
      <c r="BO41" s="6">
        <f t="shared" si="10"/>
        <v>263</v>
      </c>
      <c r="BP41" s="6">
        <v>337</v>
      </c>
      <c r="BQ41" s="6"/>
      <c r="BR41" s="6">
        <f t="shared" si="11"/>
        <v>337</v>
      </c>
      <c r="BS41" s="6"/>
      <c r="BT41" s="6"/>
      <c r="BU41" s="35"/>
      <c r="BV41" s="6">
        <v>713</v>
      </c>
      <c r="BW41" s="6"/>
      <c r="BX41" s="6">
        <f t="shared" si="12"/>
        <v>376</v>
      </c>
      <c r="BY41" s="6">
        <v>1087</v>
      </c>
      <c r="BZ41" s="6"/>
      <c r="CA41" s="35">
        <f t="shared" si="13"/>
        <v>374</v>
      </c>
      <c r="CB41" s="6">
        <v>1468</v>
      </c>
      <c r="CC41" s="6"/>
      <c r="CD41" s="6">
        <f t="shared" si="14"/>
        <v>381</v>
      </c>
      <c r="CE41" s="6">
        <v>0</v>
      </c>
      <c r="CF41" s="6">
        <v>1785</v>
      </c>
      <c r="CG41" s="6">
        <f t="shared" si="15"/>
        <v>317</v>
      </c>
      <c r="CH41" s="6">
        <v>0</v>
      </c>
      <c r="CI41" s="6"/>
      <c r="CJ41" s="6">
        <f t="shared" si="16"/>
        <v>0</v>
      </c>
      <c r="CK41" s="6">
        <v>8</v>
      </c>
      <c r="CL41" s="6"/>
      <c r="CM41" s="6">
        <f t="shared" si="17"/>
        <v>8</v>
      </c>
      <c r="CN41" s="6"/>
      <c r="CO41" s="6"/>
      <c r="CP41" s="6"/>
      <c r="CQ41" s="6">
        <v>388</v>
      </c>
      <c r="CR41" s="6"/>
      <c r="CS41" s="6">
        <f t="shared" si="18"/>
        <v>380</v>
      </c>
      <c r="CT41" s="6">
        <v>760</v>
      </c>
      <c r="CU41" s="6"/>
      <c r="CV41" s="6">
        <f t="shared" si="19"/>
        <v>372</v>
      </c>
      <c r="CW41" s="6">
        <v>254</v>
      </c>
      <c r="CX41" s="6">
        <v>874</v>
      </c>
      <c r="CY41" s="6">
        <f t="shared" si="20"/>
        <v>368</v>
      </c>
      <c r="CZ41" s="6">
        <v>620</v>
      </c>
      <c r="DA41" s="6"/>
      <c r="DB41" s="6">
        <f t="shared" si="21"/>
        <v>366</v>
      </c>
      <c r="DC41" s="6">
        <v>984</v>
      </c>
      <c r="DD41" s="6"/>
      <c r="DE41" s="6">
        <f t="shared" si="22"/>
        <v>364</v>
      </c>
      <c r="DF41" s="6">
        <v>1341</v>
      </c>
      <c r="DG41" s="6"/>
      <c r="DH41" s="6">
        <f t="shared" si="23"/>
        <v>357</v>
      </c>
      <c r="DI41" s="6"/>
      <c r="DJ41" s="6"/>
      <c r="DK41" s="6"/>
      <c r="DL41" s="6">
        <v>0</v>
      </c>
      <c r="DM41" s="6">
        <v>1560</v>
      </c>
      <c r="DN41" s="6">
        <f t="shared" si="24"/>
        <v>219</v>
      </c>
      <c r="DO41" s="6">
        <v>0</v>
      </c>
      <c r="DP41" s="6"/>
      <c r="DQ41" s="6">
        <f t="shared" si="25"/>
        <v>0</v>
      </c>
    </row>
    <row r="42" spans="1:121">
      <c r="A42" s="6">
        <v>38</v>
      </c>
      <c r="B42" s="6">
        <v>694</v>
      </c>
      <c r="C42" s="6"/>
      <c r="D42" s="6">
        <v>337</v>
      </c>
      <c r="E42" s="33" t="s">
        <v>307</v>
      </c>
      <c r="F42" s="33" t="s">
        <v>307</v>
      </c>
      <c r="G42" s="33" t="s">
        <v>307</v>
      </c>
      <c r="H42" s="33" t="s">
        <v>307</v>
      </c>
      <c r="I42" s="33" t="s">
        <v>307</v>
      </c>
      <c r="J42" s="33" t="s">
        <v>307</v>
      </c>
      <c r="K42" s="33" t="s">
        <v>307</v>
      </c>
      <c r="L42" s="33" t="s">
        <v>307</v>
      </c>
      <c r="M42" s="33" t="s">
        <v>307</v>
      </c>
      <c r="N42" s="33" t="s">
        <v>307</v>
      </c>
      <c r="O42" s="33" t="s">
        <v>307</v>
      </c>
      <c r="P42" s="33" t="s">
        <v>307</v>
      </c>
      <c r="Q42" s="33" t="s">
        <v>307</v>
      </c>
      <c r="R42" s="33" t="s">
        <v>307</v>
      </c>
      <c r="S42" s="33" t="s">
        <v>307</v>
      </c>
      <c r="T42" s="33" t="s">
        <v>307</v>
      </c>
      <c r="U42" s="148" t="s">
        <v>307</v>
      </c>
      <c r="V42" s="33" t="s">
        <v>307</v>
      </c>
      <c r="W42" s="33" t="s">
        <v>307</v>
      </c>
      <c r="X42" s="33" t="s">
        <v>307</v>
      </c>
      <c r="Y42" s="33" t="s">
        <v>307</v>
      </c>
      <c r="Z42" s="33" t="s">
        <v>307</v>
      </c>
      <c r="AA42" s="33" t="s">
        <v>307</v>
      </c>
      <c r="AB42" s="33" t="s">
        <v>307</v>
      </c>
      <c r="AC42" s="33" t="s">
        <v>307</v>
      </c>
      <c r="AD42" s="33" t="s">
        <v>307</v>
      </c>
      <c r="AE42" s="33" t="s">
        <v>307</v>
      </c>
      <c r="AF42" s="6">
        <v>1102</v>
      </c>
      <c r="AG42" s="6"/>
      <c r="AH42" s="35">
        <f t="shared" si="0"/>
        <v>408</v>
      </c>
      <c r="AI42" s="6">
        <v>1474</v>
      </c>
      <c r="AJ42" s="6"/>
      <c r="AK42" s="35">
        <f t="shared" si="1"/>
        <v>372</v>
      </c>
      <c r="AL42" s="35">
        <v>299</v>
      </c>
      <c r="AM42" s="35">
        <v>1560</v>
      </c>
      <c r="AN42" s="35">
        <f t="shared" si="2"/>
        <v>385</v>
      </c>
      <c r="AO42" s="6">
        <v>685</v>
      </c>
      <c r="AP42" s="6"/>
      <c r="AQ42" s="35">
        <f t="shared" si="3"/>
        <v>386</v>
      </c>
      <c r="AR42" s="6">
        <v>1071</v>
      </c>
      <c r="AS42" s="6"/>
      <c r="AT42" s="34">
        <f t="shared" si="4"/>
        <v>386</v>
      </c>
      <c r="AU42" s="35">
        <v>1438</v>
      </c>
      <c r="AV42" s="35"/>
      <c r="AW42" s="35">
        <f t="shared" si="5"/>
        <v>367</v>
      </c>
      <c r="AX42" s="6"/>
      <c r="AY42" s="6"/>
      <c r="AZ42" s="35"/>
      <c r="BA42" s="6">
        <v>263</v>
      </c>
      <c r="BB42" s="6">
        <v>1560</v>
      </c>
      <c r="BC42" s="35">
        <f t="shared" si="6"/>
        <v>385</v>
      </c>
      <c r="BD42" s="35">
        <v>644</v>
      </c>
      <c r="BE42" s="35"/>
      <c r="BF42" s="35">
        <f t="shared" si="7"/>
        <v>381</v>
      </c>
      <c r="BG42" s="6">
        <v>1027</v>
      </c>
      <c r="BH42" s="6"/>
      <c r="BI42" s="35">
        <f t="shared" si="8"/>
        <v>383</v>
      </c>
      <c r="BJ42" s="6">
        <v>1415</v>
      </c>
      <c r="BK42" s="6"/>
      <c r="BL42" s="35">
        <f t="shared" si="9"/>
        <v>388</v>
      </c>
      <c r="BM42" s="6">
        <v>1800</v>
      </c>
      <c r="BN42" s="6"/>
      <c r="BO42" s="6">
        <f t="shared" si="10"/>
        <v>385</v>
      </c>
      <c r="BP42" s="6">
        <v>343</v>
      </c>
      <c r="BQ42" s="6">
        <v>1820</v>
      </c>
      <c r="BR42" s="6">
        <f t="shared" si="11"/>
        <v>363</v>
      </c>
      <c r="BS42" s="6"/>
      <c r="BT42" s="6"/>
      <c r="BU42" s="35"/>
      <c r="BV42" s="6">
        <v>722</v>
      </c>
      <c r="BW42" s="6"/>
      <c r="BX42" s="6">
        <f t="shared" si="12"/>
        <v>379</v>
      </c>
      <c r="BY42" s="6">
        <v>1086</v>
      </c>
      <c r="BZ42" s="6"/>
      <c r="CA42" s="35">
        <f t="shared" si="13"/>
        <v>364</v>
      </c>
      <c r="CB42" s="35">
        <v>0</v>
      </c>
      <c r="CC42" s="6">
        <v>1380</v>
      </c>
      <c r="CD42" s="6">
        <f t="shared" si="14"/>
        <v>294</v>
      </c>
      <c r="CE42" s="6">
        <v>0</v>
      </c>
      <c r="CF42" s="6"/>
      <c r="CG42" s="6">
        <f t="shared" si="15"/>
        <v>0</v>
      </c>
      <c r="CH42" s="6">
        <v>0</v>
      </c>
      <c r="CI42" s="6"/>
      <c r="CJ42" s="6">
        <f t="shared" si="16"/>
        <v>0</v>
      </c>
      <c r="CK42" s="6">
        <v>12</v>
      </c>
      <c r="CL42" s="6"/>
      <c r="CM42" s="6">
        <f t="shared" si="17"/>
        <v>12</v>
      </c>
      <c r="CN42" s="6"/>
      <c r="CO42" s="6"/>
      <c r="CP42" s="6"/>
      <c r="CQ42" s="6">
        <v>397</v>
      </c>
      <c r="CR42" s="6"/>
      <c r="CS42" s="6">
        <f t="shared" si="18"/>
        <v>385</v>
      </c>
      <c r="CT42" s="6">
        <v>771</v>
      </c>
      <c r="CU42" s="6"/>
      <c r="CV42" s="6">
        <f t="shared" si="19"/>
        <v>374</v>
      </c>
      <c r="CW42" s="6">
        <v>1151</v>
      </c>
      <c r="CX42" s="6"/>
      <c r="CY42" s="6">
        <f t="shared" si="20"/>
        <v>380</v>
      </c>
      <c r="CZ42" s="6">
        <v>1531</v>
      </c>
      <c r="DA42" s="6"/>
      <c r="DB42" s="6">
        <f t="shared" si="21"/>
        <v>380</v>
      </c>
      <c r="DC42" s="6">
        <v>321</v>
      </c>
      <c r="DD42" s="6">
        <v>1592</v>
      </c>
      <c r="DE42" s="6">
        <f t="shared" si="22"/>
        <v>382</v>
      </c>
      <c r="DF42" s="6">
        <v>679</v>
      </c>
      <c r="DG42" s="6"/>
      <c r="DH42" s="6">
        <f t="shared" si="23"/>
        <v>358</v>
      </c>
      <c r="DI42" s="6"/>
      <c r="DJ42" s="6"/>
      <c r="DK42" s="6"/>
      <c r="DL42" s="6">
        <v>1069</v>
      </c>
      <c r="DM42" s="6"/>
      <c r="DN42" s="6">
        <f t="shared" si="24"/>
        <v>390</v>
      </c>
      <c r="DO42" s="6">
        <v>1434</v>
      </c>
      <c r="DP42" s="6"/>
      <c r="DQ42" s="6">
        <f t="shared" si="25"/>
        <v>365</v>
      </c>
    </row>
    <row r="43" spans="1:121">
      <c r="A43" s="6">
        <v>39</v>
      </c>
      <c r="B43" s="6">
        <v>252</v>
      </c>
      <c r="C43" s="6">
        <v>1560</v>
      </c>
      <c r="D43" s="6">
        <v>351</v>
      </c>
      <c r="E43" s="33" t="s">
        <v>307</v>
      </c>
      <c r="F43" s="33" t="s">
        <v>307</v>
      </c>
      <c r="G43" s="33" t="s">
        <v>307</v>
      </c>
      <c r="H43" s="33" t="s">
        <v>307</v>
      </c>
      <c r="I43" s="33" t="s">
        <v>307</v>
      </c>
      <c r="J43" s="33" t="s">
        <v>307</v>
      </c>
      <c r="K43" s="33" t="s">
        <v>307</v>
      </c>
      <c r="L43" s="33" t="s">
        <v>307</v>
      </c>
      <c r="M43" s="33" t="s">
        <v>307</v>
      </c>
      <c r="N43" s="33" t="s">
        <v>307</v>
      </c>
      <c r="O43" s="33" t="s">
        <v>307</v>
      </c>
      <c r="P43" s="33" t="s">
        <v>307</v>
      </c>
      <c r="Q43" s="33" t="s">
        <v>307</v>
      </c>
      <c r="R43" s="148" t="s">
        <v>307</v>
      </c>
      <c r="S43" s="33" t="s">
        <v>307</v>
      </c>
      <c r="T43" s="33" t="s">
        <v>307</v>
      </c>
      <c r="U43" s="33" t="s">
        <v>307</v>
      </c>
      <c r="V43" s="33" t="s">
        <v>307</v>
      </c>
      <c r="W43" s="33" t="s">
        <v>307</v>
      </c>
      <c r="X43" s="33" t="s">
        <v>307</v>
      </c>
      <c r="Y43" s="33" t="s">
        <v>307</v>
      </c>
      <c r="Z43" s="33" t="s">
        <v>307</v>
      </c>
      <c r="AA43" s="33" t="s">
        <v>307</v>
      </c>
      <c r="AB43" s="33" t="s">
        <v>307</v>
      </c>
      <c r="AC43" s="33" t="s">
        <v>307</v>
      </c>
      <c r="AD43" s="33" t="s">
        <v>307</v>
      </c>
      <c r="AE43" s="33" t="s">
        <v>307</v>
      </c>
      <c r="AF43" s="6">
        <v>662</v>
      </c>
      <c r="AG43" s="6"/>
      <c r="AH43" s="35">
        <f t="shared" si="0"/>
        <v>410</v>
      </c>
      <c r="AI43" s="6">
        <v>1036</v>
      </c>
      <c r="AJ43" s="6"/>
      <c r="AK43" s="35">
        <f t="shared" si="1"/>
        <v>374</v>
      </c>
      <c r="AL43" s="35">
        <v>1414</v>
      </c>
      <c r="AM43" s="35"/>
      <c r="AN43" s="35">
        <f t="shared" si="2"/>
        <v>378</v>
      </c>
      <c r="AO43" s="6">
        <v>226</v>
      </c>
      <c r="AP43" s="6">
        <v>1561</v>
      </c>
      <c r="AQ43" s="35">
        <f t="shared" si="3"/>
        <v>373</v>
      </c>
      <c r="AR43" s="6">
        <v>613</v>
      </c>
      <c r="AS43" s="6"/>
      <c r="AT43" s="34">
        <f t="shared" si="4"/>
        <v>387</v>
      </c>
      <c r="AU43" s="35">
        <v>977</v>
      </c>
      <c r="AV43" s="35"/>
      <c r="AW43" s="35">
        <f t="shared" si="5"/>
        <v>364</v>
      </c>
      <c r="AX43" s="6"/>
      <c r="AY43" s="6"/>
      <c r="AZ43" s="35"/>
      <c r="BA43" s="6">
        <v>1366</v>
      </c>
      <c r="BB43" s="6"/>
      <c r="BC43" s="35">
        <f t="shared" si="6"/>
        <v>389</v>
      </c>
      <c r="BD43" s="35">
        <v>189</v>
      </c>
      <c r="BE43" s="35">
        <v>1561</v>
      </c>
      <c r="BF43" s="35">
        <f t="shared" si="7"/>
        <v>384</v>
      </c>
      <c r="BG43" s="6">
        <v>568</v>
      </c>
      <c r="BH43" s="6"/>
      <c r="BI43" s="35">
        <f t="shared" si="8"/>
        <v>379</v>
      </c>
      <c r="BJ43" s="6">
        <v>955</v>
      </c>
      <c r="BK43" s="6"/>
      <c r="BL43" s="35">
        <f t="shared" si="9"/>
        <v>387</v>
      </c>
      <c r="BM43" s="6">
        <v>1335</v>
      </c>
      <c r="BN43" s="6"/>
      <c r="BO43" s="6">
        <f t="shared" si="10"/>
        <v>380</v>
      </c>
      <c r="BP43" s="6">
        <v>0</v>
      </c>
      <c r="BQ43" s="6">
        <v>1606</v>
      </c>
      <c r="BR43" s="6">
        <f t="shared" si="11"/>
        <v>271</v>
      </c>
      <c r="BS43" s="6"/>
      <c r="BT43" s="6"/>
      <c r="BU43" s="35"/>
      <c r="BV43" s="6">
        <v>0</v>
      </c>
      <c r="BW43" s="6"/>
      <c r="BX43" s="6">
        <f t="shared" si="12"/>
        <v>0</v>
      </c>
      <c r="BY43" s="6">
        <v>0</v>
      </c>
      <c r="BZ43" s="6"/>
      <c r="CA43" s="35">
        <f t="shared" si="13"/>
        <v>0</v>
      </c>
      <c r="CB43" s="6">
        <v>0</v>
      </c>
      <c r="CC43" s="6"/>
      <c r="CD43" s="6">
        <f t="shared" si="14"/>
        <v>0</v>
      </c>
      <c r="CE43" s="6">
        <v>0</v>
      </c>
      <c r="CF43" s="6"/>
      <c r="CG43" s="6">
        <f t="shared" si="15"/>
        <v>0</v>
      </c>
      <c r="CH43" s="6">
        <v>0</v>
      </c>
      <c r="CI43" s="6"/>
      <c r="CJ43" s="6">
        <f t="shared" si="16"/>
        <v>0</v>
      </c>
      <c r="CK43" s="6">
        <v>9</v>
      </c>
      <c r="CL43" s="6"/>
      <c r="CM43" s="6">
        <f t="shared" si="17"/>
        <v>9</v>
      </c>
      <c r="CN43" s="6"/>
      <c r="CO43" s="6"/>
      <c r="CP43" s="6"/>
      <c r="CQ43" s="6">
        <v>391</v>
      </c>
      <c r="CR43" s="6"/>
      <c r="CS43" s="6">
        <f t="shared" si="18"/>
        <v>382</v>
      </c>
      <c r="CT43" s="6">
        <v>766</v>
      </c>
      <c r="CU43" s="6"/>
      <c r="CV43" s="6">
        <f t="shared" si="19"/>
        <v>375</v>
      </c>
      <c r="CW43" s="6">
        <v>1134</v>
      </c>
      <c r="CX43" s="6"/>
      <c r="CY43" s="6">
        <f t="shared" si="20"/>
        <v>368</v>
      </c>
      <c r="CZ43" s="6">
        <v>1513</v>
      </c>
      <c r="DA43" s="6"/>
      <c r="DB43" s="6">
        <f t="shared" si="21"/>
        <v>379</v>
      </c>
      <c r="DC43" s="6">
        <v>67</v>
      </c>
      <c r="DD43" s="6">
        <v>1820</v>
      </c>
      <c r="DE43" s="6">
        <f t="shared" si="22"/>
        <v>374</v>
      </c>
      <c r="DF43" s="6">
        <v>430</v>
      </c>
      <c r="DG43" s="6"/>
      <c r="DH43" s="6">
        <f t="shared" si="23"/>
        <v>363</v>
      </c>
      <c r="DI43" s="6"/>
      <c r="DJ43" s="6"/>
      <c r="DK43" s="6"/>
      <c r="DL43" s="6">
        <v>819</v>
      </c>
      <c r="DM43" s="6"/>
      <c r="DN43" s="6">
        <f t="shared" si="24"/>
        <v>389</v>
      </c>
      <c r="DO43" s="6">
        <v>1180</v>
      </c>
      <c r="DP43" s="6"/>
      <c r="DQ43" s="6">
        <f t="shared" si="25"/>
        <v>361</v>
      </c>
    </row>
    <row r="44" spans="1:121">
      <c r="A44" s="6">
        <v>40</v>
      </c>
      <c r="B44" s="6">
        <v>302</v>
      </c>
      <c r="C44" s="6"/>
      <c r="D44" s="6">
        <v>302</v>
      </c>
      <c r="E44" s="289" t="s">
        <v>37</v>
      </c>
      <c r="F44" s="290" t="s">
        <v>37</v>
      </c>
      <c r="G44" s="290" t="s">
        <v>37</v>
      </c>
      <c r="H44" s="290" t="s">
        <v>37</v>
      </c>
      <c r="I44" s="290" t="s">
        <v>37</v>
      </c>
      <c r="J44" s="290" t="s">
        <v>37</v>
      </c>
      <c r="K44" s="290" t="s">
        <v>37</v>
      </c>
      <c r="L44" s="290" t="s">
        <v>37</v>
      </c>
      <c r="M44" s="290" t="s">
        <v>37</v>
      </c>
      <c r="N44" s="290" t="s">
        <v>37</v>
      </c>
      <c r="O44" s="290" t="s">
        <v>37</v>
      </c>
      <c r="P44" s="290" t="s">
        <v>37</v>
      </c>
      <c r="Q44" s="290" t="s">
        <v>37</v>
      </c>
      <c r="R44" s="290" t="s">
        <v>37</v>
      </c>
      <c r="S44" s="290" t="s">
        <v>37</v>
      </c>
      <c r="T44" s="290" t="s">
        <v>37</v>
      </c>
      <c r="U44" s="290" t="s">
        <v>37</v>
      </c>
      <c r="V44" s="290" t="s">
        <v>37</v>
      </c>
      <c r="W44" s="290" t="s">
        <v>37</v>
      </c>
      <c r="X44" s="290" t="s">
        <v>37</v>
      </c>
      <c r="Y44" s="290" t="s">
        <v>37</v>
      </c>
      <c r="Z44" s="289" t="s">
        <v>37</v>
      </c>
      <c r="AA44" s="290" t="s">
        <v>37</v>
      </c>
      <c r="AB44" s="290" t="s">
        <v>37</v>
      </c>
      <c r="AC44" s="290" t="s">
        <v>37</v>
      </c>
      <c r="AD44" s="290" t="s">
        <v>37</v>
      </c>
      <c r="AE44" s="290" t="s">
        <v>37</v>
      </c>
      <c r="AF44" s="6">
        <v>691</v>
      </c>
      <c r="AG44" s="6"/>
      <c r="AH44" s="35">
        <f t="shared" si="0"/>
        <v>389</v>
      </c>
      <c r="AI44" s="6">
        <v>1061</v>
      </c>
      <c r="AJ44" s="6"/>
      <c r="AK44" s="35">
        <f t="shared" si="1"/>
        <v>370</v>
      </c>
      <c r="AL44" s="35">
        <v>355</v>
      </c>
      <c r="AM44" s="35">
        <v>1085</v>
      </c>
      <c r="AN44" s="35">
        <f t="shared" si="2"/>
        <v>379</v>
      </c>
      <c r="AO44" s="6">
        <v>735</v>
      </c>
      <c r="AP44" s="6"/>
      <c r="AQ44" s="35">
        <f t="shared" si="3"/>
        <v>380</v>
      </c>
      <c r="AR44" s="6">
        <f>374+734</f>
        <v>1108</v>
      </c>
      <c r="AS44" s="6"/>
      <c r="AT44" s="34">
        <f t="shared" si="4"/>
        <v>373</v>
      </c>
      <c r="AU44" s="35">
        <f>731+734</f>
        <v>1465</v>
      </c>
      <c r="AV44" s="35"/>
      <c r="AW44" s="35">
        <f t="shared" si="5"/>
        <v>357</v>
      </c>
      <c r="AX44" s="6"/>
      <c r="AY44" s="6"/>
      <c r="AZ44" s="35"/>
      <c r="BA44" s="6">
        <v>290</v>
      </c>
      <c r="BB44" s="6">
        <v>1560</v>
      </c>
      <c r="BC44" s="35">
        <f t="shared" si="6"/>
        <v>385</v>
      </c>
      <c r="BD44" s="35">
        <v>667</v>
      </c>
      <c r="BE44" s="35"/>
      <c r="BF44" s="35">
        <f t="shared" si="7"/>
        <v>377</v>
      </c>
      <c r="BG44" s="6">
        <v>1046</v>
      </c>
      <c r="BH44" s="6"/>
      <c r="BI44" s="35">
        <f t="shared" si="8"/>
        <v>379</v>
      </c>
      <c r="BJ44" s="6">
        <v>1426</v>
      </c>
      <c r="BK44" s="6"/>
      <c r="BL44" s="35">
        <f t="shared" si="9"/>
        <v>380</v>
      </c>
      <c r="BM44" s="6">
        <v>246</v>
      </c>
      <c r="BN44" s="6">
        <v>1560</v>
      </c>
      <c r="BO44" s="6">
        <f t="shared" si="10"/>
        <v>380</v>
      </c>
      <c r="BP44" s="6">
        <v>602</v>
      </c>
      <c r="BQ44" s="6"/>
      <c r="BR44" s="6">
        <f t="shared" si="11"/>
        <v>356</v>
      </c>
      <c r="BS44" s="6"/>
      <c r="BT44" s="6"/>
      <c r="BU44" s="35"/>
      <c r="BV44" s="6">
        <v>976</v>
      </c>
      <c r="BW44" s="6"/>
      <c r="BX44" s="6">
        <f t="shared" si="12"/>
        <v>374</v>
      </c>
      <c r="BY44" s="6">
        <v>1355</v>
      </c>
      <c r="BZ44" s="6"/>
      <c r="CA44" s="35">
        <f t="shared" si="13"/>
        <v>379</v>
      </c>
      <c r="CB44" s="6">
        <v>174</v>
      </c>
      <c r="CC44" s="6">
        <v>1560</v>
      </c>
      <c r="CD44" s="6">
        <f t="shared" si="14"/>
        <v>379</v>
      </c>
      <c r="CE44" s="6">
        <v>553</v>
      </c>
      <c r="CF44" s="6"/>
      <c r="CG44" s="6">
        <f t="shared" si="15"/>
        <v>379</v>
      </c>
      <c r="CH44" s="6">
        <v>930</v>
      </c>
      <c r="CI44" s="6"/>
      <c r="CJ44" s="6">
        <f t="shared" si="16"/>
        <v>377</v>
      </c>
      <c r="CK44" s="6">
        <v>17</v>
      </c>
      <c r="CL44" s="6">
        <v>1280</v>
      </c>
      <c r="CM44" s="6">
        <f t="shared" si="17"/>
        <v>367</v>
      </c>
      <c r="CN44" s="6"/>
      <c r="CO44" s="6"/>
      <c r="CP44" s="6"/>
      <c r="CQ44" s="6">
        <v>401</v>
      </c>
      <c r="CR44" s="6"/>
      <c r="CS44" s="6">
        <f t="shared" si="18"/>
        <v>384</v>
      </c>
      <c r="CT44" s="6">
        <v>759</v>
      </c>
      <c r="CU44" s="6"/>
      <c r="CV44" s="6">
        <f t="shared" si="19"/>
        <v>358</v>
      </c>
      <c r="CW44" s="6">
        <v>311</v>
      </c>
      <c r="CX44" s="6">
        <v>803</v>
      </c>
      <c r="CY44" s="6">
        <f t="shared" si="20"/>
        <v>355</v>
      </c>
      <c r="CZ44" s="6">
        <v>687</v>
      </c>
      <c r="DA44" s="6"/>
      <c r="DB44" s="6">
        <f t="shared" si="21"/>
        <v>376</v>
      </c>
      <c r="DC44" s="6">
        <v>1063</v>
      </c>
      <c r="DD44" s="6"/>
      <c r="DE44" s="6">
        <f t="shared" si="22"/>
        <v>376</v>
      </c>
      <c r="DF44" s="6">
        <v>1418</v>
      </c>
      <c r="DG44" s="6"/>
      <c r="DH44" s="6">
        <f t="shared" si="23"/>
        <v>355</v>
      </c>
      <c r="DI44" s="6"/>
      <c r="DJ44" s="6"/>
      <c r="DK44" s="6"/>
      <c r="DL44" s="6">
        <v>244</v>
      </c>
      <c r="DM44" s="6">
        <v>1560</v>
      </c>
      <c r="DN44" s="6">
        <f t="shared" si="24"/>
        <v>386</v>
      </c>
      <c r="DO44" s="6">
        <v>606</v>
      </c>
      <c r="DP44" s="6"/>
      <c r="DQ44" s="6">
        <f t="shared" si="25"/>
        <v>362</v>
      </c>
    </row>
    <row r="45" spans="1:121">
      <c r="A45" s="6">
        <v>41</v>
      </c>
      <c r="B45" s="6">
        <v>352</v>
      </c>
      <c r="C45" s="6"/>
      <c r="D45" s="6">
        <v>350</v>
      </c>
      <c r="E45" s="33" t="s">
        <v>37</v>
      </c>
      <c r="F45" s="33" t="s">
        <v>37</v>
      </c>
      <c r="G45" s="33" t="s">
        <v>37</v>
      </c>
      <c r="H45" s="33" t="s">
        <v>37</v>
      </c>
      <c r="I45" s="33" t="s">
        <v>37</v>
      </c>
      <c r="J45" s="33" t="s">
        <v>37</v>
      </c>
      <c r="K45" s="33" t="s">
        <v>37</v>
      </c>
      <c r="L45" s="148" t="s">
        <v>37</v>
      </c>
      <c r="M45" s="33" t="s">
        <v>37</v>
      </c>
      <c r="N45" s="33" t="s">
        <v>37</v>
      </c>
      <c r="O45" s="33" t="s">
        <v>37</v>
      </c>
      <c r="P45" s="33" t="s">
        <v>37</v>
      </c>
      <c r="Q45" s="33" t="s">
        <v>37</v>
      </c>
      <c r="R45" s="33" t="s">
        <v>37</v>
      </c>
      <c r="S45" s="33" t="s">
        <v>37</v>
      </c>
      <c r="T45" s="33" t="s">
        <v>37</v>
      </c>
      <c r="U45" s="33" t="s">
        <v>37</v>
      </c>
      <c r="V45" s="33" t="s">
        <v>37</v>
      </c>
      <c r="W45" s="33" t="s">
        <v>37</v>
      </c>
      <c r="X45" s="33" t="s">
        <v>37</v>
      </c>
      <c r="Y45" s="33" t="s">
        <v>37</v>
      </c>
      <c r="Z45" s="33" t="s">
        <v>37</v>
      </c>
      <c r="AA45" s="33" t="s">
        <v>37</v>
      </c>
      <c r="AB45" s="33" t="s">
        <v>37</v>
      </c>
      <c r="AC45" s="33" t="s">
        <v>37</v>
      </c>
      <c r="AD45" s="33" t="s">
        <v>37</v>
      </c>
      <c r="AE45" s="33" t="s">
        <v>37</v>
      </c>
      <c r="AF45" s="6">
        <v>754</v>
      </c>
      <c r="AG45" s="6"/>
      <c r="AH45" s="35">
        <f t="shared" si="0"/>
        <v>402</v>
      </c>
      <c r="AI45" s="6">
        <v>1127</v>
      </c>
      <c r="AJ45" s="6"/>
      <c r="AK45" s="35">
        <f t="shared" si="1"/>
        <v>373</v>
      </c>
      <c r="AL45" s="35">
        <v>1</v>
      </c>
      <c r="AM45" s="35">
        <v>1511</v>
      </c>
      <c r="AN45" s="35">
        <f t="shared" si="2"/>
        <v>385</v>
      </c>
      <c r="AO45" s="6">
        <v>382</v>
      </c>
      <c r="AP45" s="6"/>
      <c r="AQ45" s="35">
        <f t="shared" si="3"/>
        <v>381</v>
      </c>
      <c r="AR45" s="6">
        <v>759</v>
      </c>
      <c r="AS45" s="6"/>
      <c r="AT45" s="34">
        <f t="shared" si="4"/>
        <v>377</v>
      </c>
      <c r="AU45" s="35">
        <v>0</v>
      </c>
      <c r="AV45" s="35">
        <v>1045</v>
      </c>
      <c r="AW45" s="35">
        <f t="shared" si="5"/>
        <v>286</v>
      </c>
      <c r="AX45" s="6"/>
      <c r="AY45" s="6"/>
      <c r="AZ45" s="35"/>
      <c r="BA45" s="6">
        <v>369</v>
      </c>
      <c r="BB45" s="6"/>
      <c r="BC45" s="35">
        <f t="shared" si="6"/>
        <v>369</v>
      </c>
      <c r="BD45" s="35">
        <v>748</v>
      </c>
      <c r="BE45" s="35"/>
      <c r="BF45" s="35">
        <f t="shared" si="7"/>
        <v>379</v>
      </c>
      <c r="BG45" s="6">
        <v>1129</v>
      </c>
      <c r="BH45" s="6"/>
      <c r="BI45" s="35">
        <f t="shared" si="8"/>
        <v>381</v>
      </c>
      <c r="BJ45" s="6">
        <v>1511</v>
      </c>
      <c r="BK45" s="6"/>
      <c r="BL45" s="35">
        <f t="shared" si="9"/>
        <v>382</v>
      </c>
      <c r="BM45" s="6">
        <v>331</v>
      </c>
      <c r="BN45" s="6">
        <v>1560</v>
      </c>
      <c r="BO45" s="6">
        <f t="shared" si="10"/>
        <v>380</v>
      </c>
      <c r="BP45" s="6">
        <v>697</v>
      </c>
      <c r="BQ45" s="6"/>
      <c r="BR45" s="6">
        <f t="shared" si="11"/>
        <v>366</v>
      </c>
      <c r="BS45" s="6"/>
      <c r="BT45" s="6"/>
      <c r="BU45" s="35"/>
      <c r="BV45" s="6">
        <v>1084</v>
      </c>
      <c r="BW45" s="6"/>
      <c r="BX45" s="6">
        <f t="shared" si="12"/>
        <v>387</v>
      </c>
      <c r="BY45" s="6">
        <v>1465</v>
      </c>
      <c r="BZ45" s="6"/>
      <c r="CA45" s="35">
        <f t="shared" si="13"/>
        <v>381</v>
      </c>
      <c r="CB45" s="6">
        <v>287</v>
      </c>
      <c r="CC45" s="6">
        <v>1560</v>
      </c>
      <c r="CD45" s="6">
        <f t="shared" si="14"/>
        <v>382</v>
      </c>
      <c r="CE45" s="6">
        <v>667</v>
      </c>
      <c r="CF45" s="6"/>
      <c r="CG45" s="6">
        <f t="shared" si="15"/>
        <v>380</v>
      </c>
      <c r="CH45" s="6">
        <v>1047</v>
      </c>
      <c r="CI45" s="6"/>
      <c r="CJ45" s="6">
        <f t="shared" si="16"/>
        <v>380</v>
      </c>
      <c r="CK45" s="6">
        <v>1419</v>
      </c>
      <c r="CL45" s="6"/>
      <c r="CM45" s="6">
        <f t="shared" si="17"/>
        <v>372</v>
      </c>
      <c r="CN45" s="6"/>
      <c r="CO45" s="6"/>
      <c r="CP45" s="6"/>
      <c r="CQ45" s="6">
        <v>380</v>
      </c>
      <c r="CR45" s="6">
        <v>1424</v>
      </c>
      <c r="CS45" s="6">
        <f t="shared" si="18"/>
        <v>385</v>
      </c>
      <c r="CT45" s="6">
        <v>760</v>
      </c>
      <c r="CU45" s="6"/>
      <c r="CV45" s="6">
        <f t="shared" si="19"/>
        <v>380</v>
      </c>
      <c r="CW45" s="6">
        <v>1139</v>
      </c>
      <c r="CX45" s="6"/>
      <c r="CY45" s="6">
        <f t="shared" si="20"/>
        <v>379</v>
      </c>
      <c r="CZ45" s="6">
        <v>1518</v>
      </c>
      <c r="DA45" s="6"/>
      <c r="DB45" s="6">
        <f t="shared" si="21"/>
        <v>379</v>
      </c>
      <c r="DC45" s="6">
        <v>335</v>
      </c>
      <c r="DD45" s="6">
        <v>1565</v>
      </c>
      <c r="DE45" s="6">
        <f t="shared" si="22"/>
        <v>382</v>
      </c>
      <c r="DF45" s="6">
        <v>699</v>
      </c>
      <c r="DG45" s="6"/>
      <c r="DH45" s="6">
        <f t="shared" si="23"/>
        <v>364</v>
      </c>
      <c r="DI45" s="6"/>
      <c r="DJ45" s="6"/>
      <c r="DK45" s="6"/>
      <c r="DL45" s="6">
        <v>1088</v>
      </c>
      <c r="DM45" s="6"/>
      <c r="DN45" s="6">
        <f t="shared" si="24"/>
        <v>389</v>
      </c>
      <c r="DO45" s="6">
        <v>1451</v>
      </c>
      <c r="DP45" s="6"/>
      <c r="DQ45" s="6">
        <f t="shared" si="25"/>
        <v>363</v>
      </c>
    </row>
    <row r="46" spans="1:121">
      <c r="A46" s="6">
        <v>42</v>
      </c>
      <c r="B46" s="6">
        <v>700</v>
      </c>
      <c r="C46" s="6"/>
      <c r="D46" s="6">
        <v>349</v>
      </c>
      <c r="E46" s="33" t="s">
        <v>307</v>
      </c>
      <c r="F46" s="33" t="s">
        <v>307</v>
      </c>
      <c r="G46" s="33" t="s">
        <v>307</v>
      </c>
      <c r="H46" s="33" t="s">
        <v>307</v>
      </c>
      <c r="I46" s="33" t="s">
        <v>307</v>
      </c>
      <c r="J46" s="33" t="s">
        <v>307</v>
      </c>
      <c r="K46" s="33" t="s">
        <v>307</v>
      </c>
      <c r="L46" s="33" t="s">
        <v>307</v>
      </c>
      <c r="M46" s="33" t="s">
        <v>307</v>
      </c>
      <c r="N46" s="33" t="s">
        <v>307</v>
      </c>
      <c r="O46" s="33" t="s">
        <v>307</v>
      </c>
      <c r="P46" s="33" t="s">
        <v>307</v>
      </c>
      <c r="Q46" s="33" t="s">
        <v>307</v>
      </c>
      <c r="R46" s="33" t="s">
        <v>307</v>
      </c>
      <c r="S46" s="33" t="s">
        <v>307</v>
      </c>
      <c r="T46" s="33" t="s">
        <v>307</v>
      </c>
      <c r="U46" s="148" t="s">
        <v>307</v>
      </c>
      <c r="V46" s="33" t="s">
        <v>307</v>
      </c>
      <c r="W46" s="33" t="s">
        <v>307</v>
      </c>
      <c r="X46" s="33" t="s">
        <v>307</v>
      </c>
      <c r="Y46" s="33" t="s">
        <v>307</v>
      </c>
      <c r="Z46" s="33" t="s">
        <v>307</v>
      </c>
      <c r="AA46" s="33" t="s">
        <v>307</v>
      </c>
      <c r="AB46" s="33" t="s">
        <v>307</v>
      </c>
      <c r="AC46" s="33" t="s">
        <v>307</v>
      </c>
      <c r="AD46" s="33" t="s">
        <v>307</v>
      </c>
      <c r="AE46" s="33" t="s">
        <v>307</v>
      </c>
      <c r="AF46" s="6">
        <v>1086</v>
      </c>
      <c r="AG46" s="6"/>
      <c r="AH46" s="35">
        <f t="shared" si="0"/>
        <v>386</v>
      </c>
      <c r="AI46" s="6">
        <v>1452</v>
      </c>
      <c r="AJ46" s="6"/>
      <c r="AK46" s="35">
        <f t="shared" si="1"/>
        <v>366</v>
      </c>
      <c r="AL46" s="35">
        <v>267</v>
      </c>
      <c r="AM46" s="35">
        <v>1561</v>
      </c>
      <c r="AN46" s="35">
        <f t="shared" si="2"/>
        <v>376</v>
      </c>
      <c r="AO46" s="6">
        <v>645</v>
      </c>
      <c r="AP46" s="6"/>
      <c r="AQ46" s="35">
        <f t="shared" si="3"/>
        <v>378</v>
      </c>
      <c r="AR46" s="6">
        <v>1023</v>
      </c>
      <c r="AS46" s="6"/>
      <c r="AT46" s="34">
        <f t="shared" si="4"/>
        <v>378</v>
      </c>
      <c r="AU46" s="35">
        <v>1381</v>
      </c>
      <c r="AV46" s="35"/>
      <c r="AW46" s="35">
        <f t="shared" si="5"/>
        <v>358</v>
      </c>
      <c r="AX46" s="35"/>
      <c r="AY46" s="6"/>
      <c r="AZ46" s="35"/>
      <c r="BA46" s="6">
        <v>205</v>
      </c>
      <c r="BB46" s="6">
        <v>1561</v>
      </c>
      <c r="BC46" s="35">
        <f t="shared" si="6"/>
        <v>385</v>
      </c>
      <c r="BD46" s="35">
        <v>587</v>
      </c>
      <c r="BE46" s="35"/>
      <c r="BF46" s="35">
        <f t="shared" si="7"/>
        <v>382</v>
      </c>
      <c r="BG46" s="6">
        <v>969</v>
      </c>
      <c r="BH46" s="6"/>
      <c r="BI46" s="35">
        <f t="shared" si="8"/>
        <v>382</v>
      </c>
      <c r="BJ46" s="6">
        <v>1351</v>
      </c>
      <c r="BK46" s="6"/>
      <c r="BL46" s="35">
        <f t="shared" si="9"/>
        <v>382</v>
      </c>
      <c r="BM46" s="6">
        <v>1736</v>
      </c>
      <c r="BN46" s="6"/>
      <c r="BO46" s="6">
        <f t="shared" si="10"/>
        <v>385</v>
      </c>
      <c r="BP46" s="6">
        <v>282</v>
      </c>
      <c r="BQ46" s="6">
        <v>1820</v>
      </c>
      <c r="BR46" s="6">
        <f t="shared" si="11"/>
        <v>366</v>
      </c>
      <c r="BS46" s="6"/>
      <c r="BT46" s="6"/>
      <c r="BU46" s="35"/>
      <c r="BV46" s="6">
        <v>665</v>
      </c>
      <c r="BW46" s="6"/>
      <c r="BX46" s="6">
        <f t="shared" si="12"/>
        <v>383</v>
      </c>
      <c r="BY46" s="6">
        <v>1044</v>
      </c>
      <c r="BZ46" s="6"/>
      <c r="CA46" s="35">
        <f t="shared" si="13"/>
        <v>379</v>
      </c>
      <c r="CB46" s="6">
        <v>0</v>
      </c>
      <c r="CC46" s="6">
        <v>1360</v>
      </c>
      <c r="CD46" s="6">
        <f t="shared" si="14"/>
        <v>316</v>
      </c>
      <c r="CE46" s="6">
        <v>0</v>
      </c>
      <c r="CF46" s="6"/>
      <c r="CG46" s="6">
        <f t="shared" si="15"/>
        <v>0</v>
      </c>
      <c r="CH46" s="6">
        <v>0</v>
      </c>
      <c r="CI46" s="6"/>
      <c r="CJ46" s="6">
        <f t="shared" si="16"/>
        <v>0</v>
      </c>
      <c r="CK46" s="6">
        <v>13</v>
      </c>
      <c r="CL46" s="6"/>
      <c r="CM46" s="6">
        <f t="shared" si="17"/>
        <v>13</v>
      </c>
      <c r="CN46" s="6"/>
      <c r="CO46" s="6"/>
      <c r="CP46" s="6"/>
      <c r="CQ46" s="6">
        <v>400</v>
      </c>
      <c r="CR46" s="6"/>
      <c r="CS46" s="6">
        <f t="shared" si="18"/>
        <v>387</v>
      </c>
      <c r="CT46" s="6">
        <v>779</v>
      </c>
      <c r="CU46" s="6"/>
      <c r="CV46" s="6">
        <f t="shared" si="19"/>
        <v>379</v>
      </c>
      <c r="CW46" s="6">
        <v>1160</v>
      </c>
      <c r="CX46" s="6"/>
      <c r="CY46" s="6">
        <f t="shared" si="20"/>
        <v>381</v>
      </c>
      <c r="CZ46" s="6">
        <v>1536</v>
      </c>
      <c r="DA46" s="6"/>
      <c r="DB46" s="6">
        <f t="shared" si="21"/>
        <v>376</v>
      </c>
      <c r="DC46" s="6">
        <v>357</v>
      </c>
      <c r="DD46" s="6">
        <v>1560</v>
      </c>
      <c r="DE46" s="6">
        <f t="shared" si="22"/>
        <v>381</v>
      </c>
      <c r="DF46" s="6">
        <v>721</v>
      </c>
      <c r="DG46" s="6"/>
      <c r="DH46" s="6">
        <f t="shared" si="23"/>
        <v>364</v>
      </c>
      <c r="DI46" s="6"/>
      <c r="DJ46" s="6"/>
      <c r="DK46" s="6"/>
      <c r="DL46" s="6">
        <v>1111</v>
      </c>
      <c r="DM46" s="6"/>
      <c r="DN46" s="6">
        <f t="shared" si="24"/>
        <v>390</v>
      </c>
      <c r="DO46" s="6">
        <v>1474</v>
      </c>
      <c r="DP46" s="6"/>
      <c r="DQ46" s="6">
        <f t="shared" si="25"/>
        <v>363</v>
      </c>
    </row>
    <row r="47" spans="1:121">
      <c r="A47" s="6">
        <v>43</v>
      </c>
      <c r="B47" s="6">
        <v>1525</v>
      </c>
      <c r="C47" s="6"/>
      <c r="D47" s="6">
        <v>347</v>
      </c>
      <c r="E47" s="33" t="s">
        <v>37</v>
      </c>
      <c r="F47" s="33" t="s">
        <v>37</v>
      </c>
      <c r="G47" s="33" t="s">
        <v>37</v>
      </c>
      <c r="H47" s="33" t="s">
        <v>37</v>
      </c>
      <c r="I47" s="33" t="s">
        <v>37</v>
      </c>
      <c r="J47" s="33" t="s">
        <v>37</v>
      </c>
      <c r="K47" s="148" t="s">
        <v>37</v>
      </c>
      <c r="L47" s="33" t="s">
        <v>37</v>
      </c>
      <c r="M47" s="33" t="s">
        <v>37</v>
      </c>
      <c r="N47" s="33" t="s">
        <v>37</v>
      </c>
      <c r="O47" s="33" t="s">
        <v>37</v>
      </c>
      <c r="P47" s="33" t="s">
        <v>37</v>
      </c>
      <c r="Q47" s="33" t="s">
        <v>37</v>
      </c>
      <c r="R47" s="33" t="s">
        <v>37</v>
      </c>
      <c r="S47" s="33" t="s">
        <v>37</v>
      </c>
      <c r="T47" s="33" t="s">
        <v>37</v>
      </c>
      <c r="U47" s="33" t="s">
        <v>37</v>
      </c>
      <c r="V47" s="33" t="s">
        <v>37</v>
      </c>
      <c r="W47" s="33" t="s">
        <v>37</v>
      </c>
      <c r="X47" s="33" t="s">
        <v>37</v>
      </c>
      <c r="Y47" s="33" t="s">
        <v>37</v>
      </c>
      <c r="Z47" s="33" t="s">
        <v>37</v>
      </c>
      <c r="AA47" s="33" t="s">
        <v>37</v>
      </c>
      <c r="AB47" s="33" t="s">
        <v>37</v>
      </c>
      <c r="AC47" s="33" t="s">
        <v>37</v>
      </c>
      <c r="AD47" s="33" t="s">
        <v>37</v>
      </c>
      <c r="AE47" s="33" t="s">
        <v>37</v>
      </c>
      <c r="AF47" s="6">
        <v>371</v>
      </c>
      <c r="AG47" s="6">
        <v>1560</v>
      </c>
      <c r="AH47" s="35">
        <f t="shared" si="0"/>
        <v>406</v>
      </c>
      <c r="AI47" s="6">
        <v>726</v>
      </c>
      <c r="AJ47" s="6"/>
      <c r="AK47" s="35">
        <f t="shared" si="1"/>
        <v>355</v>
      </c>
      <c r="AL47" s="35">
        <v>1100</v>
      </c>
      <c r="AM47" s="35"/>
      <c r="AN47" s="35">
        <f t="shared" si="2"/>
        <v>374</v>
      </c>
      <c r="AO47" s="6">
        <v>1476</v>
      </c>
      <c r="AP47" s="6"/>
      <c r="AQ47" s="35">
        <f t="shared" si="3"/>
        <v>376</v>
      </c>
      <c r="AR47" s="6">
        <v>0</v>
      </c>
      <c r="AS47" s="6">
        <v>1656</v>
      </c>
      <c r="AT47" s="34">
        <f t="shared" si="4"/>
        <v>180</v>
      </c>
      <c r="AU47" s="35">
        <v>339</v>
      </c>
      <c r="AV47" s="35"/>
      <c r="AW47" s="35">
        <f t="shared" si="5"/>
        <v>339</v>
      </c>
      <c r="AX47" s="6"/>
      <c r="AY47" s="6"/>
      <c r="AZ47" s="35"/>
      <c r="BA47" s="6">
        <v>723</v>
      </c>
      <c r="BB47" s="6"/>
      <c r="BC47" s="35">
        <f t="shared" si="6"/>
        <v>384</v>
      </c>
      <c r="BD47" s="35">
        <v>1079</v>
      </c>
      <c r="BE47" s="35"/>
      <c r="BF47" s="35">
        <f t="shared" si="7"/>
        <v>356</v>
      </c>
      <c r="BG47" s="6">
        <v>1453</v>
      </c>
      <c r="BH47" s="6"/>
      <c r="BI47" s="35">
        <f t="shared" si="8"/>
        <v>374</v>
      </c>
      <c r="BJ47" s="6">
        <v>266</v>
      </c>
      <c r="BK47" s="6">
        <v>1561</v>
      </c>
      <c r="BL47" s="35">
        <f t="shared" si="9"/>
        <v>374</v>
      </c>
      <c r="BM47" s="6">
        <v>644</v>
      </c>
      <c r="BN47" s="6"/>
      <c r="BO47" s="6">
        <f t="shared" si="10"/>
        <v>378</v>
      </c>
      <c r="BP47" s="6">
        <v>1005</v>
      </c>
      <c r="BQ47" s="6"/>
      <c r="BR47" s="6">
        <f t="shared" si="11"/>
        <v>361</v>
      </c>
      <c r="BS47" s="6"/>
      <c r="BT47" s="6"/>
      <c r="BU47" s="35"/>
      <c r="BV47" s="6">
        <v>1390</v>
      </c>
      <c r="BW47" s="6"/>
      <c r="BX47" s="6">
        <f t="shared" si="12"/>
        <v>385</v>
      </c>
      <c r="BY47" s="6">
        <v>213</v>
      </c>
      <c r="BZ47" s="6">
        <v>1560</v>
      </c>
      <c r="CA47" s="35">
        <f t="shared" si="13"/>
        <v>383</v>
      </c>
      <c r="CB47" s="6">
        <v>602</v>
      </c>
      <c r="CC47" s="6"/>
      <c r="CD47" s="6">
        <f t="shared" si="14"/>
        <v>389</v>
      </c>
      <c r="CE47" s="6">
        <v>991</v>
      </c>
      <c r="CF47" s="6"/>
      <c r="CG47" s="6">
        <f t="shared" si="15"/>
        <v>389</v>
      </c>
      <c r="CH47" s="6">
        <v>1379</v>
      </c>
      <c r="CI47" s="6"/>
      <c r="CJ47" s="6">
        <f t="shared" si="16"/>
        <v>388</v>
      </c>
      <c r="CK47" s="6">
        <v>200</v>
      </c>
      <c r="CL47" s="6">
        <v>1560</v>
      </c>
      <c r="CM47" s="6">
        <f t="shared" si="17"/>
        <v>381</v>
      </c>
      <c r="CN47" s="6"/>
      <c r="CO47" s="6"/>
      <c r="CP47" s="6"/>
      <c r="CQ47" s="6">
        <v>597</v>
      </c>
      <c r="CR47" s="6"/>
      <c r="CS47" s="6">
        <f t="shared" si="18"/>
        <v>397</v>
      </c>
      <c r="CT47" s="6">
        <v>984</v>
      </c>
      <c r="CU47" s="6"/>
      <c r="CV47" s="6">
        <f t="shared" si="19"/>
        <v>387</v>
      </c>
      <c r="CW47" s="6">
        <v>1375</v>
      </c>
      <c r="CX47" s="6"/>
      <c r="CY47" s="6">
        <f t="shared" si="20"/>
        <v>391</v>
      </c>
      <c r="CZ47" s="6">
        <v>203</v>
      </c>
      <c r="DA47" s="6">
        <v>1560</v>
      </c>
      <c r="DB47" s="6">
        <f t="shared" si="21"/>
        <v>388</v>
      </c>
      <c r="DC47" s="6">
        <v>594</v>
      </c>
      <c r="DD47" s="6"/>
      <c r="DE47" s="6">
        <f t="shared" si="22"/>
        <v>391</v>
      </c>
      <c r="DF47" s="6">
        <v>964</v>
      </c>
      <c r="DG47" s="6"/>
      <c r="DH47" s="6">
        <f t="shared" si="23"/>
        <v>370</v>
      </c>
      <c r="DI47" s="6"/>
      <c r="DJ47" s="6"/>
      <c r="DK47" s="6"/>
      <c r="DL47" s="6">
        <v>1347</v>
      </c>
      <c r="DM47" s="6"/>
      <c r="DN47" s="6">
        <f t="shared" si="24"/>
        <v>383</v>
      </c>
      <c r="DO47" s="6">
        <v>0</v>
      </c>
      <c r="DP47" s="6">
        <v>1625</v>
      </c>
      <c r="DQ47" s="6">
        <f t="shared" si="25"/>
        <v>278</v>
      </c>
    </row>
    <row r="48" spans="1:121">
      <c r="A48" s="6">
        <v>44</v>
      </c>
      <c r="B48" s="6">
        <v>426</v>
      </c>
      <c r="C48" s="6"/>
      <c r="D48" s="6">
        <v>355</v>
      </c>
      <c r="E48" s="33" t="s">
        <v>307</v>
      </c>
      <c r="F48" s="33" t="s">
        <v>307</v>
      </c>
      <c r="G48" s="33" t="s">
        <v>307</v>
      </c>
      <c r="H48" s="33" t="s">
        <v>307</v>
      </c>
      <c r="I48" s="33" t="s">
        <v>307</v>
      </c>
      <c r="J48" s="33" t="s">
        <v>307</v>
      </c>
      <c r="K48" s="33" t="s">
        <v>307</v>
      </c>
      <c r="L48" s="33" t="s">
        <v>307</v>
      </c>
      <c r="M48" s="148" t="s">
        <v>37</v>
      </c>
      <c r="N48" s="33" t="s">
        <v>37</v>
      </c>
      <c r="O48" s="33" t="s">
        <v>37</v>
      </c>
      <c r="P48" s="33" t="s">
        <v>37</v>
      </c>
      <c r="Q48" s="33" t="s">
        <v>37</v>
      </c>
      <c r="R48" s="33" t="s">
        <v>37</v>
      </c>
      <c r="S48" s="33" t="s">
        <v>37</v>
      </c>
      <c r="T48" s="33" t="s">
        <v>37</v>
      </c>
      <c r="U48" s="33" t="s">
        <v>37</v>
      </c>
      <c r="V48" s="33" t="s">
        <v>37</v>
      </c>
      <c r="W48" s="33" t="s">
        <v>37</v>
      </c>
      <c r="X48" s="33" t="s">
        <v>37</v>
      </c>
      <c r="Y48" s="33" t="s">
        <v>37</v>
      </c>
      <c r="Z48" s="33" t="s">
        <v>37</v>
      </c>
      <c r="AA48" s="33" t="s">
        <v>37</v>
      </c>
      <c r="AB48" s="33" t="s">
        <v>37</v>
      </c>
      <c r="AC48" s="33" t="s">
        <v>37</v>
      </c>
      <c r="AD48" s="33" t="s">
        <v>37</v>
      </c>
      <c r="AE48" s="33" t="s">
        <v>37</v>
      </c>
      <c r="AF48" s="6">
        <v>838</v>
      </c>
      <c r="AG48" s="6"/>
      <c r="AH48" s="35">
        <f t="shared" si="0"/>
        <v>412</v>
      </c>
      <c r="AI48" s="6">
        <v>1219</v>
      </c>
      <c r="AJ48" s="6"/>
      <c r="AK48" s="35">
        <f t="shared" si="1"/>
        <v>381</v>
      </c>
      <c r="AL48" s="35">
        <v>42</v>
      </c>
      <c r="AM48" s="35">
        <v>1561</v>
      </c>
      <c r="AN48" s="35">
        <f t="shared" si="2"/>
        <v>384</v>
      </c>
      <c r="AO48" s="6">
        <v>428</v>
      </c>
      <c r="AP48" s="6"/>
      <c r="AQ48" s="35">
        <f t="shared" si="3"/>
        <v>386</v>
      </c>
      <c r="AR48" s="6">
        <v>804</v>
      </c>
      <c r="AS48" s="6"/>
      <c r="AT48" s="34">
        <f t="shared" si="4"/>
        <v>376</v>
      </c>
      <c r="AU48" s="35">
        <v>1172</v>
      </c>
      <c r="AV48" s="35"/>
      <c r="AW48" s="35">
        <f t="shared" si="5"/>
        <v>368</v>
      </c>
      <c r="AX48" s="6"/>
      <c r="AY48" s="6"/>
      <c r="AZ48" s="35"/>
      <c r="BA48" s="6">
        <v>1549</v>
      </c>
      <c r="BB48" s="6"/>
      <c r="BC48" s="35">
        <f t="shared" si="6"/>
        <v>377</v>
      </c>
      <c r="BD48" s="35">
        <v>295</v>
      </c>
      <c r="BE48" s="35">
        <v>1626</v>
      </c>
      <c r="BF48" s="35">
        <f t="shared" si="7"/>
        <v>372</v>
      </c>
      <c r="BG48" s="35">
        <v>683</v>
      </c>
      <c r="BH48" s="6"/>
      <c r="BI48" s="35">
        <f t="shared" si="8"/>
        <v>388</v>
      </c>
      <c r="BJ48" s="6">
        <v>1054</v>
      </c>
      <c r="BK48" s="6"/>
      <c r="BL48" s="35">
        <f t="shared" si="9"/>
        <v>371</v>
      </c>
      <c r="BM48" s="6">
        <v>1440</v>
      </c>
      <c r="BN48" s="6"/>
      <c r="BO48" s="6">
        <f t="shared" si="10"/>
        <v>386</v>
      </c>
      <c r="BP48" s="6">
        <v>242</v>
      </c>
      <c r="BQ48" s="6">
        <v>1560</v>
      </c>
      <c r="BR48" s="6">
        <f t="shared" si="11"/>
        <v>362</v>
      </c>
      <c r="BS48" s="6"/>
      <c r="BT48" s="6"/>
      <c r="BU48" s="35"/>
      <c r="BV48" s="6">
        <v>620</v>
      </c>
      <c r="BW48" s="6"/>
      <c r="BX48" s="6">
        <f t="shared" si="12"/>
        <v>378</v>
      </c>
      <c r="BY48" s="6">
        <v>988</v>
      </c>
      <c r="BZ48" s="6"/>
      <c r="CA48" s="35">
        <f t="shared" si="13"/>
        <v>368</v>
      </c>
      <c r="CB48" s="6">
        <v>1361</v>
      </c>
      <c r="CC48" s="6"/>
      <c r="CD48" s="6">
        <f t="shared" si="14"/>
        <v>373</v>
      </c>
      <c r="CE48" s="6">
        <v>161</v>
      </c>
      <c r="CF48" s="6">
        <v>1560</v>
      </c>
      <c r="CG48" s="6">
        <f t="shared" si="15"/>
        <v>360</v>
      </c>
      <c r="CH48" s="6">
        <v>534</v>
      </c>
      <c r="CI48" s="6"/>
      <c r="CJ48" s="6">
        <f t="shared" si="16"/>
        <v>373</v>
      </c>
      <c r="CK48" s="6">
        <v>900</v>
      </c>
      <c r="CL48" s="6"/>
      <c r="CM48" s="6">
        <f t="shared" si="17"/>
        <v>366</v>
      </c>
      <c r="CN48" s="6"/>
      <c r="CO48" s="6"/>
      <c r="CP48" s="6"/>
      <c r="CQ48" s="6">
        <v>1280</v>
      </c>
      <c r="CR48" s="6"/>
      <c r="CS48" s="6">
        <f t="shared" si="18"/>
        <v>380</v>
      </c>
      <c r="CT48" s="6">
        <v>91</v>
      </c>
      <c r="CU48" s="6">
        <v>1560</v>
      </c>
      <c r="CV48" s="6">
        <f t="shared" si="19"/>
        <v>371</v>
      </c>
      <c r="CW48" s="6">
        <v>467</v>
      </c>
      <c r="CX48" s="6"/>
      <c r="CY48" s="6">
        <f t="shared" si="20"/>
        <v>376</v>
      </c>
      <c r="CZ48" s="6">
        <v>836</v>
      </c>
      <c r="DA48" s="6"/>
      <c r="DB48" s="6">
        <f t="shared" si="21"/>
        <v>369</v>
      </c>
      <c r="DC48" s="6">
        <v>1204</v>
      </c>
      <c r="DD48" s="6"/>
      <c r="DE48" s="6">
        <f t="shared" si="22"/>
        <v>368</v>
      </c>
      <c r="DF48" s="6">
        <v>1</v>
      </c>
      <c r="DG48" s="6">
        <v>1560</v>
      </c>
      <c r="DH48" s="6">
        <f t="shared" si="23"/>
        <v>357</v>
      </c>
      <c r="DI48" s="6"/>
      <c r="DJ48" s="6"/>
      <c r="DK48" s="6"/>
      <c r="DL48" s="6">
        <v>380</v>
      </c>
      <c r="DM48" s="6"/>
      <c r="DN48" s="6">
        <f t="shared" si="24"/>
        <v>379</v>
      </c>
      <c r="DO48" s="6">
        <v>734</v>
      </c>
      <c r="DP48" s="6"/>
      <c r="DQ48" s="6">
        <f t="shared" si="25"/>
        <v>354</v>
      </c>
    </row>
    <row r="49" spans="1:121">
      <c r="A49" s="6">
        <v>45</v>
      </c>
      <c r="B49" s="6">
        <v>1374</v>
      </c>
      <c r="C49" s="6"/>
      <c r="D49" s="6">
        <v>352</v>
      </c>
      <c r="E49" s="33" t="s">
        <v>307</v>
      </c>
      <c r="F49" s="33" t="s">
        <v>307</v>
      </c>
      <c r="G49" s="33" t="s">
        <v>307</v>
      </c>
      <c r="H49" s="33" t="s">
        <v>307</v>
      </c>
      <c r="I49" s="33" t="s">
        <v>307</v>
      </c>
      <c r="J49" s="33" t="s">
        <v>307</v>
      </c>
      <c r="K49" s="33" t="s">
        <v>307</v>
      </c>
      <c r="L49" s="148" t="s">
        <v>37</v>
      </c>
      <c r="M49" s="33" t="s">
        <v>37</v>
      </c>
      <c r="N49" s="33" t="s">
        <v>37</v>
      </c>
      <c r="O49" s="33" t="s">
        <v>37</v>
      </c>
      <c r="P49" s="33" t="s">
        <v>37</v>
      </c>
      <c r="Q49" s="33" t="s">
        <v>37</v>
      </c>
      <c r="R49" s="33" t="s">
        <v>37</v>
      </c>
      <c r="S49" s="33" t="s">
        <v>37</v>
      </c>
      <c r="T49" s="33" t="s">
        <v>37</v>
      </c>
      <c r="U49" s="33" t="s">
        <v>37</v>
      </c>
      <c r="V49" s="33" t="s">
        <v>37</v>
      </c>
      <c r="W49" s="33" t="s">
        <v>37</v>
      </c>
      <c r="X49" s="33" t="s">
        <v>37</v>
      </c>
      <c r="Y49" s="33" t="s">
        <v>37</v>
      </c>
      <c r="Z49" s="33" t="s">
        <v>37</v>
      </c>
      <c r="AA49" s="33" t="s">
        <v>37</v>
      </c>
      <c r="AB49" s="33" t="s">
        <v>37</v>
      </c>
      <c r="AC49" s="33" t="s">
        <v>37</v>
      </c>
      <c r="AD49" s="33" t="s">
        <v>37</v>
      </c>
      <c r="AE49" s="33" t="s">
        <v>37</v>
      </c>
      <c r="AF49" s="6">
        <v>209</v>
      </c>
      <c r="AG49" s="6">
        <v>1548</v>
      </c>
      <c r="AH49" s="35">
        <f t="shared" si="0"/>
        <v>383</v>
      </c>
      <c r="AI49" s="6">
        <v>591</v>
      </c>
      <c r="AJ49" s="6"/>
      <c r="AK49" s="35">
        <f t="shared" si="1"/>
        <v>382</v>
      </c>
      <c r="AL49" s="35">
        <v>975</v>
      </c>
      <c r="AM49" s="35"/>
      <c r="AN49" s="35">
        <f t="shared" si="2"/>
        <v>384</v>
      </c>
      <c r="AO49" s="6">
        <v>1363</v>
      </c>
      <c r="AP49" s="6"/>
      <c r="AQ49" s="35">
        <f t="shared" si="3"/>
        <v>388</v>
      </c>
      <c r="AR49" s="6">
        <v>183</v>
      </c>
      <c r="AS49" s="6">
        <v>1560</v>
      </c>
      <c r="AT49" s="34">
        <f t="shared" si="4"/>
        <v>380</v>
      </c>
      <c r="AU49" s="35">
        <v>0</v>
      </c>
      <c r="AV49" s="35">
        <v>424</v>
      </c>
      <c r="AW49" s="35">
        <f t="shared" si="5"/>
        <v>241</v>
      </c>
      <c r="AX49" s="6"/>
      <c r="AY49" s="6"/>
      <c r="AZ49" s="35"/>
      <c r="BA49" s="6">
        <v>358</v>
      </c>
      <c r="BB49" s="6"/>
      <c r="BC49" s="35">
        <f t="shared" si="6"/>
        <v>358</v>
      </c>
      <c r="BD49" s="35">
        <v>742</v>
      </c>
      <c r="BE49" s="35"/>
      <c r="BF49" s="35">
        <f t="shared" si="7"/>
        <v>384</v>
      </c>
      <c r="BG49" s="6">
        <v>1128</v>
      </c>
      <c r="BH49" s="6"/>
      <c r="BI49" s="35">
        <f t="shared" si="8"/>
        <v>386</v>
      </c>
      <c r="BJ49" s="6">
        <v>1515</v>
      </c>
      <c r="BK49" s="6"/>
      <c r="BL49" s="35">
        <f t="shared" si="9"/>
        <v>387</v>
      </c>
      <c r="BM49" s="6">
        <v>336</v>
      </c>
      <c r="BN49" s="6">
        <v>1560</v>
      </c>
      <c r="BO49" s="6">
        <f t="shared" si="10"/>
        <v>381</v>
      </c>
      <c r="BP49" s="6">
        <v>706</v>
      </c>
      <c r="BQ49" s="6"/>
      <c r="BR49" s="6">
        <f t="shared" si="11"/>
        <v>370</v>
      </c>
      <c r="BS49" s="6"/>
      <c r="BT49" s="6"/>
      <c r="BU49" s="35"/>
      <c r="BV49" s="6">
        <v>1094</v>
      </c>
      <c r="BW49" s="6"/>
      <c r="BX49" s="6">
        <f t="shared" si="12"/>
        <v>388</v>
      </c>
      <c r="BY49" s="6">
        <v>1476</v>
      </c>
      <c r="BZ49" s="6"/>
      <c r="CA49" s="35">
        <f t="shared" si="13"/>
        <v>382</v>
      </c>
      <c r="CB49" s="6">
        <v>301</v>
      </c>
      <c r="CC49" s="6">
        <v>1560</v>
      </c>
      <c r="CD49" s="6">
        <f t="shared" si="14"/>
        <v>385</v>
      </c>
      <c r="CE49" s="6">
        <v>682</v>
      </c>
      <c r="CF49" s="6"/>
      <c r="CG49" s="6">
        <f t="shared" si="15"/>
        <v>381</v>
      </c>
      <c r="CH49" s="6">
        <v>1069</v>
      </c>
      <c r="CI49" s="6"/>
      <c r="CJ49" s="6">
        <f t="shared" si="16"/>
        <v>387</v>
      </c>
      <c r="CK49" s="6">
        <v>1446</v>
      </c>
      <c r="CL49" s="6"/>
      <c r="CM49" s="6">
        <f t="shared" si="17"/>
        <v>377</v>
      </c>
      <c r="CN49" s="6"/>
      <c r="CO49" s="6"/>
      <c r="CP49" s="6"/>
      <c r="CQ49" s="6">
        <v>278</v>
      </c>
      <c r="CR49" s="6">
        <v>1560</v>
      </c>
      <c r="CS49" s="6">
        <f t="shared" si="18"/>
        <v>392</v>
      </c>
      <c r="CT49" s="6">
        <v>662</v>
      </c>
      <c r="CU49" s="6"/>
      <c r="CV49" s="6">
        <f t="shared" si="19"/>
        <v>384</v>
      </c>
      <c r="CW49" s="6">
        <v>1047</v>
      </c>
      <c r="CX49" s="6"/>
      <c r="CY49" s="6">
        <f t="shared" si="20"/>
        <v>385</v>
      </c>
      <c r="CZ49" s="6">
        <v>1435</v>
      </c>
      <c r="DA49" s="6"/>
      <c r="DB49" s="6">
        <f t="shared" si="21"/>
        <v>388</v>
      </c>
      <c r="DC49" s="6">
        <v>263</v>
      </c>
      <c r="DD49" s="6">
        <v>1560</v>
      </c>
      <c r="DE49" s="6">
        <f t="shared" si="22"/>
        <v>388</v>
      </c>
      <c r="DF49" s="6">
        <v>629</v>
      </c>
      <c r="DG49" s="6"/>
      <c r="DH49" s="6">
        <f t="shared" si="23"/>
        <v>366</v>
      </c>
      <c r="DI49" s="6"/>
      <c r="DJ49" s="6"/>
      <c r="DK49" s="6"/>
      <c r="DL49" s="6">
        <v>1017</v>
      </c>
      <c r="DM49" s="6"/>
      <c r="DN49" s="6">
        <f t="shared" si="24"/>
        <v>388</v>
      </c>
      <c r="DO49" s="6">
        <v>1382</v>
      </c>
      <c r="DP49" s="6"/>
      <c r="DQ49" s="6">
        <f t="shared" si="25"/>
        <v>365</v>
      </c>
    </row>
    <row r="50" spans="1:121">
      <c r="A50" s="6">
        <v>46</v>
      </c>
      <c r="B50" s="6">
        <v>718</v>
      </c>
      <c r="C50" s="6"/>
      <c r="D50" s="6">
        <v>347</v>
      </c>
      <c r="E50" s="33" t="s">
        <v>37</v>
      </c>
      <c r="F50" s="33" t="s">
        <v>37</v>
      </c>
      <c r="G50" s="33" t="s">
        <v>37</v>
      </c>
      <c r="H50" s="33" t="s">
        <v>37</v>
      </c>
      <c r="I50" s="33" t="s">
        <v>37</v>
      </c>
      <c r="J50" s="33" t="s">
        <v>37</v>
      </c>
      <c r="K50" s="33" t="s">
        <v>37</v>
      </c>
      <c r="L50" s="33" t="s">
        <v>37</v>
      </c>
      <c r="M50" s="33" t="s">
        <v>37</v>
      </c>
      <c r="N50" s="33" t="s">
        <v>37</v>
      </c>
      <c r="O50" s="33" t="s">
        <v>37</v>
      </c>
      <c r="P50" s="33" t="s">
        <v>37</v>
      </c>
      <c r="Q50" s="33" t="s">
        <v>37</v>
      </c>
      <c r="R50" s="33" t="s">
        <v>37</v>
      </c>
      <c r="S50" s="33" t="s">
        <v>37</v>
      </c>
      <c r="T50" s="33" t="s">
        <v>37</v>
      </c>
      <c r="U50" s="33" t="s">
        <v>37</v>
      </c>
      <c r="V50" s="33" t="s">
        <v>37</v>
      </c>
      <c r="W50" s="33" t="s">
        <v>37</v>
      </c>
      <c r="X50" s="33" t="s">
        <v>37</v>
      </c>
      <c r="Y50" s="148" t="s">
        <v>37</v>
      </c>
      <c r="Z50" s="33" t="s">
        <v>37</v>
      </c>
      <c r="AA50" s="33" t="s">
        <v>37</v>
      </c>
      <c r="AB50" s="33" t="s">
        <v>37</v>
      </c>
      <c r="AC50" s="33" t="s">
        <v>37</v>
      </c>
      <c r="AD50" s="33" t="s">
        <v>37</v>
      </c>
      <c r="AE50" s="33" t="s">
        <v>37</v>
      </c>
      <c r="AF50" s="6">
        <v>1127</v>
      </c>
      <c r="AG50" s="6"/>
      <c r="AH50" s="35">
        <f t="shared" si="0"/>
        <v>409</v>
      </c>
      <c r="AI50" s="6">
        <v>1501</v>
      </c>
      <c r="AJ50" s="6"/>
      <c r="AK50" s="35">
        <f t="shared" si="1"/>
        <v>374</v>
      </c>
      <c r="AL50" s="35">
        <v>317</v>
      </c>
      <c r="AM50" s="35">
        <v>1560</v>
      </c>
      <c r="AN50" s="35">
        <f t="shared" si="2"/>
        <v>376</v>
      </c>
      <c r="AO50" s="6">
        <v>699</v>
      </c>
      <c r="AP50" s="6"/>
      <c r="AQ50" s="35">
        <f t="shared" si="3"/>
        <v>382</v>
      </c>
      <c r="AR50" s="6">
        <v>1079</v>
      </c>
      <c r="AS50" s="6"/>
      <c r="AT50" s="34">
        <f t="shared" si="4"/>
        <v>380</v>
      </c>
      <c r="AU50" s="35">
        <v>1437</v>
      </c>
      <c r="AV50" s="35"/>
      <c r="AW50" s="35">
        <f t="shared" si="5"/>
        <v>358</v>
      </c>
      <c r="AX50" s="6"/>
      <c r="AY50" s="6"/>
      <c r="AZ50" s="35"/>
      <c r="BA50" s="6">
        <v>262</v>
      </c>
      <c r="BB50" s="6">
        <v>1560</v>
      </c>
      <c r="BC50" s="35">
        <f t="shared" si="6"/>
        <v>385</v>
      </c>
      <c r="BD50" s="35">
        <v>642</v>
      </c>
      <c r="BE50" s="35"/>
      <c r="BF50" s="35">
        <f t="shared" si="7"/>
        <v>380</v>
      </c>
      <c r="BG50" s="35">
        <v>1023</v>
      </c>
      <c r="BH50" s="6"/>
      <c r="BI50" s="35">
        <f t="shared" si="8"/>
        <v>381</v>
      </c>
      <c r="BJ50" s="6">
        <v>1404</v>
      </c>
      <c r="BK50" s="6"/>
      <c r="BL50" s="35">
        <f t="shared" si="9"/>
        <v>381</v>
      </c>
      <c r="BM50" s="6">
        <v>219</v>
      </c>
      <c r="BN50" s="6">
        <v>1560</v>
      </c>
      <c r="BO50" s="6">
        <f t="shared" si="10"/>
        <v>375</v>
      </c>
      <c r="BP50" s="6">
        <v>584</v>
      </c>
      <c r="BQ50" s="6"/>
      <c r="BR50" s="6">
        <f t="shared" si="11"/>
        <v>365</v>
      </c>
      <c r="BS50" s="6"/>
      <c r="BT50" s="6"/>
      <c r="BU50" s="35"/>
      <c r="BV50" s="6">
        <v>970</v>
      </c>
      <c r="BW50" s="6"/>
      <c r="BX50" s="6">
        <f t="shared" si="12"/>
        <v>386</v>
      </c>
      <c r="BY50" s="6">
        <v>1345</v>
      </c>
      <c r="BZ50" s="6"/>
      <c r="CA50" s="35">
        <f t="shared" si="13"/>
        <v>375</v>
      </c>
      <c r="CB50" s="6">
        <v>165</v>
      </c>
      <c r="CC50" s="6">
        <v>1560</v>
      </c>
      <c r="CD50" s="6">
        <f t="shared" si="14"/>
        <v>380</v>
      </c>
      <c r="CE50" s="6">
        <v>545</v>
      </c>
      <c r="CF50" s="6"/>
      <c r="CG50" s="6">
        <f t="shared" si="15"/>
        <v>380</v>
      </c>
      <c r="CH50" s="6">
        <v>926</v>
      </c>
      <c r="CI50" s="6"/>
      <c r="CJ50" s="6">
        <f t="shared" si="16"/>
        <v>381</v>
      </c>
      <c r="CK50" s="6">
        <v>1291</v>
      </c>
      <c r="CL50" s="6"/>
      <c r="CM50" s="6">
        <f t="shared" si="17"/>
        <v>365</v>
      </c>
      <c r="CN50" s="6"/>
      <c r="CO50" s="6"/>
      <c r="CP50" s="6"/>
      <c r="CQ50" s="6">
        <v>0</v>
      </c>
      <c r="CR50" s="6">
        <v>1631</v>
      </c>
      <c r="CS50" s="6">
        <f t="shared" si="18"/>
        <v>340</v>
      </c>
      <c r="CT50" s="6">
        <v>344</v>
      </c>
      <c r="CU50" s="6"/>
      <c r="CV50" s="6">
        <f t="shared" si="19"/>
        <v>344</v>
      </c>
      <c r="CW50" s="6">
        <v>723</v>
      </c>
      <c r="CX50" s="6"/>
      <c r="CY50" s="6">
        <f t="shared" si="20"/>
        <v>379</v>
      </c>
      <c r="CZ50" s="6">
        <v>1083</v>
      </c>
      <c r="DA50" s="6"/>
      <c r="DB50" s="6">
        <f t="shared" si="21"/>
        <v>360</v>
      </c>
      <c r="DC50" s="6">
        <v>12</v>
      </c>
      <c r="DD50" s="6">
        <v>1451</v>
      </c>
      <c r="DE50" s="6">
        <f t="shared" si="22"/>
        <v>380</v>
      </c>
      <c r="DF50" s="6">
        <v>373</v>
      </c>
      <c r="DG50" s="6"/>
      <c r="DH50" s="6">
        <f t="shared" si="23"/>
        <v>361</v>
      </c>
      <c r="DI50" s="6"/>
      <c r="DJ50" s="6"/>
      <c r="DK50" s="6"/>
      <c r="DL50" s="6">
        <v>760</v>
      </c>
      <c r="DM50" s="6"/>
      <c r="DN50" s="6">
        <f t="shared" si="24"/>
        <v>387</v>
      </c>
      <c r="DO50" s="6">
        <v>1123</v>
      </c>
      <c r="DP50" s="6"/>
      <c r="DQ50" s="6">
        <f t="shared" si="25"/>
        <v>363</v>
      </c>
    </row>
    <row r="51" spans="1:121">
      <c r="A51" s="6">
        <v>47</v>
      </c>
      <c r="B51" s="6">
        <v>369</v>
      </c>
      <c r="C51" s="6"/>
      <c r="D51" s="6">
        <v>327</v>
      </c>
      <c r="E51" s="33" t="s">
        <v>307</v>
      </c>
      <c r="F51" s="33" t="s">
        <v>307</v>
      </c>
      <c r="G51" s="33" t="s">
        <v>307</v>
      </c>
      <c r="H51" s="33" t="s">
        <v>307</v>
      </c>
      <c r="I51" s="33" t="s">
        <v>307</v>
      </c>
      <c r="J51" s="33" t="s">
        <v>307</v>
      </c>
      <c r="K51" s="33" t="s">
        <v>307</v>
      </c>
      <c r="L51" s="33" t="s">
        <v>307</v>
      </c>
      <c r="M51" s="33" t="s">
        <v>307</v>
      </c>
      <c r="N51" s="33" t="s">
        <v>307</v>
      </c>
      <c r="O51" s="33" t="s">
        <v>307</v>
      </c>
      <c r="P51" s="33" t="s">
        <v>307</v>
      </c>
      <c r="Q51" s="148" t="s">
        <v>307</v>
      </c>
      <c r="R51" s="33" t="s">
        <v>307</v>
      </c>
      <c r="S51" s="33" t="s">
        <v>307</v>
      </c>
      <c r="T51" s="33" t="s">
        <v>307</v>
      </c>
      <c r="U51" s="33" t="s">
        <v>307</v>
      </c>
      <c r="V51" s="33" t="s">
        <v>307</v>
      </c>
      <c r="W51" s="33" t="s">
        <v>307</v>
      </c>
      <c r="X51" s="33" t="s">
        <v>307</v>
      </c>
      <c r="Y51" s="33" t="s">
        <v>307</v>
      </c>
      <c r="Z51" s="33" t="s">
        <v>307</v>
      </c>
      <c r="AA51" s="33" t="s">
        <v>307</v>
      </c>
      <c r="AB51" s="33" t="s">
        <v>307</v>
      </c>
      <c r="AC51" s="33" t="s">
        <v>307</v>
      </c>
      <c r="AD51" s="33" t="s">
        <v>307</v>
      </c>
      <c r="AE51" s="33" t="s">
        <v>307</v>
      </c>
      <c r="AF51" s="35">
        <v>714</v>
      </c>
      <c r="AG51" s="35"/>
      <c r="AH51" s="35">
        <f t="shared" si="0"/>
        <v>345</v>
      </c>
      <c r="AI51" s="35">
        <v>1052</v>
      </c>
      <c r="AJ51" s="35"/>
      <c r="AK51" s="35">
        <f t="shared" si="1"/>
        <v>338</v>
      </c>
      <c r="AL51" s="35">
        <v>1320</v>
      </c>
      <c r="AM51" s="35"/>
      <c r="AN51" s="35">
        <f t="shared" si="2"/>
        <v>268</v>
      </c>
      <c r="AO51" s="6">
        <v>1324</v>
      </c>
      <c r="AP51" s="6"/>
      <c r="AQ51" s="35">
        <f t="shared" si="3"/>
        <v>4</v>
      </c>
      <c r="AR51" s="6">
        <v>0</v>
      </c>
      <c r="AS51" s="6">
        <v>1324</v>
      </c>
      <c r="AT51" s="34">
        <f t="shared" si="4"/>
        <v>0</v>
      </c>
      <c r="AU51" s="35">
        <v>0</v>
      </c>
      <c r="AV51" s="35"/>
      <c r="AW51" s="35">
        <f t="shared" si="5"/>
        <v>0</v>
      </c>
      <c r="AX51" s="6"/>
      <c r="AY51" s="6"/>
      <c r="AZ51" s="35"/>
      <c r="BA51" s="6">
        <v>0</v>
      </c>
      <c r="BB51" s="6"/>
      <c r="BC51" s="35">
        <f t="shared" si="6"/>
        <v>0</v>
      </c>
      <c r="BD51" s="6">
        <v>143</v>
      </c>
      <c r="BE51" s="6"/>
      <c r="BF51" s="35">
        <f t="shared" si="7"/>
        <v>143</v>
      </c>
      <c r="BG51" s="6">
        <v>143</v>
      </c>
      <c r="BH51" s="6"/>
      <c r="BI51" s="35">
        <f t="shared" si="8"/>
        <v>0</v>
      </c>
      <c r="BJ51" s="6">
        <v>143</v>
      </c>
      <c r="BK51" s="6"/>
      <c r="BL51" s="35">
        <f t="shared" si="9"/>
        <v>0</v>
      </c>
      <c r="BM51" s="6">
        <v>351</v>
      </c>
      <c r="BN51" s="35"/>
      <c r="BO51" s="6">
        <f t="shared" si="10"/>
        <v>208</v>
      </c>
      <c r="BP51" s="6">
        <v>312</v>
      </c>
      <c r="BQ51" s="6">
        <v>365</v>
      </c>
      <c r="BR51" s="6">
        <f t="shared" si="11"/>
        <v>326</v>
      </c>
      <c r="BS51" s="6"/>
      <c r="BT51" s="6"/>
      <c r="BU51" s="35"/>
      <c r="BV51" s="6">
        <v>711</v>
      </c>
      <c r="BW51" s="6"/>
      <c r="BX51" s="6">
        <f t="shared" si="12"/>
        <v>399</v>
      </c>
      <c r="BY51" s="6">
        <v>1102</v>
      </c>
      <c r="BZ51" s="6"/>
      <c r="CA51" s="35">
        <f t="shared" si="13"/>
        <v>391</v>
      </c>
      <c r="CB51" s="35">
        <v>1493</v>
      </c>
      <c r="CC51" s="35"/>
      <c r="CD51" s="6">
        <f t="shared" si="14"/>
        <v>391</v>
      </c>
      <c r="CE51" s="6">
        <v>0</v>
      </c>
      <c r="CF51" s="6">
        <v>1820</v>
      </c>
      <c r="CG51" s="6">
        <f t="shared" si="15"/>
        <v>327</v>
      </c>
      <c r="CH51" s="6">
        <v>0</v>
      </c>
      <c r="CI51" s="35"/>
      <c r="CJ51" s="6">
        <f t="shared" si="16"/>
        <v>0</v>
      </c>
      <c r="CK51" s="6">
        <v>14</v>
      </c>
      <c r="CL51" s="6"/>
      <c r="CM51" s="6">
        <f t="shared" si="17"/>
        <v>14</v>
      </c>
      <c r="CN51" s="6"/>
      <c r="CO51" s="6"/>
      <c r="CP51" s="6"/>
      <c r="CQ51" s="6">
        <v>410</v>
      </c>
      <c r="CR51" s="6"/>
      <c r="CS51" s="6">
        <f t="shared" si="18"/>
        <v>396</v>
      </c>
      <c r="CT51" s="6">
        <v>795</v>
      </c>
      <c r="CU51" s="6"/>
      <c r="CV51" s="6">
        <f t="shared" si="19"/>
        <v>385</v>
      </c>
      <c r="CW51" s="6">
        <v>1187</v>
      </c>
      <c r="CX51" s="6"/>
      <c r="CY51" s="6">
        <f t="shared" si="20"/>
        <v>392</v>
      </c>
      <c r="CZ51" s="6">
        <v>1579</v>
      </c>
      <c r="DA51" s="6"/>
      <c r="DB51" s="6">
        <f t="shared" si="21"/>
        <v>392</v>
      </c>
      <c r="DC51" s="6">
        <v>148</v>
      </c>
      <c r="DD51" s="6">
        <v>1820</v>
      </c>
      <c r="DE51" s="6">
        <f t="shared" si="22"/>
        <v>389</v>
      </c>
      <c r="DF51" s="6">
        <v>525</v>
      </c>
      <c r="DG51" s="6"/>
      <c r="DH51" s="6">
        <f t="shared" si="23"/>
        <v>377</v>
      </c>
      <c r="DI51" s="6"/>
      <c r="DJ51" s="6"/>
      <c r="DK51" s="6"/>
      <c r="DL51" s="6">
        <v>924</v>
      </c>
      <c r="DM51" s="6"/>
      <c r="DN51" s="6">
        <f t="shared" si="24"/>
        <v>399</v>
      </c>
      <c r="DO51" s="6">
        <v>1293</v>
      </c>
      <c r="DP51" s="6"/>
      <c r="DQ51" s="6">
        <f t="shared" si="25"/>
        <v>369</v>
      </c>
    </row>
    <row r="52" spans="1:121">
      <c r="A52" s="6">
        <v>48</v>
      </c>
      <c r="B52" s="6">
        <v>856</v>
      </c>
      <c r="C52" s="6"/>
      <c r="D52" s="6">
        <v>352</v>
      </c>
      <c r="E52" s="33" t="s">
        <v>307</v>
      </c>
      <c r="F52" s="33" t="s">
        <v>307</v>
      </c>
      <c r="G52" s="33" t="s">
        <v>307</v>
      </c>
      <c r="H52" s="33" t="s">
        <v>307</v>
      </c>
      <c r="I52" s="33" t="s">
        <v>307</v>
      </c>
      <c r="J52" s="33" t="s">
        <v>307</v>
      </c>
      <c r="K52" s="33" t="s">
        <v>307</v>
      </c>
      <c r="L52" s="148" t="s">
        <v>37</v>
      </c>
      <c r="M52" s="33" t="s">
        <v>37</v>
      </c>
      <c r="N52" s="33" t="s">
        <v>37</v>
      </c>
      <c r="O52" s="33" t="s">
        <v>37</v>
      </c>
      <c r="P52" s="33" t="s">
        <v>37</v>
      </c>
      <c r="Q52" s="33" t="s">
        <v>37</v>
      </c>
      <c r="R52" s="33" t="s">
        <v>37</v>
      </c>
      <c r="S52" s="33" t="s">
        <v>37</v>
      </c>
      <c r="T52" s="33" t="s">
        <v>37</v>
      </c>
      <c r="U52" s="33" t="s">
        <v>37</v>
      </c>
      <c r="V52" s="33" t="s">
        <v>37</v>
      </c>
      <c r="W52" s="33" t="s">
        <v>37</v>
      </c>
      <c r="X52" s="33" t="s">
        <v>37</v>
      </c>
      <c r="Y52" s="33" t="s">
        <v>37</v>
      </c>
      <c r="Z52" s="33" t="s">
        <v>37</v>
      </c>
      <c r="AA52" s="33" t="s">
        <v>37</v>
      </c>
      <c r="AB52" s="33" t="s">
        <v>37</v>
      </c>
      <c r="AC52" s="33" t="s">
        <v>37</v>
      </c>
      <c r="AD52" s="33" t="s">
        <v>37</v>
      </c>
      <c r="AE52" s="33" t="s">
        <v>37</v>
      </c>
      <c r="AF52" s="35">
        <v>1256</v>
      </c>
      <c r="AG52" s="35"/>
      <c r="AH52" s="35">
        <f t="shared" si="0"/>
        <v>400</v>
      </c>
      <c r="AI52" s="35">
        <v>71</v>
      </c>
      <c r="AJ52" s="35">
        <v>1560</v>
      </c>
      <c r="AK52" s="35">
        <f t="shared" si="1"/>
        <v>375</v>
      </c>
      <c r="AL52" s="35">
        <v>455</v>
      </c>
      <c r="AM52" s="35"/>
      <c r="AN52" s="35">
        <f t="shared" si="2"/>
        <v>384</v>
      </c>
      <c r="AO52" s="35">
        <v>843</v>
      </c>
      <c r="AP52" s="35"/>
      <c r="AQ52" s="35">
        <f t="shared" si="3"/>
        <v>388</v>
      </c>
      <c r="AR52" s="6">
        <v>1229</v>
      </c>
      <c r="AS52" s="6"/>
      <c r="AT52" s="34">
        <f t="shared" si="4"/>
        <v>386</v>
      </c>
      <c r="AU52" s="35">
        <v>0</v>
      </c>
      <c r="AV52" s="35">
        <v>1573</v>
      </c>
      <c r="AW52" s="35">
        <f t="shared" si="5"/>
        <v>344</v>
      </c>
      <c r="AX52" s="6"/>
      <c r="AY52" s="6"/>
      <c r="AZ52" s="35"/>
      <c r="BA52" s="6">
        <v>385</v>
      </c>
      <c r="BB52" s="6"/>
      <c r="BC52" s="35">
        <f t="shared" si="6"/>
        <v>385</v>
      </c>
      <c r="BD52" s="35">
        <v>762</v>
      </c>
      <c r="BE52" s="35"/>
      <c r="BF52" s="35">
        <f t="shared" si="7"/>
        <v>377</v>
      </c>
      <c r="BG52" s="6">
        <v>1150</v>
      </c>
      <c r="BH52" s="6"/>
      <c r="BI52" s="35">
        <f t="shared" si="8"/>
        <v>388</v>
      </c>
      <c r="BJ52" s="6">
        <v>1538</v>
      </c>
      <c r="BK52" s="6"/>
      <c r="BL52" s="35">
        <f t="shared" si="9"/>
        <v>388</v>
      </c>
      <c r="BM52" s="6">
        <v>358</v>
      </c>
      <c r="BN52" s="6">
        <v>1560</v>
      </c>
      <c r="BO52" s="6">
        <f t="shared" si="10"/>
        <v>380</v>
      </c>
      <c r="BP52" s="6">
        <v>731</v>
      </c>
      <c r="BQ52" s="6"/>
      <c r="BR52" s="6">
        <f t="shared" si="11"/>
        <v>373</v>
      </c>
      <c r="BS52" s="6"/>
      <c r="BT52" s="6"/>
      <c r="BU52" s="35"/>
      <c r="BV52" s="35">
        <v>1121</v>
      </c>
      <c r="BW52" s="6"/>
      <c r="BX52" s="6">
        <f t="shared" si="12"/>
        <v>390</v>
      </c>
      <c r="BY52" s="6">
        <v>1506</v>
      </c>
      <c r="BZ52" s="6"/>
      <c r="CA52" s="35">
        <f t="shared" si="13"/>
        <v>385</v>
      </c>
      <c r="CB52" s="6">
        <v>335</v>
      </c>
      <c r="CC52" s="6">
        <v>1560</v>
      </c>
      <c r="CD52" s="6">
        <f t="shared" si="14"/>
        <v>389</v>
      </c>
      <c r="CE52" s="6">
        <v>719</v>
      </c>
      <c r="CF52" s="6"/>
      <c r="CG52" s="6">
        <f t="shared" si="15"/>
        <v>384</v>
      </c>
      <c r="CH52" s="6">
        <v>1108</v>
      </c>
      <c r="CI52" s="6"/>
      <c r="CJ52" s="6">
        <f t="shared" si="16"/>
        <v>389</v>
      </c>
      <c r="CK52" s="6">
        <v>1486</v>
      </c>
      <c r="CL52" s="6"/>
      <c r="CM52" s="6">
        <f t="shared" si="17"/>
        <v>378</v>
      </c>
      <c r="CN52" s="6"/>
      <c r="CO52" s="6"/>
      <c r="CP52" s="6"/>
      <c r="CQ52" s="6">
        <v>317</v>
      </c>
      <c r="CR52" s="6">
        <v>1560</v>
      </c>
      <c r="CS52" s="6">
        <f t="shared" si="18"/>
        <v>391</v>
      </c>
      <c r="CT52" s="6">
        <v>698</v>
      </c>
      <c r="CU52" s="6"/>
      <c r="CV52" s="6">
        <f t="shared" si="19"/>
        <v>381</v>
      </c>
      <c r="CW52" s="6">
        <v>1087</v>
      </c>
      <c r="CX52" s="6"/>
      <c r="CY52" s="6">
        <f t="shared" si="20"/>
        <v>389</v>
      </c>
      <c r="CZ52" s="6">
        <v>1472</v>
      </c>
      <c r="DA52" s="6"/>
      <c r="DB52" s="6">
        <f t="shared" si="21"/>
        <v>385</v>
      </c>
      <c r="DC52" s="6">
        <v>300</v>
      </c>
      <c r="DD52" s="6">
        <v>1560</v>
      </c>
      <c r="DE52" s="6">
        <f t="shared" si="22"/>
        <v>388</v>
      </c>
      <c r="DF52" s="6">
        <v>666</v>
      </c>
      <c r="DG52" s="6"/>
      <c r="DH52" s="6">
        <f t="shared" si="23"/>
        <v>366</v>
      </c>
      <c r="DI52" s="6"/>
      <c r="DJ52" s="6"/>
      <c r="DK52" s="6"/>
      <c r="DL52" s="6">
        <v>1057</v>
      </c>
      <c r="DM52" s="6"/>
      <c r="DN52" s="6">
        <f t="shared" si="24"/>
        <v>391</v>
      </c>
      <c r="DO52" s="6">
        <v>1419</v>
      </c>
      <c r="DP52" s="6"/>
      <c r="DQ52" s="6">
        <f t="shared" si="25"/>
        <v>362</v>
      </c>
    </row>
    <row r="53" spans="1:121">
      <c r="A53" s="6">
        <v>49</v>
      </c>
      <c r="B53" s="6">
        <v>326</v>
      </c>
      <c r="C53" s="6"/>
      <c r="D53" s="6">
        <v>326</v>
      </c>
      <c r="E53" s="148" t="s">
        <v>37</v>
      </c>
      <c r="F53" s="33" t="s">
        <v>37</v>
      </c>
      <c r="G53" s="33" t="s">
        <v>37</v>
      </c>
      <c r="H53" s="33" t="s">
        <v>37</v>
      </c>
      <c r="I53" s="33" t="s">
        <v>37</v>
      </c>
      <c r="J53" s="33" t="s">
        <v>37</v>
      </c>
      <c r="K53" s="33" t="s">
        <v>37</v>
      </c>
      <c r="L53" s="33" t="s">
        <v>37</v>
      </c>
      <c r="M53" s="33" t="s">
        <v>37</v>
      </c>
      <c r="N53" s="33" t="s">
        <v>37</v>
      </c>
      <c r="O53" s="33" t="s">
        <v>37</v>
      </c>
      <c r="P53" s="33" t="s">
        <v>37</v>
      </c>
      <c r="Q53" s="33" t="s">
        <v>37</v>
      </c>
      <c r="R53" s="33" t="s">
        <v>37</v>
      </c>
      <c r="S53" s="33" t="s">
        <v>37</v>
      </c>
      <c r="T53" s="33" t="s">
        <v>37</v>
      </c>
      <c r="U53" s="33" t="s">
        <v>37</v>
      </c>
      <c r="V53" s="33" t="s">
        <v>37</v>
      </c>
      <c r="W53" s="33" t="s">
        <v>37</v>
      </c>
      <c r="X53" s="33" t="s">
        <v>37</v>
      </c>
      <c r="Y53" s="33" t="s">
        <v>37</v>
      </c>
      <c r="Z53" s="148" t="s">
        <v>37</v>
      </c>
      <c r="AA53" s="33" t="s">
        <v>37</v>
      </c>
      <c r="AB53" s="33" t="s">
        <v>37</v>
      </c>
      <c r="AC53" s="33" t="s">
        <v>37</v>
      </c>
      <c r="AD53" s="33" t="s">
        <v>37</v>
      </c>
      <c r="AE53" s="33" t="s">
        <v>37</v>
      </c>
      <c r="AF53" s="35">
        <v>735</v>
      </c>
      <c r="AG53" s="35"/>
      <c r="AH53" s="35">
        <f t="shared" si="0"/>
        <v>409</v>
      </c>
      <c r="AI53" s="35">
        <v>1100</v>
      </c>
      <c r="AJ53" s="35"/>
      <c r="AK53" s="35">
        <f t="shared" si="1"/>
        <v>365</v>
      </c>
      <c r="AL53" s="35">
        <v>3</v>
      </c>
      <c r="AM53" s="35">
        <v>1480</v>
      </c>
      <c r="AN53" s="35">
        <f t="shared" si="2"/>
        <v>383</v>
      </c>
      <c r="AO53" s="35">
        <v>372</v>
      </c>
      <c r="AP53" s="35"/>
      <c r="AQ53" s="35">
        <f t="shared" si="3"/>
        <v>369</v>
      </c>
      <c r="AR53" s="6">
        <v>746</v>
      </c>
      <c r="AS53" s="35"/>
      <c r="AT53" s="34">
        <f t="shared" si="4"/>
        <v>374</v>
      </c>
      <c r="AU53" s="35">
        <v>1107</v>
      </c>
      <c r="AV53" s="35"/>
      <c r="AW53" s="35">
        <f t="shared" si="5"/>
        <v>361</v>
      </c>
      <c r="AX53" s="6"/>
      <c r="AY53" s="6"/>
      <c r="AZ53" s="35"/>
      <c r="BA53" s="6">
        <v>1491</v>
      </c>
      <c r="BB53" s="6"/>
      <c r="BC53" s="35">
        <f t="shared" si="6"/>
        <v>384</v>
      </c>
      <c r="BD53" s="6">
        <v>298</v>
      </c>
      <c r="BE53" s="6">
        <v>1560</v>
      </c>
      <c r="BF53" s="35">
        <f t="shared" si="7"/>
        <v>367</v>
      </c>
      <c r="BG53" s="6">
        <v>669</v>
      </c>
      <c r="BH53" s="6"/>
      <c r="BI53" s="35">
        <f t="shared" si="8"/>
        <v>371</v>
      </c>
      <c r="BJ53" s="6">
        <v>4</v>
      </c>
      <c r="BK53" s="6">
        <v>1039</v>
      </c>
      <c r="BL53" s="35">
        <f t="shared" si="9"/>
        <v>374</v>
      </c>
      <c r="BM53" s="6">
        <v>384</v>
      </c>
      <c r="BN53" s="35"/>
      <c r="BO53" s="6">
        <f t="shared" si="10"/>
        <v>380</v>
      </c>
      <c r="BP53" s="6">
        <v>734</v>
      </c>
      <c r="BQ53" s="6"/>
      <c r="BR53" s="6">
        <f t="shared" si="11"/>
        <v>350</v>
      </c>
      <c r="BS53" s="6"/>
      <c r="BT53" s="6"/>
      <c r="BU53" s="35"/>
      <c r="BV53" s="6">
        <v>1108</v>
      </c>
      <c r="BW53" s="6"/>
      <c r="BX53" s="6">
        <f t="shared" si="12"/>
        <v>374</v>
      </c>
      <c r="BY53" s="6">
        <v>1487</v>
      </c>
      <c r="BZ53" s="6"/>
      <c r="CA53" s="35">
        <f t="shared" si="13"/>
        <v>379</v>
      </c>
      <c r="CB53" s="6">
        <v>309</v>
      </c>
      <c r="CC53" s="35">
        <v>1560</v>
      </c>
      <c r="CD53" s="6">
        <f t="shared" si="14"/>
        <v>382</v>
      </c>
      <c r="CE53" s="6">
        <v>685</v>
      </c>
      <c r="CF53" s="6"/>
      <c r="CG53" s="6">
        <f t="shared" si="15"/>
        <v>376</v>
      </c>
      <c r="CH53" s="6">
        <v>1067</v>
      </c>
      <c r="CI53" s="35"/>
      <c r="CJ53" s="6">
        <f t="shared" si="16"/>
        <v>382</v>
      </c>
      <c r="CK53" s="6">
        <v>1428</v>
      </c>
      <c r="CL53" s="6"/>
      <c r="CM53" s="6">
        <f t="shared" si="17"/>
        <v>361</v>
      </c>
      <c r="CN53" s="6"/>
      <c r="CO53" s="6"/>
      <c r="CP53" s="6"/>
      <c r="CQ53" s="6">
        <v>377</v>
      </c>
      <c r="CR53" s="6">
        <v>1435</v>
      </c>
      <c r="CS53" s="6">
        <f t="shared" si="18"/>
        <v>384</v>
      </c>
      <c r="CT53" s="6">
        <v>756</v>
      </c>
      <c r="CU53" s="6"/>
      <c r="CV53" s="6">
        <f t="shared" si="19"/>
        <v>379</v>
      </c>
      <c r="CW53" s="6">
        <v>289</v>
      </c>
      <c r="CX53" s="6">
        <v>808</v>
      </c>
      <c r="CY53" s="6">
        <f t="shared" si="20"/>
        <v>341</v>
      </c>
      <c r="CZ53" s="6">
        <v>671</v>
      </c>
      <c r="DA53" s="6"/>
      <c r="DB53" s="6">
        <f t="shared" si="21"/>
        <v>382</v>
      </c>
      <c r="DC53" s="6">
        <v>1051</v>
      </c>
      <c r="DD53" s="6"/>
      <c r="DE53" s="6">
        <f t="shared" si="22"/>
        <v>380</v>
      </c>
      <c r="DF53" s="6">
        <v>50</v>
      </c>
      <c r="DG53" s="6">
        <v>1351</v>
      </c>
      <c r="DH53" s="6">
        <f t="shared" si="23"/>
        <v>350</v>
      </c>
      <c r="DI53" s="6"/>
      <c r="DJ53" s="6"/>
      <c r="DK53" s="6"/>
      <c r="DL53" s="6">
        <v>438</v>
      </c>
      <c r="DM53" s="6"/>
      <c r="DN53" s="6">
        <f t="shared" si="24"/>
        <v>388</v>
      </c>
      <c r="DO53" s="6">
        <v>802</v>
      </c>
      <c r="DP53" s="6"/>
      <c r="DQ53" s="6">
        <f t="shared" si="25"/>
        <v>364</v>
      </c>
    </row>
    <row r="54" spans="1:121">
      <c r="A54" s="6">
        <v>50</v>
      </c>
      <c r="B54" s="6">
        <v>667</v>
      </c>
      <c r="C54" s="6"/>
      <c r="D54" s="6">
        <v>348</v>
      </c>
      <c r="E54" s="284" t="s">
        <v>37</v>
      </c>
      <c r="F54" s="284" t="s">
        <v>37</v>
      </c>
      <c r="G54" s="284" t="s">
        <v>37</v>
      </c>
      <c r="H54" s="284" t="s">
        <v>37</v>
      </c>
      <c r="I54" s="284" t="s">
        <v>37</v>
      </c>
      <c r="J54" s="284" t="s">
        <v>37</v>
      </c>
      <c r="K54" s="284" t="s">
        <v>37</v>
      </c>
      <c r="L54" s="284" t="s">
        <v>37</v>
      </c>
      <c r="M54" s="284" t="s">
        <v>37</v>
      </c>
      <c r="N54" s="284" t="s">
        <v>37</v>
      </c>
      <c r="O54" s="284" t="s">
        <v>37</v>
      </c>
      <c r="P54" s="284" t="s">
        <v>37</v>
      </c>
      <c r="Q54" s="284" t="s">
        <v>37</v>
      </c>
      <c r="R54" s="284" t="s">
        <v>37</v>
      </c>
      <c r="S54" s="284" t="s">
        <v>37</v>
      </c>
      <c r="T54" s="284" t="s">
        <v>37</v>
      </c>
      <c r="U54" s="284" t="s">
        <v>37</v>
      </c>
      <c r="V54" s="284" t="s">
        <v>37</v>
      </c>
      <c r="W54" s="284" t="s">
        <v>37</v>
      </c>
      <c r="X54" s="284" t="s">
        <v>37</v>
      </c>
      <c r="Y54" s="283" t="s">
        <v>37</v>
      </c>
      <c r="Z54" s="284" t="s">
        <v>37</v>
      </c>
      <c r="AA54" s="284" t="s">
        <v>37</v>
      </c>
      <c r="AB54" s="284" t="s">
        <v>37</v>
      </c>
      <c r="AC54" s="284" t="s">
        <v>37</v>
      </c>
      <c r="AD54" s="284" t="s">
        <v>37</v>
      </c>
      <c r="AE54" s="284" t="s">
        <v>37</v>
      </c>
      <c r="AF54" s="6">
        <v>1070</v>
      </c>
      <c r="AG54" s="6"/>
      <c r="AH54" s="35">
        <f t="shared" si="0"/>
        <v>403</v>
      </c>
      <c r="AI54" s="6">
        <v>222</v>
      </c>
      <c r="AJ54" s="6">
        <v>1219</v>
      </c>
      <c r="AK54" s="35">
        <f t="shared" si="1"/>
        <v>371</v>
      </c>
      <c r="AL54" s="35">
        <v>590</v>
      </c>
      <c r="AM54" s="35"/>
      <c r="AN54" s="35">
        <f t="shared" si="2"/>
        <v>368</v>
      </c>
      <c r="AO54" s="6">
        <v>956</v>
      </c>
      <c r="AP54" s="6"/>
      <c r="AQ54" s="35">
        <f t="shared" si="3"/>
        <v>366</v>
      </c>
      <c r="AR54" s="6">
        <v>1312</v>
      </c>
      <c r="AS54" s="6"/>
      <c r="AT54" s="34">
        <f t="shared" si="4"/>
        <v>356</v>
      </c>
      <c r="AU54" s="35">
        <v>105</v>
      </c>
      <c r="AV54" s="35">
        <v>1561</v>
      </c>
      <c r="AW54" s="35">
        <f t="shared" si="5"/>
        <v>354</v>
      </c>
      <c r="AX54" s="6"/>
      <c r="AY54" s="6"/>
      <c r="AZ54" s="35"/>
      <c r="BA54" s="6">
        <v>477</v>
      </c>
      <c r="BB54" s="6"/>
      <c r="BC54" s="35">
        <f t="shared" si="6"/>
        <v>372</v>
      </c>
      <c r="BD54" s="35">
        <v>851</v>
      </c>
      <c r="BE54" s="35"/>
      <c r="BF54" s="35">
        <f t="shared" si="7"/>
        <v>374</v>
      </c>
      <c r="BG54" s="6">
        <v>1216</v>
      </c>
      <c r="BH54" s="6"/>
      <c r="BI54" s="35">
        <f t="shared" si="8"/>
        <v>365</v>
      </c>
      <c r="BJ54" s="6">
        <v>28</v>
      </c>
      <c r="BK54" s="6">
        <v>1560</v>
      </c>
      <c r="BL54" s="35">
        <f t="shared" si="9"/>
        <v>372</v>
      </c>
      <c r="BM54" s="6">
        <v>391</v>
      </c>
      <c r="BN54" s="6"/>
      <c r="BO54" s="6">
        <f t="shared" si="10"/>
        <v>363</v>
      </c>
      <c r="BP54" s="6">
        <v>739</v>
      </c>
      <c r="BQ54" s="6"/>
      <c r="BR54" s="6">
        <f t="shared" si="11"/>
        <v>348</v>
      </c>
      <c r="BS54" s="6"/>
      <c r="BT54" s="6"/>
      <c r="BU54" s="35"/>
      <c r="BV54" s="6">
        <v>1104</v>
      </c>
      <c r="BW54" s="6"/>
      <c r="BX54" s="6">
        <f t="shared" si="12"/>
        <v>365</v>
      </c>
      <c r="BY54" s="6">
        <v>1480</v>
      </c>
      <c r="BZ54" s="6"/>
      <c r="CA54" s="35">
        <f t="shared" si="13"/>
        <v>376</v>
      </c>
      <c r="CB54" s="6">
        <v>299</v>
      </c>
      <c r="CC54" s="6">
        <v>1560</v>
      </c>
      <c r="CD54" s="6">
        <f t="shared" si="14"/>
        <v>379</v>
      </c>
      <c r="CE54" s="6">
        <v>679</v>
      </c>
      <c r="CF54" s="6"/>
      <c r="CG54" s="6">
        <f t="shared" si="15"/>
        <v>380</v>
      </c>
      <c r="CH54" s="6">
        <v>1054</v>
      </c>
      <c r="CI54" s="6"/>
      <c r="CJ54" s="6">
        <f t="shared" si="16"/>
        <v>375</v>
      </c>
      <c r="CK54" s="6">
        <v>1410</v>
      </c>
      <c r="CL54" s="6"/>
      <c r="CM54" s="6">
        <f t="shared" si="17"/>
        <v>356</v>
      </c>
      <c r="CN54" s="6"/>
      <c r="CO54" s="6"/>
      <c r="CP54" s="6"/>
      <c r="CQ54" s="6">
        <v>0</v>
      </c>
      <c r="CR54" s="6">
        <v>1580</v>
      </c>
      <c r="CS54" s="6">
        <f t="shared" si="18"/>
        <v>170</v>
      </c>
      <c r="CT54" s="6">
        <v>345</v>
      </c>
      <c r="CU54" s="6"/>
      <c r="CV54" s="6">
        <f t="shared" si="19"/>
        <v>345</v>
      </c>
      <c r="CW54" s="6">
        <v>169</v>
      </c>
      <c r="CX54" s="6">
        <v>553</v>
      </c>
      <c r="CY54" s="6">
        <f t="shared" si="20"/>
        <v>377</v>
      </c>
      <c r="CZ54" s="6">
        <v>549</v>
      </c>
      <c r="DA54" s="6"/>
      <c r="DB54" s="6">
        <f t="shared" si="21"/>
        <v>380</v>
      </c>
      <c r="DC54" s="6">
        <v>928</v>
      </c>
      <c r="DD54" s="6"/>
      <c r="DE54" s="6">
        <f t="shared" si="22"/>
        <v>379</v>
      </c>
      <c r="DF54" s="6">
        <v>1294</v>
      </c>
      <c r="DG54" s="6"/>
      <c r="DH54" s="6">
        <f t="shared" si="23"/>
        <v>366</v>
      </c>
      <c r="DI54" s="6"/>
      <c r="DJ54" s="6"/>
      <c r="DK54" s="6"/>
      <c r="DL54" s="6">
        <v>161</v>
      </c>
      <c r="DM54" s="6">
        <v>1521</v>
      </c>
      <c r="DN54" s="6">
        <f t="shared" si="24"/>
        <v>388</v>
      </c>
      <c r="DO54" s="6">
        <v>522</v>
      </c>
      <c r="DP54" s="6"/>
      <c r="DQ54" s="6">
        <f t="shared" si="25"/>
        <v>361</v>
      </c>
    </row>
    <row r="55" spans="1:121">
      <c r="A55" s="6">
        <v>51</v>
      </c>
      <c r="B55" s="6">
        <v>28</v>
      </c>
      <c r="C55" s="6">
        <v>787</v>
      </c>
      <c r="D55" s="6">
        <v>343</v>
      </c>
      <c r="E55" s="33" t="s">
        <v>307</v>
      </c>
      <c r="F55" s="33" t="s">
        <v>307</v>
      </c>
      <c r="G55" s="33" t="s">
        <v>307</v>
      </c>
      <c r="H55" s="33" t="s">
        <v>307</v>
      </c>
      <c r="I55" s="33" t="s">
        <v>307</v>
      </c>
      <c r="J55" s="33" t="s">
        <v>307</v>
      </c>
      <c r="K55" s="33" t="s">
        <v>307</v>
      </c>
      <c r="L55" s="33" t="s">
        <v>307</v>
      </c>
      <c r="M55" s="33" t="s">
        <v>307</v>
      </c>
      <c r="N55" s="33" t="s">
        <v>307</v>
      </c>
      <c r="O55" s="33" t="s">
        <v>307</v>
      </c>
      <c r="P55" s="33" t="s">
        <v>307</v>
      </c>
      <c r="Q55" s="148" t="s">
        <v>307</v>
      </c>
      <c r="R55" s="33" t="s">
        <v>307</v>
      </c>
      <c r="S55" s="33" t="s">
        <v>307</v>
      </c>
      <c r="T55" s="33" t="s">
        <v>307</v>
      </c>
      <c r="U55" s="33" t="s">
        <v>307</v>
      </c>
      <c r="V55" s="33" t="s">
        <v>307</v>
      </c>
      <c r="W55" s="33" t="s">
        <v>307</v>
      </c>
      <c r="X55" s="33" t="s">
        <v>307</v>
      </c>
      <c r="Y55" s="33" t="s">
        <v>307</v>
      </c>
      <c r="Z55" s="33" t="s">
        <v>307</v>
      </c>
      <c r="AA55" s="33" t="s">
        <v>307</v>
      </c>
      <c r="AB55" s="33" t="s">
        <v>307</v>
      </c>
      <c r="AC55" s="33" t="s">
        <v>307</v>
      </c>
      <c r="AD55" s="33" t="s">
        <v>307</v>
      </c>
      <c r="AE55" s="33" t="s">
        <v>307</v>
      </c>
      <c r="AF55" s="6">
        <v>442</v>
      </c>
      <c r="AG55" s="6"/>
      <c r="AH55" s="35">
        <f t="shared" si="0"/>
        <v>414</v>
      </c>
      <c r="AI55" s="6">
        <v>810</v>
      </c>
      <c r="AJ55" s="6"/>
      <c r="AK55" s="35">
        <f t="shared" si="1"/>
        <v>368</v>
      </c>
      <c r="AL55" s="35">
        <v>1191</v>
      </c>
      <c r="AM55" s="35"/>
      <c r="AN55" s="35">
        <f t="shared" si="2"/>
        <v>381</v>
      </c>
      <c r="AO55" s="6">
        <v>15</v>
      </c>
      <c r="AP55" s="6">
        <v>1560</v>
      </c>
      <c r="AQ55" s="35">
        <f t="shared" si="3"/>
        <v>384</v>
      </c>
      <c r="AR55" s="6">
        <v>402</v>
      </c>
      <c r="AS55" s="6"/>
      <c r="AT55" s="34">
        <f t="shared" si="4"/>
        <v>387</v>
      </c>
      <c r="AU55" s="35">
        <v>767</v>
      </c>
      <c r="AV55" s="35"/>
      <c r="AW55" s="35">
        <f t="shared" si="5"/>
        <v>365</v>
      </c>
      <c r="AX55" s="6"/>
      <c r="AY55" s="6"/>
      <c r="AZ55" s="35"/>
      <c r="BA55" s="6">
        <v>1156</v>
      </c>
      <c r="BB55" s="6"/>
      <c r="BC55" s="35">
        <f t="shared" si="6"/>
        <v>389</v>
      </c>
      <c r="BD55" s="35">
        <v>1531</v>
      </c>
      <c r="BE55" s="35"/>
      <c r="BF55" s="35">
        <f t="shared" si="7"/>
        <v>375</v>
      </c>
      <c r="BG55" s="6">
        <v>337</v>
      </c>
      <c r="BH55" s="6">
        <v>1560</v>
      </c>
      <c r="BI55" s="35">
        <f t="shared" si="8"/>
        <v>366</v>
      </c>
      <c r="BJ55" s="6">
        <v>701</v>
      </c>
      <c r="BK55" s="6"/>
      <c r="BL55" s="35">
        <f t="shared" si="9"/>
        <v>364</v>
      </c>
      <c r="BM55" s="6">
        <v>1084</v>
      </c>
      <c r="BN55" s="6"/>
      <c r="BO55" s="6">
        <f t="shared" si="10"/>
        <v>383</v>
      </c>
      <c r="BP55" s="6">
        <v>267</v>
      </c>
      <c r="BQ55" s="6">
        <v>1142</v>
      </c>
      <c r="BR55" s="6">
        <f t="shared" si="11"/>
        <v>325</v>
      </c>
      <c r="BS55" s="6"/>
      <c r="BT55" s="6"/>
      <c r="BU55" s="35"/>
      <c r="BV55" s="6">
        <v>644</v>
      </c>
      <c r="BW55" s="6"/>
      <c r="BX55" s="6">
        <f t="shared" si="12"/>
        <v>377</v>
      </c>
      <c r="BY55" s="6">
        <v>993</v>
      </c>
      <c r="BZ55" s="6"/>
      <c r="CA55" s="35">
        <f t="shared" si="13"/>
        <v>349</v>
      </c>
      <c r="CB55" s="6">
        <v>1370</v>
      </c>
      <c r="CC55" s="6"/>
      <c r="CD55" s="6">
        <f t="shared" si="14"/>
        <v>377</v>
      </c>
      <c r="CE55" s="6">
        <v>1744</v>
      </c>
      <c r="CF55" s="6"/>
      <c r="CG55" s="6">
        <f t="shared" si="15"/>
        <v>374</v>
      </c>
      <c r="CH55" s="6">
        <v>0</v>
      </c>
      <c r="CI55" s="6">
        <v>1820</v>
      </c>
      <c r="CJ55" s="6">
        <f t="shared" si="16"/>
        <v>76</v>
      </c>
      <c r="CK55" s="6">
        <v>8</v>
      </c>
      <c r="CL55" s="6"/>
      <c r="CM55" s="6">
        <f t="shared" si="17"/>
        <v>8</v>
      </c>
      <c r="CN55" s="6"/>
      <c r="CO55" s="6"/>
      <c r="CP55" s="6"/>
      <c r="CQ55" s="6">
        <v>399</v>
      </c>
      <c r="CR55" s="6"/>
      <c r="CS55" s="6">
        <f t="shared" si="18"/>
        <v>391</v>
      </c>
      <c r="CT55" s="6">
        <v>779</v>
      </c>
      <c r="CU55" s="6"/>
      <c r="CV55" s="6">
        <f t="shared" si="19"/>
        <v>380</v>
      </c>
      <c r="CW55" s="6">
        <v>1165</v>
      </c>
      <c r="CX55" s="6"/>
      <c r="CY55" s="6">
        <f t="shared" si="20"/>
        <v>386</v>
      </c>
      <c r="CZ55" s="6">
        <v>92</v>
      </c>
      <c r="DA55" s="6">
        <v>1427</v>
      </c>
      <c r="DB55" s="6">
        <f t="shared" si="21"/>
        <v>354</v>
      </c>
      <c r="DC55" s="6">
        <v>467</v>
      </c>
      <c r="DD55" s="6"/>
      <c r="DE55" s="6">
        <f t="shared" si="22"/>
        <v>375</v>
      </c>
      <c r="DF55" s="6">
        <v>295</v>
      </c>
      <c r="DG55" s="6">
        <v>494</v>
      </c>
      <c r="DH55" s="6">
        <f t="shared" si="23"/>
        <v>322</v>
      </c>
      <c r="DI55" s="6"/>
      <c r="DJ55" s="6"/>
      <c r="DK55" s="6"/>
      <c r="DL55" s="6">
        <v>685</v>
      </c>
      <c r="DM55" s="6"/>
      <c r="DN55" s="6">
        <f t="shared" si="24"/>
        <v>390</v>
      </c>
      <c r="DO55" s="6">
        <v>1052</v>
      </c>
      <c r="DP55" s="6"/>
      <c r="DQ55" s="6">
        <f t="shared" si="25"/>
        <v>367</v>
      </c>
    </row>
    <row r="56" spans="1:121">
      <c r="A56" s="6">
        <v>52</v>
      </c>
      <c r="B56" s="6">
        <v>482</v>
      </c>
      <c r="C56" s="6"/>
      <c r="D56" s="6">
        <v>348</v>
      </c>
      <c r="E56" s="33" t="s">
        <v>37</v>
      </c>
      <c r="F56" s="33" t="s">
        <v>37</v>
      </c>
      <c r="G56" s="33" t="s">
        <v>37</v>
      </c>
      <c r="H56" s="148" t="s">
        <v>37</v>
      </c>
      <c r="I56" s="33" t="s">
        <v>37</v>
      </c>
      <c r="J56" s="33" t="s">
        <v>37</v>
      </c>
      <c r="K56" s="33" t="s">
        <v>37</v>
      </c>
      <c r="L56" s="33" t="s">
        <v>37</v>
      </c>
      <c r="M56" s="33" t="s">
        <v>37</v>
      </c>
      <c r="N56" s="33" t="s">
        <v>37</v>
      </c>
      <c r="O56" s="33" t="s">
        <v>37</v>
      </c>
      <c r="P56" s="33" t="s">
        <v>37</v>
      </c>
      <c r="Q56" s="33" t="s">
        <v>37</v>
      </c>
      <c r="R56" s="33" t="s">
        <v>37</v>
      </c>
      <c r="S56" s="33" t="s">
        <v>37</v>
      </c>
      <c r="T56" s="33" t="s">
        <v>37</v>
      </c>
      <c r="U56" s="33" t="s">
        <v>37</v>
      </c>
      <c r="V56" s="33" t="s">
        <v>37</v>
      </c>
      <c r="W56" s="33" t="s">
        <v>37</v>
      </c>
      <c r="X56" s="33" t="s">
        <v>37</v>
      </c>
      <c r="Y56" s="33" t="s">
        <v>37</v>
      </c>
      <c r="Z56" s="33" t="s">
        <v>37</v>
      </c>
      <c r="AA56" s="33" t="s">
        <v>37</v>
      </c>
      <c r="AB56" s="33" t="s">
        <v>37</v>
      </c>
      <c r="AC56" s="148" t="s">
        <v>37</v>
      </c>
      <c r="AD56" s="33" t="s">
        <v>37</v>
      </c>
      <c r="AE56" s="33" t="s">
        <v>37</v>
      </c>
      <c r="AF56" s="6">
        <v>888</v>
      </c>
      <c r="AG56" s="6"/>
      <c r="AH56" s="35">
        <f t="shared" si="0"/>
        <v>406</v>
      </c>
      <c r="AI56" s="6">
        <v>1264</v>
      </c>
      <c r="AJ56" s="6"/>
      <c r="AK56" s="35">
        <f t="shared" si="1"/>
        <v>376</v>
      </c>
      <c r="AL56" s="35">
        <v>330</v>
      </c>
      <c r="AM56" s="35">
        <v>1300</v>
      </c>
      <c r="AN56" s="35">
        <f t="shared" si="2"/>
        <v>366</v>
      </c>
      <c r="AO56" s="6">
        <v>708</v>
      </c>
      <c r="AP56" s="6"/>
      <c r="AQ56" s="35">
        <f t="shared" si="3"/>
        <v>378</v>
      </c>
      <c r="AR56" s="6">
        <v>1074</v>
      </c>
      <c r="AS56" s="6"/>
      <c r="AT56" s="34">
        <f t="shared" si="4"/>
        <v>366</v>
      </c>
      <c r="AU56" s="35">
        <v>1435</v>
      </c>
      <c r="AV56" s="35"/>
      <c r="AW56" s="35">
        <f t="shared" si="5"/>
        <v>361</v>
      </c>
      <c r="AX56" s="6"/>
      <c r="AY56" s="6"/>
      <c r="AZ56" s="35"/>
      <c r="BA56" s="6">
        <v>259</v>
      </c>
      <c r="BB56" s="6">
        <v>1560</v>
      </c>
      <c r="BC56" s="35">
        <f t="shared" si="6"/>
        <v>384</v>
      </c>
      <c r="BD56" s="35">
        <v>635</v>
      </c>
      <c r="BE56" s="35"/>
      <c r="BF56" s="35">
        <f t="shared" si="7"/>
        <v>376</v>
      </c>
      <c r="BG56" s="35">
        <v>1014</v>
      </c>
      <c r="BH56" s="6"/>
      <c r="BI56" s="35">
        <f t="shared" si="8"/>
        <v>379</v>
      </c>
      <c r="BJ56" s="35">
        <v>1391</v>
      </c>
      <c r="BK56" s="6"/>
      <c r="BL56" s="35">
        <f t="shared" si="9"/>
        <v>377</v>
      </c>
      <c r="BM56" s="6">
        <v>213</v>
      </c>
      <c r="BN56" s="6">
        <v>1560</v>
      </c>
      <c r="BO56" s="6">
        <f t="shared" si="10"/>
        <v>382</v>
      </c>
      <c r="BP56" s="6">
        <v>580</v>
      </c>
      <c r="BQ56" s="6"/>
      <c r="BR56" s="6">
        <f t="shared" si="11"/>
        <v>367</v>
      </c>
      <c r="BS56" s="6"/>
      <c r="BT56" s="6"/>
      <c r="BU56" s="35"/>
      <c r="BV56" s="6">
        <v>965</v>
      </c>
      <c r="BW56" s="6"/>
      <c r="BX56" s="6">
        <f t="shared" si="12"/>
        <v>385</v>
      </c>
      <c r="BY56" s="6">
        <v>1345</v>
      </c>
      <c r="BZ56" s="6"/>
      <c r="CA56" s="35">
        <f t="shared" si="13"/>
        <v>380</v>
      </c>
      <c r="CB56" s="6">
        <v>166</v>
      </c>
      <c r="CC56" s="6">
        <v>1560</v>
      </c>
      <c r="CD56" s="6">
        <f t="shared" si="14"/>
        <v>381</v>
      </c>
      <c r="CE56" s="6">
        <v>543</v>
      </c>
      <c r="CF56" s="6"/>
      <c r="CG56" s="6">
        <f t="shared" si="15"/>
        <v>377</v>
      </c>
      <c r="CH56" s="6">
        <v>922</v>
      </c>
      <c r="CI56" s="6"/>
      <c r="CJ56" s="6">
        <f t="shared" si="16"/>
        <v>379</v>
      </c>
      <c r="CK56" s="6">
        <v>1289</v>
      </c>
      <c r="CL56" s="6"/>
      <c r="CM56" s="6">
        <f t="shared" si="17"/>
        <v>367</v>
      </c>
      <c r="CN56" s="6"/>
      <c r="CO56" s="6"/>
      <c r="CP56" s="6"/>
      <c r="CQ56" s="6">
        <v>117</v>
      </c>
      <c r="CR56" s="6">
        <v>1560</v>
      </c>
      <c r="CS56" s="6">
        <f t="shared" si="18"/>
        <v>388</v>
      </c>
      <c r="CT56" s="6">
        <v>482</v>
      </c>
      <c r="CU56" s="6"/>
      <c r="CV56" s="6">
        <f t="shared" si="19"/>
        <v>365</v>
      </c>
      <c r="CW56" s="6">
        <v>836</v>
      </c>
      <c r="CX56" s="6"/>
      <c r="CY56" s="6">
        <f t="shared" si="20"/>
        <v>354</v>
      </c>
      <c r="CZ56" s="6">
        <v>1217</v>
      </c>
      <c r="DA56" s="6"/>
      <c r="DB56" s="6">
        <f t="shared" si="21"/>
        <v>381</v>
      </c>
      <c r="DC56" s="6">
        <v>1597</v>
      </c>
      <c r="DD56" s="6"/>
      <c r="DE56" s="6">
        <f t="shared" si="22"/>
        <v>380</v>
      </c>
      <c r="DF56" s="6">
        <v>312</v>
      </c>
      <c r="DG56" s="6">
        <v>1621</v>
      </c>
      <c r="DH56" s="6">
        <f t="shared" si="23"/>
        <v>336</v>
      </c>
      <c r="DI56" s="6"/>
      <c r="DJ56" s="6"/>
      <c r="DK56" s="6"/>
      <c r="DL56" s="6">
        <v>699</v>
      </c>
      <c r="DM56" s="6"/>
      <c r="DN56" s="6">
        <f t="shared" si="24"/>
        <v>387</v>
      </c>
      <c r="DO56" s="6">
        <v>1062</v>
      </c>
      <c r="DP56" s="6"/>
      <c r="DQ56" s="6">
        <f t="shared" si="25"/>
        <v>363</v>
      </c>
    </row>
    <row r="57" spans="1:121">
      <c r="A57" s="6">
        <v>53</v>
      </c>
      <c r="B57" s="6">
        <v>654</v>
      </c>
      <c r="C57" s="6"/>
      <c r="D57" s="6">
        <v>313</v>
      </c>
      <c r="E57" s="312" t="s">
        <v>320</v>
      </c>
      <c r="F57" s="312" t="s">
        <v>320</v>
      </c>
      <c r="G57" s="312" t="s">
        <v>320</v>
      </c>
      <c r="H57" s="312" t="s">
        <v>320</v>
      </c>
      <c r="I57" s="312" t="s">
        <v>320</v>
      </c>
      <c r="J57" s="312" t="s">
        <v>320</v>
      </c>
      <c r="K57" s="312" t="s">
        <v>320</v>
      </c>
      <c r="L57" s="312" t="s">
        <v>320</v>
      </c>
      <c r="M57" s="312" t="s">
        <v>320</v>
      </c>
      <c r="N57" s="311" t="s">
        <v>320</v>
      </c>
      <c r="O57" s="312" t="s">
        <v>320</v>
      </c>
      <c r="P57" s="312" t="s">
        <v>320</v>
      </c>
      <c r="Q57" s="312" t="s">
        <v>320</v>
      </c>
      <c r="R57" s="312" t="s">
        <v>320</v>
      </c>
      <c r="S57" s="312" t="s">
        <v>320</v>
      </c>
      <c r="T57" s="312" t="s">
        <v>320</v>
      </c>
      <c r="U57" s="312" t="s">
        <v>320</v>
      </c>
      <c r="V57" s="312" t="s">
        <v>320</v>
      </c>
      <c r="W57" s="312" t="s">
        <v>320</v>
      </c>
      <c r="X57" s="312" t="s">
        <v>320</v>
      </c>
      <c r="Y57" s="312" t="s">
        <v>320</v>
      </c>
      <c r="Z57" s="312" t="s">
        <v>320</v>
      </c>
      <c r="AA57" s="312" t="s">
        <v>320</v>
      </c>
      <c r="AB57" s="312" t="s">
        <v>320</v>
      </c>
      <c r="AC57" s="312" t="s">
        <v>320</v>
      </c>
      <c r="AD57" s="312" t="s">
        <v>320</v>
      </c>
      <c r="AE57" s="312" t="s">
        <v>320</v>
      </c>
      <c r="AF57" s="6">
        <v>1025</v>
      </c>
      <c r="AG57" s="6"/>
      <c r="AH57" s="35">
        <f t="shared" si="0"/>
        <v>371</v>
      </c>
      <c r="AI57" s="6">
        <v>169</v>
      </c>
      <c r="AJ57" s="6">
        <v>1200</v>
      </c>
      <c r="AK57" s="35">
        <f t="shared" si="1"/>
        <v>344</v>
      </c>
      <c r="AL57" s="35">
        <v>520</v>
      </c>
      <c r="AM57" s="35"/>
      <c r="AN57" s="35">
        <f t="shared" si="2"/>
        <v>351</v>
      </c>
      <c r="AO57" s="6">
        <v>870</v>
      </c>
      <c r="AP57" s="6"/>
      <c r="AQ57" s="35">
        <f t="shared" si="3"/>
        <v>350</v>
      </c>
      <c r="AR57" s="6">
        <v>18</v>
      </c>
      <c r="AS57" s="6">
        <v>1200</v>
      </c>
      <c r="AT57" s="34">
        <f t="shared" si="4"/>
        <v>348</v>
      </c>
      <c r="AU57" s="35">
        <v>344</v>
      </c>
      <c r="AV57" s="35"/>
      <c r="AW57" s="35">
        <f t="shared" si="5"/>
        <v>326</v>
      </c>
      <c r="AX57" s="6"/>
      <c r="AY57" s="6"/>
      <c r="AZ57" s="35"/>
      <c r="BA57" s="6">
        <v>693</v>
      </c>
      <c r="BB57" s="6"/>
      <c r="BC57" s="35">
        <f t="shared" si="6"/>
        <v>349</v>
      </c>
      <c r="BD57" s="35">
        <v>1038</v>
      </c>
      <c r="BE57" s="35"/>
      <c r="BF57" s="35">
        <f t="shared" si="7"/>
        <v>345</v>
      </c>
      <c r="BG57" s="6">
        <v>258</v>
      </c>
      <c r="BH57" s="6">
        <v>1100</v>
      </c>
      <c r="BI57" s="35">
        <f t="shared" si="8"/>
        <v>320</v>
      </c>
      <c r="BJ57" s="6">
        <v>607</v>
      </c>
      <c r="BK57" s="6"/>
      <c r="BL57" s="35">
        <f t="shared" si="9"/>
        <v>349</v>
      </c>
      <c r="BM57" s="6">
        <v>954</v>
      </c>
      <c r="BN57" s="6"/>
      <c r="BO57" s="6">
        <f t="shared" si="10"/>
        <v>347</v>
      </c>
      <c r="BP57" s="6">
        <v>67</v>
      </c>
      <c r="BQ57" s="6">
        <v>1200</v>
      </c>
      <c r="BR57" s="6">
        <f t="shared" si="11"/>
        <v>313</v>
      </c>
      <c r="BS57" s="6"/>
      <c r="BT57" s="6"/>
      <c r="BU57" s="35"/>
      <c r="BV57" s="6">
        <v>67</v>
      </c>
      <c r="BW57" s="6"/>
      <c r="BX57" s="6">
        <f t="shared" si="12"/>
        <v>0</v>
      </c>
      <c r="BY57" s="6">
        <v>67</v>
      </c>
      <c r="BZ57" s="6"/>
      <c r="CA57" s="35">
        <f t="shared" si="13"/>
        <v>0</v>
      </c>
      <c r="CB57" s="6">
        <v>67</v>
      </c>
      <c r="CC57" s="6"/>
      <c r="CD57" s="6">
        <f t="shared" si="14"/>
        <v>0</v>
      </c>
      <c r="CE57" s="6">
        <v>67</v>
      </c>
      <c r="CF57" s="6"/>
      <c r="CG57" s="6">
        <f t="shared" si="15"/>
        <v>0</v>
      </c>
      <c r="CH57" s="6">
        <v>67</v>
      </c>
      <c r="CI57" s="6"/>
      <c r="CJ57" s="6">
        <f t="shared" si="16"/>
        <v>0</v>
      </c>
      <c r="CK57" s="6">
        <v>67</v>
      </c>
      <c r="CL57" s="6"/>
      <c r="CM57" s="6">
        <f t="shared" si="17"/>
        <v>0</v>
      </c>
      <c r="CN57" s="6"/>
      <c r="CO57" s="6"/>
      <c r="CP57" s="6"/>
      <c r="CQ57" s="6">
        <v>67</v>
      </c>
      <c r="CR57" s="6"/>
      <c r="CS57" s="6">
        <f t="shared" si="18"/>
        <v>0</v>
      </c>
      <c r="CT57" s="6">
        <v>67</v>
      </c>
      <c r="CU57" s="6"/>
      <c r="CV57" s="6">
        <f t="shared" si="19"/>
        <v>0</v>
      </c>
      <c r="CW57" s="6">
        <v>67</v>
      </c>
      <c r="CX57" s="6"/>
      <c r="CY57" s="6">
        <f t="shared" si="20"/>
        <v>0</v>
      </c>
      <c r="CZ57" s="6">
        <v>67</v>
      </c>
      <c r="DA57" s="6"/>
      <c r="DB57" s="6">
        <f t="shared" si="21"/>
        <v>0</v>
      </c>
      <c r="DC57" s="6">
        <v>331</v>
      </c>
      <c r="DD57" s="6"/>
      <c r="DE57" s="6">
        <f t="shared" si="22"/>
        <v>264</v>
      </c>
      <c r="DF57" s="6">
        <v>4</v>
      </c>
      <c r="DG57" s="6">
        <v>656</v>
      </c>
      <c r="DH57" s="6">
        <f t="shared" si="23"/>
        <v>329</v>
      </c>
      <c r="DI57" s="6"/>
      <c r="DJ57" s="6"/>
      <c r="DK57" s="6"/>
      <c r="DL57" s="6">
        <v>345</v>
      </c>
      <c r="DM57" s="6"/>
      <c r="DN57" s="6">
        <f t="shared" si="24"/>
        <v>341</v>
      </c>
      <c r="DO57" s="6">
        <v>654</v>
      </c>
      <c r="DP57" s="6"/>
      <c r="DQ57" s="6">
        <f t="shared" si="25"/>
        <v>309</v>
      </c>
    </row>
    <row r="58" spans="1:121">
      <c r="A58" s="6">
        <v>54</v>
      </c>
      <c r="B58" s="6">
        <v>943</v>
      </c>
      <c r="C58" s="6"/>
      <c r="D58" s="6">
        <v>307</v>
      </c>
      <c r="E58" s="33" t="s">
        <v>320</v>
      </c>
      <c r="F58" s="33" t="s">
        <v>320</v>
      </c>
      <c r="G58" s="33" t="s">
        <v>320</v>
      </c>
      <c r="H58" s="33" t="s">
        <v>320</v>
      </c>
      <c r="I58" s="33" t="s">
        <v>320</v>
      </c>
      <c r="J58" s="33" t="s">
        <v>320</v>
      </c>
      <c r="K58" s="33" t="s">
        <v>320</v>
      </c>
      <c r="L58" s="33" t="s">
        <v>320</v>
      </c>
      <c r="M58" s="148" t="s">
        <v>37</v>
      </c>
      <c r="N58" s="33" t="s">
        <v>37</v>
      </c>
      <c r="O58" s="33" t="s">
        <v>37</v>
      </c>
      <c r="P58" s="33" t="s">
        <v>37</v>
      </c>
      <c r="Q58" s="33" t="s">
        <v>37</v>
      </c>
      <c r="R58" s="33" t="s">
        <v>37</v>
      </c>
      <c r="S58" s="33" t="s">
        <v>37</v>
      </c>
      <c r="T58" s="33" t="s">
        <v>37</v>
      </c>
      <c r="U58" s="33" t="s">
        <v>37</v>
      </c>
      <c r="V58" s="33" t="s">
        <v>37</v>
      </c>
      <c r="W58" s="33" t="s">
        <v>37</v>
      </c>
      <c r="X58" s="33" t="s">
        <v>37</v>
      </c>
      <c r="Y58" s="33" t="s">
        <v>37</v>
      </c>
      <c r="Z58" s="33" t="s">
        <v>37</v>
      </c>
      <c r="AA58" s="33" t="s">
        <v>37</v>
      </c>
      <c r="AB58" s="33" t="s">
        <v>37</v>
      </c>
      <c r="AC58" s="33" t="s">
        <v>37</v>
      </c>
      <c r="AD58" s="33" t="s">
        <v>37</v>
      </c>
      <c r="AE58" s="33" t="s">
        <v>37</v>
      </c>
      <c r="AF58" s="35">
        <v>98</v>
      </c>
      <c r="AG58" s="35">
        <v>1200</v>
      </c>
      <c r="AH58" s="35">
        <f t="shared" si="0"/>
        <v>355</v>
      </c>
      <c r="AI58" s="35">
        <v>439</v>
      </c>
      <c r="AJ58" s="35"/>
      <c r="AK58" s="35">
        <f t="shared" si="1"/>
        <v>341</v>
      </c>
      <c r="AL58" s="35">
        <v>787</v>
      </c>
      <c r="AM58" s="35"/>
      <c r="AN58" s="35">
        <f t="shared" si="2"/>
        <v>348</v>
      </c>
      <c r="AO58" s="6">
        <v>1131</v>
      </c>
      <c r="AP58" s="35"/>
      <c r="AQ58" s="35">
        <f t="shared" si="3"/>
        <v>344</v>
      </c>
      <c r="AR58" s="6">
        <v>277</v>
      </c>
      <c r="AS58" s="6">
        <v>1200</v>
      </c>
      <c r="AT58" s="34">
        <f t="shared" si="4"/>
        <v>346</v>
      </c>
      <c r="AU58" s="35">
        <v>603</v>
      </c>
      <c r="AV58" s="35"/>
      <c r="AW58" s="35">
        <f t="shared" si="5"/>
        <v>326</v>
      </c>
      <c r="AX58" s="6"/>
      <c r="AY58" s="6"/>
      <c r="AZ58" s="35"/>
      <c r="BA58" s="35">
        <v>949</v>
      </c>
      <c r="BB58" s="6"/>
      <c r="BC58" s="35">
        <f t="shared" si="6"/>
        <v>346</v>
      </c>
      <c r="BD58" s="6">
        <v>310</v>
      </c>
      <c r="BE58" s="6">
        <v>958</v>
      </c>
      <c r="BF58" s="35">
        <f t="shared" si="7"/>
        <v>319</v>
      </c>
      <c r="BG58" s="35">
        <v>683</v>
      </c>
      <c r="BH58" s="6"/>
      <c r="BI58" s="35">
        <f t="shared" si="8"/>
        <v>373</v>
      </c>
      <c r="BJ58" s="6">
        <v>1057</v>
      </c>
      <c r="BK58" s="6"/>
      <c r="BL58" s="35">
        <f t="shared" si="9"/>
        <v>374</v>
      </c>
      <c r="BM58" s="6">
        <v>1436</v>
      </c>
      <c r="BN58" s="35"/>
      <c r="BO58" s="6">
        <f t="shared" si="10"/>
        <v>379</v>
      </c>
      <c r="BP58" s="6">
        <v>232</v>
      </c>
      <c r="BQ58" s="6">
        <v>1560</v>
      </c>
      <c r="BR58" s="6">
        <f t="shared" si="11"/>
        <v>356</v>
      </c>
      <c r="BS58" s="6"/>
      <c r="BT58" s="6"/>
      <c r="BU58" s="35"/>
      <c r="BV58" s="6">
        <v>619</v>
      </c>
      <c r="BW58" s="6"/>
      <c r="BX58" s="6">
        <f t="shared" si="12"/>
        <v>387</v>
      </c>
      <c r="BY58" s="6">
        <v>999</v>
      </c>
      <c r="BZ58" s="6"/>
      <c r="CA58" s="35">
        <f t="shared" si="13"/>
        <v>380</v>
      </c>
      <c r="CB58" s="6">
        <v>1381</v>
      </c>
      <c r="CC58" s="35"/>
      <c r="CD58" s="6">
        <f t="shared" si="14"/>
        <v>382</v>
      </c>
      <c r="CE58" s="6">
        <v>206</v>
      </c>
      <c r="CF58" s="6">
        <v>1560</v>
      </c>
      <c r="CG58" s="6">
        <f t="shared" si="15"/>
        <v>385</v>
      </c>
      <c r="CH58" s="6">
        <v>599</v>
      </c>
      <c r="CI58" s="35"/>
      <c r="CJ58" s="6">
        <f t="shared" si="16"/>
        <v>393</v>
      </c>
      <c r="CK58" s="6">
        <v>980</v>
      </c>
      <c r="CL58" s="6"/>
      <c r="CM58" s="6">
        <f t="shared" si="17"/>
        <v>381</v>
      </c>
      <c r="CN58" s="6"/>
      <c r="CO58" s="6"/>
      <c r="CP58" s="6"/>
      <c r="CQ58" s="6">
        <v>1361</v>
      </c>
      <c r="CR58" s="6"/>
      <c r="CS58" s="6">
        <f t="shared" si="18"/>
        <v>381</v>
      </c>
      <c r="CT58" s="6">
        <v>177</v>
      </c>
      <c r="CU58" s="6">
        <v>1560</v>
      </c>
      <c r="CV58" s="6">
        <f t="shared" si="19"/>
        <v>376</v>
      </c>
      <c r="CW58" s="6">
        <v>557</v>
      </c>
      <c r="CX58" s="6"/>
      <c r="CY58" s="6">
        <f t="shared" si="20"/>
        <v>380</v>
      </c>
      <c r="CZ58" s="6">
        <v>938</v>
      </c>
      <c r="DA58" s="6"/>
      <c r="DB58" s="6">
        <f t="shared" si="21"/>
        <v>381</v>
      </c>
      <c r="DC58" s="6">
        <v>1317</v>
      </c>
      <c r="DD58" s="6"/>
      <c r="DE58" s="6">
        <f t="shared" si="22"/>
        <v>379</v>
      </c>
      <c r="DF58" s="6">
        <v>118</v>
      </c>
      <c r="DG58" s="6">
        <v>1560</v>
      </c>
      <c r="DH58" s="6">
        <f t="shared" si="23"/>
        <v>361</v>
      </c>
      <c r="DI58" s="6"/>
      <c r="DJ58" s="6"/>
      <c r="DK58" s="6"/>
      <c r="DL58" s="6">
        <v>500</v>
      </c>
      <c r="DM58" s="6"/>
      <c r="DN58" s="6">
        <f t="shared" si="24"/>
        <v>382</v>
      </c>
      <c r="DO58" s="6">
        <v>862</v>
      </c>
      <c r="DP58" s="6"/>
      <c r="DQ58" s="6">
        <f t="shared" si="25"/>
        <v>362</v>
      </c>
    </row>
    <row r="59" spans="1:121">
      <c r="A59" s="6">
        <v>55</v>
      </c>
      <c r="B59" s="6">
        <v>701</v>
      </c>
      <c r="C59" s="6"/>
      <c r="D59" s="6">
        <v>353</v>
      </c>
      <c r="E59" s="33" t="s">
        <v>307</v>
      </c>
      <c r="F59" s="33" t="s">
        <v>307</v>
      </c>
      <c r="G59" s="33" t="s">
        <v>307</v>
      </c>
      <c r="H59" s="33" t="s">
        <v>307</v>
      </c>
      <c r="I59" s="33" t="s">
        <v>307</v>
      </c>
      <c r="J59" s="33" t="s">
        <v>307</v>
      </c>
      <c r="K59" s="33" t="s">
        <v>307</v>
      </c>
      <c r="L59" s="33" t="s">
        <v>307</v>
      </c>
      <c r="M59" s="33" t="s">
        <v>307</v>
      </c>
      <c r="N59" s="33" t="s">
        <v>307</v>
      </c>
      <c r="O59" s="33" t="s">
        <v>307</v>
      </c>
      <c r="P59" s="148" t="s">
        <v>307</v>
      </c>
      <c r="Q59" s="33" t="s">
        <v>307</v>
      </c>
      <c r="R59" s="33" t="s">
        <v>307</v>
      </c>
      <c r="S59" s="33" t="s">
        <v>307</v>
      </c>
      <c r="T59" s="33" t="s">
        <v>307</v>
      </c>
      <c r="U59" s="33" t="s">
        <v>307</v>
      </c>
      <c r="V59" s="33" t="s">
        <v>307</v>
      </c>
      <c r="W59" s="33" t="s">
        <v>307</v>
      </c>
      <c r="X59" s="33" t="s">
        <v>307</v>
      </c>
      <c r="Y59" s="33" t="s">
        <v>307</v>
      </c>
      <c r="Z59" s="33" t="s">
        <v>307</v>
      </c>
      <c r="AA59" s="33" t="s">
        <v>307</v>
      </c>
      <c r="AB59" s="33" t="s">
        <v>307</v>
      </c>
      <c r="AC59" s="33" t="s">
        <v>307</v>
      </c>
      <c r="AD59" s="33" t="s">
        <v>307</v>
      </c>
      <c r="AE59" s="33" t="s">
        <v>307</v>
      </c>
      <c r="AF59" s="6">
        <v>1110</v>
      </c>
      <c r="AG59" s="6"/>
      <c r="AH59" s="35">
        <f t="shared" si="0"/>
        <v>409</v>
      </c>
      <c r="AI59" s="6">
        <v>1494</v>
      </c>
      <c r="AJ59" s="6"/>
      <c r="AK59" s="35">
        <f t="shared" si="1"/>
        <v>384</v>
      </c>
      <c r="AL59" s="35">
        <v>318</v>
      </c>
      <c r="AM59" s="35">
        <v>1560</v>
      </c>
      <c r="AN59" s="35">
        <f t="shared" si="2"/>
        <v>384</v>
      </c>
      <c r="AO59" s="6">
        <v>706</v>
      </c>
      <c r="AP59" s="6"/>
      <c r="AQ59" s="35">
        <f t="shared" si="3"/>
        <v>388</v>
      </c>
      <c r="AR59" s="6">
        <v>1085</v>
      </c>
      <c r="AS59" s="6"/>
      <c r="AT59" s="34">
        <f t="shared" si="4"/>
        <v>379</v>
      </c>
      <c r="AU59" s="35">
        <v>1437</v>
      </c>
      <c r="AV59" s="35"/>
      <c r="AW59" s="35">
        <f t="shared" si="5"/>
        <v>352</v>
      </c>
      <c r="AX59" s="6"/>
      <c r="AY59" s="6"/>
      <c r="AZ59" s="35"/>
      <c r="BA59" s="6">
        <v>255</v>
      </c>
      <c r="BB59" s="6">
        <v>1566</v>
      </c>
      <c r="BC59" s="35">
        <f t="shared" si="6"/>
        <v>384</v>
      </c>
      <c r="BD59" s="35">
        <v>640</v>
      </c>
      <c r="BE59" s="35"/>
      <c r="BF59" s="35">
        <f t="shared" si="7"/>
        <v>385</v>
      </c>
      <c r="BG59" s="6">
        <v>1020</v>
      </c>
      <c r="BH59" s="6"/>
      <c r="BI59" s="35">
        <f t="shared" si="8"/>
        <v>380</v>
      </c>
      <c r="BJ59" s="6">
        <v>0</v>
      </c>
      <c r="BK59" s="6">
        <v>1310</v>
      </c>
      <c r="BL59" s="35">
        <f t="shared" si="9"/>
        <v>290</v>
      </c>
      <c r="BM59" s="6">
        <v>363</v>
      </c>
      <c r="BN59" s="6"/>
      <c r="BO59" s="6">
        <f t="shared" si="10"/>
        <v>363</v>
      </c>
      <c r="BP59" s="6">
        <v>734</v>
      </c>
      <c r="BQ59" s="6"/>
      <c r="BR59" s="6">
        <f t="shared" si="11"/>
        <v>371</v>
      </c>
      <c r="BS59" s="6"/>
      <c r="BT59" s="6"/>
      <c r="BU59" s="35"/>
      <c r="BV59" s="6">
        <v>1122</v>
      </c>
      <c r="BW59" s="6"/>
      <c r="BX59" s="6">
        <f t="shared" si="12"/>
        <v>388</v>
      </c>
      <c r="BY59" s="6">
        <v>1506</v>
      </c>
      <c r="BZ59" s="6"/>
      <c r="CA59" s="35">
        <f t="shared" si="13"/>
        <v>384</v>
      </c>
      <c r="CB59" s="6">
        <v>0</v>
      </c>
      <c r="CC59" s="6">
        <v>1820</v>
      </c>
      <c r="CD59" s="6">
        <f t="shared" si="14"/>
        <v>314</v>
      </c>
      <c r="CE59" s="6">
        <v>0</v>
      </c>
      <c r="CF59" s="6"/>
      <c r="CG59" s="6">
        <f t="shared" si="15"/>
        <v>0</v>
      </c>
      <c r="CH59" s="6">
        <v>0</v>
      </c>
      <c r="CI59" s="6"/>
      <c r="CJ59" s="6">
        <f t="shared" si="16"/>
        <v>0</v>
      </c>
      <c r="CK59" s="6">
        <v>12</v>
      </c>
      <c r="CL59" s="6"/>
      <c r="CM59" s="6">
        <f t="shared" si="17"/>
        <v>12</v>
      </c>
      <c r="CN59" s="6"/>
      <c r="CO59" s="6"/>
      <c r="CP59" s="6"/>
      <c r="CQ59" s="6">
        <v>405</v>
      </c>
      <c r="CR59" s="6"/>
      <c r="CS59" s="6">
        <f t="shared" si="18"/>
        <v>393</v>
      </c>
      <c r="CT59" s="6">
        <v>789</v>
      </c>
      <c r="CU59" s="6"/>
      <c r="CV59" s="6">
        <f t="shared" si="19"/>
        <v>384</v>
      </c>
      <c r="CW59" s="6">
        <v>1176</v>
      </c>
      <c r="CX59" s="6"/>
      <c r="CY59" s="6">
        <f t="shared" si="20"/>
        <v>387</v>
      </c>
      <c r="CZ59" s="6">
        <v>1559</v>
      </c>
      <c r="DA59" s="6"/>
      <c r="DB59" s="6">
        <f t="shared" si="21"/>
        <v>383</v>
      </c>
      <c r="DC59" s="6">
        <v>127</v>
      </c>
      <c r="DD59" s="6">
        <v>1820</v>
      </c>
      <c r="DE59" s="6">
        <f t="shared" si="22"/>
        <v>388</v>
      </c>
      <c r="DF59" s="6">
        <v>496</v>
      </c>
      <c r="DG59" s="6"/>
      <c r="DH59" s="6">
        <f t="shared" si="23"/>
        <v>369</v>
      </c>
      <c r="DI59" s="6"/>
      <c r="DJ59" s="6"/>
      <c r="DK59" s="6"/>
      <c r="DL59" s="6">
        <v>884</v>
      </c>
      <c r="DM59" s="6"/>
      <c r="DN59" s="6">
        <f t="shared" si="24"/>
        <v>388</v>
      </c>
      <c r="DO59" s="6">
        <v>0</v>
      </c>
      <c r="DP59" s="6">
        <v>1144</v>
      </c>
      <c r="DQ59" s="6">
        <f t="shared" si="25"/>
        <v>260</v>
      </c>
    </row>
    <row r="60" spans="1:121">
      <c r="A60" s="6">
        <v>56</v>
      </c>
      <c r="B60" s="6">
        <v>544</v>
      </c>
      <c r="C60" s="6"/>
      <c r="D60" s="6">
        <v>313</v>
      </c>
      <c r="E60" s="33" t="s">
        <v>320</v>
      </c>
      <c r="F60" s="33" t="s">
        <v>320</v>
      </c>
      <c r="G60" s="33" t="s">
        <v>320</v>
      </c>
      <c r="H60" s="33" t="s">
        <v>320</v>
      </c>
      <c r="I60" s="33" t="s">
        <v>320</v>
      </c>
      <c r="J60" s="33" t="s">
        <v>320</v>
      </c>
      <c r="K60" s="33" t="s">
        <v>320</v>
      </c>
      <c r="L60" s="33" t="s">
        <v>320</v>
      </c>
      <c r="M60" s="33" t="s">
        <v>320</v>
      </c>
      <c r="N60" s="148" t="s">
        <v>320</v>
      </c>
      <c r="O60" s="33" t="s">
        <v>320</v>
      </c>
      <c r="P60" s="33" t="s">
        <v>320</v>
      </c>
      <c r="Q60" s="33" t="s">
        <v>320</v>
      </c>
      <c r="R60" s="33" t="s">
        <v>320</v>
      </c>
      <c r="S60" s="33" t="s">
        <v>320</v>
      </c>
      <c r="T60" s="33" t="s">
        <v>320</v>
      </c>
      <c r="U60" s="33" t="s">
        <v>320</v>
      </c>
      <c r="V60" s="33" t="s">
        <v>320</v>
      </c>
      <c r="W60" s="33" t="s">
        <v>320</v>
      </c>
      <c r="X60" s="33" t="s">
        <v>320</v>
      </c>
      <c r="Y60" s="33" t="s">
        <v>320</v>
      </c>
      <c r="Z60" s="33" t="s">
        <v>320</v>
      </c>
      <c r="AA60" s="33" t="s">
        <v>320</v>
      </c>
      <c r="AB60" s="33" t="s">
        <v>320</v>
      </c>
      <c r="AC60" s="148" t="s">
        <v>462</v>
      </c>
      <c r="AD60" s="33" t="s">
        <v>462</v>
      </c>
      <c r="AE60" s="33" t="s">
        <v>462</v>
      </c>
      <c r="AF60" s="35">
        <v>905</v>
      </c>
      <c r="AG60" s="35"/>
      <c r="AH60" s="35">
        <f t="shared" si="0"/>
        <v>361</v>
      </c>
      <c r="AI60" s="35">
        <v>42</v>
      </c>
      <c r="AJ60" s="35">
        <v>1200</v>
      </c>
      <c r="AK60" s="35">
        <f t="shared" si="1"/>
        <v>337</v>
      </c>
      <c r="AL60" s="35">
        <v>381</v>
      </c>
      <c r="AM60" s="35"/>
      <c r="AN60" s="35">
        <f t="shared" si="2"/>
        <v>339</v>
      </c>
      <c r="AO60" s="6">
        <v>724</v>
      </c>
      <c r="AP60" s="35"/>
      <c r="AQ60" s="35">
        <f t="shared" si="3"/>
        <v>343</v>
      </c>
      <c r="AR60" s="6">
        <v>1067</v>
      </c>
      <c r="AS60" s="6"/>
      <c r="AT60" s="34">
        <f t="shared" si="4"/>
        <v>343</v>
      </c>
      <c r="AU60" s="35">
        <v>192</v>
      </c>
      <c r="AV60" s="35">
        <v>1200</v>
      </c>
      <c r="AW60" s="35">
        <f t="shared" si="5"/>
        <v>325</v>
      </c>
      <c r="AX60" s="6"/>
      <c r="AY60" s="6"/>
      <c r="AZ60" s="35"/>
      <c r="BA60" s="6">
        <v>535</v>
      </c>
      <c r="BB60" s="6"/>
      <c r="BC60" s="35">
        <f t="shared" si="6"/>
        <v>343</v>
      </c>
      <c r="BD60" s="6">
        <v>874</v>
      </c>
      <c r="BE60" s="6"/>
      <c r="BF60" s="35">
        <f t="shared" si="7"/>
        <v>339</v>
      </c>
      <c r="BG60" s="6">
        <v>242</v>
      </c>
      <c r="BH60" s="6">
        <v>966</v>
      </c>
      <c r="BI60" s="35">
        <f t="shared" si="8"/>
        <v>334</v>
      </c>
      <c r="BJ60" s="6">
        <v>578</v>
      </c>
      <c r="BK60" s="6"/>
      <c r="BL60" s="35">
        <f t="shared" si="9"/>
        <v>336</v>
      </c>
      <c r="BM60" s="6">
        <v>916</v>
      </c>
      <c r="BN60" s="35"/>
      <c r="BO60" s="6">
        <f t="shared" si="10"/>
        <v>338</v>
      </c>
      <c r="BP60" s="6">
        <v>24</v>
      </c>
      <c r="BQ60" s="6">
        <v>1200</v>
      </c>
      <c r="BR60" s="6">
        <f t="shared" si="11"/>
        <v>308</v>
      </c>
      <c r="BS60" s="6"/>
      <c r="BT60" s="6"/>
      <c r="BU60" s="35"/>
      <c r="BV60" s="6">
        <v>24</v>
      </c>
      <c r="BW60" s="6"/>
      <c r="BX60" s="6">
        <f t="shared" si="12"/>
        <v>0</v>
      </c>
      <c r="BY60" s="6">
        <v>24</v>
      </c>
      <c r="BZ60" s="6"/>
      <c r="CA60" s="35">
        <f t="shared" si="13"/>
        <v>0</v>
      </c>
      <c r="CB60" s="6">
        <v>24</v>
      </c>
      <c r="CC60" s="35"/>
      <c r="CD60" s="6">
        <f t="shared" si="14"/>
        <v>0</v>
      </c>
      <c r="CE60" s="6">
        <v>24</v>
      </c>
      <c r="CF60" s="6"/>
      <c r="CG60" s="6">
        <f t="shared" si="15"/>
        <v>0</v>
      </c>
      <c r="CH60" s="6">
        <v>24</v>
      </c>
      <c r="CI60" s="35"/>
      <c r="CJ60" s="6">
        <f t="shared" si="16"/>
        <v>0</v>
      </c>
      <c r="CK60" s="6">
        <v>24</v>
      </c>
      <c r="CL60" s="6"/>
      <c r="CM60" s="6">
        <f t="shared" si="17"/>
        <v>0</v>
      </c>
      <c r="CN60" s="6"/>
      <c r="CO60" s="6"/>
      <c r="CP60" s="6"/>
      <c r="CQ60" s="6">
        <v>24</v>
      </c>
      <c r="CR60" s="6"/>
      <c r="CS60" s="6">
        <f t="shared" si="18"/>
        <v>0</v>
      </c>
      <c r="CT60" s="6">
        <v>24</v>
      </c>
      <c r="CU60" s="6"/>
      <c r="CV60" s="6">
        <f t="shared" si="19"/>
        <v>0</v>
      </c>
      <c r="CW60" s="6">
        <v>24</v>
      </c>
      <c r="CX60" s="6"/>
      <c r="CY60" s="6">
        <f t="shared" si="20"/>
        <v>0</v>
      </c>
      <c r="CZ60" s="6">
        <v>24</v>
      </c>
      <c r="DA60" s="6"/>
      <c r="DB60" s="6">
        <f t="shared" si="21"/>
        <v>0</v>
      </c>
      <c r="DC60" s="6">
        <v>24</v>
      </c>
      <c r="DD60" s="6"/>
      <c r="DE60" s="6">
        <f t="shared" si="22"/>
        <v>0</v>
      </c>
      <c r="DF60" s="6">
        <v>201</v>
      </c>
      <c r="DG60" s="6">
        <v>24</v>
      </c>
      <c r="DH60" s="6">
        <f t="shared" si="23"/>
        <v>201</v>
      </c>
      <c r="DI60" s="6"/>
      <c r="DJ60" s="6"/>
      <c r="DK60" s="6"/>
      <c r="DL60" s="6">
        <v>497</v>
      </c>
      <c r="DM60" s="6"/>
      <c r="DN60" s="6">
        <f t="shared" si="24"/>
        <v>296</v>
      </c>
      <c r="DO60" s="6">
        <v>767</v>
      </c>
      <c r="DP60" s="6"/>
      <c r="DQ60" s="6">
        <f t="shared" si="25"/>
        <v>270</v>
      </c>
    </row>
    <row r="61" spans="1:121" s="51" customFormat="1">
      <c r="A61" s="50">
        <v>57</v>
      </c>
      <c r="B61" s="50">
        <v>696</v>
      </c>
      <c r="C61" s="50"/>
      <c r="D61" s="6">
        <v>265</v>
      </c>
      <c r="E61" s="33" t="s">
        <v>135</v>
      </c>
      <c r="F61" s="33" t="s">
        <v>135</v>
      </c>
      <c r="G61" s="33" t="s">
        <v>135</v>
      </c>
      <c r="H61" s="33" t="s">
        <v>135</v>
      </c>
      <c r="I61" s="33" t="s">
        <v>135</v>
      </c>
      <c r="J61" s="33" t="s">
        <v>135</v>
      </c>
      <c r="K61" s="33" t="s">
        <v>135</v>
      </c>
      <c r="L61" s="33" t="s">
        <v>135</v>
      </c>
      <c r="M61" s="33" t="s">
        <v>135</v>
      </c>
      <c r="N61" s="33" t="s">
        <v>135</v>
      </c>
      <c r="O61" s="33" t="s">
        <v>135</v>
      </c>
      <c r="P61" s="33" t="s">
        <v>135</v>
      </c>
      <c r="Q61" s="33" t="s">
        <v>135</v>
      </c>
      <c r="R61" s="33" t="s">
        <v>135</v>
      </c>
      <c r="S61" s="33" t="s">
        <v>135</v>
      </c>
      <c r="T61" s="33" t="s">
        <v>135</v>
      </c>
      <c r="U61" s="33" t="s">
        <v>135</v>
      </c>
      <c r="V61" s="33" t="s">
        <v>135</v>
      </c>
      <c r="W61" s="33" t="s">
        <v>135</v>
      </c>
      <c r="X61" s="33" t="s">
        <v>135</v>
      </c>
      <c r="Y61" s="33" t="s">
        <v>135</v>
      </c>
      <c r="Z61" s="33" t="s">
        <v>135</v>
      </c>
      <c r="AA61" s="33" t="s">
        <v>135</v>
      </c>
      <c r="AB61" s="33" t="s">
        <v>135</v>
      </c>
      <c r="AC61" s="33" t="s">
        <v>135</v>
      </c>
      <c r="AD61" s="148" t="s">
        <v>462</v>
      </c>
      <c r="AE61" s="33" t="s">
        <v>462</v>
      </c>
      <c r="AF61" s="50">
        <v>100</v>
      </c>
      <c r="AG61" s="50">
        <v>900</v>
      </c>
      <c r="AH61" s="35">
        <f t="shared" si="0"/>
        <v>304</v>
      </c>
      <c r="AI61" s="50">
        <v>392</v>
      </c>
      <c r="AJ61" s="50"/>
      <c r="AK61" s="35">
        <f t="shared" si="1"/>
        <v>292</v>
      </c>
      <c r="AL61" s="96">
        <v>674</v>
      </c>
      <c r="AM61" s="96"/>
      <c r="AN61" s="35">
        <f t="shared" si="2"/>
        <v>282</v>
      </c>
      <c r="AO61" s="50">
        <v>967</v>
      </c>
      <c r="AP61" s="50"/>
      <c r="AQ61" s="35">
        <f t="shared" si="3"/>
        <v>293</v>
      </c>
      <c r="AR61" s="6">
        <v>1257</v>
      </c>
      <c r="AS61" s="6"/>
      <c r="AT61" s="34">
        <f t="shared" si="4"/>
        <v>290</v>
      </c>
      <c r="AU61" s="96">
        <v>1511</v>
      </c>
      <c r="AV61" s="96"/>
      <c r="AW61" s="35">
        <f t="shared" si="5"/>
        <v>254</v>
      </c>
      <c r="AX61" s="50"/>
      <c r="AY61" s="50"/>
      <c r="AZ61" s="35"/>
      <c r="BA61" s="50">
        <v>1814</v>
      </c>
      <c r="BB61" s="50"/>
      <c r="BC61" s="35">
        <f t="shared" si="6"/>
        <v>303</v>
      </c>
      <c r="BD61" s="96">
        <v>107</v>
      </c>
      <c r="BE61" s="96">
        <v>2000</v>
      </c>
      <c r="BF61" s="35">
        <f t="shared" si="7"/>
        <v>293</v>
      </c>
      <c r="BG61" s="50">
        <v>387</v>
      </c>
      <c r="BH61" s="50"/>
      <c r="BI61" s="35">
        <f t="shared" si="8"/>
        <v>280</v>
      </c>
      <c r="BJ61" s="50">
        <v>681</v>
      </c>
      <c r="BK61" s="50"/>
      <c r="BL61" s="35">
        <f t="shared" si="9"/>
        <v>294</v>
      </c>
      <c r="BM61" s="50">
        <v>980</v>
      </c>
      <c r="BN61" s="50"/>
      <c r="BO61" s="6">
        <f t="shared" si="10"/>
        <v>299</v>
      </c>
      <c r="BP61" s="50">
        <v>1266</v>
      </c>
      <c r="BQ61" s="50"/>
      <c r="BR61" s="6">
        <f t="shared" si="11"/>
        <v>286</v>
      </c>
      <c r="BS61" s="50"/>
      <c r="BT61" s="50"/>
      <c r="BU61" s="35"/>
      <c r="BV61" s="50">
        <v>1286</v>
      </c>
      <c r="BW61" s="50"/>
      <c r="BX61" s="6">
        <f t="shared" si="12"/>
        <v>20</v>
      </c>
      <c r="BY61" s="50">
        <v>1286</v>
      </c>
      <c r="BZ61" s="50"/>
      <c r="CA61" s="35">
        <f t="shared" si="13"/>
        <v>0</v>
      </c>
      <c r="CB61" s="50">
        <v>1286</v>
      </c>
      <c r="CC61" s="50"/>
      <c r="CD61" s="6">
        <f t="shared" si="14"/>
        <v>0</v>
      </c>
      <c r="CE61" s="50">
        <v>1286</v>
      </c>
      <c r="CF61" s="50"/>
      <c r="CG61" s="6">
        <f t="shared" si="15"/>
        <v>0</v>
      </c>
      <c r="CH61" s="50">
        <v>1286</v>
      </c>
      <c r="CI61" s="50"/>
      <c r="CJ61" s="6">
        <f t="shared" si="16"/>
        <v>0</v>
      </c>
      <c r="CK61" s="50">
        <v>1286</v>
      </c>
      <c r="CL61" s="50"/>
      <c r="CM61" s="6">
        <f t="shared" si="17"/>
        <v>0</v>
      </c>
      <c r="CN61" s="50"/>
      <c r="CO61" s="50"/>
      <c r="CP61" s="6"/>
      <c r="CQ61" s="50">
        <v>1286</v>
      </c>
      <c r="CR61" s="50"/>
      <c r="CS61" s="6">
        <f t="shared" si="18"/>
        <v>0</v>
      </c>
      <c r="CT61" s="50">
        <v>1286</v>
      </c>
      <c r="CU61" s="50"/>
      <c r="CV61" s="6">
        <f t="shared" si="19"/>
        <v>0</v>
      </c>
      <c r="CW61" s="50">
        <v>1286</v>
      </c>
      <c r="CX61" s="50"/>
      <c r="CY61" s="6">
        <f t="shared" si="20"/>
        <v>0</v>
      </c>
      <c r="CZ61" s="50">
        <v>1286</v>
      </c>
      <c r="DA61" s="50"/>
      <c r="DB61" s="6">
        <f t="shared" si="21"/>
        <v>0</v>
      </c>
      <c r="DC61" s="50">
        <v>197</v>
      </c>
      <c r="DD61" s="50">
        <v>1286</v>
      </c>
      <c r="DE61" s="6">
        <f t="shared" si="22"/>
        <v>197</v>
      </c>
      <c r="DF61" s="50">
        <v>0</v>
      </c>
      <c r="DG61" s="50">
        <v>419</v>
      </c>
      <c r="DH61" s="6">
        <f t="shared" si="23"/>
        <v>222</v>
      </c>
      <c r="DI61" s="50"/>
      <c r="DJ61" s="50"/>
      <c r="DK61" s="6"/>
      <c r="DL61" s="50">
        <v>234</v>
      </c>
      <c r="DM61" s="50"/>
      <c r="DN61" s="6">
        <f t="shared" si="24"/>
        <v>234</v>
      </c>
      <c r="DO61" s="50">
        <v>513</v>
      </c>
      <c r="DP61" s="50"/>
      <c r="DQ61" s="6">
        <f t="shared" si="25"/>
        <v>279</v>
      </c>
    </row>
    <row r="62" spans="1:121">
      <c r="A62" s="6">
        <v>58</v>
      </c>
      <c r="B62" s="6">
        <v>352</v>
      </c>
      <c r="C62" s="6"/>
      <c r="D62" s="6">
        <v>300</v>
      </c>
      <c r="E62" s="33" t="s">
        <v>320</v>
      </c>
      <c r="F62" s="33" t="s">
        <v>320</v>
      </c>
      <c r="G62" s="33" t="s">
        <v>320</v>
      </c>
      <c r="H62" s="33" t="s">
        <v>320</v>
      </c>
      <c r="I62" s="33" t="s">
        <v>320</v>
      </c>
      <c r="J62" s="33" t="s">
        <v>320</v>
      </c>
      <c r="K62" s="33" t="s">
        <v>320</v>
      </c>
      <c r="L62" s="33" t="s">
        <v>320</v>
      </c>
      <c r="M62" s="33" t="s">
        <v>320</v>
      </c>
      <c r="N62" s="33" t="s">
        <v>320</v>
      </c>
      <c r="O62" s="33" t="s">
        <v>320</v>
      </c>
      <c r="P62" s="33" t="s">
        <v>320</v>
      </c>
      <c r="Q62" s="33" t="s">
        <v>320</v>
      </c>
      <c r="R62" s="33" t="s">
        <v>320</v>
      </c>
      <c r="S62" s="33" t="s">
        <v>320</v>
      </c>
      <c r="T62" s="33" t="s">
        <v>320</v>
      </c>
      <c r="U62" s="33" t="s">
        <v>320</v>
      </c>
      <c r="V62" s="33" t="s">
        <v>320</v>
      </c>
      <c r="W62" s="33" t="s">
        <v>320</v>
      </c>
      <c r="X62" s="33" t="s">
        <v>320</v>
      </c>
      <c r="Y62" s="33" t="s">
        <v>320</v>
      </c>
      <c r="Z62" s="33" t="s">
        <v>320</v>
      </c>
      <c r="AA62" s="33" t="s">
        <v>320</v>
      </c>
      <c r="AB62" s="33" t="s">
        <v>320</v>
      </c>
      <c r="AC62" s="148" t="s">
        <v>320</v>
      </c>
      <c r="AD62" s="33" t="s">
        <v>320</v>
      </c>
      <c r="AE62" s="33" t="s">
        <v>320</v>
      </c>
      <c r="AF62" s="35">
        <v>20</v>
      </c>
      <c r="AG62" s="35">
        <v>667</v>
      </c>
      <c r="AH62" s="35">
        <f t="shared" si="0"/>
        <v>335</v>
      </c>
      <c r="AI62" s="35">
        <v>362</v>
      </c>
      <c r="AJ62" s="35"/>
      <c r="AK62" s="35">
        <f t="shared" si="1"/>
        <v>342</v>
      </c>
      <c r="AL62" s="35">
        <v>700</v>
      </c>
      <c r="AM62" s="35"/>
      <c r="AN62" s="35">
        <f t="shared" si="2"/>
        <v>338</v>
      </c>
      <c r="AO62" s="6">
        <v>1037</v>
      </c>
      <c r="AP62" s="35"/>
      <c r="AQ62" s="35">
        <f t="shared" si="3"/>
        <v>337</v>
      </c>
      <c r="AR62" s="6">
        <v>157</v>
      </c>
      <c r="AS62" s="6">
        <v>1200</v>
      </c>
      <c r="AT62" s="34">
        <f t="shared" si="4"/>
        <v>320</v>
      </c>
      <c r="AU62" s="35">
        <v>497</v>
      </c>
      <c r="AV62" s="35"/>
      <c r="AW62" s="35">
        <f t="shared" si="5"/>
        <v>340</v>
      </c>
      <c r="AX62" s="6"/>
      <c r="AY62" s="6"/>
      <c r="AZ62" s="35"/>
      <c r="BA62" s="6">
        <v>828</v>
      </c>
      <c r="BB62" s="6"/>
      <c r="BC62" s="35">
        <f t="shared" si="6"/>
        <v>331</v>
      </c>
      <c r="BD62" s="6">
        <v>1166</v>
      </c>
      <c r="BE62" s="6"/>
      <c r="BF62" s="35">
        <f t="shared" si="7"/>
        <v>338</v>
      </c>
      <c r="BG62" s="6">
        <v>301</v>
      </c>
      <c r="BH62" s="6">
        <v>1210</v>
      </c>
      <c r="BI62" s="35">
        <f t="shared" si="8"/>
        <v>345</v>
      </c>
      <c r="BJ62" s="6">
        <v>649</v>
      </c>
      <c r="BK62" s="6"/>
      <c r="BL62" s="35">
        <f t="shared" si="9"/>
        <v>348</v>
      </c>
      <c r="BM62" s="6">
        <v>996</v>
      </c>
      <c r="BN62" s="35"/>
      <c r="BO62" s="6">
        <f t="shared" si="10"/>
        <v>347</v>
      </c>
      <c r="BP62" s="6">
        <v>111</v>
      </c>
      <c r="BQ62" s="6">
        <v>1200</v>
      </c>
      <c r="BR62" s="6">
        <f t="shared" si="11"/>
        <v>315</v>
      </c>
      <c r="BS62" s="6"/>
      <c r="BT62" s="6"/>
      <c r="BU62" s="35"/>
      <c r="BV62" s="6">
        <v>111</v>
      </c>
      <c r="BW62" s="6"/>
      <c r="BX62" s="6">
        <f t="shared" si="12"/>
        <v>0</v>
      </c>
      <c r="BY62" s="6">
        <v>111</v>
      </c>
      <c r="BZ62" s="6"/>
      <c r="CA62" s="35">
        <f t="shared" si="13"/>
        <v>0</v>
      </c>
      <c r="CB62" s="6">
        <v>111</v>
      </c>
      <c r="CC62" s="35"/>
      <c r="CD62" s="6">
        <f t="shared" si="14"/>
        <v>0</v>
      </c>
      <c r="CE62" s="6">
        <v>111</v>
      </c>
      <c r="CF62" s="6"/>
      <c r="CG62" s="6">
        <f t="shared" si="15"/>
        <v>0</v>
      </c>
      <c r="CH62" s="6">
        <v>111</v>
      </c>
      <c r="CI62" s="35"/>
      <c r="CJ62" s="6">
        <f t="shared" si="16"/>
        <v>0</v>
      </c>
      <c r="CK62" s="6">
        <v>111</v>
      </c>
      <c r="CL62" s="6"/>
      <c r="CM62" s="6">
        <f t="shared" si="17"/>
        <v>0</v>
      </c>
      <c r="CN62" s="6"/>
      <c r="CO62" s="6"/>
      <c r="CP62" s="6"/>
      <c r="CQ62" s="6">
        <v>111</v>
      </c>
      <c r="CR62" s="6"/>
      <c r="CS62" s="6">
        <f t="shared" si="18"/>
        <v>0</v>
      </c>
      <c r="CT62" s="6">
        <v>111</v>
      </c>
      <c r="CU62" s="6"/>
      <c r="CV62" s="6">
        <f t="shared" si="19"/>
        <v>0</v>
      </c>
      <c r="CW62" s="6">
        <v>111</v>
      </c>
      <c r="CX62" s="6"/>
      <c r="CY62" s="6">
        <f t="shared" si="20"/>
        <v>0</v>
      </c>
      <c r="CZ62" s="6">
        <v>111</v>
      </c>
      <c r="DA62" s="6"/>
      <c r="DB62" s="6">
        <f t="shared" si="21"/>
        <v>0</v>
      </c>
      <c r="DC62" s="6">
        <v>313</v>
      </c>
      <c r="DD62" s="6"/>
      <c r="DE62" s="6">
        <f t="shared" si="22"/>
        <v>202</v>
      </c>
      <c r="DF62" s="6">
        <v>214</v>
      </c>
      <c r="DG62" s="6">
        <v>419</v>
      </c>
      <c r="DH62" s="6">
        <f t="shared" si="23"/>
        <v>320</v>
      </c>
      <c r="DI62" s="6"/>
      <c r="DJ62" s="6"/>
      <c r="DK62" s="6"/>
      <c r="DL62" s="6">
        <v>565</v>
      </c>
      <c r="DM62" s="6"/>
      <c r="DN62" s="6">
        <f t="shared" si="24"/>
        <v>351</v>
      </c>
      <c r="DO62" s="6">
        <v>892</v>
      </c>
      <c r="DP62" s="6"/>
      <c r="DQ62" s="6">
        <f t="shared" si="25"/>
        <v>327</v>
      </c>
    </row>
    <row r="63" spans="1:121">
      <c r="A63" s="6">
        <v>59</v>
      </c>
      <c r="B63" s="6">
        <v>471</v>
      </c>
      <c r="C63" s="6"/>
      <c r="D63" s="6">
        <v>316</v>
      </c>
      <c r="E63" s="33" t="s">
        <v>320</v>
      </c>
      <c r="F63" s="33" t="s">
        <v>320</v>
      </c>
      <c r="G63" s="33" t="s">
        <v>320</v>
      </c>
      <c r="H63" s="33" t="s">
        <v>320</v>
      </c>
      <c r="I63" s="33" t="s">
        <v>320</v>
      </c>
      <c r="J63" s="33" t="s">
        <v>320</v>
      </c>
      <c r="K63" s="33" t="s">
        <v>320</v>
      </c>
      <c r="L63" s="33" t="s">
        <v>320</v>
      </c>
      <c r="M63" s="33" t="s">
        <v>320</v>
      </c>
      <c r="N63" s="33" t="s">
        <v>320</v>
      </c>
      <c r="O63" s="33" t="s">
        <v>320</v>
      </c>
      <c r="P63" s="33" t="s">
        <v>320</v>
      </c>
      <c r="Q63" s="33" t="s">
        <v>320</v>
      </c>
      <c r="R63" s="33" t="s">
        <v>320</v>
      </c>
      <c r="S63" s="33" t="s">
        <v>320</v>
      </c>
      <c r="T63" s="33" t="s">
        <v>320</v>
      </c>
      <c r="U63" s="33" t="s">
        <v>320</v>
      </c>
      <c r="V63" s="33" t="s">
        <v>320</v>
      </c>
      <c r="W63" s="33" t="s">
        <v>320</v>
      </c>
      <c r="X63" s="33" t="s">
        <v>320</v>
      </c>
      <c r="Y63" s="33" t="s">
        <v>320</v>
      </c>
      <c r="Z63" s="33" t="s">
        <v>320</v>
      </c>
      <c r="AA63" s="33" t="s">
        <v>320</v>
      </c>
      <c r="AB63" s="33" t="s">
        <v>320</v>
      </c>
      <c r="AC63" s="33" t="s">
        <v>320</v>
      </c>
      <c r="AD63" s="148" t="s">
        <v>320</v>
      </c>
      <c r="AE63" s="33" t="s">
        <v>320</v>
      </c>
      <c r="AF63" s="35">
        <v>694</v>
      </c>
      <c r="AG63" s="35"/>
      <c r="AH63" s="35">
        <f t="shared" si="0"/>
        <v>223</v>
      </c>
      <c r="AI63" s="35">
        <v>261</v>
      </c>
      <c r="AJ63" s="35">
        <v>696</v>
      </c>
      <c r="AK63" s="35">
        <f t="shared" si="1"/>
        <v>263</v>
      </c>
      <c r="AL63" s="35">
        <v>609</v>
      </c>
      <c r="AM63" s="35"/>
      <c r="AN63" s="35">
        <f t="shared" si="2"/>
        <v>348</v>
      </c>
      <c r="AO63" s="35">
        <v>945</v>
      </c>
      <c r="AP63" s="35"/>
      <c r="AQ63" s="35">
        <f t="shared" si="3"/>
        <v>336</v>
      </c>
      <c r="AR63" s="6">
        <v>258</v>
      </c>
      <c r="AS63" s="6">
        <v>945</v>
      </c>
      <c r="AT63" s="34">
        <f t="shared" si="4"/>
        <v>258</v>
      </c>
      <c r="AU63" s="35">
        <v>552</v>
      </c>
      <c r="AV63" s="35"/>
      <c r="AW63" s="35">
        <f t="shared" si="5"/>
        <v>294</v>
      </c>
      <c r="AX63" s="6"/>
      <c r="AY63" s="6"/>
      <c r="AZ63" s="35"/>
      <c r="BA63" s="6">
        <v>888</v>
      </c>
      <c r="BB63" s="6"/>
      <c r="BC63" s="35">
        <f t="shared" si="6"/>
        <v>336</v>
      </c>
      <c r="BD63" s="6">
        <v>5</v>
      </c>
      <c r="BE63" s="6">
        <v>1211</v>
      </c>
      <c r="BF63" s="35">
        <f t="shared" si="7"/>
        <v>328</v>
      </c>
      <c r="BG63" s="6">
        <v>338</v>
      </c>
      <c r="BH63" s="6"/>
      <c r="BI63" s="35">
        <f t="shared" si="8"/>
        <v>333</v>
      </c>
      <c r="BJ63" s="6">
        <v>671</v>
      </c>
      <c r="BK63" s="6"/>
      <c r="BL63" s="35">
        <f t="shared" si="9"/>
        <v>333</v>
      </c>
      <c r="BM63" s="6">
        <v>1005</v>
      </c>
      <c r="BN63" s="35"/>
      <c r="BO63" s="6">
        <f t="shared" si="10"/>
        <v>334</v>
      </c>
      <c r="BP63" s="6">
        <v>107</v>
      </c>
      <c r="BQ63" s="6">
        <v>1200</v>
      </c>
      <c r="BR63" s="6">
        <f t="shared" si="11"/>
        <v>302</v>
      </c>
      <c r="BS63" s="6"/>
      <c r="BT63" s="6"/>
      <c r="BU63" s="35"/>
      <c r="BV63" s="6">
        <v>107</v>
      </c>
      <c r="BW63" s="6"/>
      <c r="BX63" s="6">
        <f t="shared" si="12"/>
        <v>0</v>
      </c>
      <c r="BY63" s="6">
        <v>107</v>
      </c>
      <c r="BZ63" s="6"/>
      <c r="CA63" s="35">
        <f t="shared" si="13"/>
        <v>0</v>
      </c>
      <c r="CB63" s="6">
        <v>107</v>
      </c>
      <c r="CC63" s="35"/>
      <c r="CD63" s="6">
        <f t="shared" si="14"/>
        <v>0</v>
      </c>
      <c r="CE63" s="6">
        <v>107</v>
      </c>
      <c r="CF63" s="6"/>
      <c r="CG63" s="6">
        <f t="shared" si="15"/>
        <v>0</v>
      </c>
      <c r="CH63" s="6">
        <v>107</v>
      </c>
      <c r="CI63" s="35"/>
      <c r="CJ63" s="6">
        <f t="shared" si="16"/>
        <v>0</v>
      </c>
      <c r="CK63" s="6">
        <v>107</v>
      </c>
      <c r="CL63" s="6"/>
      <c r="CM63" s="6">
        <f t="shared" si="17"/>
        <v>0</v>
      </c>
      <c r="CN63" s="6"/>
      <c r="CO63" s="6"/>
      <c r="CP63" s="6"/>
      <c r="CQ63" s="6">
        <v>107</v>
      </c>
      <c r="CR63" s="6"/>
      <c r="CS63" s="6">
        <f t="shared" si="18"/>
        <v>0</v>
      </c>
      <c r="CT63" s="6">
        <v>107</v>
      </c>
      <c r="CU63" s="6"/>
      <c r="CV63" s="6">
        <f t="shared" si="19"/>
        <v>0</v>
      </c>
      <c r="CW63" s="6">
        <v>107</v>
      </c>
      <c r="CX63" s="6"/>
      <c r="CY63" s="6">
        <f t="shared" si="20"/>
        <v>0</v>
      </c>
      <c r="CZ63" s="6">
        <v>107</v>
      </c>
      <c r="DA63" s="6"/>
      <c r="DB63" s="6">
        <f t="shared" si="21"/>
        <v>0</v>
      </c>
      <c r="DC63" s="6">
        <v>368</v>
      </c>
      <c r="DD63" s="6"/>
      <c r="DE63" s="6">
        <f t="shared" si="22"/>
        <v>261</v>
      </c>
      <c r="DF63" s="6">
        <v>0</v>
      </c>
      <c r="DG63" s="6">
        <v>640</v>
      </c>
      <c r="DH63" s="6">
        <f t="shared" si="23"/>
        <v>272</v>
      </c>
      <c r="DI63" s="6"/>
      <c r="DJ63" s="6"/>
      <c r="DK63" s="6"/>
      <c r="DL63" s="6">
        <v>320</v>
      </c>
      <c r="DM63" s="6"/>
      <c r="DN63" s="6">
        <f t="shared" si="24"/>
        <v>320</v>
      </c>
      <c r="DO63" s="6">
        <v>630</v>
      </c>
      <c r="DP63" s="6"/>
      <c r="DQ63" s="6">
        <f t="shared" si="25"/>
        <v>310</v>
      </c>
    </row>
    <row r="64" spans="1:121">
      <c r="A64" s="6">
        <v>60</v>
      </c>
      <c r="B64" s="6">
        <v>120</v>
      </c>
      <c r="C64" s="6">
        <v>1200</v>
      </c>
      <c r="D64" s="6">
        <v>306</v>
      </c>
      <c r="E64" s="33" t="s">
        <v>320</v>
      </c>
      <c r="F64" s="33" t="s">
        <v>320</v>
      </c>
      <c r="G64" s="33" t="s">
        <v>320</v>
      </c>
      <c r="H64" s="33" t="s">
        <v>320</v>
      </c>
      <c r="I64" s="33" t="s">
        <v>320</v>
      </c>
      <c r="J64" s="33" t="s">
        <v>320</v>
      </c>
      <c r="K64" s="33" t="s">
        <v>320</v>
      </c>
      <c r="L64" s="148" t="s">
        <v>37</v>
      </c>
      <c r="M64" s="33" t="s">
        <v>37</v>
      </c>
      <c r="N64" s="33" t="s">
        <v>37</v>
      </c>
      <c r="O64" s="33" t="s">
        <v>37</v>
      </c>
      <c r="P64" s="33" t="s">
        <v>37</v>
      </c>
      <c r="Q64" s="33" t="s">
        <v>37</v>
      </c>
      <c r="R64" s="33" t="s">
        <v>37</v>
      </c>
      <c r="S64" s="33" t="s">
        <v>37</v>
      </c>
      <c r="T64" s="33" t="s">
        <v>37</v>
      </c>
      <c r="U64" s="33" t="s">
        <v>37</v>
      </c>
      <c r="V64" s="33" t="s">
        <v>37</v>
      </c>
      <c r="W64" s="33" t="s">
        <v>37</v>
      </c>
      <c r="X64" s="33" t="s">
        <v>37</v>
      </c>
      <c r="Y64" s="33" t="s">
        <v>37</v>
      </c>
      <c r="Z64" s="33" t="s">
        <v>37</v>
      </c>
      <c r="AA64" s="33" t="s">
        <v>37</v>
      </c>
      <c r="AB64" s="33" t="s">
        <v>37</v>
      </c>
      <c r="AC64" s="33" t="s">
        <v>37</v>
      </c>
      <c r="AD64" s="33" t="s">
        <v>37</v>
      </c>
      <c r="AE64" s="33" t="s">
        <v>37</v>
      </c>
      <c r="AF64" s="6">
        <v>491</v>
      </c>
      <c r="AG64" s="6"/>
      <c r="AH64" s="35">
        <f t="shared" si="0"/>
        <v>371</v>
      </c>
      <c r="AI64" s="6">
        <v>837</v>
      </c>
      <c r="AJ64" s="6"/>
      <c r="AK64" s="35">
        <f t="shared" si="1"/>
        <v>346</v>
      </c>
      <c r="AL64" s="35">
        <v>1186</v>
      </c>
      <c r="AM64" s="35"/>
      <c r="AN64" s="35">
        <f t="shared" si="2"/>
        <v>349</v>
      </c>
      <c r="AO64" s="6">
        <v>335</v>
      </c>
      <c r="AP64" s="6">
        <v>1200</v>
      </c>
      <c r="AQ64" s="35">
        <f t="shared" si="3"/>
        <v>349</v>
      </c>
      <c r="AR64" s="6">
        <v>685</v>
      </c>
      <c r="AS64" s="6"/>
      <c r="AT64" s="34">
        <f t="shared" si="4"/>
        <v>350</v>
      </c>
      <c r="AU64" s="35">
        <v>1018</v>
      </c>
      <c r="AV64" s="35"/>
      <c r="AW64" s="35">
        <f t="shared" si="5"/>
        <v>333</v>
      </c>
      <c r="AX64" s="35"/>
      <c r="AY64" s="6"/>
      <c r="AZ64" s="35"/>
      <c r="BA64" s="6">
        <v>275</v>
      </c>
      <c r="BB64" s="6">
        <v>1093</v>
      </c>
      <c r="BC64" s="35">
        <f t="shared" si="6"/>
        <v>350</v>
      </c>
      <c r="BD64" s="35">
        <v>640</v>
      </c>
      <c r="BE64" s="35"/>
      <c r="BF64" s="35">
        <f t="shared" si="7"/>
        <v>365</v>
      </c>
      <c r="BG64" s="6">
        <v>1005</v>
      </c>
      <c r="BH64" s="6"/>
      <c r="BI64" s="35">
        <f t="shared" si="8"/>
        <v>365</v>
      </c>
      <c r="BJ64" s="6">
        <v>1377</v>
      </c>
      <c r="BK64" s="6"/>
      <c r="BL64" s="35">
        <f t="shared" si="9"/>
        <v>372</v>
      </c>
      <c r="BM64" s="6">
        <v>200</v>
      </c>
      <c r="BN64" s="6">
        <v>1560</v>
      </c>
      <c r="BO64" s="6">
        <f t="shared" si="10"/>
        <v>383</v>
      </c>
      <c r="BP64" s="6">
        <v>546</v>
      </c>
      <c r="BQ64" s="6"/>
      <c r="BR64" s="6">
        <f t="shared" si="11"/>
        <v>346</v>
      </c>
      <c r="BS64" s="6"/>
      <c r="BT64" s="6"/>
      <c r="BU64" s="35"/>
      <c r="BV64" s="6">
        <v>918</v>
      </c>
      <c r="BW64" s="6"/>
      <c r="BX64" s="6">
        <f t="shared" si="12"/>
        <v>372</v>
      </c>
      <c r="BY64" s="6">
        <v>1296</v>
      </c>
      <c r="BZ64" s="6"/>
      <c r="CA64" s="35">
        <f t="shared" si="13"/>
        <v>378</v>
      </c>
      <c r="CB64" s="6">
        <v>111</v>
      </c>
      <c r="CC64" s="6">
        <v>1560</v>
      </c>
      <c r="CD64" s="6">
        <f t="shared" si="14"/>
        <v>375</v>
      </c>
      <c r="CE64" s="6">
        <v>452</v>
      </c>
      <c r="CF64" s="6"/>
      <c r="CG64" s="6">
        <f t="shared" si="15"/>
        <v>341</v>
      </c>
      <c r="CH64" s="6">
        <v>833</v>
      </c>
      <c r="CI64" s="6"/>
      <c r="CJ64" s="6">
        <f t="shared" si="16"/>
        <v>381</v>
      </c>
      <c r="CK64" s="6">
        <v>1202</v>
      </c>
      <c r="CL64" s="6"/>
      <c r="CM64" s="6">
        <f t="shared" si="17"/>
        <v>369</v>
      </c>
      <c r="CN64" s="6"/>
      <c r="CO64" s="6"/>
      <c r="CP64" s="6"/>
      <c r="CQ64" s="6">
        <v>17</v>
      </c>
      <c r="CR64" s="6">
        <v>1560</v>
      </c>
      <c r="CS64" s="6">
        <f t="shared" si="18"/>
        <v>375</v>
      </c>
      <c r="CT64" s="6">
        <v>382</v>
      </c>
      <c r="CU64" s="6"/>
      <c r="CV64" s="6">
        <f t="shared" si="19"/>
        <v>365</v>
      </c>
      <c r="CW64" s="6">
        <v>735</v>
      </c>
      <c r="CX64" s="6"/>
      <c r="CY64" s="6">
        <f t="shared" si="20"/>
        <v>353</v>
      </c>
      <c r="CZ64" s="6">
        <v>126</v>
      </c>
      <c r="DA64" s="6">
        <v>970</v>
      </c>
      <c r="DB64" s="6">
        <f t="shared" si="21"/>
        <v>361</v>
      </c>
      <c r="DC64" s="6">
        <v>496</v>
      </c>
      <c r="DD64" s="6"/>
      <c r="DE64" s="6">
        <f t="shared" si="22"/>
        <v>370</v>
      </c>
      <c r="DF64" s="6">
        <v>846</v>
      </c>
      <c r="DG64" s="6"/>
      <c r="DH64" s="6">
        <f t="shared" si="23"/>
        <v>350</v>
      </c>
      <c r="DI64" s="6"/>
      <c r="DJ64" s="6"/>
      <c r="DK64" s="6"/>
      <c r="DL64" s="6">
        <v>1220</v>
      </c>
      <c r="DM64" s="6"/>
      <c r="DN64" s="6">
        <f t="shared" si="24"/>
        <v>374</v>
      </c>
      <c r="DO64" s="6">
        <v>238</v>
      </c>
      <c r="DP64" s="6">
        <v>1342</v>
      </c>
      <c r="DQ64" s="6">
        <f t="shared" si="25"/>
        <v>360</v>
      </c>
    </row>
    <row r="65" spans="1:121">
      <c r="A65" s="6">
        <v>61</v>
      </c>
      <c r="B65" s="6">
        <v>830</v>
      </c>
      <c r="C65" s="6"/>
      <c r="D65" s="6">
        <v>299</v>
      </c>
      <c r="E65" s="33" t="s">
        <v>320</v>
      </c>
      <c r="F65" s="33" t="s">
        <v>320</v>
      </c>
      <c r="G65" s="33" t="s">
        <v>320</v>
      </c>
      <c r="H65" s="33" t="s">
        <v>320</v>
      </c>
      <c r="I65" s="33" t="s">
        <v>320</v>
      </c>
      <c r="J65" s="148" t="s">
        <v>320</v>
      </c>
      <c r="K65" s="33" t="s">
        <v>320</v>
      </c>
      <c r="L65" s="148" t="s">
        <v>37</v>
      </c>
      <c r="M65" s="33" t="s">
        <v>37</v>
      </c>
      <c r="N65" s="33" t="s">
        <v>37</v>
      </c>
      <c r="O65" s="33" t="s">
        <v>37</v>
      </c>
      <c r="P65" s="33" t="s">
        <v>37</v>
      </c>
      <c r="Q65" s="33" t="s">
        <v>37</v>
      </c>
      <c r="R65" s="33" t="s">
        <v>37</v>
      </c>
      <c r="S65" s="33" t="s">
        <v>37</v>
      </c>
      <c r="T65" s="33" t="s">
        <v>37</v>
      </c>
      <c r="U65" s="33" t="s">
        <v>37</v>
      </c>
      <c r="V65" s="33" t="s">
        <v>37</v>
      </c>
      <c r="W65" s="33" t="s">
        <v>37</v>
      </c>
      <c r="X65" s="33" t="s">
        <v>37</v>
      </c>
      <c r="Y65" s="33" t="s">
        <v>37</v>
      </c>
      <c r="Z65" s="33" t="s">
        <v>37</v>
      </c>
      <c r="AA65" s="33" t="s">
        <v>37</v>
      </c>
      <c r="AB65" s="33" t="s">
        <v>37</v>
      </c>
      <c r="AC65" s="33" t="s">
        <v>37</v>
      </c>
      <c r="AD65" s="33" t="s">
        <v>37</v>
      </c>
      <c r="AE65" s="33" t="s">
        <v>37</v>
      </c>
      <c r="AF65" s="6">
        <v>1191</v>
      </c>
      <c r="AG65" s="6"/>
      <c r="AH65" s="35">
        <f t="shared" si="0"/>
        <v>361</v>
      </c>
      <c r="AI65" s="6">
        <v>334</v>
      </c>
      <c r="AJ65" s="6">
        <v>1200</v>
      </c>
      <c r="AK65" s="35">
        <f t="shared" si="1"/>
        <v>343</v>
      </c>
      <c r="AL65" s="35">
        <v>685</v>
      </c>
      <c r="AM65" s="35"/>
      <c r="AN65" s="35">
        <f t="shared" si="2"/>
        <v>351</v>
      </c>
      <c r="AO65" s="6">
        <v>0</v>
      </c>
      <c r="AP65" s="6">
        <v>843</v>
      </c>
      <c r="AQ65" s="35">
        <f t="shared" si="3"/>
        <v>158</v>
      </c>
      <c r="AR65" s="6">
        <v>306</v>
      </c>
      <c r="AS65" s="6"/>
      <c r="AT65" s="34">
        <f t="shared" si="4"/>
        <v>306</v>
      </c>
      <c r="AU65" s="35">
        <v>629</v>
      </c>
      <c r="AV65" s="35"/>
      <c r="AW65" s="35">
        <f t="shared" si="5"/>
        <v>323</v>
      </c>
      <c r="AX65" s="6"/>
      <c r="AY65" s="6"/>
      <c r="AZ65" s="35"/>
      <c r="BA65" s="6">
        <v>245</v>
      </c>
      <c r="BB65" s="6">
        <v>703</v>
      </c>
      <c r="BC65" s="35">
        <f t="shared" si="6"/>
        <v>319</v>
      </c>
      <c r="BD65" s="35">
        <v>596</v>
      </c>
      <c r="BE65" s="35"/>
      <c r="BF65" s="35">
        <f t="shared" si="7"/>
        <v>351</v>
      </c>
      <c r="BG65" s="6">
        <v>959</v>
      </c>
      <c r="BH65" s="6"/>
      <c r="BI65" s="35">
        <f t="shared" si="8"/>
        <v>363</v>
      </c>
      <c r="BJ65" s="6">
        <v>1321</v>
      </c>
      <c r="BK65" s="6"/>
      <c r="BL65" s="35">
        <f t="shared" si="9"/>
        <v>362</v>
      </c>
      <c r="BM65" s="6">
        <v>124</v>
      </c>
      <c r="BN65" s="6">
        <v>1560</v>
      </c>
      <c r="BO65" s="6">
        <f t="shared" si="10"/>
        <v>363</v>
      </c>
      <c r="BP65" s="6">
        <v>474</v>
      </c>
      <c r="BQ65" s="6"/>
      <c r="BR65" s="6">
        <f t="shared" si="11"/>
        <v>350</v>
      </c>
      <c r="BS65" s="6"/>
      <c r="BT65" s="6"/>
      <c r="BU65" s="35"/>
      <c r="BV65" s="6">
        <v>839</v>
      </c>
      <c r="BW65" s="6"/>
      <c r="BX65" s="6">
        <f t="shared" si="12"/>
        <v>365</v>
      </c>
      <c r="BY65" s="6">
        <v>1211</v>
      </c>
      <c r="BZ65" s="6"/>
      <c r="CA65" s="35">
        <f t="shared" si="13"/>
        <v>372</v>
      </c>
      <c r="CB65" s="6">
        <v>26</v>
      </c>
      <c r="CC65" s="6">
        <v>1561</v>
      </c>
      <c r="CD65" s="6">
        <f t="shared" si="14"/>
        <v>376</v>
      </c>
      <c r="CE65" s="6">
        <v>398</v>
      </c>
      <c r="CF65" s="6"/>
      <c r="CG65" s="6">
        <f t="shared" si="15"/>
        <v>372</v>
      </c>
      <c r="CH65" s="6">
        <v>774</v>
      </c>
      <c r="CI65" s="6"/>
      <c r="CJ65" s="6">
        <f t="shared" si="16"/>
        <v>376</v>
      </c>
      <c r="CK65" s="6">
        <v>1141</v>
      </c>
      <c r="CL65" s="6"/>
      <c r="CM65" s="6">
        <f t="shared" si="17"/>
        <v>367</v>
      </c>
      <c r="CN65" s="6"/>
      <c r="CO65" s="6"/>
      <c r="CP65" s="6"/>
      <c r="CQ65" s="6">
        <v>1518</v>
      </c>
      <c r="CR65" s="6"/>
      <c r="CS65" s="6">
        <f t="shared" si="18"/>
        <v>377</v>
      </c>
      <c r="CT65" s="6">
        <v>330</v>
      </c>
      <c r="CU65" s="6">
        <v>1560</v>
      </c>
      <c r="CV65" s="6">
        <f t="shared" si="19"/>
        <v>372</v>
      </c>
      <c r="CW65" s="6">
        <v>706</v>
      </c>
      <c r="CX65" s="6"/>
      <c r="CY65" s="6">
        <f t="shared" si="20"/>
        <v>376</v>
      </c>
      <c r="CZ65" s="6">
        <v>1075</v>
      </c>
      <c r="DA65" s="6"/>
      <c r="DB65" s="6">
        <f t="shared" si="21"/>
        <v>369</v>
      </c>
      <c r="DC65" s="6">
        <v>1446</v>
      </c>
      <c r="DD65" s="6"/>
      <c r="DE65" s="6">
        <f t="shared" si="22"/>
        <v>371</v>
      </c>
      <c r="DF65" s="6">
        <v>242</v>
      </c>
      <c r="DG65" s="6">
        <v>1560</v>
      </c>
      <c r="DH65" s="6">
        <f t="shared" si="23"/>
        <v>356</v>
      </c>
      <c r="DI65" s="6"/>
      <c r="DJ65" s="6"/>
      <c r="DK65" s="6"/>
      <c r="DL65" s="6">
        <v>624</v>
      </c>
      <c r="DM65" s="6"/>
      <c r="DN65" s="6">
        <f t="shared" si="24"/>
        <v>382</v>
      </c>
      <c r="DO65" s="6">
        <v>980</v>
      </c>
      <c r="DP65" s="6"/>
      <c r="DQ65" s="6">
        <f t="shared" si="25"/>
        <v>356</v>
      </c>
    </row>
    <row r="66" spans="1:121">
      <c r="A66" s="6">
        <v>62</v>
      </c>
      <c r="B66" s="6">
        <v>96</v>
      </c>
      <c r="C66" s="6">
        <v>870</v>
      </c>
      <c r="D66" s="6">
        <v>299</v>
      </c>
      <c r="E66" s="33" t="s">
        <v>320</v>
      </c>
      <c r="F66" s="33" t="s">
        <v>320</v>
      </c>
      <c r="G66" s="33" t="s">
        <v>320</v>
      </c>
      <c r="H66" s="33" t="s">
        <v>320</v>
      </c>
      <c r="I66" s="33" t="s">
        <v>320</v>
      </c>
      <c r="J66" s="33" t="s">
        <v>320</v>
      </c>
      <c r="K66" s="33" t="s">
        <v>320</v>
      </c>
      <c r="L66" s="33" t="s">
        <v>320</v>
      </c>
      <c r="M66" s="33" t="s">
        <v>320</v>
      </c>
      <c r="N66" s="33" t="s">
        <v>320</v>
      </c>
      <c r="O66" s="33" t="s">
        <v>320</v>
      </c>
      <c r="P66" s="33" t="s">
        <v>320</v>
      </c>
      <c r="Q66" s="33" t="s">
        <v>320</v>
      </c>
      <c r="R66" s="33" t="s">
        <v>320</v>
      </c>
      <c r="S66" s="33" t="s">
        <v>320</v>
      </c>
      <c r="T66" s="33" t="s">
        <v>320</v>
      </c>
      <c r="U66" s="33" t="s">
        <v>320</v>
      </c>
      <c r="V66" s="33" t="s">
        <v>320</v>
      </c>
      <c r="W66" s="33" t="s">
        <v>320</v>
      </c>
      <c r="X66" s="33" t="s">
        <v>320</v>
      </c>
      <c r="Y66" s="33" t="s">
        <v>320</v>
      </c>
      <c r="Z66" s="33" t="s">
        <v>320</v>
      </c>
      <c r="AA66" s="33" t="s">
        <v>320</v>
      </c>
      <c r="AB66" s="33" t="s">
        <v>320</v>
      </c>
      <c r="AC66" s="33" t="s">
        <v>320</v>
      </c>
      <c r="AD66" s="33" t="s">
        <v>320</v>
      </c>
      <c r="AE66" s="148" t="s">
        <v>37</v>
      </c>
      <c r="AF66" s="35">
        <v>461</v>
      </c>
      <c r="AG66" s="35"/>
      <c r="AH66" s="35">
        <f t="shared" si="0"/>
        <v>365</v>
      </c>
      <c r="AI66" s="35">
        <v>800</v>
      </c>
      <c r="AJ66" s="35"/>
      <c r="AK66" s="35">
        <f t="shared" si="1"/>
        <v>339</v>
      </c>
      <c r="AL66" s="35">
        <v>1143</v>
      </c>
      <c r="AM66" s="35"/>
      <c r="AN66" s="35">
        <f t="shared" si="2"/>
        <v>343</v>
      </c>
      <c r="AO66" s="35">
        <v>284</v>
      </c>
      <c r="AP66" s="35">
        <v>1200</v>
      </c>
      <c r="AQ66" s="35">
        <f t="shared" si="3"/>
        <v>341</v>
      </c>
      <c r="AR66" s="6">
        <v>629</v>
      </c>
      <c r="AS66" s="35"/>
      <c r="AT66" s="34">
        <f t="shared" si="4"/>
        <v>345</v>
      </c>
      <c r="AU66" s="35">
        <v>957</v>
      </c>
      <c r="AV66" s="35"/>
      <c r="AW66" s="35">
        <f t="shared" si="5"/>
        <v>328</v>
      </c>
      <c r="AX66" s="6"/>
      <c r="AY66" s="6"/>
      <c r="AZ66" s="35"/>
      <c r="BA66" s="6">
        <v>104</v>
      </c>
      <c r="BB66" s="6">
        <v>1200</v>
      </c>
      <c r="BC66" s="35">
        <f t="shared" si="6"/>
        <v>347</v>
      </c>
      <c r="BD66" s="6">
        <v>445</v>
      </c>
      <c r="BE66" s="6"/>
      <c r="BF66" s="35">
        <f t="shared" si="7"/>
        <v>341</v>
      </c>
      <c r="BG66" s="6">
        <v>787</v>
      </c>
      <c r="BH66" s="6"/>
      <c r="BI66" s="35">
        <f t="shared" si="8"/>
        <v>342</v>
      </c>
      <c r="BJ66" s="6">
        <v>1127</v>
      </c>
      <c r="BK66" s="6"/>
      <c r="BL66" s="35">
        <f t="shared" si="9"/>
        <v>340</v>
      </c>
      <c r="BM66" s="6">
        <v>260</v>
      </c>
      <c r="BN66" s="35">
        <v>1200</v>
      </c>
      <c r="BO66" s="6">
        <f t="shared" si="10"/>
        <v>333</v>
      </c>
      <c r="BP66" s="6">
        <v>570</v>
      </c>
      <c r="BQ66" s="6"/>
      <c r="BR66" s="6">
        <f t="shared" si="11"/>
        <v>310</v>
      </c>
      <c r="BS66" s="6"/>
      <c r="BT66" s="6"/>
      <c r="BU66" s="35"/>
      <c r="BV66" s="6">
        <v>570</v>
      </c>
      <c r="BW66" s="6"/>
      <c r="BX66" s="6">
        <f t="shared" si="12"/>
        <v>0</v>
      </c>
      <c r="BY66" s="6">
        <v>570</v>
      </c>
      <c r="BZ66" s="6"/>
      <c r="CA66" s="35">
        <f t="shared" si="13"/>
        <v>0</v>
      </c>
      <c r="CB66" s="6">
        <v>570</v>
      </c>
      <c r="CC66" s="35"/>
      <c r="CD66" s="6">
        <f t="shared" si="14"/>
        <v>0</v>
      </c>
      <c r="CE66" s="6">
        <v>570</v>
      </c>
      <c r="CF66" s="6"/>
      <c r="CG66" s="6">
        <f t="shared" si="15"/>
        <v>0</v>
      </c>
      <c r="CH66" s="6">
        <v>570</v>
      </c>
      <c r="CI66" s="35"/>
      <c r="CJ66" s="6">
        <f t="shared" si="16"/>
        <v>0</v>
      </c>
      <c r="CK66" s="6">
        <v>570</v>
      </c>
      <c r="CL66" s="6"/>
      <c r="CM66" s="6">
        <f t="shared" si="17"/>
        <v>0</v>
      </c>
      <c r="CN66" s="6"/>
      <c r="CO66" s="6"/>
      <c r="CP66" s="6"/>
      <c r="CQ66" s="6">
        <v>570</v>
      </c>
      <c r="CR66" s="6"/>
      <c r="CS66" s="6">
        <f t="shared" si="18"/>
        <v>0</v>
      </c>
      <c r="CT66" s="6">
        <v>570</v>
      </c>
      <c r="CU66" s="6"/>
      <c r="CV66" s="6">
        <f t="shared" si="19"/>
        <v>0</v>
      </c>
      <c r="CW66" s="6">
        <v>570</v>
      </c>
      <c r="CX66" s="6"/>
      <c r="CY66" s="6">
        <f t="shared" si="20"/>
        <v>0</v>
      </c>
      <c r="CZ66" s="6">
        <v>570</v>
      </c>
      <c r="DA66" s="6"/>
      <c r="DB66" s="6">
        <f t="shared" si="21"/>
        <v>0</v>
      </c>
      <c r="DC66" s="6">
        <v>841</v>
      </c>
      <c r="DD66" s="6"/>
      <c r="DE66" s="6">
        <f t="shared" si="22"/>
        <v>271</v>
      </c>
      <c r="DF66" s="6">
        <v>1171</v>
      </c>
      <c r="DG66" s="6"/>
      <c r="DH66" s="6">
        <f t="shared" si="23"/>
        <v>330</v>
      </c>
      <c r="DI66" s="6"/>
      <c r="DJ66" s="6"/>
      <c r="DK66" s="6"/>
      <c r="DL66" s="6">
        <v>0</v>
      </c>
      <c r="DM66" s="6">
        <f>1200+229</f>
        <v>1429</v>
      </c>
      <c r="DN66" s="6">
        <f t="shared" si="24"/>
        <v>258</v>
      </c>
      <c r="DO66" s="6">
        <v>260</v>
      </c>
      <c r="DP66" s="6"/>
      <c r="DQ66" s="6">
        <f t="shared" si="25"/>
        <v>260</v>
      </c>
    </row>
    <row r="67" spans="1:121">
      <c r="A67" s="6">
        <v>63</v>
      </c>
      <c r="B67" s="6">
        <v>665</v>
      </c>
      <c r="C67" s="6"/>
      <c r="D67" s="6">
        <v>313</v>
      </c>
      <c r="E67" s="33" t="s">
        <v>320</v>
      </c>
      <c r="F67" s="33" t="s">
        <v>320</v>
      </c>
      <c r="G67" s="33" t="s">
        <v>320</v>
      </c>
      <c r="H67" s="33" t="s">
        <v>320</v>
      </c>
      <c r="I67" s="33" t="s">
        <v>320</v>
      </c>
      <c r="J67" s="33" t="s">
        <v>320</v>
      </c>
      <c r="K67" s="33" t="s">
        <v>320</v>
      </c>
      <c r="L67" s="33" t="s">
        <v>320</v>
      </c>
      <c r="M67" s="33" t="s">
        <v>320</v>
      </c>
      <c r="N67" s="33" t="s">
        <v>320</v>
      </c>
      <c r="O67" s="33" t="s">
        <v>320</v>
      </c>
      <c r="P67" s="33" t="s">
        <v>320</v>
      </c>
      <c r="Q67" s="33" t="s">
        <v>320</v>
      </c>
      <c r="R67" s="148" t="s">
        <v>320</v>
      </c>
      <c r="S67" s="33" t="s">
        <v>320</v>
      </c>
      <c r="T67" s="33" t="s">
        <v>320</v>
      </c>
      <c r="U67" s="33" t="s">
        <v>320</v>
      </c>
      <c r="V67" s="33" t="s">
        <v>320</v>
      </c>
      <c r="W67" s="33" t="s">
        <v>320</v>
      </c>
      <c r="X67" s="33" t="s">
        <v>320</v>
      </c>
      <c r="Y67" s="33" t="s">
        <v>320</v>
      </c>
      <c r="Z67" s="33" t="s">
        <v>320</v>
      </c>
      <c r="AA67" s="33" t="s">
        <v>320</v>
      </c>
      <c r="AB67" s="33" t="s">
        <v>320</v>
      </c>
      <c r="AC67" s="33" t="s">
        <v>320</v>
      </c>
      <c r="AD67" s="33" t="s">
        <v>320</v>
      </c>
      <c r="AE67" s="33" t="s">
        <v>320</v>
      </c>
      <c r="AF67" s="35">
        <v>1028</v>
      </c>
      <c r="AG67" s="35"/>
      <c r="AH67" s="35">
        <f t="shared" si="0"/>
        <v>363</v>
      </c>
      <c r="AI67" s="35">
        <v>173</v>
      </c>
      <c r="AJ67" s="35">
        <v>1200</v>
      </c>
      <c r="AK67" s="35">
        <f t="shared" si="1"/>
        <v>345</v>
      </c>
      <c r="AL67" s="35">
        <v>511</v>
      </c>
      <c r="AM67" s="35"/>
      <c r="AN67" s="35">
        <f t="shared" si="2"/>
        <v>338</v>
      </c>
      <c r="AO67" s="35">
        <v>856</v>
      </c>
      <c r="AP67" s="35"/>
      <c r="AQ67" s="35">
        <f t="shared" si="3"/>
        <v>345</v>
      </c>
      <c r="AR67" s="6">
        <v>4</v>
      </c>
      <c r="AS67" s="35">
        <v>1200</v>
      </c>
      <c r="AT67" s="34">
        <f t="shared" si="4"/>
        <v>348</v>
      </c>
      <c r="AU67" s="35">
        <v>337</v>
      </c>
      <c r="AV67" s="35"/>
      <c r="AW67" s="35">
        <f t="shared" si="5"/>
        <v>333</v>
      </c>
      <c r="AX67" s="6"/>
      <c r="AY67" s="6"/>
      <c r="AZ67" s="35"/>
      <c r="BA67" s="6">
        <v>685</v>
      </c>
      <c r="BB67" s="6"/>
      <c r="BC67" s="35">
        <f t="shared" si="6"/>
        <v>348</v>
      </c>
      <c r="BD67" s="6">
        <v>1029</v>
      </c>
      <c r="BE67" s="6"/>
      <c r="BF67" s="35">
        <f t="shared" si="7"/>
        <v>344</v>
      </c>
      <c r="BG67" s="6">
        <v>173</v>
      </c>
      <c r="BH67" s="6">
        <v>1200</v>
      </c>
      <c r="BI67" s="35">
        <f t="shared" si="8"/>
        <v>344</v>
      </c>
      <c r="BJ67" s="6">
        <v>516</v>
      </c>
      <c r="BK67" s="6"/>
      <c r="BL67" s="35">
        <f t="shared" si="9"/>
        <v>343</v>
      </c>
      <c r="BM67" s="6">
        <v>863</v>
      </c>
      <c r="BN67" s="35"/>
      <c r="BO67" s="6">
        <f t="shared" si="10"/>
        <v>347</v>
      </c>
      <c r="BP67" s="6">
        <v>0</v>
      </c>
      <c r="BQ67" s="6">
        <v>1092</v>
      </c>
      <c r="BR67" s="6">
        <f t="shared" si="11"/>
        <v>229</v>
      </c>
      <c r="BS67" s="6"/>
      <c r="BT67" s="6"/>
      <c r="BU67" s="35"/>
      <c r="BV67" s="6">
        <v>0</v>
      </c>
      <c r="BW67" s="6"/>
      <c r="BX67" s="6">
        <f t="shared" si="12"/>
        <v>0</v>
      </c>
      <c r="BY67" s="6">
        <v>0</v>
      </c>
      <c r="BZ67" s="6"/>
      <c r="CA67" s="35">
        <f t="shared" si="13"/>
        <v>0</v>
      </c>
      <c r="CB67" s="6">
        <v>0</v>
      </c>
      <c r="CC67" s="35"/>
      <c r="CD67" s="6">
        <f t="shared" si="14"/>
        <v>0</v>
      </c>
      <c r="CE67" s="6">
        <v>0</v>
      </c>
      <c r="CF67" s="6"/>
      <c r="CG67" s="6">
        <f t="shared" si="15"/>
        <v>0</v>
      </c>
      <c r="CH67" s="6">
        <v>0</v>
      </c>
      <c r="CI67" s="35"/>
      <c r="CJ67" s="6">
        <f t="shared" si="16"/>
        <v>0</v>
      </c>
      <c r="CK67" s="6">
        <v>0</v>
      </c>
      <c r="CL67" s="6"/>
      <c r="CM67" s="6">
        <f t="shared" si="17"/>
        <v>0</v>
      </c>
      <c r="CN67" s="6"/>
      <c r="CO67" s="6"/>
      <c r="CP67" s="6"/>
      <c r="CQ67" s="6">
        <v>308</v>
      </c>
      <c r="CR67" s="6"/>
      <c r="CS67" s="6">
        <f t="shared" si="18"/>
        <v>308</v>
      </c>
      <c r="CT67" s="6">
        <v>652</v>
      </c>
      <c r="CU67" s="6"/>
      <c r="CV67" s="6">
        <f t="shared" si="19"/>
        <v>344</v>
      </c>
      <c r="CW67" s="6">
        <v>0</v>
      </c>
      <c r="CX67" s="6">
        <v>1004</v>
      </c>
      <c r="CY67" s="6">
        <f t="shared" si="20"/>
        <v>352</v>
      </c>
      <c r="CZ67" s="6">
        <v>0</v>
      </c>
      <c r="DA67" s="6"/>
      <c r="DB67" s="6">
        <f t="shared" si="21"/>
        <v>0</v>
      </c>
      <c r="DC67" s="6">
        <v>285</v>
      </c>
      <c r="DD67" s="6"/>
      <c r="DE67" s="6">
        <f t="shared" si="22"/>
        <v>285</v>
      </c>
      <c r="DF67" s="6">
        <v>630</v>
      </c>
      <c r="DG67" s="6"/>
      <c r="DH67" s="6">
        <f t="shared" si="23"/>
        <v>345</v>
      </c>
      <c r="DI67" s="6"/>
      <c r="DJ67" s="6"/>
      <c r="DK67" s="6"/>
      <c r="DL67" s="6">
        <v>980</v>
      </c>
      <c r="DM67" s="6"/>
      <c r="DN67" s="6">
        <f t="shared" si="24"/>
        <v>350</v>
      </c>
      <c r="DO67" s="6">
        <v>1318</v>
      </c>
      <c r="DP67" s="6"/>
      <c r="DQ67" s="6">
        <f t="shared" si="25"/>
        <v>338</v>
      </c>
    </row>
    <row r="68" spans="1:121">
      <c r="A68" s="6">
        <v>64</v>
      </c>
      <c r="B68" s="6">
        <v>1170</v>
      </c>
      <c r="C68" s="6"/>
      <c r="D68" s="6">
        <v>315</v>
      </c>
      <c r="E68" s="33" t="s">
        <v>320</v>
      </c>
      <c r="F68" s="33" t="s">
        <v>320</v>
      </c>
      <c r="G68" s="33" t="s">
        <v>320</v>
      </c>
      <c r="H68" s="33" t="s">
        <v>320</v>
      </c>
      <c r="I68" s="148" t="s">
        <v>320</v>
      </c>
      <c r="J68" s="33" t="s">
        <v>320</v>
      </c>
      <c r="K68" s="33" t="s">
        <v>320</v>
      </c>
      <c r="L68" s="148" t="s">
        <v>37</v>
      </c>
      <c r="M68" s="33" t="s">
        <v>37</v>
      </c>
      <c r="N68" s="33" t="s">
        <v>37</v>
      </c>
      <c r="O68" s="33" t="s">
        <v>37</v>
      </c>
      <c r="P68" s="33" t="s">
        <v>37</v>
      </c>
      <c r="Q68" s="33" t="s">
        <v>37</v>
      </c>
      <c r="R68" s="33" t="s">
        <v>37</v>
      </c>
      <c r="S68" s="33" t="s">
        <v>37</v>
      </c>
      <c r="T68" s="33" t="s">
        <v>37</v>
      </c>
      <c r="U68" s="33" t="s">
        <v>37</v>
      </c>
      <c r="V68" s="33" t="s">
        <v>37</v>
      </c>
      <c r="W68" s="33" t="s">
        <v>37</v>
      </c>
      <c r="X68" s="33" t="s">
        <v>37</v>
      </c>
      <c r="Y68" s="33" t="s">
        <v>37</v>
      </c>
      <c r="Z68" s="33" t="s">
        <v>37</v>
      </c>
      <c r="AA68" s="33" t="s">
        <v>37</v>
      </c>
      <c r="AB68" s="33" t="s">
        <v>37</v>
      </c>
      <c r="AC68" s="33" t="s">
        <v>37</v>
      </c>
      <c r="AD68" s="33" t="s">
        <v>37</v>
      </c>
      <c r="AE68" s="33" t="s">
        <v>37</v>
      </c>
      <c r="AF68" s="6">
        <v>319</v>
      </c>
      <c r="AG68" s="6">
        <v>1200</v>
      </c>
      <c r="AH68" s="35">
        <f t="shared" si="0"/>
        <v>349</v>
      </c>
      <c r="AI68" s="6">
        <v>643</v>
      </c>
      <c r="AJ68" s="6"/>
      <c r="AK68" s="35">
        <f t="shared" si="1"/>
        <v>324</v>
      </c>
      <c r="AL68" s="35">
        <v>990</v>
      </c>
      <c r="AM68" s="35"/>
      <c r="AN68" s="35">
        <f t="shared" si="2"/>
        <v>347</v>
      </c>
      <c r="AO68" s="6">
        <v>225</v>
      </c>
      <c r="AP68" s="6">
        <v>1094</v>
      </c>
      <c r="AQ68" s="35">
        <f t="shared" si="3"/>
        <v>329</v>
      </c>
      <c r="AR68" s="6">
        <v>574</v>
      </c>
      <c r="AS68" s="6"/>
      <c r="AT68" s="34">
        <f t="shared" si="4"/>
        <v>349</v>
      </c>
      <c r="AU68" s="35">
        <v>896</v>
      </c>
      <c r="AV68" s="35"/>
      <c r="AW68" s="35">
        <f t="shared" si="5"/>
        <v>322</v>
      </c>
      <c r="AX68" s="6"/>
      <c r="AY68" s="6"/>
      <c r="AZ68" s="35"/>
      <c r="BA68" s="6">
        <v>275</v>
      </c>
      <c r="BB68" s="6">
        <v>970</v>
      </c>
      <c r="BC68" s="35">
        <f t="shared" si="6"/>
        <v>349</v>
      </c>
      <c r="BD68" s="35">
        <v>651</v>
      </c>
      <c r="BE68" s="6"/>
      <c r="BF68" s="35">
        <f t="shared" si="7"/>
        <v>376</v>
      </c>
      <c r="BG68" s="6">
        <v>1031</v>
      </c>
      <c r="BH68" s="6"/>
      <c r="BI68" s="35">
        <f t="shared" si="8"/>
        <v>380</v>
      </c>
      <c r="BJ68" s="6">
        <v>1409</v>
      </c>
      <c r="BK68" s="6"/>
      <c r="BL68" s="35">
        <f t="shared" si="9"/>
        <v>378</v>
      </c>
      <c r="BM68" s="6">
        <v>229</v>
      </c>
      <c r="BN68" s="35">
        <v>1560</v>
      </c>
      <c r="BO68" s="6">
        <f t="shared" si="10"/>
        <v>380</v>
      </c>
      <c r="BP68" s="6">
        <v>591</v>
      </c>
      <c r="BQ68" s="6"/>
      <c r="BR68" s="6">
        <f t="shared" si="11"/>
        <v>362</v>
      </c>
      <c r="BS68" s="6"/>
      <c r="BT68" s="6"/>
      <c r="BU68" s="35"/>
      <c r="BV68" s="6">
        <v>973</v>
      </c>
      <c r="BW68" s="6"/>
      <c r="BX68" s="6">
        <f t="shared" si="12"/>
        <v>382</v>
      </c>
      <c r="BY68" s="6">
        <v>1352</v>
      </c>
      <c r="BZ68" s="6"/>
      <c r="CA68" s="35">
        <f t="shared" si="13"/>
        <v>379</v>
      </c>
      <c r="CB68" s="6">
        <v>169</v>
      </c>
      <c r="CC68" s="35">
        <v>1560</v>
      </c>
      <c r="CD68" s="6">
        <f t="shared" si="14"/>
        <v>377</v>
      </c>
      <c r="CE68" s="6">
        <v>540</v>
      </c>
      <c r="CF68" s="6"/>
      <c r="CG68" s="6">
        <f t="shared" si="15"/>
        <v>371</v>
      </c>
      <c r="CH68" s="6">
        <v>916</v>
      </c>
      <c r="CI68" s="35"/>
      <c r="CJ68" s="6">
        <f t="shared" si="16"/>
        <v>376</v>
      </c>
      <c r="CK68" s="6">
        <v>1283</v>
      </c>
      <c r="CL68" s="6"/>
      <c r="CM68" s="6">
        <f t="shared" si="17"/>
        <v>367</v>
      </c>
      <c r="CN68" s="6"/>
      <c r="CO68" s="6"/>
      <c r="CP68" s="6"/>
      <c r="CQ68" s="6">
        <v>109</v>
      </c>
      <c r="CR68" s="6">
        <v>1560</v>
      </c>
      <c r="CS68" s="6">
        <f t="shared" si="18"/>
        <v>386</v>
      </c>
      <c r="CT68" s="6">
        <v>484</v>
      </c>
      <c r="CU68" s="6"/>
      <c r="CV68" s="6">
        <f t="shared" si="19"/>
        <v>375</v>
      </c>
      <c r="CW68" s="6">
        <v>863</v>
      </c>
      <c r="CX68" s="6"/>
      <c r="CY68" s="6">
        <f t="shared" si="20"/>
        <v>379</v>
      </c>
      <c r="CZ68" s="6">
        <v>1241</v>
      </c>
      <c r="DA68" s="6"/>
      <c r="DB68" s="6">
        <f t="shared" si="21"/>
        <v>378</v>
      </c>
      <c r="DC68" s="6">
        <v>60</v>
      </c>
      <c r="DD68" s="6">
        <v>1560</v>
      </c>
      <c r="DE68" s="6">
        <f t="shared" si="22"/>
        <v>379</v>
      </c>
      <c r="DF68" s="6">
        <v>424</v>
      </c>
      <c r="DG68" s="6"/>
      <c r="DH68" s="6">
        <f t="shared" si="23"/>
        <v>364</v>
      </c>
      <c r="DI68" s="6"/>
      <c r="DJ68" s="35"/>
      <c r="DK68" s="6"/>
      <c r="DL68" s="6">
        <v>794</v>
      </c>
      <c r="DM68" s="35"/>
      <c r="DN68" s="6">
        <f t="shared" si="24"/>
        <v>370</v>
      </c>
      <c r="DO68" s="6">
        <v>1152</v>
      </c>
      <c r="DP68" s="35"/>
      <c r="DQ68" s="6">
        <f t="shared" si="25"/>
        <v>358</v>
      </c>
    </row>
    <row r="69" spans="1:121">
      <c r="A69" s="6">
        <v>65</v>
      </c>
      <c r="B69" s="6">
        <v>541</v>
      </c>
      <c r="C69" s="6"/>
      <c r="D69" s="6">
        <v>259</v>
      </c>
      <c r="E69" s="33" t="s">
        <v>135</v>
      </c>
      <c r="F69" s="33" t="s">
        <v>135</v>
      </c>
      <c r="G69" s="33" t="s">
        <v>135</v>
      </c>
      <c r="H69" s="33" t="s">
        <v>135</v>
      </c>
      <c r="I69" s="33" t="s">
        <v>135</v>
      </c>
      <c r="J69" s="33" t="s">
        <v>135</v>
      </c>
      <c r="K69" s="33" t="s">
        <v>135</v>
      </c>
      <c r="L69" s="33" t="s">
        <v>135</v>
      </c>
      <c r="M69" s="33" t="s">
        <v>135</v>
      </c>
      <c r="N69" s="33" t="s">
        <v>135</v>
      </c>
      <c r="O69" s="33" t="s">
        <v>135</v>
      </c>
      <c r="P69" s="33" t="s">
        <v>135</v>
      </c>
      <c r="Q69" s="33" t="s">
        <v>135</v>
      </c>
      <c r="R69" s="33" t="s">
        <v>135</v>
      </c>
      <c r="S69" s="33" t="s">
        <v>135</v>
      </c>
      <c r="T69" s="33" t="s">
        <v>135</v>
      </c>
      <c r="U69" s="33" t="s">
        <v>135</v>
      </c>
      <c r="V69" s="33" t="s">
        <v>135</v>
      </c>
      <c r="W69" s="33" t="s">
        <v>135</v>
      </c>
      <c r="X69" s="33" t="s">
        <v>135</v>
      </c>
      <c r="Y69" s="33" t="s">
        <v>135</v>
      </c>
      <c r="Z69" s="33" t="s">
        <v>135</v>
      </c>
      <c r="AA69" s="33" t="s">
        <v>135</v>
      </c>
      <c r="AB69" s="33" t="s">
        <v>135</v>
      </c>
      <c r="AC69" s="33" t="s">
        <v>135</v>
      </c>
      <c r="AD69" s="33" t="s">
        <v>135</v>
      </c>
      <c r="AE69" s="33" t="s">
        <v>135</v>
      </c>
      <c r="AF69" s="6">
        <v>802</v>
      </c>
      <c r="AG69" s="6"/>
      <c r="AH69" s="35">
        <f t="shared" si="0"/>
        <v>261</v>
      </c>
      <c r="AI69" s="6">
        <v>1085</v>
      </c>
      <c r="AJ69" s="6"/>
      <c r="AK69" s="35">
        <f t="shared" si="1"/>
        <v>283</v>
      </c>
      <c r="AL69" s="35">
        <v>1379</v>
      </c>
      <c r="AM69" s="35"/>
      <c r="AN69" s="35">
        <f t="shared" si="2"/>
        <v>294</v>
      </c>
      <c r="AO69" s="6">
        <v>101</v>
      </c>
      <c r="AP69" s="6">
        <v>1565</v>
      </c>
      <c r="AQ69" s="35">
        <f t="shared" si="3"/>
        <v>287</v>
      </c>
      <c r="AR69" s="6">
        <v>394</v>
      </c>
      <c r="AS69" s="6"/>
      <c r="AT69" s="34">
        <f t="shared" si="4"/>
        <v>293</v>
      </c>
      <c r="AU69" s="35">
        <v>660</v>
      </c>
      <c r="AV69" s="35"/>
      <c r="AW69" s="35">
        <f t="shared" si="5"/>
        <v>266</v>
      </c>
      <c r="AX69" s="6"/>
      <c r="AY69" s="6"/>
      <c r="AZ69" s="35"/>
      <c r="BA69" s="6">
        <v>952</v>
      </c>
      <c r="BB69" s="6"/>
      <c r="BC69" s="35">
        <f t="shared" si="6"/>
        <v>292</v>
      </c>
      <c r="BD69" s="35">
        <v>231</v>
      </c>
      <c r="BE69" s="35">
        <v>1013</v>
      </c>
      <c r="BF69" s="35">
        <f t="shared" si="7"/>
        <v>292</v>
      </c>
      <c r="BG69" s="6">
        <v>528</v>
      </c>
      <c r="BH69" s="6"/>
      <c r="BI69" s="35">
        <f t="shared" si="8"/>
        <v>297</v>
      </c>
      <c r="BJ69" s="6">
        <v>828</v>
      </c>
      <c r="BK69" s="6"/>
      <c r="BL69" s="35">
        <f t="shared" si="9"/>
        <v>300</v>
      </c>
      <c r="BM69" s="6">
        <v>1128</v>
      </c>
      <c r="BN69" s="6"/>
      <c r="BO69" s="6">
        <f t="shared" si="10"/>
        <v>300</v>
      </c>
      <c r="BP69" s="6">
        <v>1418</v>
      </c>
      <c r="BQ69" s="6"/>
      <c r="BR69" s="6">
        <f t="shared" si="11"/>
        <v>290</v>
      </c>
      <c r="BS69" s="6"/>
      <c r="BT69" s="6"/>
      <c r="BU69" s="35"/>
      <c r="BV69" s="6">
        <v>1438</v>
      </c>
      <c r="BW69" s="6"/>
      <c r="BX69" s="6">
        <f t="shared" si="12"/>
        <v>20</v>
      </c>
      <c r="BY69" s="6">
        <v>1438</v>
      </c>
      <c r="BZ69" s="6"/>
      <c r="CA69" s="35">
        <f t="shared" si="13"/>
        <v>0</v>
      </c>
      <c r="CB69" s="6">
        <v>1438</v>
      </c>
      <c r="CC69" s="6"/>
      <c r="CD69" s="6">
        <f t="shared" si="14"/>
        <v>0</v>
      </c>
      <c r="CE69" s="6">
        <v>1438</v>
      </c>
      <c r="CF69" s="6"/>
      <c r="CG69" s="6">
        <f t="shared" si="15"/>
        <v>0</v>
      </c>
      <c r="CH69" s="6">
        <v>1438</v>
      </c>
      <c r="CI69" s="6"/>
      <c r="CJ69" s="6">
        <f t="shared" si="16"/>
        <v>0</v>
      </c>
      <c r="CK69" s="6">
        <v>1438</v>
      </c>
      <c r="CL69" s="6"/>
      <c r="CM69" s="6">
        <f t="shared" si="17"/>
        <v>0</v>
      </c>
      <c r="CN69" s="6"/>
      <c r="CO69" s="6"/>
      <c r="CP69" s="6"/>
      <c r="CQ69" s="6">
        <v>1438</v>
      </c>
      <c r="CR69" s="6"/>
      <c r="CS69" s="6">
        <f t="shared" si="18"/>
        <v>0</v>
      </c>
      <c r="CT69" s="6">
        <v>1438</v>
      </c>
      <c r="CU69" s="6"/>
      <c r="CV69" s="6">
        <f t="shared" si="19"/>
        <v>0</v>
      </c>
      <c r="CW69" s="6">
        <v>1438</v>
      </c>
      <c r="CX69" s="6"/>
      <c r="CY69" s="6">
        <f t="shared" si="20"/>
        <v>0</v>
      </c>
      <c r="CZ69" s="6">
        <v>1438</v>
      </c>
      <c r="DA69" s="6"/>
      <c r="DB69" s="6">
        <f t="shared" si="21"/>
        <v>0</v>
      </c>
      <c r="DC69" s="6">
        <v>212</v>
      </c>
      <c r="DD69" s="6">
        <v>1439</v>
      </c>
      <c r="DE69" s="6">
        <f t="shared" si="22"/>
        <v>213</v>
      </c>
      <c r="DF69" s="6">
        <v>480</v>
      </c>
      <c r="DG69" s="6"/>
      <c r="DH69" s="6">
        <f t="shared" si="23"/>
        <v>268</v>
      </c>
      <c r="DI69" s="6"/>
      <c r="DJ69" s="6"/>
      <c r="DK69" s="6"/>
      <c r="DL69" s="6">
        <v>763</v>
      </c>
      <c r="DM69" s="6"/>
      <c r="DN69" s="6">
        <f t="shared" si="24"/>
        <v>283</v>
      </c>
      <c r="DO69" s="6">
        <v>1015</v>
      </c>
      <c r="DP69" s="6"/>
      <c r="DQ69" s="6">
        <f t="shared" si="25"/>
        <v>252</v>
      </c>
    </row>
    <row r="70" spans="1:121">
      <c r="A70" s="6">
        <v>66</v>
      </c>
      <c r="B70" s="6">
        <v>805</v>
      </c>
      <c r="C70" s="6"/>
      <c r="D70" s="6">
        <v>316</v>
      </c>
      <c r="E70" s="33" t="s">
        <v>320</v>
      </c>
      <c r="F70" s="33" t="s">
        <v>320</v>
      </c>
      <c r="G70" s="33" t="s">
        <v>320</v>
      </c>
      <c r="H70" s="33" t="s">
        <v>320</v>
      </c>
      <c r="I70" s="33" t="s">
        <v>320</v>
      </c>
      <c r="J70" s="33" t="s">
        <v>320</v>
      </c>
      <c r="K70" s="33" t="s">
        <v>320</v>
      </c>
      <c r="L70" s="33" t="s">
        <v>320</v>
      </c>
      <c r="M70" s="33" t="s">
        <v>320</v>
      </c>
      <c r="N70" s="33" t="s">
        <v>320</v>
      </c>
      <c r="O70" s="33" t="s">
        <v>320</v>
      </c>
      <c r="P70" s="33" t="s">
        <v>320</v>
      </c>
      <c r="Q70" s="33" t="s">
        <v>320</v>
      </c>
      <c r="R70" s="148" t="s">
        <v>320</v>
      </c>
      <c r="S70" s="33" t="s">
        <v>320</v>
      </c>
      <c r="T70" s="33" t="s">
        <v>320</v>
      </c>
      <c r="U70" s="33" t="s">
        <v>320</v>
      </c>
      <c r="V70" s="33" t="s">
        <v>320</v>
      </c>
      <c r="W70" s="33" t="s">
        <v>320</v>
      </c>
      <c r="X70" s="33" t="s">
        <v>320</v>
      </c>
      <c r="Y70" s="33" t="s">
        <v>320</v>
      </c>
      <c r="Z70" s="33" t="s">
        <v>320</v>
      </c>
      <c r="AA70" s="33" t="s">
        <v>320</v>
      </c>
      <c r="AB70" s="33" t="s">
        <v>320</v>
      </c>
      <c r="AC70" s="148" t="s">
        <v>462</v>
      </c>
      <c r="AD70" s="33" t="s">
        <v>462</v>
      </c>
      <c r="AE70" s="33" t="s">
        <v>462</v>
      </c>
      <c r="AF70" s="6">
        <v>1168</v>
      </c>
      <c r="AG70" s="6"/>
      <c r="AH70" s="35">
        <f t="shared" ref="AH70:AH133" si="26">AG70+AF70-B70</f>
        <v>363</v>
      </c>
      <c r="AI70" s="6">
        <v>306</v>
      </c>
      <c r="AJ70" s="6">
        <v>1200</v>
      </c>
      <c r="AK70" s="35">
        <f t="shared" ref="AK70:AK133" si="27">AJ70+AI70-AF70</f>
        <v>338</v>
      </c>
      <c r="AL70" s="35">
        <v>629</v>
      </c>
      <c r="AM70" s="35"/>
      <c r="AN70" s="35">
        <f t="shared" ref="AN70:AN133" si="28">AM70+AL70-AI70</f>
        <v>323</v>
      </c>
      <c r="AO70" s="6">
        <v>967</v>
      </c>
      <c r="AP70" s="6"/>
      <c r="AQ70" s="35">
        <f t="shared" ref="AQ70:AQ133" si="29">AP70+AO70-AL70</f>
        <v>338</v>
      </c>
      <c r="AR70" s="6">
        <v>108</v>
      </c>
      <c r="AS70" s="6">
        <v>1200</v>
      </c>
      <c r="AT70" s="34">
        <f t="shared" ref="AT70:AT133" si="30">AS70+AR70-AO70</f>
        <v>341</v>
      </c>
      <c r="AU70" s="35">
        <v>431</v>
      </c>
      <c r="AV70" s="35"/>
      <c r="AW70" s="35">
        <f t="shared" ref="AW70:AW133" si="31">AV70+AU70-AR70</f>
        <v>323</v>
      </c>
      <c r="AX70" s="6"/>
      <c r="AY70" s="6"/>
      <c r="AZ70" s="35"/>
      <c r="BA70" s="6">
        <v>777</v>
      </c>
      <c r="BB70" s="6"/>
      <c r="BC70" s="35">
        <f t="shared" ref="BC70:BC133" si="32">BB70+BA70-AU70</f>
        <v>346</v>
      </c>
      <c r="BD70" s="35">
        <v>1122</v>
      </c>
      <c r="BE70" s="35"/>
      <c r="BF70" s="35">
        <f t="shared" ref="BF70:BF133" si="33">BE70+BD70-BA70</f>
        <v>345</v>
      </c>
      <c r="BG70" s="6">
        <v>267</v>
      </c>
      <c r="BH70" s="6">
        <v>1200</v>
      </c>
      <c r="BI70" s="35">
        <f t="shared" ref="BI70:BI133" si="34">BH70+BG70-BD70</f>
        <v>345</v>
      </c>
      <c r="BJ70" s="6">
        <v>612</v>
      </c>
      <c r="BK70" s="6"/>
      <c r="BL70" s="35">
        <f t="shared" ref="BL70:BL133" si="35">BK70+BJ70-BG70</f>
        <v>345</v>
      </c>
      <c r="BM70" s="6">
        <v>961</v>
      </c>
      <c r="BN70" s="6"/>
      <c r="BO70" s="6">
        <f t="shared" ref="BO70:BO133" si="36">BN70+BM70-BJ70</f>
        <v>349</v>
      </c>
      <c r="BP70" s="6">
        <v>0</v>
      </c>
      <c r="BQ70" s="6">
        <v>1099</v>
      </c>
      <c r="BR70" s="6">
        <f t="shared" ref="BR70:BR133" si="37">BQ70+BP70-BM70</f>
        <v>138</v>
      </c>
      <c r="BS70" s="6"/>
      <c r="BT70" s="6"/>
      <c r="BU70" s="35"/>
      <c r="BV70" s="6">
        <v>0</v>
      </c>
      <c r="BW70" s="6"/>
      <c r="BX70" s="6">
        <f t="shared" ref="BX70:BX133" si="38">BW70+BV70-BP70</f>
        <v>0</v>
      </c>
      <c r="BY70" s="6">
        <v>0</v>
      </c>
      <c r="BZ70" s="6"/>
      <c r="CA70" s="35">
        <f t="shared" ref="CA70:CA133" si="39">BZ70+BY70-BV70</f>
        <v>0</v>
      </c>
      <c r="CB70" s="6">
        <v>0</v>
      </c>
      <c r="CC70" s="6"/>
      <c r="CD70" s="6">
        <f t="shared" ref="CD70:CD133" si="40">CC70+CB70-BY70</f>
        <v>0</v>
      </c>
      <c r="CE70" s="6">
        <v>0</v>
      </c>
      <c r="CF70" s="6"/>
      <c r="CG70" s="6">
        <f t="shared" ref="CG70:CG133" si="41">CF70+CE70-CB70</f>
        <v>0</v>
      </c>
      <c r="CH70" s="6">
        <v>0</v>
      </c>
      <c r="CI70" s="6"/>
      <c r="CJ70" s="6">
        <f t="shared" ref="CJ70:CJ133" si="42">CI70+CH70-CE70</f>
        <v>0</v>
      </c>
      <c r="CK70" s="6">
        <v>0</v>
      </c>
      <c r="CL70" s="6"/>
      <c r="CM70" s="6">
        <f t="shared" ref="CM70:CM133" si="43">CL70+CK70-CH70</f>
        <v>0</v>
      </c>
      <c r="CN70" s="6"/>
      <c r="CO70" s="6"/>
      <c r="CP70" s="6"/>
      <c r="CQ70" s="6">
        <v>0</v>
      </c>
      <c r="CR70" s="6"/>
      <c r="CS70" s="6">
        <f t="shared" ref="CS70:CS133" si="44">CR70+CQ70-CK70</f>
        <v>0</v>
      </c>
      <c r="CT70" s="6">
        <v>0</v>
      </c>
      <c r="CU70" s="6"/>
      <c r="CV70" s="6">
        <f t="shared" ref="CV70:CV133" si="45">CU70+CT70-CQ70</f>
        <v>0</v>
      </c>
      <c r="CW70" s="6">
        <v>0</v>
      </c>
      <c r="CX70" s="6"/>
      <c r="CY70" s="6">
        <f t="shared" ref="CY70:CY133" si="46">CX70+CW70-CT70</f>
        <v>0</v>
      </c>
      <c r="CZ70" s="6">
        <v>0</v>
      </c>
      <c r="DA70" s="6"/>
      <c r="DB70" s="6">
        <f t="shared" ref="DB70:DB133" si="47">DA70+CZ70-CW70</f>
        <v>0</v>
      </c>
      <c r="DC70" s="6">
        <v>0</v>
      </c>
      <c r="DD70" s="6"/>
      <c r="DE70" s="6">
        <f t="shared" ref="DE70:DE133" si="48">DD70+DC70-CZ70</f>
        <v>0</v>
      </c>
      <c r="DF70" s="6">
        <v>253</v>
      </c>
      <c r="DG70" s="6"/>
      <c r="DH70" s="6">
        <f t="shared" ref="DH70:DH133" si="49">DG70+DF70-DC70</f>
        <v>253</v>
      </c>
      <c r="DI70" s="6"/>
      <c r="DJ70" s="6"/>
      <c r="DK70" s="6"/>
      <c r="DL70" s="6">
        <v>551</v>
      </c>
      <c r="DM70" s="6"/>
      <c r="DN70" s="6">
        <f t="shared" ref="DN70:DN133" si="50">DM70+DL70-DF70</f>
        <v>298</v>
      </c>
      <c r="DO70" s="6">
        <v>837</v>
      </c>
      <c r="DP70" s="6"/>
      <c r="DQ70" s="6">
        <f t="shared" ref="DQ70:DQ133" si="51">DP70+DO70-DL70</f>
        <v>286</v>
      </c>
    </row>
    <row r="71" spans="1:121">
      <c r="A71" s="6">
        <v>67</v>
      </c>
      <c r="B71" s="6">
        <v>688</v>
      </c>
      <c r="C71" s="6"/>
      <c r="D71" s="6">
        <v>296</v>
      </c>
      <c r="E71" s="33" t="s">
        <v>320</v>
      </c>
      <c r="F71" s="33" t="s">
        <v>320</v>
      </c>
      <c r="G71" s="33" t="s">
        <v>320</v>
      </c>
      <c r="H71" s="33" t="s">
        <v>320</v>
      </c>
      <c r="I71" s="33" t="s">
        <v>320</v>
      </c>
      <c r="J71" s="33" t="s">
        <v>320</v>
      </c>
      <c r="K71" s="33" t="s">
        <v>320</v>
      </c>
      <c r="L71" s="33" t="s">
        <v>320</v>
      </c>
      <c r="M71" s="33" t="s">
        <v>320</v>
      </c>
      <c r="N71" s="33" t="s">
        <v>320</v>
      </c>
      <c r="O71" s="33" t="s">
        <v>320</v>
      </c>
      <c r="P71" s="33" t="s">
        <v>320</v>
      </c>
      <c r="Q71" s="148" t="s">
        <v>320</v>
      </c>
      <c r="R71" s="33" t="s">
        <v>320</v>
      </c>
      <c r="S71" s="33" t="s">
        <v>320</v>
      </c>
      <c r="T71" s="33" t="s">
        <v>320</v>
      </c>
      <c r="U71" s="33" t="s">
        <v>320</v>
      </c>
      <c r="V71" s="33" t="s">
        <v>320</v>
      </c>
      <c r="W71" s="33" t="s">
        <v>320</v>
      </c>
      <c r="X71" s="33" t="s">
        <v>320</v>
      </c>
      <c r="Y71" s="33" t="s">
        <v>320</v>
      </c>
      <c r="Z71" s="33" t="s">
        <v>320</v>
      </c>
      <c r="AA71" s="33" t="s">
        <v>320</v>
      </c>
      <c r="AB71" s="33" t="s">
        <v>320</v>
      </c>
      <c r="AC71" s="148" t="s">
        <v>462</v>
      </c>
      <c r="AD71" s="33" t="s">
        <v>462</v>
      </c>
      <c r="AE71" s="33" t="s">
        <v>462</v>
      </c>
      <c r="AF71" s="6">
        <v>1034</v>
      </c>
      <c r="AG71" s="6"/>
      <c r="AH71" s="35">
        <f t="shared" si="26"/>
        <v>346</v>
      </c>
      <c r="AI71" s="6">
        <v>156</v>
      </c>
      <c r="AJ71" s="6">
        <v>1200</v>
      </c>
      <c r="AK71" s="35">
        <f t="shared" si="27"/>
        <v>322</v>
      </c>
      <c r="AL71" s="35">
        <v>28</v>
      </c>
      <c r="AM71" s="35">
        <v>453</v>
      </c>
      <c r="AN71" s="35">
        <f t="shared" si="28"/>
        <v>325</v>
      </c>
      <c r="AO71" s="6">
        <v>353</v>
      </c>
      <c r="AP71" s="6"/>
      <c r="AQ71" s="35">
        <f t="shared" si="29"/>
        <v>325</v>
      </c>
      <c r="AR71" s="6">
        <v>676</v>
      </c>
      <c r="AS71" s="6"/>
      <c r="AT71" s="34">
        <f t="shared" si="30"/>
        <v>323</v>
      </c>
      <c r="AU71" s="35">
        <v>985</v>
      </c>
      <c r="AV71" s="35"/>
      <c r="AW71" s="35">
        <f t="shared" si="31"/>
        <v>309</v>
      </c>
      <c r="AX71" s="6"/>
      <c r="AY71" s="6"/>
      <c r="AZ71" s="35"/>
      <c r="BA71" s="6">
        <v>119</v>
      </c>
      <c r="BB71" s="6">
        <v>1200</v>
      </c>
      <c r="BC71" s="35">
        <f t="shared" si="32"/>
        <v>334</v>
      </c>
      <c r="BD71" s="35">
        <v>441</v>
      </c>
      <c r="BE71" s="35"/>
      <c r="BF71" s="35">
        <f t="shared" si="33"/>
        <v>322</v>
      </c>
      <c r="BG71" s="6">
        <v>775</v>
      </c>
      <c r="BH71" s="6"/>
      <c r="BI71" s="35">
        <f t="shared" si="34"/>
        <v>334</v>
      </c>
      <c r="BJ71" s="6">
        <v>1105</v>
      </c>
      <c r="BK71" s="6"/>
      <c r="BL71" s="35">
        <f t="shared" si="35"/>
        <v>330</v>
      </c>
      <c r="BM71" s="6">
        <v>0</v>
      </c>
      <c r="BN71" s="6">
        <v>1346</v>
      </c>
      <c r="BO71" s="6">
        <f t="shared" si="36"/>
        <v>241</v>
      </c>
      <c r="BP71" s="6">
        <v>290</v>
      </c>
      <c r="BQ71" s="6"/>
      <c r="BR71" s="6">
        <f t="shared" si="37"/>
        <v>290</v>
      </c>
      <c r="BS71" s="6"/>
      <c r="BT71" s="6"/>
      <c r="BU71" s="35"/>
      <c r="BV71" s="6">
        <v>290</v>
      </c>
      <c r="BW71" s="6"/>
      <c r="BX71" s="6">
        <f t="shared" si="38"/>
        <v>0</v>
      </c>
      <c r="BY71" s="6">
        <v>290</v>
      </c>
      <c r="BZ71" s="6"/>
      <c r="CA71" s="35">
        <f t="shared" si="39"/>
        <v>0</v>
      </c>
      <c r="CB71" s="6">
        <v>290</v>
      </c>
      <c r="CC71" s="6"/>
      <c r="CD71" s="6">
        <f t="shared" si="40"/>
        <v>0</v>
      </c>
      <c r="CE71" s="6">
        <v>290</v>
      </c>
      <c r="CF71" s="6"/>
      <c r="CG71" s="6">
        <f t="shared" si="41"/>
        <v>0</v>
      </c>
      <c r="CH71" s="6">
        <v>290</v>
      </c>
      <c r="CI71" s="6"/>
      <c r="CJ71" s="6">
        <f t="shared" si="42"/>
        <v>0</v>
      </c>
      <c r="CK71" s="6">
        <v>290</v>
      </c>
      <c r="CL71" s="6"/>
      <c r="CM71" s="6">
        <f t="shared" si="43"/>
        <v>0</v>
      </c>
      <c r="CN71" s="6"/>
      <c r="CO71" s="6"/>
      <c r="CP71" s="6"/>
      <c r="CQ71" s="6">
        <v>290</v>
      </c>
      <c r="CR71" s="6"/>
      <c r="CS71" s="6">
        <f t="shared" si="44"/>
        <v>0</v>
      </c>
      <c r="CT71" s="35">
        <v>290</v>
      </c>
      <c r="CU71" s="6"/>
      <c r="CV71" s="6">
        <f t="shared" si="45"/>
        <v>0</v>
      </c>
      <c r="CW71" s="6">
        <v>290</v>
      </c>
      <c r="CX71" s="6"/>
      <c r="CY71" s="6">
        <f t="shared" si="46"/>
        <v>0</v>
      </c>
      <c r="CZ71" s="6">
        <v>290</v>
      </c>
      <c r="DA71" s="6"/>
      <c r="DB71" s="6">
        <f t="shared" si="47"/>
        <v>0</v>
      </c>
      <c r="DC71" s="6">
        <v>290</v>
      </c>
      <c r="DD71" s="6"/>
      <c r="DE71" s="6">
        <f t="shared" si="48"/>
        <v>0</v>
      </c>
      <c r="DF71" s="6">
        <v>257</v>
      </c>
      <c r="DG71" s="6">
        <v>290</v>
      </c>
      <c r="DH71" s="6">
        <f t="shared" si="49"/>
        <v>257</v>
      </c>
      <c r="DI71" s="6"/>
      <c r="DJ71" s="6"/>
      <c r="DK71" s="6"/>
      <c r="DL71" s="6">
        <v>551</v>
      </c>
      <c r="DM71" s="6"/>
      <c r="DN71" s="6">
        <f t="shared" si="50"/>
        <v>294</v>
      </c>
      <c r="DO71" s="6">
        <v>831</v>
      </c>
      <c r="DP71" s="6"/>
      <c r="DQ71" s="6">
        <f t="shared" si="51"/>
        <v>280</v>
      </c>
    </row>
    <row r="72" spans="1:121">
      <c r="A72" s="6">
        <v>68</v>
      </c>
      <c r="B72" s="6">
        <v>976</v>
      </c>
      <c r="C72" s="6"/>
      <c r="D72" s="6">
        <v>315</v>
      </c>
      <c r="E72" s="33" t="s">
        <v>320</v>
      </c>
      <c r="F72" s="33" t="s">
        <v>320</v>
      </c>
      <c r="G72" s="33" t="s">
        <v>320</v>
      </c>
      <c r="H72" s="33" t="s">
        <v>320</v>
      </c>
      <c r="I72" s="33" t="s">
        <v>320</v>
      </c>
      <c r="J72" s="33" t="s">
        <v>320</v>
      </c>
      <c r="K72" s="33" t="s">
        <v>320</v>
      </c>
      <c r="L72" s="33" t="s">
        <v>320</v>
      </c>
      <c r="M72" s="148" t="s">
        <v>37</v>
      </c>
      <c r="N72" s="33" t="s">
        <v>37</v>
      </c>
      <c r="O72" s="33" t="s">
        <v>37</v>
      </c>
      <c r="P72" s="33" t="s">
        <v>37</v>
      </c>
      <c r="Q72" s="33" t="s">
        <v>37</v>
      </c>
      <c r="R72" s="33" t="s">
        <v>37</v>
      </c>
      <c r="S72" s="33" t="s">
        <v>37</v>
      </c>
      <c r="T72" s="33" t="s">
        <v>37</v>
      </c>
      <c r="U72" s="33" t="s">
        <v>37</v>
      </c>
      <c r="V72" s="33" t="s">
        <v>37</v>
      </c>
      <c r="W72" s="33" t="s">
        <v>37</v>
      </c>
      <c r="X72" s="33" t="s">
        <v>37</v>
      </c>
      <c r="Y72" s="33" t="s">
        <v>37</v>
      </c>
      <c r="Z72" s="33" t="s">
        <v>37</v>
      </c>
      <c r="AA72" s="33" t="s">
        <v>37</v>
      </c>
      <c r="AB72" s="33" t="s">
        <v>37</v>
      </c>
      <c r="AC72" s="33" t="s">
        <v>37</v>
      </c>
      <c r="AD72" s="33" t="s">
        <v>37</v>
      </c>
      <c r="AE72" s="33" t="s">
        <v>37</v>
      </c>
      <c r="AF72" s="6">
        <v>141</v>
      </c>
      <c r="AG72" s="6">
        <v>1200</v>
      </c>
      <c r="AH72" s="35">
        <f t="shared" si="26"/>
        <v>365</v>
      </c>
      <c r="AI72" s="6">
        <v>486</v>
      </c>
      <c r="AJ72" s="6"/>
      <c r="AK72" s="35">
        <f t="shared" si="27"/>
        <v>345</v>
      </c>
      <c r="AL72" s="35">
        <v>834</v>
      </c>
      <c r="AM72" s="35"/>
      <c r="AN72" s="35">
        <f t="shared" si="28"/>
        <v>348</v>
      </c>
      <c r="AO72" s="6">
        <v>1182</v>
      </c>
      <c r="AP72" s="6"/>
      <c r="AQ72" s="35">
        <f t="shared" si="29"/>
        <v>348</v>
      </c>
      <c r="AR72" s="6">
        <v>329</v>
      </c>
      <c r="AS72" s="6">
        <v>1200</v>
      </c>
      <c r="AT72" s="34">
        <f t="shared" si="30"/>
        <v>347</v>
      </c>
      <c r="AU72" s="35">
        <v>658</v>
      </c>
      <c r="AV72" s="35"/>
      <c r="AW72" s="35">
        <f t="shared" si="31"/>
        <v>329</v>
      </c>
      <c r="AX72" s="6"/>
      <c r="AY72" s="6"/>
      <c r="AZ72" s="35"/>
      <c r="BA72" s="6">
        <v>1009</v>
      </c>
      <c r="BB72" s="6"/>
      <c r="BC72" s="35">
        <f t="shared" si="32"/>
        <v>351</v>
      </c>
      <c r="BD72" s="35">
        <v>349</v>
      </c>
      <c r="BE72" s="35">
        <v>1020</v>
      </c>
      <c r="BF72" s="35">
        <f t="shared" si="33"/>
        <v>360</v>
      </c>
      <c r="BG72" s="35">
        <v>724</v>
      </c>
      <c r="BH72" s="6"/>
      <c r="BI72" s="35">
        <f t="shared" si="34"/>
        <v>375</v>
      </c>
      <c r="BJ72" s="6">
        <v>1103</v>
      </c>
      <c r="BK72" s="6"/>
      <c r="BL72" s="35">
        <f t="shared" si="35"/>
        <v>379</v>
      </c>
      <c r="BM72" s="6">
        <v>1483</v>
      </c>
      <c r="BN72" s="6"/>
      <c r="BO72" s="6">
        <f t="shared" si="36"/>
        <v>380</v>
      </c>
      <c r="BP72" s="6">
        <v>271</v>
      </c>
      <c r="BQ72" s="6">
        <v>1560</v>
      </c>
      <c r="BR72" s="6">
        <f t="shared" si="37"/>
        <v>348</v>
      </c>
      <c r="BS72" s="6"/>
      <c r="BT72" s="6"/>
      <c r="BU72" s="35"/>
      <c r="BV72" s="6">
        <v>651</v>
      </c>
      <c r="BW72" s="6"/>
      <c r="BX72" s="6">
        <f t="shared" si="38"/>
        <v>380</v>
      </c>
      <c r="BY72" s="6">
        <v>1032</v>
      </c>
      <c r="BZ72" s="6"/>
      <c r="CA72" s="35">
        <f t="shared" si="39"/>
        <v>381</v>
      </c>
      <c r="CB72" s="6">
        <v>1413</v>
      </c>
      <c r="CC72" s="6"/>
      <c r="CD72" s="6">
        <f t="shared" si="40"/>
        <v>381</v>
      </c>
      <c r="CE72" s="6">
        <v>235</v>
      </c>
      <c r="CF72" s="6">
        <v>1560</v>
      </c>
      <c r="CG72" s="6">
        <f t="shared" si="41"/>
        <v>382</v>
      </c>
      <c r="CH72" s="6">
        <v>612</v>
      </c>
      <c r="CI72" s="6"/>
      <c r="CJ72" s="6">
        <f t="shared" si="42"/>
        <v>377</v>
      </c>
      <c r="CK72" s="6">
        <v>980</v>
      </c>
      <c r="CL72" s="6"/>
      <c r="CM72" s="6">
        <f t="shared" si="43"/>
        <v>368</v>
      </c>
      <c r="CN72" s="6"/>
      <c r="CO72" s="6"/>
      <c r="CP72" s="6"/>
      <c r="CQ72" s="6">
        <v>1366</v>
      </c>
      <c r="CR72" s="6"/>
      <c r="CS72" s="6">
        <f t="shared" si="44"/>
        <v>386</v>
      </c>
      <c r="CT72" s="6">
        <v>168</v>
      </c>
      <c r="CU72" s="6">
        <v>1560</v>
      </c>
      <c r="CV72" s="6">
        <f t="shared" si="45"/>
        <v>362</v>
      </c>
      <c r="CW72" s="6">
        <v>533</v>
      </c>
      <c r="CX72" s="6"/>
      <c r="CY72" s="6">
        <f t="shared" si="46"/>
        <v>365</v>
      </c>
      <c r="CZ72" s="6">
        <v>905</v>
      </c>
      <c r="DA72" s="6"/>
      <c r="DB72" s="6">
        <f t="shared" si="47"/>
        <v>372</v>
      </c>
      <c r="DC72" s="6">
        <v>1287</v>
      </c>
      <c r="DD72" s="6"/>
      <c r="DE72" s="6">
        <f t="shared" si="48"/>
        <v>382</v>
      </c>
      <c r="DF72" s="6">
        <v>92</v>
      </c>
      <c r="DG72" s="6">
        <v>1560</v>
      </c>
      <c r="DH72" s="6">
        <f t="shared" si="49"/>
        <v>365</v>
      </c>
      <c r="DI72" s="6"/>
      <c r="DJ72" s="6"/>
      <c r="DK72" s="6"/>
      <c r="DL72" s="6">
        <v>477</v>
      </c>
      <c r="DM72" s="6"/>
      <c r="DN72" s="6">
        <f t="shared" si="50"/>
        <v>385</v>
      </c>
      <c r="DO72" s="6">
        <v>828</v>
      </c>
      <c r="DP72" s="6"/>
      <c r="DQ72" s="6">
        <f t="shared" si="51"/>
        <v>351</v>
      </c>
    </row>
    <row r="73" spans="1:121">
      <c r="A73" s="6">
        <v>69</v>
      </c>
      <c r="B73" s="6">
        <v>93</v>
      </c>
      <c r="C73" s="6">
        <v>900</v>
      </c>
      <c r="D73" s="6">
        <v>261</v>
      </c>
      <c r="E73" s="33" t="s">
        <v>135</v>
      </c>
      <c r="F73" s="33" t="s">
        <v>135</v>
      </c>
      <c r="G73" s="33" t="s">
        <v>135</v>
      </c>
      <c r="H73" s="33" t="s">
        <v>135</v>
      </c>
      <c r="I73" s="33" t="s">
        <v>135</v>
      </c>
      <c r="J73" s="33" t="s">
        <v>135</v>
      </c>
      <c r="K73" s="33" t="s">
        <v>135</v>
      </c>
      <c r="L73" s="33" t="s">
        <v>135</v>
      </c>
      <c r="M73" s="33" t="s">
        <v>135</v>
      </c>
      <c r="N73" s="33" t="s">
        <v>135</v>
      </c>
      <c r="O73" s="33" t="s">
        <v>135</v>
      </c>
      <c r="P73" s="33" t="s">
        <v>135</v>
      </c>
      <c r="Q73" s="33" t="s">
        <v>135</v>
      </c>
      <c r="R73" s="33" t="s">
        <v>135</v>
      </c>
      <c r="S73" s="33" t="s">
        <v>135</v>
      </c>
      <c r="T73" s="33" t="s">
        <v>135</v>
      </c>
      <c r="U73" s="33" t="s">
        <v>135</v>
      </c>
      <c r="V73" s="33" t="s">
        <v>135</v>
      </c>
      <c r="W73" s="33" t="s">
        <v>135</v>
      </c>
      <c r="X73" s="33" t="s">
        <v>135</v>
      </c>
      <c r="Y73" s="33" t="s">
        <v>135</v>
      </c>
      <c r="Z73" s="33" t="s">
        <v>135</v>
      </c>
      <c r="AA73" s="33" t="s">
        <v>135</v>
      </c>
      <c r="AB73" s="33" t="s">
        <v>135</v>
      </c>
      <c r="AC73" s="33" t="s">
        <v>135</v>
      </c>
      <c r="AD73" s="33" t="s">
        <v>135</v>
      </c>
      <c r="AE73" s="33" t="s">
        <v>135</v>
      </c>
      <c r="AF73" s="6">
        <v>397</v>
      </c>
      <c r="AG73" s="6"/>
      <c r="AH73" s="35">
        <f t="shared" si="26"/>
        <v>304</v>
      </c>
      <c r="AI73" s="6">
        <v>690</v>
      </c>
      <c r="AJ73" s="6"/>
      <c r="AK73" s="35">
        <f t="shared" si="27"/>
        <v>293</v>
      </c>
      <c r="AL73" s="35">
        <v>988</v>
      </c>
      <c r="AM73" s="35"/>
      <c r="AN73" s="35">
        <f t="shared" si="28"/>
        <v>298</v>
      </c>
      <c r="AO73" s="6">
        <v>1283</v>
      </c>
      <c r="AP73" s="6"/>
      <c r="AQ73" s="35">
        <f t="shared" si="29"/>
        <v>295</v>
      </c>
      <c r="AR73" s="6">
        <v>1581</v>
      </c>
      <c r="AS73" s="6"/>
      <c r="AT73" s="34">
        <f t="shared" si="30"/>
        <v>298</v>
      </c>
      <c r="AU73" s="35">
        <v>1863</v>
      </c>
      <c r="AV73" s="35"/>
      <c r="AW73" s="35">
        <f t="shared" si="31"/>
        <v>282</v>
      </c>
      <c r="AX73" s="6"/>
      <c r="AY73" s="6"/>
      <c r="AZ73" s="35"/>
      <c r="BA73" s="6">
        <v>165</v>
      </c>
      <c r="BB73" s="6">
        <v>2000</v>
      </c>
      <c r="BC73" s="35">
        <f t="shared" si="32"/>
        <v>302</v>
      </c>
      <c r="BD73" s="6">
        <v>464</v>
      </c>
      <c r="BE73" s="6"/>
      <c r="BF73" s="35">
        <f t="shared" si="33"/>
        <v>299</v>
      </c>
      <c r="BG73" s="6">
        <v>768</v>
      </c>
      <c r="BH73" s="6"/>
      <c r="BI73" s="35">
        <f t="shared" si="34"/>
        <v>304</v>
      </c>
      <c r="BJ73" s="6">
        <v>1070</v>
      </c>
      <c r="BK73" s="6"/>
      <c r="BL73" s="35">
        <f t="shared" si="35"/>
        <v>302</v>
      </c>
      <c r="BM73" s="6">
        <v>1372</v>
      </c>
      <c r="BN73" s="6"/>
      <c r="BO73" s="6">
        <f t="shared" si="36"/>
        <v>302</v>
      </c>
      <c r="BP73" s="6">
        <v>1663</v>
      </c>
      <c r="BQ73" s="6"/>
      <c r="BR73" s="6">
        <f t="shared" si="37"/>
        <v>291</v>
      </c>
      <c r="BS73" s="6"/>
      <c r="BT73" s="6"/>
      <c r="BU73" s="35"/>
      <c r="BV73" s="6">
        <v>1682</v>
      </c>
      <c r="BW73" s="6"/>
      <c r="BX73" s="6">
        <f t="shared" si="38"/>
        <v>19</v>
      </c>
      <c r="BY73" s="6">
        <v>1682</v>
      </c>
      <c r="BZ73" s="6"/>
      <c r="CA73" s="35">
        <f t="shared" si="39"/>
        <v>0</v>
      </c>
      <c r="CB73" s="6">
        <v>1682</v>
      </c>
      <c r="CC73" s="6"/>
      <c r="CD73" s="6">
        <f t="shared" si="40"/>
        <v>0</v>
      </c>
      <c r="CE73" s="6">
        <v>1682</v>
      </c>
      <c r="CF73" s="6"/>
      <c r="CG73" s="6">
        <f t="shared" si="41"/>
        <v>0</v>
      </c>
      <c r="CH73" s="6">
        <v>1682</v>
      </c>
      <c r="CI73" s="6"/>
      <c r="CJ73" s="6">
        <f t="shared" si="42"/>
        <v>0</v>
      </c>
      <c r="CK73" s="6">
        <v>1682</v>
      </c>
      <c r="CL73" s="6"/>
      <c r="CM73" s="6">
        <f t="shared" si="43"/>
        <v>0</v>
      </c>
      <c r="CN73" s="6"/>
      <c r="CO73" s="6"/>
      <c r="CP73" s="6"/>
      <c r="CQ73" s="6">
        <v>1682</v>
      </c>
      <c r="CR73" s="6"/>
      <c r="CS73" s="6">
        <f t="shared" si="44"/>
        <v>0</v>
      </c>
      <c r="CT73" s="35">
        <v>1682</v>
      </c>
      <c r="CU73" s="6"/>
      <c r="CV73" s="6">
        <f t="shared" si="45"/>
        <v>0</v>
      </c>
      <c r="CW73" s="6">
        <v>1682</v>
      </c>
      <c r="CX73" s="6"/>
      <c r="CY73" s="6">
        <f t="shared" si="46"/>
        <v>0</v>
      </c>
      <c r="CZ73" s="6">
        <v>1682</v>
      </c>
      <c r="DA73" s="35"/>
      <c r="DB73" s="6">
        <f t="shared" si="47"/>
        <v>0</v>
      </c>
      <c r="DC73" s="6">
        <v>204</v>
      </c>
      <c r="DD73" s="6">
        <v>1682</v>
      </c>
      <c r="DE73" s="6">
        <f t="shared" si="48"/>
        <v>204</v>
      </c>
      <c r="DF73" s="6">
        <v>472</v>
      </c>
      <c r="DG73" s="35"/>
      <c r="DH73" s="6">
        <f t="shared" si="49"/>
        <v>268</v>
      </c>
      <c r="DI73" s="6"/>
      <c r="DJ73" s="6"/>
      <c r="DK73" s="6"/>
      <c r="DL73" s="6">
        <v>747</v>
      </c>
      <c r="DM73" s="6"/>
      <c r="DN73" s="6">
        <f t="shared" si="50"/>
        <v>275</v>
      </c>
      <c r="DO73" s="6">
        <v>1010</v>
      </c>
      <c r="DP73" s="6"/>
      <c r="DQ73" s="6">
        <f t="shared" si="51"/>
        <v>263</v>
      </c>
    </row>
    <row r="74" spans="1:121">
      <c r="A74" s="6">
        <v>70</v>
      </c>
      <c r="B74" s="6">
        <v>658</v>
      </c>
      <c r="C74" s="6"/>
      <c r="D74" s="6">
        <v>263</v>
      </c>
      <c r="E74" s="33" t="s">
        <v>135</v>
      </c>
      <c r="F74" s="33" t="s">
        <v>135</v>
      </c>
      <c r="G74" s="33" t="s">
        <v>135</v>
      </c>
      <c r="H74" s="33" t="s">
        <v>135</v>
      </c>
      <c r="I74" s="33" t="s">
        <v>135</v>
      </c>
      <c r="J74" s="33" t="s">
        <v>135</v>
      </c>
      <c r="K74" s="33" t="s">
        <v>135</v>
      </c>
      <c r="L74" s="33" t="s">
        <v>135</v>
      </c>
      <c r="M74" s="33" t="s">
        <v>135</v>
      </c>
      <c r="N74" s="33" t="s">
        <v>135</v>
      </c>
      <c r="O74" s="33" t="s">
        <v>135</v>
      </c>
      <c r="P74" s="33" t="s">
        <v>135</v>
      </c>
      <c r="Q74" s="33" t="s">
        <v>135</v>
      </c>
      <c r="R74" s="33" t="s">
        <v>135</v>
      </c>
      <c r="S74" s="33" t="s">
        <v>135</v>
      </c>
      <c r="T74" s="33" t="s">
        <v>135</v>
      </c>
      <c r="U74" s="33" t="s">
        <v>135</v>
      </c>
      <c r="V74" s="33" t="s">
        <v>135</v>
      </c>
      <c r="W74" s="33" t="s">
        <v>135</v>
      </c>
      <c r="X74" s="33" t="s">
        <v>135</v>
      </c>
      <c r="Y74" s="33" t="s">
        <v>135</v>
      </c>
      <c r="Z74" s="33" t="s">
        <v>135</v>
      </c>
      <c r="AA74" s="33" t="s">
        <v>135</v>
      </c>
      <c r="AB74" s="33" t="s">
        <v>135</v>
      </c>
      <c r="AC74" s="33" t="s">
        <v>135</v>
      </c>
      <c r="AD74" s="33" t="s">
        <v>135</v>
      </c>
      <c r="AE74" s="33" t="s">
        <v>135</v>
      </c>
      <c r="AF74" s="6">
        <v>967</v>
      </c>
      <c r="AG74" s="6"/>
      <c r="AH74" s="35">
        <f t="shared" si="26"/>
        <v>309</v>
      </c>
      <c r="AI74" s="6">
        <v>149</v>
      </c>
      <c r="AJ74" s="6">
        <v>1092</v>
      </c>
      <c r="AK74" s="35">
        <f t="shared" si="27"/>
        <v>274</v>
      </c>
      <c r="AL74" s="35">
        <v>446</v>
      </c>
      <c r="AM74" s="35"/>
      <c r="AN74" s="35">
        <f t="shared" si="28"/>
        <v>297</v>
      </c>
      <c r="AO74" s="6">
        <v>744</v>
      </c>
      <c r="AP74" s="6"/>
      <c r="AQ74" s="35">
        <f t="shared" si="29"/>
        <v>298</v>
      </c>
      <c r="AR74" s="6">
        <v>1041</v>
      </c>
      <c r="AS74" s="6"/>
      <c r="AT74" s="34">
        <f t="shared" si="30"/>
        <v>297</v>
      </c>
      <c r="AU74" s="35">
        <v>1324</v>
      </c>
      <c r="AV74" s="35"/>
      <c r="AW74" s="35">
        <f t="shared" si="31"/>
        <v>283</v>
      </c>
      <c r="AX74" s="6"/>
      <c r="AY74" s="6"/>
      <c r="AZ74" s="35"/>
      <c r="BA74" s="6">
        <v>257</v>
      </c>
      <c r="BB74" s="6">
        <v>1330</v>
      </c>
      <c r="BC74" s="35">
        <f t="shared" si="32"/>
        <v>263</v>
      </c>
      <c r="BD74" s="35">
        <v>548</v>
      </c>
      <c r="BE74" s="35"/>
      <c r="BF74" s="35">
        <f t="shared" si="33"/>
        <v>291</v>
      </c>
      <c r="BG74" s="6">
        <v>836</v>
      </c>
      <c r="BH74" s="6"/>
      <c r="BI74" s="35">
        <f t="shared" si="34"/>
        <v>288</v>
      </c>
      <c r="BJ74" s="6">
        <v>1128</v>
      </c>
      <c r="BK74" s="6"/>
      <c r="BL74" s="35">
        <f t="shared" si="35"/>
        <v>292</v>
      </c>
      <c r="BM74" s="6">
        <v>1417</v>
      </c>
      <c r="BN74" s="6"/>
      <c r="BO74" s="6">
        <f t="shared" si="36"/>
        <v>289</v>
      </c>
      <c r="BP74" s="6">
        <v>1698</v>
      </c>
      <c r="BQ74" s="6"/>
      <c r="BR74" s="6">
        <f t="shared" si="37"/>
        <v>281</v>
      </c>
      <c r="BS74" s="6"/>
      <c r="BT74" s="6"/>
      <c r="BU74" s="35"/>
      <c r="BV74" s="6">
        <v>1717</v>
      </c>
      <c r="BW74" s="6"/>
      <c r="BX74" s="6">
        <f t="shared" si="38"/>
        <v>19</v>
      </c>
      <c r="BY74" s="6">
        <v>1717</v>
      </c>
      <c r="BZ74" s="6"/>
      <c r="CA74" s="35">
        <f t="shared" si="39"/>
        <v>0</v>
      </c>
      <c r="CB74" s="6">
        <v>1717</v>
      </c>
      <c r="CC74" s="6"/>
      <c r="CD74" s="6">
        <f t="shared" si="40"/>
        <v>0</v>
      </c>
      <c r="CE74" s="6">
        <v>1717</v>
      </c>
      <c r="CF74" s="6"/>
      <c r="CG74" s="6">
        <f t="shared" si="41"/>
        <v>0</v>
      </c>
      <c r="CH74" s="6">
        <v>1717</v>
      </c>
      <c r="CI74" s="6"/>
      <c r="CJ74" s="6">
        <f t="shared" si="42"/>
        <v>0</v>
      </c>
      <c r="CK74" s="6">
        <v>1717</v>
      </c>
      <c r="CL74" s="6"/>
      <c r="CM74" s="6">
        <f t="shared" si="43"/>
        <v>0</v>
      </c>
      <c r="CN74" s="6"/>
      <c r="CO74" s="6"/>
      <c r="CP74" s="6"/>
      <c r="CQ74" s="6">
        <v>1717</v>
      </c>
      <c r="CR74" s="6"/>
      <c r="CS74" s="6">
        <f t="shared" si="44"/>
        <v>0</v>
      </c>
      <c r="CT74" s="6">
        <v>1717</v>
      </c>
      <c r="CU74" s="6"/>
      <c r="CV74" s="6">
        <f t="shared" si="45"/>
        <v>0</v>
      </c>
      <c r="CW74" s="6">
        <v>1717</v>
      </c>
      <c r="CX74" s="6"/>
      <c r="CY74" s="6">
        <f t="shared" si="46"/>
        <v>0</v>
      </c>
      <c r="CZ74" s="35">
        <v>1717</v>
      </c>
      <c r="DA74" s="6"/>
      <c r="DB74" s="6">
        <f t="shared" si="47"/>
        <v>0</v>
      </c>
      <c r="DC74" s="6">
        <v>210</v>
      </c>
      <c r="DD74" s="6">
        <v>1718</v>
      </c>
      <c r="DE74" s="6">
        <f t="shared" si="48"/>
        <v>211</v>
      </c>
      <c r="DF74" s="6">
        <v>475</v>
      </c>
      <c r="DG74" s="6"/>
      <c r="DH74" s="6">
        <f t="shared" si="49"/>
        <v>265</v>
      </c>
      <c r="DI74" s="6"/>
      <c r="DJ74" s="6"/>
      <c r="DK74" s="6"/>
      <c r="DL74" s="6">
        <v>71</v>
      </c>
      <c r="DM74" s="6">
        <v>668</v>
      </c>
      <c r="DN74" s="6">
        <f t="shared" si="50"/>
        <v>264</v>
      </c>
      <c r="DO74" s="6">
        <v>315</v>
      </c>
      <c r="DP74" s="6"/>
      <c r="DQ74" s="6">
        <f t="shared" si="51"/>
        <v>244</v>
      </c>
    </row>
    <row r="75" spans="1:121">
      <c r="A75" s="6">
        <v>71</v>
      </c>
      <c r="B75" s="6">
        <v>52</v>
      </c>
      <c r="C75" s="6">
        <v>1200</v>
      </c>
      <c r="D75" s="6">
        <v>307</v>
      </c>
      <c r="E75" s="33" t="s">
        <v>320</v>
      </c>
      <c r="F75" s="33" t="s">
        <v>320</v>
      </c>
      <c r="G75" s="33" t="s">
        <v>320</v>
      </c>
      <c r="H75" s="33" t="s">
        <v>320</v>
      </c>
      <c r="I75" s="33" t="s">
        <v>320</v>
      </c>
      <c r="J75" s="33" t="s">
        <v>320</v>
      </c>
      <c r="K75" s="148" t="s">
        <v>387</v>
      </c>
      <c r="L75" s="33" t="s">
        <v>387</v>
      </c>
      <c r="M75" s="148" t="s">
        <v>37</v>
      </c>
      <c r="N75" s="33" t="s">
        <v>37</v>
      </c>
      <c r="O75" s="33" t="s">
        <v>37</v>
      </c>
      <c r="P75" s="33" t="s">
        <v>37</v>
      </c>
      <c r="Q75" s="33" t="s">
        <v>37</v>
      </c>
      <c r="R75" s="33" t="s">
        <v>37</v>
      </c>
      <c r="S75" s="33" t="s">
        <v>37</v>
      </c>
      <c r="T75" s="33" t="s">
        <v>37</v>
      </c>
      <c r="U75" s="33" t="s">
        <v>37</v>
      </c>
      <c r="V75" s="33" t="s">
        <v>37</v>
      </c>
      <c r="W75" s="33" t="s">
        <v>37</v>
      </c>
      <c r="X75" s="33" t="s">
        <v>37</v>
      </c>
      <c r="Y75" s="33" t="s">
        <v>37</v>
      </c>
      <c r="Z75" s="33" t="s">
        <v>37</v>
      </c>
      <c r="AA75" s="33" t="s">
        <v>37</v>
      </c>
      <c r="AB75" s="33" t="s">
        <v>37</v>
      </c>
      <c r="AC75" s="33" t="s">
        <v>37</v>
      </c>
      <c r="AD75" s="33" t="s">
        <v>37</v>
      </c>
      <c r="AE75" s="33" t="s">
        <v>37</v>
      </c>
      <c r="AF75" s="6">
        <v>420</v>
      </c>
      <c r="AG75" s="6"/>
      <c r="AH75" s="35">
        <f t="shared" si="26"/>
        <v>368</v>
      </c>
      <c r="AI75" s="6">
        <v>761</v>
      </c>
      <c r="AJ75" s="6"/>
      <c r="AK75" s="35">
        <f t="shared" si="27"/>
        <v>341</v>
      </c>
      <c r="AL75" s="35">
        <v>1108</v>
      </c>
      <c r="AM75" s="35"/>
      <c r="AN75" s="35">
        <f t="shared" si="28"/>
        <v>347</v>
      </c>
      <c r="AO75" s="6">
        <v>242</v>
      </c>
      <c r="AP75" s="6">
        <v>1200</v>
      </c>
      <c r="AQ75" s="35">
        <f t="shared" si="29"/>
        <v>334</v>
      </c>
      <c r="AR75" s="6">
        <v>0</v>
      </c>
      <c r="AS75" s="6">
        <v>422</v>
      </c>
      <c r="AT75" s="34">
        <f t="shared" si="30"/>
        <v>180</v>
      </c>
      <c r="AU75" s="35">
        <v>313</v>
      </c>
      <c r="AV75" s="35"/>
      <c r="AW75" s="35">
        <f t="shared" si="31"/>
        <v>313</v>
      </c>
      <c r="AX75" s="6"/>
      <c r="AY75" s="6"/>
      <c r="AZ75" s="35"/>
      <c r="BA75" s="6">
        <v>654</v>
      </c>
      <c r="BB75" s="6"/>
      <c r="BC75" s="35">
        <f t="shared" si="32"/>
        <v>341</v>
      </c>
      <c r="BD75" s="6">
        <v>334</v>
      </c>
      <c r="BE75" s="6">
        <v>666</v>
      </c>
      <c r="BF75" s="35">
        <f t="shared" si="33"/>
        <v>346</v>
      </c>
      <c r="BG75" s="35">
        <v>706</v>
      </c>
      <c r="BH75" s="6"/>
      <c r="BI75" s="35">
        <f t="shared" si="34"/>
        <v>372</v>
      </c>
      <c r="BJ75" s="6">
        <v>1087</v>
      </c>
      <c r="BK75" s="6"/>
      <c r="BL75" s="35">
        <f t="shared" si="35"/>
        <v>381</v>
      </c>
      <c r="BM75" s="6">
        <v>1467</v>
      </c>
      <c r="BN75" s="6"/>
      <c r="BO75" s="6">
        <f t="shared" si="36"/>
        <v>380</v>
      </c>
      <c r="BP75" s="6">
        <v>272</v>
      </c>
      <c r="BQ75" s="6">
        <v>1560</v>
      </c>
      <c r="BR75" s="6">
        <f t="shared" si="37"/>
        <v>365</v>
      </c>
      <c r="BS75" s="6"/>
      <c r="BT75" s="6"/>
      <c r="BU75" s="35"/>
      <c r="BV75" s="6">
        <v>643</v>
      </c>
      <c r="BW75" s="6"/>
      <c r="BX75" s="6">
        <f t="shared" si="38"/>
        <v>371</v>
      </c>
      <c r="BY75" s="6">
        <v>985</v>
      </c>
      <c r="BZ75" s="6"/>
      <c r="CA75" s="35">
        <f t="shared" si="39"/>
        <v>342</v>
      </c>
      <c r="CB75" s="6">
        <v>1377</v>
      </c>
      <c r="CC75" s="6"/>
      <c r="CD75" s="6">
        <f t="shared" si="40"/>
        <v>392</v>
      </c>
      <c r="CE75" s="6">
        <v>370</v>
      </c>
      <c r="CF75" s="6">
        <v>1395</v>
      </c>
      <c r="CG75" s="6">
        <f t="shared" si="41"/>
        <v>388</v>
      </c>
      <c r="CH75" s="6">
        <v>760</v>
      </c>
      <c r="CI75" s="6"/>
      <c r="CJ75" s="6">
        <f t="shared" si="42"/>
        <v>390</v>
      </c>
      <c r="CK75" s="6">
        <v>1142</v>
      </c>
      <c r="CL75" s="6"/>
      <c r="CM75" s="6">
        <f t="shared" si="43"/>
        <v>382</v>
      </c>
      <c r="CN75" s="6"/>
      <c r="CO75" s="6"/>
      <c r="CP75" s="6"/>
      <c r="CQ75" s="6">
        <v>1538</v>
      </c>
      <c r="CR75" s="6"/>
      <c r="CS75" s="6">
        <f t="shared" si="44"/>
        <v>396</v>
      </c>
      <c r="CT75" s="6">
        <v>359</v>
      </c>
      <c r="CU75" s="6">
        <v>1560</v>
      </c>
      <c r="CV75" s="6">
        <f t="shared" si="45"/>
        <v>381</v>
      </c>
      <c r="CW75" s="6">
        <v>750</v>
      </c>
      <c r="CX75" s="6"/>
      <c r="CY75" s="6">
        <f t="shared" si="46"/>
        <v>391</v>
      </c>
      <c r="CZ75" s="6">
        <v>1134</v>
      </c>
      <c r="DA75" s="6"/>
      <c r="DB75" s="6">
        <f t="shared" si="47"/>
        <v>384</v>
      </c>
      <c r="DC75" s="6">
        <v>1522</v>
      </c>
      <c r="DD75" s="6"/>
      <c r="DE75" s="6">
        <f t="shared" si="48"/>
        <v>388</v>
      </c>
      <c r="DF75" s="6">
        <v>335</v>
      </c>
      <c r="DG75" s="6">
        <v>1560</v>
      </c>
      <c r="DH75" s="6">
        <f t="shared" si="49"/>
        <v>373</v>
      </c>
      <c r="DI75" s="6"/>
      <c r="DJ75" s="6"/>
      <c r="DK75" s="6"/>
      <c r="DL75" s="6">
        <v>721</v>
      </c>
      <c r="DM75" s="6"/>
      <c r="DN75" s="6">
        <f t="shared" si="50"/>
        <v>386</v>
      </c>
      <c r="DO75" s="6">
        <v>1084</v>
      </c>
      <c r="DP75" s="6"/>
      <c r="DQ75" s="6">
        <f t="shared" si="51"/>
        <v>363</v>
      </c>
    </row>
    <row r="76" spans="1:121">
      <c r="A76" s="6">
        <v>72</v>
      </c>
      <c r="B76" s="6">
        <v>1735</v>
      </c>
      <c r="C76" s="6"/>
      <c r="D76" s="6">
        <v>275</v>
      </c>
      <c r="E76" s="33" t="s">
        <v>135</v>
      </c>
      <c r="F76" s="33" t="s">
        <v>135</v>
      </c>
      <c r="G76" s="33" t="s">
        <v>135</v>
      </c>
      <c r="H76" s="33" t="s">
        <v>135</v>
      </c>
      <c r="I76" s="33" t="s">
        <v>135</v>
      </c>
      <c r="J76" s="33" t="s">
        <v>135</v>
      </c>
      <c r="K76" s="33" t="s">
        <v>135</v>
      </c>
      <c r="L76" s="33" t="s">
        <v>135</v>
      </c>
      <c r="M76" s="33" t="s">
        <v>135</v>
      </c>
      <c r="N76" s="33" t="s">
        <v>135</v>
      </c>
      <c r="O76" s="33" t="s">
        <v>135</v>
      </c>
      <c r="P76" s="33" t="s">
        <v>135</v>
      </c>
      <c r="Q76" s="33" t="s">
        <v>135</v>
      </c>
      <c r="R76" s="33" t="s">
        <v>135</v>
      </c>
      <c r="S76" s="33" t="s">
        <v>135</v>
      </c>
      <c r="T76" s="33" t="s">
        <v>135</v>
      </c>
      <c r="U76" s="33" t="s">
        <v>135</v>
      </c>
      <c r="V76" s="33" t="s">
        <v>135</v>
      </c>
      <c r="W76" s="33" t="s">
        <v>135</v>
      </c>
      <c r="X76" s="33" t="s">
        <v>135</v>
      </c>
      <c r="Y76" s="33" t="s">
        <v>135</v>
      </c>
      <c r="Z76" s="33" t="s">
        <v>135</v>
      </c>
      <c r="AA76" s="33" t="s">
        <v>135</v>
      </c>
      <c r="AB76" s="33" t="s">
        <v>135</v>
      </c>
      <c r="AC76" s="33" t="s">
        <v>135</v>
      </c>
      <c r="AD76" s="33" t="s">
        <v>135</v>
      </c>
      <c r="AE76" s="33" t="s">
        <v>135</v>
      </c>
      <c r="AF76" s="6">
        <v>203</v>
      </c>
      <c r="AG76" s="6">
        <v>1853</v>
      </c>
      <c r="AH76" s="35">
        <f t="shared" si="26"/>
        <v>321</v>
      </c>
      <c r="AI76" s="6">
        <v>500</v>
      </c>
      <c r="AJ76" s="6"/>
      <c r="AK76" s="35">
        <f t="shared" si="27"/>
        <v>297</v>
      </c>
      <c r="AL76" s="35">
        <v>799</v>
      </c>
      <c r="AM76" s="35"/>
      <c r="AN76" s="35">
        <f t="shared" si="28"/>
        <v>299</v>
      </c>
      <c r="AO76" s="6">
        <v>1101</v>
      </c>
      <c r="AP76" s="6"/>
      <c r="AQ76" s="35">
        <f t="shared" si="29"/>
        <v>302</v>
      </c>
      <c r="AR76" s="6">
        <v>1403</v>
      </c>
      <c r="AS76" s="6"/>
      <c r="AT76" s="34">
        <f t="shared" si="30"/>
        <v>302</v>
      </c>
      <c r="AU76" s="35">
        <v>1690</v>
      </c>
      <c r="AV76" s="35"/>
      <c r="AW76" s="35">
        <f t="shared" si="31"/>
        <v>287</v>
      </c>
      <c r="AX76" s="6"/>
      <c r="AY76" s="6"/>
      <c r="AZ76" s="35"/>
      <c r="BA76" s="6">
        <v>1994</v>
      </c>
      <c r="BB76" s="6"/>
      <c r="BC76" s="35">
        <f t="shared" si="32"/>
        <v>304</v>
      </c>
      <c r="BD76" s="6">
        <v>295</v>
      </c>
      <c r="BE76" s="6">
        <v>2000</v>
      </c>
      <c r="BF76" s="35">
        <f t="shared" si="33"/>
        <v>301</v>
      </c>
      <c r="BG76" s="6">
        <v>591</v>
      </c>
      <c r="BH76" s="6"/>
      <c r="BI76" s="35">
        <f t="shared" si="34"/>
        <v>296</v>
      </c>
      <c r="BJ76" s="6">
        <v>894</v>
      </c>
      <c r="BK76" s="6"/>
      <c r="BL76" s="35">
        <f t="shared" si="35"/>
        <v>303</v>
      </c>
      <c r="BM76" s="6">
        <v>1190</v>
      </c>
      <c r="BN76" s="6"/>
      <c r="BO76" s="6">
        <f t="shared" si="36"/>
        <v>296</v>
      </c>
      <c r="BP76" s="6">
        <v>1479</v>
      </c>
      <c r="BQ76" s="6"/>
      <c r="BR76" s="6">
        <f t="shared" si="37"/>
        <v>289</v>
      </c>
      <c r="BS76" s="6"/>
      <c r="BT76" s="6"/>
      <c r="BU76" s="35"/>
      <c r="BV76" s="35">
        <v>1499</v>
      </c>
      <c r="BW76" s="6"/>
      <c r="BX76" s="6">
        <f t="shared" si="38"/>
        <v>20</v>
      </c>
      <c r="BY76" s="6">
        <v>1499</v>
      </c>
      <c r="BZ76" s="6"/>
      <c r="CA76" s="35">
        <f t="shared" si="39"/>
        <v>0</v>
      </c>
      <c r="CB76" s="6">
        <v>1499</v>
      </c>
      <c r="CC76" s="6"/>
      <c r="CD76" s="6">
        <f t="shared" si="40"/>
        <v>0</v>
      </c>
      <c r="CE76" s="6">
        <v>1499</v>
      </c>
      <c r="CF76" s="6"/>
      <c r="CG76" s="6">
        <f t="shared" si="41"/>
        <v>0</v>
      </c>
      <c r="CH76" s="6">
        <v>1499</v>
      </c>
      <c r="CI76" s="6"/>
      <c r="CJ76" s="6">
        <f t="shared" si="42"/>
        <v>0</v>
      </c>
      <c r="CK76" s="6">
        <v>1499</v>
      </c>
      <c r="CL76" s="6"/>
      <c r="CM76" s="6">
        <f t="shared" si="43"/>
        <v>0</v>
      </c>
      <c r="CN76" s="6"/>
      <c r="CO76" s="6"/>
      <c r="CP76" s="6"/>
      <c r="CQ76" s="6">
        <v>1499</v>
      </c>
      <c r="CR76" s="6"/>
      <c r="CS76" s="6">
        <f t="shared" si="44"/>
        <v>0</v>
      </c>
      <c r="CT76" s="6">
        <v>1499</v>
      </c>
      <c r="CU76" s="6"/>
      <c r="CV76" s="6">
        <f t="shared" si="45"/>
        <v>0</v>
      </c>
      <c r="CW76" s="6">
        <v>1499</v>
      </c>
      <c r="CX76" s="6"/>
      <c r="CY76" s="6">
        <f t="shared" si="46"/>
        <v>0</v>
      </c>
      <c r="CZ76" s="6">
        <v>1499</v>
      </c>
      <c r="DA76" s="6"/>
      <c r="DB76" s="6">
        <f t="shared" si="47"/>
        <v>0</v>
      </c>
      <c r="DC76" s="6">
        <v>210</v>
      </c>
      <c r="DD76" s="6">
        <v>1500</v>
      </c>
      <c r="DE76" s="6">
        <f t="shared" si="48"/>
        <v>211</v>
      </c>
      <c r="DF76" s="6">
        <v>476</v>
      </c>
      <c r="DG76" s="6"/>
      <c r="DH76" s="6">
        <f t="shared" si="49"/>
        <v>266</v>
      </c>
      <c r="DI76" s="6"/>
      <c r="DJ76" s="6"/>
      <c r="DK76" s="6"/>
      <c r="DL76" s="6">
        <v>754</v>
      </c>
      <c r="DM76" s="6"/>
      <c r="DN76" s="6">
        <f t="shared" si="50"/>
        <v>278</v>
      </c>
      <c r="DO76" s="6">
        <v>1008</v>
      </c>
      <c r="DP76" s="6"/>
      <c r="DQ76" s="6">
        <f t="shared" si="51"/>
        <v>254</v>
      </c>
    </row>
    <row r="77" spans="1:121">
      <c r="A77" s="6">
        <v>73</v>
      </c>
      <c r="B77" s="6">
        <v>638</v>
      </c>
      <c r="C77" s="6"/>
      <c r="D77" s="6">
        <v>354</v>
      </c>
      <c r="E77" s="33" t="s">
        <v>307</v>
      </c>
      <c r="F77" s="33" t="s">
        <v>307</v>
      </c>
      <c r="G77" s="33" t="s">
        <v>307</v>
      </c>
      <c r="H77" s="33" t="s">
        <v>307</v>
      </c>
      <c r="I77" s="33" t="s">
        <v>307</v>
      </c>
      <c r="J77" s="33" t="s">
        <v>307</v>
      </c>
      <c r="K77" s="33" t="s">
        <v>307</v>
      </c>
      <c r="L77" s="33" t="s">
        <v>307</v>
      </c>
      <c r="M77" s="33" t="s">
        <v>307</v>
      </c>
      <c r="N77" s="33" t="s">
        <v>307</v>
      </c>
      <c r="O77" s="33" t="s">
        <v>307</v>
      </c>
      <c r="P77" s="33" t="s">
        <v>307</v>
      </c>
      <c r="Q77" s="33" t="s">
        <v>307</v>
      </c>
      <c r="R77" s="148" t="s">
        <v>307</v>
      </c>
      <c r="S77" s="33" t="s">
        <v>307</v>
      </c>
      <c r="T77" s="33" t="s">
        <v>307</v>
      </c>
      <c r="U77" s="33" t="s">
        <v>307</v>
      </c>
      <c r="V77" s="33" t="s">
        <v>307</v>
      </c>
      <c r="W77" s="33" t="s">
        <v>307</v>
      </c>
      <c r="X77" s="33" t="s">
        <v>307</v>
      </c>
      <c r="Y77" s="33" t="s">
        <v>307</v>
      </c>
      <c r="Z77" s="33" t="s">
        <v>307</v>
      </c>
      <c r="AA77" s="33" t="s">
        <v>307</v>
      </c>
      <c r="AB77" s="33" t="s">
        <v>307</v>
      </c>
      <c r="AC77" s="33" t="s">
        <v>307</v>
      </c>
      <c r="AD77" s="33" t="s">
        <v>307</v>
      </c>
      <c r="AE77" s="33" t="s">
        <v>307</v>
      </c>
      <c r="AF77" s="6">
        <v>1057</v>
      </c>
      <c r="AG77" s="6"/>
      <c r="AH77" s="35">
        <f t="shared" si="26"/>
        <v>419</v>
      </c>
      <c r="AI77" s="6">
        <v>1440</v>
      </c>
      <c r="AJ77" s="6"/>
      <c r="AK77" s="35">
        <f t="shared" si="27"/>
        <v>383</v>
      </c>
      <c r="AL77" s="35">
        <v>265</v>
      </c>
      <c r="AM77" s="35">
        <v>1560</v>
      </c>
      <c r="AN77" s="35">
        <f t="shared" si="28"/>
        <v>385</v>
      </c>
      <c r="AO77" s="6">
        <v>635</v>
      </c>
      <c r="AP77" s="6"/>
      <c r="AQ77" s="35">
        <f t="shared" si="29"/>
        <v>370</v>
      </c>
      <c r="AR77" s="6">
        <v>1018</v>
      </c>
      <c r="AS77" s="6"/>
      <c r="AT77" s="34">
        <f t="shared" si="30"/>
        <v>383</v>
      </c>
      <c r="AU77" s="35">
        <v>1378</v>
      </c>
      <c r="AV77" s="35"/>
      <c r="AW77" s="35">
        <f t="shared" si="31"/>
        <v>360</v>
      </c>
      <c r="AX77" s="6"/>
      <c r="AY77" s="6"/>
      <c r="AZ77" s="35"/>
      <c r="BA77" s="6">
        <v>199</v>
      </c>
      <c r="BB77" s="6">
        <v>1561</v>
      </c>
      <c r="BC77" s="35">
        <f t="shared" si="32"/>
        <v>382</v>
      </c>
      <c r="BD77" s="35">
        <v>583</v>
      </c>
      <c r="BE77" s="35"/>
      <c r="BF77" s="35">
        <f t="shared" si="33"/>
        <v>384</v>
      </c>
      <c r="BG77" s="6">
        <v>961</v>
      </c>
      <c r="BH77" s="6"/>
      <c r="BI77" s="35">
        <f t="shared" si="34"/>
        <v>378</v>
      </c>
      <c r="BJ77" s="35">
        <v>1343</v>
      </c>
      <c r="BK77" s="6"/>
      <c r="BL77" s="35">
        <f t="shared" si="35"/>
        <v>382</v>
      </c>
      <c r="BM77" s="6">
        <v>1723</v>
      </c>
      <c r="BN77" s="6"/>
      <c r="BO77" s="6">
        <f t="shared" si="36"/>
        <v>380</v>
      </c>
      <c r="BP77" s="6">
        <v>0</v>
      </c>
      <c r="BQ77" s="6">
        <v>2049</v>
      </c>
      <c r="BR77" s="6">
        <f t="shared" si="37"/>
        <v>326</v>
      </c>
      <c r="BS77" s="6"/>
      <c r="BT77" s="6"/>
      <c r="BU77" s="35"/>
      <c r="BV77" s="6">
        <v>0</v>
      </c>
      <c r="BW77" s="6"/>
      <c r="BX77" s="6">
        <f t="shared" si="38"/>
        <v>0</v>
      </c>
      <c r="BY77" s="6">
        <v>0</v>
      </c>
      <c r="BZ77" s="6"/>
      <c r="CA77" s="35">
        <f t="shared" si="39"/>
        <v>0</v>
      </c>
      <c r="CB77" s="6">
        <v>0</v>
      </c>
      <c r="CC77" s="6"/>
      <c r="CD77" s="6">
        <f t="shared" si="40"/>
        <v>0</v>
      </c>
      <c r="CE77" s="6">
        <v>0</v>
      </c>
      <c r="CF77" s="6"/>
      <c r="CG77" s="6">
        <f t="shared" si="41"/>
        <v>0</v>
      </c>
      <c r="CH77" s="6">
        <v>0</v>
      </c>
      <c r="CI77" s="6"/>
      <c r="CJ77" s="6">
        <f t="shared" si="42"/>
        <v>0</v>
      </c>
      <c r="CK77" s="6">
        <v>5</v>
      </c>
      <c r="CL77" s="6"/>
      <c r="CM77" s="6">
        <f t="shared" si="43"/>
        <v>5</v>
      </c>
      <c r="CN77" s="6"/>
      <c r="CO77" s="6"/>
      <c r="CP77" s="6"/>
      <c r="CQ77" s="6">
        <v>384</v>
      </c>
      <c r="CR77" s="6"/>
      <c r="CS77" s="6">
        <f t="shared" si="44"/>
        <v>379</v>
      </c>
      <c r="CT77" s="6">
        <v>761</v>
      </c>
      <c r="CU77" s="6"/>
      <c r="CV77" s="6">
        <f t="shared" si="45"/>
        <v>377</v>
      </c>
      <c r="CW77" s="6">
        <v>1140</v>
      </c>
      <c r="CX77" s="6"/>
      <c r="CY77" s="6">
        <f t="shared" si="46"/>
        <v>379</v>
      </c>
      <c r="CZ77" s="6">
        <v>1521</v>
      </c>
      <c r="DA77" s="6"/>
      <c r="DB77" s="6">
        <f t="shared" si="47"/>
        <v>381</v>
      </c>
      <c r="DC77" s="6">
        <v>341</v>
      </c>
      <c r="DD77" s="6">
        <v>1560</v>
      </c>
      <c r="DE77" s="6">
        <f t="shared" si="48"/>
        <v>380</v>
      </c>
      <c r="DF77" s="6">
        <v>704</v>
      </c>
      <c r="DG77" s="6"/>
      <c r="DH77" s="6">
        <f t="shared" si="49"/>
        <v>363</v>
      </c>
      <c r="DI77" s="6"/>
      <c r="DJ77" s="6"/>
      <c r="DK77" s="6"/>
      <c r="DL77" s="6">
        <v>1093</v>
      </c>
      <c r="DM77" s="6"/>
      <c r="DN77" s="6">
        <f t="shared" si="50"/>
        <v>389</v>
      </c>
      <c r="DO77" s="6">
        <v>1455</v>
      </c>
      <c r="DP77" s="6"/>
      <c r="DQ77" s="6">
        <f t="shared" si="51"/>
        <v>362</v>
      </c>
    </row>
    <row r="78" spans="1:121">
      <c r="A78" s="6">
        <v>74</v>
      </c>
      <c r="B78" s="6">
        <v>1005</v>
      </c>
      <c r="C78" s="6"/>
      <c r="D78" s="6">
        <v>346</v>
      </c>
      <c r="E78" s="33" t="s">
        <v>307</v>
      </c>
      <c r="F78" s="33" t="s">
        <v>307</v>
      </c>
      <c r="G78" s="33" t="s">
        <v>307</v>
      </c>
      <c r="H78" s="33" t="s">
        <v>307</v>
      </c>
      <c r="I78" s="33" t="s">
        <v>307</v>
      </c>
      <c r="J78" s="33" t="s">
        <v>307</v>
      </c>
      <c r="K78" s="33" t="s">
        <v>307</v>
      </c>
      <c r="L78" s="33" t="s">
        <v>307</v>
      </c>
      <c r="M78" s="33" t="s">
        <v>307</v>
      </c>
      <c r="N78" s="33" t="s">
        <v>307</v>
      </c>
      <c r="O78" s="33" t="s">
        <v>307</v>
      </c>
      <c r="P78" s="33" t="s">
        <v>307</v>
      </c>
      <c r="Q78" s="33" t="s">
        <v>307</v>
      </c>
      <c r="R78" s="33" t="s">
        <v>307</v>
      </c>
      <c r="S78" s="33" t="s">
        <v>307</v>
      </c>
      <c r="T78" s="148" t="s">
        <v>307</v>
      </c>
      <c r="U78" s="33" t="s">
        <v>307</v>
      </c>
      <c r="V78" s="33" t="s">
        <v>307</v>
      </c>
      <c r="W78" s="33" t="s">
        <v>307</v>
      </c>
      <c r="X78" s="33" t="s">
        <v>307</v>
      </c>
      <c r="Y78" s="33" t="s">
        <v>307</v>
      </c>
      <c r="Z78" s="33" t="s">
        <v>307</v>
      </c>
      <c r="AA78" s="33" t="s">
        <v>307</v>
      </c>
      <c r="AB78" s="33" t="s">
        <v>307</v>
      </c>
      <c r="AC78" s="33" t="s">
        <v>307</v>
      </c>
      <c r="AD78" s="33" t="s">
        <v>307</v>
      </c>
      <c r="AE78" s="33" t="s">
        <v>307</v>
      </c>
      <c r="AF78" s="35">
        <v>1416</v>
      </c>
      <c r="AG78" s="35"/>
      <c r="AH78" s="35">
        <f t="shared" si="26"/>
        <v>411</v>
      </c>
      <c r="AI78" s="35">
        <v>231</v>
      </c>
      <c r="AJ78" s="35">
        <v>1560</v>
      </c>
      <c r="AK78" s="35">
        <f t="shared" si="27"/>
        <v>375</v>
      </c>
      <c r="AL78" s="35">
        <v>611</v>
      </c>
      <c r="AM78" s="35"/>
      <c r="AN78" s="35">
        <f t="shared" si="28"/>
        <v>380</v>
      </c>
      <c r="AO78" s="35">
        <v>990</v>
      </c>
      <c r="AP78" s="35"/>
      <c r="AQ78" s="35">
        <f t="shared" si="29"/>
        <v>379</v>
      </c>
      <c r="AR78" s="6">
        <v>1372</v>
      </c>
      <c r="AS78" s="6"/>
      <c r="AT78" s="34">
        <f t="shared" si="30"/>
        <v>382</v>
      </c>
      <c r="AU78" s="35">
        <v>171</v>
      </c>
      <c r="AV78" s="35">
        <v>1560</v>
      </c>
      <c r="AW78" s="35">
        <f t="shared" si="31"/>
        <v>359</v>
      </c>
      <c r="AX78" s="6"/>
      <c r="AY78" s="6"/>
      <c r="AZ78" s="35"/>
      <c r="BA78" s="6">
        <v>553</v>
      </c>
      <c r="BB78" s="6"/>
      <c r="BC78" s="35">
        <f t="shared" si="32"/>
        <v>382</v>
      </c>
      <c r="BD78" s="6">
        <v>934</v>
      </c>
      <c r="BE78" s="6"/>
      <c r="BF78" s="35">
        <f t="shared" si="33"/>
        <v>381</v>
      </c>
      <c r="BG78" s="6">
        <v>1314</v>
      </c>
      <c r="BH78" s="6"/>
      <c r="BI78" s="35">
        <f t="shared" si="34"/>
        <v>380</v>
      </c>
      <c r="BJ78" s="6">
        <v>131</v>
      </c>
      <c r="BK78" s="6">
        <v>1560</v>
      </c>
      <c r="BL78" s="35">
        <f t="shared" si="35"/>
        <v>377</v>
      </c>
      <c r="BM78" s="6">
        <v>508</v>
      </c>
      <c r="BN78" s="35"/>
      <c r="BO78" s="6">
        <f t="shared" si="36"/>
        <v>377</v>
      </c>
      <c r="BP78" s="6">
        <v>872</v>
      </c>
      <c r="BQ78" s="6"/>
      <c r="BR78" s="6">
        <f t="shared" si="37"/>
        <v>364</v>
      </c>
      <c r="BS78" s="6"/>
      <c r="BT78" s="6"/>
      <c r="BU78" s="35"/>
      <c r="BV78" s="6">
        <v>1244</v>
      </c>
      <c r="BW78" s="6"/>
      <c r="BX78" s="6">
        <f t="shared" si="38"/>
        <v>372</v>
      </c>
      <c r="BY78" s="6">
        <v>1622</v>
      </c>
      <c r="BZ78" s="6"/>
      <c r="CA78" s="35">
        <f t="shared" si="39"/>
        <v>378</v>
      </c>
      <c r="CB78" s="6">
        <v>0</v>
      </c>
      <c r="CC78" s="35">
        <v>1635</v>
      </c>
      <c r="CD78" s="6">
        <f t="shared" si="40"/>
        <v>13</v>
      </c>
      <c r="CE78" s="6">
        <v>0</v>
      </c>
      <c r="CF78" s="6"/>
      <c r="CG78" s="6">
        <f t="shared" si="41"/>
        <v>0</v>
      </c>
      <c r="CH78" s="6">
        <v>0</v>
      </c>
      <c r="CI78" s="35"/>
      <c r="CJ78" s="6">
        <f t="shared" si="42"/>
        <v>0</v>
      </c>
      <c r="CK78" s="6">
        <v>9</v>
      </c>
      <c r="CL78" s="6"/>
      <c r="CM78" s="6">
        <f t="shared" si="43"/>
        <v>9</v>
      </c>
      <c r="CN78" s="6"/>
      <c r="CO78" s="6"/>
      <c r="CP78" s="6"/>
      <c r="CQ78" s="6">
        <v>375</v>
      </c>
      <c r="CR78" s="6"/>
      <c r="CS78" s="6">
        <f t="shared" si="44"/>
        <v>366</v>
      </c>
      <c r="CT78" s="6">
        <v>708</v>
      </c>
      <c r="CU78" s="6"/>
      <c r="CV78" s="6">
        <f t="shared" si="45"/>
        <v>333</v>
      </c>
      <c r="CW78" s="6">
        <v>1047</v>
      </c>
      <c r="CX78" s="6"/>
      <c r="CY78" s="6">
        <f t="shared" si="46"/>
        <v>339</v>
      </c>
      <c r="CZ78" s="6">
        <v>1405</v>
      </c>
      <c r="DA78" s="6"/>
      <c r="DB78" s="6">
        <f t="shared" si="47"/>
        <v>358</v>
      </c>
      <c r="DC78" s="6">
        <v>207</v>
      </c>
      <c r="DD78" s="6">
        <v>1570</v>
      </c>
      <c r="DE78" s="6">
        <f t="shared" si="48"/>
        <v>372</v>
      </c>
      <c r="DF78" s="6">
        <v>565</v>
      </c>
      <c r="DG78" s="6"/>
      <c r="DH78" s="6">
        <f t="shared" si="49"/>
        <v>358</v>
      </c>
      <c r="DI78" s="6"/>
      <c r="DJ78" s="6"/>
      <c r="DK78" s="6"/>
      <c r="DL78" s="6">
        <v>953</v>
      </c>
      <c r="DM78" s="6"/>
      <c r="DN78" s="6">
        <f t="shared" si="50"/>
        <v>388</v>
      </c>
      <c r="DO78" s="6">
        <v>1313</v>
      </c>
      <c r="DP78" s="6"/>
      <c r="DQ78" s="6">
        <f t="shared" si="51"/>
        <v>360</v>
      </c>
    </row>
    <row r="79" spans="1:121">
      <c r="A79" s="6">
        <v>75</v>
      </c>
      <c r="B79" s="6">
        <v>286</v>
      </c>
      <c r="C79" s="6">
        <v>1560</v>
      </c>
      <c r="D79" s="6">
        <v>352</v>
      </c>
      <c r="E79" s="33" t="s">
        <v>307</v>
      </c>
      <c r="F79" s="33" t="s">
        <v>307</v>
      </c>
      <c r="G79" s="33" t="s">
        <v>307</v>
      </c>
      <c r="H79" s="33" t="s">
        <v>307</v>
      </c>
      <c r="I79" s="33" t="s">
        <v>307</v>
      </c>
      <c r="J79" s="33" t="s">
        <v>307</v>
      </c>
      <c r="K79" s="33" t="s">
        <v>307</v>
      </c>
      <c r="L79" s="33" t="s">
        <v>307</v>
      </c>
      <c r="M79" s="33" t="s">
        <v>307</v>
      </c>
      <c r="N79" s="33" t="s">
        <v>307</v>
      </c>
      <c r="O79" s="33" t="s">
        <v>307</v>
      </c>
      <c r="P79" s="33" t="s">
        <v>307</v>
      </c>
      <c r="Q79" s="33" t="s">
        <v>307</v>
      </c>
      <c r="R79" s="148" t="s">
        <v>307</v>
      </c>
      <c r="S79" s="33" t="s">
        <v>307</v>
      </c>
      <c r="T79" s="33" t="s">
        <v>307</v>
      </c>
      <c r="U79" s="33" t="s">
        <v>307</v>
      </c>
      <c r="V79" s="33" t="s">
        <v>307</v>
      </c>
      <c r="W79" s="33" t="s">
        <v>307</v>
      </c>
      <c r="X79" s="33" t="s">
        <v>307</v>
      </c>
      <c r="Y79" s="33" t="s">
        <v>307</v>
      </c>
      <c r="Z79" s="33" t="s">
        <v>307</v>
      </c>
      <c r="AA79" s="33" t="s">
        <v>307</v>
      </c>
      <c r="AB79" s="33" t="s">
        <v>307</v>
      </c>
      <c r="AC79" s="33" t="s">
        <v>307</v>
      </c>
      <c r="AD79" s="33" t="s">
        <v>307</v>
      </c>
      <c r="AE79" s="33" t="s">
        <v>307</v>
      </c>
      <c r="AF79" s="6">
        <v>703</v>
      </c>
      <c r="AG79" s="6"/>
      <c r="AH79" s="35">
        <f t="shared" si="26"/>
        <v>417</v>
      </c>
      <c r="AI79" s="6">
        <v>1083</v>
      </c>
      <c r="AJ79" s="6"/>
      <c r="AK79" s="35">
        <f t="shared" si="27"/>
        <v>380</v>
      </c>
      <c r="AL79" s="35">
        <v>1469</v>
      </c>
      <c r="AM79" s="35"/>
      <c r="AN79" s="35">
        <f t="shared" si="28"/>
        <v>386</v>
      </c>
      <c r="AO79" s="6">
        <v>296</v>
      </c>
      <c r="AP79" s="6">
        <v>1560</v>
      </c>
      <c r="AQ79" s="35">
        <f t="shared" si="29"/>
        <v>387</v>
      </c>
      <c r="AR79" s="6">
        <v>683</v>
      </c>
      <c r="AS79" s="6"/>
      <c r="AT79" s="34">
        <f t="shared" si="30"/>
        <v>387</v>
      </c>
      <c r="AU79" s="35">
        <v>1044</v>
      </c>
      <c r="AV79" s="35"/>
      <c r="AW79" s="35">
        <f t="shared" si="31"/>
        <v>361</v>
      </c>
      <c r="AX79" s="6"/>
      <c r="AY79" s="6"/>
      <c r="AZ79" s="35"/>
      <c r="BA79" s="6">
        <v>1437</v>
      </c>
      <c r="BB79" s="6"/>
      <c r="BC79" s="35">
        <f t="shared" si="32"/>
        <v>393</v>
      </c>
      <c r="BD79" s="35">
        <v>260</v>
      </c>
      <c r="BE79" s="35">
        <v>1560</v>
      </c>
      <c r="BF79" s="35">
        <f t="shared" si="33"/>
        <v>383</v>
      </c>
      <c r="BG79" s="6">
        <v>649</v>
      </c>
      <c r="BH79" s="6"/>
      <c r="BI79" s="35">
        <f t="shared" si="34"/>
        <v>389</v>
      </c>
      <c r="BJ79" s="6">
        <v>1036</v>
      </c>
      <c r="BK79" s="6"/>
      <c r="BL79" s="35">
        <f t="shared" si="35"/>
        <v>387</v>
      </c>
      <c r="BM79" s="6">
        <v>1424</v>
      </c>
      <c r="BN79" s="6"/>
      <c r="BO79" s="6">
        <f t="shared" si="36"/>
        <v>388</v>
      </c>
      <c r="BP79" s="6">
        <v>0</v>
      </c>
      <c r="BQ79" s="6">
        <v>1625</v>
      </c>
      <c r="BR79" s="6">
        <f t="shared" si="37"/>
        <v>201</v>
      </c>
      <c r="BS79" s="6"/>
      <c r="BT79" s="6"/>
      <c r="BU79" s="35"/>
      <c r="BV79" s="6">
        <v>0</v>
      </c>
      <c r="BW79" s="6"/>
      <c r="BX79" s="6">
        <f t="shared" si="38"/>
        <v>0</v>
      </c>
      <c r="BY79" s="6">
        <v>0</v>
      </c>
      <c r="BZ79" s="6"/>
      <c r="CA79" s="35">
        <f t="shared" si="39"/>
        <v>0</v>
      </c>
      <c r="CB79" s="6">
        <v>0</v>
      </c>
      <c r="CC79" s="6"/>
      <c r="CD79" s="6">
        <f t="shared" si="40"/>
        <v>0</v>
      </c>
      <c r="CE79" s="6">
        <v>0</v>
      </c>
      <c r="CF79" s="6"/>
      <c r="CG79" s="6">
        <f t="shared" si="41"/>
        <v>0</v>
      </c>
      <c r="CH79" s="6">
        <v>0</v>
      </c>
      <c r="CI79" s="6"/>
      <c r="CJ79" s="6">
        <f t="shared" si="42"/>
        <v>0</v>
      </c>
      <c r="CK79" s="6">
        <v>8</v>
      </c>
      <c r="CL79" s="6"/>
      <c r="CM79" s="6">
        <f t="shared" si="43"/>
        <v>8</v>
      </c>
      <c r="CN79" s="6"/>
      <c r="CO79" s="6"/>
      <c r="CP79" s="6"/>
      <c r="CQ79" s="6">
        <v>402</v>
      </c>
      <c r="CR79" s="6"/>
      <c r="CS79" s="6">
        <f t="shared" si="44"/>
        <v>394</v>
      </c>
      <c r="CT79" s="6">
        <v>785</v>
      </c>
      <c r="CU79" s="6"/>
      <c r="CV79" s="6">
        <f t="shared" si="45"/>
        <v>383</v>
      </c>
      <c r="CW79" s="6">
        <v>1173</v>
      </c>
      <c r="CX79" s="6"/>
      <c r="CY79" s="6">
        <f t="shared" si="46"/>
        <v>388</v>
      </c>
      <c r="CZ79" s="6">
        <v>1</v>
      </c>
      <c r="DA79" s="6">
        <v>1560</v>
      </c>
      <c r="DB79" s="6">
        <f t="shared" si="47"/>
        <v>388</v>
      </c>
      <c r="DC79" s="6">
        <v>387</v>
      </c>
      <c r="DD79" s="6"/>
      <c r="DE79" s="6">
        <f t="shared" si="48"/>
        <v>386</v>
      </c>
      <c r="DF79" s="6">
        <v>757</v>
      </c>
      <c r="DG79" s="6"/>
      <c r="DH79" s="6">
        <f t="shared" si="49"/>
        <v>370</v>
      </c>
      <c r="DI79" s="6"/>
      <c r="DJ79" s="6"/>
      <c r="DK79" s="6"/>
      <c r="DL79" s="6">
        <v>1154</v>
      </c>
      <c r="DM79" s="6"/>
      <c r="DN79" s="6">
        <f t="shared" si="50"/>
        <v>397</v>
      </c>
      <c r="DO79" s="6">
        <v>1524</v>
      </c>
      <c r="DP79" s="6"/>
      <c r="DQ79" s="6">
        <f t="shared" si="51"/>
        <v>370</v>
      </c>
    </row>
    <row r="80" spans="1:121">
      <c r="A80" s="6">
        <v>76</v>
      </c>
      <c r="B80" s="6">
        <v>1394</v>
      </c>
      <c r="C80" s="6"/>
      <c r="D80" s="6">
        <v>346</v>
      </c>
      <c r="E80" s="33" t="s">
        <v>37</v>
      </c>
      <c r="F80" s="33" t="s">
        <v>37</v>
      </c>
      <c r="G80" s="33" t="s">
        <v>37</v>
      </c>
      <c r="H80" s="33" t="s">
        <v>37</v>
      </c>
      <c r="I80" s="33" t="s">
        <v>37</v>
      </c>
      <c r="J80" s="33" t="s">
        <v>37</v>
      </c>
      <c r="K80" s="33" t="s">
        <v>37</v>
      </c>
      <c r="L80" s="33" t="s">
        <v>37</v>
      </c>
      <c r="M80" s="33" t="s">
        <v>37</v>
      </c>
      <c r="N80" s="33" t="s">
        <v>37</v>
      </c>
      <c r="O80" s="148" t="s">
        <v>37</v>
      </c>
      <c r="P80" s="33" t="s">
        <v>37</v>
      </c>
      <c r="Q80" s="33" t="s">
        <v>37</v>
      </c>
      <c r="R80" s="33" t="s">
        <v>37</v>
      </c>
      <c r="S80" s="33" t="s">
        <v>37</v>
      </c>
      <c r="T80" s="33" t="s">
        <v>37</v>
      </c>
      <c r="U80" s="33" t="s">
        <v>37</v>
      </c>
      <c r="V80" s="33" t="s">
        <v>37</v>
      </c>
      <c r="W80" s="33" t="s">
        <v>37</v>
      </c>
      <c r="X80" s="33" t="s">
        <v>37</v>
      </c>
      <c r="Y80" s="33" t="s">
        <v>37</v>
      </c>
      <c r="Z80" s="33" t="s">
        <v>37</v>
      </c>
      <c r="AA80" s="33" t="s">
        <v>37</v>
      </c>
      <c r="AB80" s="33" t="s">
        <v>37</v>
      </c>
      <c r="AC80" s="33" t="s">
        <v>37</v>
      </c>
      <c r="AD80" s="33" t="s">
        <v>37</v>
      </c>
      <c r="AE80" s="33" t="s">
        <v>37</v>
      </c>
      <c r="AF80" s="6">
        <v>238</v>
      </c>
      <c r="AG80" s="6">
        <v>1560</v>
      </c>
      <c r="AH80" s="35">
        <f t="shared" si="26"/>
        <v>404</v>
      </c>
      <c r="AI80" s="6">
        <v>608</v>
      </c>
      <c r="AJ80" s="6"/>
      <c r="AK80" s="35">
        <f t="shared" si="27"/>
        <v>370</v>
      </c>
      <c r="AL80" s="35">
        <v>988</v>
      </c>
      <c r="AM80" s="35"/>
      <c r="AN80" s="35">
        <f t="shared" si="28"/>
        <v>380</v>
      </c>
      <c r="AO80" s="6">
        <v>1370</v>
      </c>
      <c r="AP80" s="6"/>
      <c r="AQ80" s="35">
        <f t="shared" si="29"/>
        <v>382</v>
      </c>
      <c r="AR80" s="6">
        <v>186</v>
      </c>
      <c r="AS80" s="6">
        <v>1565</v>
      </c>
      <c r="AT80" s="34">
        <f t="shared" si="30"/>
        <v>381</v>
      </c>
      <c r="AU80" s="35">
        <v>547</v>
      </c>
      <c r="AV80" s="35"/>
      <c r="AW80" s="35">
        <f t="shared" si="31"/>
        <v>361</v>
      </c>
      <c r="AX80" s="6"/>
      <c r="AY80" s="6"/>
      <c r="AZ80" s="35"/>
      <c r="BA80" s="6">
        <v>926</v>
      </c>
      <c r="BB80" s="6"/>
      <c r="BC80" s="35">
        <f t="shared" si="32"/>
        <v>379</v>
      </c>
      <c r="BD80" s="35">
        <v>1296</v>
      </c>
      <c r="BE80" s="35"/>
      <c r="BF80" s="35">
        <f t="shared" si="33"/>
        <v>370</v>
      </c>
      <c r="BG80" s="6">
        <v>0</v>
      </c>
      <c r="BH80" s="6">
        <v>1600</v>
      </c>
      <c r="BI80" s="35">
        <f t="shared" si="34"/>
        <v>304</v>
      </c>
      <c r="BJ80" s="6">
        <v>371</v>
      </c>
      <c r="BK80" s="6"/>
      <c r="BL80" s="35">
        <f t="shared" si="35"/>
        <v>371</v>
      </c>
      <c r="BM80" s="6">
        <v>753</v>
      </c>
      <c r="BN80" s="6"/>
      <c r="BO80" s="6">
        <f t="shared" si="36"/>
        <v>382</v>
      </c>
      <c r="BP80" s="6">
        <v>1113</v>
      </c>
      <c r="BQ80" s="6"/>
      <c r="BR80" s="6">
        <f t="shared" si="37"/>
        <v>360</v>
      </c>
      <c r="BS80" s="6"/>
      <c r="BT80" s="6"/>
      <c r="BU80" s="35"/>
      <c r="BV80" s="6">
        <v>1499</v>
      </c>
      <c r="BW80" s="6"/>
      <c r="BX80" s="6">
        <f t="shared" si="38"/>
        <v>386</v>
      </c>
      <c r="BY80" s="6">
        <v>323</v>
      </c>
      <c r="BZ80" s="6">
        <v>1560</v>
      </c>
      <c r="CA80" s="35">
        <f t="shared" si="39"/>
        <v>384</v>
      </c>
      <c r="CB80" s="6">
        <v>711</v>
      </c>
      <c r="CC80" s="6"/>
      <c r="CD80" s="6">
        <f t="shared" si="40"/>
        <v>388</v>
      </c>
      <c r="CE80" s="6">
        <v>1097</v>
      </c>
      <c r="CF80" s="6"/>
      <c r="CG80" s="6">
        <f t="shared" si="41"/>
        <v>386</v>
      </c>
      <c r="CH80" s="6">
        <v>1491</v>
      </c>
      <c r="CI80" s="6"/>
      <c r="CJ80" s="6">
        <f t="shared" si="42"/>
        <v>394</v>
      </c>
      <c r="CK80" s="6">
        <v>314</v>
      </c>
      <c r="CL80" s="6">
        <v>1560</v>
      </c>
      <c r="CM80" s="6">
        <f t="shared" si="43"/>
        <v>383</v>
      </c>
      <c r="CN80" s="6"/>
      <c r="CO80" s="6"/>
      <c r="CP80" s="6"/>
      <c r="CQ80" s="6">
        <v>714</v>
      </c>
      <c r="CR80" s="6"/>
      <c r="CS80" s="6">
        <f t="shared" si="44"/>
        <v>400</v>
      </c>
      <c r="CT80" s="6">
        <v>1102</v>
      </c>
      <c r="CU80" s="6"/>
      <c r="CV80" s="6">
        <f t="shared" si="45"/>
        <v>388</v>
      </c>
      <c r="CW80" s="6">
        <v>1497</v>
      </c>
      <c r="CX80" s="6"/>
      <c r="CY80" s="6">
        <f t="shared" si="46"/>
        <v>395</v>
      </c>
      <c r="CZ80" s="6">
        <v>329</v>
      </c>
      <c r="DA80" s="6">
        <v>1560</v>
      </c>
      <c r="DB80" s="6">
        <f t="shared" si="47"/>
        <v>392</v>
      </c>
      <c r="DC80" s="6">
        <v>721</v>
      </c>
      <c r="DD80" s="6"/>
      <c r="DE80" s="6">
        <f t="shared" si="48"/>
        <v>392</v>
      </c>
      <c r="DF80" s="6">
        <v>1098</v>
      </c>
      <c r="DG80" s="6"/>
      <c r="DH80" s="6">
        <f t="shared" si="49"/>
        <v>377</v>
      </c>
      <c r="DI80" s="6"/>
      <c r="DJ80" s="6"/>
      <c r="DK80" s="6"/>
      <c r="DL80" s="6">
        <v>1487</v>
      </c>
      <c r="DM80" s="6"/>
      <c r="DN80" s="6">
        <f t="shared" si="50"/>
        <v>389</v>
      </c>
      <c r="DO80" s="6">
        <v>283</v>
      </c>
      <c r="DP80" s="6">
        <v>1560</v>
      </c>
      <c r="DQ80" s="6">
        <f t="shared" si="51"/>
        <v>356</v>
      </c>
    </row>
    <row r="81" spans="1:121">
      <c r="A81" s="6">
        <v>77</v>
      </c>
      <c r="B81" s="6">
        <v>511</v>
      </c>
      <c r="C81" s="6"/>
      <c r="D81" s="6">
        <v>349</v>
      </c>
      <c r="E81" s="33" t="s">
        <v>37</v>
      </c>
      <c r="F81" s="33" t="s">
        <v>37</v>
      </c>
      <c r="G81" s="33" t="s">
        <v>37</v>
      </c>
      <c r="H81" s="33" t="s">
        <v>37</v>
      </c>
      <c r="I81" s="33" t="s">
        <v>37</v>
      </c>
      <c r="J81" s="33" t="s">
        <v>37</v>
      </c>
      <c r="K81" s="33" t="s">
        <v>37</v>
      </c>
      <c r="L81" s="33" t="s">
        <v>37</v>
      </c>
      <c r="M81" s="33" t="s">
        <v>37</v>
      </c>
      <c r="N81" s="33" t="s">
        <v>37</v>
      </c>
      <c r="O81" s="33" t="s">
        <v>37</v>
      </c>
      <c r="P81" s="33" t="s">
        <v>37</v>
      </c>
      <c r="Q81" s="33" t="s">
        <v>37</v>
      </c>
      <c r="R81" s="33" t="s">
        <v>37</v>
      </c>
      <c r="S81" s="33" t="s">
        <v>37</v>
      </c>
      <c r="T81" s="33" t="s">
        <v>37</v>
      </c>
      <c r="U81" s="33" t="s">
        <v>37</v>
      </c>
      <c r="V81" s="33" t="s">
        <v>37</v>
      </c>
      <c r="W81" s="148" t="s">
        <v>37</v>
      </c>
      <c r="X81" s="33" t="s">
        <v>37</v>
      </c>
      <c r="Y81" s="33" t="s">
        <v>37</v>
      </c>
      <c r="Z81" s="33" t="s">
        <v>37</v>
      </c>
      <c r="AA81" s="33" t="s">
        <v>37</v>
      </c>
      <c r="AB81" s="33" t="s">
        <v>37</v>
      </c>
      <c r="AC81" s="33" t="s">
        <v>37</v>
      </c>
      <c r="AD81" s="33" t="s">
        <v>37</v>
      </c>
      <c r="AE81" s="33" t="s">
        <v>37</v>
      </c>
      <c r="AF81" s="6">
        <v>914</v>
      </c>
      <c r="AG81" s="6"/>
      <c r="AH81" s="35">
        <f t="shared" si="26"/>
        <v>403</v>
      </c>
      <c r="AI81" s="6">
        <v>1267</v>
      </c>
      <c r="AJ81" s="6"/>
      <c r="AK81" s="35">
        <f t="shared" si="27"/>
        <v>353</v>
      </c>
      <c r="AL81" s="35">
        <v>36</v>
      </c>
      <c r="AM81" s="35">
        <v>1561</v>
      </c>
      <c r="AN81" s="35">
        <f t="shared" si="28"/>
        <v>330</v>
      </c>
      <c r="AO81" s="35">
        <v>402</v>
      </c>
      <c r="AP81" s="6"/>
      <c r="AQ81" s="35">
        <f t="shared" si="29"/>
        <v>366</v>
      </c>
      <c r="AR81" s="6">
        <v>776</v>
      </c>
      <c r="AS81" s="6"/>
      <c r="AT81" s="34">
        <f t="shared" si="30"/>
        <v>374</v>
      </c>
      <c r="AU81" s="35">
        <v>1120</v>
      </c>
      <c r="AV81" s="35"/>
      <c r="AW81" s="35">
        <f t="shared" si="31"/>
        <v>344</v>
      </c>
      <c r="AX81" s="6"/>
      <c r="AY81" s="6"/>
      <c r="AZ81" s="35"/>
      <c r="BA81" s="6">
        <v>1492</v>
      </c>
      <c r="BB81" s="6"/>
      <c r="BC81" s="35">
        <f t="shared" si="32"/>
        <v>372</v>
      </c>
      <c r="BD81" s="6">
        <v>308</v>
      </c>
      <c r="BE81" s="6">
        <v>1560</v>
      </c>
      <c r="BF81" s="35">
        <f t="shared" si="33"/>
        <v>376</v>
      </c>
      <c r="BG81" s="6">
        <v>671</v>
      </c>
      <c r="BH81" s="6"/>
      <c r="BI81" s="35">
        <f t="shared" si="34"/>
        <v>363</v>
      </c>
      <c r="BJ81" s="6">
        <v>1021</v>
      </c>
      <c r="BK81" s="6"/>
      <c r="BL81" s="35">
        <f t="shared" si="35"/>
        <v>350</v>
      </c>
      <c r="BM81" s="6">
        <v>1386</v>
      </c>
      <c r="BN81" s="35"/>
      <c r="BO81" s="6">
        <f t="shared" si="36"/>
        <v>365</v>
      </c>
      <c r="BP81" s="6">
        <v>157</v>
      </c>
      <c r="BQ81" s="6">
        <v>1560</v>
      </c>
      <c r="BR81" s="6">
        <f t="shared" si="37"/>
        <v>331</v>
      </c>
      <c r="BS81" s="6"/>
      <c r="BT81" s="6"/>
      <c r="BU81" s="35"/>
      <c r="BV81" s="6">
        <v>532</v>
      </c>
      <c r="BW81" s="6"/>
      <c r="BX81" s="6">
        <f t="shared" si="38"/>
        <v>375</v>
      </c>
      <c r="BY81" s="6">
        <v>914</v>
      </c>
      <c r="BZ81" s="6"/>
      <c r="CA81" s="35">
        <f t="shared" si="39"/>
        <v>382</v>
      </c>
      <c r="CB81" s="6">
        <v>1276</v>
      </c>
      <c r="CC81" s="35"/>
      <c r="CD81" s="6">
        <f t="shared" si="40"/>
        <v>362</v>
      </c>
      <c r="CE81" s="6">
        <v>92</v>
      </c>
      <c r="CF81" s="6">
        <v>1560</v>
      </c>
      <c r="CG81" s="6">
        <f t="shared" si="41"/>
        <v>376</v>
      </c>
      <c r="CH81" s="6">
        <v>0</v>
      </c>
      <c r="CI81" s="35">
        <v>462</v>
      </c>
      <c r="CJ81" s="6">
        <f t="shared" si="42"/>
        <v>370</v>
      </c>
      <c r="CK81" s="6">
        <v>352</v>
      </c>
      <c r="CL81" s="6"/>
      <c r="CM81" s="6">
        <f t="shared" si="43"/>
        <v>352</v>
      </c>
      <c r="CN81" s="6"/>
      <c r="CO81" s="6"/>
      <c r="CP81" s="6"/>
      <c r="CQ81" s="6">
        <v>740</v>
      </c>
      <c r="CR81" s="6"/>
      <c r="CS81" s="6">
        <f t="shared" si="44"/>
        <v>388</v>
      </c>
      <c r="CT81" s="6">
        <v>1113</v>
      </c>
      <c r="CU81" s="6"/>
      <c r="CV81" s="6">
        <f t="shared" si="45"/>
        <v>373</v>
      </c>
      <c r="CW81" s="6">
        <v>1499</v>
      </c>
      <c r="CX81" s="6"/>
      <c r="CY81" s="6">
        <f t="shared" si="46"/>
        <v>386</v>
      </c>
      <c r="CZ81" s="6">
        <v>324</v>
      </c>
      <c r="DA81" s="6">
        <v>1560</v>
      </c>
      <c r="DB81" s="6">
        <f t="shared" si="47"/>
        <v>385</v>
      </c>
      <c r="DC81" s="6">
        <v>704</v>
      </c>
      <c r="DD81" s="6"/>
      <c r="DE81" s="6">
        <f t="shared" si="48"/>
        <v>380</v>
      </c>
      <c r="DF81" s="6">
        <v>1072</v>
      </c>
      <c r="DG81" s="6"/>
      <c r="DH81" s="6">
        <f t="shared" si="49"/>
        <v>368</v>
      </c>
      <c r="DI81" s="6"/>
      <c r="DJ81" s="6"/>
      <c r="DK81" s="6"/>
      <c r="DL81" s="6">
        <v>1460</v>
      </c>
      <c r="DM81" s="6"/>
      <c r="DN81" s="6">
        <f t="shared" si="50"/>
        <v>388</v>
      </c>
      <c r="DO81" s="6">
        <v>258</v>
      </c>
      <c r="DP81" s="6">
        <v>1565</v>
      </c>
      <c r="DQ81" s="6">
        <f t="shared" si="51"/>
        <v>363</v>
      </c>
    </row>
    <row r="82" spans="1:121">
      <c r="A82" s="6">
        <v>78</v>
      </c>
      <c r="B82" s="6">
        <v>1024</v>
      </c>
      <c r="C82" s="6"/>
      <c r="D82" s="6">
        <v>338</v>
      </c>
      <c r="E82" s="33" t="s">
        <v>307</v>
      </c>
      <c r="F82" s="33" t="s">
        <v>307</v>
      </c>
      <c r="G82" s="33" t="s">
        <v>307</v>
      </c>
      <c r="H82" s="33" t="s">
        <v>307</v>
      </c>
      <c r="I82" s="33" t="s">
        <v>307</v>
      </c>
      <c r="J82" s="33" t="s">
        <v>307</v>
      </c>
      <c r="K82" s="33" t="s">
        <v>307</v>
      </c>
      <c r="L82" s="33" t="s">
        <v>307</v>
      </c>
      <c r="M82" s="33" t="s">
        <v>307</v>
      </c>
      <c r="N82" s="33" t="s">
        <v>307</v>
      </c>
      <c r="O82" s="33" t="s">
        <v>307</v>
      </c>
      <c r="P82" s="148" t="s">
        <v>307</v>
      </c>
      <c r="Q82" s="33" t="s">
        <v>307</v>
      </c>
      <c r="R82" s="33" t="s">
        <v>307</v>
      </c>
      <c r="S82" s="33" t="s">
        <v>307</v>
      </c>
      <c r="T82" s="33" t="s">
        <v>307</v>
      </c>
      <c r="U82" s="33" t="s">
        <v>307</v>
      </c>
      <c r="V82" s="33" t="s">
        <v>307</v>
      </c>
      <c r="W82" s="33" t="s">
        <v>307</v>
      </c>
      <c r="X82" s="33" t="s">
        <v>307</v>
      </c>
      <c r="Y82" s="33" t="s">
        <v>307</v>
      </c>
      <c r="Z82" s="33" t="s">
        <v>307</v>
      </c>
      <c r="AA82" s="33" t="s">
        <v>307</v>
      </c>
      <c r="AB82" s="33" t="s">
        <v>307</v>
      </c>
      <c r="AC82" s="33" t="s">
        <v>307</v>
      </c>
      <c r="AD82" s="33" t="s">
        <v>307</v>
      </c>
      <c r="AE82" s="33" t="s">
        <v>307</v>
      </c>
      <c r="AF82" s="6">
        <v>1442</v>
      </c>
      <c r="AG82" s="6"/>
      <c r="AH82" s="35">
        <f t="shared" si="26"/>
        <v>418</v>
      </c>
      <c r="AI82" s="6">
        <v>264</v>
      </c>
      <c r="AJ82" s="6">
        <v>1561</v>
      </c>
      <c r="AK82" s="35">
        <f t="shared" si="27"/>
        <v>383</v>
      </c>
      <c r="AL82" s="35">
        <v>643</v>
      </c>
      <c r="AM82" s="35"/>
      <c r="AN82" s="35">
        <f t="shared" si="28"/>
        <v>379</v>
      </c>
      <c r="AO82" s="6">
        <v>1023</v>
      </c>
      <c r="AP82" s="6"/>
      <c r="AQ82" s="35">
        <f t="shared" si="29"/>
        <v>380</v>
      </c>
      <c r="AR82" s="6">
        <v>1405</v>
      </c>
      <c r="AS82" s="6"/>
      <c r="AT82" s="34">
        <f t="shared" si="30"/>
        <v>382</v>
      </c>
      <c r="AU82" s="35">
        <v>201</v>
      </c>
      <c r="AV82" s="35">
        <v>1561</v>
      </c>
      <c r="AW82" s="35">
        <f t="shared" si="31"/>
        <v>357</v>
      </c>
      <c r="AX82" s="6"/>
      <c r="AY82" s="6"/>
      <c r="AZ82" s="35"/>
      <c r="BA82" s="6">
        <v>571</v>
      </c>
      <c r="BB82" s="6"/>
      <c r="BC82" s="35">
        <f t="shared" si="32"/>
        <v>370</v>
      </c>
      <c r="BD82" s="35">
        <v>28</v>
      </c>
      <c r="BE82" s="35">
        <v>890</v>
      </c>
      <c r="BF82" s="35">
        <f t="shared" si="33"/>
        <v>347</v>
      </c>
      <c r="BG82" s="6">
        <v>407</v>
      </c>
      <c r="BH82" s="6"/>
      <c r="BI82" s="35">
        <f t="shared" si="34"/>
        <v>379</v>
      </c>
      <c r="BJ82" s="6">
        <v>0</v>
      </c>
      <c r="BK82" s="6">
        <v>697</v>
      </c>
      <c r="BL82" s="35">
        <f t="shared" si="35"/>
        <v>290</v>
      </c>
      <c r="BM82" s="6">
        <v>359</v>
      </c>
      <c r="BN82" s="6"/>
      <c r="BO82" s="6">
        <f t="shared" si="36"/>
        <v>359</v>
      </c>
      <c r="BP82" s="6">
        <v>736</v>
      </c>
      <c r="BQ82" s="6"/>
      <c r="BR82" s="6">
        <f t="shared" si="37"/>
        <v>377</v>
      </c>
      <c r="BS82" s="6"/>
      <c r="BT82" s="6"/>
      <c r="BU82" s="35"/>
      <c r="BV82" s="6">
        <v>1132</v>
      </c>
      <c r="BW82" s="6"/>
      <c r="BX82" s="6">
        <f t="shared" si="38"/>
        <v>396</v>
      </c>
      <c r="BY82" s="6">
        <v>0</v>
      </c>
      <c r="BZ82" s="6">
        <v>1173</v>
      </c>
      <c r="CA82" s="35">
        <f t="shared" si="39"/>
        <v>41</v>
      </c>
      <c r="CB82" s="6">
        <v>0</v>
      </c>
      <c r="CC82" s="6"/>
      <c r="CD82" s="6">
        <f t="shared" si="40"/>
        <v>0</v>
      </c>
      <c r="CE82" s="6">
        <v>0</v>
      </c>
      <c r="CF82" s="6"/>
      <c r="CG82" s="6">
        <f t="shared" si="41"/>
        <v>0</v>
      </c>
      <c r="CH82" s="6">
        <v>0</v>
      </c>
      <c r="CI82" s="6"/>
      <c r="CJ82" s="6">
        <f t="shared" si="42"/>
        <v>0</v>
      </c>
      <c r="CK82" s="6">
        <v>10</v>
      </c>
      <c r="CL82" s="6"/>
      <c r="CM82" s="6">
        <f t="shared" si="43"/>
        <v>10</v>
      </c>
      <c r="CN82" s="6"/>
      <c r="CO82" s="6"/>
      <c r="CP82" s="6"/>
      <c r="CQ82" s="6">
        <v>406</v>
      </c>
      <c r="CR82" s="6"/>
      <c r="CS82" s="6">
        <f t="shared" si="44"/>
        <v>396</v>
      </c>
      <c r="CT82" s="6">
        <v>796</v>
      </c>
      <c r="CU82" s="6"/>
      <c r="CV82" s="6">
        <f t="shared" si="45"/>
        <v>390</v>
      </c>
      <c r="CW82" s="6">
        <v>1187</v>
      </c>
      <c r="CX82" s="6"/>
      <c r="CY82" s="6">
        <f t="shared" si="46"/>
        <v>391</v>
      </c>
      <c r="CZ82" s="6">
        <v>1578</v>
      </c>
      <c r="DA82" s="6"/>
      <c r="DB82" s="6">
        <f t="shared" si="47"/>
        <v>391</v>
      </c>
      <c r="DC82" s="6">
        <v>148</v>
      </c>
      <c r="DD82" s="6">
        <v>1820</v>
      </c>
      <c r="DE82" s="6">
        <f t="shared" si="48"/>
        <v>390</v>
      </c>
      <c r="DF82" s="6">
        <v>524</v>
      </c>
      <c r="DG82" s="6"/>
      <c r="DH82" s="6">
        <f t="shared" si="49"/>
        <v>376</v>
      </c>
      <c r="DI82" s="6"/>
      <c r="DJ82" s="6"/>
      <c r="DK82" s="6"/>
      <c r="DL82" s="6">
        <v>918</v>
      </c>
      <c r="DM82" s="6"/>
      <c r="DN82" s="6">
        <f t="shared" si="50"/>
        <v>394</v>
      </c>
      <c r="DO82" s="6">
        <v>1287</v>
      </c>
      <c r="DP82" s="6"/>
      <c r="DQ82" s="6">
        <f t="shared" si="51"/>
        <v>369</v>
      </c>
    </row>
    <row r="83" spans="1:121">
      <c r="A83" s="6">
        <v>79</v>
      </c>
      <c r="B83" s="6">
        <v>1306</v>
      </c>
      <c r="C83" s="6"/>
      <c r="D83" s="6">
        <v>354</v>
      </c>
      <c r="E83" s="33" t="s">
        <v>307</v>
      </c>
      <c r="F83" s="33" t="s">
        <v>307</v>
      </c>
      <c r="G83" s="33" t="s">
        <v>307</v>
      </c>
      <c r="H83" s="33" t="s">
        <v>307</v>
      </c>
      <c r="I83" s="33" t="s">
        <v>307</v>
      </c>
      <c r="J83" s="33" t="s">
        <v>307</v>
      </c>
      <c r="K83" s="33" t="s">
        <v>307</v>
      </c>
      <c r="L83" s="33" t="s">
        <v>307</v>
      </c>
      <c r="M83" s="33" t="s">
        <v>307</v>
      </c>
      <c r="N83" s="33" t="s">
        <v>307</v>
      </c>
      <c r="O83" s="33" t="s">
        <v>307</v>
      </c>
      <c r="P83" s="33" t="s">
        <v>307</v>
      </c>
      <c r="Q83" s="33" t="s">
        <v>307</v>
      </c>
      <c r="R83" s="33" t="s">
        <v>307</v>
      </c>
      <c r="S83" s="148" t="s">
        <v>37</v>
      </c>
      <c r="T83" s="33" t="s">
        <v>37</v>
      </c>
      <c r="U83" s="33" t="s">
        <v>37</v>
      </c>
      <c r="V83" s="33" t="s">
        <v>37</v>
      </c>
      <c r="W83" s="33" t="s">
        <v>37</v>
      </c>
      <c r="X83" s="33" t="s">
        <v>37</v>
      </c>
      <c r="Y83" s="33" t="s">
        <v>37</v>
      </c>
      <c r="Z83" s="33" t="s">
        <v>37</v>
      </c>
      <c r="AA83" s="33" t="s">
        <v>37</v>
      </c>
      <c r="AB83" s="33" t="s">
        <v>37</v>
      </c>
      <c r="AC83" s="33" t="s">
        <v>37</v>
      </c>
      <c r="AD83" s="33" t="s">
        <v>37</v>
      </c>
      <c r="AE83" s="33" t="s">
        <v>37</v>
      </c>
      <c r="AF83" s="6">
        <v>143</v>
      </c>
      <c r="AG83" s="6">
        <v>1560</v>
      </c>
      <c r="AH83" s="35">
        <f t="shared" si="26"/>
        <v>397</v>
      </c>
      <c r="AI83" s="6">
        <v>526</v>
      </c>
      <c r="AJ83" s="6"/>
      <c r="AK83" s="35">
        <f t="shared" si="27"/>
        <v>383</v>
      </c>
      <c r="AL83" s="35">
        <v>911</v>
      </c>
      <c r="AM83" s="35"/>
      <c r="AN83" s="35">
        <f t="shared" si="28"/>
        <v>385</v>
      </c>
      <c r="AO83" s="6">
        <v>1302</v>
      </c>
      <c r="AP83" s="6"/>
      <c r="AQ83" s="35">
        <f t="shared" si="29"/>
        <v>391</v>
      </c>
      <c r="AR83" s="6">
        <v>133</v>
      </c>
      <c r="AS83" s="6">
        <v>1560</v>
      </c>
      <c r="AT83" s="34">
        <f t="shared" si="30"/>
        <v>391</v>
      </c>
      <c r="AU83" s="35">
        <v>504</v>
      </c>
      <c r="AV83" s="35"/>
      <c r="AW83" s="35">
        <f t="shared" si="31"/>
        <v>371</v>
      </c>
      <c r="AX83" s="6"/>
      <c r="AY83" s="6"/>
      <c r="AZ83" s="35"/>
      <c r="BA83" s="6">
        <v>898</v>
      </c>
      <c r="BB83" s="6"/>
      <c r="BC83" s="35">
        <f t="shared" si="32"/>
        <v>394</v>
      </c>
      <c r="BD83" s="35">
        <v>1288</v>
      </c>
      <c r="BE83" s="35"/>
      <c r="BF83" s="35">
        <f t="shared" si="33"/>
        <v>390</v>
      </c>
      <c r="BG83" s="6">
        <v>118</v>
      </c>
      <c r="BH83" s="6">
        <v>1563</v>
      </c>
      <c r="BI83" s="35">
        <f t="shared" si="34"/>
        <v>393</v>
      </c>
      <c r="BJ83" s="6">
        <v>512</v>
      </c>
      <c r="BK83" s="6"/>
      <c r="BL83" s="35">
        <f t="shared" si="35"/>
        <v>394</v>
      </c>
      <c r="BM83" s="6">
        <v>904</v>
      </c>
      <c r="BN83" s="107"/>
      <c r="BO83" s="6">
        <f t="shared" si="36"/>
        <v>392</v>
      </c>
      <c r="BP83" s="6">
        <v>1276</v>
      </c>
      <c r="BQ83" s="6"/>
      <c r="BR83" s="6">
        <f t="shared" si="37"/>
        <v>372</v>
      </c>
      <c r="BS83" s="6"/>
      <c r="BT83" s="6"/>
      <c r="BU83" s="35"/>
      <c r="BV83" s="6">
        <v>0</v>
      </c>
      <c r="BW83" s="6">
        <v>1602</v>
      </c>
      <c r="BX83" s="6">
        <f t="shared" si="38"/>
        <v>326</v>
      </c>
      <c r="BY83" s="6">
        <v>376</v>
      </c>
      <c r="BZ83" s="6"/>
      <c r="CA83" s="35">
        <f t="shared" si="39"/>
        <v>376</v>
      </c>
      <c r="CB83" s="6">
        <v>770</v>
      </c>
      <c r="CC83" s="6"/>
      <c r="CD83" s="6">
        <f t="shared" si="40"/>
        <v>394</v>
      </c>
      <c r="CE83" s="6">
        <v>285</v>
      </c>
      <c r="CF83" s="6">
        <v>875</v>
      </c>
      <c r="CG83" s="6">
        <f t="shared" si="41"/>
        <v>390</v>
      </c>
      <c r="CH83" s="6">
        <v>666</v>
      </c>
      <c r="CI83" s="6"/>
      <c r="CJ83" s="6">
        <f t="shared" si="42"/>
        <v>381</v>
      </c>
      <c r="CK83" s="6">
        <v>1050</v>
      </c>
      <c r="CL83" s="6"/>
      <c r="CM83" s="6">
        <f t="shared" si="43"/>
        <v>384</v>
      </c>
      <c r="CN83" s="6"/>
      <c r="CO83" s="6"/>
      <c r="CP83" s="6"/>
      <c r="CQ83" s="6">
        <v>1439</v>
      </c>
      <c r="CR83" s="6"/>
      <c r="CS83" s="6">
        <f t="shared" si="44"/>
        <v>389</v>
      </c>
      <c r="CT83" s="6">
        <v>245</v>
      </c>
      <c r="CU83" s="6">
        <v>1560</v>
      </c>
      <c r="CV83" s="6">
        <f t="shared" si="45"/>
        <v>366</v>
      </c>
      <c r="CW83" s="6">
        <v>612</v>
      </c>
      <c r="CX83" s="6"/>
      <c r="CY83" s="6">
        <f t="shared" si="46"/>
        <v>367</v>
      </c>
      <c r="CZ83" s="6">
        <v>979</v>
      </c>
      <c r="DA83" s="6"/>
      <c r="DB83" s="6">
        <f t="shared" si="47"/>
        <v>367</v>
      </c>
      <c r="DC83" s="6">
        <v>1359</v>
      </c>
      <c r="DD83" s="6"/>
      <c r="DE83" s="6">
        <f t="shared" si="48"/>
        <v>380</v>
      </c>
      <c r="DF83" s="6">
        <v>157</v>
      </c>
      <c r="DG83" s="6">
        <v>1560</v>
      </c>
      <c r="DH83" s="6">
        <f t="shared" si="49"/>
        <v>358</v>
      </c>
      <c r="DI83" s="6"/>
      <c r="DJ83" s="6"/>
      <c r="DK83" s="6"/>
      <c r="DL83" s="6">
        <v>538</v>
      </c>
      <c r="DM83" s="6"/>
      <c r="DN83" s="6">
        <f t="shared" si="50"/>
        <v>381</v>
      </c>
      <c r="DO83" s="6">
        <v>896</v>
      </c>
      <c r="DP83" s="6"/>
      <c r="DQ83" s="6">
        <f t="shared" si="51"/>
        <v>358</v>
      </c>
    </row>
    <row r="84" spans="1:121">
      <c r="A84" s="6">
        <v>80</v>
      </c>
      <c r="B84" s="6">
        <v>1082</v>
      </c>
      <c r="C84" s="6"/>
      <c r="D84" s="6">
        <v>348</v>
      </c>
      <c r="E84" s="169" t="s">
        <v>37</v>
      </c>
      <c r="F84" s="169" t="s">
        <v>37</v>
      </c>
      <c r="G84" s="169" t="s">
        <v>37</v>
      </c>
      <c r="H84" s="169" t="s">
        <v>37</v>
      </c>
      <c r="I84" s="169" t="s">
        <v>37</v>
      </c>
      <c r="J84" s="169" t="s">
        <v>37</v>
      </c>
      <c r="K84" s="169" t="s">
        <v>37</v>
      </c>
      <c r="L84" s="169" t="s">
        <v>37</v>
      </c>
      <c r="M84" s="169" t="s">
        <v>37</v>
      </c>
      <c r="N84" s="169" t="s">
        <v>37</v>
      </c>
      <c r="O84" s="169" t="s">
        <v>37</v>
      </c>
      <c r="P84" s="169" t="s">
        <v>37</v>
      </c>
      <c r="Q84" s="169" t="s">
        <v>37</v>
      </c>
      <c r="R84" s="169" t="s">
        <v>37</v>
      </c>
      <c r="S84" s="169" t="s">
        <v>37</v>
      </c>
      <c r="T84" s="169" t="s">
        <v>37</v>
      </c>
      <c r="U84" s="169" t="s">
        <v>37</v>
      </c>
      <c r="V84" s="169" t="s">
        <v>37</v>
      </c>
      <c r="W84" s="169" t="s">
        <v>37</v>
      </c>
      <c r="X84" s="167" t="s">
        <v>37</v>
      </c>
      <c r="Y84" s="169" t="s">
        <v>37</v>
      </c>
      <c r="Z84" s="169" t="s">
        <v>37</v>
      </c>
      <c r="AA84" s="169" t="s">
        <v>37</v>
      </c>
      <c r="AB84" s="169" t="s">
        <v>37</v>
      </c>
      <c r="AC84" s="169" t="s">
        <v>37</v>
      </c>
      <c r="AD84" s="169" t="s">
        <v>37</v>
      </c>
      <c r="AE84" s="169" t="s">
        <v>37</v>
      </c>
      <c r="AF84" s="6">
        <v>166</v>
      </c>
      <c r="AG84" s="6">
        <v>1310</v>
      </c>
      <c r="AH84" s="35">
        <f t="shared" si="26"/>
        <v>394</v>
      </c>
      <c r="AI84" s="6">
        <v>535</v>
      </c>
      <c r="AJ84" s="6"/>
      <c r="AK84" s="35">
        <f t="shared" si="27"/>
        <v>369</v>
      </c>
      <c r="AL84" s="35">
        <v>918</v>
      </c>
      <c r="AM84" s="35"/>
      <c r="AN84" s="35">
        <f t="shared" si="28"/>
        <v>383</v>
      </c>
      <c r="AO84" s="6">
        <v>1296</v>
      </c>
      <c r="AP84" s="6"/>
      <c r="AQ84" s="35">
        <f t="shared" si="29"/>
        <v>378</v>
      </c>
      <c r="AR84" s="6">
        <v>93</v>
      </c>
      <c r="AS84" s="6">
        <v>1565</v>
      </c>
      <c r="AT84" s="34">
        <f t="shared" si="30"/>
        <v>362</v>
      </c>
      <c r="AU84" s="35">
        <v>442</v>
      </c>
      <c r="AV84" s="35"/>
      <c r="AW84" s="35">
        <f t="shared" si="31"/>
        <v>349</v>
      </c>
      <c r="AX84" s="6"/>
      <c r="AY84" s="6"/>
      <c r="AZ84" s="35"/>
      <c r="BA84" s="6">
        <v>828</v>
      </c>
      <c r="BB84" s="6"/>
      <c r="BC84" s="35">
        <f t="shared" si="32"/>
        <v>386</v>
      </c>
      <c r="BD84" s="35">
        <v>1206</v>
      </c>
      <c r="BE84" s="35"/>
      <c r="BF84" s="35">
        <f t="shared" si="33"/>
        <v>378</v>
      </c>
      <c r="BG84" s="6">
        <v>26</v>
      </c>
      <c r="BH84" s="6">
        <v>1560</v>
      </c>
      <c r="BI84" s="35">
        <f t="shared" si="34"/>
        <v>380</v>
      </c>
      <c r="BJ84" s="6">
        <v>407</v>
      </c>
      <c r="BK84" s="6"/>
      <c r="BL84" s="35">
        <f t="shared" si="35"/>
        <v>381</v>
      </c>
      <c r="BM84" s="6">
        <v>789</v>
      </c>
      <c r="BN84" s="107"/>
      <c r="BO84" s="6">
        <f t="shared" si="36"/>
        <v>382</v>
      </c>
      <c r="BP84" s="6">
        <v>1154</v>
      </c>
      <c r="BQ84" s="6"/>
      <c r="BR84" s="6">
        <f t="shared" si="37"/>
        <v>365</v>
      </c>
      <c r="BS84" s="6"/>
      <c r="BT84" s="6"/>
      <c r="BU84" s="35"/>
      <c r="BV84" s="6">
        <v>1540</v>
      </c>
      <c r="BW84" s="6"/>
      <c r="BX84" s="6">
        <f t="shared" si="38"/>
        <v>386</v>
      </c>
      <c r="BY84" s="6">
        <v>362</v>
      </c>
      <c r="BZ84" s="6">
        <v>1560</v>
      </c>
      <c r="CA84" s="35">
        <f t="shared" si="39"/>
        <v>382</v>
      </c>
      <c r="CB84" s="6">
        <v>748</v>
      </c>
      <c r="CC84" s="6"/>
      <c r="CD84" s="6">
        <f t="shared" si="40"/>
        <v>386</v>
      </c>
      <c r="CE84" s="6">
        <v>1134</v>
      </c>
      <c r="CF84" s="6"/>
      <c r="CG84" s="6">
        <f t="shared" si="41"/>
        <v>386</v>
      </c>
      <c r="CH84" s="6">
        <v>1522</v>
      </c>
      <c r="CI84" s="6"/>
      <c r="CJ84" s="6">
        <f t="shared" si="42"/>
        <v>388</v>
      </c>
      <c r="CK84" s="6">
        <v>0</v>
      </c>
      <c r="CL84" s="6">
        <v>1882</v>
      </c>
      <c r="CM84" s="6">
        <f t="shared" si="43"/>
        <v>360</v>
      </c>
      <c r="CN84" s="6"/>
      <c r="CO84" s="6"/>
      <c r="CP84" s="6"/>
      <c r="CQ84" s="6">
        <v>345</v>
      </c>
      <c r="CR84" s="6"/>
      <c r="CS84" s="6">
        <f t="shared" si="44"/>
        <v>345</v>
      </c>
      <c r="CT84" s="6">
        <v>722</v>
      </c>
      <c r="CU84" s="6"/>
      <c r="CV84" s="6">
        <f t="shared" si="45"/>
        <v>377</v>
      </c>
      <c r="CW84" s="6">
        <v>1103</v>
      </c>
      <c r="CX84" s="6"/>
      <c r="CY84" s="6">
        <f t="shared" si="46"/>
        <v>381</v>
      </c>
      <c r="CZ84" s="6">
        <v>1480</v>
      </c>
      <c r="DA84" s="6"/>
      <c r="DB84" s="6">
        <f t="shared" si="47"/>
        <v>377</v>
      </c>
      <c r="DC84" s="6">
        <v>297</v>
      </c>
      <c r="DD84" s="6">
        <v>1560</v>
      </c>
      <c r="DE84" s="6">
        <f t="shared" si="48"/>
        <v>377</v>
      </c>
      <c r="DF84" s="6">
        <v>660</v>
      </c>
      <c r="DG84" s="6"/>
      <c r="DH84" s="6">
        <f t="shared" si="49"/>
        <v>363</v>
      </c>
      <c r="DI84" s="6"/>
      <c r="DJ84" s="6"/>
      <c r="DK84" s="6"/>
      <c r="DL84" s="6">
        <v>1049</v>
      </c>
      <c r="DM84" s="6"/>
      <c r="DN84" s="6">
        <f t="shared" si="50"/>
        <v>389</v>
      </c>
      <c r="DO84" s="6">
        <v>1409</v>
      </c>
      <c r="DP84" s="6"/>
      <c r="DQ84" s="6">
        <f t="shared" si="51"/>
        <v>360</v>
      </c>
    </row>
    <row r="85" spans="1:121">
      <c r="A85" s="6">
        <v>81</v>
      </c>
      <c r="B85" s="6">
        <v>1076</v>
      </c>
      <c r="C85" s="6"/>
      <c r="D85" s="6">
        <v>345</v>
      </c>
      <c r="E85" s="33" t="s">
        <v>37</v>
      </c>
      <c r="F85" s="33" t="s">
        <v>37</v>
      </c>
      <c r="G85" s="33" t="s">
        <v>37</v>
      </c>
      <c r="H85" s="33" t="s">
        <v>37</v>
      </c>
      <c r="I85" s="33" t="s">
        <v>37</v>
      </c>
      <c r="J85" s="33" t="s">
        <v>37</v>
      </c>
      <c r="K85" s="33" t="s">
        <v>37</v>
      </c>
      <c r="L85" s="33" t="s">
        <v>37</v>
      </c>
      <c r="M85" s="33" t="s">
        <v>37</v>
      </c>
      <c r="N85" s="33" t="s">
        <v>37</v>
      </c>
      <c r="O85" s="33" t="s">
        <v>37</v>
      </c>
      <c r="P85" s="33" t="s">
        <v>37</v>
      </c>
      <c r="Q85" s="33" t="s">
        <v>37</v>
      </c>
      <c r="R85" s="33" t="s">
        <v>37</v>
      </c>
      <c r="S85" s="33" t="s">
        <v>37</v>
      </c>
      <c r="T85" s="33" t="s">
        <v>37</v>
      </c>
      <c r="U85" s="33" t="s">
        <v>37</v>
      </c>
      <c r="V85" s="33" t="s">
        <v>37</v>
      </c>
      <c r="W85" s="33" t="s">
        <v>37</v>
      </c>
      <c r="X85" s="33" t="s">
        <v>37</v>
      </c>
      <c r="Y85" s="148" t="s">
        <v>37</v>
      </c>
      <c r="Z85" s="33" t="s">
        <v>37</v>
      </c>
      <c r="AA85" s="33" t="s">
        <v>37</v>
      </c>
      <c r="AB85" s="33" t="s">
        <v>37</v>
      </c>
      <c r="AC85" s="33" t="s">
        <v>37</v>
      </c>
      <c r="AD85" s="33" t="s">
        <v>37</v>
      </c>
      <c r="AE85" s="33" t="s">
        <v>37</v>
      </c>
      <c r="AF85" s="35">
        <v>234</v>
      </c>
      <c r="AG85" s="35">
        <v>1229</v>
      </c>
      <c r="AH85" s="35">
        <f t="shared" si="26"/>
        <v>387</v>
      </c>
      <c r="AI85" s="35">
        <v>608</v>
      </c>
      <c r="AJ85" s="35"/>
      <c r="AK85" s="35">
        <f t="shared" si="27"/>
        <v>374</v>
      </c>
      <c r="AL85" s="35">
        <v>46</v>
      </c>
      <c r="AM85" s="35">
        <f>648+277</f>
        <v>925</v>
      </c>
      <c r="AN85" s="35">
        <f t="shared" si="28"/>
        <v>363</v>
      </c>
      <c r="AO85" s="35">
        <v>177</v>
      </c>
      <c r="AP85" s="35">
        <v>231</v>
      </c>
      <c r="AQ85" s="35">
        <f t="shared" si="29"/>
        <v>362</v>
      </c>
      <c r="AR85" s="35">
        <v>554</v>
      </c>
      <c r="AS85" s="35"/>
      <c r="AT85" s="34">
        <f t="shared" si="30"/>
        <v>377</v>
      </c>
      <c r="AU85" s="35">
        <v>8</v>
      </c>
      <c r="AV85" s="35">
        <f>744+124</f>
        <v>868</v>
      </c>
      <c r="AW85" s="35">
        <f t="shared" si="31"/>
        <v>322</v>
      </c>
      <c r="AX85" s="6"/>
      <c r="AY85" s="6"/>
      <c r="AZ85" s="35"/>
      <c r="BA85" s="6">
        <v>375</v>
      </c>
      <c r="BB85" s="6"/>
      <c r="BC85" s="35">
        <f t="shared" si="32"/>
        <v>367</v>
      </c>
      <c r="BD85" s="6">
        <v>178</v>
      </c>
      <c r="BE85" s="6">
        <v>559</v>
      </c>
      <c r="BF85" s="35">
        <f t="shared" si="33"/>
        <v>362</v>
      </c>
      <c r="BG85" s="6">
        <v>545</v>
      </c>
      <c r="BH85" s="6"/>
      <c r="BI85" s="35">
        <f t="shared" si="34"/>
        <v>367</v>
      </c>
      <c r="BJ85" s="6">
        <v>45</v>
      </c>
      <c r="BK85" s="6">
        <v>856</v>
      </c>
      <c r="BL85" s="35">
        <f t="shared" si="35"/>
        <v>356</v>
      </c>
      <c r="BM85" s="6">
        <v>405</v>
      </c>
      <c r="BN85" s="35"/>
      <c r="BO85" s="6">
        <f t="shared" si="36"/>
        <v>360</v>
      </c>
      <c r="BP85" s="6">
        <v>753</v>
      </c>
      <c r="BQ85" s="6"/>
      <c r="BR85" s="6">
        <f t="shared" si="37"/>
        <v>348</v>
      </c>
      <c r="BS85" s="6"/>
      <c r="BT85" s="6"/>
      <c r="BU85" s="35"/>
      <c r="BV85" s="6">
        <v>1129</v>
      </c>
      <c r="BW85" s="6"/>
      <c r="BX85" s="6">
        <f t="shared" si="38"/>
        <v>376</v>
      </c>
      <c r="BY85" s="6">
        <v>305</v>
      </c>
      <c r="BZ85" s="6">
        <v>1198</v>
      </c>
      <c r="CA85" s="35">
        <f t="shared" si="39"/>
        <v>374</v>
      </c>
      <c r="CB85" s="6">
        <v>686</v>
      </c>
      <c r="CC85" s="35"/>
      <c r="CD85" s="6">
        <f t="shared" si="40"/>
        <v>381</v>
      </c>
      <c r="CE85" s="6">
        <v>1064</v>
      </c>
      <c r="CF85" s="6"/>
      <c r="CG85" s="6">
        <f t="shared" si="41"/>
        <v>378</v>
      </c>
      <c r="CH85" s="6">
        <v>179</v>
      </c>
      <c r="CI85" s="35">
        <v>1260</v>
      </c>
      <c r="CJ85" s="6">
        <f t="shared" si="42"/>
        <v>375</v>
      </c>
      <c r="CK85" s="6">
        <v>548</v>
      </c>
      <c r="CL85" s="6"/>
      <c r="CM85" s="6">
        <f t="shared" si="43"/>
        <v>369</v>
      </c>
      <c r="CN85" s="6"/>
      <c r="CO85" s="6"/>
      <c r="CP85" s="6"/>
      <c r="CQ85" s="6">
        <v>0</v>
      </c>
      <c r="CR85" s="6">
        <v>720</v>
      </c>
      <c r="CS85" s="6">
        <f t="shared" si="44"/>
        <v>172</v>
      </c>
      <c r="CT85" s="6">
        <v>330</v>
      </c>
      <c r="CU85" s="6"/>
      <c r="CV85" s="6">
        <f t="shared" si="45"/>
        <v>330</v>
      </c>
      <c r="CW85" s="6">
        <v>712</v>
      </c>
      <c r="CX85" s="6"/>
      <c r="CY85" s="6">
        <f t="shared" si="46"/>
        <v>382</v>
      </c>
      <c r="CZ85" s="6">
        <v>1091</v>
      </c>
      <c r="DA85" s="6"/>
      <c r="DB85" s="6">
        <f t="shared" si="47"/>
        <v>379</v>
      </c>
      <c r="DC85" s="6">
        <v>1469</v>
      </c>
      <c r="DD85" s="6"/>
      <c r="DE85" s="6">
        <f t="shared" si="48"/>
        <v>378</v>
      </c>
      <c r="DF85" s="6">
        <v>272</v>
      </c>
      <c r="DG85" s="6">
        <v>1560</v>
      </c>
      <c r="DH85" s="6">
        <f t="shared" si="49"/>
        <v>363</v>
      </c>
      <c r="DI85" s="6"/>
      <c r="DJ85" s="6"/>
      <c r="DK85" s="6"/>
      <c r="DL85" s="6">
        <v>659</v>
      </c>
      <c r="DM85" s="6"/>
      <c r="DN85" s="6">
        <f t="shared" si="50"/>
        <v>387</v>
      </c>
      <c r="DO85" s="6">
        <v>1019</v>
      </c>
      <c r="DP85" s="6"/>
      <c r="DQ85" s="6">
        <f t="shared" si="51"/>
        <v>360</v>
      </c>
    </row>
    <row r="86" spans="1:121">
      <c r="A86" s="6">
        <v>82</v>
      </c>
      <c r="B86" s="6">
        <v>197</v>
      </c>
      <c r="C86" s="6">
        <v>1560</v>
      </c>
      <c r="D86" s="6">
        <v>351</v>
      </c>
      <c r="E86" s="33" t="s">
        <v>307</v>
      </c>
      <c r="F86" s="33" t="s">
        <v>307</v>
      </c>
      <c r="G86" s="33" t="s">
        <v>307</v>
      </c>
      <c r="H86" s="33" t="s">
        <v>307</v>
      </c>
      <c r="I86" s="33" t="s">
        <v>307</v>
      </c>
      <c r="J86" s="33" t="s">
        <v>307</v>
      </c>
      <c r="K86" s="33" t="s">
        <v>307</v>
      </c>
      <c r="L86" s="33" t="s">
        <v>307</v>
      </c>
      <c r="M86" s="33" t="s">
        <v>307</v>
      </c>
      <c r="N86" s="148" t="s">
        <v>37</v>
      </c>
      <c r="O86" s="33" t="s">
        <v>37</v>
      </c>
      <c r="P86" s="33" t="s">
        <v>37</v>
      </c>
      <c r="Q86" s="33" t="s">
        <v>37</v>
      </c>
      <c r="R86" s="33" t="s">
        <v>37</v>
      </c>
      <c r="S86" s="33" t="s">
        <v>37</v>
      </c>
      <c r="T86" s="33" t="s">
        <v>37</v>
      </c>
      <c r="U86" s="33" t="s">
        <v>37</v>
      </c>
      <c r="V86" s="33" t="s">
        <v>37</v>
      </c>
      <c r="W86" s="33" t="s">
        <v>37</v>
      </c>
      <c r="X86" s="33" t="s">
        <v>37</v>
      </c>
      <c r="Y86" s="33" t="s">
        <v>37</v>
      </c>
      <c r="Z86" s="33" t="s">
        <v>37</v>
      </c>
      <c r="AA86" s="33" t="s">
        <v>37</v>
      </c>
      <c r="AB86" s="33" t="s">
        <v>37</v>
      </c>
      <c r="AC86" s="33" t="s">
        <v>37</v>
      </c>
      <c r="AD86" s="33" t="s">
        <v>37</v>
      </c>
      <c r="AE86" s="33" t="s">
        <v>37</v>
      </c>
      <c r="AF86" s="6">
        <v>614</v>
      </c>
      <c r="AG86" s="6"/>
      <c r="AH86" s="35">
        <f t="shared" si="26"/>
        <v>417</v>
      </c>
      <c r="AI86" s="6">
        <v>992</v>
      </c>
      <c r="AJ86" s="6"/>
      <c r="AK86" s="35">
        <f t="shared" si="27"/>
        <v>378</v>
      </c>
      <c r="AL86" s="35">
        <v>1369</v>
      </c>
      <c r="AM86" s="35"/>
      <c r="AN86" s="35">
        <f t="shared" si="28"/>
        <v>377</v>
      </c>
      <c r="AO86" s="6">
        <v>191</v>
      </c>
      <c r="AP86" s="6">
        <v>1560</v>
      </c>
      <c r="AQ86" s="35">
        <f t="shared" si="29"/>
        <v>382</v>
      </c>
      <c r="AR86" s="6">
        <v>571</v>
      </c>
      <c r="AS86" s="6"/>
      <c r="AT86" s="34">
        <f t="shared" si="30"/>
        <v>380</v>
      </c>
      <c r="AU86" s="35">
        <v>935</v>
      </c>
      <c r="AV86" s="35"/>
      <c r="AW86" s="35">
        <f t="shared" si="31"/>
        <v>364</v>
      </c>
      <c r="AX86" s="6"/>
      <c r="AY86" s="6"/>
      <c r="AZ86" s="35"/>
      <c r="BA86" s="6">
        <v>1325</v>
      </c>
      <c r="BB86" s="6"/>
      <c r="BC86" s="35">
        <f t="shared" si="32"/>
        <v>390</v>
      </c>
      <c r="BD86" s="35">
        <v>0</v>
      </c>
      <c r="BE86" s="35">
        <v>1619</v>
      </c>
      <c r="BF86" s="35">
        <f t="shared" si="33"/>
        <v>294</v>
      </c>
      <c r="BG86" s="6">
        <v>376</v>
      </c>
      <c r="BH86" s="6"/>
      <c r="BI86" s="35">
        <f t="shared" si="34"/>
        <v>376</v>
      </c>
      <c r="BJ86" s="6">
        <v>764</v>
      </c>
      <c r="BK86" s="6"/>
      <c r="BL86" s="35">
        <f t="shared" si="35"/>
        <v>388</v>
      </c>
      <c r="BM86" s="6">
        <v>1144</v>
      </c>
      <c r="BN86" s="6"/>
      <c r="BO86" s="6">
        <f t="shared" si="36"/>
        <v>380</v>
      </c>
      <c r="BP86" s="6">
        <v>1515</v>
      </c>
      <c r="BQ86" s="6"/>
      <c r="BR86" s="6">
        <f t="shared" si="37"/>
        <v>371</v>
      </c>
      <c r="BS86" s="6"/>
      <c r="BT86" s="6"/>
      <c r="BU86" s="35"/>
      <c r="BV86" s="6">
        <v>345</v>
      </c>
      <c r="BW86" s="6">
        <v>1560</v>
      </c>
      <c r="BX86" s="6">
        <f t="shared" si="38"/>
        <v>390</v>
      </c>
      <c r="BY86" s="6">
        <v>724</v>
      </c>
      <c r="BZ86" s="6"/>
      <c r="CA86" s="35">
        <f t="shared" si="39"/>
        <v>379</v>
      </c>
      <c r="CB86" s="6">
        <v>1102</v>
      </c>
      <c r="CC86" s="6"/>
      <c r="CD86" s="6">
        <f t="shared" si="40"/>
        <v>378</v>
      </c>
      <c r="CE86" s="6">
        <v>1482</v>
      </c>
      <c r="CF86" s="6"/>
      <c r="CG86" s="6">
        <f t="shared" si="41"/>
        <v>380</v>
      </c>
      <c r="CH86" s="6">
        <v>297</v>
      </c>
      <c r="CI86" s="6">
        <v>1561</v>
      </c>
      <c r="CJ86" s="6">
        <f t="shared" si="42"/>
        <v>376</v>
      </c>
      <c r="CK86" s="6">
        <v>667</v>
      </c>
      <c r="CL86" s="6"/>
      <c r="CM86" s="6">
        <f t="shared" si="43"/>
        <v>370</v>
      </c>
      <c r="CN86" s="6"/>
      <c r="CO86" s="6"/>
      <c r="CP86" s="6"/>
      <c r="CQ86" s="6">
        <v>1051</v>
      </c>
      <c r="CR86" s="6"/>
      <c r="CS86" s="6">
        <f t="shared" si="44"/>
        <v>384</v>
      </c>
      <c r="CT86" s="6">
        <v>1429</v>
      </c>
      <c r="CU86" s="6"/>
      <c r="CV86" s="6">
        <f t="shared" si="45"/>
        <v>378</v>
      </c>
      <c r="CW86" s="6">
        <v>250</v>
      </c>
      <c r="CX86" s="6">
        <v>1560</v>
      </c>
      <c r="CY86" s="6">
        <f t="shared" si="46"/>
        <v>381</v>
      </c>
      <c r="CZ86" s="6">
        <v>632</v>
      </c>
      <c r="DA86" s="6"/>
      <c r="DB86" s="6">
        <f t="shared" si="47"/>
        <v>382</v>
      </c>
      <c r="DC86" s="6">
        <v>1010</v>
      </c>
      <c r="DD86" s="6"/>
      <c r="DE86" s="6">
        <f t="shared" si="48"/>
        <v>378</v>
      </c>
      <c r="DF86" s="6">
        <v>1374</v>
      </c>
      <c r="DG86" s="6"/>
      <c r="DH86" s="6">
        <f t="shared" si="49"/>
        <v>364</v>
      </c>
      <c r="DI86" s="6"/>
      <c r="DJ86" s="6"/>
      <c r="DK86" s="6"/>
      <c r="DL86" s="6">
        <v>194</v>
      </c>
      <c r="DM86" s="6">
        <v>1560</v>
      </c>
      <c r="DN86" s="6">
        <f t="shared" si="50"/>
        <v>380</v>
      </c>
      <c r="DO86" s="6">
        <v>549</v>
      </c>
      <c r="DP86" s="6"/>
      <c r="DQ86" s="6">
        <f t="shared" si="51"/>
        <v>355</v>
      </c>
    </row>
    <row r="87" spans="1:121">
      <c r="A87" s="6">
        <v>83</v>
      </c>
      <c r="B87" s="6">
        <v>1036</v>
      </c>
      <c r="C87" s="6"/>
      <c r="D87" s="6">
        <v>350</v>
      </c>
      <c r="E87" s="33" t="s">
        <v>307</v>
      </c>
      <c r="F87" s="33" t="s">
        <v>307</v>
      </c>
      <c r="G87" s="33" t="s">
        <v>307</v>
      </c>
      <c r="H87" s="33" t="s">
        <v>307</v>
      </c>
      <c r="I87" s="33" t="s">
        <v>307</v>
      </c>
      <c r="J87" s="33" t="s">
        <v>307</v>
      </c>
      <c r="K87" s="33" t="s">
        <v>307</v>
      </c>
      <c r="L87" s="33" t="s">
        <v>307</v>
      </c>
      <c r="M87" s="33" t="s">
        <v>307</v>
      </c>
      <c r="N87" s="33" t="s">
        <v>307</v>
      </c>
      <c r="O87" s="33" t="s">
        <v>307</v>
      </c>
      <c r="P87" s="148" t="s">
        <v>307</v>
      </c>
      <c r="Q87" s="33" t="s">
        <v>307</v>
      </c>
      <c r="R87" s="33" t="s">
        <v>307</v>
      </c>
      <c r="S87" s="33" t="s">
        <v>307</v>
      </c>
      <c r="T87" s="33" t="s">
        <v>307</v>
      </c>
      <c r="U87" s="33" t="s">
        <v>307</v>
      </c>
      <c r="V87" s="33" t="s">
        <v>307</v>
      </c>
      <c r="W87" s="33" t="s">
        <v>307</v>
      </c>
      <c r="X87" s="33" t="s">
        <v>307</v>
      </c>
      <c r="Y87" s="33" t="s">
        <v>307</v>
      </c>
      <c r="Z87" s="33" t="s">
        <v>307</v>
      </c>
      <c r="AA87" s="33" t="s">
        <v>307</v>
      </c>
      <c r="AB87" s="33" t="s">
        <v>307</v>
      </c>
      <c r="AC87" s="33" t="s">
        <v>307</v>
      </c>
      <c r="AD87" s="33" t="s">
        <v>307</v>
      </c>
      <c r="AE87" s="33" t="s">
        <v>307</v>
      </c>
      <c r="AF87" s="6">
        <v>1453</v>
      </c>
      <c r="AG87" s="6"/>
      <c r="AH87" s="35">
        <f t="shared" si="26"/>
        <v>417</v>
      </c>
      <c r="AI87" s="6">
        <v>268</v>
      </c>
      <c r="AJ87" s="6">
        <v>1563</v>
      </c>
      <c r="AK87" s="35">
        <f t="shared" si="27"/>
        <v>378</v>
      </c>
      <c r="AL87" s="35">
        <v>652</v>
      </c>
      <c r="AM87" s="35"/>
      <c r="AN87" s="35">
        <f t="shared" si="28"/>
        <v>384</v>
      </c>
      <c r="AO87" s="35">
        <v>1034</v>
      </c>
      <c r="AP87" s="6"/>
      <c r="AQ87" s="35">
        <f t="shared" si="29"/>
        <v>382</v>
      </c>
      <c r="AR87" s="6">
        <v>1412</v>
      </c>
      <c r="AS87" s="6"/>
      <c r="AT87" s="34">
        <f t="shared" si="30"/>
        <v>378</v>
      </c>
      <c r="AU87" s="35">
        <v>201</v>
      </c>
      <c r="AV87" s="35">
        <v>1560</v>
      </c>
      <c r="AW87" s="35">
        <f t="shared" si="31"/>
        <v>349</v>
      </c>
      <c r="AX87" s="6"/>
      <c r="AY87" s="6"/>
      <c r="AZ87" s="35"/>
      <c r="BA87" s="6">
        <v>588</v>
      </c>
      <c r="BB87" s="6"/>
      <c r="BC87" s="35">
        <f t="shared" si="32"/>
        <v>387</v>
      </c>
      <c r="BD87" s="35">
        <v>957</v>
      </c>
      <c r="BE87" s="35"/>
      <c r="BF87" s="35">
        <f t="shared" si="33"/>
        <v>369</v>
      </c>
      <c r="BG87" s="6">
        <v>1342</v>
      </c>
      <c r="BH87" s="6"/>
      <c r="BI87" s="35">
        <f t="shared" si="34"/>
        <v>385</v>
      </c>
      <c r="BJ87" s="6">
        <v>0</v>
      </c>
      <c r="BK87" s="6">
        <v>1587</v>
      </c>
      <c r="BL87" s="35">
        <f t="shared" si="35"/>
        <v>245</v>
      </c>
      <c r="BM87" s="6">
        <v>356</v>
      </c>
      <c r="BN87" s="6"/>
      <c r="BO87" s="6">
        <f t="shared" si="36"/>
        <v>356</v>
      </c>
      <c r="BP87" s="6">
        <v>720</v>
      </c>
      <c r="BQ87" s="6"/>
      <c r="BR87" s="6">
        <f t="shared" si="37"/>
        <v>364</v>
      </c>
      <c r="BS87" s="6"/>
      <c r="BT87" s="6"/>
      <c r="BU87" s="35"/>
      <c r="BV87" s="6">
        <v>1109</v>
      </c>
      <c r="BW87" s="6"/>
      <c r="BX87" s="6">
        <f t="shared" si="38"/>
        <v>389</v>
      </c>
      <c r="BY87" s="6">
        <v>1492</v>
      </c>
      <c r="BZ87" s="6"/>
      <c r="CA87" s="35">
        <f t="shared" si="39"/>
        <v>383</v>
      </c>
      <c r="CB87" s="6">
        <v>0</v>
      </c>
      <c r="CC87" s="6">
        <v>1820</v>
      </c>
      <c r="CD87" s="6">
        <f t="shared" si="40"/>
        <v>328</v>
      </c>
      <c r="CE87" s="6">
        <v>0</v>
      </c>
      <c r="CF87" s="6"/>
      <c r="CG87" s="6">
        <f t="shared" si="41"/>
        <v>0</v>
      </c>
      <c r="CH87" s="6">
        <v>0</v>
      </c>
      <c r="CI87" s="6"/>
      <c r="CJ87" s="6">
        <f t="shared" si="42"/>
        <v>0</v>
      </c>
      <c r="CK87" s="6">
        <v>8</v>
      </c>
      <c r="CL87" s="6"/>
      <c r="CM87" s="6">
        <f t="shared" si="43"/>
        <v>8</v>
      </c>
      <c r="CN87" s="6"/>
      <c r="CO87" s="6"/>
      <c r="CP87" s="6"/>
      <c r="CQ87" s="6">
        <v>399</v>
      </c>
      <c r="CR87" s="6"/>
      <c r="CS87" s="6">
        <f t="shared" si="44"/>
        <v>391</v>
      </c>
      <c r="CT87" s="6">
        <v>778</v>
      </c>
      <c r="CU87" s="6"/>
      <c r="CV87" s="6">
        <f t="shared" si="45"/>
        <v>379</v>
      </c>
      <c r="CW87" s="6">
        <v>1164</v>
      </c>
      <c r="CX87" s="6"/>
      <c r="CY87" s="6">
        <f t="shared" si="46"/>
        <v>386</v>
      </c>
      <c r="CZ87" s="6">
        <v>1550</v>
      </c>
      <c r="DA87" s="6"/>
      <c r="DB87" s="6">
        <f t="shared" si="47"/>
        <v>386</v>
      </c>
      <c r="DC87" s="6">
        <v>373</v>
      </c>
      <c r="DD87" s="6">
        <v>1560</v>
      </c>
      <c r="DE87" s="6">
        <f t="shared" si="48"/>
        <v>383</v>
      </c>
      <c r="DF87" s="6">
        <v>743</v>
      </c>
      <c r="DG87" s="6"/>
      <c r="DH87" s="6">
        <f t="shared" si="49"/>
        <v>370</v>
      </c>
      <c r="DI87" s="6"/>
      <c r="DJ87" s="6"/>
      <c r="DK87" s="6"/>
      <c r="DL87" s="6">
        <v>1133</v>
      </c>
      <c r="DM87" s="6"/>
      <c r="DN87" s="6">
        <f t="shared" si="50"/>
        <v>390</v>
      </c>
      <c r="DO87" s="6">
        <v>1497</v>
      </c>
      <c r="DP87" s="6"/>
      <c r="DQ87" s="6">
        <f t="shared" si="51"/>
        <v>364</v>
      </c>
    </row>
    <row r="88" spans="1:121">
      <c r="A88" s="6">
        <v>84</v>
      </c>
      <c r="B88" s="6">
        <v>1046</v>
      </c>
      <c r="C88" s="6"/>
      <c r="D88" s="6">
        <v>347</v>
      </c>
      <c r="E88" s="33" t="s">
        <v>37</v>
      </c>
      <c r="F88" s="33" t="s">
        <v>37</v>
      </c>
      <c r="G88" s="33" t="s">
        <v>37</v>
      </c>
      <c r="H88" s="33" t="s">
        <v>37</v>
      </c>
      <c r="I88" s="33" t="s">
        <v>37</v>
      </c>
      <c r="J88" s="33" t="s">
        <v>37</v>
      </c>
      <c r="K88" s="33" t="s">
        <v>37</v>
      </c>
      <c r="L88" s="33" t="s">
        <v>37</v>
      </c>
      <c r="M88" s="33" t="s">
        <v>37</v>
      </c>
      <c r="N88" s="33" t="s">
        <v>37</v>
      </c>
      <c r="O88" s="33" t="s">
        <v>37</v>
      </c>
      <c r="P88" s="33" t="s">
        <v>37</v>
      </c>
      <c r="Q88" s="33" t="s">
        <v>37</v>
      </c>
      <c r="R88" s="33" t="s">
        <v>37</v>
      </c>
      <c r="S88" s="33" t="s">
        <v>37</v>
      </c>
      <c r="T88" s="33" t="s">
        <v>37</v>
      </c>
      <c r="U88" s="33" t="s">
        <v>37</v>
      </c>
      <c r="V88" s="33" t="s">
        <v>37</v>
      </c>
      <c r="W88" s="33" t="s">
        <v>37</v>
      </c>
      <c r="X88" s="148" t="s">
        <v>37</v>
      </c>
      <c r="Y88" s="33" t="s">
        <v>37</v>
      </c>
      <c r="Z88" s="33" t="s">
        <v>37</v>
      </c>
      <c r="AA88" s="33" t="s">
        <v>37</v>
      </c>
      <c r="AB88" s="33" t="s">
        <v>37</v>
      </c>
      <c r="AC88" s="33" t="s">
        <v>37</v>
      </c>
      <c r="AD88" s="33" t="s">
        <v>37</v>
      </c>
      <c r="AE88" s="33" t="s">
        <v>37</v>
      </c>
      <c r="AF88" s="35">
        <v>1453</v>
      </c>
      <c r="AG88" s="35"/>
      <c r="AH88" s="35">
        <f t="shared" si="26"/>
        <v>407</v>
      </c>
      <c r="AI88" s="35">
        <v>262</v>
      </c>
      <c r="AJ88" s="35">
        <v>1560</v>
      </c>
      <c r="AK88" s="35">
        <f t="shared" si="27"/>
        <v>369</v>
      </c>
      <c r="AL88" s="35">
        <v>624</v>
      </c>
      <c r="AM88" s="35"/>
      <c r="AN88" s="35">
        <f t="shared" si="28"/>
        <v>362</v>
      </c>
      <c r="AO88" s="35">
        <v>994</v>
      </c>
      <c r="AP88" s="35"/>
      <c r="AQ88" s="35">
        <f t="shared" si="29"/>
        <v>370</v>
      </c>
      <c r="AR88" s="6">
        <v>1374</v>
      </c>
      <c r="AS88" s="6"/>
      <c r="AT88" s="34">
        <f t="shared" si="30"/>
        <v>380</v>
      </c>
      <c r="AU88" s="35">
        <v>167</v>
      </c>
      <c r="AV88" s="35">
        <v>1560</v>
      </c>
      <c r="AW88" s="35">
        <f t="shared" si="31"/>
        <v>353</v>
      </c>
      <c r="AX88" s="6"/>
      <c r="AY88" s="6"/>
      <c r="AZ88" s="35"/>
      <c r="BA88" s="6">
        <v>551</v>
      </c>
      <c r="BB88" s="6"/>
      <c r="BC88" s="35">
        <f t="shared" si="32"/>
        <v>384</v>
      </c>
      <c r="BD88" s="6">
        <v>931</v>
      </c>
      <c r="BE88" s="6"/>
      <c r="BF88" s="35">
        <f t="shared" si="33"/>
        <v>380</v>
      </c>
      <c r="BG88" s="6">
        <v>1312</v>
      </c>
      <c r="BH88" s="6"/>
      <c r="BI88" s="35">
        <f t="shared" si="34"/>
        <v>381</v>
      </c>
      <c r="BJ88" s="6">
        <v>124</v>
      </c>
      <c r="BK88" s="6">
        <v>1560</v>
      </c>
      <c r="BL88" s="35">
        <f t="shared" si="35"/>
        <v>372</v>
      </c>
      <c r="BM88" s="6">
        <v>504</v>
      </c>
      <c r="BN88" s="35"/>
      <c r="BO88" s="6">
        <f t="shared" si="36"/>
        <v>380</v>
      </c>
      <c r="BP88" s="6">
        <v>866</v>
      </c>
      <c r="BQ88" s="6"/>
      <c r="BR88" s="6">
        <f t="shared" si="37"/>
        <v>362</v>
      </c>
      <c r="BS88" s="6"/>
      <c r="BT88" s="6"/>
      <c r="BU88" s="35"/>
      <c r="BV88" s="6">
        <v>1251</v>
      </c>
      <c r="BW88" s="6"/>
      <c r="BX88" s="6">
        <f t="shared" si="38"/>
        <v>385</v>
      </c>
      <c r="BY88" s="6">
        <v>59</v>
      </c>
      <c r="BZ88" s="6">
        <v>1560</v>
      </c>
      <c r="CA88" s="35">
        <f t="shared" si="39"/>
        <v>368</v>
      </c>
      <c r="CB88" s="6">
        <v>436</v>
      </c>
      <c r="CC88" s="35"/>
      <c r="CD88" s="6">
        <f t="shared" si="40"/>
        <v>377</v>
      </c>
      <c r="CE88" s="6">
        <v>806</v>
      </c>
      <c r="CF88" s="6"/>
      <c r="CG88" s="6">
        <f t="shared" si="41"/>
        <v>370</v>
      </c>
      <c r="CH88" s="6">
        <v>1176</v>
      </c>
      <c r="CI88" s="35"/>
      <c r="CJ88" s="6">
        <f t="shared" si="42"/>
        <v>370</v>
      </c>
      <c r="CK88" s="6">
        <v>1537</v>
      </c>
      <c r="CL88" s="6"/>
      <c r="CM88" s="6">
        <f t="shared" si="43"/>
        <v>361</v>
      </c>
      <c r="CN88" s="6"/>
      <c r="CO88" s="6"/>
      <c r="CP88" s="6"/>
      <c r="CQ88" s="6">
        <v>294</v>
      </c>
      <c r="CR88" s="6">
        <v>1610</v>
      </c>
      <c r="CS88" s="6">
        <f t="shared" si="44"/>
        <v>367</v>
      </c>
      <c r="CT88" s="6">
        <v>666</v>
      </c>
      <c r="CU88" s="6"/>
      <c r="CV88" s="6">
        <f t="shared" si="45"/>
        <v>372</v>
      </c>
      <c r="CW88" s="6">
        <v>1041</v>
      </c>
      <c r="CX88" s="6"/>
      <c r="CY88" s="6">
        <f t="shared" si="46"/>
        <v>375</v>
      </c>
      <c r="CZ88" s="6">
        <v>1413</v>
      </c>
      <c r="DA88" s="6"/>
      <c r="DB88" s="6">
        <f t="shared" si="47"/>
        <v>372</v>
      </c>
      <c r="DC88" s="6">
        <v>223</v>
      </c>
      <c r="DD88" s="6">
        <v>1560</v>
      </c>
      <c r="DE88" s="6">
        <f t="shared" si="48"/>
        <v>370</v>
      </c>
      <c r="DF88" s="6">
        <v>577</v>
      </c>
      <c r="DG88" s="6"/>
      <c r="DH88" s="6">
        <f t="shared" si="49"/>
        <v>354</v>
      </c>
      <c r="DI88" s="6"/>
      <c r="DJ88" s="6"/>
      <c r="DK88" s="6"/>
      <c r="DL88" s="6">
        <v>954</v>
      </c>
      <c r="DM88" s="6"/>
      <c r="DN88" s="6">
        <f t="shared" si="50"/>
        <v>377</v>
      </c>
      <c r="DO88" s="6">
        <v>1296</v>
      </c>
      <c r="DP88" s="6"/>
      <c r="DQ88" s="6">
        <f t="shared" si="51"/>
        <v>342</v>
      </c>
    </row>
    <row r="89" spans="1:121">
      <c r="A89" s="6">
        <v>85</v>
      </c>
      <c r="B89" s="6">
        <v>1034</v>
      </c>
      <c r="C89" s="6"/>
      <c r="D89" s="6">
        <v>352</v>
      </c>
      <c r="E89" s="33" t="s">
        <v>307</v>
      </c>
      <c r="F89" s="33" t="s">
        <v>307</v>
      </c>
      <c r="G89" s="33" t="s">
        <v>307</v>
      </c>
      <c r="H89" s="33" t="s">
        <v>307</v>
      </c>
      <c r="I89" s="33" t="s">
        <v>307</v>
      </c>
      <c r="J89" s="33" t="s">
        <v>307</v>
      </c>
      <c r="K89" s="33" t="s">
        <v>307</v>
      </c>
      <c r="L89" s="33" t="s">
        <v>307</v>
      </c>
      <c r="M89" s="33" t="s">
        <v>307</v>
      </c>
      <c r="N89" s="33" t="s">
        <v>307</v>
      </c>
      <c r="O89" s="33" t="s">
        <v>307</v>
      </c>
      <c r="P89" s="148" t="s">
        <v>307</v>
      </c>
      <c r="Q89" s="33" t="s">
        <v>307</v>
      </c>
      <c r="R89" s="33" t="s">
        <v>307</v>
      </c>
      <c r="S89" s="33" t="s">
        <v>307</v>
      </c>
      <c r="T89" s="33" t="s">
        <v>307</v>
      </c>
      <c r="U89" s="33" t="s">
        <v>307</v>
      </c>
      <c r="V89" s="33" t="s">
        <v>307</v>
      </c>
      <c r="W89" s="33" t="s">
        <v>307</v>
      </c>
      <c r="X89" s="33" t="s">
        <v>307</v>
      </c>
      <c r="Y89" s="33" t="s">
        <v>307</v>
      </c>
      <c r="Z89" s="33" t="s">
        <v>307</v>
      </c>
      <c r="AA89" s="33" t="s">
        <v>307</v>
      </c>
      <c r="AB89" s="33" t="s">
        <v>307</v>
      </c>
      <c r="AC89" s="33" t="s">
        <v>307</v>
      </c>
      <c r="AD89" s="33" t="s">
        <v>307</v>
      </c>
      <c r="AE89" s="33" t="s">
        <v>307</v>
      </c>
      <c r="AF89" s="6">
        <v>1448</v>
      </c>
      <c r="AG89" s="6"/>
      <c r="AH89" s="35">
        <f t="shared" si="26"/>
        <v>414</v>
      </c>
      <c r="AI89" s="6">
        <v>256</v>
      </c>
      <c r="AJ89" s="6">
        <v>1563</v>
      </c>
      <c r="AK89" s="35">
        <f t="shared" si="27"/>
        <v>371</v>
      </c>
      <c r="AL89" s="35">
        <v>640</v>
      </c>
      <c r="AM89" s="35"/>
      <c r="AN89" s="35">
        <f t="shared" si="28"/>
        <v>384</v>
      </c>
      <c r="AO89" s="6">
        <v>1029</v>
      </c>
      <c r="AP89" s="6"/>
      <c r="AQ89" s="35">
        <f t="shared" si="29"/>
        <v>389</v>
      </c>
      <c r="AR89" s="6">
        <v>1422</v>
      </c>
      <c r="AS89" s="6"/>
      <c r="AT89" s="34">
        <f t="shared" si="30"/>
        <v>393</v>
      </c>
      <c r="AU89" s="35">
        <v>301</v>
      </c>
      <c r="AV89" s="35">
        <v>1484</v>
      </c>
      <c r="AW89" s="35">
        <f t="shared" si="31"/>
        <v>363</v>
      </c>
      <c r="AX89" s="6"/>
      <c r="AY89" s="6"/>
      <c r="AZ89" s="35"/>
      <c r="BA89" s="6">
        <v>693</v>
      </c>
      <c r="BB89" s="6"/>
      <c r="BC89" s="35">
        <f t="shared" si="32"/>
        <v>392</v>
      </c>
      <c r="BD89" s="35">
        <v>1077</v>
      </c>
      <c r="BE89" s="35"/>
      <c r="BF89" s="35">
        <f t="shared" si="33"/>
        <v>384</v>
      </c>
      <c r="BG89" s="6">
        <v>1467</v>
      </c>
      <c r="BH89" s="6"/>
      <c r="BI89" s="35">
        <f t="shared" si="34"/>
        <v>390</v>
      </c>
      <c r="BJ89" s="6">
        <v>0</v>
      </c>
      <c r="BK89" s="6">
        <v>1694</v>
      </c>
      <c r="BL89" s="35">
        <f t="shared" si="35"/>
        <v>227</v>
      </c>
      <c r="BM89" s="6">
        <v>370</v>
      </c>
      <c r="BN89" s="6"/>
      <c r="BO89" s="6">
        <f t="shared" si="36"/>
        <v>370</v>
      </c>
      <c r="BP89" s="6">
        <v>735</v>
      </c>
      <c r="BQ89" s="6"/>
      <c r="BR89" s="6">
        <f t="shared" si="37"/>
        <v>365</v>
      </c>
      <c r="BS89" s="6"/>
      <c r="BT89" s="6"/>
      <c r="BU89" s="35"/>
      <c r="BV89" s="6">
        <v>1130</v>
      </c>
      <c r="BW89" s="6"/>
      <c r="BX89" s="6">
        <f t="shared" si="38"/>
        <v>395</v>
      </c>
      <c r="BY89" s="6">
        <v>1517</v>
      </c>
      <c r="BZ89" s="6"/>
      <c r="CA89" s="35">
        <f t="shared" si="39"/>
        <v>387</v>
      </c>
      <c r="CB89" s="35">
        <v>0</v>
      </c>
      <c r="CC89" s="6">
        <v>1820</v>
      </c>
      <c r="CD89" s="6">
        <f t="shared" si="40"/>
        <v>303</v>
      </c>
      <c r="CE89" s="6">
        <v>0</v>
      </c>
      <c r="CF89" s="6"/>
      <c r="CG89" s="6">
        <f t="shared" si="41"/>
        <v>0</v>
      </c>
      <c r="CH89" s="6">
        <v>0</v>
      </c>
      <c r="CI89" s="6"/>
      <c r="CJ89" s="6">
        <f t="shared" si="42"/>
        <v>0</v>
      </c>
      <c r="CK89" s="6">
        <v>11</v>
      </c>
      <c r="CL89" s="6"/>
      <c r="CM89" s="6">
        <f t="shared" si="43"/>
        <v>11</v>
      </c>
      <c r="CN89" s="6"/>
      <c r="CO89" s="6"/>
      <c r="CP89" s="6"/>
      <c r="CQ89" s="6">
        <v>408</v>
      </c>
      <c r="CR89" s="6"/>
      <c r="CS89" s="6">
        <f t="shared" si="44"/>
        <v>397</v>
      </c>
      <c r="CT89" s="6">
        <v>789</v>
      </c>
      <c r="CU89" s="6"/>
      <c r="CV89" s="6">
        <f t="shared" si="45"/>
        <v>381</v>
      </c>
      <c r="CW89" s="6">
        <v>1183</v>
      </c>
      <c r="CX89" s="6"/>
      <c r="CY89" s="6">
        <f t="shared" si="46"/>
        <v>394</v>
      </c>
      <c r="CZ89" s="6">
        <v>139</v>
      </c>
      <c r="DA89" s="6">
        <v>1433</v>
      </c>
      <c r="DB89" s="6">
        <f t="shared" si="47"/>
        <v>389</v>
      </c>
      <c r="DC89" s="6">
        <v>527</v>
      </c>
      <c r="DD89" s="6"/>
      <c r="DE89" s="6">
        <f t="shared" si="48"/>
        <v>388</v>
      </c>
      <c r="DF89" s="6">
        <v>904</v>
      </c>
      <c r="DG89" s="6"/>
      <c r="DH89" s="6">
        <f t="shared" si="49"/>
        <v>377</v>
      </c>
      <c r="DI89" s="6"/>
      <c r="DJ89" s="6"/>
      <c r="DK89" s="6"/>
      <c r="DL89" s="6">
        <v>1299</v>
      </c>
      <c r="DM89" s="6"/>
      <c r="DN89" s="6">
        <f t="shared" si="50"/>
        <v>395</v>
      </c>
      <c r="DO89" s="6">
        <v>0</v>
      </c>
      <c r="DP89" s="6">
        <v>1561</v>
      </c>
      <c r="DQ89" s="6">
        <f t="shared" si="51"/>
        <v>262</v>
      </c>
    </row>
    <row r="90" spans="1:121">
      <c r="A90" s="6">
        <v>86</v>
      </c>
      <c r="B90" s="6">
        <v>446</v>
      </c>
      <c r="C90" s="6"/>
      <c r="D90" s="6">
        <v>343</v>
      </c>
      <c r="E90" s="33" t="s">
        <v>307</v>
      </c>
      <c r="F90" s="33" t="s">
        <v>307</v>
      </c>
      <c r="G90" s="148" t="s">
        <v>37</v>
      </c>
      <c r="H90" s="33" t="s">
        <v>37</v>
      </c>
      <c r="I90" s="33" t="s">
        <v>37</v>
      </c>
      <c r="J90" s="33" t="s">
        <v>37</v>
      </c>
      <c r="K90" s="33" t="s">
        <v>37</v>
      </c>
      <c r="L90" s="33" t="s">
        <v>37</v>
      </c>
      <c r="M90" s="33" t="s">
        <v>37</v>
      </c>
      <c r="N90" s="33" t="s">
        <v>37</v>
      </c>
      <c r="O90" s="33" t="s">
        <v>37</v>
      </c>
      <c r="P90" s="33" t="s">
        <v>37</v>
      </c>
      <c r="Q90" s="33" t="s">
        <v>37</v>
      </c>
      <c r="R90" s="33" t="s">
        <v>37</v>
      </c>
      <c r="S90" s="33" t="s">
        <v>37</v>
      </c>
      <c r="T90" s="33" t="s">
        <v>37</v>
      </c>
      <c r="U90" s="33" t="s">
        <v>37</v>
      </c>
      <c r="V90" s="33" t="s">
        <v>37</v>
      </c>
      <c r="W90" s="33" t="s">
        <v>37</v>
      </c>
      <c r="X90" s="33" t="s">
        <v>37</v>
      </c>
      <c r="Y90" s="33" t="s">
        <v>37</v>
      </c>
      <c r="Z90" s="33" t="s">
        <v>37</v>
      </c>
      <c r="AA90" s="33" t="s">
        <v>37</v>
      </c>
      <c r="AB90" s="148" t="s">
        <v>37</v>
      </c>
      <c r="AC90" s="33" t="s">
        <v>37</v>
      </c>
      <c r="AD90" s="33" t="s">
        <v>37</v>
      </c>
      <c r="AE90" s="33" t="s">
        <v>37</v>
      </c>
      <c r="AF90" s="6">
        <v>854</v>
      </c>
      <c r="AG90" s="6"/>
      <c r="AH90" s="35">
        <f t="shared" si="26"/>
        <v>408</v>
      </c>
      <c r="AI90" s="6">
        <v>343</v>
      </c>
      <c r="AJ90" s="6">
        <v>859</v>
      </c>
      <c r="AK90" s="35">
        <f t="shared" si="27"/>
        <v>348</v>
      </c>
      <c r="AL90" s="35">
        <v>718</v>
      </c>
      <c r="AM90" s="35"/>
      <c r="AN90" s="35">
        <f t="shared" si="28"/>
        <v>375</v>
      </c>
      <c r="AO90" s="6">
        <v>1077</v>
      </c>
      <c r="AP90" s="6"/>
      <c r="AQ90" s="35">
        <f t="shared" si="29"/>
        <v>359</v>
      </c>
      <c r="AR90" s="6">
        <v>1449</v>
      </c>
      <c r="AS90" s="6"/>
      <c r="AT90" s="34">
        <f t="shared" si="30"/>
        <v>372</v>
      </c>
      <c r="AU90" s="35">
        <v>276</v>
      </c>
      <c r="AV90" s="35">
        <v>1509</v>
      </c>
      <c r="AW90" s="35">
        <f t="shared" si="31"/>
        <v>336</v>
      </c>
      <c r="AX90" s="6"/>
      <c r="AY90" s="6"/>
      <c r="AZ90" s="35"/>
      <c r="BA90" s="6">
        <v>656</v>
      </c>
      <c r="BB90" s="6"/>
      <c r="BC90" s="35">
        <f t="shared" si="32"/>
        <v>380</v>
      </c>
      <c r="BD90" s="35">
        <v>1030</v>
      </c>
      <c r="BE90" s="35"/>
      <c r="BF90" s="35">
        <f t="shared" si="33"/>
        <v>374</v>
      </c>
      <c r="BG90" s="6">
        <v>1406</v>
      </c>
      <c r="BH90" s="6"/>
      <c r="BI90" s="35">
        <f t="shared" si="34"/>
        <v>376</v>
      </c>
      <c r="BJ90" s="6">
        <v>228</v>
      </c>
      <c r="BK90" s="6">
        <v>1560</v>
      </c>
      <c r="BL90" s="35">
        <f t="shared" si="35"/>
        <v>382</v>
      </c>
      <c r="BM90" s="6">
        <v>600</v>
      </c>
      <c r="BN90" s="6"/>
      <c r="BO90" s="6">
        <f t="shared" si="36"/>
        <v>372</v>
      </c>
      <c r="BP90" s="6">
        <v>966</v>
      </c>
      <c r="BQ90" s="6"/>
      <c r="BR90" s="6">
        <f t="shared" si="37"/>
        <v>366</v>
      </c>
      <c r="BS90" s="6"/>
      <c r="BT90" s="6"/>
      <c r="BU90" s="35"/>
      <c r="BV90" s="6">
        <v>1350</v>
      </c>
      <c r="BW90" s="6"/>
      <c r="BX90" s="6">
        <f t="shared" si="38"/>
        <v>384</v>
      </c>
      <c r="BY90" s="6">
        <v>173</v>
      </c>
      <c r="BZ90" s="6">
        <v>1560</v>
      </c>
      <c r="CA90" s="35">
        <f t="shared" si="39"/>
        <v>383</v>
      </c>
      <c r="CB90" s="6">
        <v>562</v>
      </c>
      <c r="CC90" s="6"/>
      <c r="CD90" s="6">
        <f t="shared" si="40"/>
        <v>389</v>
      </c>
      <c r="CE90" s="6">
        <v>950</v>
      </c>
      <c r="CF90" s="6"/>
      <c r="CG90" s="6">
        <f t="shared" si="41"/>
        <v>388</v>
      </c>
      <c r="CH90" s="6">
        <v>265</v>
      </c>
      <c r="CI90" s="6">
        <v>1067</v>
      </c>
      <c r="CJ90" s="6">
        <f t="shared" si="42"/>
        <v>382</v>
      </c>
      <c r="CK90" s="6">
        <v>644</v>
      </c>
      <c r="CL90" s="6"/>
      <c r="CM90" s="6">
        <f t="shared" si="43"/>
        <v>379</v>
      </c>
      <c r="CN90" s="6"/>
      <c r="CO90" s="6"/>
      <c r="CP90" s="6"/>
      <c r="CQ90" s="6">
        <v>1037</v>
      </c>
      <c r="CR90" s="6"/>
      <c r="CS90" s="6">
        <f t="shared" si="44"/>
        <v>393</v>
      </c>
      <c r="CT90" s="6">
        <v>1419</v>
      </c>
      <c r="CU90" s="6"/>
      <c r="CV90" s="6">
        <f t="shared" si="45"/>
        <v>382</v>
      </c>
      <c r="CW90" s="6">
        <v>243</v>
      </c>
      <c r="CX90" s="6">
        <v>1560</v>
      </c>
      <c r="CY90" s="6">
        <f t="shared" si="46"/>
        <v>384</v>
      </c>
      <c r="CZ90" s="6">
        <v>0</v>
      </c>
      <c r="DA90" s="6">
        <v>587</v>
      </c>
      <c r="DB90" s="6">
        <f t="shared" si="47"/>
        <v>344</v>
      </c>
      <c r="DC90" s="6">
        <v>371</v>
      </c>
      <c r="DD90" s="6"/>
      <c r="DE90" s="6">
        <f t="shared" si="48"/>
        <v>371</v>
      </c>
      <c r="DF90" s="6">
        <v>730</v>
      </c>
      <c r="DG90" s="6"/>
      <c r="DH90" s="6">
        <f t="shared" si="49"/>
        <v>359</v>
      </c>
      <c r="DI90" s="6"/>
      <c r="DJ90" s="6"/>
      <c r="DK90" s="6"/>
      <c r="DL90" s="6">
        <v>1111</v>
      </c>
      <c r="DM90" s="6"/>
      <c r="DN90" s="6">
        <f t="shared" si="50"/>
        <v>381</v>
      </c>
      <c r="DO90" s="6">
        <v>206</v>
      </c>
      <c r="DP90" s="6">
        <v>1246</v>
      </c>
      <c r="DQ90" s="6">
        <f t="shared" si="51"/>
        <v>341</v>
      </c>
    </row>
    <row r="91" spans="1:121">
      <c r="A91" s="6">
        <v>87</v>
      </c>
      <c r="B91" s="6">
        <v>985</v>
      </c>
      <c r="C91" s="6"/>
      <c r="D91" s="6">
        <v>354</v>
      </c>
      <c r="E91" s="33" t="s">
        <v>307</v>
      </c>
      <c r="F91" s="33" t="s">
        <v>307</v>
      </c>
      <c r="G91" s="33" t="s">
        <v>307</v>
      </c>
      <c r="H91" s="33" t="s">
        <v>307</v>
      </c>
      <c r="I91" s="33" t="s">
        <v>307</v>
      </c>
      <c r="J91" s="33" t="s">
        <v>307</v>
      </c>
      <c r="K91" s="33" t="s">
        <v>307</v>
      </c>
      <c r="L91" s="33" t="s">
        <v>307</v>
      </c>
      <c r="M91" s="33" t="s">
        <v>307</v>
      </c>
      <c r="N91" s="33" t="s">
        <v>307</v>
      </c>
      <c r="O91" s="33" t="s">
        <v>307</v>
      </c>
      <c r="P91" s="148" t="s">
        <v>307</v>
      </c>
      <c r="Q91" s="33" t="s">
        <v>307</v>
      </c>
      <c r="R91" s="33" t="s">
        <v>307</v>
      </c>
      <c r="S91" s="33" t="s">
        <v>307</v>
      </c>
      <c r="T91" s="33" t="s">
        <v>307</v>
      </c>
      <c r="U91" s="33" t="s">
        <v>307</v>
      </c>
      <c r="V91" s="33" t="s">
        <v>307</v>
      </c>
      <c r="W91" s="33" t="s">
        <v>307</v>
      </c>
      <c r="X91" s="33" t="s">
        <v>307</v>
      </c>
      <c r="Y91" s="33" t="s">
        <v>307</v>
      </c>
      <c r="Z91" s="148" t="s">
        <v>37</v>
      </c>
      <c r="AA91" s="33" t="s">
        <v>37</v>
      </c>
      <c r="AB91" s="33" t="s">
        <v>37</v>
      </c>
      <c r="AC91" s="33" t="s">
        <v>37</v>
      </c>
      <c r="AD91" s="33" t="s">
        <v>37</v>
      </c>
      <c r="AE91" s="33" t="s">
        <v>37</v>
      </c>
      <c r="AF91" s="6">
        <v>1393</v>
      </c>
      <c r="AG91" s="6"/>
      <c r="AH91" s="35">
        <f t="shared" si="26"/>
        <v>408</v>
      </c>
      <c r="AI91" s="6">
        <v>142</v>
      </c>
      <c r="AJ91" s="6">
        <v>1563</v>
      </c>
      <c r="AK91" s="35">
        <f t="shared" si="27"/>
        <v>312</v>
      </c>
      <c r="AL91" s="35">
        <v>524</v>
      </c>
      <c r="AM91" s="35"/>
      <c r="AN91" s="35">
        <f t="shared" si="28"/>
        <v>382</v>
      </c>
      <c r="AO91" s="6">
        <v>904</v>
      </c>
      <c r="AP91" s="6"/>
      <c r="AQ91" s="35">
        <f t="shared" si="29"/>
        <v>380</v>
      </c>
      <c r="AR91" s="6">
        <v>1291</v>
      </c>
      <c r="AS91" s="6"/>
      <c r="AT91" s="34">
        <f t="shared" si="30"/>
        <v>387</v>
      </c>
      <c r="AU91" s="35">
        <v>83</v>
      </c>
      <c r="AV91" s="35">
        <v>1560</v>
      </c>
      <c r="AW91" s="35">
        <f t="shared" si="31"/>
        <v>352</v>
      </c>
      <c r="AX91" s="6"/>
      <c r="AY91" s="6"/>
      <c r="AZ91" s="35"/>
      <c r="BA91" s="6">
        <v>470</v>
      </c>
      <c r="BB91" s="6"/>
      <c r="BC91" s="35">
        <f t="shared" si="32"/>
        <v>387</v>
      </c>
      <c r="BD91" s="35">
        <v>850</v>
      </c>
      <c r="BE91" s="35"/>
      <c r="BF91" s="35">
        <f t="shared" si="33"/>
        <v>380</v>
      </c>
      <c r="BG91" s="6">
        <v>1236</v>
      </c>
      <c r="BH91" s="6"/>
      <c r="BI91" s="35">
        <f t="shared" si="34"/>
        <v>386</v>
      </c>
      <c r="BJ91" s="6">
        <v>0</v>
      </c>
      <c r="BK91" s="6">
        <v>1592</v>
      </c>
      <c r="BL91" s="35">
        <f t="shared" si="35"/>
        <v>356</v>
      </c>
      <c r="BM91" s="6">
        <v>363</v>
      </c>
      <c r="BN91" s="6"/>
      <c r="BO91" s="6">
        <f t="shared" si="36"/>
        <v>363</v>
      </c>
      <c r="BP91" s="6">
        <v>733</v>
      </c>
      <c r="BQ91" s="6"/>
      <c r="BR91" s="6">
        <f t="shared" si="37"/>
        <v>370</v>
      </c>
      <c r="BS91" s="6"/>
      <c r="BT91" s="6"/>
      <c r="BU91" s="35"/>
      <c r="BV91" s="6">
        <v>1123</v>
      </c>
      <c r="BW91" s="6"/>
      <c r="BX91" s="6">
        <f t="shared" si="38"/>
        <v>390</v>
      </c>
      <c r="BY91" s="6">
        <v>1503</v>
      </c>
      <c r="BZ91" s="6"/>
      <c r="CA91" s="35">
        <f t="shared" si="39"/>
        <v>380</v>
      </c>
      <c r="CB91" s="6">
        <v>0</v>
      </c>
      <c r="CC91" s="6">
        <v>1820</v>
      </c>
      <c r="CD91" s="6">
        <f t="shared" si="40"/>
        <v>317</v>
      </c>
      <c r="CE91" s="6">
        <v>0</v>
      </c>
      <c r="CF91" s="6"/>
      <c r="CG91" s="6">
        <f t="shared" si="41"/>
        <v>0</v>
      </c>
      <c r="CH91" s="6">
        <v>0</v>
      </c>
      <c r="CI91" s="6"/>
      <c r="CJ91" s="6">
        <f t="shared" si="42"/>
        <v>0</v>
      </c>
      <c r="CK91" s="6">
        <v>12</v>
      </c>
      <c r="CL91" s="6"/>
      <c r="CM91" s="6">
        <f t="shared" si="43"/>
        <v>12</v>
      </c>
      <c r="CN91" s="6"/>
      <c r="CO91" s="6"/>
      <c r="CP91" s="6"/>
      <c r="CQ91" s="6">
        <v>400</v>
      </c>
      <c r="CR91" s="6"/>
      <c r="CS91" s="6">
        <f t="shared" si="44"/>
        <v>388</v>
      </c>
      <c r="CT91" s="6">
        <v>0</v>
      </c>
      <c r="CU91" s="6">
        <v>528</v>
      </c>
      <c r="CV91" s="6">
        <f t="shared" si="45"/>
        <v>128</v>
      </c>
      <c r="CW91" s="6">
        <v>372</v>
      </c>
      <c r="CX91" s="6"/>
      <c r="CY91" s="6">
        <f t="shared" si="46"/>
        <v>372</v>
      </c>
      <c r="CZ91" s="6">
        <v>751</v>
      </c>
      <c r="DA91" s="6"/>
      <c r="DB91" s="6">
        <f t="shared" si="47"/>
        <v>379</v>
      </c>
      <c r="DC91" s="6">
        <v>1127</v>
      </c>
      <c r="DD91" s="6"/>
      <c r="DE91" s="6">
        <f t="shared" si="48"/>
        <v>376</v>
      </c>
      <c r="DF91" s="6">
        <v>1485</v>
      </c>
      <c r="DG91" s="6"/>
      <c r="DH91" s="6">
        <f t="shared" si="49"/>
        <v>358</v>
      </c>
      <c r="DI91" s="6"/>
      <c r="DJ91" s="6"/>
      <c r="DK91" s="6"/>
      <c r="DL91" s="6">
        <v>259</v>
      </c>
      <c r="DM91" s="6">
        <v>1606</v>
      </c>
      <c r="DN91" s="6">
        <f t="shared" si="50"/>
        <v>380</v>
      </c>
      <c r="DO91" s="6">
        <v>617</v>
      </c>
      <c r="DP91" s="6"/>
      <c r="DQ91" s="6">
        <f t="shared" si="51"/>
        <v>358</v>
      </c>
    </row>
    <row r="92" spans="1:121">
      <c r="A92" s="6">
        <v>88</v>
      </c>
      <c r="B92" s="6">
        <v>1083</v>
      </c>
      <c r="C92" s="6"/>
      <c r="D92" s="6">
        <v>353</v>
      </c>
      <c r="E92" s="33" t="s">
        <v>307</v>
      </c>
      <c r="F92" s="33" t="s">
        <v>307</v>
      </c>
      <c r="G92" s="33" t="s">
        <v>307</v>
      </c>
      <c r="H92" s="33" t="s">
        <v>307</v>
      </c>
      <c r="I92" s="33" t="s">
        <v>307</v>
      </c>
      <c r="J92" s="33" t="s">
        <v>307</v>
      </c>
      <c r="K92" s="33" t="s">
        <v>307</v>
      </c>
      <c r="L92" s="33" t="s">
        <v>307</v>
      </c>
      <c r="M92" s="33" t="s">
        <v>307</v>
      </c>
      <c r="N92" s="148" t="s">
        <v>37</v>
      </c>
      <c r="O92" s="33" t="s">
        <v>37</v>
      </c>
      <c r="P92" s="33" t="s">
        <v>37</v>
      </c>
      <c r="Q92" s="33" t="s">
        <v>37</v>
      </c>
      <c r="R92" s="33" t="s">
        <v>37</v>
      </c>
      <c r="S92" s="33" t="s">
        <v>37</v>
      </c>
      <c r="T92" s="33" t="s">
        <v>37</v>
      </c>
      <c r="U92" s="33" t="s">
        <v>37</v>
      </c>
      <c r="V92" s="33" t="s">
        <v>37</v>
      </c>
      <c r="W92" s="33" t="s">
        <v>37</v>
      </c>
      <c r="X92" s="33" t="s">
        <v>37</v>
      </c>
      <c r="Y92" s="33" t="s">
        <v>37</v>
      </c>
      <c r="Z92" s="33" t="s">
        <v>37</v>
      </c>
      <c r="AA92" s="33" t="s">
        <v>37</v>
      </c>
      <c r="AB92" s="33" t="s">
        <v>37</v>
      </c>
      <c r="AC92" s="33" t="s">
        <v>37</v>
      </c>
      <c r="AD92" s="33" t="s">
        <v>37</v>
      </c>
      <c r="AE92" s="33" t="s">
        <v>37</v>
      </c>
      <c r="AF92" s="6">
        <v>1502</v>
      </c>
      <c r="AG92" s="6"/>
      <c r="AH92" s="35">
        <f t="shared" si="26"/>
        <v>419</v>
      </c>
      <c r="AI92" s="6">
        <v>327</v>
      </c>
      <c r="AJ92" s="6">
        <v>1560</v>
      </c>
      <c r="AK92" s="35">
        <f t="shared" si="27"/>
        <v>385</v>
      </c>
      <c r="AL92" s="35">
        <v>719</v>
      </c>
      <c r="AM92" s="35"/>
      <c r="AN92" s="35">
        <f t="shared" si="28"/>
        <v>392</v>
      </c>
      <c r="AO92" s="6">
        <v>1113</v>
      </c>
      <c r="AP92" s="6"/>
      <c r="AQ92" s="35">
        <f t="shared" si="29"/>
        <v>394</v>
      </c>
      <c r="AR92" s="6">
        <v>1506</v>
      </c>
      <c r="AS92" s="6"/>
      <c r="AT92" s="34">
        <f t="shared" si="30"/>
        <v>393</v>
      </c>
      <c r="AU92" s="35">
        <v>312</v>
      </c>
      <c r="AV92" s="35">
        <v>1560</v>
      </c>
      <c r="AW92" s="35">
        <f t="shared" si="31"/>
        <v>366</v>
      </c>
      <c r="AX92" s="6"/>
      <c r="AY92" s="6"/>
      <c r="AZ92" s="35"/>
      <c r="BA92" s="6">
        <v>708</v>
      </c>
      <c r="BB92" s="6"/>
      <c r="BC92" s="35">
        <f t="shared" si="32"/>
        <v>396</v>
      </c>
      <c r="BD92" s="35">
        <v>0</v>
      </c>
      <c r="BE92" s="35">
        <v>872</v>
      </c>
      <c r="BF92" s="35">
        <f t="shared" si="33"/>
        <v>164</v>
      </c>
      <c r="BG92" s="6">
        <v>376</v>
      </c>
      <c r="BH92" s="6"/>
      <c r="BI92" s="35">
        <f t="shared" si="34"/>
        <v>376</v>
      </c>
      <c r="BJ92" s="6">
        <v>768</v>
      </c>
      <c r="BK92" s="6"/>
      <c r="BL92" s="35">
        <f t="shared" si="35"/>
        <v>392</v>
      </c>
      <c r="BM92" s="6">
        <v>1159</v>
      </c>
      <c r="BN92" s="6"/>
      <c r="BO92" s="6">
        <f t="shared" si="36"/>
        <v>391</v>
      </c>
      <c r="BP92" s="6">
        <v>1531</v>
      </c>
      <c r="BQ92" s="6"/>
      <c r="BR92" s="6">
        <f t="shared" si="37"/>
        <v>372</v>
      </c>
      <c r="BS92" s="6"/>
      <c r="BT92" s="6"/>
      <c r="BU92" s="35"/>
      <c r="BV92" s="6">
        <v>366</v>
      </c>
      <c r="BW92" s="6">
        <v>1560</v>
      </c>
      <c r="BX92" s="6">
        <f t="shared" si="38"/>
        <v>395</v>
      </c>
      <c r="BY92" s="6">
        <v>755</v>
      </c>
      <c r="BZ92" s="6"/>
      <c r="CA92" s="35">
        <f t="shared" si="39"/>
        <v>389</v>
      </c>
      <c r="CB92" s="6">
        <v>1148</v>
      </c>
      <c r="CC92" s="6"/>
      <c r="CD92" s="6">
        <f t="shared" si="40"/>
        <v>393</v>
      </c>
      <c r="CE92" s="6">
        <v>1541</v>
      </c>
      <c r="CF92" s="6"/>
      <c r="CG92" s="6">
        <f t="shared" si="41"/>
        <v>393</v>
      </c>
      <c r="CH92" s="6">
        <v>373</v>
      </c>
      <c r="CI92" s="6">
        <v>1560</v>
      </c>
      <c r="CJ92" s="6">
        <f t="shared" si="42"/>
        <v>392</v>
      </c>
      <c r="CK92" s="6">
        <v>747</v>
      </c>
      <c r="CL92" s="6"/>
      <c r="CM92" s="6">
        <f t="shared" si="43"/>
        <v>374</v>
      </c>
      <c r="CN92" s="6"/>
      <c r="CO92" s="6"/>
      <c r="CP92" s="6"/>
      <c r="CQ92" s="6">
        <v>1147</v>
      </c>
      <c r="CR92" s="6"/>
      <c r="CS92" s="6">
        <f t="shared" si="44"/>
        <v>400</v>
      </c>
      <c r="CT92" s="6">
        <v>1535</v>
      </c>
      <c r="CU92" s="6"/>
      <c r="CV92" s="6">
        <f t="shared" si="45"/>
        <v>388</v>
      </c>
      <c r="CW92" s="6">
        <v>363</v>
      </c>
      <c r="CX92" s="6">
        <v>1560</v>
      </c>
      <c r="CY92" s="6">
        <f t="shared" si="46"/>
        <v>388</v>
      </c>
      <c r="CZ92" s="6">
        <v>754</v>
      </c>
      <c r="DA92" s="6"/>
      <c r="DB92" s="6">
        <f t="shared" si="47"/>
        <v>391</v>
      </c>
      <c r="DC92" s="6">
        <v>1147</v>
      </c>
      <c r="DD92" s="6"/>
      <c r="DE92" s="6">
        <f t="shared" si="48"/>
        <v>393</v>
      </c>
      <c r="DF92" s="6">
        <v>1513</v>
      </c>
      <c r="DG92" s="6"/>
      <c r="DH92" s="6">
        <f t="shared" si="49"/>
        <v>366</v>
      </c>
      <c r="DI92" s="6"/>
      <c r="DJ92" s="6"/>
      <c r="DK92" s="6"/>
      <c r="DL92" s="6">
        <v>336</v>
      </c>
      <c r="DM92" s="6">
        <v>1560</v>
      </c>
      <c r="DN92" s="6">
        <f t="shared" si="50"/>
        <v>383</v>
      </c>
      <c r="DO92" s="6">
        <v>690</v>
      </c>
      <c r="DP92" s="6"/>
      <c r="DQ92" s="6">
        <f t="shared" si="51"/>
        <v>354</v>
      </c>
    </row>
    <row r="93" spans="1:121">
      <c r="A93" s="6">
        <v>89</v>
      </c>
      <c r="B93" s="6">
        <v>1095</v>
      </c>
      <c r="C93" s="6"/>
      <c r="D93" s="6">
        <v>354</v>
      </c>
      <c r="E93" s="33" t="s">
        <v>307</v>
      </c>
      <c r="F93" s="33" t="s">
        <v>307</v>
      </c>
      <c r="G93" s="148" t="s">
        <v>37</v>
      </c>
      <c r="H93" s="33" t="s">
        <v>37</v>
      </c>
      <c r="I93" s="33" t="s">
        <v>37</v>
      </c>
      <c r="J93" s="33" t="s">
        <v>37</v>
      </c>
      <c r="K93" s="33" t="s">
        <v>37</v>
      </c>
      <c r="L93" s="33" t="s">
        <v>37</v>
      </c>
      <c r="M93" s="33" t="s">
        <v>37</v>
      </c>
      <c r="N93" s="33" t="s">
        <v>37</v>
      </c>
      <c r="O93" s="33" t="s">
        <v>37</v>
      </c>
      <c r="P93" s="33" t="s">
        <v>37</v>
      </c>
      <c r="Q93" s="33" t="s">
        <v>37</v>
      </c>
      <c r="R93" s="33" t="s">
        <v>37</v>
      </c>
      <c r="S93" s="33" t="s">
        <v>37</v>
      </c>
      <c r="T93" s="33" t="s">
        <v>37</v>
      </c>
      <c r="U93" s="33" t="s">
        <v>37</v>
      </c>
      <c r="V93" s="33" t="s">
        <v>37</v>
      </c>
      <c r="W93" s="33" t="s">
        <v>37</v>
      </c>
      <c r="X93" s="33" t="s">
        <v>37</v>
      </c>
      <c r="Y93" s="33" t="s">
        <v>37</v>
      </c>
      <c r="Z93" s="33" t="s">
        <v>37</v>
      </c>
      <c r="AA93" s="33" t="s">
        <v>37</v>
      </c>
      <c r="AB93" s="33" t="s">
        <v>37</v>
      </c>
      <c r="AC93" s="148" t="s">
        <v>37</v>
      </c>
      <c r="AD93" s="33" t="s">
        <v>37</v>
      </c>
      <c r="AE93" s="33" t="s">
        <v>37</v>
      </c>
      <c r="AF93" s="6">
        <v>1509</v>
      </c>
      <c r="AG93" s="6"/>
      <c r="AH93" s="35">
        <f t="shared" si="26"/>
        <v>414</v>
      </c>
      <c r="AI93" s="6">
        <v>345</v>
      </c>
      <c r="AJ93" s="6">
        <v>1511</v>
      </c>
      <c r="AK93" s="35">
        <f t="shared" si="27"/>
        <v>347</v>
      </c>
      <c r="AL93" s="35">
        <v>728</v>
      </c>
      <c r="AM93" s="35"/>
      <c r="AN93" s="35">
        <f t="shared" si="28"/>
        <v>383</v>
      </c>
      <c r="AO93" s="6">
        <v>1106</v>
      </c>
      <c r="AP93" s="6"/>
      <c r="AQ93" s="35">
        <f t="shared" si="29"/>
        <v>378</v>
      </c>
      <c r="AR93" s="6">
        <v>376</v>
      </c>
      <c r="AS93" s="6">
        <v>1110</v>
      </c>
      <c r="AT93" s="34">
        <f t="shared" si="30"/>
        <v>380</v>
      </c>
      <c r="AU93" s="35">
        <v>11</v>
      </c>
      <c r="AV93" s="35">
        <v>698</v>
      </c>
      <c r="AW93" s="35">
        <f t="shared" si="31"/>
        <v>333</v>
      </c>
      <c r="AX93" s="6"/>
      <c r="AY93" s="6"/>
      <c r="AZ93" s="35"/>
      <c r="BA93" s="6">
        <v>379</v>
      </c>
      <c r="BB93" s="6"/>
      <c r="BC93" s="35">
        <f t="shared" si="32"/>
        <v>368</v>
      </c>
      <c r="BD93" s="35">
        <v>756</v>
      </c>
      <c r="BE93" s="35"/>
      <c r="BF93" s="35">
        <f t="shared" si="33"/>
        <v>377</v>
      </c>
      <c r="BG93" s="6">
        <v>1136</v>
      </c>
      <c r="BH93" s="6"/>
      <c r="BI93" s="35">
        <f t="shared" si="34"/>
        <v>380</v>
      </c>
      <c r="BJ93" s="6">
        <v>1520</v>
      </c>
      <c r="BK93" s="6"/>
      <c r="BL93" s="35">
        <f t="shared" si="35"/>
        <v>384</v>
      </c>
      <c r="BM93" s="6">
        <v>317</v>
      </c>
      <c r="BN93" s="6">
        <v>1565</v>
      </c>
      <c r="BO93" s="6">
        <f t="shared" si="36"/>
        <v>362</v>
      </c>
      <c r="BP93" s="6">
        <v>173</v>
      </c>
      <c r="BQ93" s="6">
        <v>481</v>
      </c>
      <c r="BR93" s="6">
        <f t="shared" si="37"/>
        <v>337</v>
      </c>
      <c r="BS93" s="6"/>
      <c r="BT93" s="6"/>
      <c r="BU93" s="35"/>
      <c r="BV93" s="6">
        <v>546</v>
      </c>
      <c r="BW93" s="6"/>
      <c r="BX93" s="6">
        <f t="shared" si="38"/>
        <v>373</v>
      </c>
      <c r="BY93" s="6">
        <v>922</v>
      </c>
      <c r="BZ93" s="6"/>
      <c r="CA93" s="35">
        <f t="shared" si="39"/>
        <v>376</v>
      </c>
      <c r="CB93" s="6">
        <v>1283</v>
      </c>
      <c r="CC93" s="6"/>
      <c r="CD93" s="6">
        <f t="shared" si="40"/>
        <v>361</v>
      </c>
      <c r="CE93" s="6">
        <v>76</v>
      </c>
      <c r="CF93" s="6">
        <v>1560</v>
      </c>
      <c r="CG93" s="6">
        <f t="shared" si="41"/>
        <v>353</v>
      </c>
      <c r="CH93" s="6">
        <v>434</v>
      </c>
      <c r="CI93" s="6"/>
      <c r="CJ93" s="6">
        <f t="shared" si="42"/>
        <v>358</v>
      </c>
      <c r="CK93" s="6">
        <v>790</v>
      </c>
      <c r="CL93" s="6"/>
      <c r="CM93" s="6">
        <f t="shared" si="43"/>
        <v>356</v>
      </c>
      <c r="CN93" s="6"/>
      <c r="CO93" s="6"/>
      <c r="CP93" s="6"/>
      <c r="CQ93" s="6">
        <v>1156</v>
      </c>
      <c r="CR93" s="6"/>
      <c r="CS93" s="6">
        <f t="shared" si="44"/>
        <v>366</v>
      </c>
      <c r="CT93" s="6">
        <v>1511</v>
      </c>
      <c r="CU93" s="6"/>
      <c r="CV93" s="6">
        <f t="shared" si="45"/>
        <v>355</v>
      </c>
      <c r="CW93" s="6">
        <v>303</v>
      </c>
      <c r="CX93" s="6">
        <v>1560</v>
      </c>
      <c r="CY93" s="6">
        <f t="shared" si="46"/>
        <v>352</v>
      </c>
      <c r="CZ93" s="6">
        <v>659</v>
      </c>
      <c r="DA93" s="6"/>
      <c r="DB93" s="6">
        <f t="shared" si="47"/>
        <v>356</v>
      </c>
      <c r="DC93" s="6">
        <v>0</v>
      </c>
      <c r="DD93" s="6">
        <v>886</v>
      </c>
      <c r="DE93" s="6">
        <f t="shared" si="48"/>
        <v>227</v>
      </c>
      <c r="DF93" s="6">
        <v>350</v>
      </c>
      <c r="DG93" s="6"/>
      <c r="DH93" s="6">
        <f t="shared" si="49"/>
        <v>350</v>
      </c>
      <c r="DI93" s="6"/>
      <c r="DJ93" s="6"/>
      <c r="DK93" s="6"/>
      <c r="DL93" s="6">
        <v>738</v>
      </c>
      <c r="DM93" s="6"/>
      <c r="DN93" s="6">
        <f t="shared" si="50"/>
        <v>388</v>
      </c>
      <c r="DO93" s="6">
        <v>1100</v>
      </c>
      <c r="DP93" s="6"/>
      <c r="DQ93" s="6">
        <f t="shared" si="51"/>
        <v>362</v>
      </c>
    </row>
    <row r="94" spans="1:121">
      <c r="A94" s="6">
        <v>90</v>
      </c>
      <c r="B94" s="6">
        <v>1005</v>
      </c>
      <c r="C94" s="6"/>
      <c r="D94" s="6">
        <v>347</v>
      </c>
      <c r="E94" s="33" t="s">
        <v>37</v>
      </c>
      <c r="F94" s="33" t="s">
        <v>37</v>
      </c>
      <c r="G94" s="33" t="s">
        <v>37</v>
      </c>
      <c r="H94" s="33" t="s">
        <v>37</v>
      </c>
      <c r="I94" s="33" t="s">
        <v>37</v>
      </c>
      <c r="J94" s="33" t="s">
        <v>37</v>
      </c>
      <c r="K94" s="33" t="s">
        <v>37</v>
      </c>
      <c r="L94" s="33" t="s">
        <v>37</v>
      </c>
      <c r="M94" s="33" t="s">
        <v>37</v>
      </c>
      <c r="N94" s="33" t="s">
        <v>37</v>
      </c>
      <c r="O94" s="33" t="s">
        <v>37</v>
      </c>
      <c r="P94" s="33" t="s">
        <v>37</v>
      </c>
      <c r="Q94" s="33" t="s">
        <v>37</v>
      </c>
      <c r="R94" s="148" t="s">
        <v>37</v>
      </c>
      <c r="S94" s="33" t="s">
        <v>37</v>
      </c>
      <c r="T94" s="33" t="s">
        <v>37</v>
      </c>
      <c r="U94" s="33" t="s">
        <v>37</v>
      </c>
      <c r="V94" s="33" t="s">
        <v>37</v>
      </c>
      <c r="W94" s="33" t="s">
        <v>37</v>
      </c>
      <c r="X94" s="33" t="s">
        <v>37</v>
      </c>
      <c r="Y94" s="33" t="s">
        <v>37</v>
      </c>
      <c r="Z94" s="33" t="s">
        <v>37</v>
      </c>
      <c r="AA94" s="33" t="s">
        <v>37</v>
      </c>
      <c r="AB94" s="33" t="s">
        <v>37</v>
      </c>
      <c r="AC94" s="33" t="s">
        <v>37</v>
      </c>
      <c r="AD94" s="33" t="s">
        <v>37</v>
      </c>
      <c r="AE94" s="33" t="s">
        <v>37</v>
      </c>
      <c r="AF94" s="6">
        <v>1413</v>
      </c>
      <c r="AG94" s="6"/>
      <c r="AH94" s="35">
        <f t="shared" si="26"/>
        <v>408</v>
      </c>
      <c r="AI94" s="6">
        <v>222</v>
      </c>
      <c r="AJ94" s="6">
        <v>1560</v>
      </c>
      <c r="AK94" s="35">
        <f t="shared" si="27"/>
        <v>369</v>
      </c>
      <c r="AL94" s="35">
        <v>597</v>
      </c>
      <c r="AM94" s="35"/>
      <c r="AN94" s="35">
        <f t="shared" si="28"/>
        <v>375</v>
      </c>
      <c r="AO94" s="6">
        <v>972</v>
      </c>
      <c r="AP94" s="6"/>
      <c r="AQ94" s="35">
        <f t="shared" si="29"/>
        <v>375</v>
      </c>
      <c r="AR94" s="6">
        <v>1343</v>
      </c>
      <c r="AS94" s="6"/>
      <c r="AT94" s="34">
        <f t="shared" si="30"/>
        <v>371</v>
      </c>
      <c r="AU94" s="35">
        <v>124</v>
      </c>
      <c r="AV94" s="35">
        <v>1560</v>
      </c>
      <c r="AW94" s="35">
        <f t="shared" si="31"/>
        <v>341</v>
      </c>
      <c r="AX94" s="6"/>
      <c r="AY94" s="6"/>
      <c r="AZ94" s="35"/>
      <c r="BA94" s="6">
        <v>504</v>
      </c>
      <c r="BB94" s="6"/>
      <c r="BC94" s="35">
        <f t="shared" si="32"/>
        <v>380</v>
      </c>
      <c r="BD94" s="35">
        <v>883</v>
      </c>
      <c r="BE94" s="35"/>
      <c r="BF94" s="35">
        <f t="shared" si="33"/>
        <v>379</v>
      </c>
      <c r="BG94" s="6">
        <v>1263</v>
      </c>
      <c r="BH94" s="6"/>
      <c r="BI94" s="35">
        <f t="shared" si="34"/>
        <v>380</v>
      </c>
      <c r="BJ94" s="6">
        <v>82</v>
      </c>
      <c r="BK94" s="6">
        <v>1560</v>
      </c>
      <c r="BL94" s="35">
        <f t="shared" si="35"/>
        <v>379</v>
      </c>
      <c r="BM94" s="6">
        <v>450</v>
      </c>
      <c r="BN94" s="6"/>
      <c r="BO94" s="6">
        <f t="shared" si="36"/>
        <v>368</v>
      </c>
      <c r="BP94" s="6">
        <v>804</v>
      </c>
      <c r="BQ94" s="6"/>
      <c r="BR94" s="6">
        <f t="shared" si="37"/>
        <v>354</v>
      </c>
      <c r="BS94" s="6"/>
      <c r="BT94" s="6"/>
      <c r="BU94" s="35"/>
      <c r="BV94" s="6">
        <v>347</v>
      </c>
      <c r="BW94" s="6">
        <v>806</v>
      </c>
      <c r="BX94" s="6">
        <f t="shared" si="38"/>
        <v>349</v>
      </c>
      <c r="BY94" s="6">
        <v>727</v>
      </c>
      <c r="BZ94" s="6"/>
      <c r="CA94" s="35">
        <f t="shared" si="39"/>
        <v>380</v>
      </c>
      <c r="CB94" s="6">
        <v>1104</v>
      </c>
      <c r="CC94" s="6"/>
      <c r="CD94" s="6">
        <f t="shared" si="40"/>
        <v>377</v>
      </c>
      <c r="CE94" s="6">
        <v>1481</v>
      </c>
      <c r="CF94" s="6"/>
      <c r="CG94" s="6">
        <f t="shared" si="41"/>
        <v>377</v>
      </c>
      <c r="CH94" s="6">
        <v>301</v>
      </c>
      <c r="CI94" s="6">
        <v>1560</v>
      </c>
      <c r="CJ94" s="6">
        <f t="shared" si="42"/>
        <v>380</v>
      </c>
      <c r="CK94" s="6">
        <v>667</v>
      </c>
      <c r="CL94" s="6"/>
      <c r="CM94" s="6">
        <f t="shared" si="43"/>
        <v>366</v>
      </c>
      <c r="CN94" s="6"/>
      <c r="CO94" s="6"/>
      <c r="CP94" s="6"/>
      <c r="CQ94" s="6">
        <v>1051</v>
      </c>
      <c r="CR94" s="6"/>
      <c r="CS94" s="6">
        <f t="shared" si="44"/>
        <v>384</v>
      </c>
      <c r="CT94" s="6">
        <v>1427</v>
      </c>
      <c r="CU94" s="6"/>
      <c r="CV94" s="6">
        <f t="shared" si="45"/>
        <v>376</v>
      </c>
      <c r="CW94" s="6">
        <v>241</v>
      </c>
      <c r="CX94" s="6">
        <v>1560</v>
      </c>
      <c r="CY94" s="6">
        <f t="shared" si="46"/>
        <v>374</v>
      </c>
      <c r="CZ94" s="6">
        <v>614</v>
      </c>
      <c r="DA94" s="6"/>
      <c r="DB94" s="6">
        <f t="shared" si="47"/>
        <v>373</v>
      </c>
      <c r="DC94" s="6">
        <v>994</v>
      </c>
      <c r="DD94" s="6"/>
      <c r="DE94" s="6">
        <f t="shared" si="48"/>
        <v>380</v>
      </c>
      <c r="DF94" s="6">
        <v>1360</v>
      </c>
      <c r="DG94" s="6"/>
      <c r="DH94" s="6">
        <f t="shared" si="49"/>
        <v>366</v>
      </c>
      <c r="DI94" s="6"/>
      <c r="DJ94" s="6"/>
      <c r="DK94" s="6"/>
      <c r="DL94" s="6">
        <v>190</v>
      </c>
      <c r="DM94" s="6">
        <v>1560</v>
      </c>
      <c r="DN94" s="6">
        <f t="shared" si="50"/>
        <v>390</v>
      </c>
      <c r="DO94" s="6">
        <v>550</v>
      </c>
      <c r="DP94" s="6"/>
      <c r="DQ94" s="6">
        <f t="shared" si="51"/>
        <v>360</v>
      </c>
    </row>
    <row r="95" spans="1:121">
      <c r="A95" s="6">
        <v>91</v>
      </c>
      <c r="B95" s="6">
        <v>287</v>
      </c>
      <c r="C95" s="6">
        <v>1485</v>
      </c>
      <c r="D95" s="6">
        <v>332</v>
      </c>
      <c r="E95" s="33" t="s">
        <v>307</v>
      </c>
      <c r="F95" s="33" t="s">
        <v>307</v>
      </c>
      <c r="G95" s="33" t="s">
        <v>307</v>
      </c>
      <c r="H95" s="33" t="s">
        <v>307</v>
      </c>
      <c r="I95" s="33" t="s">
        <v>307</v>
      </c>
      <c r="J95" s="33" t="s">
        <v>307</v>
      </c>
      <c r="K95" s="33" t="s">
        <v>307</v>
      </c>
      <c r="L95" s="33" t="s">
        <v>307</v>
      </c>
      <c r="M95" s="33" t="s">
        <v>307</v>
      </c>
      <c r="N95" s="33" t="s">
        <v>307</v>
      </c>
      <c r="O95" s="33" t="s">
        <v>307</v>
      </c>
      <c r="P95" s="33" t="s">
        <v>307</v>
      </c>
      <c r="Q95" s="33" t="s">
        <v>307</v>
      </c>
      <c r="R95" s="33" t="s">
        <v>307</v>
      </c>
      <c r="S95" s="33" t="s">
        <v>307</v>
      </c>
      <c r="T95" s="33" t="s">
        <v>307</v>
      </c>
      <c r="U95" s="148" t="s">
        <v>307</v>
      </c>
      <c r="V95" s="33" t="s">
        <v>307</v>
      </c>
      <c r="W95" s="33" t="s">
        <v>307</v>
      </c>
      <c r="X95" s="33" t="s">
        <v>307</v>
      </c>
      <c r="Y95" s="33" t="s">
        <v>307</v>
      </c>
      <c r="Z95" s="33" t="s">
        <v>307</v>
      </c>
      <c r="AA95" s="33" t="s">
        <v>307</v>
      </c>
      <c r="AB95" s="33" t="s">
        <v>307</v>
      </c>
      <c r="AC95" s="33" t="s">
        <v>307</v>
      </c>
      <c r="AD95" s="33" t="s">
        <v>307</v>
      </c>
      <c r="AE95" s="33" t="s">
        <v>307</v>
      </c>
      <c r="AF95" s="6">
        <v>238</v>
      </c>
      <c r="AG95" s="6">
        <v>437</v>
      </c>
      <c r="AH95" s="35">
        <f t="shared" si="26"/>
        <v>388</v>
      </c>
      <c r="AI95" s="6">
        <v>599</v>
      </c>
      <c r="AJ95" s="6"/>
      <c r="AK95" s="35">
        <f t="shared" si="27"/>
        <v>361</v>
      </c>
      <c r="AL95" s="35">
        <v>965</v>
      </c>
      <c r="AM95" s="35"/>
      <c r="AN95" s="35">
        <f t="shared" si="28"/>
        <v>366</v>
      </c>
      <c r="AO95" s="6">
        <v>245</v>
      </c>
      <c r="AP95" s="6">
        <v>1072</v>
      </c>
      <c r="AQ95" s="35">
        <f t="shared" si="29"/>
        <v>352</v>
      </c>
      <c r="AR95" s="6">
        <v>629</v>
      </c>
      <c r="AS95" s="6"/>
      <c r="AT95" s="34">
        <f t="shared" si="30"/>
        <v>384</v>
      </c>
      <c r="AU95" s="35">
        <v>0</v>
      </c>
      <c r="AV95" s="35">
        <v>974</v>
      </c>
      <c r="AW95" s="35">
        <f t="shared" si="31"/>
        <v>345</v>
      </c>
      <c r="AX95" s="6"/>
      <c r="AY95" s="6"/>
      <c r="AZ95" s="35"/>
      <c r="BA95" s="6">
        <v>388</v>
      </c>
      <c r="BB95" s="6"/>
      <c r="BC95" s="35">
        <f t="shared" si="32"/>
        <v>388</v>
      </c>
      <c r="BD95" s="35">
        <v>770</v>
      </c>
      <c r="BE95" s="35"/>
      <c r="BF95" s="35">
        <f t="shared" si="33"/>
        <v>382</v>
      </c>
      <c r="BG95" s="6">
        <v>1158</v>
      </c>
      <c r="BH95" s="6"/>
      <c r="BI95" s="35">
        <f t="shared" si="34"/>
        <v>388</v>
      </c>
      <c r="BJ95" s="6">
        <v>1540</v>
      </c>
      <c r="BK95" s="6"/>
      <c r="BL95" s="35">
        <f t="shared" si="35"/>
        <v>382</v>
      </c>
      <c r="BM95" s="6">
        <v>354</v>
      </c>
      <c r="BN95" s="6">
        <v>1560</v>
      </c>
      <c r="BO95" s="6">
        <f t="shared" si="36"/>
        <v>374</v>
      </c>
      <c r="BP95" s="6">
        <v>702</v>
      </c>
      <c r="BQ95" s="6"/>
      <c r="BR95" s="6">
        <f t="shared" si="37"/>
        <v>348</v>
      </c>
      <c r="BS95" s="6"/>
      <c r="BT95" s="6"/>
      <c r="BU95" s="35"/>
      <c r="BV95" s="6">
        <v>1086</v>
      </c>
      <c r="BW95" s="6"/>
      <c r="BX95" s="6">
        <f t="shared" si="38"/>
        <v>384</v>
      </c>
      <c r="BY95" s="6">
        <v>1424</v>
      </c>
      <c r="BZ95" s="6"/>
      <c r="CA95" s="35">
        <f t="shared" si="39"/>
        <v>338</v>
      </c>
      <c r="CB95" s="6">
        <v>0</v>
      </c>
      <c r="CC95" s="6">
        <v>1600</v>
      </c>
      <c r="CD95" s="6">
        <f t="shared" si="40"/>
        <v>176</v>
      </c>
      <c r="CE95" s="6">
        <v>0</v>
      </c>
      <c r="CF95" s="6"/>
      <c r="CG95" s="6">
        <f t="shared" si="41"/>
        <v>0</v>
      </c>
      <c r="CH95" s="6">
        <v>0</v>
      </c>
      <c r="CI95" s="6"/>
      <c r="CJ95" s="6">
        <f t="shared" si="42"/>
        <v>0</v>
      </c>
      <c r="CK95" s="6">
        <v>10</v>
      </c>
      <c r="CL95" s="6"/>
      <c r="CM95" s="6">
        <f t="shared" si="43"/>
        <v>10</v>
      </c>
      <c r="CN95" s="6"/>
      <c r="CO95" s="6"/>
      <c r="CP95" s="6"/>
      <c r="CQ95" s="6">
        <v>402</v>
      </c>
      <c r="CR95" s="6"/>
      <c r="CS95" s="6">
        <f t="shared" si="44"/>
        <v>392</v>
      </c>
      <c r="CT95" s="6">
        <v>86</v>
      </c>
      <c r="CU95" s="6">
        <v>686</v>
      </c>
      <c r="CV95" s="6">
        <f t="shared" si="45"/>
        <v>370</v>
      </c>
      <c r="CW95" s="6">
        <v>469</v>
      </c>
      <c r="CX95" s="6"/>
      <c r="CY95" s="6">
        <f t="shared" si="46"/>
        <v>383</v>
      </c>
      <c r="CZ95" s="6">
        <v>846</v>
      </c>
      <c r="DA95" s="6"/>
      <c r="DB95" s="6">
        <f t="shared" si="47"/>
        <v>377</v>
      </c>
      <c r="DC95" s="6">
        <v>1226</v>
      </c>
      <c r="DD95" s="6"/>
      <c r="DE95" s="6">
        <f t="shared" si="48"/>
        <v>380</v>
      </c>
      <c r="DF95" s="6">
        <v>1</v>
      </c>
      <c r="DG95" s="6">
        <v>1560</v>
      </c>
      <c r="DH95" s="6">
        <f t="shared" si="49"/>
        <v>335</v>
      </c>
      <c r="DI95" s="6"/>
      <c r="DJ95" s="6"/>
      <c r="DK95" s="6"/>
      <c r="DL95" s="6">
        <v>389</v>
      </c>
      <c r="DM95" s="6"/>
      <c r="DN95" s="6">
        <f t="shared" si="50"/>
        <v>388</v>
      </c>
      <c r="DO95" s="6">
        <v>754</v>
      </c>
      <c r="DP95" s="6"/>
      <c r="DQ95" s="6">
        <f t="shared" si="51"/>
        <v>365</v>
      </c>
    </row>
    <row r="96" spans="1:121" ht="15.75" customHeight="1">
      <c r="A96" s="6">
        <v>92</v>
      </c>
      <c r="B96" s="6">
        <v>1069</v>
      </c>
      <c r="C96" s="6"/>
      <c r="D96" s="6">
        <v>346</v>
      </c>
      <c r="E96" s="199" t="s">
        <v>37</v>
      </c>
      <c r="F96" s="199" t="s">
        <v>37</v>
      </c>
      <c r="G96" s="199" t="s">
        <v>37</v>
      </c>
      <c r="H96" s="199" t="s">
        <v>37</v>
      </c>
      <c r="I96" s="199" t="s">
        <v>37</v>
      </c>
      <c r="J96" s="199" t="s">
        <v>37</v>
      </c>
      <c r="K96" s="199" t="s">
        <v>37</v>
      </c>
      <c r="L96" s="199" t="s">
        <v>37</v>
      </c>
      <c r="M96" s="199" t="s">
        <v>37</v>
      </c>
      <c r="N96" s="199" t="s">
        <v>37</v>
      </c>
      <c r="O96" s="199" t="s">
        <v>37</v>
      </c>
      <c r="P96" s="199" t="s">
        <v>37</v>
      </c>
      <c r="Q96" s="199" t="s">
        <v>37</v>
      </c>
      <c r="R96" s="199" t="s">
        <v>37</v>
      </c>
      <c r="S96" s="199" t="s">
        <v>37</v>
      </c>
      <c r="T96" s="199" t="s">
        <v>37</v>
      </c>
      <c r="U96" s="199" t="s">
        <v>37</v>
      </c>
      <c r="V96" s="199" t="s">
        <v>37</v>
      </c>
      <c r="W96" s="199" t="s">
        <v>37</v>
      </c>
      <c r="X96" s="198" t="s">
        <v>37</v>
      </c>
      <c r="Y96" s="199" t="s">
        <v>37</v>
      </c>
      <c r="Z96" s="199" t="s">
        <v>37</v>
      </c>
      <c r="AA96" s="199" t="s">
        <v>37</v>
      </c>
      <c r="AB96" s="199" t="s">
        <v>37</v>
      </c>
      <c r="AC96" s="199" t="s">
        <v>37</v>
      </c>
      <c r="AD96" s="199" t="s">
        <v>37</v>
      </c>
      <c r="AE96" s="199" t="s">
        <v>37</v>
      </c>
      <c r="AF96" s="6">
        <v>1478</v>
      </c>
      <c r="AG96" s="6"/>
      <c r="AH96" s="35">
        <f t="shared" si="26"/>
        <v>409</v>
      </c>
      <c r="AI96" s="6">
        <v>288</v>
      </c>
      <c r="AJ96" s="6">
        <v>1560</v>
      </c>
      <c r="AK96" s="35">
        <f t="shared" si="27"/>
        <v>370</v>
      </c>
      <c r="AL96" s="35">
        <v>669</v>
      </c>
      <c r="AM96" s="35"/>
      <c r="AN96" s="35">
        <f t="shared" si="28"/>
        <v>381</v>
      </c>
      <c r="AO96" s="6">
        <v>1046</v>
      </c>
      <c r="AP96" s="6"/>
      <c r="AQ96" s="35">
        <f t="shared" si="29"/>
        <v>377</v>
      </c>
      <c r="AR96" s="6">
        <v>1422</v>
      </c>
      <c r="AS96" s="6"/>
      <c r="AT96" s="34">
        <f t="shared" si="30"/>
        <v>376</v>
      </c>
      <c r="AU96" s="35">
        <v>219</v>
      </c>
      <c r="AV96" s="35">
        <v>1560</v>
      </c>
      <c r="AW96" s="35">
        <f t="shared" si="31"/>
        <v>357</v>
      </c>
      <c r="AX96" s="6"/>
      <c r="AY96" s="6"/>
      <c r="AZ96" s="35"/>
      <c r="BA96" s="6">
        <v>603</v>
      </c>
      <c r="BB96" s="6"/>
      <c r="BC96" s="35">
        <f t="shared" si="32"/>
        <v>384</v>
      </c>
      <c r="BD96" s="35">
        <v>980</v>
      </c>
      <c r="BE96" s="35"/>
      <c r="BF96" s="35">
        <f t="shared" si="33"/>
        <v>377</v>
      </c>
      <c r="BG96" s="6">
        <v>1357</v>
      </c>
      <c r="BH96" s="6"/>
      <c r="BI96" s="35">
        <f t="shared" si="34"/>
        <v>377</v>
      </c>
      <c r="BJ96" s="6">
        <v>162</v>
      </c>
      <c r="BK96" s="6">
        <v>1560</v>
      </c>
      <c r="BL96" s="35">
        <f t="shared" si="35"/>
        <v>365</v>
      </c>
      <c r="BM96" s="6">
        <v>532</v>
      </c>
      <c r="BN96" s="6"/>
      <c r="BO96" s="6">
        <f t="shared" si="36"/>
        <v>370</v>
      </c>
      <c r="BP96" s="6">
        <v>892</v>
      </c>
      <c r="BQ96" s="6"/>
      <c r="BR96" s="6">
        <f t="shared" si="37"/>
        <v>360</v>
      </c>
      <c r="BS96" s="6"/>
      <c r="BT96" s="6"/>
      <c r="BU96" s="35"/>
      <c r="BV96" s="6">
        <v>1277</v>
      </c>
      <c r="BW96" s="6"/>
      <c r="BX96" s="6">
        <f t="shared" si="38"/>
        <v>385</v>
      </c>
      <c r="BY96" s="6">
        <v>87</v>
      </c>
      <c r="BZ96" s="6">
        <v>1560</v>
      </c>
      <c r="CA96" s="35">
        <f t="shared" si="39"/>
        <v>370</v>
      </c>
      <c r="CB96" s="6">
        <v>478</v>
      </c>
      <c r="CC96" s="6"/>
      <c r="CD96" s="6">
        <f t="shared" si="40"/>
        <v>391</v>
      </c>
      <c r="CE96" s="6">
        <v>868</v>
      </c>
      <c r="CF96" s="6"/>
      <c r="CG96" s="6">
        <f t="shared" si="41"/>
        <v>390</v>
      </c>
      <c r="CH96" s="6">
        <v>1263</v>
      </c>
      <c r="CI96" s="6"/>
      <c r="CJ96" s="6">
        <f t="shared" si="42"/>
        <v>395</v>
      </c>
      <c r="CK96" s="6">
        <v>1644</v>
      </c>
      <c r="CL96" s="6"/>
      <c r="CM96" s="6">
        <f t="shared" si="43"/>
        <v>381</v>
      </c>
      <c r="CN96" s="6"/>
      <c r="CO96" s="6"/>
      <c r="CP96" s="6"/>
      <c r="CQ96" s="6">
        <v>374</v>
      </c>
      <c r="CR96" s="6">
        <v>1647</v>
      </c>
      <c r="CS96" s="6">
        <f t="shared" si="44"/>
        <v>377</v>
      </c>
      <c r="CT96" s="6">
        <v>760</v>
      </c>
      <c r="CU96" s="6"/>
      <c r="CV96" s="6">
        <f t="shared" si="45"/>
        <v>386</v>
      </c>
      <c r="CW96" s="6">
        <v>1154</v>
      </c>
      <c r="CX96" s="6"/>
      <c r="CY96" s="6">
        <f t="shared" si="46"/>
        <v>394</v>
      </c>
      <c r="CZ96" s="6">
        <v>1547</v>
      </c>
      <c r="DA96" s="6"/>
      <c r="DB96" s="6">
        <f t="shared" si="47"/>
        <v>393</v>
      </c>
      <c r="DC96" s="6">
        <v>375</v>
      </c>
      <c r="DD96" s="6">
        <v>1560</v>
      </c>
      <c r="DE96" s="6">
        <f t="shared" si="48"/>
        <v>388</v>
      </c>
      <c r="DF96" s="6">
        <v>749</v>
      </c>
      <c r="DG96" s="6"/>
      <c r="DH96" s="6">
        <f t="shared" si="49"/>
        <v>374</v>
      </c>
      <c r="DI96" s="6"/>
      <c r="DJ96" s="6"/>
      <c r="DK96" s="6"/>
      <c r="DL96" s="6">
        <v>1137</v>
      </c>
      <c r="DM96" s="6"/>
      <c r="DN96" s="6">
        <f t="shared" si="50"/>
        <v>388</v>
      </c>
      <c r="DO96" s="6">
        <v>1499</v>
      </c>
      <c r="DP96" s="6"/>
      <c r="DQ96" s="6">
        <f t="shared" si="51"/>
        <v>362</v>
      </c>
    </row>
    <row r="97" spans="1:121">
      <c r="A97" s="6">
        <v>93</v>
      </c>
      <c r="B97" s="6">
        <v>245</v>
      </c>
      <c r="C97" s="6">
        <v>1389</v>
      </c>
      <c r="D97" s="6">
        <v>346</v>
      </c>
      <c r="E97" s="33" t="s">
        <v>307</v>
      </c>
      <c r="F97" s="33" t="s">
        <v>307</v>
      </c>
      <c r="G97" s="33" t="s">
        <v>307</v>
      </c>
      <c r="H97" s="33" t="s">
        <v>307</v>
      </c>
      <c r="I97" s="33" t="s">
        <v>307</v>
      </c>
      <c r="J97" s="33" t="s">
        <v>307</v>
      </c>
      <c r="K97" s="33" t="s">
        <v>307</v>
      </c>
      <c r="L97" s="33" t="s">
        <v>307</v>
      </c>
      <c r="M97" s="33" t="s">
        <v>307</v>
      </c>
      <c r="N97" s="33" t="s">
        <v>307</v>
      </c>
      <c r="O97" s="33" t="s">
        <v>307</v>
      </c>
      <c r="P97" s="33" t="s">
        <v>307</v>
      </c>
      <c r="Q97" s="33" t="s">
        <v>307</v>
      </c>
      <c r="R97" s="33" t="s">
        <v>307</v>
      </c>
      <c r="S97" s="33" t="s">
        <v>307</v>
      </c>
      <c r="T97" s="33" t="s">
        <v>307</v>
      </c>
      <c r="U97" s="148" t="s">
        <v>307</v>
      </c>
      <c r="V97" s="33" t="s">
        <v>307</v>
      </c>
      <c r="W97" s="33" t="s">
        <v>307</v>
      </c>
      <c r="X97" s="33" t="s">
        <v>307</v>
      </c>
      <c r="Y97" s="33" t="s">
        <v>307</v>
      </c>
      <c r="Z97" s="33" t="s">
        <v>307</v>
      </c>
      <c r="AA97" s="33" t="s">
        <v>307</v>
      </c>
      <c r="AB97" s="33" t="s">
        <v>307</v>
      </c>
      <c r="AC97" s="33" t="s">
        <v>307</v>
      </c>
      <c r="AD97" s="33" t="s">
        <v>307</v>
      </c>
      <c r="AE97" s="33" t="s">
        <v>307</v>
      </c>
      <c r="AF97" s="6">
        <v>650</v>
      </c>
      <c r="AG97" s="6"/>
      <c r="AH97" s="35">
        <f t="shared" si="26"/>
        <v>405</v>
      </c>
      <c r="AI97" s="6">
        <v>1013</v>
      </c>
      <c r="AJ97" s="6"/>
      <c r="AK97" s="35">
        <f t="shared" si="27"/>
        <v>363</v>
      </c>
      <c r="AL97" s="35">
        <v>1379</v>
      </c>
      <c r="AM97" s="35"/>
      <c r="AN97" s="35">
        <f t="shared" si="28"/>
        <v>366</v>
      </c>
      <c r="AO97" s="6">
        <v>315</v>
      </c>
      <c r="AP97" s="6">
        <v>1439</v>
      </c>
      <c r="AQ97" s="35">
        <f t="shared" si="29"/>
        <v>375</v>
      </c>
      <c r="AR97" s="6">
        <v>686</v>
      </c>
      <c r="AS97" s="6"/>
      <c r="AT97" s="34">
        <f t="shared" si="30"/>
        <v>371</v>
      </c>
      <c r="AU97" s="35">
        <v>1045</v>
      </c>
      <c r="AV97" s="35"/>
      <c r="AW97" s="35">
        <f t="shared" si="31"/>
        <v>359</v>
      </c>
      <c r="AX97" s="6"/>
      <c r="AY97" s="6"/>
      <c r="AZ97" s="35"/>
      <c r="BA97" s="35">
        <v>1420</v>
      </c>
      <c r="BB97" s="6"/>
      <c r="BC97" s="35">
        <f t="shared" si="32"/>
        <v>375</v>
      </c>
      <c r="BD97" s="35">
        <v>238</v>
      </c>
      <c r="BE97" s="35">
        <v>1560</v>
      </c>
      <c r="BF97" s="35">
        <f t="shared" si="33"/>
        <v>378</v>
      </c>
      <c r="BG97" s="6">
        <v>619</v>
      </c>
      <c r="BH97" s="6"/>
      <c r="BI97" s="35">
        <f t="shared" si="34"/>
        <v>381</v>
      </c>
      <c r="BJ97" s="6">
        <v>998</v>
      </c>
      <c r="BK97" s="6"/>
      <c r="BL97" s="35">
        <f t="shared" si="35"/>
        <v>379</v>
      </c>
      <c r="BM97" s="6">
        <v>1375</v>
      </c>
      <c r="BN97" s="6"/>
      <c r="BO97" s="6">
        <f t="shared" si="36"/>
        <v>377</v>
      </c>
      <c r="BP97" s="6">
        <v>1742</v>
      </c>
      <c r="BQ97" s="6"/>
      <c r="BR97" s="6">
        <f t="shared" si="37"/>
        <v>367</v>
      </c>
      <c r="BS97" s="6"/>
      <c r="BT97" s="6"/>
      <c r="BU97" s="35"/>
      <c r="BV97" s="6">
        <v>305</v>
      </c>
      <c r="BW97" s="6">
        <v>1820</v>
      </c>
      <c r="BX97" s="6">
        <f t="shared" si="38"/>
        <v>383</v>
      </c>
      <c r="BY97" s="6">
        <v>683</v>
      </c>
      <c r="BZ97" s="6"/>
      <c r="CA97" s="35">
        <f t="shared" si="39"/>
        <v>378</v>
      </c>
      <c r="CB97" s="6">
        <v>0</v>
      </c>
      <c r="CC97" s="6">
        <v>855</v>
      </c>
      <c r="CD97" s="6">
        <f t="shared" si="40"/>
        <v>172</v>
      </c>
      <c r="CE97" s="6">
        <v>0</v>
      </c>
      <c r="CF97" s="6"/>
      <c r="CG97" s="6">
        <f t="shared" si="41"/>
        <v>0</v>
      </c>
      <c r="CH97" s="6">
        <v>0</v>
      </c>
      <c r="CI97" s="6"/>
      <c r="CJ97" s="6">
        <f t="shared" si="42"/>
        <v>0</v>
      </c>
      <c r="CK97" s="6">
        <v>8</v>
      </c>
      <c r="CL97" s="6"/>
      <c r="CM97" s="6">
        <f t="shared" si="43"/>
        <v>8</v>
      </c>
      <c r="CN97" s="6"/>
      <c r="CO97" s="6"/>
      <c r="CP97" s="6"/>
      <c r="CQ97" s="6">
        <v>408</v>
      </c>
      <c r="CR97" s="6"/>
      <c r="CS97" s="6">
        <f t="shared" si="44"/>
        <v>400</v>
      </c>
      <c r="CT97" s="6">
        <v>796</v>
      </c>
      <c r="CU97" s="6"/>
      <c r="CV97" s="6">
        <f t="shared" si="45"/>
        <v>388</v>
      </c>
      <c r="CW97" s="6">
        <v>1185</v>
      </c>
      <c r="CX97" s="6"/>
      <c r="CY97" s="6">
        <f t="shared" si="46"/>
        <v>389</v>
      </c>
      <c r="CZ97" s="6">
        <v>6</v>
      </c>
      <c r="DA97" s="6">
        <v>1574</v>
      </c>
      <c r="DB97" s="6">
        <f t="shared" si="47"/>
        <v>395</v>
      </c>
      <c r="DC97" s="6">
        <v>400</v>
      </c>
      <c r="DD97" s="6"/>
      <c r="DE97" s="6">
        <f t="shared" si="48"/>
        <v>394</v>
      </c>
      <c r="DF97" s="6">
        <v>781</v>
      </c>
      <c r="DG97" s="6"/>
      <c r="DH97" s="6">
        <f t="shared" si="49"/>
        <v>381</v>
      </c>
      <c r="DI97" s="6"/>
      <c r="DJ97" s="6"/>
      <c r="DK97" s="6"/>
      <c r="DL97" s="6">
        <v>1181</v>
      </c>
      <c r="DM97" s="6"/>
      <c r="DN97" s="6">
        <f t="shared" si="50"/>
        <v>400</v>
      </c>
      <c r="DO97" s="6">
        <v>1553</v>
      </c>
      <c r="DP97" s="6"/>
      <c r="DQ97" s="6">
        <f t="shared" si="51"/>
        <v>372</v>
      </c>
    </row>
    <row r="98" spans="1:121">
      <c r="A98" s="6">
        <v>94</v>
      </c>
      <c r="B98" s="6">
        <v>802</v>
      </c>
      <c r="C98" s="6"/>
      <c r="D98" s="6">
        <v>331</v>
      </c>
      <c r="E98" s="33" t="s">
        <v>37</v>
      </c>
      <c r="F98" s="33" t="s">
        <v>37</v>
      </c>
      <c r="G98" s="33" t="s">
        <v>37</v>
      </c>
      <c r="H98" s="33" t="s">
        <v>37</v>
      </c>
      <c r="I98" s="148" t="s">
        <v>37</v>
      </c>
      <c r="J98" s="33" t="s">
        <v>37</v>
      </c>
      <c r="K98" s="33" t="s">
        <v>37</v>
      </c>
      <c r="L98" s="33" t="s">
        <v>37</v>
      </c>
      <c r="M98" s="33" t="s">
        <v>37</v>
      </c>
      <c r="N98" s="33" t="s">
        <v>37</v>
      </c>
      <c r="O98" s="33" t="s">
        <v>37</v>
      </c>
      <c r="P98" s="33" t="s">
        <v>37</v>
      </c>
      <c r="Q98" s="33" t="s">
        <v>37</v>
      </c>
      <c r="R98" s="33" t="s">
        <v>37</v>
      </c>
      <c r="S98" s="33" t="s">
        <v>37</v>
      </c>
      <c r="T98" s="33" t="s">
        <v>37</v>
      </c>
      <c r="U98" s="33" t="s">
        <v>37</v>
      </c>
      <c r="V98" s="33" t="s">
        <v>37</v>
      </c>
      <c r="W98" s="33" t="s">
        <v>37</v>
      </c>
      <c r="X98" s="33" t="s">
        <v>37</v>
      </c>
      <c r="Y98" s="33" t="s">
        <v>37</v>
      </c>
      <c r="Z98" s="33" t="s">
        <v>37</v>
      </c>
      <c r="AA98" s="33" t="s">
        <v>37</v>
      </c>
      <c r="AB98" s="33" t="s">
        <v>37</v>
      </c>
      <c r="AC98" s="33" t="s">
        <v>37</v>
      </c>
      <c r="AD98" s="33" t="s">
        <v>37</v>
      </c>
      <c r="AE98" s="148" t="s">
        <v>37</v>
      </c>
      <c r="AF98" s="6">
        <v>1186</v>
      </c>
      <c r="AG98" s="6"/>
      <c r="AH98" s="35">
        <f t="shared" si="26"/>
        <v>384</v>
      </c>
      <c r="AI98" s="6">
        <v>1555</v>
      </c>
      <c r="AJ98" s="6"/>
      <c r="AK98" s="35">
        <f t="shared" si="27"/>
        <v>369</v>
      </c>
      <c r="AL98" s="35">
        <v>0</v>
      </c>
      <c r="AM98" s="35">
        <v>1889</v>
      </c>
      <c r="AN98" s="35">
        <f t="shared" si="28"/>
        <v>334</v>
      </c>
      <c r="AO98" s="6">
        <v>365</v>
      </c>
      <c r="AP98" s="6"/>
      <c r="AQ98" s="35">
        <f t="shared" si="29"/>
        <v>365</v>
      </c>
      <c r="AR98" s="6">
        <v>747</v>
      </c>
      <c r="AS98" s="6"/>
      <c r="AT98" s="34">
        <f t="shared" si="30"/>
        <v>382</v>
      </c>
      <c r="AU98" s="35">
        <v>1100</v>
      </c>
      <c r="AV98" s="35"/>
      <c r="AW98" s="35">
        <f t="shared" si="31"/>
        <v>353</v>
      </c>
      <c r="AX98" s="6"/>
      <c r="AY98" s="6"/>
      <c r="AZ98" s="35"/>
      <c r="BA98" s="35">
        <v>1481</v>
      </c>
      <c r="BB98" s="35"/>
      <c r="BC98" s="35">
        <f t="shared" si="32"/>
        <v>381</v>
      </c>
      <c r="BD98" s="6">
        <v>296</v>
      </c>
      <c r="BE98" s="6">
        <v>1565</v>
      </c>
      <c r="BF98" s="35">
        <f t="shared" si="33"/>
        <v>380</v>
      </c>
      <c r="BG98" s="6">
        <v>679</v>
      </c>
      <c r="BH98" s="6"/>
      <c r="BI98" s="35">
        <f t="shared" si="34"/>
        <v>383</v>
      </c>
      <c r="BJ98" s="6">
        <v>1059</v>
      </c>
      <c r="BK98" s="6"/>
      <c r="BL98" s="35">
        <f t="shared" si="35"/>
        <v>380</v>
      </c>
      <c r="BM98" s="6">
        <v>1440</v>
      </c>
      <c r="BN98" s="35"/>
      <c r="BO98" s="6">
        <f t="shared" si="36"/>
        <v>381</v>
      </c>
      <c r="BP98" s="6">
        <v>245</v>
      </c>
      <c r="BQ98" s="6">
        <v>1560</v>
      </c>
      <c r="BR98" s="6">
        <f t="shared" si="37"/>
        <v>365</v>
      </c>
      <c r="BS98" s="6"/>
      <c r="BT98" s="6"/>
      <c r="BU98" s="35"/>
      <c r="BV98" s="6">
        <v>628</v>
      </c>
      <c r="BW98" s="6"/>
      <c r="BX98" s="6">
        <f t="shared" si="38"/>
        <v>383</v>
      </c>
      <c r="BY98" s="6">
        <v>1006</v>
      </c>
      <c r="BZ98" s="6"/>
      <c r="CA98" s="35">
        <f t="shared" si="39"/>
        <v>378</v>
      </c>
      <c r="CB98" s="6">
        <v>1387</v>
      </c>
      <c r="CC98" s="35"/>
      <c r="CD98" s="6">
        <f t="shared" si="40"/>
        <v>381</v>
      </c>
      <c r="CE98" s="6">
        <v>207</v>
      </c>
      <c r="CF98" s="6">
        <v>1560</v>
      </c>
      <c r="CG98" s="6">
        <f t="shared" si="41"/>
        <v>380</v>
      </c>
      <c r="CH98" s="6">
        <v>586</v>
      </c>
      <c r="CI98" s="35"/>
      <c r="CJ98" s="6">
        <f t="shared" si="42"/>
        <v>379</v>
      </c>
      <c r="CK98" s="6">
        <v>959</v>
      </c>
      <c r="CL98" s="6"/>
      <c r="CM98" s="6">
        <f t="shared" si="43"/>
        <v>373</v>
      </c>
      <c r="CN98" s="6"/>
      <c r="CO98" s="6"/>
      <c r="CP98" s="6"/>
      <c r="CQ98" s="6">
        <v>1344</v>
      </c>
      <c r="CR98" s="6"/>
      <c r="CS98" s="6">
        <f t="shared" si="44"/>
        <v>385</v>
      </c>
      <c r="CT98" s="6">
        <v>160</v>
      </c>
      <c r="CU98" s="6">
        <v>1560</v>
      </c>
      <c r="CV98" s="6">
        <f t="shared" si="45"/>
        <v>376</v>
      </c>
      <c r="CW98" s="6">
        <v>541</v>
      </c>
      <c r="CX98" s="6"/>
      <c r="CY98" s="6">
        <f t="shared" si="46"/>
        <v>381</v>
      </c>
      <c r="CZ98" s="6">
        <v>917</v>
      </c>
      <c r="DA98" s="6"/>
      <c r="DB98" s="6">
        <f t="shared" si="47"/>
        <v>376</v>
      </c>
      <c r="DC98" s="6">
        <v>1110</v>
      </c>
      <c r="DD98" s="6"/>
      <c r="DE98" s="6">
        <f t="shared" si="48"/>
        <v>193</v>
      </c>
      <c r="DF98" s="6">
        <v>1464</v>
      </c>
      <c r="DG98" s="6"/>
      <c r="DH98" s="6">
        <f t="shared" si="49"/>
        <v>354</v>
      </c>
      <c r="DI98" s="6"/>
      <c r="DJ98" s="6"/>
      <c r="DK98" s="6"/>
      <c r="DL98" s="6">
        <v>0</v>
      </c>
      <c r="DM98" s="6">
        <v>1616</v>
      </c>
      <c r="DN98" s="6">
        <f t="shared" si="50"/>
        <v>152</v>
      </c>
      <c r="DO98" s="6">
        <v>345</v>
      </c>
      <c r="DP98" s="6"/>
      <c r="DQ98" s="6">
        <f t="shared" si="51"/>
        <v>345</v>
      </c>
    </row>
    <row r="99" spans="1:121">
      <c r="A99" s="6">
        <v>95</v>
      </c>
      <c r="B99" s="6">
        <v>1165</v>
      </c>
      <c r="C99" s="6"/>
      <c r="D99" s="6">
        <v>353</v>
      </c>
      <c r="E99" s="33" t="s">
        <v>307</v>
      </c>
      <c r="F99" s="33" t="s">
        <v>307</v>
      </c>
      <c r="G99" s="33" t="s">
        <v>307</v>
      </c>
      <c r="H99" s="33" t="s">
        <v>307</v>
      </c>
      <c r="I99" s="33" t="s">
        <v>307</v>
      </c>
      <c r="J99" s="33" t="s">
        <v>307</v>
      </c>
      <c r="K99" s="33" t="s">
        <v>307</v>
      </c>
      <c r="L99" s="33" t="s">
        <v>307</v>
      </c>
      <c r="M99" s="33" t="s">
        <v>307</v>
      </c>
      <c r="N99" s="33" t="s">
        <v>307</v>
      </c>
      <c r="O99" s="33" t="s">
        <v>307</v>
      </c>
      <c r="P99" s="148" t="s">
        <v>307</v>
      </c>
      <c r="Q99" s="33" t="s">
        <v>307</v>
      </c>
      <c r="R99" s="33" t="s">
        <v>307</v>
      </c>
      <c r="S99" s="33" t="s">
        <v>307</v>
      </c>
      <c r="T99" s="33" t="s">
        <v>307</v>
      </c>
      <c r="U99" s="33" t="s">
        <v>307</v>
      </c>
      <c r="V99" s="33" t="s">
        <v>307</v>
      </c>
      <c r="W99" s="33" t="s">
        <v>307</v>
      </c>
      <c r="X99" s="33" t="s">
        <v>307</v>
      </c>
      <c r="Y99" s="33" t="s">
        <v>307</v>
      </c>
      <c r="Z99" s="33" t="s">
        <v>307</v>
      </c>
      <c r="AA99" s="33" t="s">
        <v>307</v>
      </c>
      <c r="AB99" s="33" t="s">
        <v>307</v>
      </c>
      <c r="AC99" s="33" t="s">
        <v>307</v>
      </c>
      <c r="AD99" s="33" t="s">
        <v>307</v>
      </c>
      <c r="AE99" s="33" t="s">
        <v>307</v>
      </c>
      <c r="AF99" s="6">
        <v>25</v>
      </c>
      <c r="AG99" s="6">
        <f>1370+173</f>
        <v>1543</v>
      </c>
      <c r="AH99" s="35">
        <f t="shared" si="26"/>
        <v>403</v>
      </c>
      <c r="AI99" s="6">
        <v>406</v>
      </c>
      <c r="AJ99" s="6"/>
      <c r="AK99" s="35">
        <f t="shared" si="27"/>
        <v>381</v>
      </c>
      <c r="AL99" s="35">
        <v>795</v>
      </c>
      <c r="AM99" s="35"/>
      <c r="AN99" s="35">
        <f t="shared" si="28"/>
        <v>389</v>
      </c>
      <c r="AO99" s="6">
        <v>1181</v>
      </c>
      <c r="AP99" s="6"/>
      <c r="AQ99" s="35">
        <f t="shared" si="29"/>
        <v>386</v>
      </c>
      <c r="AR99" s="6">
        <v>4</v>
      </c>
      <c r="AS99" s="6">
        <v>1560</v>
      </c>
      <c r="AT99" s="34">
        <f t="shared" si="30"/>
        <v>383</v>
      </c>
      <c r="AU99" s="35">
        <v>371</v>
      </c>
      <c r="AV99" s="35"/>
      <c r="AW99" s="35">
        <f t="shared" si="31"/>
        <v>367</v>
      </c>
      <c r="AX99" s="6"/>
      <c r="AY99" s="6"/>
      <c r="AZ99" s="35"/>
      <c r="BA99" s="6">
        <v>758</v>
      </c>
      <c r="BB99" s="6"/>
      <c r="BC99" s="35">
        <f t="shared" si="32"/>
        <v>387</v>
      </c>
      <c r="BD99" s="35">
        <v>1141</v>
      </c>
      <c r="BE99" s="35"/>
      <c r="BF99" s="35">
        <f t="shared" si="33"/>
        <v>383</v>
      </c>
      <c r="BG99" s="6">
        <v>1531</v>
      </c>
      <c r="BH99" s="6"/>
      <c r="BI99" s="35">
        <f t="shared" si="34"/>
        <v>390</v>
      </c>
      <c r="BJ99" s="6">
        <v>0</v>
      </c>
      <c r="BK99" s="6">
        <f>1545+287</f>
        <v>1832</v>
      </c>
      <c r="BL99" s="35">
        <f t="shared" si="35"/>
        <v>301</v>
      </c>
      <c r="BM99" s="6">
        <v>376</v>
      </c>
      <c r="BN99" s="6"/>
      <c r="BO99" s="6">
        <f t="shared" si="36"/>
        <v>376</v>
      </c>
      <c r="BP99" s="6">
        <v>748</v>
      </c>
      <c r="BQ99" s="6"/>
      <c r="BR99" s="6">
        <f t="shared" si="37"/>
        <v>372</v>
      </c>
      <c r="BS99" s="6"/>
      <c r="BT99" s="6"/>
      <c r="BU99" s="35"/>
      <c r="BV99" s="6">
        <v>1134</v>
      </c>
      <c r="BW99" s="6"/>
      <c r="BX99" s="6">
        <f t="shared" si="38"/>
        <v>386</v>
      </c>
      <c r="BY99" s="6">
        <v>1528</v>
      </c>
      <c r="BZ99" s="6"/>
      <c r="CA99" s="35">
        <f t="shared" si="39"/>
        <v>394</v>
      </c>
      <c r="CB99" s="6">
        <v>0</v>
      </c>
      <c r="CC99" s="6">
        <v>1820</v>
      </c>
      <c r="CD99" s="6">
        <f t="shared" si="40"/>
        <v>292</v>
      </c>
      <c r="CE99" s="6">
        <v>0</v>
      </c>
      <c r="CF99" s="6"/>
      <c r="CG99" s="6">
        <f t="shared" si="41"/>
        <v>0</v>
      </c>
      <c r="CH99" s="6">
        <v>0</v>
      </c>
      <c r="CI99" s="6"/>
      <c r="CJ99" s="6">
        <f t="shared" si="42"/>
        <v>0</v>
      </c>
      <c r="CK99" s="6">
        <v>13</v>
      </c>
      <c r="CL99" s="6"/>
      <c r="CM99" s="6">
        <f t="shared" si="43"/>
        <v>13</v>
      </c>
      <c r="CN99" s="6"/>
      <c r="CO99" s="6"/>
      <c r="CP99" s="6"/>
      <c r="CQ99" s="6">
        <v>419</v>
      </c>
      <c r="CR99" s="6"/>
      <c r="CS99" s="6">
        <f t="shared" si="44"/>
        <v>406</v>
      </c>
      <c r="CT99" s="6">
        <v>816</v>
      </c>
      <c r="CU99" s="6"/>
      <c r="CV99" s="6">
        <f t="shared" si="45"/>
        <v>397</v>
      </c>
      <c r="CW99" s="6">
        <v>1212</v>
      </c>
      <c r="CX99" s="6"/>
      <c r="CY99" s="6">
        <f t="shared" si="46"/>
        <v>396</v>
      </c>
      <c r="CZ99" s="6">
        <v>8</v>
      </c>
      <c r="DA99" s="6">
        <v>1592</v>
      </c>
      <c r="DB99" s="6">
        <f t="shared" si="47"/>
        <v>388</v>
      </c>
      <c r="DC99" s="6">
        <v>408</v>
      </c>
      <c r="DD99" s="6"/>
      <c r="DE99" s="6">
        <f t="shared" si="48"/>
        <v>400</v>
      </c>
      <c r="DF99" s="6">
        <v>788</v>
      </c>
      <c r="DG99" s="6"/>
      <c r="DH99" s="6">
        <f t="shared" si="49"/>
        <v>380</v>
      </c>
      <c r="DI99" s="6"/>
      <c r="DJ99" s="6"/>
      <c r="DK99" s="6"/>
      <c r="DL99" s="6">
        <v>1190</v>
      </c>
      <c r="DM99" s="6"/>
      <c r="DN99" s="6">
        <f t="shared" si="50"/>
        <v>402</v>
      </c>
      <c r="DO99" s="6">
        <v>1562</v>
      </c>
      <c r="DP99" s="6"/>
      <c r="DQ99" s="6">
        <f t="shared" si="51"/>
        <v>372</v>
      </c>
    </row>
    <row r="100" spans="1:121">
      <c r="A100" s="6">
        <v>96</v>
      </c>
      <c r="B100" s="6">
        <v>927</v>
      </c>
      <c r="C100" s="6"/>
      <c r="D100" s="6">
        <v>346</v>
      </c>
      <c r="E100" s="33" t="s">
        <v>37</v>
      </c>
      <c r="F100" s="148" t="s">
        <v>307</v>
      </c>
      <c r="G100" s="33" t="s">
        <v>307</v>
      </c>
      <c r="H100" s="33" t="s">
        <v>307</v>
      </c>
      <c r="I100" s="33" t="s">
        <v>307</v>
      </c>
      <c r="J100" s="33" t="s">
        <v>307</v>
      </c>
      <c r="K100" s="33" t="s">
        <v>307</v>
      </c>
      <c r="L100" s="33" t="s">
        <v>307</v>
      </c>
      <c r="M100" s="33" t="s">
        <v>307</v>
      </c>
      <c r="N100" s="33" t="s">
        <v>307</v>
      </c>
      <c r="O100" s="33" t="s">
        <v>307</v>
      </c>
      <c r="P100" s="33" t="s">
        <v>307</v>
      </c>
      <c r="Q100" s="33" t="s">
        <v>307</v>
      </c>
      <c r="R100" s="33" t="s">
        <v>307</v>
      </c>
      <c r="S100" s="33" t="s">
        <v>307</v>
      </c>
      <c r="T100" s="33" t="s">
        <v>307</v>
      </c>
      <c r="U100" s="33" t="s">
        <v>307</v>
      </c>
      <c r="V100" s="33" t="s">
        <v>307</v>
      </c>
      <c r="W100" s="33" t="s">
        <v>307</v>
      </c>
      <c r="X100" s="33" t="s">
        <v>307</v>
      </c>
      <c r="Y100" s="33" t="s">
        <v>307</v>
      </c>
      <c r="Z100" s="33" t="s">
        <v>307</v>
      </c>
      <c r="AA100" s="33" t="s">
        <v>307</v>
      </c>
      <c r="AB100" s="33" t="s">
        <v>307</v>
      </c>
      <c r="AC100" s="33" t="s">
        <v>307</v>
      </c>
      <c r="AD100" s="148" t="s">
        <v>307</v>
      </c>
      <c r="AE100" s="33" t="s">
        <v>307</v>
      </c>
      <c r="AF100" s="6">
        <v>364</v>
      </c>
      <c r="AG100" s="6">
        <v>938</v>
      </c>
      <c r="AH100" s="35">
        <f t="shared" si="26"/>
        <v>375</v>
      </c>
      <c r="AI100" s="35">
        <v>741</v>
      </c>
      <c r="AJ100" s="6"/>
      <c r="AK100" s="35">
        <f t="shared" si="27"/>
        <v>377</v>
      </c>
      <c r="AL100" s="35">
        <v>1118</v>
      </c>
      <c r="AM100" s="35"/>
      <c r="AN100" s="35">
        <f t="shared" si="28"/>
        <v>377</v>
      </c>
      <c r="AO100" s="6">
        <v>1497</v>
      </c>
      <c r="AP100" s="6"/>
      <c r="AQ100" s="35">
        <f t="shared" si="29"/>
        <v>379</v>
      </c>
      <c r="AR100" s="6">
        <v>318</v>
      </c>
      <c r="AS100" s="6">
        <v>1561</v>
      </c>
      <c r="AT100" s="34">
        <f t="shared" si="30"/>
        <v>382</v>
      </c>
      <c r="AU100" s="35">
        <v>670</v>
      </c>
      <c r="AV100" s="35"/>
      <c r="AW100" s="35">
        <f t="shared" si="31"/>
        <v>352</v>
      </c>
      <c r="AX100" s="6"/>
      <c r="AY100" s="6"/>
      <c r="AZ100" s="35"/>
      <c r="BA100" s="35">
        <v>378</v>
      </c>
      <c r="BB100" s="6">
        <v>675</v>
      </c>
      <c r="BC100" s="35">
        <f t="shared" si="32"/>
        <v>383</v>
      </c>
      <c r="BD100" s="35">
        <v>736</v>
      </c>
      <c r="BE100" s="35"/>
      <c r="BF100" s="35">
        <f t="shared" si="33"/>
        <v>358</v>
      </c>
      <c r="BG100" s="6">
        <v>1109</v>
      </c>
      <c r="BH100" s="6"/>
      <c r="BI100" s="35">
        <f t="shared" si="34"/>
        <v>373</v>
      </c>
      <c r="BJ100" s="6">
        <v>1489</v>
      </c>
      <c r="BK100" s="6"/>
      <c r="BL100" s="35">
        <f t="shared" si="35"/>
        <v>380</v>
      </c>
      <c r="BM100" s="6">
        <v>217</v>
      </c>
      <c r="BN100" s="6">
        <v>1560</v>
      </c>
      <c r="BO100" s="6">
        <f t="shared" si="36"/>
        <v>288</v>
      </c>
      <c r="BP100" s="6">
        <v>584</v>
      </c>
      <c r="BQ100" s="6"/>
      <c r="BR100" s="6">
        <f t="shared" si="37"/>
        <v>367</v>
      </c>
      <c r="BS100" s="6"/>
      <c r="BT100" s="6"/>
      <c r="BU100" s="35"/>
      <c r="BV100" s="6">
        <v>968</v>
      </c>
      <c r="BW100" s="6"/>
      <c r="BX100" s="6">
        <f t="shared" si="38"/>
        <v>384</v>
      </c>
      <c r="BY100" s="6">
        <v>1352</v>
      </c>
      <c r="BZ100" s="6"/>
      <c r="CA100" s="35">
        <f t="shared" si="39"/>
        <v>384</v>
      </c>
      <c r="CB100" s="6">
        <v>1742</v>
      </c>
      <c r="CC100" s="6"/>
      <c r="CD100" s="6">
        <f t="shared" si="40"/>
        <v>390</v>
      </c>
      <c r="CE100" s="6">
        <v>0</v>
      </c>
      <c r="CF100" s="6">
        <v>1820</v>
      </c>
      <c r="CG100" s="6">
        <f t="shared" si="41"/>
        <v>78</v>
      </c>
      <c r="CH100" s="6">
        <v>0</v>
      </c>
      <c r="CI100" s="6"/>
      <c r="CJ100" s="6">
        <f t="shared" si="42"/>
        <v>0</v>
      </c>
      <c r="CK100" s="6">
        <v>16</v>
      </c>
      <c r="CL100" s="6"/>
      <c r="CM100" s="6">
        <f t="shared" si="43"/>
        <v>16</v>
      </c>
      <c r="CN100" s="6"/>
      <c r="CO100" s="6"/>
      <c r="CP100" s="6"/>
      <c r="CQ100" s="6">
        <v>413</v>
      </c>
      <c r="CR100" s="6"/>
      <c r="CS100" s="6">
        <f t="shared" si="44"/>
        <v>397</v>
      </c>
      <c r="CT100" s="6">
        <v>802</v>
      </c>
      <c r="CU100" s="6"/>
      <c r="CV100" s="6">
        <f t="shared" si="45"/>
        <v>389</v>
      </c>
      <c r="CW100" s="6">
        <v>1195</v>
      </c>
      <c r="CX100" s="6"/>
      <c r="CY100" s="6">
        <f t="shared" si="46"/>
        <v>393</v>
      </c>
      <c r="CZ100" s="6">
        <v>6</v>
      </c>
      <c r="DA100" s="6">
        <v>1577</v>
      </c>
      <c r="DB100" s="6">
        <f t="shared" si="47"/>
        <v>388</v>
      </c>
      <c r="DC100" s="6">
        <v>398</v>
      </c>
      <c r="DD100" s="6"/>
      <c r="DE100" s="6">
        <f t="shared" si="48"/>
        <v>392</v>
      </c>
      <c r="DF100" s="6">
        <v>0</v>
      </c>
      <c r="DG100" s="6">
        <v>592</v>
      </c>
      <c r="DH100" s="6">
        <f t="shared" si="49"/>
        <v>194</v>
      </c>
      <c r="DI100" s="6"/>
      <c r="DJ100" s="6"/>
      <c r="DK100" s="6"/>
      <c r="DL100" s="6">
        <v>380</v>
      </c>
      <c r="DM100" s="6"/>
      <c r="DN100" s="6">
        <f t="shared" si="50"/>
        <v>380</v>
      </c>
      <c r="DO100" s="6">
        <v>743</v>
      </c>
      <c r="DP100" s="6"/>
      <c r="DQ100" s="6">
        <f t="shared" si="51"/>
        <v>363</v>
      </c>
    </row>
    <row r="101" spans="1:121">
      <c r="A101" s="6">
        <v>97</v>
      </c>
      <c r="B101" s="6">
        <v>1320</v>
      </c>
      <c r="C101" s="6"/>
      <c r="D101" s="6">
        <v>345</v>
      </c>
      <c r="E101" s="33" t="s">
        <v>37</v>
      </c>
      <c r="F101" s="33" t="s">
        <v>37</v>
      </c>
      <c r="G101" s="33" t="s">
        <v>37</v>
      </c>
      <c r="H101" s="33" t="s">
        <v>37</v>
      </c>
      <c r="I101" s="33" t="s">
        <v>37</v>
      </c>
      <c r="J101" s="33" t="s">
        <v>37</v>
      </c>
      <c r="K101" s="33" t="s">
        <v>37</v>
      </c>
      <c r="L101" s="33" t="s">
        <v>37</v>
      </c>
      <c r="M101" s="33" t="s">
        <v>37</v>
      </c>
      <c r="N101" s="33" t="s">
        <v>37</v>
      </c>
      <c r="O101" s="33" t="s">
        <v>37</v>
      </c>
      <c r="P101" s="33" t="s">
        <v>37</v>
      </c>
      <c r="Q101" s="33" t="s">
        <v>37</v>
      </c>
      <c r="R101" s="33" t="s">
        <v>37</v>
      </c>
      <c r="S101" s="148" t="s">
        <v>37</v>
      </c>
      <c r="T101" s="33" t="s">
        <v>37</v>
      </c>
      <c r="U101" s="33" t="s">
        <v>37</v>
      </c>
      <c r="V101" s="33" t="s">
        <v>37</v>
      </c>
      <c r="W101" s="33" t="s">
        <v>37</v>
      </c>
      <c r="X101" s="33" t="s">
        <v>37</v>
      </c>
      <c r="Y101" s="33" t="s">
        <v>37</v>
      </c>
      <c r="Z101" s="33" t="s">
        <v>37</v>
      </c>
      <c r="AA101" s="33" t="s">
        <v>37</v>
      </c>
      <c r="AB101" s="33" t="s">
        <v>37</v>
      </c>
      <c r="AC101" s="33" t="s">
        <v>37</v>
      </c>
      <c r="AD101" s="33" t="s">
        <v>37</v>
      </c>
      <c r="AE101" s="33" t="s">
        <v>37</v>
      </c>
      <c r="AF101" s="6">
        <v>155</v>
      </c>
      <c r="AG101" s="6">
        <v>1564</v>
      </c>
      <c r="AH101" s="35">
        <f t="shared" si="26"/>
        <v>399</v>
      </c>
      <c r="AI101" s="6">
        <v>526</v>
      </c>
      <c r="AJ101" s="6"/>
      <c r="AK101" s="35">
        <f t="shared" si="27"/>
        <v>371</v>
      </c>
      <c r="AL101" s="35">
        <v>901</v>
      </c>
      <c r="AM101" s="35"/>
      <c r="AN101" s="35">
        <f t="shared" si="28"/>
        <v>375</v>
      </c>
      <c r="AO101" s="6">
        <v>1272</v>
      </c>
      <c r="AP101" s="6"/>
      <c r="AQ101" s="35">
        <f t="shared" si="29"/>
        <v>371</v>
      </c>
      <c r="AR101" s="6">
        <v>74</v>
      </c>
      <c r="AS101" s="6">
        <v>1565</v>
      </c>
      <c r="AT101" s="34">
        <f t="shared" si="30"/>
        <v>367</v>
      </c>
      <c r="AU101" s="35">
        <v>425</v>
      </c>
      <c r="AV101" s="35"/>
      <c r="AW101" s="35">
        <f t="shared" si="31"/>
        <v>351</v>
      </c>
      <c r="AX101" s="6"/>
      <c r="AY101" s="6"/>
      <c r="AZ101" s="35"/>
      <c r="BA101" s="6">
        <v>800</v>
      </c>
      <c r="BB101" s="6"/>
      <c r="BC101" s="35">
        <f t="shared" si="32"/>
        <v>375</v>
      </c>
      <c r="BD101" s="35">
        <v>1174</v>
      </c>
      <c r="BE101" s="35"/>
      <c r="BF101" s="35">
        <f t="shared" si="33"/>
        <v>374</v>
      </c>
      <c r="BG101" s="6">
        <v>1542</v>
      </c>
      <c r="BH101" s="6"/>
      <c r="BI101" s="35">
        <f t="shared" si="34"/>
        <v>368</v>
      </c>
      <c r="BJ101" s="6">
        <v>374</v>
      </c>
      <c r="BK101" s="6">
        <v>1560</v>
      </c>
      <c r="BL101" s="35">
        <f t="shared" si="35"/>
        <v>392</v>
      </c>
      <c r="BM101" s="6">
        <v>764</v>
      </c>
      <c r="BN101" s="6"/>
      <c r="BO101" s="6">
        <f t="shared" si="36"/>
        <v>390</v>
      </c>
      <c r="BP101" s="6">
        <v>1139</v>
      </c>
      <c r="BQ101" s="6"/>
      <c r="BR101" s="6">
        <f t="shared" si="37"/>
        <v>375</v>
      </c>
      <c r="BS101" s="6"/>
      <c r="BT101" s="6"/>
      <c r="BU101" s="35"/>
      <c r="BV101" s="6">
        <v>1530</v>
      </c>
      <c r="BW101" s="6"/>
      <c r="BX101" s="6">
        <f t="shared" si="38"/>
        <v>391</v>
      </c>
      <c r="BY101" s="6">
        <v>307</v>
      </c>
      <c r="BZ101" s="6">
        <v>1587</v>
      </c>
      <c r="CA101" s="35">
        <f t="shared" si="39"/>
        <v>364</v>
      </c>
      <c r="CB101" s="6">
        <v>699</v>
      </c>
      <c r="CC101" s="6"/>
      <c r="CD101" s="6">
        <f t="shared" si="40"/>
        <v>392</v>
      </c>
      <c r="CE101" s="6">
        <v>1088</v>
      </c>
      <c r="CF101" s="6"/>
      <c r="CG101" s="6">
        <f t="shared" si="41"/>
        <v>389</v>
      </c>
      <c r="CH101" s="6">
        <v>1477</v>
      </c>
      <c r="CI101" s="6"/>
      <c r="CJ101" s="6">
        <f t="shared" si="42"/>
        <v>389</v>
      </c>
      <c r="CK101" s="6">
        <v>299</v>
      </c>
      <c r="CL101" s="6">
        <v>1560</v>
      </c>
      <c r="CM101" s="6">
        <f t="shared" si="43"/>
        <v>382</v>
      </c>
      <c r="CN101" s="6"/>
      <c r="CO101" s="6"/>
      <c r="CP101" s="6"/>
      <c r="CQ101" s="6">
        <v>695</v>
      </c>
      <c r="CR101" s="6"/>
      <c r="CS101" s="6">
        <f t="shared" si="44"/>
        <v>396</v>
      </c>
      <c r="CT101" s="6">
        <v>1081</v>
      </c>
      <c r="CU101" s="6"/>
      <c r="CV101" s="6">
        <f t="shared" si="45"/>
        <v>386</v>
      </c>
      <c r="CW101" s="6">
        <v>1474</v>
      </c>
      <c r="CX101" s="6"/>
      <c r="CY101" s="6">
        <f t="shared" si="46"/>
        <v>393</v>
      </c>
      <c r="CZ101" s="6">
        <v>301</v>
      </c>
      <c r="DA101" s="6">
        <v>1560</v>
      </c>
      <c r="DB101" s="6">
        <f t="shared" si="47"/>
        <v>387</v>
      </c>
      <c r="DC101" s="6">
        <v>695</v>
      </c>
      <c r="DD101" s="6"/>
      <c r="DE101" s="6">
        <f t="shared" si="48"/>
        <v>394</v>
      </c>
      <c r="DF101" s="6">
        <v>1068</v>
      </c>
      <c r="DG101" s="6"/>
      <c r="DH101" s="6">
        <f t="shared" si="49"/>
        <v>373</v>
      </c>
      <c r="DI101" s="6"/>
      <c r="DJ101" s="6"/>
      <c r="DK101" s="6"/>
      <c r="DL101" s="6">
        <v>1459</v>
      </c>
      <c r="DM101" s="6"/>
      <c r="DN101" s="6">
        <f t="shared" si="50"/>
        <v>391</v>
      </c>
      <c r="DO101" s="6">
        <v>259</v>
      </c>
      <c r="DP101" s="6">
        <v>1561</v>
      </c>
      <c r="DQ101" s="6">
        <f t="shared" si="51"/>
        <v>361</v>
      </c>
    </row>
    <row r="102" spans="1:121">
      <c r="A102" s="6">
        <v>98</v>
      </c>
      <c r="B102" s="6">
        <v>687</v>
      </c>
      <c r="C102" s="6"/>
      <c r="D102" s="6">
        <v>344</v>
      </c>
      <c r="E102" s="33" t="s">
        <v>37</v>
      </c>
      <c r="F102" s="33" t="s">
        <v>37</v>
      </c>
      <c r="G102" s="33" t="s">
        <v>37</v>
      </c>
      <c r="H102" s="33" t="s">
        <v>37</v>
      </c>
      <c r="I102" s="33" t="s">
        <v>37</v>
      </c>
      <c r="J102" s="148" t="s">
        <v>37</v>
      </c>
      <c r="K102" s="33" t="s">
        <v>37</v>
      </c>
      <c r="L102" s="33" t="s">
        <v>37</v>
      </c>
      <c r="M102" s="33" t="s">
        <v>37</v>
      </c>
      <c r="N102" s="33" t="s">
        <v>37</v>
      </c>
      <c r="O102" s="33" t="s">
        <v>37</v>
      </c>
      <c r="P102" s="33" t="s">
        <v>37</v>
      </c>
      <c r="Q102" s="33" t="s">
        <v>37</v>
      </c>
      <c r="R102" s="33" t="s">
        <v>37</v>
      </c>
      <c r="S102" s="33" t="s">
        <v>37</v>
      </c>
      <c r="T102" s="33" t="s">
        <v>37</v>
      </c>
      <c r="U102" s="33" t="s">
        <v>37</v>
      </c>
      <c r="V102" s="33" t="s">
        <v>37</v>
      </c>
      <c r="W102" s="33" t="s">
        <v>37</v>
      </c>
      <c r="X102" s="33" t="s">
        <v>37</v>
      </c>
      <c r="Y102" s="33" t="s">
        <v>37</v>
      </c>
      <c r="Z102" s="33" t="s">
        <v>37</v>
      </c>
      <c r="AA102" s="33" t="s">
        <v>37</v>
      </c>
      <c r="AB102" s="33" t="s">
        <v>37</v>
      </c>
      <c r="AC102" s="33" t="s">
        <v>37</v>
      </c>
      <c r="AD102" s="33" t="s">
        <v>37</v>
      </c>
      <c r="AE102" s="148" t="s">
        <v>37</v>
      </c>
      <c r="AF102" s="35">
        <v>1064</v>
      </c>
      <c r="AG102" s="35"/>
      <c r="AH102" s="35">
        <f t="shared" si="26"/>
        <v>377</v>
      </c>
      <c r="AI102" s="35">
        <v>1430</v>
      </c>
      <c r="AJ102" s="35"/>
      <c r="AK102" s="35">
        <f t="shared" si="27"/>
        <v>366</v>
      </c>
      <c r="AL102" s="35">
        <v>252</v>
      </c>
      <c r="AM102" s="35">
        <v>1560</v>
      </c>
      <c r="AN102" s="35">
        <f t="shared" si="28"/>
        <v>382</v>
      </c>
      <c r="AO102" s="35">
        <v>0</v>
      </c>
      <c r="AP102" s="35">
        <v>431</v>
      </c>
      <c r="AQ102" s="35">
        <f t="shared" si="29"/>
        <v>179</v>
      </c>
      <c r="AR102" s="35">
        <v>363</v>
      </c>
      <c r="AS102" s="35"/>
      <c r="AT102" s="34">
        <f t="shared" si="30"/>
        <v>363</v>
      </c>
      <c r="AU102" s="35">
        <v>717</v>
      </c>
      <c r="AV102" s="35"/>
      <c r="AW102" s="35">
        <f t="shared" si="31"/>
        <v>354</v>
      </c>
      <c r="AX102" s="6"/>
      <c r="AY102" s="6"/>
      <c r="AZ102" s="35"/>
      <c r="BA102" s="35">
        <v>1088</v>
      </c>
      <c r="BB102" s="35"/>
      <c r="BC102" s="35">
        <f t="shared" si="32"/>
        <v>371</v>
      </c>
      <c r="BD102" s="6">
        <v>1464</v>
      </c>
      <c r="BE102" s="6"/>
      <c r="BF102" s="35">
        <f t="shared" si="33"/>
        <v>376</v>
      </c>
      <c r="BG102" s="35">
        <v>280</v>
      </c>
      <c r="BH102" s="6">
        <v>1560</v>
      </c>
      <c r="BI102" s="35">
        <f t="shared" si="34"/>
        <v>376</v>
      </c>
      <c r="BJ102" s="6">
        <v>659</v>
      </c>
      <c r="BK102" s="6"/>
      <c r="BL102" s="35">
        <f t="shared" si="35"/>
        <v>379</v>
      </c>
      <c r="BM102" s="35">
        <v>1037</v>
      </c>
      <c r="BN102" s="35"/>
      <c r="BO102" s="6">
        <f t="shared" si="36"/>
        <v>378</v>
      </c>
      <c r="BP102" s="6">
        <v>1401</v>
      </c>
      <c r="BQ102" s="6"/>
      <c r="BR102" s="6">
        <f t="shared" si="37"/>
        <v>364</v>
      </c>
      <c r="BS102" s="6"/>
      <c r="BT102" s="6"/>
      <c r="BU102" s="35"/>
      <c r="BV102" s="6">
        <v>228</v>
      </c>
      <c r="BW102" s="6">
        <v>1560</v>
      </c>
      <c r="BX102" s="6">
        <f t="shared" si="38"/>
        <v>387</v>
      </c>
      <c r="BY102" s="6">
        <v>606</v>
      </c>
      <c r="BZ102" s="6"/>
      <c r="CA102" s="35">
        <f t="shared" si="39"/>
        <v>378</v>
      </c>
      <c r="CB102" s="6">
        <v>992</v>
      </c>
      <c r="CC102" s="35"/>
      <c r="CD102" s="6">
        <f t="shared" si="40"/>
        <v>386</v>
      </c>
      <c r="CE102" s="6">
        <v>1371</v>
      </c>
      <c r="CF102" s="6"/>
      <c r="CG102" s="6">
        <f t="shared" si="41"/>
        <v>379</v>
      </c>
      <c r="CH102" s="6">
        <v>176</v>
      </c>
      <c r="CI102" s="35">
        <v>1560</v>
      </c>
      <c r="CJ102" s="6">
        <f t="shared" si="42"/>
        <v>365</v>
      </c>
      <c r="CK102" s="6">
        <v>542</v>
      </c>
      <c r="CL102" s="6"/>
      <c r="CM102" s="6">
        <f t="shared" si="43"/>
        <v>366</v>
      </c>
      <c r="CN102" s="6"/>
      <c r="CO102" s="6"/>
      <c r="CP102" s="6"/>
      <c r="CQ102" s="6">
        <v>927</v>
      </c>
      <c r="CR102" s="6"/>
      <c r="CS102" s="6">
        <f t="shared" si="44"/>
        <v>385</v>
      </c>
      <c r="CT102" s="6">
        <v>1304</v>
      </c>
      <c r="CU102" s="6"/>
      <c r="CV102" s="6">
        <f t="shared" si="45"/>
        <v>377</v>
      </c>
      <c r="CW102" s="6">
        <v>116</v>
      </c>
      <c r="CX102" s="6">
        <v>1570</v>
      </c>
      <c r="CY102" s="6">
        <f t="shared" si="46"/>
        <v>382</v>
      </c>
      <c r="CZ102" s="6">
        <v>495</v>
      </c>
      <c r="DA102" s="6"/>
      <c r="DB102" s="6">
        <f t="shared" si="47"/>
        <v>379</v>
      </c>
      <c r="DC102" s="6">
        <v>877</v>
      </c>
      <c r="DD102" s="6"/>
      <c r="DE102" s="6">
        <f t="shared" si="48"/>
        <v>382</v>
      </c>
      <c r="DF102" s="6">
        <v>1243</v>
      </c>
      <c r="DG102" s="6"/>
      <c r="DH102" s="6">
        <f t="shared" si="49"/>
        <v>366</v>
      </c>
      <c r="DI102" s="6"/>
      <c r="DJ102" s="6"/>
      <c r="DK102" s="6"/>
      <c r="DL102" s="6">
        <v>0</v>
      </c>
      <c r="DM102" s="6">
        <v>1625</v>
      </c>
      <c r="DN102" s="6">
        <f t="shared" si="50"/>
        <v>382</v>
      </c>
      <c r="DO102" s="6">
        <v>337</v>
      </c>
      <c r="DP102" s="6"/>
      <c r="DQ102" s="6">
        <f t="shared" si="51"/>
        <v>337</v>
      </c>
    </row>
    <row r="103" spans="1:121">
      <c r="A103" s="6">
        <v>99</v>
      </c>
      <c r="B103" s="6">
        <v>1139</v>
      </c>
      <c r="C103" s="6"/>
      <c r="D103" s="6">
        <v>353</v>
      </c>
      <c r="E103" s="33" t="s">
        <v>307</v>
      </c>
      <c r="F103" s="33" t="s">
        <v>307</v>
      </c>
      <c r="G103" s="33" t="s">
        <v>307</v>
      </c>
      <c r="H103" s="33" t="s">
        <v>307</v>
      </c>
      <c r="I103" s="33" t="s">
        <v>307</v>
      </c>
      <c r="J103" s="33" t="s">
        <v>307</v>
      </c>
      <c r="K103" s="33" t="s">
        <v>307</v>
      </c>
      <c r="L103" s="33" t="s">
        <v>307</v>
      </c>
      <c r="M103" s="33" t="s">
        <v>307</v>
      </c>
      <c r="N103" s="33" t="s">
        <v>307</v>
      </c>
      <c r="O103" s="33" t="s">
        <v>307</v>
      </c>
      <c r="P103" s="148" t="s">
        <v>307</v>
      </c>
      <c r="Q103" s="33" t="s">
        <v>307</v>
      </c>
      <c r="R103" s="33" t="s">
        <v>307</v>
      </c>
      <c r="S103" s="33" t="s">
        <v>307</v>
      </c>
      <c r="T103" s="33" t="s">
        <v>307</v>
      </c>
      <c r="U103" s="33" t="s">
        <v>307</v>
      </c>
      <c r="V103" s="33" t="s">
        <v>307</v>
      </c>
      <c r="W103" s="33" t="s">
        <v>307</v>
      </c>
      <c r="X103" s="33" t="s">
        <v>307</v>
      </c>
      <c r="Y103" s="33" t="s">
        <v>307</v>
      </c>
      <c r="Z103" s="33" t="s">
        <v>307</v>
      </c>
      <c r="AA103" s="33" t="s">
        <v>307</v>
      </c>
      <c r="AB103" s="33" t="s">
        <v>307</v>
      </c>
      <c r="AC103" s="33" t="s">
        <v>307</v>
      </c>
      <c r="AD103" s="33" t="s">
        <v>307</v>
      </c>
      <c r="AE103" s="33" t="s">
        <v>307</v>
      </c>
      <c r="AF103" s="6">
        <v>1550</v>
      </c>
      <c r="AG103" s="6"/>
      <c r="AH103" s="35">
        <f t="shared" si="26"/>
        <v>411</v>
      </c>
      <c r="AI103" s="6">
        <v>371</v>
      </c>
      <c r="AJ103" s="6">
        <v>1560</v>
      </c>
      <c r="AK103" s="35">
        <f t="shared" si="27"/>
        <v>381</v>
      </c>
      <c r="AL103" s="35">
        <v>757</v>
      </c>
      <c r="AM103" s="35"/>
      <c r="AN103" s="35">
        <f t="shared" si="28"/>
        <v>386</v>
      </c>
      <c r="AO103" s="6">
        <v>1142</v>
      </c>
      <c r="AP103" s="6"/>
      <c r="AQ103" s="35">
        <f t="shared" si="29"/>
        <v>385</v>
      </c>
      <c r="AR103" s="6">
        <v>1512</v>
      </c>
      <c r="AS103" s="6"/>
      <c r="AT103" s="34">
        <f t="shared" si="30"/>
        <v>370</v>
      </c>
      <c r="AU103" s="35">
        <v>315</v>
      </c>
      <c r="AV103" s="35">
        <v>1560</v>
      </c>
      <c r="AW103" s="35">
        <f t="shared" si="31"/>
        <v>363</v>
      </c>
      <c r="AX103" s="6"/>
      <c r="AY103" s="6"/>
      <c r="AZ103" s="35"/>
      <c r="BA103" s="6">
        <v>697</v>
      </c>
      <c r="BB103" s="6"/>
      <c r="BC103" s="35">
        <f t="shared" si="32"/>
        <v>382</v>
      </c>
      <c r="BD103" s="35">
        <v>1066</v>
      </c>
      <c r="BE103" s="35"/>
      <c r="BF103" s="35">
        <f t="shared" si="33"/>
        <v>369</v>
      </c>
      <c r="BG103" s="6">
        <v>1447</v>
      </c>
      <c r="BH103" s="6"/>
      <c r="BI103" s="35">
        <f t="shared" si="34"/>
        <v>381</v>
      </c>
      <c r="BJ103" s="6">
        <v>1835</v>
      </c>
      <c r="BK103" s="6"/>
      <c r="BL103" s="35">
        <f t="shared" si="35"/>
        <v>388</v>
      </c>
      <c r="BM103" s="6">
        <v>354</v>
      </c>
      <c r="BN103" s="6">
        <v>1838</v>
      </c>
      <c r="BO103" s="6">
        <f t="shared" si="36"/>
        <v>357</v>
      </c>
      <c r="BP103" s="6">
        <v>726</v>
      </c>
      <c r="BQ103" s="6"/>
      <c r="BR103" s="6">
        <f t="shared" si="37"/>
        <v>372</v>
      </c>
      <c r="BS103" s="6"/>
      <c r="BT103" s="6"/>
      <c r="BU103" s="35"/>
      <c r="BV103" s="6">
        <v>1118</v>
      </c>
      <c r="BW103" s="6"/>
      <c r="BX103" s="6">
        <f t="shared" si="38"/>
        <v>392</v>
      </c>
      <c r="BY103" s="6">
        <v>1510</v>
      </c>
      <c r="BZ103" s="6"/>
      <c r="CA103" s="35">
        <f t="shared" si="39"/>
        <v>392</v>
      </c>
      <c r="CB103" s="6">
        <v>0</v>
      </c>
      <c r="CC103" s="6">
        <v>1820</v>
      </c>
      <c r="CD103" s="6">
        <f t="shared" si="40"/>
        <v>310</v>
      </c>
      <c r="CE103" s="6">
        <v>0</v>
      </c>
      <c r="CF103" s="6"/>
      <c r="CG103" s="6">
        <f t="shared" si="41"/>
        <v>0</v>
      </c>
      <c r="CH103" s="6">
        <v>0</v>
      </c>
      <c r="CI103" s="6"/>
      <c r="CJ103" s="6">
        <f t="shared" si="42"/>
        <v>0</v>
      </c>
      <c r="CK103" s="6">
        <v>8</v>
      </c>
      <c r="CL103" s="6"/>
      <c r="CM103" s="6">
        <f t="shared" si="43"/>
        <v>8</v>
      </c>
      <c r="CN103" s="6"/>
      <c r="CO103" s="6"/>
      <c r="CP103" s="6"/>
      <c r="CQ103" s="6">
        <v>411</v>
      </c>
      <c r="CR103" s="6"/>
      <c r="CS103" s="6">
        <f t="shared" si="44"/>
        <v>403</v>
      </c>
      <c r="CT103" s="6">
        <v>801</v>
      </c>
      <c r="CU103" s="6"/>
      <c r="CV103" s="6">
        <f t="shared" si="45"/>
        <v>390</v>
      </c>
      <c r="CW103" s="6">
        <v>1191</v>
      </c>
      <c r="CX103" s="6"/>
      <c r="CY103" s="6">
        <f t="shared" si="46"/>
        <v>390</v>
      </c>
      <c r="CZ103" s="6">
        <v>10</v>
      </c>
      <c r="DA103" s="6">
        <v>1574</v>
      </c>
      <c r="DB103" s="6">
        <f t="shared" si="47"/>
        <v>393</v>
      </c>
      <c r="DC103" s="6">
        <v>403</v>
      </c>
      <c r="DD103" s="6"/>
      <c r="DE103" s="6">
        <f t="shared" si="48"/>
        <v>393</v>
      </c>
      <c r="DF103" s="6">
        <v>782</v>
      </c>
      <c r="DG103" s="6"/>
      <c r="DH103" s="6">
        <f t="shared" si="49"/>
        <v>379</v>
      </c>
      <c r="DI103" s="6"/>
      <c r="DJ103" s="6"/>
      <c r="DK103" s="6"/>
      <c r="DL103" s="6">
        <v>1177</v>
      </c>
      <c r="DM103" s="6"/>
      <c r="DN103" s="6">
        <f t="shared" si="50"/>
        <v>395</v>
      </c>
      <c r="DO103" s="6">
        <v>1547</v>
      </c>
      <c r="DP103" s="6"/>
      <c r="DQ103" s="6">
        <f t="shared" si="51"/>
        <v>370</v>
      </c>
    </row>
    <row r="104" spans="1:121">
      <c r="A104" s="6">
        <v>100</v>
      </c>
      <c r="B104" s="6">
        <v>1063</v>
      </c>
      <c r="C104" s="6"/>
      <c r="D104" s="6">
        <v>353</v>
      </c>
      <c r="E104" s="33" t="s">
        <v>307</v>
      </c>
      <c r="F104" s="33" t="s">
        <v>307</v>
      </c>
      <c r="G104" s="33" t="s">
        <v>307</v>
      </c>
      <c r="H104" s="33" t="s">
        <v>307</v>
      </c>
      <c r="I104" s="33" t="s">
        <v>307</v>
      </c>
      <c r="J104" s="33" t="s">
        <v>307</v>
      </c>
      <c r="K104" s="33" t="s">
        <v>307</v>
      </c>
      <c r="L104" s="33" t="s">
        <v>307</v>
      </c>
      <c r="M104" s="33" t="s">
        <v>307</v>
      </c>
      <c r="N104" s="33" t="s">
        <v>307</v>
      </c>
      <c r="O104" s="33" t="s">
        <v>307</v>
      </c>
      <c r="P104" s="33" t="s">
        <v>307</v>
      </c>
      <c r="Q104" s="33" t="s">
        <v>307</v>
      </c>
      <c r="R104" s="33" t="s">
        <v>307</v>
      </c>
      <c r="S104" s="33" t="s">
        <v>307</v>
      </c>
      <c r="T104" s="148" t="s">
        <v>37</v>
      </c>
      <c r="U104" s="33" t="s">
        <v>37</v>
      </c>
      <c r="V104" s="33" t="s">
        <v>37</v>
      </c>
      <c r="W104" s="33" t="s">
        <v>37</v>
      </c>
      <c r="X104" s="33" t="s">
        <v>37</v>
      </c>
      <c r="Y104" s="33" t="s">
        <v>37</v>
      </c>
      <c r="Z104" s="33" t="s">
        <v>37</v>
      </c>
      <c r="AA104" s="33" t="s">
        <v>37</v>
      </c>
      <c r="AB104" s="33" t="s">
        <v>37</v>
      </c>
      <c r="AC104" s="33" t="s">
        <v>37</v>
      </c>
      <c r="AD104" s="33" t="s">
        <v>37</v>
      </c>
      <c r="AE104" s="33" t="s">
        <v>37</v>
      </c>
      <c r="AF104" s="35">
        <v>1480</v>
      </c>
      <c r="AG104" s="35"/>
      <c r="AH104" s="35">
        <f t="shared" si="26"/>
        <v>417</v>
      </c>
      <c r="AI104" s="35">
        <v>299</v>
      </c>
      <c r="AJ104" s="35">
        <v>1560</v>
      </c>
      <c r="AK104" s="35">
        <f t="shared" si="27"/>
        <v>379</v>
      </c>
      <c r="AL104" s="35">
        <v>683</v>
      </c>
      <c r="AM104" s="35"/>
      <c r="AN104" s="35">
        <f t="shared" si="28"/>
        <v>384</v>
      </c>
      <c r="AO104" s="6">
        <v>1061</v>
      </c>
      <c r="AP104" s="6"/>
      <c r="AQ104" s="35">
        <f t="shared" si="29"/>
        <v>378</v>
      </c>
      <c r="AR104" s="6">
        <v>1446</v>
      </c>
      <c r="AS104" s="6"/>
      <c r="AT104" s="34">
        <f t="shared" si="30"/>
        <v>385</v>
      </c>
      <c r="AU104" s="35">
        <v>239</v>
      </c>
      <c r="AV104" s="35">
        <v>1563</v>
      </c>
      <c r="AW104" s="35">
        <f t="shared" si="31"/>
        <v>356</v>
      </c>
      <c r="AX104" s="6"/>
      <c r="AY104" s="6"/>
      <c r="AZ104" s="35"/>
      <c r="BA104" s="6">
        <v>629</v>
      </c>
      <c r="BB104" s="6"/>
      <c r="BC104" s="35">
        <f t="shared" si="32"/>
        <v>390</v>
      </c>
      <c r="BD104" s="35">
        <v>1013</v>
      </c>
      <c r="BE104" s="35"/>
      <c r="BF104" s="35">
        <f t="shared" si="33"/>
        <v>384</v>
      </c>
      <c r="BG104" s="6">
        <v>1400</v>
      </c>
      <c r="BH104" s="6"/>
      <c r="BI104" s="35">
        <f t="shared" si="34"/>
        <v>387</v>
      </c>
      <c r="BJ104" s="6">
        <v>226</v>
      </c>
      <c r="BK104" s="6">
        <v>1560</v>
      </c>
      <c r="BL104" s="35">
        <f t="shared" si="35"/>
        <v>386</v>
      </c>
      <c r="BM104" s="6">
        <v>608</v>
      </c>
      <c r="BN104" s="6"/>
      <c r="BO104" s="6">
        <f t="shared" si="36"/>
        <v>382</v>
      </c>
      <c r="BP104" s="6">
        <v>979</v>
      </c>
      <c r="BQ104" s="6"/>
      <c r="BR104" s="6">
        <f t="shared" si="37"/>
        <v>371</v>
      </c>
      <c r="BS104" s="6"/>
      <c r="BT104" s="6"/>
      <c r="BU104" s="35"/>
      <c r="BV104" s="6">
        <v>1369</v>
      </c>
      <c r="BW104" s="6"/>
      <c r="BX104" s="6">
        <f t="shared" si="38"/>
        <v>390</v>
      </c>
      <c r="BY104" s="6">
        <v>0</v>
      </c>
      <c r="BZ104" s="6">
        <v>1621</v>
      </c>
      <c r="CA104" s="35">
        <f t="shared" si="39"/>
        <v>252</v>
      </c>
      <c r="CB104" s="6">
        <v>373</v>
      </c>
      <c r="CC104" s="6"/>
      <c r="CD104" s="6">
        <f t="shared" si="40"/>
        <v>373</v>
      </c>
      <c r="CE104" s="6">
        <v>761</v>
      </c>
      <c r="CF104" s="6"/>
      <c r="CG104" s="6">
        <f t="shared" si="41"/>
        <v>388</v>
      </c>
      <c r="CH104" s="6">
        <v>1155</v>
      </c>
      <c r="CI104" s="6"/>
      <c r="CJ104" s="6">
        <f t="shared" si="42"/>
        <v>394</v>
      </c>
      <c r="CK104" s="6">
        <v>1537</v>
      </c>
      <c r="CL104" s="6"/>
      <c r="CM104" s="6">
        <f t="shared" si="43"/>
        <v>382</v>
      </c>
      <c r="CN104" s="6"/>
      <c r="CO104" s="6"/>
      <c r="CP104" s="6"/>
      <c r="CQ104" s="6">
        <v>376</v>
      </c>
      <c r="CR104" s="6">
        <v>1560</v>
      </c>
      <c r="CS104" s="6">
        <f t="shared" si="44"/>
        <v>399</v>
      </c>
      <c r="CT104" s="6">
        <v>765</v>
      </c>
      <c r="CU104" s="6"/>
      <c r="CV104" s="6">
        <f t="shared" si="45"/>
        <v>389</v>
      </c>
      <c r="CW104" s="6">
        <v>1158</v>
      </c>
      <c r="CX104" s="6"/>
      <c r="CY104" s="6">
        <f t="shared" si="46"/>
        <v>393</v>
      </c>
      <c r="CZ104" s="6">
        <v>1541</v>
      </c>
      <c r="DA104" s="6"/>
      <c r="DB104" s="6">
        <f t="shared" si="47"/>
        <v>383</v>
      </c>
      <c r="DC104" s="6">
        <v>363</v>
      </c>
      <c r="DD104" s="6">
        <v>1560</v>
      </c>
      <c r="DE104" s="6">
        <f t="shared" si="48"/>
        <v>382</v>
      </c>
      <c r="DF104" s="6">
        <v>731</v>
      </c>
      <c r="DG104" s="6"/>
      <c r="DH104" s="6">
        <f t="shared" si="49"/>
        <v>368</v>
      </c>
      <c r="DI104" s="6"/>
      <c r="DJ104" s="6"/>
      <c r="DK104" s="6"/>
      <c r="DL104" s="6">
        <v>1118</v>
      </c>
      <c r="DM104" s="6"/>
      <c r="DN104" s="6">
        <f t="shared" si="50"/>
        <v>387</v>
      </c>
      <c r="DO104" s="6">
        <v>1481</v>
      </c>
      <c r="DP104" s="6"/>
      <c r="DQ104" s="6">
        <f t="shared" si="51"/>
        <v>363</v>
      </c>
    </row>
    <row r="105" spans="1:121">
      <c r="A105" s="6">
        <v>101</v>
      </c>
      <c r="B105" s="6">
        <v>281</v>
      </c>
      <c r="C105" s="6">
        <v>1560</v>
      </c>
      <c r="D105" s="6">
        <v>349</v>
      </c>
      <c r="E105" s="33" t="s">
        <v>307</v>
      </c>
      <c r="F105" s="33" t="s">
        <v>307</v>
      </c>
      <c r="G105" s="33" t="s">
        <v>307</v>
      </c>
      <c r="H105" s="33" t="s">
        <v>307</v>
      </c>
      <c r="I105" s="33" t="s">
        <v>307</v>
      </c>
      <c r="J105" s="33" t="s">
        <v>307</v>
      </c>
      <c r="K105" s="33" t="s">
        <v>307</v>
      </c>
      <c r="L105" s="33" t="s">
        <v>307</v>
      </c>
      <c r="M105" s="33" t="s">
        <v>307</v>
      </c>
      <c r="N105" s="33" t="s">
        <v>307</v>
      </c>
      <c r="O105" s="33" t="s">
        <v>307</v>
      </c>
      <c r="P105" s="33" t="s">
        <v>307</v>
      </c>
      <c r="Q105" s="33" t="s">
        <v>307</v>
      </c>
      <c r="R105" s="148" t="s">
        <v>307</v>
      </c>
      <c r="S105" s="33" t="s">
        <v>307</v>
      </c>
      <c r="T105" s="33" t="s">
        <v>307</v>
      </c>
      <c r="U105" s="33" t="s">
        <v>307</v>
      </c>
      <c r="V105" s="33" t="s">
        <v>307</v>
      </c>
      <c r="W105" s="33" t="s">
        <v>307</v>
      </c>
      <c r="X105" s="33" t="s">
        <v>307</v>
      </c>
      <c r="Y105" s="33" t="s">
        <v>307</v>
      </c>
      <c r="Z105" s="33" t="s">
        <v>307</v>
      </c>
      <c r="AA105" s="33" t="s">
        <v>307</v>
      </c>
      <c r="AB105" s="33" t="s">
        <v>307</v>
      </c>
      <c r="AC105" s="33" t="s">
        <v>307</v>
      </c>
      <c r="AD105" s="33" t="s">
        <v>307</v>
      </c>
      <c r="AE105" s="33" t="s">
        <v>307</v>
      </c>
      <c r="AF105" s="6">
        <v>697</v>
      </c>
      <c r="AG105" s="6"/>
      <c r="AH105" s="35">
        <f t="shared" si="26"/>
        <v>416</v>
      </c>
      <c r="AI105" s="6">
        <v>1075</v>
      </c>
      <c r="AJ105" s="6"/>
      <c r="AK105" s="35">
        <f t="shared" si="27"/>
        <v>378</v>
      </c>
      <c r="AL105" s="35">
        <v>1458</v>
      </c>
      <c r="AM105" s="35"/>
      <c r="AN105" s="35">
        <f t="shared" si="28"/>
        <v>383</v>
      </c>
      <c r="AO105" s="6">
        <v>285</v>
      </c>
      <c r="AP105" s="6">
        <v>1560</v>
      </c>
      <c r="AQ105" s="35">
        <f t="shared" si="29"/>
        <v>387</v>
      </c>
      <c r="AR105" s="6">
        <v>668</v>
      </c>
      <c r="AS105" s="6"/>
      <c r="AT105" s="34">
        <f t="shared" si="30"/>
        <v>383</v>
      </c>
      <c r="AU105" s="35">
        <v>1031</v>
      </c>
      <c r="AV105" s="35"/>
      <c r="AW105" s="35">
        <f t="shared" si="31"/>
        <v>363</v>
      </c>
      <c r="AX105" s="6"/>
      <c r="AY105" s="6"/>
      <c r="AZ105" s="35"/>
      <c r="BA105" s="6">
        <v>1422</v>
      </c>
      <c r="BB105" s="6"/>
      <c r="BC105" s="35">
        <f t="shared" si="32"/>
        <v>391</v>
      </c>
      <c r="BD105" s="35">
        <v>249</v>
      </c>
      <c r="BE105" s="35">
        <v>1560</v>
      </c>
      <c r="BF105" s="35">
        <f t="shared" si="33"/>
        <v>387</v>
      </c>
      <c r="BG105" s="6">
        <v>637</v>
      </c>
      <c r="BH105" s="6"/>
      <c r="BI105" s="35">
        <f t="shared" si="34"/>
        <v>388</v>
      </c>
      <c r="BJ105" s="35">
        <v>1020</v>
      </c>
      <c r="BK105" s="6"/>
      <c r="BL105" s="35">
        <f t="shared" si="35"/>
        <v>383</v>
      </c>
      <c r="BM105" s="6">
        <v>1406</v>
      </c>
      <c r="BN105" s="6"/>
      <c r="BO105" s="6">
        <f t="shared" si="36"/>
        <v>386</v>
      </c>
      <c r="BP105" s="6">
        <v>0</v>
      </c>
      <c r="BQ105" s="6">
        <v>1607</v>
      </c>
      <c r="BR105" s="6">
        <f t="shared" si="37"/>
        <v>201</v>
      </c>
      <c r="BS105" s="6"/>
      <c r="BT105" s="6"/>
      <c r="BU105" s="35"/>
      <c r="BV105" s="6">
        <v>0</v>
      </c>
      <c r="BW105" s="6"/>
      <c r="BX105" s="6">
        <f t="shared" si="38"/>
        <v>0</v>
      </c>
      <c r="BY105" s="6">
        <v>0</v>
      </c>
      <c r="BZ105" s="6"/>
      <c r="CA105" s="35">
        <f t="shared" si="39"/>
        <v>0</v>
      </c>
      <c r="CB105" s="6">
        <v>0</v>
      </c>
      <c r="CC105" s="6"/>
      <c r="CD105" s="6">
        <f t="shared" si="40"/>
        <v>0</v>
      </c>
      <c r="CE105" s="6">
        <v>0</v>
      </c>
      <c r="CF105" s="6"/>
      <c r="CG105" s="6">
        <f t="shared" si="41"/>
        <v>0</v>
      </c>
      <c r="CH105" s="6">
        <v>0</v>
      </c>
      <c r="CI105" s="6"/>
      <c r="CJ105" s="6">
        <f t="shared" si="42"/>
        <v>0</v>
      </c>
      <c r="CK105" s="6">
        <v>6</v>
      </c>
      <c r="CL105" s="6"/>
      <c r="CM105" s="6">
        <f t="shared" si="43"/>
        <v>6</v>
      </c>
      <c r="CN105" s="6"/>
      <c r="CO105" s="6"/>
      <c r="CP105" s="6"/>
      <c r="CQ105" s="6">
        <v>401</v>
      </c>
      <c r="CR105" s="6"/>
      <c r="CS105" s="6">
        <f t="shared" si="44"/>
        <v>395</v>
      </c>
      <c r="CT105" s="6">
        <v>792</v>
      </c>
      <c r="CU105" s="6"/>
      <c r="CV105" s="6">
        <f t="shared" si="45"/>
        <v>391</v>
      </c>
      <c r="CW105" s="6">
        <v>1184</v>
      </c>
      <c r="CX105" s="6"/>
      <c r="CY105" s="6">
        <f t="shared" si="46"/>
        <v>392</v>
      </c>
      <c r="CZ105" s="6">
        <v>11</v>
      </c>
      <c r="DA105" s="6">
        <v>1560</v>
      </c>
      <c r="DB105" s="6">
        <f t="shared" si="47"/>
        <v>387</v>
      </c>
      <c r="DC105" s="6">
        <v>403</v>
      </c>
      <c r="DD105" s="6"/>
      <c r="DE105" s="6">
        <f t="shared" si="48"/>
        <v>392</v>
      </c>
      <c r="DF105" s="6">
        <v>781</v>
      </c>
      <c r="DG105" s="6"/>
      <c r="DH105" s="6">
        <f t="shared" si="49"/>
        <v>378</v>
      </c>
      <c r="DI105" s="6"/>
      <c r="DJ105" s="6"/>
      <c r="DK105" s="6"/>
      <c r="DL105" s="6">
        <v>1177</v>
      </c>
      <c r="DM105" s="6"/>
      <c r="DN105" s="6">
        <f t="shared" si="50"/>
        <v>396</v>
      </c>
      <c r="DO105" s="6">
        <v>1547</v>
      </c>
      <c r="DP105" s="6"/>
      <c r="DQ105" s="6">
        <f t="shared" si="51"/>
        <v>370</v>
      </c>
    </row>
    <row r="106" spans="1:121">
      <c r="A106" s="6">
        <v>102</v>
      </c>
      <c r="B106" s="6">
        <v>216</v>
      </c>
      <c r="C106" s="6">
        <v>1560</v>
      </c>
      <c r="D106" s="6">
        <v>345</v>
      </c>
      <c r="E106" s="33" t="s">
        <v>37</v>
      </c>
      <c r="F106" s="33" t="s">
        <v>37</v>
      </c>
      <c r="G106" s="33" t="s">
        <v>37</v>
      </c>
      <c r="H106" s="33" t="s">
        <v>37</v>
      </c>
      <c r="I106" s="33" t="s">
        <v>37</v>
      </c>
      <c r="J106" s="148" t="s">
        <v>37</v>
      </c>
      <c r="K106" s="33" t="s">
        <v>37</v>
      </c>
      <c r="L106" s="33" t="s">
        <v>37</v>
      </c>
      <c r="M106" s="33" t="s">
        <v>37</v>
      </c>
      <c r="N106" s="33" t="s">
        <v>37</v>
      </c>
      <c r="O106" s="33" t="s">
        <v>37</v>
      </c>
      <c r="P106" s="33" t="s">
        <v>37</v>
      </c>
      <c r="Q106" s="33" t="s">
        <v>37</v>
      </c>
      <c r="R106" s="33" t="s">
        <v>37</v>
      </c>
      <c r="S106" s="33" t="s">
        <v>37</v>
      </c>
      <c r="T106" s="33" t="s">
        <v>37</v>
      </c>
      <c r="U106" s="33" t="s">
        <v>37</v>
      </c>
      <c r="V106" s="33" t="s">
        <v>37</v>
      </c>
      <c r="W106" s="33" t="s">
        <v>37</v>
      </c>
      <c r="X106" s="33" t="s">
        <v>37</v>
      </c>
      <c r="Y106" s="33" t="s">
        <v>37</v>
      </c>
      <c r="Z106" s="33" t="s">
        <v>37</v>
      </c>
      <c r="AA106" s="33" t="s">
        <v>37</v>
      </c>
      <c r="AB106" s="33" t="s">
        <v>37</v>
      </c>
      <c r="AC106" s="33" t="s">
        <v>37</v>
      </c>
      <c r="AD106" s="33" t="s">
        <v>37</v>
      </c>
      <c r="AE106" s="148" t="s">
        <v>37</v>
      </c>
      <c r="AF106" s="6">
        <v>619</v>
      </c>
      <c r="AG106" s="6"/>
      <c r="AH106" s="35">
        <f t="shared" si="26"/>
        <v>403</v>
      </c>
      <c r="AI106" s="6">
        <v>988</v>
      </c>
      <c r="AJ106" s="6"/>
      <c r="AK106" s="35">
        <f t="shared" si="27"/>
        <v>369</v>
      </c>
      <c r="AL106" s="35">
        <v>152</v>
      </c>
      <c r="AM106" s="35">
        <v>1216</v>
      </c>
      <c r="AN106" s="35">
        <f t="shared" si="28"/>
        <v>380</v>
      </c>
      <c r="AO106" s="6">
        <v>0</v>
      </c>
      <c r="AP106" s="6">
        <v>248</v>
      </c>
      <c r="AQ106" s="35">
        <f t="shared" si="29"/>
        <v>96</v>
      </c>
      <c r="AR106" s="6">
        <v>361</v>
      </c>
      <c r="AS106" s="6"/>
      <c r="AT106" s="34">
        <f t="shared" si="30"/>
        <v>361</v>
      </c>
      <c r="AU106" s="35">
        <v>712</v>
      </c>
      <c r="AV106" s="35"/>
      <c r="AW106" s="35">
        <f t="shared" si="31"/>
        <v>351</v>
      </c>
      <c r="AX106" s="6"/>
      <c r="AY106" s="6"/>
      <c r="AZ106" s="35"/>
      <c r="BA106" s="6">
        <v>1096</v>
      </c>
      <c r="BB106" s="6"/>
      <c r="BC106" s="35">
        <f t="shared" si="32"/>
        <v>384</v>
      </c>
      <c r="BD106" s="35">
        <v>1452</v>
      </c>
      <c r="BE106" s="35"/>
      <c r="BF106" s="35">
        <f t="shared" si="33"/>
        <v>356</v>
      </c>
      <c r="BG106" s="35">
        <v>265</v>
      </c>
      <c r="BH106" s="6">
        <v>1567</v>
      </c>
      <c r="BI106" s="35">
        <f t="shared" si="34"/>
        <v>380</v>
      </c>
      <c r="BJ106" s="6">
        <v>648</v>
      </c>
      <c r="BK106" s="6"/>
      <c r="BL106" s="35">
        <f t="shared" si="35"/>
        <v>383</v>
      </c>
      <c r="BM106" s="35">
        <v>1024</v>
      </c>
      <c r="BN106" s="6"/>
      <c r="BO106" s="6">
        <f t="shared" si="36"/>
        <v>376</v>
      </c>
      <c r="BP106" s="6">
        <v>1391</v>
      </c>
      <c r="BQ106" s="6"/>
      <c r="BR106" s="6">
        <f t="shared" si="37"/>
        <v>367</v>
      </c>
      <c r="BS106" s="6"/>
      <c r="BT106" s="6"/>
      <c r="BU106" s="35"/>
      <c r="BV106" s="6">
        <v>215</v>
      </c>
      <c r="BW106" s="6">
        <v>1560</v>
      </c>
      <c r="BX106" s="6">
        <f t="shared" si="38"/>
        <v>384</v>
      </c>
      <c r="BY106" s="6">
        <v>602</v>
      </c>
      <c r="BZ106" s="6"/>
      <c r="CA106" s="35">
        <f t="shared" si="39"/>
        <v>387</v>
      </c>
      <c r="CB106" s="6">
        <v>997</v>
      </c>
      <c r="CC106" s="6"/>
      <c r="CD106" s="6">
        <f t="shared" si="40"/>
        <v>395</v>
      </c>
      <c r="CE106" s="6">
        <v>1390</v>
      </c>
      <c r="CF106" s="6"/>
      <c r="CG106" s="6">
        <f t="shared" si="41"/>
        <v>393</v>
      </c>
      <c r="CH106" s="6">
        <v>221</v>
      </c>
      <c r="CI106" s="6">
        <v>1560</v>
      </c>
      <c r="CJ106" s="6">
        <f t="shared" si="42"/>
        <v>391</v>
      </c>
      <c r="CK106" s="6">
        <v>601</v>
      </c>
      <c r="CL106" s="6"/>
      <c r="CM106" s="6">
        <f t="shared" si="43"/>
        <v>380</v>
      </c>
      <c r="CN106" s="6"/>
      <c r="CO106" s="6"/>
      <c r="CP106" s="6"/>
      <c r="CQ106" s="6">
        <v>999</v>
      </c>
      <c r="CR106" s="6"/>
      <c r="CS106" s="6">
        <f t="shared" si="44"/>
        <v>398</v>
      </c>
      <c r="CT106" s="6">
        <v>1388</v>
      </c>
      <c r="CU106" s="6"/>
      <c r="CV106" s="6">
        <f t="shared" si="45"/>
        <v>389</v>
      </c>
      <c r="CW106" s="6">
        <v>220</v>
      </c>
      <c r="CX106" s="6">
        <v>1560</v>
      </c>
      <c r="CY106" s="6">
        <f t="shared" si="46"/>
        <v>392</v>
      </c>
      <c r="CZ106" s="6">
        <v>609</v>
      </c>
      <c r="DA106" s="6"/>
      <c r="DB106" s="6">
        <f t="shared" si="47"/>
        <v>389</v>
      </c>
      <c r="DC106" s="6">
        <v>995</v>
      </c>
      <c r="DD106" s="6"/>
      <c r="DE106" s="6">
        <f t="shared" si="48"/>
        <v>386</v>
      </c>
      <c r="DF106" s="6">
        <v>1367</v>
      </c>
      <c r="DG106" s="6"/>
      <c r="DH106" s="6">
        <f t="shared" si="49"/>
        <v>372</v>
      </c>
      <c r="DI106" s="6"/>
      <c r="DJ106" s="6"/>
      <c r="DK106" s="6"/>
      <c r="DL106" s="6">
        <v>0</v>
      </c>
      <c r="DM106" s="6">
        <v>1616</v>
      </c>
      <c r="DN106" s="6">
        <f t="shared" si="50"/>
        <v>249</v>
      </c>
      <c r="DO106" s="6">
        <v>334</v>
      </c>
      <c r="DP106" s="6"/>
      <c r="DQ106" s="6">
        <f t="shared" si="51"/>
        <v>334</v>
      </c>
    </row>
    <row r="107" spans="1:121">
      <c r="A107" s="6">
        <v>103</v>
      </c>
      <c r="B107" s="6">
        <v>881</v>
      </c>
      <c r="C107" s="6"/>
      <c r="D107" s="6">
        <v>346</v>
      </c>
      <c r="E107" s="33" t="s">
        <v>37</v>
      </c>
      <c r="F107" s="33" t="s">
        <v>37</v>
      </c>
      <c r="G107" s="33" t="s">
        <v>37</v>
      </c>
      <c r="H107" s="33" t="s">
        <v>37</v>
      </c>
      <c r="I107" s="33" t="s">
        <v>37</v>
      </c>
      <c r="J107" s="33" t="s">
        <v>37</v>
      </c>
      <c r="K107" s="33" t="s">
        <v>37</v>
      </c>
      <c r="L107" s="33" t="s">
        <v>37</v>
      </c>
      <c r="M107" s="33" t="s">
        <v>37</v>
      </c>
      <c r="N107" s="33" t="s">
        <v>37</v>
      </c>
      <c r="O107" s="33" t="s">
        <v>37</v>
      </c>
      <c r="P107" s="33" t="s">
        <v>37</v>
      </c>
      <c r="Q107" s="148" t="s">
        <v>37</v>
      </c>
      <c r="R107" s="33" t="s">
        <v>37</v>
      </c>
      <c r="S107" s="33" t="s">
        <v>37</v>
      </c>
      <c r="T107" s="33" t="s">
        <v>37</v>
      </c>
      <c r="U107" s="33" t="s">
        <v>37</v>
      </c>
      <c r="V107" s="33" t="s">
        <v>37</v>
      </c>
      <c r="W107" s="33" t="s">
        <v>37</v>
      </c>
      <c r="X107" s="33" t="s">
        <v>37</v>
      </c>
      <c r="Y107" s="33" t="s">
        <v>37</v>
      </c>
      <c r="Z107" s="33" t="s">
        <v>37</v>
      </c>
      <c r="AA107" s="33" t="s">
        <v>37</v>
      </c>
      <c r="AB107" s="33" t="s">
        <v>37</v>
      </c>
      <c r="AC107" s="33" t="s">
        <v>37</v>
      </c>
      <c r="AD107" s="33" t="s">
        <v>37</v>
      </c>
      <c r="AE107" s="33" t="s">
        <v>37</v>
      </c>
      <c r="AF107" s="6">
        <v>1290</v>
      </c>
      <c r="AG107" s="6"/>
      <c r="AH107" s="35">
        <f t="shared" si="26"/>
        <v>409</v>
      </c>
      <c r="AI107" s="6">
        <v>105</v>
      </c>
      <c r="AJ107" s="6">
        <v>1560</v>
      </c>
      <c r="AK107" s="35">
        <f t="shared" si="27"/>
        <v>375</v>
      </c>
      <c r="AL107" s="35">
        <v>481</v>
      </c>
      <c r="AM107" s="35"/>
      <c r="AN107" s="35">
        <f t="shared" si="28"/>
        <v>376</v>
      </c>
      <c r="AO107" s="6">
        <v>863</v>
      </c>
      <c r="AP107" s="6"/>
      <c r="AQ107" s="35">
        <f t="shared" si="29"/>
        <v>382</v>
      </c>
      <c r="AR107" s="6">
        <v>1242</v>
      </c>
      <c r="AS107" s="6"/>
      <c r="AT107" s="34">
        <f t="shared" si="30"/>
        <v>379</v>
      </c>
      <c r="AU107" s="35">
        <v>34</v>
      </c>
      <c r="AV107" s="35">
        <v>1560</v>
      </c>
      <c r="AW107" s="35">
        <f t="shared" si="31"/>
        <v>352</v>
      </c>
      <c r="AX107" s="6"/>
      <c r="AY107" s="6"/>
      <c r="AZ107" s="35"/>
      <c r="BA107" s="6">
        <v>413</v>
      </c>
      <c r="BB107" s="6"/>
      <c r="BC107" s="35">
        <f t="shared" si="32"/>
        <v>379</v>
      </c>
      <c r="BD107" s="35">
        <v>791</v>
      </c>
      <c r="BE107" s="35"/>
      <c r="BF107" s="35">
        <f t="shared" si="33"/>
        <v>378</v>
      </c>
      <c r="BG107" s="6">
        <v>1167</v>
      </c>
      <c r="BH107" s="6"/>
      <c r="BI107" s="35">
        <f t="shared" si="34"/>
        <v>376</v>
      </c>
      <c r="BJ107" s="6">
        <v>1537</v>
      </c>
      <c r="BK107" s="6"/>
      <c r="BL107" s="35">
        <f t="shared" si="35"/>
        <v>370</v>
      </c>
      <c r="BM107" s="6">
        <v>335</v>
      </c>
      <c r="BN107" s="6">
        <v>1560</v>
      </c>
      <c r="BO107" s="6">
        <f t="shared" si="36"/>
        <v>358</v>
      </c>
      <c r="BP107" s="6">
        <v>328</v>
      </c>
      <c r="BQ107" s="6">
        <v>354</v>
      </c>
      <c r="BR107" s="6">
        <f t="shared" si="37"/>
        <v>347</v>
      </c>
      <c r="BS107" s="6"/>
      <c r="BT107" s="6"/>
      <c r="BU107" s="35"/>
      <c r="BV107" s="6">
        <v>693</v>
      </c>
      <c r="BW107" s="6"/>
      <c r="BX107" s="6">
        <f t="shared" si="38"/>
        <v>365</v>
      </c>
      <c r="BY107" s="6">
        <v>92</v>
      </c>
      <c r="BZ107" s="6">
        <v>954</v>
      </c>
      <c r="CA107" s="35">
        <f t="shared" si="39"/>
        <v>353</v>
      </c>
      <c r="CB107" s="6">
        <v>469</v>
      </c>
      <c r="CC107" s="6"/>
      <c r="CD107" s="6">
        <f t="shared" si="40"/>
        <v>377</v>
      </c>
      <c r="CE107" s="6">
        <v>842</v>
      </c>
      <c r="CF107" s="6"/>
      <c r="CG107" s="6">
        <f t="shared" si="41"/>
        <v>373</v>
      </c>
      <c r="CH107" s="6">
        <v>1220</v>
      </c>
      <c r="CI107" s="6"/>
      <c r="CJ107" s="6">
        <f t="shared" si="42"/>
        <v>378</v>
      </c>
      <c r="CK107" s="6">
        <v>26</v>
      </c>
      <c r="CL107" s="6">
        <v>1560</v>
      </c>
      <c r="CM107" s="6">
        <f t="shared" si="43"/>
        <v>366</v>
      </c>
      <c r="CN107" s="6"/>
      <c r="CO107" s="6"/>
      <c r="CP107" s="6"/>
      <c r="CQ107" s="6">
        <v>399</v>
      </c>
      <c r="CR107" s="6"/>
      <c r="CS107" s="6">
        <f t="shared" si="44"/>
        <v>373</v>
      </c>
      <c r="CT107" s="6">
        <v>764</v>
      </c>
      <c r="CU107" s="6"/>
      <c r="CV107" s="6">
        <f t="shared" si="45"/>
        <v>365</v>
      </c>
      <c r="CW107" s="6">
        <v>1137</v>
      </c>
      <c r="CX107" s="6"/>
      <c r="CY107" s="6">
        <f t="shared" si="46"/>
        <v>373</v>
      </c>
      <c r="CZ107" s="6">
        <v>1507</v>
      </c>
      <c r="DA107" s="6"/>
      <c r="DB107" s="6">
        <f t="shared" si="47"/>
        <v>370</v>
      </c>
      <c r="DC107" s="6">
        <v>308</v>
      </c>
      <c r="DD107" s="6">
        <v>1560</v>
      </c>
      <c r="DE107" s="6">
        <f t="shared" si="48"/>
        <v>361</v>
      </c>
      <c r="DF107" s="6">
        <v>645</v>
      </c>
      <c r="DG107" s="6"/>
      <c r="DH107" s="6">
        <f t="shared" si="49"/>
        <v>337</v>
      </c>
      <c r="DI107" s="6"/>
      <c r="DJ107" s="6"/>
      <c r="DK107" s="6"/>
      <c r="DL107" s="6">
        <v>270</v>
      </c>
      <c r="DM107" s="6">
        <v>742</v>
      </c>
      <c r="DN107" s="6">
        <f t="shared" si="50"/>
        <v>367</v>
      </c>
      <c r="DO107" s="6">
        <v>615</v>
      </c>
      <c r="DP107" s="6"/>
      <c r="DQ107" s="6">
        <f t="shared" si="51"/>
        <v>345</v>
      </c>
    </row>
    <row r="108" spans="1:121">
      <c r="A108" s="6">
        <v>104</v>
      </c>
      <c r="B108" s="6">
        <v>268</v>
      </c>
      <c r="C108" s="6">
        <v>1560</v>
      </c>
      <c r="D108" s="6">
        <v>347</v>
      </c>
      <c r="E108" s="33" t="s">
        <v>307</v>
      </c>
      <c r="F108" s="33" t="s">
        <v>307</v>
      </c>
      <c r="G108" s="33" t="s">
        <v>307</v>
      </c>
      <c r="H108" s="33" t="s">
        <v>307</v>
      </c>
      <c r="I108" s="33" t="s">
        <v>307</v>
      </c>
      <c r="J108" s="33" t="s">
        <v>307</v>
      </c>
      <c r="K108" s="33" t="s">
        <v>307</v>
      </c>
      <c r="L108" s="33" t="s">
        <v>307</v>
      </c>
      <c r="M108" s="33" t="s">
        <v>307</v>
      </c>
      <c r="N108" s="148" t="s">
        <v>37</v>
      </c>
      <c r="O108" s="33" t="s">
        <v>37</v>
      </c>
      <c r="P108" s="33" t="s">
        <v>37</v>
      </c>
      <c r="Q108" s="33" t="s">
        <v>37</v>
      </c>
      <c r="R108" s="33" t="s">
        <v>37</v>
      </c>
      <c r="S108" s="33" t="s">
        <v>37</v>
      </c>
      <c r="T108" s="33" t="s">
        <v>37</v>
      </c>
      <c r="U108" s="33" t="s">
        <v>37</v>
      </c>
      <c r="V108" s="33" t="s">
        <v>37</v>
      </c>
      <c r="W108" s="33" t="s">
        <v>37</v>
      </c>
      <c r="X108" s="33" t="s">
        <v>37</v>
      </c>
      <c r="Y108" s="33" t="s">
        <v>37</v>
      </c>
      <c r="Z108" s="33" t="s">
        <v>37</v>
      </c>
      <c r="AA108" s="33" t="s">
        <v>37</v>
      </c>
      <c r="AB108" s="33" t="s">
        <v>37</v>
      </c>
      <c r="AC108" s="33" t="s">
        <v>37</v>
      </c>
      <c r="AD108" s="33" t="s">
        <v>37</v>
      </c>
      <c r="AE108" s="33" t="s">
        <v>37</v>
      </c>
      <c r="AF108" s="6">
        <v>682</v>
      </c>
      <c r="AG108" s="6"/>
      <c r="AH108" s="35">
        <f t="shared" si="26"/>
        <v>414</v>
      </c>
      <c r="AI108" s="6">
        <v>1</v>
      </c>
      <c r="AJ108" s="6">
        <v>991</v>
      </c>
      <c r="AK108" s="35">
        <f t="shared" si="27"/>
        <v>310</v>
      </c>
      <c r="AL108" s="35">
        <v>351</v>
      </c>
      <c r="AM108" s="35"/>
      <c r="AN108" s="35">
        <f t="shared" si="28"/>
        <v>350</v>
      </c>
      <c r="AO108" s="6">
        <v>708</v>
      </c>
      <c r="AP108" s="6"/>
      <c r="AQ108" s="35">
        <f t="shared" si="29"/>
        <v>357</v>
      </c>
      <c r="AR108" s="6">
        <v>1090</v>
      </c>
      <c r="AS108" s="6"/>
      <c r="AT108" s="34">
        <f t="shared" si="30"/>
        <v>382</v>
      </c>
      <c r="AU108" s="35">
        <v>1449</v>
      </c>
      <c r="AV108" s="35"/>
      <c r="AW108" s="35">
        <f t="shared" si="31"/>
        <v>359</v>
      </c>
      <c r="AX108" s="6"/>
      <c r="AY108" s="6"/>
      <c r="AZ108" s="35"/>
      <c r="BA108" s="6">
        <v>263</v>
      </c>
      <c r="BB108" s="6">
        <v>1560</v>
      </c>
      <c r="BC108" s="35">
        <f t="shared" si="32"/>
        <v>374</v>
      </c>
      <c r="BD108" s="35">
        <v>0</v>
      </c>
      <c r="BE108" s="35">
        <v>635</v>
      </c>
      <c r="BF108" s="35">
        <f t="shared" si="33"/>
        <v>372</v>
      </c>
      <c r="BG108" s="6">
        <v>356</v>
      </c>
      <c r="BH108" s="6"/>
      <c r="BI108" s="35">
        <f t="shared" si="34"/>
        <v>356</v>
      </c>
      <c r="BJ108" s="6">
        <v>730</v>
      </c>
      <c r="BK108" s="6"/>
      <c r="BL108" s="35">
        <f t="shared" si="35"/>
        <v>374</v>
      </c>
      <c r="BM108" s="6">
        <v>1107</v>
      </c>
      <c r="BN108" s="6"/>
      <c r="BO108" s="6">
        <f t="shared" si="36"/>
        <v>377</v>
      </c>
      <c r="BP108" s="6">
        <v>1471</v>
      </c>
      <c r="BQ108" s="6"/>
      <c r="BR108" s="6">
        <f t="shared" si="37"/>
        <v>364</v>
      </c>
      <c r="BS108" s="6"/>
      <c r="BT108" s="6"/>
      <c r="BU108" s="35"/>
      <c r="BV108" s="6">
        <v>289</v>
      </c>
      <c r="BW108" s="6">
        <v>1560</v>
      </c>
      <c r="BX108" s="6">
        <f t="shared" si="38"/>
        <v>378</v>
      </c>
      <c r="BY108" s="6">
        <v>665</v>
      </c>
      <c r="BZ108" s="6"/>
      <c r="CA108" s="35">
        <f t="shared" si="39"/>
        <v>376</v>
      </c>
      <c r="CB108" s="6">
        <v>1040</v>
      </c>
      <c r="CC108" s="6"/>
      <c r="CD108" s="6">
        <f t="shared" si="40"/>
        <v>375</v>
      </c>
      <c r="CE108" s="6">
        <v>1420</v>
      </c>
      <c r="CF108" s="6"/>
      <c r="CG108" s="6">
        <f t="shared" si="41"/>
        <v>380</v>
      </c>
      <c r="CH108" s="6">
        <v>238</v>
      </c>
      <c r="CI108" s="6">
        <v>1560</v>
      </c>
      <c r="CJ108" s="6">
        <f t="shared" si="42"/>
        <v>378</v>
      </c>
      <c r="CK108" s="6">
        <v>609</v>
      </c>
      <c r="CL108" s="6"/>
      <c r="CM108" s="6">
        <f t="shared" si="43"/>
        <v>371</v>
      </c>
      <c r="CN108" s="6"/>
      <c r="CO108" s="6"/>
      <c r="CP108" s="6"/>
      <c r="CQ108" s="6">
        <v>993</v>
      </c>
      <c r="CR108" s="6"/>
      <c r="CS108" s="6">
        <f t="shared" si="44"/>
        <v>384</v>
      </c>
      <c r="CT108" s="6">
        <v>134</v>
      </c>
      <c r="CU108" s="6">
        <v>1222</v>
      </c>
      <c r="CV108" s="6">
        <f t="shared" si="45"/>
        <v>363</v>
      </c>
      <c r="CW108" s="6">
        <v>514</v>
      </c>
      <c r="CX108" s="6"/>
      <c r="CY108" s="6">
        <f t="shared" si="46"/>
        <v>380</v>
      </c>
      <c r="CZ108" s="6">
        <v>896</v>
      </c>
      <c r="DA108" s="6"/>
      <c r="DB108" s="6">
        <f t="shared" si="47"/>
        <v>382</v>
      </c>
      <c r="DC108" s="6">
        <v>1277</v>
      </c>
      <c r="DD108" s="6"/>
      <c r="DE108" s="6">
        <f t="shared" si="48"/>
        <v>381</v>
      </c>
      <c r="DF108" s="6">
        <v>77</v>
      </c>
      <c r="DG108" s="6">
        <v>1560</v>
      </c>
      <c r="DH108" s="6">
        <f t="shared" si="49"/>
        <v>360</v>
      </c>
      <c r="DI108" s="6"/>
      <c r="DJ108" s="6"/>
      <c r="DK108" s="6"/>
      <c r="DL108" s="6">
        <v>467</v>
      </c>
      <c r="DM108" s="6"/>
      <c r="DN108" s="6">
        <f t="shared" si="50"/>
        <v>390</v>
      </c>
      <c r="DO108" s="6">
        <v>829</v>
      </c>
      <c r="DP108" s="6"/>
      <c r="DQ108" s="6">
        <f t="shared" si="51"/>
        <v>362</v>
      </c>
    </row>
    <row r="109" spans="1:121">
      <c r="A109" s="6">
        <v>105</v>
      </c>
      <c r="B109" s="6">
        <v>900</v>
      </c>
      <c r="C109" s="6"/>
      <c r="D109" s="6">
        <v>337</v>
      </c>
      <c r="E109" s="33" t="s">
        <v>37</v>
      </c>
      <c r="F109" s="33" t="s">
        <v>37</v>
      </c>
      <c r="G109" s="33" t="s">
        <v>37</v>
      </c>
      <c r="H109" s="33" t="s">
        <v>37</v>
      </c>
      <c r="I109" s="33" t="s">
        <v>37</v>
      </c>
      <c r="J109" s="33" t="s">
        <v>37</v>
      </c>
      <c r="K109" s="33" t="s">
        <v>37</v>
      </c>
      <c r="L109" s="33" t="s">
        <v>37</v>
      </c>
      <c r="M109" s="33" t="s">
        <v>37</v>
      </c>
      <c r="N109" s="33" t="s">
        <v>37</v>
      </c>
      <c r="O109" s="33" t="s">
        <v>37</v>
      </c>
      <c r="P109" s="148" t="s">
        <v>37</v>
      </c>
      <c r="Q109" s="33" t="s">
        <v>37</v>
      </c>
      <c r="R109" s="33" t="s">
        <v>37</v>
      </c>
      <c r="S109" s="33" t="s">
        <v>37</v>
      </c>
      <c r="T109" s="33" t="s">
        <v>37</v>
      </c>
      <c r="U109" s="33" t="s">
        <v>37</v>
      </c>
      <c r="V109" s="33" t="s">
        <v>37</v>
      </c>
      <c r="W109" s="33" t="s">
        <v>37</v>
      </c>
      <c r="X109" s="33" t="s">
        <v>37</v>
      </c>
      <c r="Y109" s="33" t="s">
        <v>37</v>
      </c>
      <c r="Z109" s="33" t="s">
        <v>37</v>
      </c>
      <c r="AA109" s="33" t="s">
        <v>37</v>
      </c>
      <c r="AB109" s="33" t="s">
        <v>37</v>
      </c>
      <c r="AC109" s="33" t="s">
        <v>37</v>
      </c>
      <c r="AD109" s="33" t="s">
        <v>37</v>
      </c>
      <c r="AE109" s="33" t="s">
        <v>37</v>
      </c>
      <c r="AF109" s="6">
        <v>1308</v>
      </c>
      <c r="AG109" s="6"/>
      <c r="AH109" s="35">
        <f t="shared" si="26"/>
        <v>408</v>
      </c>
      <c r="AI109" s="6">
        <v>121</v>
      </c>
      <c r="AJ109" s="6">
        <v>1560</v>
      </c>
      <c r="AK109" s="35">
        <f t="shared" si="27"/>
        <v>373</v>
      </c>
      <c r="AL109" s="35">
        <v>502</v>
      </c>
      <c r="AM109" s="35"/>
      <c r="AN109" s="35">
        <f t="shared" si="28"/>
        <v>381</v>
      </c>
      <c r="AO109" s="6">
        <v>882</v>
      </c>
      <c r="AP109" s="6"/>
      <c r="AQ109" s="35">
        <f t="shared" si="29"/>
        <v>380</v>
      </c>
      <c r="AR109" s="6">
        <v>1255</v>
      </c>
      <c r="AS109" s="6"/>
      <c r="AT109" s="34">
        <f t="shared" si="30"/>
        <v>373</v>
      </c>
      <c r="AU109" s="35">
        <v>1576</v>
      </c>
      <c r="AV109" s="35"/>
      <c r="AW109" s="35">
        <f t="shared" si="31"/>
        <v>321</v>
      </c>
      <c r="AX109" s="6"/>
      <c r="AY109" s="6"/>
      <c r="AZ109" s="35"/>
      <c r="BA109" s="6">
        <v>359</v>
      </c>
      <c r="BB109" s="6">
        <v>1600</v>
      </c>
      <c r="BC109" s="35">
        <f t="shared" si="32"/>
        <v>383</v>
      </c>
      <c r="BD109" s="35">
        <v>740</v>
      </c>
      <c r="BE109" s="35"/>
      <c r="BF109" s="35">
        <f t="shared" si="33"/>
        <v>381</v>
      </c>
      <c r="BG109" s="6">
        <v>1121</v>
      </c>
      <c r="BH109" s="6"/>
      <c r="BI109" s="35">
        <f t="shared" si="34"/>
        <v>381</v>
      </c>
      <c r="BJ109" s="6">
        <v>1497</v>
      </c>
      <c r="BK109" s="6"/>
      <c r="BL109" s="35">
        <f t="shared" si="35"/>
        <v>376</v>
      </c>
      <c r="BM109" s="6">
        <v>290</v>
      </c>
      <c r="BN109" s="6">
        <v>1566</v>
      </c>
      <c r="BO109" s="6">
        <f t="shared" si="36"/>
        <v>359</v>
      </c>
      <c r="BP109" s="6">
        <v>657</v>
      </c>
      <c r="BQ109" s="6"/>
      <c r="BR109" s="6">
        <f t="shared" si="37"/>
        <v>367</v>
      </c>
      <c r="BS109" s="6"/>
      <c r="BT109" s="6"/>
      <c r="BU109" s="35"/>
      <c r="BV109" s="6">
        <v>1040</v>
      </c>
      <c r="BW109" s="6"/>
      <c r="BX109" s="6">
        <f t="shared" si="38"/>
        <v>383</v>
      </c>
      <c r="BY109" s="6">
        <v>1415</v>
      </c>
      <c r="BZ109" s="6"/>
      <c r="CA109" s="35">
        <f t="shared" si="39"/>
        <v>375</v>
      </c>
      <c r="CB109" s="6">
        <v>242</v>
      </c>
      <c r="CC109" s="6">
        <v>1560</v>
      </c>
      <c r="CD109" s="6">
        <f t="shared" si="40"/>
        <v>387</v>
      </c>
      <c r="CE109" s="6">
        <v>633</v>
      </c>
      <c r="CF109" s="6"/>
      <c r="CG109" s="6">
        <f t="shared" si="41"/>
        <v>391</v>
      </c>
      <c r="CH109" s="6">
        <v>1026</v>
      </c>
      <c r="CI109" s="6"/>
      <c r="CJ109" s="6">
        <f t="shared" si="42"/>
        <v>393</v>
      </c>
      <c r="CK109" s="6">
        <v>1406</v>
      </c>
      <c r="CL109" s="6"/>
      <c r="CM109" s="6">
        <f t="shared" si="43"/>
        <v>380</v>
      </c>
      <c r="CN109" s="6"/>
      <c r="CO109" s="6"/>
      <c r="CP109" s="6"/>
      <c r="CQ109" s="6">
        <v>243</v>
      </c>
      <c r="CR109" s="6">
        <v>1560</v>
      </c>
      <c r="CS109" s="6">
        <f t="shared" si="44"/>
        <v>397</v>
      </c>
      <c r="CT109" s="6">
        <v>629</v>
      </c>
      <c r="CU109" s="6"/>
      <c r="CV109" s="6">
        <f t="shared" si="45"/>
        <v>386</v>
      </c>
      <c r="CW109" s="6">
        <v>1023</v>
      </c>
      <c r="CX109" s="6"/>
      <c r="CY109" s="6">
        <f t="shared" si="46"/>
        <v>394</v>
      </c>
      <c r="CZ109" s="6">
        <v>1418</v>
      </c>
      <c r="DA109" s="6"/>
      <c r="DB109" s="6">
        <f t="shared" si="47"/>
        <v>395</v>
      </c>
      <c r="DC109" s="6">
        <v>240</v>
      </c>
      <c r="DD109" s="6">
        <v>1560</v>
      </c>
      <c r="DE109" s="6">
        <f t="shared" si="48"/>
        <v>382</v>
      </c>
      <c r="DF109" s="6">
        <v>602</v>
      </c>
      <c r="DG109" s="6"/>
      <c r="DH109" s="6">
        <f t="shared" si="49"/>
        <v>362</v>
      </c>
      <c r="DI109" s="6"/>
      <c r="DJ109" s="6"/>
      <c r="DK109" s="6"/>
      <c r="DL109" s="6">
        <v>988</v>
      </c>
      <c r="DM109" s="6"/>
      <c r="DN109" s="6">
        <f t="shared" si="50"/>
        <v>386</v>
      </c>
      <c r="DO109" s="6">
        <v>1353</v>
      </c>
      <c r="DP109" s="6"/>
      <c r="DQ109" s="6">
        <f t="shared" si="51"/>
        <v>365</v>
      </c>
    </row>
    <row r="110" spans="1:121">
      <c r="A110" s="6">
        <v>106</v>
      </c>
      <c r="B110" s="6">
        <v>884</v>
      </c>
      <c r="C110" s="6"/>
      <c r="D110" s="6">
        <v>347</v>
      </c>
      <c r="E110" s="33" t="s">
        <v>37</v>
      </c>
      <c r="F110" s="33" t="s">
        <v>37</v>
      </c>
      <c r="G110" s="33" t="s">
        <v>37</v>
      </c>
      <c r="H110" s="148" t="s">
        <v>37</v>
      </c>
      <c r="I110" s="33" t="s">
        <v>37</v>
      </c>
      <c r="J110" s="33" t="s">
        <v>37</v>
      </c>
      <c r="K110" s="33" t="s">
        <v>37</v>
      </c>
      <c r="L110" s="33" t="s">
        <v>37</v>
      </c>
      <c r="M110" s="33" t="s">
        <v>37</v>
      </c>
      <c r="N110" s="33" t="s">
        <v>37</v>
      </c>
      <c r="O110" s="33" t="s">
        <v>37</v>
      </c>
      <c r="P110" s="33" t="s">
        <v>37</v>
      </c>
      <c r="Q110" s="33" t="s">
        <v>37</v>
      </c>
      <c r="R110" s="33" t="s">
        <v>37</v>
      </c>
      <c r="S110" s="33" t="s">
        <v>37</v>
      </c>
      <c r="T110" s="33" t="s">
        <v>37</v>
      </c>
      <c r="U110" s="33" t="s">
        <v>37</v>
      </c>
      <c r="V110" s="33" t="s">
        <v>37</v>
      </c>
      <c r="W110" s="33" t="s">
        <v>37</v>
      </c>
      <c r="X110" s="33" t="s">
        <v>37</v>
      </c>
      <c r="Y110" s="33" t="s">
        <v>37</v>
      </c>
      <c r="Z110" s="33" t="s">
        <v>37</v>
      </c>
      <c r="AA110" s="33" t="s">
        <v>37</v>
      </c>
      <c r="AB110" s="33" t="s">
        <v>37</v>
      </c>
      <c r="AC110" s="148" t="s">
        <v>37</v>
      </c>
      <c r="AD110" s="33" t="s">
        <v>37</v>
      </c>
      <c r="AE110" s="33" t="s">
        <v>37</v>
      </c>
      <c r="AF110" s="6">
        <v>1294</v>
      </c>
      <c r="AG110" s="6"/>
      <c r="AH110" s="35">
        <f t="shared" si="26"/>
        <v>410</v>
      </c>
      <c r="AI110" s="6">
        <v>0</v>
      </c>
      <c r="AJ110" s="6">
        <v>1606</v>
      </c>
      <c r="AK110" s="35">
        <f t="shared" si="27"/>
        <v>312</v>
      </c>
      <c r="AL110" s="35">
        <v>368</v>
      </c>
      <c r="AM110" s="35"/>
      <c r="AN110" s="35">
        <f t="shared" si="28"/>
        <v>368</v>
      </c>
      <c r="AO110" s="6">
        <v>751</v>
      </c>
      <c r="AP110" s="6"/>
      <c r="AQ110" s="35">
        <f t="shared" si="29"/>
        <v>383</v>
      </c>
      <c r="AR110" s="6">
        <v>1133</v>
      </c>
      <c r="AS110" s="6"/>
      <c r="AT110" s="34">
        <f t="shared" si="30"/>
        <v>382</v>
      </c>
      <c r="AU110" s="35">
        <v>1495</v>
      </c>
      <c r="AV110" s="35"/>
      <c r="AW110" s="35">
        <f t="shared" si="31"/>
        <v>362</v>
      </c>
      <c r="AX110" s="6"/>
      <c r="AY110" s="6"/>
      <c r="AZ110" s="35"/>
      <c r="BA110" s="6">
        <v>317</v>
      </c>
      <c r="BB110" s="6">
        <v>1560</v>
      </c>
      <c r="BC110" s="35">
        <f t="shared" si="32"/>
        <v>382</v>
      </c>
      <c r="BD110" s="35">
        <v>696</v>
      </c>
      <c r="BE110" s="35"/>
      <c r="BF110" s="35">
        <f t="shared" si="33"/>
        <v>379</v>
      </c>
      <c r="BG110" s="6">
        <v>1078</v>
      </c>
      <c r="BH110" s="6"/>
      <c r="BI110" s="35">
        <f t="shared" si="34"/>
        <v>382</v>
      </c>
      <c r="BJ110" s="6">
        <v>1461</v>
      </c>
      <c r="BK110" s="6"/>
      <c r="BL110" s="35">
        <f t="shared" si="35"/>
        <v>383</v>
      </c>
      <c r="BM110" s="6">
        <v>273</v>
      </c>
      <c r="BN110" s="6">
        <v>1567</v>
      </c>
      <c r="BO110" s="6">
        <f t="shared" si="36"/>
        <v>379</v>
      </c>
      <c r="BP110" s="6">
        <v>641</v>
      </c>
      <c r="BQ110" s="6"/>
      <c r="BR110" s="6">
        <f t="shared" si="37"/>
        <v>368</v>
      </c>
      <c r="BS110" s="6"/>
      <c r="BT110" s="6"/>
      <c r="BU110" s="35"/>
      <c r="BV110" s="6">
        <v>1028</v>
      </c>
      <c r="BW110" s="6"/>
      <c r="BX110" s="6">
        <f t="shared" si="38"/>
        <v>387</v>
      </c>
      <c r="BY110" s="6">
        <v>1406</v>
      </c>
      <c r="BZ110" s="6"/>
      <c r="CA110" s="35">
        <f t="shared" si="39"/>
        <v>378</v>
      </c>
      <c r="CB110" s="6">
        <v>236</v>
      </c>
      <c r="CC110" s="6">
        <v>1560</v>
      </c>
      <c r="CD110" s="6">
        <f t="shared" si="40"/>
        <v>390</v>
      </c>
      <c r="CE110" s="6">
        <v>620</v>
      </c>
      <c r="CF110" s="6"/>
      <c r="CG110" s="6">
        <f t="shared" si="41"/>
        <v>384</v>
      </c>
      <c r="CH110" s="6">
        <v>1009</v>
      </c>
      <c r="CI110" s="6"/>
      <c r="CJ110" s="6">
        <f t="shared" si="42"/>
        <v>389</v>
      </c>
      <c r="CK110" s="6">
        <v>1383</v>
      </c>
      <c r="CL110" s="6"/>
      <c r="CM110" s="6">
        <f t="shared" si="43"/>
        <v>374</v>
      </c>
      <c r="CN110" s="6"/>
      <c r="CO110" s="6"/>
      <c r="CP110" s="6"/>
      <c r="CQ110" s="6">
        <v>204</v>
      </c>
      <c r="CR110" s="6">
        <v>1560</v>
      </c>
      <c r="CS110" s="6">
        <f t="shared" si="44"/>
        <v>381</v>
      </c>
      <c r="CT110" s="6">
        <v>581</v>
      </c>
      <c r="CU110" s="6"/>
      <c r="CV110" s="6">
        <f t="shared" si="45"/>
        <v>377</v>
      </c>
      <c r="CW110" s="6">
        <v>961</v>
      </c>
      <c r="CX110" s="6"/>
      <c r="CY110" s="6">
        <f t="shared" si="46"/>
        <v>380</v>
      </c>
      <c r="CZ110" s="6">
        <v>1344</v>
      </c>
      <c r="DA110" s="6"/>
      <c r="DB110" s="6">
        <f t="shared" si="47"/>
        <v>383</v>
      </c>
      <c r="DC110" s="6">
        <v>0</v>
      </c>
      <c r="DD110" s="6">
        <v>1605</v>
      </c>
      <c r="DE110" s="6">
        <f t="shared" si="48"/>
        <v>261</v>
      </c>
      <c r="DF110" s="6">
        <v>359</v>
      </c>
      <c r="DG110" s="6"/>
      <c r="DH110" s="6">
        <f t="shared" si="49"/>
        <v>359</v>
      </c>
      <c r="DI110" s="6"/>
      <c r="DJ110" s="6"/>
      <c r="DK110" s="6"/>
      <c r="DL110" s="6">
        <v>749</v>
      </c>
      <c r="DM110" s="6"/>
      <c r="DN110" s="6">
        <f t="shared" si="50"/>
        <v>390</v>
      </c>
      <c r="DO110" s="6">
        <v>1116</v>
      </c>
      <c r="DP110" s="6"/>
      <c r="DQ110" s="6">
        <f t="shared" si="51"/>
        <v>367</v>
      </c>
    </row>
    <row r="111" spans="1:121">
      <c r="A111" s="6">
        <v>107</v>
      </c>
      <c r="B111" s="6">
        <v>1313</v>
      </c>
      <c r="C111" s="6"/>
      <c r="D111" s="6">
        <v>346</v>
      </c>
      <c r="E111" s="33" t="s">
        <v>307</v>
      </c>
      <c r="F111" s="33" t="s">
        <v>307</v>
      </c>
      <c r="G111" s="33" t="s">
        <v>307</v>
      </c>
      <c r="H111" s="33" t="s">
        <v>307</v>
      </c>
      <c r="I111" s="33" t="s">
        <v>307</v>
      </c>
      <c r="J111" s="33" t="s">
        <v>307</v>
      </c>
      <c r="K111" s="33" t="s">
        <v>307</v>
      </c>
      <c r="L111" s="33" t="s">
        <v>307</v>
      </c>
      <c r="M111" s="33" t="s">
        <v>307</v>
      </c>
      <c r="N111" s="33" t="s">
        <v>307</v>
      </c>
      <c r="O111" s="33" t="s">
        <v>307</v>
      </c>
      <c r="P111" s="33" t="s">
        <v>307</v>
      </c>
      <c r="Q111" s="33" t="s">
        <v>307</v>
      </c>
      <c r="R111" s="33" t="s">
        <v>307</v>
      </c>
      <c r="S111" s="148" t="s">
        <v>37</v>
      </c>
      <c r="T111" s="33" t="s">
        <v>37</v>
      </c>
      <c r="U111" s="33" t="s">
        <v>37</v>
      </c>
      <c r="V111" s="33" t="s">
        <v>37</v>
      </c>
      <c r="W111" s="33" t="s">
        <v>37</v>
      </c>
      <c r="X111" s="33" t="s">
        <v>37</v>
      </c>
      <c r="Y111" s="33" t="s">
        <v>37</v>
      </c>
      <c r="Z111" s="33" t="s">
        <v>37</v>
      </c>
      <c r="AA111" s="33" t="s">
        <v>37</v>
      </c>
      <c r="AB111" s="33" t="s">
        <v>37</v>
      </c>
      <c r="AC111" s="33" t="s">
        <v>37</v>
      </c>
      <c r="AD111" s="33" t="s">
        <v>37</v>
      </c>
      <c r="AE111" s="33" t="s">
        <v>37</v>
      </c>
      <c r="AF111" s="6">
        <v>166</v>
      </c>
      <c r="AG111" s="6">
        <v>1567</v>
      </c>
      <c r="AH111" s="35">
        <f t="shared" si="26"/>
        <v>420</v>
      </c>
      <c r="AI111" s="6">
        <v>537</v>
      </c>
      <c r="AJ111" s="6"/>
      <c r="AK111" s="35">
        <f t="shared" si="27"/>
        <v>371</v>
      </c>
      <c r="AL111" s="35">
        <v>909</v>
      </c>
      <c r="AM111" s="35"/>
      <c r="AN111" s="35">
        <f t="shared" si="28"/>
        <v>372</v>
      </c>
      <c r="AO111" s="6">
        <v>295</v>
      </c>
      <c r="AP111" s="6">
        <v>998</v>
      </c>
      <c r="AQ111" s="35">
        <f t="shared" si="29"/>
        <v>384</v>
      </c>
      <c r="AR111" s="6">
        <f>382+295</f>
        <v>677</v>
      </c>
      <c r="AS111" s="6"/>
      <c r="AT111" s="34">
        <f t="shared" si="30"/>
        <v>382</v>
      </c>
      <c r="AU111" s="35">
        <v>124</v>
      </c>
      <c r="AV111" s="35">
        <f>602+295</f>
        <v>897</v>
      </c>
      <c r="AW111" s="35">
        <f t="shared" si="31"/>
        <v>344</v>
      </c>
      <c r="AX111" s="6"/>
      <c r="AY111" s="6"/>
      <c r="AZ111" s="35"/>
      <c r="BA111" s="6">
        <v>500</v>
      </c>
      <c r="BB111" s="6"/>
      <c r="BC111" s="35">
        <f t="shared" si="32"/>
        <v>376</v>
      </c>
      <c r="BD111" s="35">
        <v>875</v>
      </c>
      <c r="BE111" s="35"/>
      <c r="BF111" s="35">
        <f t="shared" si="33"/>
        <v>375</v>
      </c>
      <c r="BG111" s="6">
        <v>1264</v>
      </c>
      <c r="BH111" s="6"/>
      <c r="BI111" s="35">
        <f t="shared" si="34"/>
        <v>389</v>
      </c>
      <c r="BJ111" s="6">
        <v>84</v>
      </c>
      <c r="BK111" s="6">
        <v>1560</v>
      </c>
      <c r="BL111" s="35">
        <f t="shared" si="35"/>
        <v>380</v>
      </c>
      <c r="BM111" s="6">
        <v>468</v>
      </c>
      <c r="BN111" s="6"/>
      <c r="BO111" s="6">
        <f t="shared" si="36"/>
        <v>384</v>
      </c>
      <c r="BP111" s="6">
        <v>840</v>
      </c>
      <c r="BQ111" s="6"/>
      <c r="BR111" s="6">
        <f t="shared" si="37"/>
        <v>372</v>
      </c>
      <c r="BS111" s="6"/>
      <c r="BT111" s="6"/>
      <c r="BU111" s="35"/>
      <c r="BV111" s="6">
        <v>1226</v>
      </c>
      <c r="BW111" s="6"/>
      <c r="BX111" s="6">
        <f t="shared" si="38"/>
        <v>386</v>
      </c>
      <c r="BY111" s="6">
        <v>327</v>
      </c>
      <c r="BZ111" s="6">
        <v>1265</v>
      </c>
      <c r="CA111" s="35">
        <f t="shared" si="39"/>
        <v>366</v>
      </c>
      <c r="CB111" s="35">
        <v>711</v>
      </c>
      <c r="CC111" s="6"/>
      <c r="CD111" s="6">
        <f t="shared" si="40"/>
        <v>384</v>
      </c>
      <c r="CE111" s="6">
        <v>1096</v>
      </c>
      <c r="CF111" s="6"/>
      <c r="CG111" s="6">
        <f t="shared" si="41"/>
        <v>385</v>
      </c>
      <c r="CH111" s="6">
        <v>1455</v>
      </c>
      <c r="CI111" s="6"/>
      <c r="CJ111" s="6">
        <f t="shared" si="42"/>
        <v>359</v>
      </c>
      <c r="CK111" s="6">
        <v>249</v>
      </c>
      <c r="CL111" s="6">
        <v>1560</v>
      </c>
      <c r="CM111" s="6">
        <f t="shared" si="43"/>
        <v>354</v>
      </c>
      <c r="CN111" s="6"/>
      <c r="CO111" s="6"/>
      <c r="CP111" s="6"/>
      <c r="CQ111" s="6">
        <v>629</v>
      </c>
      <c r="CR111" s="6"/>
      <c r="CS111" s="6">
        <f t="shared" si="44"/>
        <v>380</v>
      </c>
      <c r="CT111" s="6">
        <v>298</v>
      </c>
      <c r="CU111" s="6">
        <v>700</v>
      </c>
      <c r="CV111" s="6">
        <f t="shared" si="45"/>
        <v>369</v>
      </c>
      <c r="CW111" s="6">
        <v>673</v>
      </c>
      <c r="CX111" s="6"/>
      <c r="CY111" s="6">
        <f t="shared" si="46"/>
        <v>375</v>
      </c>
      <c r="CZ111" s="6">
        <v>1045</v>
      </c>
      <c r="DA111" s="6"/>
      <c r="DB111" s="6">
        <f t="shared" si="47"/>
        <v>372</v>
      </c>
      <c r="DC111" s="6">
        <v>1417</v>
      </c>
      <c r="DD111" s="6"/>
      <c r="DE111" s="6">
        <f t="shared" si="48"/>
        <v>372</v>
      </c>
      <c r="DF111" s="6">
        <v>217</v>
      </c>
      <c r="DG111" s="6">
        <v>1560</v>
      </c>
      <c r="DH111" s="6">
        <f t="shared" si="49"/>
        <v>360</v>
      </c>
      <c r="DI111" s="6"/>
      <c r="DJ111" s="6"/>
      <c r="DK111" s="6"/>
      <c r="DL111" s="6">
        <v>603</v>
      </c>
      <c r="DM111" s="6"/>
      <c r="DN111" s="6">
        <f t="shared" si="50"/>
        <v>386</v>
      </c>
      <c r="DO111" s="6">
        <v>959</v>
      </c>
      <c r="DP111" s="6"/>
      <c r="DQ111" s="6">
        <f t="shared" si="51"/>
        <v>356</v>
      </c>
    </row>
    <row r="112" spans="1:121">
      <c r="A112" s="6">
        <v>108</v>
      </c>
      <c r="B112" s="6">
        <v>1178</v>
      </c>
      <c r="C112" s="6"/>
      <c r="D112" s="6">
        <v>344</v>
      </c>
      <c r="E112" s="33" t="s">
        <v>37</v>
      </c>
      <c r="F112" s="33" t="s">
        <v>37</v>
      </c>
      <c r="G112" s="33" t="s">
        <v>37</v>
      </c>
      <c r="H112" s="33" t="s">
        <v>37</v>
      </c>
      <c r="I112" s="33" t="s">
        <v>37</v>
      </c>
      <c r="J112" s="33" t="s">
        <v>37</v>
      </c>
      <c r="K112" s="148" t="s">
        <v>37</v>
      </c>
      <c r="L112" s="33" t="s">
        <v>37</v>
      </c>
      <c r="M112" s="33" t="s">
        <v>37</v>
      </c>
      <c r="N112" s="33" t="s">
        <v>37</v>
      </c>
      <c r="O112" s="33" t="s">
        <v>37</v>
      </c>
      <c r="P112" s="33" t="s">
        <v>37</v>
      </c>
      <c r="Q112" s="33" t="s">
        <v>37</v>
      </c>
      <c r="R112" s="33" t="s">
        <v>37</v>
      </c>
      <c r="S112" s="33" t="s">
        <v>37</v>
      </c>
      <c r="T112" s="33" t="s">
        <v>37</v>
      </c>
      <c r="U112" s="33" t="s">
        <v>37</v>
      </c>
      <c r="V112" s="33" t="s">
        <v>37</v>
      </c>
      <c r="W112" s="33" t="s">
        <v>37</v>
      </c>
      <c r="X112" s="33" t="s">
        <v>37</v>
      </c>
      <c r="Y112" s="33" t="s">
        <v>37</v>
      </c>
      <c r="Z112" s="33" t="s">
        <v>37</v>
      </c>
      <c r="AA112" s="33" t="s">
        <v>37</v>
      </c>
      <c r="AB112" s="33" t="s">
        <v>37</v>
      </c>
      <c r="AC112" s="33" t="s">
        <v>37</v>
      </c>
      <c r="AD112" s="33" t="s">
        <v>37</v>
      </c>
      <c r="AE112" s="33" t="s">
        <v>37</v>
      </c>
      <c r="AF112" s="6">
        <v>23</v>
      </c>
      <c r="AG112" s="6">
        <v>1560</v>
      </c>
      <c r="AH112" s="35">
        <f t="shared" si="26"/>
        <v>405</v>
      </c>
      <c r="AI112" s="6">
        <v>387</v>
      </c>
      <c r="AJ112" s="6"/>
      <c r="AK112" s="35">
        <f t="shared" si="27"/>
        <v>364</v>
      </c>
      <c r="AL112" s="35">
        <v>759</v>
      </c>
      <c r="AM112" s="35"/>
      <c r="AN112" s="35">
        <f t="shared" si="28"/>
        <v>372</v>
      </c>
      <c r="AO112" s="6">
        <v>1124</v>
      </c>
      <c r="AP112" s="6"/>
      <c r="AQ112" s="35">
        <f t="shared" si="29"/>
        <v>365</v>
      </c>
      <c r="AR112" s="6">
        <v>1496</v>
      </c>
      <c r="AS112" s="6"/>
      <c r="AT112" s="34">
        <f t="shared" si="30"/>
        <v>372</v>
      </c>
      <c r="AU112" s="35">
        <v>235</v>
      </c>
      <c r="AV112" s="35">
        <v>1611</v>
      </c>
      <c r="AW112" s="35">
        <f t="shared" si="31"/>
        <v>350</v>
      </c>
      <c r="AX112" s="6"/>
      <c r="AY112" s="6"/>
      <c r="AZ112" s="35"/>
      <c r="BA112" s="6">
        <v>627</v>
      </c>
      <c r="BB112" s="6"/>
      <c r="BC112" s="35">
        <f t="shared" si="32"/>
        <v>392</v>
      </c>
      <c r="BD112" s="35">
        <v>995</v>
      </c>
      <c r="BE112" s="35"/>
      <c r="BF112" s="35">
        <f t="shared" si="33"/>
        <v>368</v>
      </c>
      <c r="BG112" s="6">
        <v>59</v>
      </c>
      <c r="BH112" s="6">
        <v>1310</v>
      </c>
      <c r="BI112" s="35">
        <f t="shared" si="34"/>
        <v>374</v>
      </c>
      <c r="BJ112" s="6">
        <v>442</v>
      </c>
      <c r="BK112" s="6"/>
      <c r="BL112" s="35">
        <f t="shared" si="35"/>
        <v>383</v>
      </c>
      <c r="BM112" s="6">
        <v>812</v>
      </c>
      <c r="BN112" s="6"/>
      <c r="BO112" s="6">
        <f t="shared" si="36"/>
        <v>370</v>
      </c>
      <c r="BP112" s="6">
        <v>1167</v>
      </c>
      <c r="BQ112" s="6"/>
      <c r="BR112" s="6">
        <f t="shared" si="37"/>
        <v>355</v>
      </c>
      <c r="BS112" s="6"/>
      <c r="BT112" s="6"/>
      <c r="BU112" s="35"/>
      <c r="BV112" s="6">
        <v>1552</v>
      </c>
      <c r="BW112" s="6"/>
      <c r="BX112" s="6">
        <f t="shared" si="38"/>
        <v>385</v>
      </c>
      <c r="BY112" s="6">
        <v>368</v>
      </c>
      <c r="BZ112" s="6">
        <v>1560</v>
      </c>
      <c r="CA112" s="35">
        <f t="shared" si="39"/>
        <v>376</v>
      </c>
      <c r="CB112" s="6">
        <v>362</v>
      </c>
      <c r="CC112" s="6">
        <v>375</v>
      </c>
      <c r="CD112" s="6">
        <f t="shared" si="40"/>
        <v>369</v>
      </c>
      <c r="CE112" s="6">
        <v>734</v>
      </c>
      <c r="CF112" s="6"/>
      <c r="CG112" s="6">
        <f t="shared" si="41"/>
        <v>372</v>
      </c>
      <c r="CH112" s="6">
        <v>1116</v>
      </c>
      <c r="CI112" s="6"/>
      <c r="CJ112" s="6">
        <f t="shared" si="42"/>
        <v>382</v>
      </c>
      <c r="CK112" s="6">
        <v>1488</v>
      </c>
      <c r="CL112" s="6"/>
      <c r="CM112" s="6">
        <f t="shared" si="43"/>
        <v>372</v>
      </c>
      <c r="CN112" s="6"/>
      <c r="CO112" s="6"/>
      <c r="CP112" s="6"/>
      <c r="CQ112" s="6">
        <v>312</v>
      </c>
      <c r="CR112" s="6">
        <v>1560</v>
      </c>
      <c r="CS112" s="6">
        <f t="shared" si="44"/>
        <v>384</v>
      </c>
      <c r="CT112" s="6">
        <v>681</v>
      </c>
      <c r="CU112" s="6"/>
      <c r="CV112" s="6">
        <f t="shared" si="45"/>
        <v>369</v>
      </c>
      <c r="CW112" s="6">
        <v>1058</v>
      </c>
      <c r="CX112" s="6"/>
      <c r="CY112" s="6">
        <f t="shared" si="46"/>
        <v>377</v>
      </c>
      <c r="CZ112" s="6">
        <v>1441</v>
      </c>
      <c r="DA112" s="6"/>
      <c r="DB112" s="6">
        <f t="shared" si="47"/>
        <v>383</v>
      </c>
      <c r="DC112" s="6">
        <v>246</v>
      </c>
      <c r="DD112" s="6">
        <v>1560</v>
      </c>
      <c r="DE112" s="6">
        <f t="shared" si="48"/>
        <v>365</v>
      </c>
      <c r="DF112" s="6">
        <v>613</v>
      </c>
      <c r="DG112" s="6"/>
      <c r="DH112" s="6">
        <f t="shared" si="49"/>
        <v>367</v>
      </c>
      <c r="DI112" s="6"/>
      <c r="DJ112" s="6"/>
      <c r="DK112" s="6"/>
      <c r="DL112" s="6">
        <v>1003</v>
      </c>
      <c r="DM112" s="6"/>
      <c r="DN112" s="6">
        <f t="shared" si="50"/>
        <v>390</v>
      </c>
      <c r="DO112" s="6">
        <v>1362</v>
      </c>
      <c r="DP112" s="6"/>
      <c r="DQ112" s="6">
        <f t="shared" si="51"/>
        <v>359</v>
      </c>
    </row>
    <row r="113" spans="1:121">
      <c r="A113" s="6">
        <v>109</v>
      </c>
      <c r="B113" s="6">
        <v>270</v>
      </c>
      <c r="C113" s="6">
        <v>459</v>
      </c>
      <c r="D113" s="6">
        <v>341</v>
      </c>
      <c r="E113" s="33" t="s">
        <v>37</v>
      </c>
      <c r="F113" s="33" t="s">
        <v>37</v>
      </c>
      <c r="G113" s="33" t="s">
        <v>37</v>
      </c>
      <c r="H113" s="33" t="s">
        <v>37</v>
      </c>
      <c r="I113" s="33" t="s">
        <v>37</v>
      </c>
      <c r="J113" s="33" t="s">
        <v>37</v>
      </c>
      <c r="K113" s="33" t="s">
        <v>37</v>
      </c>
      <c r="L113" s="33" t="s">
        <v>37</v>
      </c>
      <c r="M113" s="33" t="s">
        <v>37</v>
      </c>
      <c r="N113" s="33" t="s">
        <v>37</v>
      </c>
      <c r="O113" s="148" t="s">
        <v>37</v>
      </c>
      <c r="P113" s="33" t="s">
        <v>37</v>
      </c>
      <c r="Q113" s="33" t="s">
        <v>37</v>
      </c>
      <c r="R113" s="33" t="s">
        <v>37</v>
      </c>
      <c r="S113" s="33" t="s">
        <v>37</v>
      </c>
      <c r="T113" s="33" t="s">
        <v>37</v>
      </c>
      <c r="U113" s="33" t="s">
        <v>37</v>
      </c>
      <c r="V113" s="33" t="s">
        <v>37</v>
      </c>
      <c r="W113" s="33" t="s">
        <v>37</v>
      </c>
      <c r="X113" s="33" t="s">
        <v>37</v>
      </c>
      <c r="Y113" s="33" t="s">
        <v>37</v>
      </c>
      <c r="Z113" s="33" t="s">
        <v>37</v>
      </c>
      <c r="AA113" s="33" t="s">
        <v>37</v>
      </c>
      <c r="AB113" s="33" t="s">
        <v>37</v>
      </c>
      <c r="AC113" s="33" t="s">
        <v>37</v>
      </c>
      <c r="AD113" s="33" t="s">
        <v>37</v>
      </c>
      <c r="AE113" s="33" t="s">
        <v>37</v>
      </c>
      <c r="AF113" s="6">
        <v>678</v>
      </c>
      <c r="AG113" s="6"/>
      <c r="AH113" s="35">
        <f t="shared" si="26"/>
        <v>408</v>
      </c>
      <c r="AI113" s="6">
        <v>1044</v>
      </c>
      <c r="AJ113" s="6"/>
      <c r="AK113" s="35">
        <f t="shared" si="27"/>
        <v>366</v>
      </c>
      <c r="AL113" s="35">
        <v>1425</v>
      </c>
      <c r="AM113" s="35"/>
      <c r="AN113" s="35">
        <f t="shared" si="28"/>
        <v>381</v>
      </c>
      <c r="AO113" s="6">
        <v>365</v>
      </c>
      <c r="AP113" s="35">
        <v>1440</v>
      </c>
      <c r="AQ113" s="35">
        <f t="shared" si="29"/>
        <v>380</v>
      </c>
      <c r="AR113" s="6">
        <v>745</v>
      </c>
      <c r="AS113" s="6"/>
      <c r="AT113" s="34">
        <f t="shared" si="30"/>
        <v>380</v>
      </c>
      <c r="AU113" s="35">
        <v>1104</v>
      </c>
      <c r="AV113" s="35"/>
      <c r="AW113" s="35">
        <f t="shared" si="31"/>
        <v>359</v>
      </c>
      <c r="AX113" s="6"/>
      <c r="AY113" s="6"/>
      <c r="AZ113" s="35"/>
      <c r="BA113" s="6">
        <v>1484</v>
      </c>
      <c r="BB113" s="6"/>
      <c r="BC113" s="35">
        <f t="shared" si="32"/>
        <v>380</v>
      </c>
      <c r="BD113" s="35">
        <v>282</v>
      </c>
      <c r="BE113" s="35">
        <v>1560</v>
      </c>
      <c r="BF113" s="35">
        <f t="shared" si="33"/>
        <v>358</v>
      </c>
      <c r="BG113" s="6">
        <v>0</v>
      </c>
      <c r="BH113" s="6">
        <v>630</v>
      </c>
      <c r="BI113" s="35">
        <f t="shared" si="34"/>
        <v>348</v>
      </c>
      <c r="BJ113" s="6">
        <v>368</v>
      </c>
      <c r="BK113" s="6"/>
      <c r="BL113" s="35">
        <f t="shared" si="35"/>
        <v>368</v>
      </c>
      <c r="BM113" s="6">
        <v>748</v>
      </c>
      <c r="BN113" s="6"/>
      <c r="BO113" s="6">
        <f t="shared" si="36"/>
        <v>380</v>
      </c>
      <c r="BP113" s="6">
        <v>1094</v>
      </c>
      <c r="BQ113" s="6"/>
      <c r="BR113" s="6">
        <f t="shared" si="37"/>
        <v>346</v>
      </c>
      <c r="BS113" s="6"/>
      <c r="BT113" s="6"/>
      <c r="BU113" s="35"/>
      <c r="BV113" s="6">
        <v>1470</v>
      </c>
      <c r="BW113" s="6"/>
      <c r="BX113" s="6">
        <f t="shared" si="38"/>
        <v>376</v>
      </c>
      <c r="BY113" s="6">
        <v>283</v>
      </c>
      <c r="BZ113" s="6">
        <v>1560</v>
      </c>
      <c r="CA113" s="35">
        <f t="shared" si="39"/>
        <v>373</v>
      </c>
      <c r="CB113" s="6">
        <v>646</v>
      </c>
      <c r="CC113" s="6"/>
      <c r="CD113" s="6">
        <f t="shared" si="40"/>
        <v>363</v>
      </c>
      <c r="CE113" s="6">
        <v>1033</v>
      </c>
      <c r="CF113" s="6"/>
      <c r="CG113" s="6">
        <f t="shared" si="41"/>
        <v>387</v>
      </c>
      <c r="CH113" s="6">
        <v>1419</v>
      </c>
      <c r="CI113" s="6"/>
      <c r="CJ113" s="6">
        <f t="shared" si="42"/>
        <v>386</v>
      </c>
      <c r="CK113" s="6">
        <v>235</v>
      </c>
      <c r="CL113" s="6">
        <v>1560</v>
      </c>
      <c r="CM113" s="6">
        <f t="shared" si="43"/>
        <v>376</v>
      </c>
      <c r="CN113" s="6"/>
      <c r="CO113" s="6"/>
      <c r="CP113" s="6"/>
      <c r="CQ113" s="6">
        <v>613</v>
      </c>
      <c r="CR113" s="6"/>
      <c r="CS113" s="6">
        <f t="shared" si="44"/>
        <v>378</v>
      </c>
      <c r="CT113" s="6">
        <v>60</v>
      </c>
      <c r="CU113" s="6">
        <v>931</v>
      </c>
      <c r="CV113" s="6">
        <f t="shared" si="45"/>
        <v>378</v>
      </c>
      <c r="CW113" s="6">
        <v>444</v>
      </c>
      <c r="CX113" s="6"/>
      <c r="CY113" s="6">
        <f t="shared" si="46"/>
        <v>384</v>
      </c>
      <c r="CZ113" s="6">
        <v>821</v>
      </c>
      <c r="DA113" s="6"/>
      <c r="DB113" s="6">
        <f t="shared" si="47"/>
        <v>377</v>
      </c>
      <c r="DC113" s="6">
        <v>301</v>
      </c>
      <c r="DD113" s="6">
        <v>901</v>
      </c>
      <c r="DE113" s="6">
        <f t="shared" si="48"/>
        <v>381</v>
      </c>
      <c r="DF113" s="6">
        <v>664</v>
      </c>
      <c r="DG113" s="6"/>
      <c r="DH113" s="6">
        <f t="shared" si="49"/>
        <v>363</v>
      </c>
      <c r="DI113" s="6"/>
      <c r="DJ113" s="6"/>
      <c r="DK113" s="6"/>
      <c r="DL113" s="6">
        <v>1055</v>
      </c>
      <c r="DM113" s="6"/>
      <c r="DN113" s="6">
        <f t="shared" si="50"/>
        <v>391</v>
      </c>
      <c r="DO113" s="6">
        <v>341</v>
      </c>
      <c r="DP113" s="6">
        <v>1074</v>
      </c>
      <c r="DQ113" s="6">
        <f t="shared" si="51"/>
        <v>360</v>
      </c>
    </row>
    <row r="114" spans="1:121">
      <c r="A114" s="6">
        <v>110</v>
      </c>
      <c r="B114" s="6">
        <v>567</v>
      </c>
      <c r="C114" s="6"/>
      <c r="D114" s="6">
        <v>348</v>
      </c>
      <c r="E114" s="33" t="s">
        <v>307</v>
      </c>
      <c r="F114" s="33" t="s">
        <v>307</v>
      </c>
      <c r="G114" s="33" t="s">
        <v>307</v>
      </c>
      <c r="H114" s="33" t="s">
        <v>307</v>
      </c>
      <c r="I114" s="33" t="s">
        <v>307</v>
      </c>
      <c r="J114" s="33" t="s">
        <v>307</v>
      </c>
      <c r="K114" s="33" t="s">
        <v>307</v>
      </c>
      <c r="L114" s="33" t="s">
        <v>307</v>
      </c>
      <c r="M114" s="148" t="s">
        <v>37</v>
      </c>
      <c r="N114" s="33" t="s">
        <v>37</v>
      </c>
      <c r="O114" s="33" t="s">
        <v>37</v>
      </c>
      <c r="P114" s="33" t="s">
        <v>37</v>
      </c>
      <c r="Q114" s="33" t="s">
        <v>37</v>
      </c>
      <c r="R114" s="33" t="s">
        <v>37</v>
      </c>
      <c r="S114" s="33" t="s">
        <v>37</v>
      </c>
      <c r="T114" s="33" t="s">
        <v>37</v>
      </c>
      <c r="U114" s="33" t="s">
        <v>37</v>
      </c>
      <c r="V114" s="33" t="s">
        <v>37</v>
      </c>
      <c r="W114" s="33" t="s">
        <v>37</v>
      </c>
      <c r="X114" s="33" t="s">
        <v>37</v>
      </c>
      <c r="Y114" s="33" t="s">
        <v>37</v>
      </c>
      <c r="Z114" s="33" t="s">
        <v>37</v>
      </c>
      <c r="AA114" s="33" t="s">
        <v>37</v>
      </c>
      <c r="AB114" s="33" t="s">
        <v>37</v>
      </c>
      <c r="AC114" s="33" t="s">
        <v>37</v>
      </c>
      <c r="AD114" s="33" t="s">
        <v>37</v>
      </c>
      <c r="AE114" s="33" t="s">
        <v>37</v>
      </c>
      <c r="AF114" s="6">
        <v>974</v>
      </c>
      <c r="AG114" s="6"/>
      <c r="AH114" s="35">
        <f t="shared" si="26"/>
        <v>407</v>
      </c>
      <c r="AI114" s="6">
        <v>1342</v>
      </c>
      <c r="AJ114" s="6"/>
      <c r="AK114" s="35">
        <f t="shared" si="27"/>
        <v>368</v>
      </c>
      <c r="AL114" s="35">
        <v>163</v>
      </c>
      <c r="AM114" s="35">
        <v>1560</v>
      </c>
      <c r="AN114" s="35">
        <f t="shared" si="28"/>
        <v>381</v>
      </c>
      <c r="AO114" s="35">
        <v>528</v>
      </c>
      <c r="AP114" s="6"/>
      <c r="AQ114" s="35">
        <f t="shared" si="29"/>
        <v>365</v>
      </c>
      <c r="AR114" s="6">
        <v>870</v>
      </c>
      <c r="AS114" s="6"/>
      <c r="AT114" s="34">
        <f t="shared" si="30"/>
        <v>342</v>
      </c>
      <c r="AU114" s="35">
        <v>4</v>
      </c>
      <c r="AV114" s="35">
        <v>1185</v>
      </c>
      <c r="AW114" s="35">
        <f t="shared" si="31"/>
        <v>319</v>
      </c>
      <c r="AX114" s="6"/>
      <c r="AY114" s="6"/>
      <c r="AZ114" s="35"/>
      <c r="BA114" s="6">
        <v>371</v>
      </c>
      <c r="BB114" s="6"/>
      <c r="BC114" s="35">
        <f t="shared" si="32"/>
        <v>367</v>
      </c>
      <c r="BD114" s="35">
        <v>261</v>
      </c>
      <c r="BE114" s="35">
        <v>448</v>
      </c>
      <c r="BF114" s="35">
        <f t="shared" si="33"/>
        <v>338</v>
      </c>
      <c r="BG114" s="35">
        <v>627</v>
      </c>
      <c r="BH114" s="6"/>
      <c r="BI114" s="35">
        <f t="shared" si="34"/>
        <v>366</v>
      </c>
      <c r="BJ114" s="6">
        <v>990</v>
      </c>
      <c r="BK114" s="6"/>
      <c r="BL114" s="35">
        <f t="shared" si="35"/>
        <v>363</v>
      </c>
      <c r="BM114" s="6">
        <v>1360</v>
      </c>
      <c r="BN114" s="6"/>
      <c r="BO114" s="6">
        <f t="shared" si="36"/>
        <v>370</v>
      </c>
      <c r="BP114" s="6">
        <v>151</v>
      </c>
      <c r="BQ114" s="6">
        <v>1560</v>
      </c>
      <c r="BR114" s="6">
        <f t="shared" si="37"/>
        <v>351</v>
      </c>
      <c r="BS114" s="6"/>
      <c r="BT114" s="6"/>
      <c r="BU114" s="35"/>
      <c r="BV114" s="6">
        <v>522</v>
      </c>
      <c r="BW114" s="6"/>
      <c r="BX114" s="6">
        <f t="shared" si="38"/>
        <v>371</v>
      </c>
      <c r="BY114" s="6">
        <v>889</v>
      </c>
      <c r="BZ114" s="6"/>
      <c r="CA114" s="35">
        <f t="shared" si="39"/>
        <v>367</v>
      </c>
      <c r="CB114" s="6">
        <v>1263</v>
      </c>
      <c r="CC114" s="6"/>
      <c r="CD114" s="6">
        <f t="shared" si="40"/>
        <v>374</v>
      </c>
      <c r="CE114" s="6">
        <v>68</v>
      </c>
      <c r="CF114" s="6">
        <v>1562</v>
      </c>
      <c r="CG114" s="6">
        <f t="shared" si="41"/>
        <v>367</v>
      </c>
      <c r="CH114" s="7">
        <v>444</v>
      </c>
      <c r="CI114" s="6"/>
      <c r="CJ114" s="6">
        <f t="shared" si="42"/>
        <v>376</v>
      </c>
      <c r="CK114" s="6">
        <v>809</v>
      </c>
      <c r="CL114" s="6"/>
      <c r="CM114" s="6">
        <f t="shared" si="43"/>
        <v>365</v>
      </c>
      <c r="CN114" s="6"/>
      <c r="CO114" s="6"/>
      <c r="CP114" s="6"/>
      <c r="CQ114" s="6">
        <v>1196</v>
      </c>
      <c r="CR114" s="6"/>
      <c r="CS114" s="6">
        <f t="shared" si="44"/>
        <v>387</v>
      </c>
      <c r="CT114" s="6">
        <v>13</v>
      </c>
      <c r="CU114" s="6">
        <v>1561</v>
      </c>
      <c r="CV114" s="6">
        <f t="shared" si="45"/>
        <v>378</v>
      </c>
      <c r="CW114" s="6">
        <v>390</v>
      </c>
      <c r="CX114" s="6"/>
      <c r="CY114" s="6">
        <f t="shared" si="46"/>
        <v>377</v>
      </c>
      <c r="CZ114" s="6">
        <v>765</v>
      </c>
      <c r="DA114" s="6"/>
      <c r="DB114" s="6">
        <f t="shared" si="47"/>
        <v>375</v>
      </c>
      <c r="DC114" s="6">
        <v>1142</v>
      </c>
      <c r="DD114" s="6"/>
      <c r="DE114" s="6">
        <f t="shared" si="48"/>
        <v>377</v>
      </c>
      <c r="DF114" s="6">
        <v>1505</v>
      </c>
      <c r="DG114" s="6"/>
      <c r="DH114" s="6">
        <f t="shared" si="49"/>
        <v>363</v>
      </c>
      <c r="DI114" s="6"/>
      <c r="DJ114" s="6"/>
      <c r="DK114" s="6"/>
      <c r="DL114" s="6">
        <v>332</v>
      </c>
      <c r="DM114" s="6">
        <v>1560</v>
      </c>
      <c r="DN114" s="6">
        <f t="shared" si="50"/>
        <v>387</v>
      </c>
      <c r="DO114" s="6">
        <v>697</v>
      </c>
      <c r="DP114" s="6"/>
      <c r="DQ114" s="6">
        <f t="shared" si="51"/>
        <v>365</v>
      </c>
    </row>
    <row r="115" spans="1:121">
      <c r="A115" s="6">
        <v>111</v>
      </c>
      <c r="B115" s="6">
        <v>977</v>
      </c>
      <c r="C115" s="6"/>
      <c r="D115" s="6">
        <v>269</v>
      </c>
      <c r="E115" s="33" t="s">
        <v>99</v>
      </c>
      <c r="F115" s="148" t="s">
        <v>37</v>
      </c>
      <c r="G115" s="33" t="s">
        <v>37</v>
      </c>
      <c r="H115" s="33" t="s">
        <v>37</v>
      </c>
      <c r="I115" s="33" t="s">
        <v>37</v>
      </c>
      <c r="J115" s="33" t="s">
        <v>37</v>
      </c>
      <c r="K115" s="33" t="s">
        <v>37</v>
      </c>
      <c r="L115" s="33" t="s">
        <v>37</v>
      </c>
      <c r="M115" s="33" t="s">
        <v>37</v>
      </c>
      <c r="N115" s="33" t="s">
        <v>37</v>
      </c>
      <c r="O115" s="33" t="s">
        <v>37</v>
      </c>
      <c r="P115" s="33" t="s">
        <v>37</v>
      </c>
      <c r="Q115" s="33" t="s">
        <v>37</v>
      </c>
      <c r="R115" s="33" t="s">
        <v>37</v>
      </c>
      <c r="S115" s="33" t="s">
        <v>37</v>
      </c>
      <c r="T115" s="33" t="s">
        <v>37</v>
      </c>
      <c r="U115" s="33" t="s">
        <v>37</v>
      </c>
      <c r="V115" s="33" t="s">
        <v>37</v>
      </c>
      <c r="W115" s="33" t="s">
        <v>37</v>
      </c>
      <c r="X115" s="33" t="s">
        <v>37</v>
      </c>
      <c r="Y115" s="33" t="s">
        <v>37</v>
      </c>
      <c r="Z115" s="33" t="s">
        <v>37</v>
      </c>
      <c r="AA115" s="33" t="s">
        <v>37</v>
      </c>
      <c r="AB115" s="148" t="s">
        <v>37</v>
      </c>
      <c r="AC115" s="33" t="s">
        <v>37</v>
      </c>
      <c r="AD115" s="33" t="s">
        <v>37</v>
      </c>
      <c r="AE115" s="33" t="s">
        <v>37</v>
      </c>
      <c r="AF115" s="35">
        <v>329</v>
      </c>
      <c r="AG115" s="35">
        <v>988</v>
      </c>
      <c r="AH115" s="35">
        <f t="shared" si="26"/>
        <v>340</v>
      </c>
      <c r="AI115" s="35">
        <v>704</v>
      </c>
      <c r="AJ115" s="35"/>
      <c r="AK115" s="35">
        <f t="shared" si="27"/>
        <v>375</v>
      </c>
      <c r="AL115" s="35">
        <v>1081</v>
      </c>
      <c r="AM115" s="35"/>
      <c r="AN115" s="35">
        <f t="shared" si="28"/>
        <v>377</v>
      </c>
      <c r="AO115" s="6">
        <v>363</v>
      </c>
      <c r="AP115" s="6">
        <v>1100</v>
      </c>
      <c r="AQ115" s="35">
        <f t="shared" si="29"/>
        <v>382</v>
      </c>
      <c r="AR115" s="6">
        <v>731</v>
      </c>
      <c r="AS115" s="6"/>
      <c r="AT115" s="34">
        <f t="shared" si="30"/>
        <v>368</v>
      </c>
      <c r="AU115" s="35">
        <v>331</v>
      </c>
      <c r="AV115" s="35">
        <v>743</v>
      </c>
      <c r="AW115" s="35">
        <f t="shared" si="31"/>
        <v>343</v>
      </c>
      <c r="AX115" s="6"/>
      <c r="AY115" s="6"/>
      <c r="AZ115" s="35"/>
      <c r="BA115" s="6">
        <v>700</v>
      </c>
      <c r="BB115" s="6"/>
      <c r="BC115" s="35">
        <f t="shared" si="32"/>
        <v>369</v>
      </c>
      <c r="BD115" s="35">
        <v>1048</v>
      </c>
      <c r="BE115" s="35"/>
      <c r="BF115" s="35">
        <f t="shared" si="33"/>
        <v>348</v>
      </c>
      <c r="BG115" s="6">
        <v>1409</v>
      </c>
      <c r="BH115" s="6"/>
      <c r="BI115" s="35">
        <f t="shared" si="34"/>
        <v>361</v>
      </c>
      <c r="BJ115" s="6">
        <v>211</v>
      </c>
      <c r="BK115" s="6">
        <v>1561</v>
      </c>
      <c r="BL115" s="35">
        <f t="shared" si="35"/>
        <v>363</v>
      </c>
      <c r="BM115" s="6">
        <v>579</v>
      </c>
      <c r="BN115" s="6"/>
      <c r="BO115" s="6">
        <f t="shared" si="36"/>
        <v>368</v>
      </c>
      <c r="BP115" s="6">
        <v>923</v>
      </c>
      <c r="BQ115" s="6"/>
      <c r="BR115" s="6">
        <f t="shared" si="37"/>
        <v>344</v>
      </c>
      <c r="BS115" s="6"/>
      <c r="BT115" s="6"/>
      <c r="BU115" s="35"/>
      <c r="BV115" s="6">
        <v>210</v>
      </c>
      <c r="BW115" s="6">
        <v>1070</v>
      </c>
      <c r="BX115" s="6">
        <f t="shared" si="38"/>
        <v>357</v>
      </c>
      <c r="BY115" s="6">
        <v>565</v>
      </c>
      <c r="BZ115" s="6"/>
      <c r="CA115" s="35">
        <f t="shared" si="39"/>
        <v>355</v>
      </c>
      <c r="CB115" s="6">
        <v>939</v>
      </c>
      <c r="CC115" s="6"/>
      <c r="CD115" s="6">
        <f t="shared" si="40"/>
        <v>374</v>
      </c>
      <c r="CE115" s="6">
        <v>1290</v>
      </c>
      <c r="CF115" s="6"/>
      <c r="CG115" s="6">
        <f t="shared" si="41"/>
        <v>351</v>
      </c>
      <c r="CH115" s="7">
        <v>244</v>
      </c>
      <c r="CI115" s="6">
        <v>1395</v>
      </c>
      <c r="CJ115" s="6">
        <f t="shared" si="42"/>
        <v>349</v>
      </c>
      <c r="CK115" s="6">
        <v>585</v>
      </c>
      <c r="CL115" s="6"/>
      <c r="CM115" s="6">
        <f t="shared" si="43"/>
        <v>341</v>
      </c>
      <c r="CN115" s="6"/>
      <c r="CO115" s="6"/>
      <c r="CP115" s="6"/>
      <c r="CQ115" s="6">
        <v>935</v>
      </c>
      <c r="CR115" s="6"/>
      <c r="CS115" s="6">
        <f t="shared" si="44"/>
        <v>350</v>
      </c>
      <c r="CT115" s="6">
        <v>16</v>
      </c>
      <c r="CU115" s="6">
        <v>1271</v>
      </c>
      <c r="CV115" s="6">
        <f t="shared" si="45"/>
        <v>352</v>
      </c>
      <c r="CW115" s="6">
        <v>351</v>
      </c>
      <c r="CX115" s="6"/>
      <c r="CY115" s="6">
        <f t="shared" si="46"/>
        <v>335</v>
      </c>
      <c r="CZ115" s="6">
        <v>696</v>
      </c>
      <c r="DA115" s="6"/>
      <c r="DB115" s="6">
        <f t="shared" si="47"/>
        <v>345</v>
      </c>
      <c r="DC115" s="6">
        <v>263</v>
      </c>
      <c r="DD115" s="6">
        <v>762</v>
      </c>
      <c r="DE115" s="6">
        <f t="shared" si="48"/>
        <v>329</v>
      </c>
      <c r="DF115" s="6">
        <v>614</v>
      </c>
      <c r="DG115" s="6"/>
      <c r="DH115" s="6">
        <f t="shared" si="49"/>
        <v>351</v>
      </c>
      <c r="DI115" s="6"/>
      <c r="DJ115" s="6"/>
      <c r="DK115" s="6"/>
      <c r="DL115" s="6">
        <v>996</v>
      </c>
      <c r="DM115" s="6"/>
      <c r="DN115" s="6">
        <f t="shared" si="50"/>
        <v>382</v>
      </c>
      <c r="DO115" s="6">
        <v>304</v>
      </c>
      <c r="DP115" s="6">
        <v>1042</v>
      </c>
      <c r="DQ115" s="6">
        <f t="shared" si="51"/>
        <v>350</v>
      </c>
    </row>
    <row r="116" spans="1:121">
      <c r="A116" s="6">
        <v>112</v>
      </c>
      <c r="B116" s="6">
        <v>906</v>
      </c>
      <c r="C116" s="6"/>
      <c r="D116" s="6">
        <v>352</v>
      </c>
      <c r="E116" s="33" t="s">
        <v>307</v>
      </c>
      <c r="F116" s="33" t="s">
        <v>307</v>
      </c>
      <c r="G116" s="33" t="s">
        <v>307</v>
      </c>
      <c r="H116" s="33" t="s">
        <v>307</v>
      </c>
      <c r="I116" s="33" t="s">
        <v>307</v>
      </c>
      <c r="J116" s="33" t="s">
        <v>307</v>
      </c>
      <c r="K116" s="33" t="s">
        <v>307</v>
      </c>
      <c r="L116" s="33" t="s">
        <v>307</v>
      </c>
      <c r="M116" s="33" t="s">
        <v>307</v>
      </c>
      <c r="N116" s="33" t="s">
        <v>307</v>
      </c>
      <c r="O116" s="33" t="s">
        <v>307</v>
      </c>
      <c r="P116" s="148" t="s">
        <v>307</v>
      </c>
      <c r="Q116" s="33" t="s">
        <v>307</v>
      </c>
      <c r="R116" s="33" t="s">
        <v>307</v>
      </c>
      <c r="S116" s="33" t="s">
        <v>307</v>
      </c>
      <c r="T116" s="33" t="s">
        <v>307</v>
      </c>
      <c r="U116" s="33" t="s">
        <v>307</v>
      </c>
      <c r="V116" s="33" t="s">
        <v>307</v>
      </c>
      <c r="W116" s="33" t="s">
        <v>307</v>
      </c>
      <c r="X116" s="33" t="s">
        <v>307</v>
      </c>
      <c r="Y116" s="33" t="s">
        <v>307</v>
      </c>
      <c r="Z116" s="33" t="s">
        <v>307</v>
      </c>
      <c r="AA116" s="33" t="s">
        <v>307</v>
      </c>
      <c r="AB116" s="33" t="s">
        <v>307</v>
      </c>
      <c r="AC116" s="33" t="s">
        <v>307</v>
      </c>
      <c r="AD116" s="33" t="s">
        <v>307</v>
      </c>
      <c r="AE116" s="33" t="s">
        <v>307</v>
      </c>
      <c r="AF116" s="6">
        <v>1319</v>
      </c>
      <c r="AG116" s="6"/>
      <c r="AH116" s="35">
        <f t="shared" si="26"/>
        <v>413</v>
      </c>
      <c r="AI116" s="6">
        <v>224</v>
      </c>
      <c r="AJ116" s="6">
        <v>1451</v>
      </c>
      <c r="AK116" s="35">
        <f t="shared" si="27"/>
        <v>356</v>
      </c>
      <c r="AL116" s="35">
        <v>602</v>
      </c>
      <c r="AM116" s="35"/>
      <c r="AN116" s="35">
        <f t="shared" si="28"/>
        <v>378</v>
      </c>
      <c r="AO116" s="6">
        <v>979</v>
      </c>
      <c r="AP116" s="6"/>
      <c r="AQ116" s="35">
        <f t="shared" si="29"/>
        <v>377</v>
      </c>
      <c r="AR116" s="6">
        <v>26</v>
      </c>
      <c r="AS116" s="6">
        <v>1333</v>
      </c>
      <c r="AT116" s="34">
        <f t="shared" si="30"/>
        <v>380</v>
      </c>
      <c r="AU116" s="35">
        <v>381</v>
      </c>
      <c r="AV116" s="35"/>
      <c r="AW116" s="35">
        <f t="shared" si="31"/>
        <v>355</v>
      </c>
      <c r="AX116" s="6"/>
      <c r="AY116" s="6"/>
      <c r="AZ116" s="35"/>
      <c r="BA116" s="6">
        <v>764</v>
      </c>
      <c r="BB116" s="6"/>
      <c r="BC116" s="35">
        <f t="shared" si="32"/>
        <v>383</v>
      </c>
      <c r="BD116" s="35">
        <v>1141</v>
      </c>
      <c r="BE116" s="35"/>
      <c r="BF116" s="35">
        <f t="shared" si="33"/>
        <v>377</v>
      </c>
      <c r="BG116" s="6">
        <v>1517</v>
      </c>
      <c r="BH116" s="6"/>
      <c r="BI116" s="35">
        <f t="shared" si="34"/>
        <v>376</v>
      </c>
      <c r="BJ116" s="6">
        <v>335</v>
      </c>
      <c r="BK116" s="6">
        <v>1560</v>
      </c>
      <c r="BL116" s="35">
        <f t="shared" si="35"/>
        <v>378</v>
      </c>
      <c r="BM116" s="6">
        <v>293</v>
      </c>
      <c r="BN116" s="6">
        <v>390</v>
      </c>
      <c r="BO116" s="6">
        <f t="shared" si="36"/>
        <v>348</v>
      </c>
      <c r="BP116" s="6">
        <v>652</v>
      </c>
      <c r="BQ116" s="6"/>
      <c r="BR116" s="6">
        <f t="shared" si="37"/>
        <v>359</v>
      </c>
      <c r="BS116" s="6"/>
      <c r="BT116" s="6"/>
      <c r="BU116" s="35"/>
      <c r="BV116" s="6">
        <v>1035</v>
      </c>
      <c r="BW116" s="6"/>
      <c r="BX116" s="6">
        <f t="shared" si="38"/>
        <v>383</v>
      </c>
      <c r="BY116" s="6">
        <v>1389</v>
      </c>
      <c r="BZ116" s="6"/>
      <c r="CA116" s="35">
        <f t="shared" si="39"/>
        <v>354</v>
      </c>
      <c r="CB116" s="6">
        <v>1766</v>
      </c>
      <c r="CC116" s="6"/>
      <c r="CD116" s="6">
        <f t="shared" si="40"/>
        <v>377</v>
      </c>
      <c r="CE116" s="6">
        <v>0</v>
      </c>
      <c r="CF116" s="6">
        <v>1820</v>
      </c>
      <c r="CG116" s="6">
        <f t="shared" si="41"/>
        <v>54</v>
      </c>
      <c r="CH116" s="7">
        <v>0</v>
      </c>
      <c r="CI116" s="6"/>
      <c r="CJ116" s="6">
        <f t="shared" si="42"/>
        <v>0</v>
      </c>
      <c r="CK116" s="6">
        <v>0</v>
      </c>
      <c r="CL116" s="6"/>
      <c r="CM116" s="6">
        <f t="shared" si="43"/>
        <v>0</v>
      </c>
      <c r="CN116" s="6"/>
      <c r="CO116" s="6"/>
      <c r="CP116" s="6"/>
      <c r="CQ116" s="6">
        <v>382</v>
      </c>
      <c r="CR116" s="6"/>
      <c r="CS116" s="6">
        <f t="shared" si="44"/>
        <v>382</v>
      </c>
      <c r="CT116" s="6">
        <v>749</v>
      </c>
      <c r="CU116" s="6"/>
      <c r="CV116" s="6">
        <f t="shared" si="45"/>
        <v>367</v>
      </c>
      <c r="CW116" s="6">
        <v>1131</v>
      </c>
      <c r="CX116" s="6"/>
      <c r="CY116" s="6">
        <f t="shared" si="46"/>
        <v>382</v>
      </c>
      <c r="CZ116" s="6">
        <v>1510</v>
      </c>
      <c r="DA116" s="6"/>
      <c r="DB116" s="6">
        <f t="shared" si="47"/>
        <v>379</v>
      </c>
      <c r="DC116" s="6">
        <v>334</v>
      </c>
      <c r="DD116" s="6">
        <v>1560</v>
      </c>
      <c r="DE116" s="6">
        <f t="shared" si="48"/>
        <v>384</v>
      </c>
      <c r="DF116" s="6">
        <v>704</v>
      </c>
      <c r="DG116" s="6"/>
      <c r="DH116" s="6">
        <f t="shared" si="49"/>
        <v>370</v>
      </c>
      <c r="DI116" s="6"/>
      <c r="DJ116" s="6"/>
      <c r="DK116" s="6"/>
      <c r="DL116" s="6">
        <v>1097</v>
      </c>
      <c r="DM116" s="6"/>
      <c r="DN116" s="6">
        <f t="shared" si="50"/>
        <v>393</v>
      </c>
      <c r="DO116" s="6">
        <v>1453</v>
      </c>
      <c r="DP116" s="6"/>
      <c r="DQ116" s="6">
        <f t="shared" si="51"/>
        <v>356</v>
      </c>
    </row>
    <row r="117" spans="1:121">
      <c r="A117" s="6">
        <v>113</v>
      </c>
      <c r="B117" s="6">
        <v>199</v>
      </c>
      <c r="C117" s="6">
        <v>1170</v>
      </c>
      <c r="D117" s="6">
        <v>264</v>
      </c>
      <c r="E117" s="33" t="s">
        <v>99</v>
      </c>
      <c r="F117" s="33" t="s">
        <v>99</v>
      </c>
      <c r="G117" s="33" t="s">
        <v>99</v>
      </c>
      <c r="H117" s="33" t="s">
        <v>99</v>
      </c>
      <c r="I117" s="33" t="s">
        <v>99</v>
      </c>
      <c r="J117" s="33" t="s">
        <v>99</v>
      </c>
      <c r="K117" s="33" t="s">
        <v>99</v>
      </c>
      <c r="L117" s="33" t="s">
        <v>99</v>
      </c>
      <c r="M117" s="33" t="s">
        <v>99</v>
      </c>
      <c r="N117" s="33" t="s">
        <v>99</v>
      </c>
      <c r="O117" s="148" t="s">
        <v>37</v>
      </c>
      <c r="P117" s="33" t="s">
        <v>37</v>
      </c>
      <c r="Q117" s="33" t="s">
        <v>37</v>
      </c>
      <c r="R117" s="33" t="s">
        <v>37</v>
      </c>
      <c r="S117" s="33" t="s">
        <v>37</v>
      </c>
      <c r="T117" s="33" t="s">
        <v>37</v>
      </c>
      <c r="U117" s="33" t="s">
        <v>37</v>
      </c>
      <c r="V117" s="33" t="s">
        <v>37</v>
      </c>
      <c r="W117" s="33" t="s">
        <v>37</v>
      </c>
      <c r="X117" s="33" t="s">
        <v>37</v>
      </c>
      <c r="Y117" s="33" t="s">
        <v>37</v>
      </c>
      <c r="Z117" s="33" t="s">
        <v>37</v>
      </c>
      <c r="AA117" s="33" t="s">
        <v>37</v>
      </c>
      <c r="AB117" s="33" t="s">
        <v>37</v>
      </c>
      <c r="AC117" s="33" t="s">
        <v>37</v>
      </c>
      <c r="AD117" s="33" t="s">
        <v>37</v>
      </c>
      <c r="AE117" s="33" t="s">
        <v>37</v>
      </c>
      <c r="AF117" s="35">
        <v>522</v>
      </c>
      <c r="AG117" s="35"/>
      <c r="AH117" s="35">
        <f t="shared" si="26"/>
        <v>323</v>
      </c>
      <c r="AI117" s="35">
        <v>816</v>
      </c>
      <c r="AJ117" s="35"/>
      <c r="AK117" s="35">
        <f t="shared" si="27"/>
        <v>294</v>
      </c>
      <c r="AL117" s="35">
        <v>1109</v>
      </c>
      <c r="AM117" s="35"/>
      <c r="AN117" s="35">
        <f t="shared" si="28"/>
        <v>293</v>
      </c>
      <c r="AO117" s="6">
        <v>1407</v>
      </c>
      <c r="AP117" s="6"/>
      <c r="AQ117" s="35">
        <f t="shared" si="29"/>
        <v>298</v>
      </c>
      <c r="AR117" s="6">
        <v>205</v>
      </c>
      <c r="AS117" s="6">
        <v>1500</v>
      </c>
      <c r="AT117" s="34">
        <f t="shared" si="30"/>
        <v>298</v>
      </c>
      <c r="AU117" s="35">
        <v>486</v>
      </c>
      <c r="AV117" s="35"/>
      <c r="AW117" s="35">
        <f t="shared" si="31"/>
        <v>281</v>
      </c>
      <c r="AX117" s="6"/>
      <c r="AY117" s="6"/>
      <c r="AZ117" s="35"/>
      <c r="BA117" s="6">
        <v>785</v>
      </c>
      <c r="BB117" s="6"/>
      <c r="BC117" s="35">
        <f t="shared" si="32"/>
        <v>299</v>
      </c>
      <c r="BD117" s="6">
        <v>1081</v>
      </c>
      <c r="BE117" s="6"/>
      <c r="BF117" s="35">
        <f t="shared" si="33"/>
        <v>296</v>
      </c>
      <c r="BG117" s="6">
        <v>0</v>
      </c>
      <c r="BH117" s="6">
        <v>1267</v>
      </c>
      <c r="BI117" s="35">
        <f t="shared" si="34"/>
        <v>186</v>
      </c>
      <c r="BJ117" s="6">
        <v>358</v>
      </c>
      <c r="BK117" s="6"/>
      <c r="BL117" s="35">
        <f t="shared" si="35"/>
        <v>358</v>
      </c>
      <c r="BM117" s="6">
        <v>741</v>
      </c>
      <c r="BN117" s="35"/>
      <c r="BO117" s="6">
        <f t="shared" si="36"/>
        <v>383</v>
      </c>
      <c r="BP117" s="6">
        <v>1090</v>
      </c>
      <c r="BQ117" s="6"/>
      <c r="BR117" s="6">
        <f t="shared" si="37"/>
        <v>349</v>
      </c>
      <c r="BS117" s="6"/>
      <c r="BT117" s="6"/>
      <c r="BU117" s="35"/>
      <c r="BV117" s="6">
        <v>1469</v>
      </c>
      <c r="BW117" s="6"/>
      <c r="BX117" s="6">
        <f t="shared" si="38"/>
        <v>379</v>
      </c>
      <c r="BY117" s="6">
        <v>268</v>
      </c>
      <c r="BZ117" s="6">
        <v>1572</v>
      </c>
      <c r="CA117" s="35">
        <f t="shared" si="39"/>
        <v>371</v>
      </c>
      <c r="CB117" s="6">
        <v>651</v>
      </c>
      <c r="CC117" s="35"/>
      <c r="CD117" s="6">
        <f t="shared" si="40"/>
        <v>383</v>
      </c>
      <c r="CE117" s="6">
        <v>1030</v>
      </c>
      <c r="CF117" s="6"/>
      <c r="CG117" s="6">
        <f t="shared" si="41"/>
        <v>379</v>
      </c>
      <c r="CH117" s="7">
        <v>370</v>
      </c>
      <c r="CI117" s="35">
        <v>1034</v>
      </c>
      <c r="CJ117" s="6">
        <f t="shared" si="42"/>
        <v>374</v>
      </c>
      <c r="CK117" s="6">
        <v>743</v>
      </c>
      <c r="CL117" s="6"/>
      <c r="CM117" s="6">
        <f t="shared" si="43"/>
        <v>373</v>
      </c>
      <c r="CN117" s="6"/>
      <c r="CO117" s="6"/>
      <c r="CP117" s="6"/>
      <c r="CQ117" s="6">
        <v>1129</v>
      </c>
      <c r="CR117" s="6"/>
      <c r="CS117" s="6">
        <f t="shared" si="44"/>
        <v>386</v>
      </c>
      <c r="CT117" s="6">
        <v>1</v>
      </c>
      <c r="CU117" s="6">
        <v>1505</v>
      </c>
      <c r="CV117" s="6">
        <f t="shared" si="45"/>
        <v>377</v>
      </c>
      <c r="CW117" s="6">
        <v>381</v>
      </c>
      <c r="CX117" s="6"/>
      <c r="CY117" s="6">
        <f t="shared" si="46"/>
        <v>380</v>
      </c>
      <c r="CZ117" s="6">
        <v>763</v>
      </c>
      <c r="DA117" s="6"/>
      <c r="DB117" s="6">
        <f t="shared" si="47"/>
        <v>382</v>
      </c>
      <c r="DC117" s="6">
        <v>1146</v>
      </c>
      <c r="DD117" s="6"/>
      <c r="DE117" s="6">
        <f t="shared" si="48"/>
        <v>383</v>
      </c>
      <c r="DF117" s="6">
        <v>1507</v>
      </c>
      <c r="DG117" s="6"/>
      <c r="DH117" s="6">
        <f t="shared" si="49"/>
        <v>361</v>
      </c>
      <c r="DI117" s="6"/>
      <c r="DJ117" s="6"/>
      <c r="DK117" s="6"/>
      <c r="DL117" s="6">
        <v>332</v>
      </c>
      <c r="DM117" s="6">
        <v>1560</v>
      </c>
      <c r="DN117" s="6">
        <f t="shared" si="50"/>
        <v>385</v>
      </c>
      <c r="DO117" s="6">
        <v>695</v>
      </c>
      <c r="DP117" s="6"/>
      <c r="DQ117" s="6">
        <f t="shared" si="51"/>
        <v>363</v>
      </c>
    </row>
    <row r="118" spans="1:121">
      <c r="A118" s="6">
        <v>114</v>
      </c>
      <c r="B118" s="6">
        <v>1308</v>
      </c>
      <c r="C118" s="6"/>
      <c r="D118" s="6">
        <v>338</v>
      </c>
      <c r="E118" s="33" t="s">
        <v>37</v>
      </c>
      <c r="F118" s="33" t="s">
        <v>37</v>
      </c>
      <c r="G118" s="33" t="s">
        <v>37</v>
      </c>
      <c r="H118" s="33" t="s">
        <v>37</v>
      </c>
      <c r="I118" s="33" t="s">
        <v>37</v>
      </c>
      <c r="J118" s="33" t="s">
        <v>37</v>
      </c>
      <c r="K118" s="148" t="s">
        <v>37</v>
      </c>
      <c r="L118" s="33" t="s">
        <v>37</v>
      </c>
      <c r="M118" s="33" t="s">
        <v>37</v>
      </c>
      <c r="N118" s="33" t="s">
        <v>37</v>
      </c>
      <c r="O118" s="33" t="s">
        <v>37</v>
      </c>
      <c r="P118" s="33" t="s">
        <v>37</v>
      </c>
      <c r="Q118" s="33" t="s">
        <v>37</v>
      </c>
      <c r="R118" s="33" t="s">
        <v>37</v>
      </c>
      <c r="S118" s="33" t="s">
        <v>37</v>
      </c>
      <c r="T118" s="33" t="s">
        <v>37</v>
      </c>
      <c r="U118" s="33" t="s">
        <v>37</v>
      </c>
      <c r="V118" s="33" t="s">
        <v>37</v>
      </c>
      <c r="W118" s="33" t="s">
        <v>37</v>
      </c>
      <c r="X118" s="33" t="s">
        <v>37</v>
      </c>
      <c r="Y118" s="33" t="s">
        <v>37</v>
      </c>
      <c r="Z118" s="33" t="s">
        <v>37</v>
      </c>
      <c r="AA118" s="33" t="s">
        <v>37</v>
      </c>
      <c r="AB118" s="33" t="s">
        <v>37</v>
      </c>
      <c r="AC118" s="33" t="s">
        <v>37</v>
      </c>
      <c r="AD118" s="33" t="s">
        <v>37</v>
      </c>
      <c r="AE118" s="33" t="s">
        <v>37</v>
      </c>
      <c r="AF118" s="6">
        <v>149</v>
      </c>
      <c r="AG118" s="6">
        <v>1561</v>
      </c>
      <c r="AH118" s="35">
        <f t="shared" si="26"/>
        <v>402</v>
      </c>
      <c r="AI118" s="6">
        <v>245</v>
      </c>
      <c r="AJ118" s="6">
        <v>269</v>
      </c>
      <c r="AK118" s="35">
        <f t="shared" si="27"/>
        <v>365</v>
      </c>
      <c r="AL118" s="35">
        <v>621</v>
      </c>
      <c r="AM118" s="35"/>
      <c r="AN118" s="35">
        <f t="shared" si="28"/>
        <v>376</v>
      </c>
      <c r="AO118" s="6">
        <v>1004</v>
      </c>
      <c r="AP118" s="6"/>
      <c r="AQ118" s="35">
        <f t="shared" si="29"/>
        <v>383</v>
      </c>
      <c r="AR118" s="6">
        <v>1386</v>
      </c>
      <c r="AS118" s="6"/>
      <c r="AT118" s="34">
        <f t="shared" si="30"/>
        <v>382</v>
      </c>
      <c r="AU118" s="35">
        <v>325</v>
      </c>
      <c r="AV118" s="35">
        <v>1399</v>
      </c>
      <c r="AW118" s="35">
        <f t="shared" si="31"/>
        <v>338</v>
      </c>
      <c r="AX118" s="6"/>
      <c r="AY118" s="6"/>
      <c r="AZ118" s="35"/>
      <c r="BA118" s="6">
        <v>693</v>
      </c>
      <c r="BB118" s="6"/>
      <c r="BC118" s="35">
        <f t="shared" si="32"/>
        <v>368</v>
      </c>
      <c r="BD118" s="35">
        <v>1066</v>
      </c>
      <c r="BE118" s="35"/>
      <c r="BF118" s="35">
        <f t="shared" si="33"/>
        <v>373</v>
      </c>
      <c r="BG118" s="6">
        <v>1443</v>
      </c>
      <c r="BH118" s="6"/>
      <c r="BI118" s="35">
        <f t="shared" si="34"/>
        <v>377</v>
      </c>
      <c r="BJ118" s="6">
        <v>257</v>
      </c>
      <c r="BK118" s="6">
        <v>1560</v>
      </c>
      <c r="BL118" s="35">
        <f t="shared" si="35"/>
        <v>374</v>
      </c>
      <c r="BM118" s="6">
        <v>633</v>
      </c>
      <c r="BN118" s="6"/>
      <c r="BO118" s="6">
        <f t="shared" si="36"/>
        <v>376</v>
      </c>
      <c r="BP118" s="6">
        <v>974</v>
      </c>
      <c r="BQ118" s="6"/>
      <c r="BR118" s="6">
        <f t="shared" si="37"/>
        <v>341</v>
      </c>
      <c r="BS118" s="6"/>
      <c r="BT118" s="6"/>
      <c r="BU118" s="35"/>
      <c r="BV118" s="6">
        <v>1347</v>
      </c>
      <c r="BW118" s="6"/>
      <c r="BX118" s="6">
        <f t="shared" si="38"/>
        <v>373</v>
      </c>
      <c r="BY118" s="6">
        <v>319</v>
      </c>
      <c r="BZ118" s="6">
        <v>1377</v>
      </c>
      <c r="CA118" s="35">
        <f t="shared" si="39"/>
        <v>349</v>
      </c>
      <c r="CB118" s="6">
        <v>704</v>
      </c>
      <c r="CC118" s="6"/>
      <c r="CD118" s="6">
        <f t="shared" si="40"/>
        <v>385</v>
      </c>
      <c r="CE118" s="6">
        <v>1090</v>
      </c>
      <c r="CF118" s="6"/>
      <c r="CG118" s="6">
        <f t="shared" si="41"/>
        <v>386</v>
      </c>
      <c r="CH118" s="7">
        <v>1477</v>
      </c>
      <c r="CI118" s="6"/>
      <c r="CJ118" s="6">
        <f t="shared" si="42"/>
        <v>387</v>
      </c>
      <c r="CK118" s="6">
        <v>290</v>
      </c>
      <c r="CL118" s="6">
        <v>1560</v>
      </c>
      <c r="CM118" s="6">
        <f t="shared" si="43"/>
        <v>373</v>
      </c>
      <c r="CN118" s="6"/>
      <c r="CO118" s="6"/>
      <c r="CP118" s="6"/>
      <c r="CQ118" s="6">
        <v>24</v>
      </c>
      <c r="CR118" s="6">
        <v>655</v>
      </c>
      <c r="CS118" s="6">
        <f t="shared" si="44"/>
        <v>389</v>
      </c>
      <c r="CT118" s="6">
        <v>384</v>
      </c>
      <c r="CU118" s="6"/>
      <c r="CV118" s="6">
        <f t="shared" si="45"/>
        <v>360</v>
      </c>
      <c r="CW118" s="6">
        <v>308</v>
      </c>
      <c r="CX118" s="6">
        <v>430</v>
      </c>
      <c r="CY118" s="6">
        <f t="shared" si="46"/>
        <v>354</v>
      </c>
      <c r="CZ118" s="6">
        <v>686</v>
      </c>
      <c r="DA118" s="6"/>
      <c r="DB118" s="6">
        <f t="shared" si="47"/>
        <v>378</v>
      </c>
      <c r="DC118" s="6">
        <v>1067</v>
      </c>
      <c r="DD118" s="6"/>
      <c r="DE118" s="6">
        <f t="shared" si="48"/>
        <v>381</v>
      </c>
      <c r="DF118" s="6">
        <v>1424</v>
      </c>
      <c r="DG118" s="6"/>
      <c r="DH118" s="6">
        <f t="shared" si="49"/>
        <v>357</v>
      </c>
      <c r="DI118" s="6"/>
      <c r="DJ118" s="6"/>
      <c r="DK118" s="6"/>
      <c r="DL118" s="6">
        <v>251</v>
      </c>
      <c r="DM118" s="6">
        <v>1560</v>
      </c>
      <c r="DN118" s="6">
        <f t="shared" si="50"/>
        <v>387</v>
      </c>
      <c r="DO118" s="6">
        <v>608</v>
      </c>
      <c r="DP118" s="6"/>
      <c r="DQ118" s="6">
        <f t="shared" si="51"/>
        <v>357</v>
      </c>
    </row>
    <row r="119" spans="1:121">
      <c r="A119" s="6">
        <v>115</v>
      </c>
      <c r="B119" s="6">
        <v>1256</v>
      </c>
      <c r="C119" s="6"/>
      <c r="D119" s="6">
        <v>271</v>
      </c>
      <c r="E119" s="33" t="s">
        <v>99</v>
      </c>
      <c r="F119" s="148" t="s">
        <v>37</v>
      </c>
      <c r="G119" s="33" t="s">
        <v>37</v>
      </c>
      <c r="H119" s="33" t="s">
        <v>37</v>
      </c>
      <c r="I119" s="33" t="s">
        <v>37</v>
      </c>
      <c r="J119" s="33" t="s">
        <v>37</v>
      </c>
      <c r="K119" s="33" t="s">
        <v>37</v>
      </c>
      <c r="L119" s="33" t="s">
        <v>37</v>
      </c>
      <c r="M119" s="33" t="s">
        <v>37</v>
      </c>
      <c r="N119" s="33" t="s">
        <v>37</v>
      </c>
      <c r="O119" s="33" t="s">
        <v>37</v>
      </c>
      <c r="P119" s="33" t="s">
        <v>37</v>
      </c>
      <c r="Q119" s="33" t="s">
        <v>37</v>
      </c>
      <c r="R119" s="33" t="s">
        <v>37</v>
      </c>
      <c r="S119" s="33" t="s">
        <v>37</v>
      </c>
      <c r="T119" s="33" t="s">
        <v>37</v>
      </c>
      <c r="U119" s="33" t="s">
        <v>37</v>
      </c>
      <c r="V119" s="33" t="s">
        <v>37</v>
      </c>
      <c r="W119" s="33" t="s">
        <v>37</v>
      </c>
      <c r="X119" s="33" t="s">
        <v>37</v>
      </c>
      <c r="Y119" s="33" t="s">
        <v>37</v>
      </c>
      <c r="Z119" s="33" t="s">
        <v>37</v>
      </c>
      <c r="AA119" s="148" t="s">
        <v>37</v>
      </c>
      <c r="AB119" s="33" t="s">
        <v>37</v>
      </c>
      <c r="AC119" s="33" t="s">
        <v>37</v>
      </c>
      <c r="AD119" s="33" t="s">
        <v>37</v>
      </c>
      <c r="AE119" s="33" t="s">
        <v>37</v>
      </c>
      <c r="AF119" s="6">
        <v>275</v>
      </c>
      <c r="AG119" s="6">
        <v>1348</v>
      </c>
      <c r="AH119" s="35">
        <f t="shared" si="26"/>
        <v>367</v>
      </c>
      <c r="AI119" s="35">
        <v>642</v>
      </c>
      <c r="AJ119" s="6"/>
      <c r="AK119" s="35">
        <f t="shared" si="27"/>
        <v>367</v>
      </c>
      <c r="AL119" s="35">
        <v>1016</v>
      </c>
      <c r="AM119" s="35"/>
      <c r="AN119" s="35">
        <f t="shared" si="28"/>
        <v>374</v>
      </c>
      <c r="AO119" s="6">
        <v>315</v>
      </c>
      <c r="AP119" s="6">
        <v>1072</v>
      </c>
      <c r="AQ119" s="35">
        <f t="shared" si="29"/>
        <v>371</v>
      </c>
      <c r="AR119" s="6">
        <v>692</v>
      </c>
      <c r="AS119" s="6"/>
      <c r="AT119" s="34">
        <f t="shared" si="30"/>
        <v>377</v>
      </c>
      <c r="AU119" s="35">
        <v>1043</v>
      </c>
      <c r="AV119" s="35"/>
      <c r="AW119" s="35">
        <f t="shared" si="31"/>
        <v>351</v>
      </c>
      <c r="AX119" s="6"/>
      <c r="AY119" s="6"/>
      <c r="AZ119" s="35"/>
      <c r="BA119" s="6">
        <v>1428</v>
      </c>
      <c r="BB119" s="6"/>
      <c r="BC119" s="35">
        <f t="shared" si="32"/>
        <v>385</v>
      </c>
      <c r="BD119" s="35">
        <v>245</v>
      </c>
      <c r="BE119" s="35">
        <v>1560</v>
      </c>
      <c r="BF119" s="35">
        <f t="shared" si="33"/>
        <v>377</v>
      </c>
      <c r="BG119" s="6">
        <v>627</v>
      </c>
      <c r="BH119" s="6"/>
      <c r="BI119" s="35">
        <f t="shared" si="34"/>
        <v>382</v>
      </c>
      <c r="BJ119" s="6">
        <v>1009</v>
      </c>
      <c r="BK119" s="6"/>
      <c r="BL119" s="35">
        <f t="shared" si="35"/>
        <v>382</v>
      </c>
      <c r="BM119" s="6">
        <v>1391</v>
      </c>
      <c r="BN119" s="6"/>
      <c r="BO119" s="6">
        <f t="shared" si="36"/>
        <v>382</v>
      </c>
      <c r="BP119" s="6">
        <v>193</v>
      </c>
      <c r="BQ119" s="6">
        <v>1560</v>
      </c>
      <c r="BR119" s="6">
        <f t="shared" si="37"/>
        <v>362</v>
      </c>
      <c r="BS119" s="6"/>
      <c r="BT119" s="6"/>
      <c r="BU119" s="35"/>
      <c r="BV119" s="6">
        <v>578</v>
      </c>
      <c r="BW119" s="6"/>
      <c r="BX119" s="6">
        <f t="shared" si="38"/>
        <v>385</v>
      </c>
      <c r="BY119" s="6">
        <v>955</v>
      </c>
      <c r="BZ119" s="6"/>
      <c r="CA119" s="35">
        <f t="shared" si="39"/>
        <v>377</v>
      </c>
      <c r="CB119" s="6">
        <v>1338</v>
      </c>
      <c r="CC119" s="6"/>
      <c r="CD119" s="6">
        <f t="shared" si="40"/>
        <v>383</v>
      </c>
      <c r="CE119" s="6">
        <v>145</v>
      </c>
      <c r="CF119" s="6">
        <v>1560</v>
      </c>
      <c r="CG119" s="6">
        <f t="shared" si="41"/>
        <v>367</v>
      </c>
      <c r="CH119" s="7">
        <v>527</v>
      </c>
      <c r="CI119" s="6"/>
      <c r="CJ119" s="6">
        <f t="shared" si="42"/>
        <v>382</v>
      </c>
      <c r="CK119" s="6">
        <v>894</v>
      </c>
      <c r="CL119" s="6"/>
      <c r="CM119" s="6">
        <f t="shared" si="43"/>
        <v>367</v>
      </c>
      <c r="CN119" s="6"/>
      <c r="CO119" s="6"/>
      <c r="CP119" s="6"/>
      <c r="CQ119" s="6">
        <v>1280</v>
      </c>
      <c r="CR119" s="6"/>
      <c r="CS119" s="6">
        <f t="shared" si="44"/>
        <v>386</v>
      </c>
      <c r="CT119" s="6">
        <v>98</v>
      </c>
      <c r="CU119" s="6">
        <v>1560</v>
      </c>
      <c r="CV119" s="6">
        <f t="shared" si="45"/>
        <v>378</v>
      </c>
      <c r="CW119" s="6">
        <v>480</v>
      </c>
      <c r="CX119" s="6"/>
      <c r="CY119" s="6">
        <f t="shared" si="46"/>
        <v>382</v>
      </c>
      <c r="CZ119" s="6">
        <v>295</v>
      </c>
      <c r="DA119" s="6">
        <v>544</v>
      </c>
      <c r="DB119" s="6">
        <f t="shared" si="47"/>
        <v>359</v>
      </c>
      <c r="DC119" s="6">
        <v>670</v>
      </c>
      <c r="DD119" s="6"/>
      <c r="DE119" s="6">
        <f t="shared" si="48"/>
        <v>375</v>
      </c>
      <c r="DF119" s="6">
        <v>1033</v>
      </c>
      <c r="DG119" s="6"/>
      <c r="DH119" s="6">
        <f t="shared" si="49"/>
        <v>363</v>
      </c>
      <c r="DI119" s="6"/>
      <c r="DJ119" s="6"/>
      <c r="DK119" s="6"/>
      <c r="DL119" s="6">
        <v>1419</v>
      </c>
      <c r="DM119" s="6"/>
      <c r="DN119" s="6">
        <f t="shared" si="50"/>
        <v>386</v>
      </c>
      <c r="DO119" s="6">
        <v>216</v>
      </c>
      <c r="DP119" s="6">
        <v>1560</v>
      </c>
      <c r="DQ119" s="6">
        <f t="shared" si="51"/>
        <v>357</v>
      </c>
    </row>
    <row r="120" spans="1:121">
      <c r="A120" s="6">
        <v>116</v>
      </c>
      <c r="B120" s="6">
        <v>1015</v>
      </c>
      <c r="C120" s="6"/>
      <c r="D120" s="6">
        <v>343</v>
      </c>
      <c r="E120" s="33" t="s">
        <v>37</v>
      </c>
      <c r="F120" s="33" t="s">
        <v>37</v>
      </c>
      <c r="G120" s="33" t="s">
        <v>37</v>
      </c>
      <c r="H120" s="33" t="s">
        <v>37</v>
      </c>
      <c r="I120" s="33" t="s">
        <v>37</v>
      </c>
      <c r="J120" s="33" t="s">
        <v>37</v>
      </c>
      <c r="K120" s="33" t="s">
        <v>37</v>
      </c>
      <c r="L120" s="33" t="s">
        <v>37</v>
      </c>
      <c r="M120" s="33" t="s">
        <v>37</v>
      </c>
      <c r="N120" s="33" t="s">
        <v>37</v>
      </c>
      <c r="O120" s="33" t="s">
        <v>37</v>
      </c>
      <c r="P120" s="33" t="s">
        <v>37</v>
      </c>
      <c r="Q120" s="33" t="s">
        <v>37</v>
      </c>
      <c r="R120" s="33" t="s">
        <v>37</v>
      </c>
      <c r="S120" s="33" t="s">
        <v>37</v>
      </c>
      <c r="T120" s="33" t="s">
        <v>37</v>
      </c>
      <c r="U120" s="33" t="s">
        <v>37</v>
      </c>
      <c r="V120" s="33" t="s">
        <v>37</v>
      </c>
      <c r="W120" s="33" t="s">
        <v>37</v>
      </c>
      <c r="X120" s="148" t="s">
        <v>37</v>
      </c>
      <c r="Y120" s="33" t="s">
        <v>37</v>
      </c>
      <c r="Z120" s="33" t="s">
        <v>37</v>
      </c>
      <c r="AA120" s="33" t="s">
        <v>37</v>
      </c>
      <c r="AB120" s="33" t="s">
        <v>37</v>
      </c>
      <c r="AC120" s="33" t="s">
        <v>37</v>
      </c>
      <c r="AD120" s="33" t="s">
        <v>37</v>
      </c>
      <c r="AE120" s="33" t="s">
        <v>37</v>
      </c>
      <c r="AF120" s="6">
        <v>73</v>
      </c>
      <c r="AG120" s="6">
        <v>1343</v>
      </c>
      <c r="AH120" s="35">
        <f t="shared" si="26"/>
        <v>401</v>
      </c>
      <c r="AI120" s="6">
        <v>439</v>
      </c>
      <c r="AJ120" s="6"/>
      <c r="AK120" s="35">
        <f t="shared" si="27"/>
        <v>366</v>
      </c>
      <c r="AL120" s="35">
        <v>809</v>
      </c>
      <c r="AM120" s="35"/>
      <c r="AN120" s="35">
        <f t="shared" si="28"/>
        <v>370</v>
      </c>
      <c r="AO120" s="6">
        <v>1183</v>
      </c>
      <c r="AP120" s="6"/>
      <c r="AQ120" s="35">
        <f t="shared" si="29"/>
        <v>374</v>
      </c>
      <c r="AR120" s="6">
        <v>1</v>
      </c>
      <c r="AS120" s="6">
        <v>1560</v>
      </c>
      <c r="AT120" s="34">
        <f t="shared" si="30"/>
        <v>378</v>
      </c>
      <c r="AU120" s="35">
        <v>357</v>
      </c>
      <c r="AV120" s="35"/>
      <c r="AW120" s="35">
        <f t="shared" si="31"/>
        <v>356</v>
      </c>
      <c r="AX120" s="6"/>
      <c r="AY120" s="6"/>
      <c r="AZ120" s="35"/>
      <c r="BA120" s="6">
        <v>742</v>
      </c>
      <c r="BB120" s="6"/>
      <c r="BC120" s="35">
        <f t="shared" si="32"/>
        <v>385</v>
      </c>
      <c r="BD120" s="35">
        <v>1115</v>
      </c>
      <c r="BE120" s="35"/>
      <c r="BF120" s="35">
        <f t="shared" si="33"/>
        <v>373</v>
      </c>
      <c r="BG120" s="6">
        <v>340</v>
      </c>
      <c r="BH120" s="6">
        <v>1146</v>
      </c>
      <c r="BI120" s="35">
        <f t="shared" si="34"/>
        <v>371</v>
      </c>
      <c r="BJ120" s="6">
        <v>717</v>
      </c>
      <c r="BK120" s="6"/>
      <c r="BL120" s="35">
        <f t="shared" si="35"/>
        <v>377</v>
      </c>
      <c r="BM120" s="6">
        <v>1085</v>
      </c>
      <c r="BN120" s="6"/>
      <c r="BO120" s="6">
        <f t="shared" si="36"/>
        <v>368</v>
      </c>
      <c r="BP120" s="6">
        <v>1441</v>
      </c>
      <c r="BQ120" s="6"/>
      <c r="BR120" s="6">
        <f t="shared" si="37"/>
        <v>356</v>
      </c>
      <c r="BS120" s="6"/>
      <c r="BT120" s="6"/>
      <c r="BU120" s="35"/>
      <c r="BV120" s="6">
        <v>265</v>
      </c>
      <c r="BW120" s="6">
        <v>1560</v>
      </c>
      <c r="BX120" s="6">
        <f t="shared" si="38"/>
        <v>384</v>
      </c>
      <c r="BY120" s="6">
        <v>645</v>
      </c>
      <c r="BZ120" s="6"/>
      <c r="CA120" s="35">
        <f t="shared" si="39"/>
        <v>380</v>
      </c>
      <c r="CB120" s="6">
        <v>1033</v>
      </c>
      <c r="CC120" s="6"/>
      <c r="CD120" s="6">
        <f t="shared" si="40"/>
        <v>388</v>
      </c>
      <c r="CE120" s="6">
        <v>1422</v>
      </c>
      <c r="CF120" s="6"/>
      <c r="CG120" s="6">
        <f t="shared" si="41"/>
        <v>389</v>
      </c>
      <c r="CH120" s="7">
        <v>242</v>
      </c>
      <c r="CI120" s="6">
        <v>1562</v>
      </c>
      <c r="CJ120" s="6">
        <f t="shared" si="42"/>
        <v>382</v>
      </c>
      <c r="CK120" s="6">
        <v>619</v>
      </c>
      <c r="CL120" s="6"/>
      <c r="CM120" s="6">
        <f t="shared" si="43"/>
        <v>377</v>
      </c>
      <c r="CN120" s="6"/>
      <c r="CO120" s="6"/>
      <c r="CP120" s="6"/>
      <c r="CQ120" s="6">
        <v>299</v>
      </c>
      <c r="CR120" s="6">
        <v>669</v>
      </c>
      <c r="CS120" s="6">
        <f t="shared" si="44"/>
        <v>349</v>
      </c>
      <c r="CT120" s="6">
        <v>683</v>
      </c>
      <c r="CU120" s="6"/>
      <c r="CV120" s="6">
        <f t="shared" si="45"/>
        <v>384</v>
      </c>
      <c r="CW120" s="6">
        <v>1071</v>
      </c>
      <c r="CX120" s="6"/>
      <c r="CY120" s="6">
        <f t="shared" si="46"/>
        <v>388</v>
      </c>
      <c r="CZ120" s="6">
        <v>1457</v>
      </c>
      <c r="DA120" s="6"/>
      <c r="DB120" s="6">
        <f t="shared" si="47"/>
        <v>386</v>
      </c>
      <c r="DC120" s="6">
        <v>284</v>
      </c>
      <c r="DD120" s="6">
        <v>1560</v>
      </c>
      <c r="DE120" s="6">
        <f t="shared" si="48"/>
        <v>387</v>
      </c>
      <c r="DF120" s="6">
        <v>653</v>
      </c>
      <c r="DG120" s="6"/>
      <c r="DH120" s="6">
        <f t="shared" si="49"/>
        <v>369</v>
      </c>
      <c r="DI120" s="35"/>
      <c r="DJ120" s="6"/>
      <c r="DK120" s="6"/>
      <c r="DL120" s="35">
        <v>1038</v>
      </c>
      <c r="DM120" s="6"/>
      <c r="DN120" s="6">
        <f t="shared" si="50"/>
        <v>385</v>
      </c>
      <c r="DO120" s="35">
        <v>1398</v>
      </c>
      <c r="DP120" s="6"/>
      <c r="DQ120" s="6">
        <f t="shared" si="51"/>
        <v>360</v>
      </c>
    </row>
    <row r="121" spans="1:121">
      <c r="A121" s="6">
        <v>117</v>
      </c>
      <c r="B121" s="6">
        <v>234</v>
      </c>
      <c r="C121" s="6">
        <v>1560</v>
      </c>
      <c r="D121" s="6">
        <v>351</v>
      </c>
      <c r="E121" s="33" t="s">
        <v>307</v>
      </c>
      <c r="F121" s="33" t="s">
        <v>307</v>
      </c>
      <c r="G121" s="33" t="s">
        <v>307</v>
      </c>
      <c r="H121" s="33" t="s">
        <v>307</v>
      </c>
      <c r="I121" s="33" t="s">
        <v>307</v>
      </c>
      <c r="J121" s="33" t="s">
        <v>307</v>
      </c>
      <c r="K121" s="148" t="s">
        <v>37</v>
      </c>
      <c r="L121" s="33" t="s">
        <v>37</v>
      </c>
      <c r="M121" s="33" t="s">
        <v>37</v>
      </c>
      <c r="N121" s="33" t="s">
        <v>37</v>
      </c>
      <c r="O121" s="33" t="s">
        <v>37</v>
      </c>
      <c r="P121" s="33" t="s">
        <v>37</v>
      </c>
      <c r="Q121" s="33" t="s">
        <v>37</v>
      </c>
      <c r="R121" s="33" t="s">
        <v>37</v>
      </c>
      <c r="S121" s="33" t="s">
        <v>37</v>
      </c>
      <c r="T121" s="33" t="s">
        <v>37</v>
      </c>
      <c r="U121" s="33" t="s">
        <v>37</v>
      </c>
      <c r="V121" s="33" t="s">
        <v>37</v>
      </c>
      <c r="W121" s="33" t="s">
        <v>37</v>
      </c>
      <c r="X121" s="33" t="s">
        <v>37</v>
      </c>
      <c r="Y121" s="33" t="s">
        <v>37</v>
      </c>
      <c r="Z121" s="33" t="s">
        <v>37</v>
      </c>
      <c r="AA121" s="33" t="s">
        <v>37</v>
      </c>
      <c r="AB121" s="33" t="s">
        <v>37</v>
      </c>
      <c r="AC121" s="33" t="s">
        <v>37</v>
      </c>
      <c r="AD121" s="33" t="s">
        <v>37</v>
      </c>
      <c r="AE121" s="33" t="s">
        <v>37</v>
      </c>
      <c r="AF121" s="6">
        <v>645</v>
      </c>
      <c r="AG121" s="6"/>
      <c r="AH121" s="35">
        <f t="shared" si="26"/>
        <v>411</v>
      </c>
      <c r="AI121" s="6">
        <v>1026</v>
      </c>
      <c r="AJ121" s="6"/>
      <c r="AK121" s="35">
        <f t="shared" si="27"/>
        <v>381</v>
      </c>
      <c r="AL121" s="35">
        <v>1413</v>
      </c>
      <c r="AM121" s="35"/>
      <c r="AN121" s="35">
        <f t="shared" si="28"/>
        <v>387</v>
      </c>
      <c r="AO121" s="6">
        <v>240</v>
      </c>
      <c r="AP121" s="6">
        <v>1560</v>
      </c>
      <c r="AQ121" s="35">
        <f t="shared" si="29"/>
        <v>387</v>
      </c>
      <c r="AR121" s="6">
        <v>0</v>
      </c>
      <c r="AS121" s="6">
        <v>554</v>
      </c>
      <c r="AT121" s="34">
        <f t="shared" si="30"/>
        <v>314</v>
      </c>
      <c r="AU121" s="35">
        <v>341</v>
      </c>
      <c r="AV121" s="35"/>
      <c r="AW121" s="35">
        <f t="shared" si="31"/>
        <v>341</v>
      </c>
      <c r="AX121" s="6"/>
      <c r="AY121" s="6"/>
      <c r="AZ121" s="35"/>
      <c r="BA121" s="6">
        <v>730</v>
      </c>
      <c r="BB121" s="6"/>
      <c r="BC121" s="35">
        <f t="shared" si="32"/>
        <v>389</v>
      </c>
      <c r="BD121" s="35">
        <v>1115</v>
      </c>
      <c r="BE121" s="35"/>
      <c r="BF121" s="35">
        <f t="shared" si="33"/>
        <v>385</v>
      </c>
      <c r="BG121" s="6">
        <v>1485</v>
      </c>
      <c r="BH121" s="6"/>
      <c r="BI121" s="35">
        <f t="shared" si="34"/>
        <v>370</v>
      </c>
      <c r="BJ121" s="6">
        <v>310</v>
      </c>
      <c r="BK121" s="6">
        <v>1560</v>
      </c>
      <c r="BL121" s="35">
        <f t="shared" si="35"/>
        <v>385</v>
      </c>
      <c r="BM121" s="6">
        <v>693</v>
      </c>
      <c r="BN121" s="6"/>
      <c r="BO121" s="6">
        <f t="shared" si="36"/>
        <v>383</v>
      </c>
      <c r="BP121" s="6">
        <v>1050</v>
      </c>
      <c r="BQ121" s="6"/>
      <c r="BR121" s="6">
        <f t="shared" si="37"/>
        <v>357</v>
      </c>
      <c r="BS121" s="6"/>
      <c r="BT121" s="6"/>
      <c r="BU121" s="35"/>
      <c r="BV121" s="6">
        <v>1427</v>
      </c>
      <c r="BW121" s="6"/>
      <c r="BX121" s="6">
        <f t="shared" si="38"/>
        <v>377</v>
      </c>
      <c r="BY121" s="6">
        <v>251</v>
      </c>
      <c r="BZ121" s="6">
        <v>1560</v>
      </c>
      <c r="CA121" s="35">
        <f t="shared" si="39"/>
        <v>384</v>
      </c>
      <c r="CB121" s="6">
        <v>643</v>
      </c>
      <c r="CC121" s="6"/>
      <c r="CD121" s="6">
        <f t="shared" si="40"/>
        <v>392</v>
      </c>
      <c r="CE121" s="6">
        <v>1031</v>
      </c>
      <c r="CF121" s="6"/>
      <c r="CG121" s="6">
        <f t="shared" si="41"/>
        <v>388</v>
      </c>
      <c r="CH121" s="6">
        <v>267</v>
      </c>
      <c r="CI121" s="6">
        <v>1147</v>
      </c>
      <c r="CJ121" s="6">
        <f t="shared" si="42"/>
        <v>383</v>
      </c>
      <c r="CK121" s="6">
        <v>644</v>
      </c>
      <c r="CL121" s="6"/>
      <c r="CM121" s="6">
        <f t="shared" si="43"/>
        <v>377</v>
      </c>
      <c r="CN121" s="6"/>
      <c r="CO121" s="6"/>
      <c r="CP121" s="6"/>
      <c r="CQ121" s="6">
        <v>1037</v>
      </c>
      <c r="CR121" s="6"/>
      <c r="CS121" s="6">
        <f t="shared" si="44"/>
        <v>393</v>
      </c>
      <c r="CT121" s="6">
        <v>3</v>
      </c>
      <c r="CU121" s="6">
        <v>1419</v>
      </c>
      <c r="CV121" s="6">
        <f t="shared" si="45"/>
        <v>385</v>
      </c>
      <c r="CW121" s="6">
        <v>391</v>
      </c>
      <c r="CX121" s="6"/>
      <c r="CY121" s="6">
        <f t="shared" si="46"/>
        <v>388</v>
      </c>
      <c r="CZ121" s="6">
        <v>779</v>
      </c>
      <c r="DA121" s="6"/>
      <c r="DB121" s="6">
        <f t="shared" si="47"/>
        <v>388</v>
      </c>
      <c r="DC121" s="6">
        <v>1160</v>
      </c>
      <c r="DD121" s="6"/>
      <c r="DE121" s="6">
        <f t="shared" si="48"/>
        <v>381</v>
      </c>
      <c r="DF121" s="6">
        <v>1532</v>
      </c>
      <c r="DG121" s="6"/>
      <c r="DH121" s="6">
        <f t="shared" si="49"/>
        <v>372</v>
      </c>
      <c r="DI121" s="6"/>
      <c r="DJ121" s="6"/>
      <c r="DK121" s="6"/>
      <c r="DL121" s="6">
        <v>359</v>
      </c>
      <c r="DM121" s="6">
        <v>1560</v>
      </c>
      <c r="DN121" s="6">
        <f t="shared" si="50"/>
        <v>387</v>
      </c>
      <c r="DO121" s="6">
        <v>0</v>
      </c>
      <c r="DP121" s="6">
        <v>604</v>
      </c>
      <c r="DQ121" s="6">
        <f t="shared" si="51"/>
        <v>245</v>
      </c>
    </row>
    <row r="122" spans="1:121">
      <c r="A122" s="6">
        <v>118</v>
      </c>
      <c r="B122" s="6">
        <v>204</v>
      </c>
      <c r="C122" s="6">
        <v>1500</v>
      </c>
      <c r="D122" s="6">
        <v>268</v>
      </c>
      <c r="E122" s="33" t="s">
        <v>99</v>
      </c>
      <c r="F122" s="33" t="s">
        <v>99</v>
      </c>
      <c r="G122" s="33" t="s">
        <v>99</v>
      </c>
      <c r="H122" s="33" t="s">
        <v>99</v>
      </c>
      <c r="I122" s="33" t="s">
        <v>99</v>
      </c>
      <c r="J122" s="33" t="s">
        <v>99</v>
      </c>
      <c r="K122" s="33" t="s">
        <v>99</v>
      </c>
      <c r="L122" s="33" t="s">
        <v>99</v>
      </c>
      <c r="M122" s="33" t="s">
        <v>99</v>
      </c>
      <c r="N122" s="148" t="s">
        <v>37</v>
      </c>
      <c r="O122" s="33" t="s">
        <v>37</v>
      </c>
      <c r="P122" s="33" t="s">
        <v>37</v>
      </c>
      <c r="Q122" s="33" t="s">
        <v>37</v>
      </c>
      <c r="R122" s="33" t="s">
        <v>37</v>
      </c>
      <c r="S122" s="33" t="s">
        <v>37</v>
      </c>
      <c r="T122" s="33" t="s">
        <v>37</v>
      </c>
      <c r="U122" s="33" t="s">
        <v>37</v>
      </c>
      <c r="V122" s="33" t="s">
        <v>37</v>
      </c>
      <c r="W122" s="33" t="s">
        <v>37</v>
      </c>
      <c r="X122" s="33" t="s">
        <v>37</v>
      </c>
      <c r="Y122" s="33" t="s">
        <v>37</v>
      </c>
      <c r="Z122" s="33" t="s">
        <v>37</v>
      </c>
      <c r="AA122" s="33" t="s">
        <v>37</v>
      </c>
      <c r="AB122" s="33" t="s">
        <v>37</v>
      </c>
      <c r="AC122" s="33" t="s">
        <v>37</v>
      </c>
      <c r="AD122" s="33" t="s">
        <v>37</v>
      </c>
      <c r="AE122" s="33" t="s">
        <v>37</v>
      </c>
      <c r="AF122" s="6">
        <v>522</v>
      </c>
      <c r="AG122" s="6"/>
      <c r="AH122" s="35">
        <f t="shared" si="26"/>
        <v>318</v>
      </c>
      <c r="AI122" s="6">
        <v>818</v>
      </c>
      <c r="AJ122" s="6"/>
      <c r="AK122" s="35">
        <f t="shared" si="27"/>
        <v>296</v>
      </c>
      <c r="AL122" s="35">
        <v>76</v>
      </c>
      <c r="AM122" s="35">
        <v>1029</v>
      </c>
      <c r="AN122" s="35">
        <f t="shared" si="28"/>
        <v>287</v>
      </c>
      <c r="AO122" s="6">
        <v>377</v>
      </c>
      <c r="AP122" s="6"/>
      <c r="AQ122" s="35">
        <f t="shared" si="29"/>
        <v>301</v>
      </c>
      <c r="AR122" s="6">
        <v>670</v>
      </c>
      <c r="AS122" s="6"/>
      <c r="AT122" s="34">
        <f t="shared" si="30"/>
        <v>293</v>
      </c>
      <c r="AU122" s="35">
        <v>955</v>
      </c>
      <c r="AV122" s="35"/>
      <c r="AW122" s="35">
        <f t="shared" si="31"/>
        <v>285</v>
      </c>
      <c r="AX122" s="6"/>
      <c r="AY122" s="6"/>
      <c r="AZ122" s="35"/>
      <c r="BA122" s="6">
        <v>1256</v>
      </c>
      <c r="BB122" s="6"/>
      <c r="BC122" s="35">
        <f t="shared" si="32"/>
        <v>301</v>
      </c>
      <c r="BD122" s="35">
        <v>0</v>
      </c>
      <c r="BE122" s="35">
        <v>1450</v>
      </c>
      <c r="BF122" s="35">
        <f t="shared" si="33"/>
        <v>194</v>
      </c>
      <c r="BG122" s="6">
        <v>364</v>
      </c>
      <c r="BH122" s="6"/>
      <c r="BI122" s="35">
        <f t="shared" si="34"/>
        <v>364</v>
      </c>
      <c r="BJ122" s="6">
        <v>743</v>
      </c>
      <c r="BK122" s="6"/>
      <c r="BL122" s="35">
        <f t="shared" si="35"/>
        <v>379</v>
      </c>
      <c r="BM122" s="6">
        <v>1127</v>
      </c>
      <c r="BN122" s="6"/>
      <c r="BO122" s="6">
        <f t="shared" si="36"/>
        <v>384</v>
      </c>
      <c r="BP122" s="6">
        <v>1492</v>
      </c>
      <c r="BQ122" s="6"/>
      <c r="BR122" s="6">
        <f t="shared" si="37"/>
        <v>365</v>
      </c>
      <c r="BS122" s="6"/>
      <c r="BT122" s="6"/>
      <c r="BU122" s="35"/>
      <c r="BV122" s="6">
        <v>317</v>
      </c>
      <c r="BW122" s="6">
        <v>1560</v>
      </c>
      <c r="BX122" s="6">
        <f t="shared" si="38"/>
        <v>385</v>
      </c>
      <c r="BY122" s="6">
        <v>681</v>
      </c>
      <c r="BZ122" s="6"/>
      <c r="CA122" s="35">
        <f t="shared" si="39"/>
        <v>364</v>
      </c>
      <c r="CB122" s="6">
        <v>1060</v>
      </c>
      <c r="CC122" s="6"/>
      <c r="CD122" s="6">
        <f t="shared" si="40"/>
        <v>379</v>
      </c>
      <c r="CE122" s="6">
        <v>1425</v>
      </c>
      <c r="CF122" s="6"/>
      <c r="CG122" s="6">
        <f t="shared" si="41"/>
        <v>365</v>
      </c>
      <c r="CH122" s="6">
        <v>244</v>
      </c>
      <c r="CI122" s="6">
        <v>1560</v>
      </c>
      <c r="CJ122" s="6">
        <f t="shared" si="42"/>
        <v>379</v>
      </c>
      <c r="CK122" s="6">
        <v>614</v>
      </c>
      <c r="CL122" s="6"/>
      <c r="CM122" s="6">
        <f t="shared" si="43"/>
        <v>370</v>
      </c>
      <c r="CN122" s="6"/>
      <c r="CO122" s="6"/>
      <c r="CP122" s="6"/>
      <c r="CQ122" s="6">
        <v>993</v>
      </c>
      <c r="CR122" s="6"/>
      <c r="CS122" s="6">
        <f t="shared" si="44"/>
        <v>379</v>
      </c>
      <c r="CT122" s="6">
        <v>1371</v>
      </c>
      <c r="CU122" s="6"/>
      <c r="CV122" s="6">
        <f t="shared" si="45"/>
        <v>378</v>
      </c>
      <c r="CW122" s="6">
        <v>189</v>
      </c>
      <c r="CX122" s="6">
        <v>1560</v>
      </c>
      <c r="CY122" s="6">
        <f t="shared" si="46"/>
        <v>378</v>
      </c>
      <c r="CZ122" s="6">
        <v>571</v>
      </c>
      <c r="DA122" s="6"/>
      <c r="DB122" s="6">
        <f t="shared" si="47"/>
        <v>382</v>
      </c>
      <c r="DC122" s="6">
        <v>950</v>
      </c>
      <c r="DD122" s="6"/>
      <c r="DE122" s="6">
        <f t="shared" si="48"/>
        <v>379</v>
      </c>
      <c r="DF122" s="6">
        <v>1306</v>
      </c>
      <c r="DG122" s="6"/>
      <c r="DH122" s="6">
        <f t="shared" si="49"/>
        <v>356</v>
      </c>
      <c r="DI122" s="6"/>
      <c r="DJ122" s="6"/>
      <c r="DK122" s="6"/>
      <c r="DL122" s="6">
        <v>127</v>
      </c>
      <c r="DM122" s="6">
        <v>1560</v>
      </c>
      <c r="DN122" s="6">
        <f t="shared" si="50"/>
        <v>381</v>
      </c>
      <c r="DO122" s="6">
        <v>491</v>
      </c>
      <c r="DP122" s="6"/>
      <c r="DQ122" s="6">
        <f t="shared" si="51"/>
        <v>364</v>
      </c>
    </row>
    <row r="123" spans="1:121">
      <c r="A123" s="6">
        <v>119</v>
      </c>
      <c r="B123" s="6">
        <v>1030</v>
      </c>
      <c r="C123" s="6"/>
      <c r="D123" s="6">
        <v>347</v>
      </c>
      <c r="E123" s="33" t="s">
        <v>307</v>
      </c>
      <c r="F123" s="33" t="s">
        <v>307</v>
      </c>
      <c r="G123" s="33" t="s">
        <v>307</v>
      </c>
      <c r="H123" s="33" t="s">
        <v>307</v>
      </c>
      <c r="I123" s="33" t="s">
        <v>307</v>
      </c>
      <c r="J123" s="33" t="s">
        <v>307</v>
      </c>
      <c r="K123" s="33" t="s">
        <v>307</v>
      </c>
      <c r="L123" s="33" t="s">
        <v>307</v>
      </c>
      <c r="M123" s="33" t="s">
        <v>307</v>
      </c>
      <c r="N123" s="33" t="s">
        <v>307</v>
      </c>
      <c r="O123" s="33" t="s">
        <v>307</v>
      </c>
      <c r="P123" s="33" t="s">
        <v>307</v>
      </c>
      <c r="Q123" s="33" t="s">
        <v>307</v>
      </c>
      <c r="R123" s="33" t="s">
        <v>307</v>
      </c>
      <c r="S123" s="33" t="s">
        <v>307</v>
      </c>
      <c r="T123" s="33" t="s">
        <v>307</v>
      </c>
      <c r="U123" s="33" t="s">
        <v>307</v>
      </c>
      <c r="V123" s="33" t="s">
        <v>307</v>
      </c>
      <c r="W123" s="33" t="s">
        <v>307</v>
      </c>
      <c r="X123" s="33" t="s">
        <v>307</v>
      </c>
      <c r="Y123" s="33" t="s">
        <v>307</v>
      </c>
      <c r="Z123" s="148" t="s">
        <v>37</v>
      </c>
      <c r="AA123" s="33" t="s">
        <v>37</v>
      </c>
      <c r="AB123" s="33" t="s">
        <v>37</v>
      </c>
      <c r="AC123" s="33" t="s">
        <v>37</v>
      </c>
      <c r="AD123" s="33" t="s">
        <v>37</v>
      </c>
      <c r="AE123" s="33" t="s">
        <v>37</v>
      </c>
      <c r="AF123" s="35">
        <v>18</v>
      </c>
      <c r="AG123" s="35">
        <v>1433</v>
      </c>
      <c r="AH123" s="35">
        <f t="shared" si="26"/>
        <v>421</v>
      </c>
      <c r="AI123" s="35">
        <v>402</v>
      </c>
      <c r="AJ123" s="35"/>
      <c r="AK123" s="35">
        <f t="shared" si="27"/>
        <v>384</v>
      </c>
      <c r="AL123" s="35">
        <v>796</v>
      </c>
      <c r="AM123" s="35"/>
      <c r="AN123" s="35">
        <f t="shared" si="28"/>
        <v>394</v>
      </c>
      <c r="AO123" s="35">
        <v>369</v>
      </c>
      <c r="AP123" s="35">
        <v>819</v>
      </c>
      <c r="AQ123" s="35">
        <f t="shared" si="29"/>
        <v>392</v>
      </c>
      <c r="AR123" s="6">
        <v>762</v>
      </c>
      <c r="AS123" s="35"/>
      <c r="AT123" s="34">
        <f t="shared" si="30"/>
        <v>393</v>
      </c>
      <c r="AU123" s="35">
        <v>1137</v>
      </c>
      <c r="AV123" s="35"/>
      <c r="AW123" s="35">
        <f t="shared" si="31"/>
        <v>375</v>
      </c>
      <c r="AX123" s="6"/>
      <c r="AY123" s="6"/>
      <c r="AZ123" s="35"/>
      <c r="BA123" s="6">
        <v>142</v>
      </c>
      <c r="BB123" s="6">
        <v>1392</v>
      </c>
      <c r="BC123" s="35">
        <f t="shared" si="32"/>
        <v>397</v>
      </c>
      <c r="BD123" s="6">
        <v>526</v>
      </c>
      <c r="BE123" s="6"/>
      <c r="BF123" s="35">
        <f t="shared" si="33"/>
        <v>384</v>
      </c>
      <c r="BG123" s="6">
        <v>922</v>
      </c>
      <c r="BH123" s="6"/>
      <c r="BI123" s="35">
        <f t="shared" si="34"/>
        <v>396</v>
      </c>
      <c r="BJ123" s="6">
        <v>1314</v>
      </c>
      <c r="BK123" s="6"/>
      <c r="BL123" s="35">
        <f t="shared" si="35"/>
        <v>392</v>
      </c>
      <c r="BM123" s="6">
        <v>149</v>
      </c>
      <c r="BN123" s="35">
        <v>1560</v>
      </c>
      <c r="BO123" s="6">
        <f t="shared" si="36"/>
        <v>395</v>
      </c>
      <c r="BP123" s="6">
        <v>524</v>
      </c>
      <c r="BQ123" s="6"/>
      <c r="BR123" s="6">
        <f t="shared" si="37"/>
        <v>375</v>
      </c>
      <c r="BS123" s="6"/>
      <c r="BT123" s="6"/>
      <c r="BU123" s="35"/>
      <c r="BV123" s="6">
        <v>918</v>
      </c>
      <c r="BW123" s="6"/>
      <c r="BX123" s="6">
        <f t="shared" si="38"/>
        <v>394</v>
      </c>
      <c r="BY123" s="6">
        <v>0</v>
      </c>
      <c r="BZ123" s="6">
        <v>1019</v>
      </c>
      <c r="CA123" s="35">
        <f t="shared" si="39"/>
        <v>101</v>
      </c>
      <c r="CB123" s="6">
        <v>0</v>
      </c>
      <c r="CC123" s="35"/>
      <c r="CD123" s="6">
        <f t="shared" si="40"/>
        <v>0</v>
      </c>
      <c r="CE123" s="6">
        <v>0</v>
      </c>
      <c r="CF123" s="6"/>
      <c r="CG123" s="6">
        <f t="shared" si="41"/>
        <v>0</v>
      </c>
      <c r="CH123" s="6">
        <v>0</v>
      </c>
      <c r="CI123" s="35"/>
      <c r="CJ123" s="6">
        <f t="shared" si="42"/>
        <v>0</v>
      </c>
      <c r="CK123" s="6">
        <v>166</v>
      </c>
      <c r="CL123" s="6"/>
      <c r="CM123" s="6">
        <f t="shared" si="43"/>
        <v>166</v>
      </c>
      <c r="CN123" s="6"/>
      <c r="CO123" s="6"/>
      <c r="CP123" s="6"/>
      <c r="CQ123" s="6">
        <v>555</v>
      </c>
      <c r="CR123" s="6"/>
      <c r="CS123" s="6">
        <f t="shared" si="44"/>
        <v>389</v>
      </c>
      <c r="CT123" s="6">
        <v>0</v>
      </c>
      <c r="CU123" s="6">
        <v>918</v>
      </c>
      <c r="CV123" s="6">
        <f t="shared" si="45"/>
        <v>363</v>
      </c>
      <c r="CW123" s="6">
        <v>376</v>
      </c>
      <c r="CX123" s="6"/>
      <c r="CY123" s="6">
        <f t="shared" si="46"/>
        <v>376</v>
      </c>
      <c r="CZ123" s="6">
        <v>754</v>
      </c>
      <c r="DA123" s="6"/>
      <c r="DB123" s="6">
        <f t="shared" si="47"/>
        <v>378</v>
      </c>
      <c r="DC123" s="6">
        <v>1143</v>
      </c>
      <c r="DD123" s="6"/>
      <c r="DE123" s="6">
        <f t="shared" si="48"/>
        <v>389</v>
      </c>
      <c r="DF123" s="6">
        <v>340</v>
      </c>
      <c r="DG123" s="6">
        <v>1166</v>
      </c>
      <c r="DH123" s="6">
        <f t="shared" si="49"/>
        <v>363</v>
      </c>
      <c r="DI123" s="6"/>
      <c r="DJ123" s="6"/>
      <c r="DK123" s="6"/>
      <c r="DL123" s="6">
        <v>708</v>
      </c>
      <c r="DM123" s="6"/>
      <c r="DN123" s="6">
        <f t="shared" si="50"/>
        <v>368</v>
      </c>
      <c r="DO123" s="6">
        <v>1070</v>
      </c>
      <c r="DP123" s="6"/>
      <c r="DQ123" s="6">
        <f t="shared" si="51"/>
        <v>362</v>
      </c>
    </row>
    <row r="124" spans="1:121">
      <c r="A124" s="6">
        <v>120</v>
      </c>
      <c r="B124" s="6">
        <v>1414</v>
      </c>
      <c r="C124" s="6"/>
      <c r="D124" s="6">
        <v>348</v>
      </c>
      <c r="E124" s="33" t="s">
        <v>307</v>
      </c>
      <c r="F124" s="33" t="s">
        <v>307</v>
      </c>
      <c r="G124" s="33" t="s">
        <v>307</v>
      </c>
      <c r="H124" s="33" t="s">
        <v>307</v>
      </c>
      <c r="I124" s="33" t="s">
        <v>307</v>
      </c>
      <c r="J124" s="33" t="s">
        <v>307</v>
      </c>
      <c r="K124" s="33" t="s">
        <v>307</v>
      </c>
      <c r="L124" s="33" t="s">
        <v>307</v>
      </c>
      <c r="M124" s="33" t="s">
        <v>307</v>
      </c>
      <c r="N124" s="33" t="s">
        <v>307</v>
      </c>
      <c r="O124" s="33" t="s">
        <v>307</v>
      </c>
      <c r="P124" s="33" t="s">
        <v>307</v>
      </c>
      <c r="Q124" s="33" t="s">
        <v>307</v>
      </c>
      <c r="R124" s="33" t="s">
        <v>307</v>
      </c>
      <c r="S124" s="33" t="s">
        <v>307</v>
      </c>
      <c r="T124" s="148" t="s">
        <v>307</v>
      </c>
      <c r="U124" s="33" t="s">
        <v>307</v>
      </c>
      <c r="V124" s="33" t="s">
        <v>307</v>
      </c>
      <c r="W124" s="33" t="s">
        <v>307</v>
      </c>
      <c r="X124" s="33" t="s">
        <v>307</v>
      </c>
      <c r="Y124" s="33" t="s">
        <v>307</v>
      </c>
      <c r="Z124" s="33" t="s">
        <v>307</v>
      </c>
      <c r="AA124" s="33" t="s">
        <v>307</v>
      </c>
      <c r="AB124" s="33" t="s">
        <v>307</v>
      </c>
      <c r="AC124" s="33" t="s">
        <v>307</v>
      </c>
      <c r="AD124" s="33" t="s">
        <v>307</v>
      </c>
      <c r="AE124" s="33" t="s">
        <v>307</v>
      </c>
      <c r="AF124" s="6">
        <v>254</v>
      </c>
      <c r="AG124" s="6">
        <v>1560</v>
      </c>
      <c r="AH124" s="35">
        <f t="shared" si="26"/>
        <v>400</v>
      </c>
      <c r="AI124" s="6">
        <v>612</v>
      </c>
      <c r="AJ124" s="6"/>
      <c r="AK124" s="35">
        <f t="shared" si="27"/>
        <v>358</v>
      </c>
      <c r="AL124" s="35">
        <v>988</v>
      </c>
      <c r="AM124" s="35"/>
      <c r="AN124" s="35">
        <f t="shared" si="28"/>
        <v>376</v>
      </c>
      <c r="AO124" s="6">
        <v>22</v>
      </c>
      <c r="AP124" s="6">
        <v>1333</v>
      </c>
      <c r="AQ124" s="35">
        <f t="shared" si="29"/>
        <v>367</v>
      </c>
      <c r="AR124" s="6">
        <v>393</v>
      </c>
      <c r="AS124" s="6"/>
      <c r="AT124" s="34">
        <f t="shared" si="30"/>
        <v>371</v>
      </c>
      <c r="AU124" s="35">
        <v>740</v>
      </c>
      <c r="AV124" s="35"/>
      <c r="AW124" s="35">
        <f t="shared" si="31"/>
        <v>347</v>
      </c>
      <c r="AX124" s="6"/>
      <c r="AY124" s="6"/>
      <c r="AZ124" s="35"/>
      <c r="BA124" s="6">
        <v>1116</v>
      </c>
      <c r="BB124" s="6"/>
      <c r="BC124" s="35">
        <f t="shared" si="32"/>
        <v>376</v>
      </c>
      <c r="BD124" s="35">
        <v>1478</v>
      </c>
      <c r="BE124" s="35"/>
      <c r="BF124" s="35">
        <f t="shared" si="33"/>
        <v>362</v>
      </c>
      <c r="BG124" s="6">
        <v>289</v>
      </c>
      <c r="BH124" s="6">
        <v>1560</v>
      </c>
      <c r="BI124" s="35">
        <f t="shared" si="34"/>
        <v>371</v>
      </c>
      <c r="BJ124" s="6">
        <v>659</v>
      </c>
      <c r="BK124" s="6"/>
      <c r="BL124" s="35">
        <f t="shared" si="35"/>
        <v>370</v>
      </c>
      <c r="BM124" s="6">
        <v>1020</v>
      </c>
      <c r="BN124" s="6"/>
      <c r="BO124" s="6">
        <f t="shared" si="36"/>
        <v>361</v>
      </c>
      <c r="BP124" s="6">
        <v>1375</v>
      </c>
      <c r="BQ124" s="6"/>
      <c r="BR124" s="6">
        <f t="shared" si="37"/>
        <v>355</v>
      </c>
      <c r="BS124" s="6"/>
      <c r="BT124" s="6"/>
      <c r="BU124" s="35"/>
      <c r="BV124" s="6">
        <v>297</v>
      </c>
      <c r="BW124" s="6">
        <v>1452</v>
      </c>
      <c r="BX124" s="6">
        <f t="shared" si="38"/>
        <v>374</v>
      </c>
      <c r="BY124" s="6">
        <v>0</v>
      </c>
      <c r="BZ124" s="6">
        <v>452</v>
      </c>
      <c r="CA124" s="35">
        <f t="shared" si="39"/>
        <v>155</v>
      </c>
      <c r="CB124" s="6">
        <v>0</v>
      </c>
      <c r="CC124" s="6"/>
      <c r="CD124" s="6">
        <f t="shared" si="40"/>
        <v>0</v>
      </c>
      <c r="CE124" s="6">
        <v>0</v>
      </c>
      <c r="CF124" s="6"/>
      <c r="CG124" s="6">
        <f t="shared" si="41"/>
        <v>0</v>
      </c>
      <c r="CH124" s="6">
        <v>0</v>
      </c>
      <c r="CI124" s="6"/>
      <c r="CJ124" s="6">
        <f t="shared" si="42"/>
        <v>0</v>
      </c>
      <c r="CK124" s="6">
        <v>0</v>
      </c>
      <c r="CL124" s="6"/>
      <c r="CM124" s="6">
        <f t="shared" si="43"/>
        <v>0</v>
      </c>
      <c r="CN124" s="6"/>
      <c r="CO124" s="6"/>
      <c r="CP124" s="6"/>
      <c r="CQ124" s="6">
        <v>0</v>
      </c>
      <c r="CR124" s="6"/>
      <c r="CS124" s="6">
        <f t="shared" si="44"/>
        <v>0</v>
      </c>
      <c r="CT124" s="6">
        <v>0</v>
      </c>
      <c r="CU124" s="6"/>
      <c r="CV124" s="6">
        <f t="shared" si="45"/>
        <v>0</v>
      </c>
      <c r="CW124" s="6">
        <v>357</v>
      </c>
      <c r="CX124" s="6"/>
      <c r="CY124" s="6">
        <f t="shared" si="46"/>
        <v>357</v>
      </c>
      <c r="CZ124" s="6">
        <v>729</v>
      </c>
      <c r="DA124" s="6"/>
      <c r="DB124" s="6">
        <f t="shared" si="47"/>
        <v>372</v>
      </c>
      <c r="DC124" s="6">
        <v>1102</v>
      </c>
      <c r="DD124" s="6"/>
      <c r="DE124" s="6">
        <f t="shared" si="48"/>
        <v>373</v>
      </c>
      <c r="DF124" s="6">
        <v>1458</v>
      </c>
      <c r="DG124" s="6"/>
      <c r="DH124" s="6">
        <f t="shared" si="49"/>
        <v>356</v>
      </c>
      <c r="DI124" s="6"/>
      <c r="DJ124" s="6"/>
      <c r="DK124" s="6"/>
      <c r="DL124" s="6">
        <v>287</v>
      </c>
      <c r="DM124" s="6">
        <v>1560</v>
      </c>
      <c r="DN124" s="6">
        <f t="shared" si="50"/>
        <v>389</v>
      </c>
      <c r="DO124" s="6">
        <v>645</v>
      </c>
      <c r="DP124" s="6"/>
      <c r="DQ124" s="6">
        <f t="shared" si="51"/>
        <v>358</v>
      </c>
    </row>
    <row r="125" spans="1:121">
      <c r="A125" s="6">
        <v>121</v>
      </c>
      <c r="B125" s="6">
        <v>296</v>
      </c>
      <c r="C125" s="6">
        <v>154</v>
      </c>
      <c r="D125" s="6">
        <v>324</v>
      </c>
      <c r="E125" s="148" t="s">
        <v>37</v>
      </c>
      <c r="F125" s="33" t="s">
        <v>37</v>
      </c>
      <c r="G125" s="33" t="s">
        <v>37</v>
      </c>
      <c r="H125" s="33" t="s">
        <v>37</v>
      </c>
      <c r="I125" s="33" t="s">
        <v>37</v>
      </c>
      <c r="J125" s="33" t="s">
        <v>37</v>
      </c>
      <c r="K125" s="33" t="s">
        <v>37</v>
      </c>
      <c r="L125" s="33" t="s">
        <v>37</v>
      </c>
      <c r="M125" s="33" t="s">
        <v>37</v>
      </c>
      <c r="N125" s="33" t="s">
        <v>37</v>
      </c>
      <c r="O125" s="33" t="s">
        <v>37</v>
      </c>
      <c r="P125" s="33" t="s">
        <v>37</v>
      </c>
      <c r="Q125" s="33" t="s">
        <v>37</v>
      </c>
      <c r="R125" s="33" t="s">
        <v>37</v>
      </c>
      <c r="S125" s="33" t="s">
        <v>37</v>
      </c>
      <c r="T125" s="33" t="s">
        <v>37</v>
      </c>
      <c r="U125" s="33" t="s">
        <v>37</v>
      </c>
      <c r="V125" s="33" t="s">
        <v>37</v>
      </c>
      <c r="W125" s="33" t="s">
        <v>37</v>
      </c>
      <c r="X125" s="33" t="s">
        <v>37</v>
      </c>
      <c r="Y125" s="33" t="s">
        <v>37</v>
      </c>
      <c r="Z125" s="148" t="s">
        <v>37</v>
      </c>
      <c r="AA125" s="33" t="s">
        <v>37</v>
      </c>
      <c r="AB125" s="33" t="s">
        <v>37</v>
      </c>
      <c r="AC125" s="33" t="s">
        <v>37</v>
      </c>
      <c r="AD125" s="33" t="s">
        <v>37</v>
      </c>
      <c r="AE125" s="33" t="s">
        <v>37</v>
      </c>
      <c r="AF125" s="6">
        <v>709</v>
      </c>
      <c r="AG125" s="6"/>
      <c r="AH125" s="35">
        <f t="shared" si="26"/>
        <v>413</v>
      </c>
      <c r="AI125" s="6">
        <v>1088</v>
      </c>
      <c r="AJ125" s="6"/>
      <c r="AK125" s="35">
        <f t="shared" si="27"/>
        <v>379</v>
      </c>
      <c r="AL125" s="35">
        <v>1472</v>
      </c>
      <c r="AM125" s="35"/>
      <c r="AN125" s="35">
        <f t="shared" si="28"/>
        <v>384</v>
      </c>
      <c r="AO125" s="6">
        <v>299</v>
      </c>
      <c r="AP125" s="6">
        <v>1560</v>
      </c>
      <c r="AQ125" s="35">
        <f t="shared" si="29"/>
        <v>387</v>
      </c>
      <c r="AR125" s="6">
        <v>680</v>
      </c>
      <c r="AS125" s="6"/>
      <c r="AT125" s="34">
        <f t="shared" si="30"/>
        <v>381</v>
      </c>
      <c r="AU125" s="35">
        <v>1040</v>
      </c>
      <c r="AV125" s="35"/>
      <c r="AW125" s="35">
        <f t="shared" si="31"/>
        <v>360</v>
      </c>
      <c r="AX125" s="6"/>
      <c r="AY125" s="6"/>
      <c r="AZ125" s="35"/>
      <c r="BA125" s="6">
        <v>1396</v>
      </c>
      <c r="BB125" s="6"/>
      <c r="BC125" s="35">
        <f t="shared" si="32"/>
        <v>356</v>
      </c>
      <c r="BD125" s="35">
        <v>215</v>
      </c>
      <c r="BE125" s="35">
        <v>1560</v>
      </c>
      <c r="BF125" s="35">
        <f t="shared" si="33"/>
        <v>379</v>
      </c>
      <c r="BG125" s="6">
        <v>609</v>
      </c>
      <c r="BH125" s="6"/>
      <c r="BI125" s="35">
        <f t="shared" si="34"/>
        <v>394</v>
      </c>
      <c r="BJ125" s="6">
        <v>988</v>
      </c>
      <c r="BK125" s="6"/>
      <c r="BL125" s="35">
        <f t="shared" si="35"/>
        <v>379</v>
      </c>
      <c r="BM125" s="6">
        <v>1383</v>
      </c>
      <c r="BN125" s="6"/>
      <c r="BO125" s="6">
        <f t="shared" si="36"/>
        <v>395</v>
      </c>
      <c r="BP125" s="6">
        <v>198</v>
      </c>
      <c r="BQ125" s="6">
        <v>1560</v>
      </c>
      <c r="BR125" s="6">
        <f t="shared" si="37"/>
        <v>375</v>
      </c>
      <c r="BS125" s="6"/>
      <c r="BT125" s="6"/>
      <c r="BU125" s="35"/>
      <c r="BV125" s="6">
        <v>595</v>
      </c>
      <c r="BW125" s="6"/>
      <c r="BX125" s="6">
        <f t="shared" si="38"/>
        <v>397</v>
      </c>
      <c r="BY125" s="6">
        <v>986</v>
      </c>
      <c r="BZ125" s="6"/>
      <c r="CA125" s="35">
        <f t="shared" si="39"/>
        <v>391</v>
      </c>
      <c r="CB125" s="6">
        <v>1382</v>
      </c>
      <c r="CC125" s="6"/>
      <c r="CD125" s="6">
        <f t="shared" si="40"/>
        <v>396</v>
      </c>
      <c r="CE125" s="6">
        <v>215</v>
      </c>
      <c r="CF125" s="6">
        <v>1560</v>
      </c>
      <c r="CG125" s="6">
        <f t="shared" si="41"/>
        <v>393</v>
      </c>
      <c r="CH125" s="6">
        <v>608</v>
      </c>
      <c r="CI125" s="6"/>
      <c r="CJ125" s="6">
        <f t="shared" si="42"/>
        <v>393</v>
      </c>
      <c r="CK125" s="6">
        <v>992</v>
      </c>
      <c r="CL125" s="6"/>
      <c r="CM125" s="6">
        <f t="shared" si="43"/>
        <v>384</v>
      </c>
      <c r="CN125" s="6"/>
      <c r="CO125" s="6"/>
      <c r="CP125" s="6"/>
      <c r="CQ125" s="6">
        <v>1386</v>
      </c>
      <c r="CR125" s="6"/>
      <c r="CS125" s="6">
        <f t="shared" si="44"/>
        <v>394</v>
      </c>
      <c r="CT125" s="6">
        <v>0</v>
      </c>
      <c r="CU125" s="6">
        <v>1597</v>
      </c>
      <c r="CV125" s="6">
        <f t="shared" si="45"/>
        <v>211</v>
      </c>
      <c r="CW125" s="6">
        <v>382</v>
      </c>
      <c r="CX125" s="6"/>
      <c r="CY125" s="6">
        <f t="shared" si="46"/>
        <v>382</v>
      </c>
      <c r="CZ125" s="6">
        <v>775</v>
      </c>
      <c r="DA125" s="6"/>
      <c r="DB125" s="6">
        <f t="shared" si="47"/>
        <v>393</v>
      </c>
      <c r="DC125" s="6">
        <v>1166</v>
      </c>
      <c r="DD125" s="6"/>
      <c r="DE125" s="6">
        <f t="shared" si="48"/>
        <v>391</v>
      </c>
      <c r="DF125" s="6">
        <v>1531</v>
      </c>
      <c r="DG125" s="6"/>
      <c r="DH125" s="6">
        <f t="shared" si="49"/>
        <v>365</v>
      </c>
      <c r="DI125" s="6"/>
      <c r="DJ125" s="6"/>
      <c r="DK125" s="6"/>
      <c r="DL125" s="6">
        <v>345</v>
      </c>
      <c r="DM125" s="6">
        <v>1560</v>
      </c>
      <c r="DN125" s="6">
        <f t="shared" si="50"/>
        <v>374</v>
      </c>
      <c r="DO125" s="6">
        <v>699</v>
      </c>
      <c r="DP125" s="6"/>
      <c r="DQ125" s="6">
        <f t="shared" si="51"/>
        <v>354</v>
      </c>
    </row>
    <row r="126" spans="1:121">
      <c r="A126" s="6">
        <v>122</v>
      </c>
      <c r="B126" s="6">
        <v>952</v>
      </c>
      <c r="C126" s="6"/>
      <c r="D126" s="6">
        <v>346</v>
      </c>
      <c r="E126" s="33" t="s">
        <v>37</v>
      </c>
      <c r="F126" s="33" t="s">
        <v>37</v>
      </c>
      <c r="G126" s="33" t="s">
        <v>37</v>
      </c>
      <c r="H126" s="33" t="s">
        <v>37</v>
      </c>
      <c r="I126" s="33" t="s">
        <v>37</v>
      </c>
      <c r="J126" s="33" t="s">
        <v>37</v>
      </c>
      <c r="K126" s="33" t="s">
        <v>37</v>
      </c>
      <c r="L126" s="33" t="s">
        <v>37</v>
      </c>
      <c r="M126" s="33" t="s">
        <v>37</v>
      </c>
      <c r="N126" s="33" t="s">
        <v>37</v>
      </c>
      <c r="O126" s="33" t="s">
        <v>37</v>
      </c>
      <c r="P126" s="148" t="s">
        <v>37</v>
      </c>
      <c r="Q126" s="33" t="s">
        <v>37</v>
      </c>
      <c r="R126" s="33" t="s">
        <v>37</v>
      </c>
      <c r="S126" s="33" t="s">
        <v>37</v>
      </c>
      <c r="T126" s="33" t="s">
        <v>37</v>
      </c>
      <c r="U126" s="33" t="s">
        <v>37</v>
      </c>
      <c r="V126" s="33" t="s">
        <v>37</v>
      </c>
      <c r="W126" s="33" t="s">
        <v>37</v>
      </c>
      <c r="X126" s="33" t="s">
        <v>37</v>
      </c>
      <c r="Y126" s="33" t="s">
        <v>37</v>
      </c>
      <c r="Z126" s="33" t="s">
        <v>37</v>
      </c>
      <c r="AA126" s="33" t="s">
        <v>37</v>
      </c>
      <c r="AB126" s="33" t="s">
        <v>37</v>
      </c>
      <c r="AC126" s="33" t="s">
        <v>37</v>
      </c>
      <c r="AD126" s="33" t="s">
        <v>37</v>
      </c>
      <c r="AE126" s="33" t="s">
        <v>37</v>
      </c>
      <c r="AF126" s="6">
        <v>1363</v>
      </c>
      <c r="AG126" s="6"/>
      <c r="AH126" s="35">
        <f t="shared" si="26"/>
        <v>411</v>
      </c>
      <c r="AI126" s="6">
        <v>171</v>
      </c>
      <c r="AJ126" s="6">
        <v>1560</v>
      </c>
      <c r="AK126" s="35">
        <f t="shared" si="27"/>
        <v>368</v>
      </c>
      <c r="AL126" s="35">
        <v>554</v>
      </c>
      <c r="AM126" s="35"/>
      <c r="AN126" s="35">
        <f t="shared" si="28"/>
        <v>383</v>
      </c>
      <c r="AO126" s="6">
        <v>935</v>
      </c>
      <c r="AP126" s="6"/>
      <c r="AQ126" s="35">
        <f t="shared" si="29"/>
        <v>381</v>
      </c>
      <c r="AR126" s="6">
        <v>1313</v>
      </c>
      <c r="AS126" s="6"/>
      <c r="AT126" s="34">
        <f t="shared" si="30"/>
        <v>378</v>
      </c>
      <c r="AU126" s="35">
        <v>112</v>
      </c>
      <c r="AV126" s="35">
        <v>1560</v>
      </c>
      <c r="AW126" s="35">
        <f t="shared" si="31"/>
        <v>359</v>
      </c>
      <c r="AX126" s="6"/>
      <c r="AY126" s="6"/>
      <c r="AZ126" s="35"/>
      <c r="BA126" s="6">
        <v>476</v>
      </c>
      <c r="BB126" s="6"/>
      <c r="BC126" s="35">
        <f t="shared" si="32"/>
        <v>364</v>
      </c>
      <c r="BD126" s="35">
        <v>855</v>
      </c>
      <c r="BE126" s="35"/>
      <c r="BF126" s="35">
        <f t="shared" si="33"/>
        <v>379</v>
      </c>
      <c r="BG126" s="6">
        <v>1238</v>
      </c>
      <c r="BH126" s="6"/>
      <c r="BI126" s="35">
        <f t="shared" si="34"/>
        <v>383</v>
      </c>
      <c r="BJ126" s="6">
        <v>1618</v>
      </c>
      <c r="BK126" s="6"/>
      <c r="BL126" s="35">
        <f t="shared" si="35"/>
        <v>380</v>
      </c>
      <c r="BM126" s="6">
        <v>276</v>
      </c>
      <c r="BN126" s="6">
        <v>1703</v>
      </c>
      <c r="BO126" s="6">
        <f t="shared" si="36"/>
        <v>361</v>
      </c>
      <c r="BP126" s="6">
        <v>639</v>
      </c>
      <c r="BQ126" s="6"/>
      <c r="BR126" s="6">
        <f t="shared" si="37"/>
        <v>363</v>
      </c>
      <c r="BS126" s="6"/>
      <c r="BT126" s="6"/>
      <c r="BU126" s="35"/>
      <c r="BV126" s="6">
        <v>1025</v>
      </c>
      <c r="BW126" s="6"/>
      <c r="BX126" s="6">
        <f t="shared" si="38"/>
        <v>386</v>
      </c>
      <c r="BY126" s="6">
        <v>1404</v>
      </c>
      <c r="BZ126" s="6"/>
      <c r="CA126" s="35">
        <f t="shared" si="39"/>
        <v>379</v>
      </c>
      <c r="CB126" s="6">
        <v>226</v>
      </c>
      <c r="CC126" s="6">
        <v>1560</v>
      </c>
      <c r="CD126" s="6">
        <f t="shared" si="40"/>
        <v>382</v>
      </c>
      <c r="CE126" s="6">
        <v>604</v>
      </c>
      <c r="CF126" s="6"/>
      <c r="CG126" s="6">
        <f t="shared" si="41"/>
        <v>378</v>
      </c>
      <c r="CH126" s="6">
        <v>979</v>
      </c>
      <c r="CI126" s="6"/>
      <c r="CJ126" s="6">
        <f t="shared" si="42"/>
        <v>375</v>
      </c>
      <c r="CK126" s="6">
        <v>1345</v>
      </c>
      <c r="CL126" s="6"/>
      <c r="CM126" s="6">
        <f t="shared" si="43"/>
        <v>366</v>
      </c>
      <c r="CN126" s="6"/>
      <c r="CO126" s="6"/>
      <c r="CP126" s="6"/>
      <c r="CQ126" s="6">
        <v>167</v>
      </c>
      <c r="CR126" s="6">
        <v>1560</v>
      </c>
      <c r="CS126" s="6">
        <f t="shared" si="44"/>
        <v>382</v>
      </c>
      <c r="CT126" s="6">
        <v>545</v>
      </c>
      <c r="CU126" s="6"/>
      <c r="CV126" s="6">
        <f t="shared" si="45"/>
        <v>378</v>
      </c>
      <c r="CW126" s="6">
        <v>927</v>
      </c>
      <c r="CX126" s="6"/>
      <c r="CY126" s="6">
        <f t="shared" si="46"/>
        <v>382</v>
      </c>
      <c r="CZ126" s="6">
        <v>1300</v>
      </c>
      <c r="DA126" s="6"/>
      <c r="DB126" s="6">
        <f t="shared" si="47"/>
        <v>373</v>
      </c>
      <c r="DC126" s="6">
        <v>114</v>
      </c>
      <c r="DD126" s="6">
        <v>1563</v>
      </c>
      <c r="DE126" s="6">
        <f t="shared" si="48"/>
        <v>377</v>
      </c>
      <c r="DF126" s="6">
        <v>469</v>
      </c>
      <c r="DG126" s="6"/>
      <c r="DH126" s="6">
        <f t="shared" si="49"/>
        <v>355</v>
      </c>
      <c r="DI126" s="6"/>
      <c r="DJ126" s="6"/>
      <c r="DK126" s="6"/>
      <c r="DL126" s="6">
        <v>856</v>
      </c>
      <c r="DM126" s="6"/>
      <c r="DN126" s="6">
        <f t="shared" si="50"/>
        <v>387</v>
      </c>
      <c r="DO126" s="6">
        <v>1219</v>
      </c>
      <c r="DP126" s="6"/>
      <c r="DQ126" s="6">
        <f t="shared" si="51"/>
        <v>363</v>
      </c>
    </row>
    <row r="127" spans="1:121">
      <c r="A127" s="6">
        <v>123</v>
      </c>
      <c r="B127" s="6">
        <v>11</v>
      </c>
      <c r="C127" s="6">
        <v>1532</v>
      </c>
      <c r="D127" s="6">
        <v>337</v>
      </c>
      <c r="E127" s="33" t="s">
        <v>37</v>
      </c>
      <c r="F127" s="33" t="s">
        <v>37</v>
      </c>
      <c r="G127" s="33" t="s">
        <v>37</v>
      </c>
      <c r="H127" s="33" t="s">
        <v>37</v>
      </c>
      <c r="I127" s="33" t="s">
        <v>37</v>
      </c>
      <c r="J127" s="148" t="s">
        <v>37</v>
      </c>
      <c r="K127" s="33" t="s">
        <v>37</v>
      </c>
      <c r="L127" s="33" t="s">
        <v>37</v>
      </c>
      <c r="M127" s="33" t="s">
        <v>37</v>
      </c>
      <c r="N127" s="33" t="s">
        <v>37</v>
      </c>
      <c r="O127" s="33" t="s">
        <v>37</v>
      </c>
      <c r="P127" s="33" t="s">
        <v>37</v>
      </c>
      <c r="Q127" s="33" t="s">
        <v>37</v>
      </c>
      <c r="R127" s="33" t="s">
        <v>37</v>
      </c>
      <c r="S127" s="33" t="s">
        <v>37</v>
      </c>
      <c r="T127" s="33" t="s">
        <v>37</v>
      </c>
      <c r="U127" s="33" t="s">
        <v>37</v>
      </c>
      <c r="V127" s="33" t="s">
        <v>37</v>
      </c>
      <c r="W127" s="33" t="s">
        <v>37</v>
      </c>
      <c r="X127" s="33" t="s">
        <v>37</v>
      </c>
      <c r="Y127" s="33" t="s">
        <v>37</v>
      </c>
      <c r="Z127" s="33" t="s">
        <v>37</v>
      </c>
      <c r="AA127" s="33" t="s">
        <v>37</v>
      </c>
      <c r="AB127" s="33" t="s">
        <v>37</v>
      </c>
      <c r="AC127" s="33" t="s">
        <v>37</v>
      </c>
      <c r="AD127" s="33" t="s">
        <v>37</v>
      </c>
      <c r="AE127" s="148" t="s">
        <v>37</v>
      </c>
      <c r="AF127" s="6">
        <v>399</v>
      </c>
      <c r="AG127" s="6"/>
      <c r="AH127" s="35">
        <f t="shared" si="26"/>
        <v>388</v>
      </c>
      <c r="AI127" s="6">
        <v>765</v>
      </c>
      <c r="AJ127" s="6"/>
      <c r="AK127" s="35">
        <f t="shared" si="27"/>
        <v>366</v>
      </c>
      <c r="AL127" s="35">
        <v>1132</v>
      </c>
      <c r="AM127" s="35"/>
      <c r="AN127" s="35">
        <f t="shared" si="28"/>
        <v>367</v>
      </c>
      <c r="AO127" s="6">
        <v>1502</v>
      </c>
      <c r="AP127" s="6"/>
      <c r="AQ127" s="35">
        <f t="shared" si="29"/>
        <v>370</v>
      </c>
      <c r="AR127" s="6">
        <v>246</v>
      </c>
      <c r="AS127" s="6">
        <v>1625</v>
      </c>
      <c r="AT127" s="34">
        <f t="shared" si="30"/>
        <v>369</v>
      </c>
      <c r="AU127" s="35">
        <v>603</v>
      </c>
      <c r="AV127" s="35"/>
      <c r="AW127" s="35">
        <f t="shared" si="31"/>
        <v>357</v>
      </c>
      <c r="AX127" s="6"/>
      <c r="AY127" s="6"/>
      <c r="AZ127" s="35"/>
      <c r="BA127" s="6">
        <v>968</v>
      </c>
      <c r="BB127" s="6"/>
      <c r="BC127" s="35">
        <f t="shared" si="32"/>
        <v>365</v>
      </c>
      <c r="BD127" s="35">
        <v>1339</v>
      </c>
      <c r="BE127" s="35"/>
      <c r="BF127" s="35">
        <f t="shared" si="33"/>
        <v>371</v>
      </c>
      <c r="BG127" s="6">
        <v>145</v>
      </c>
      <c r="BH127" s="6">
        <v>1560</v>
      </c>
      <c r="BI127" s="35">
        <f t="shared" si="34"/>
        <v>366</v>
      </c>
      <c r="BJ127" s="6">
        <v>524</v>
      </c>
      <c r="BK127" s="6"/>
      <c r="BL127" s="35">
        <f t="shared" si="35"/>
        <v>379</v>
      </c>
      <c r="BM127" s="6">
        <v>901</v>
      </c>
      <c r="BN127" s="6"/>
      <c r="BO127" s="6">
        <f t="shared" si="36"/>
        <v>377</v>
      </c>
      <c r="BP127" s="6">
        <v>1260</v>
      </c>
      <c r="BQ127" s="6"/>
      <c r="BR127" s="6">
        <f t="shared" si="37"/>
        <v>359</v>
      </c>
      <c r="BS127" s="6"/>
      <c r="BT127" s="6"/>
      <c r="BU127" s="35"/>
      <c r="BV127" s="6">
        <v>334</v>
      </c>
      <c r="BW127" s="6">
        <v>1307</v>
      </c>
      <c r="BX127" s="6">
        <f t="shared" si="38"/>
        <v>381</v>
      </c>
      <c r="BY127" s="6">
        <v>714</v>
      </c>
      <c r="BZ127" s="6"/>
      <c r="CA127" s="35">
        <f t="shared" si="39"/>
        <v>380</v>
      </c>
      <c r="CB127" s="6">
        <v>1097</v>
      </c>
      <c r="CC127" s="6"/>
      <c r="CD127" s="6">
        <f t="shared" si="40"/>
        <v>383</v>
      </c>
      <c r="CE127" s="6">
        <v>1478</v>
      </c>
      <c r="CF127" s="6"/>
      <c r="CG127" s="6">
        <f t="shared" si="41"/>
        <v>381</v>
      </c>
      <c r="CH127" s="6">
        <v>299</v>
      </c>
      <c r="CI127" s="6">
        <v>1560</v>
      </c>
      <c r="CJ127" s="6">
        <f t="shared" si="42"/>
        <v>381</v>
      </c>
      <c r="CK127" s="6">
        <v>672</v>
      </c>
      <c r="CL127" s="6"/>
      <c r="CM127" s="6">
        <f t="shared" si="43"/>
        <v>373</v>
      </c>
      <c r="CN127" s="6"/>
      <c r="CO127" s="6"/>
      <c r="CP127" s="6"/>
      <c r="CQ127" s="6">
        <v>1058</v>
      </c>
      <c r="CR127" s="6"/>
      <c r="CS127" s="6">
        <f t="shared" si="44"/>
        <v>386</v>
      </c>
      <c r="CT127" s="6">
        <v>1437</v>
      </c>
      <c r="CU127" s="6"/>
      <c r="CV127" s="6">
        <f t="shared" si="45"/>
        <v>379</v>
      </c>
      <c r="CW127" s="6">
        <v>253</v>
      </c>
      <c r="CX127" s="6">
        <v>1560</v>
      </c>
      <c r="CY127" s="6">
        <f t="shared" si="46"/>
        <v>376</v>
      </c>
      <c r="CZ127" s="6">
        <v>636</v>
      </c>
      <c r="DA127" s="6"/>
      <c r="DB127" s="6">
        <f t="shared" si="47"/>
        <v>383</v>
      </c>
      <c r="DC127" s="6">
        <v>1018</v>
      </c>
      <c r="DD127" s="6"/>
      <c r="DE127" s="6">
        <f t="shared" si="48"/>
        <v>382</v>
      </c>
      <c r="DF127" s="6">
        <v>1381</v>
      </c>
      <c r="DG127" s="6"/>
      <c r="DH127" s="6">
        <f t="shared" si="49"/>
        <v>363</v>
      </c>
      <c r="DI127" s="6"/>
      <c r="DJ127" s="6"/>
      <c r="DK127" s="6"/>
      <c r="DL127" s="6">
        <v>207</v>
      </c>
      <c r="DM127" s="6">
        <v>1560</v>
      </c>
      <c r="DN127" s="6">
        <f t="shared" si="50"/>
        <v>386</v>
      </c>
      <c r="DO127" s="6">
        <v>227</v>
      </c>
      <c r="DP127" s="6">
        <v>323</v>
      </c>
      <c r="DQ127" s="6">
        <f t="shared" si="51"/>
        <v>343</v>
      </c>
    </row>
    <row r="128" spans="1:121">
      <c r="A128" s="6">
        <v>124</v>
      </c>
      <c r="B128" s="6">
        <v>810</v>
      </c>
      <c r="C128" s="6"/>
      <c r="D128" s="6">
        <v>352</v>
      </c>
      <c r="E128" s="33" t="s">
        <v>307</v>
      </c>
      <c r="F128" s="33" t="s">
        <v>307</v>
      </c>
      <c r="G128" s="33" t="s">
        <v>307</v>
      </c>
      <c r="H128" s="33" t="s">
        <v>307</v>
      </c>
      <c r="I128" s="33" t="s">
        <v>307</v>
      </c>
      <c r="J128" s="33" t="s">
        <v>307</v>
      </c>
      <c r="K128" s="33" t="s">
        <v>307</v>
      </c>
      <c r="L128" s="33" t="s">
        <v>307</v>
      </c>
      <c r="M128" s="33" t="s">
        <v>307</v>
      </c>
      <c r="N128" s="33" t="s">
        <v>307</v>
      </c>
      <c r="O128" s="33" t="s">
        <v>307</v>
      </c>
      <c r="P128" s="33" t="s">
        <v>307</v>
      </c>
      <c r="Q128" s="148" t="s">
        <v>307</v>
      </c>
      <c r="R128" s="33" t="s">
        <v>307</v>
      </c>
      <c r="S128" s="33" t="s">
        <v>307</v>
      </c>
      <c r="T128" s="33" t="s">
        <v>307</v>
      </c>
      <c r="U128" s="33" t="s">
        <v>307</v>
      </c>
      <c r="V128" s="33" t="s">
        <v>307</v>
      </c>
      <c r="W128" s="33" t="s">
        <v>307</v>
      </c>
      <c r="X128" s="33" t="s">
        <v>307</v>
      </c>
      <c r="Y128" s="33" t="s">
        <v>307</v>
      </c>
      <c r="Z128" s="33" t="s">
        <v>307</v>
      </c>
      <c r="AA128" s="33" t="s">
        <v>307</v>
      </c>
      <c r="AB128" s="33" t="s">
        <v>307</v>
      </c>
      <c r="AC128" s="33" t="s">
        <v>307</v>
      </c>
      <c r="AD128" s="33" t="s">
        <v>307</v>
      </c>
      <c r="AE128" s="33" t="s">
        <v>307</v>
      </c>
      <c r="AF128" s="6">
        <v>1227</v>
      </c>
      <c r="AG128" s="6"/>
      <c r="AH128" s="35">
        <f t="shared" si="26"/>
        <v>417</v>
      </c>
      <c r="AI128" s="6">
        <v>47</v>
      </c>
      <c r="AJ128" s="6">
        <v>1560</v>
      </c>
      <c r="AK128" s="35">
        <f t="shared" si="27"/>
        <v>380</v>
      </c>
      <c r="AL128" s="35">
        <v>417</v>
      </c>
      <c r="AM128" s="35"/>
      <c r="AN128" s="35">
        <f t="shared" si="28"/>
        <v>370</v>
      </c>
      <c r="AO128" s="6">
        <v>245</v>
      </c>
      <c r="AP128" s="6">
        <v>557</v>
      </c>
      <c r="AQ128" s="35">
        <f t="shared" si="29"/>
        <v>385</v>
      </c>
      <c r="AR128" s="6">
        <v>584</v>
      </c>
      <c r="AS128" s="6"/>
      <c r="AT128" s="34">
        <f t="shared" si="30"/>
        <v>339</v>
      </c>
      <c r="AU128" s="35">
        <v>941</v>
      </c>
      <c r="AV128" s="35"/>
      <c r="AW128" s="35">
        <f t="shared" si="31"/>
        <v>357</v>
      </c>
      <c r="AX128" s="6"/>
      <c r="AY128" s="6"/>
      <c r="AZ128" s="35"/>
      <c r="BA128" s="6">
        <v>1331</v>
      </c>
      <c r="BB128" s="6"/>
      <c r="BC128" s="35">
        <f t="shared" si="32"/>
        <v>390</v>
      </c>
      <c r="BD128" s="35">
        <v>138</v>
      </c>
      <c r="BE128" s="35">
        <v>1560</v>
      </c>
      <c r="BF128" s="35">
        <f t="shared" si="33"/>
        <v>367</v>
      </c>
      <c r="BG128" s="6">
        <v>519</v>
      </c>
      <c r="BH128" s="6"/>
      <c r="BI128" s="35">
        <f t="shared" si="34"/>
        <v>381</v>
      </c>
      <c r="BJ128" s="6">
        <v>897</v>
      </c>
      <c r="BK128" s="6"/>
      <c r="BL128" s="35">
        <f t="shared" si="35"/>
        <v>378</v>
      </c>
      <c r="BM128" s="6">
        <v>0</v>
      </c>
      <c r="BN128" s="6">
        <v>1061</v>
      </c>
      <c r="BO128" s="6">
        <f t="shared" si="36"/>
        <v>164</v>
      </c>
      <c r="BP128" s="6">
        <v>355</v>
      </c>
      <c r="BQ128" s="6"/>
      <c r="BR128" s="6">
        <f t="shared" si="37"/>
        <v>355</v>
      </c>
      <c r="BS128" s="6"/>
      <c r="BT128" s="6"/>
      <c r="BU128" s="35"/>
      <c r="BV128" s="6">
        <v>729</v>
      </c>
      <c r="BW128" s="6"/>
      <c r="BX128" s="6">
        <f t="shared" si="38"/>
        <v>374</v>
      </c>
      <c r="BY128" s="6">
        <v>1108</v>
      </c>
      <c r="BZ128" s="6"/>
      <c r="CA128" s="35">
        <f t="shared" si="39"/>
        <v>379</v>
      </c>
      <c r="CB128" s="6">
        <v>1502</v>
      </c>
      <c r="CC128" s="6"/>
      <c r="CD128" s="6">
        <f t="shared" si="40"/>
        <v>394</v>
      </c>
      <c r="CE128" s="6">
        <v>0</v>
      </c>
      <c r="CF128" s="6">
        <v>1822</v>
      </c>
      <c r="CG128" s="6">
        <f t="shared" si="41"/>
        <v>320</v>
      </c>
      <c r="CH128" s="6">
        <v>0</v>
      </c>
      <c r="CI128" s="6"/>
      <c r="CJ128" s="6">
        <f t="shared" si="42"/>
        <v>0</v>
      </c>
      <c r="CK128" s="6">
        <v>11</v>
      </c>
      <c r="CL128" s="6"/>
      <c r="CM128" s="6">
        <f t="shared" si="43"/>
        <v>11</v>
      </c>
      <c r="CN128" s="6"/>
      <c r="CO128" s="6"/>
      <c r="CP128" s="6"/>
      <c r="CQ128" s="6">
        <v>408</v>
      </c>
      <c r="CR128" s="6"/>
      <c r="CS128" s="6">
        <f t="shared" si="44"/>
        <v>397</v>
      </c>
      <c r="CT128" s="6">
        <v>778</v>
      </c>
      <c r="CU128" s="6"/>
      <c r="CV128" s="6">
        <f t="shared" si="45"/>
        <v>370</v>
      </c>
      <c r="CW128" s="6">
        <v>1150</v>
      </c>
      <c r="CX128" s="6"/>
      <c r="CY128" s="6">
        <f t="shared" si="46"/>
        <v>372</v>
      </c>
      <c r="CZ128" s="6">
        <v>239</v>
      </c>
      <c r="DA128" s="6">
        <v>1254</v>
      </c>
      <c r="DB128" s="6">
        <f t="shared" si="47"/>
        <v>343</v>
      </c>
      <c r="DC128" s="6">
        <v>621</v>
      </c>
      <c r="DD128" s="6"/>
      <c r="DE128" s="6">
        <f t="shared" si="48"/>
        <v>382</v>
      </c>
      <c r="DF128" s="6">
        <v>1</v>
      </c>
      <c r="DG128" s="6">
        <v>987</v>
      </c>
      <c r="DH128" s="6">
        <f t="shared" si="49"/>
        <v>367</v>
      </c>
      <c r="DI128" s="6"/>
      <c r="DJ128" s="6"/>
      <c r="DK128" s="6"/>
      <c r="DL128" s="6">
        <v>385</v>
      </c>
      <c r="DM128" s="6"/>
      <c r="DN128" s="6">
        <f t="shared" si="50"/>
        <v>384</v>
      </c>
      <c r="DO128" s="6">
        <v>747</v>
      </c>
      <c r="DP128" s="6"/>
      <c r="DQ128" s="6">
        <f t="shared" si="51"/>
        <v>362</v>
      </c>
    </row>
    <row r="129" spans="1:121">
      <c r="A129" s="6">
        <v>125</v>
      </c>
      <c r="B129" s="6">
        <v>990</v>
      </c>
      <c r="C129" s="6"/>
      <c r="D129" s="6">
        <v>346</v>
      </c>
      <c r="E129" s="33" t="s">
        <v>37</v>
      </c>
      <c r="F129" s="33" t="s">
        <v>37</v>
      </c>
      <c r="G129" s="33" t="s">
        <v>37</v>
      </c>
      <c r="H129" s="33" t="s">
        <v>37</v>
      </c>
      <c r="I129" s="33" t="s">
        <v>37</v>
      </c>
      <c r="J129" s="33" t="s">
        <v>37</v>
      </c>
      <c r="K129" s="33" t="s">
        <v>37</v>
      </c>
      <c r="L129" s="33" t="s">
        <v>37</v>
      </c>
      <c r="M129" s="33" t="s">
        <v>37</v>
      </c>
      <c r="N129" s="33" t="s">
        <v>37</v>
      </c>
      <c r="O129" s="33" t="s">
        <v>37</v>
      </c>
      <c r="P129" s="148" t="s">
        <v>37</v>
      </c>
      <c r="Q129" s="33" t="s">
        <v>37</v>
      </c>
      <c r="R129" s="33" t="s">
        <v>37</v>
      </c>
      <c r="S129" s="33" t="s">
        <v>37</v>
      </c>
      <c r="T129" s="33" t="s">
        <v>37</v>
      </c>
      <c r="U129" s="33" t="s">
        <v>37</v>
      </c>
      <c r="V129" s="33" t="s">
        <v>37</v>
      </c>
      <c r="W129" s="33" t="s">
        <v>37</v>
      </c>
      <c r="X129" s="33" t="s">
        <v>37</v>
      </c>
      <c r="Y129" s="33" t="s">
        <v>37</v>
      </c>
      <c r="Z129" s="33" t="s">
        <v>37</v>
      </c>
      <c r="AA129" s="33" t="s">
        <v>37</v>
      </c>
      <c r="AB129" s="33" t="s">
        <v>37</v>
      </c>
      <c r="AC129" s="33" t="s">
        <v>37</v>
      </c>
      <c r="AD129" s="33" t="s">
        <v>37</v>
      </c>
      <c r="AE129" s="33" t="s">
        <v>37</v>
      </c>
      <c r="AF129" s="6">
        <v>1402</v>
      </c>
      <c r="AG129" s="6"/>
      <c r="AH129" s="35">
        <f t="shared" si="26"/>
        <v>412</v>
      </c>
      <c r="AI129" s="6">
        <v>216</v>
      </c>
      <c r="AJ129" s="6">
        <v>1560</v>
      </c>
      <c r="AK129" s="35">
        <f t="shared" si="27"/>
        <v>374</v>
      </c>
      <c r="AL129" s="35">
        <v>599</v>
      </c>
      <c r="AM129" s="35"/>
      <c r="AN129" s="35">
        <f t="shared" si="28"/>
        <v>383</v>
      </c>
      <c r="AO129" s="6">
        <v>979</v>
      </c>
      <c r="AP129" s="6"/>
      <c r="AQ129" s="35">
        <f t="shared" si="29"/>
        <v>380</v>
      </c>
      <c r="AR129" s="6">
        <v>1358</v>
      </c>
      <c r="AS129" s="6"/>
      <c r="AT129" s="34">
        <f t="shared" si="30"/>
        <v>379</v>
      </c>
      <c r="AU129" s="35">
        <v>158</v>
      </c>
      <c r="AV129" s="35">
        <v>1560</v>
      </c>
      <c r="AW129" s="35">
        <f t="shared" si="31"/>
        <v>360</v>
      </c>
      <c r="AX129" s="6"/>
      <c r="AY129" s="6"/>
      <c r="AZ129" s="35"/>
      <c r="BA129" s="6">
        <v>532</v>
      </c>
      <c r="BB129" s="6"/>
      <c r="BC129" s="35">
        <f t="shared" si="32"/>
        <v>374</v>
      </c>
      <c r="BD129" s="6">
        <v>912</v>
      </c>
      <c r="BE129" s="6"/>
      <c r="BF129" s="35">
        <f t="shared" si="33"/>
        <v>380</v>
      </c>
      <c r="BG129" s="6">
        <v>1282</v>
      </c>
      <c r="BH129" s="6"/>
      <c r="BI129" s="35">
        <f t="shared" si="34"/>
        <v>370</v>
      </c>
      <c r="BJ129" s="6">
        <v>0</v>
      </c>
      <c r="BK129" s="6">
        <v>1615</v>
      </c>
      <c r="BL129" s="35">
        <f t="shared" si="35"/>
        <v>333</v>
      </c>
      <c r="BM129" s="6">
        <v>354</v>
      </c>
      <c r="BN129" s="35"/>
      <c r="BO129" s="6">
        <f t="shared" si="36"/>
        <v>354</v>
      </c>
      <c r="BP129" s="6">
        <v>714</v>
      </c>
      <c r="BQ129" s="6"/>
      <c r="BR129" s="6">
        <f t="shared" si="37"/>
        <v>360</v>
      </c>
      <c r="BS129" s="6"/>
      <c r="BT129" s="6"/>
      <c r="BU129" s="35"/>
      <c r="BV129" s="6">
        <v>1096</v>
      </c>
      <c r="BW129" s="6"/>
      <c r="BX129" s="6">
        <f t="shared" si="38"/>
        <v>382</v>
      </c>
      <c r="BY129" s="6">
        <v>1479</v>
      </c>
      <c r="BZ129" s="6"/>
      <c r="CA129" s="35">
        <f t="shared" si="39"/>
        <v>383</v>
      </c>
      <c r="CB129" s="6">
        <v>306</v>
      </c>
      <c r="CC129" s="35">
        <v>1560</v>
      </c>
      <c r="CD129" s="6">
        <f t="shared" si="40"/>
        <v>387</v>
      </c>
      <c r="CE129" s="6">
        <v>691</v>
      </c>
      <c r="CF129" s="6"/>
      <c r="CG129" s="6">
        <f t="shared" si="41"/>
        <v>385</v>
      </c>
      <c r="CH129" s="6">
        <v>1080</v>
      </c>
      <c r="CI129" s="35"/>
      <c r="CJ129" s="6">
        <f t="shared" si="42"/>
        <v>389</v>
      </c>
      <c r="CK129" s="6">
        <v>1455</v>
      </c>
      <c r="CL129" s="6"/>
      <c r="CM129" s="6">
        <f t="shared" si="43"/>
        <v>375</v>
      </c>
      <c r="CN129" s="6"/>
      <c r="CO129" s="6"/>
      <c r="CP129" s="6"/>
      <c r="CQ129" s="6">
        <v>288</v>
      </c>
      <c r="CR129" s="6">
        <v>1565</v>
      </c>
      <c r="CS129" s="6">
        <f t="shared" si="44"/>
        <v>398</v>
      </c>
      <c r="CT129" s="6">
        <v>677</v>
      </c>
      <c r="CU129" s="6"/>
      <c r="CV129" s="6">
        <f t="shared" si="45"/>
        <v>389</v>
      </c>
      <c r="CW129" s="6">
        <v>1068</v>
      </c>
      <c r="CX129" s="6"/>
      <c r="CY129" s="6">
        <f t="shared" si="46"/>
        <v>391</v>
      </c>
      <c r="CZ129" s="6">
        <v>1453</v>
      </c>
      <c r="DA129" s="6"/>
      <c r="DB129" s="6">
        <f t="shared" si="47"/>
        <v>385</v>
      </c>
      <c r="DC129" s="6">
        <v>249</v>
      </c>
      <c r="DD129" s="6">
        <v>1589</v>
      </c>
      <c r="DE129" s="6">
        <f t="shared" si="48"/>
        <v>385</v>
      </c>
      <c r="DF129" s="6">
        <v>615</v>
      </c>
      <c r="DG129" s="6"/>
      <c r="DH129" s="6">
        <f t="shared" si="49"/>
        <v>366</v>
      </c>
      <c r="DI129" s="6"/>
      <c r="DJ129" s="6"/>
      <c r="DK129" s="6"/>
      <c r="DL129" s="6">
        <v>1000</v>
      </c>
      <c r="DM129" s="6"/>
      <c r="DN129" s="6">
        <f t="shared" si="50"/>
        <v>385</v>
      </c>
      <c r="DO129" s="6">
        <v>1360</v>
      </c>
      <c r="DP129" s="6"/>
      <c r="DQ129" s="6">
        <f t="shared" si="51"/>
        <v>360</v>
      </c>
    </row>
    <row r="130" spans="1:121">
      <c r="A130" s="6">
        <v>126</v>
      </c>
      <c r="B130" s="6">
        <v>1073</v>
      </c>
      <c r="C130" s="6"/>
      <c r="D130" s="6">
        <v>355</v>
      </c>
      <c r="E130" s="33" t="s">
        <v>307</v>
      </c>
      <c r="F130" s="33" t="s">
        <v>307</v>
      </c>
      <c r="G130" s="148" t="s">
        <v>37</v>
      </c>
      <c r="H130" s="33" t="s">
        <v>37</v>
      </c>
      <c r="I130" s="33" t="s">
        <v>37</v>
      </c>
      <c r="J130" s="33" t="s">
        <v>37</v>
      </c>
      <c r="K130" s="33" t="s">
        <v>37</v>
      </c>
      <c r="L130" s="33" t="s">
        <v>37</v>
      </c>
      <c r="M130" s="33" t="s">
        <v>37</v>
      </c>
      <c r="N130" s="33" t="s">
        <v>37</v>
      </c>
      <c r="O130" s="33" t="s">
        <v>37</v>
      </c>
      <c r="P130" s="33" t="s">
        <v>37</v>
      </c>
      <c r="Q130" s="33" t="s">
        <v>37</v>
      </c>
      <c r="R130" s="33" t="s">
        <v>37</v>
      </c>
      <c r="S130" s="33" t="s">
        <v>37</v>
      </c>
      <c r="T130" s="33" t="s">
        <v>37</v>
      </c>
      <c r="U130" s="33" t="s">
        <v>37</v>
      </c>
      <c r="V130" s="33" t="s">
        <v>37</v>
      </c>
      <c r="W130" s="33" t="s">
        <v>37</v>
      </c>
      <c r="X130" s="33" t="s">
        <v>37</v>
      </c>
      <c r="Y130" s="33" t="s">
        <v>37</v>
      </c>
      <c r="Z130" s="33" t="s">
        <v>37</v>
      </c>
      <c r="AA130" s="33" t="s">
        <v>37</v>
      </c>
      <c r="AB130" s="148" t="s">
        <v>37</v>
      </c>
      <c r="AC130" s="33" t="s">
        <v>37</v>
      </c>
      <c r="AD130" s="33" t="s">
        <v>37</v>
      </c>
      <c r="AE130" s="33" t="s">
        <v>37</v>
      </c>
      <c r="AF130" s="35">
        <v>1492</v>
      </c>
      <c r="AG130" s="35"/>
      <c r="AH130" s="35">
        <f t="shared" si="26"/>
        <v>419</v>
      </c>
      <c r="AI130" s="35">
        <v>291</v>
      </c>
      <c r="AJ130" s="35">
        <v>1498</v>
      </c>
      <c r="AK130" s="35">
        <f t="shared" si="27"/>
        <v>297</v>
      </c>
      <c r="AL130" s="35">
        <v>648</v>
      </c>
      <c r="AM130" s="35"/>
      <c r="AN130" s="35">
        <f t="shared" si="28"/>
        <v>357</v>
      </c>
      <c r="AO130" s="35">
        <v>996</v>
      </c>
      <c r="AP130" s="35"/>
      <c r="AQ130" s="35">
        <f t="shared" si="29"/>
        <v>348</v>
      </c>
      <c r="AR130" s="35">
        <v>1382</v>
      </c>
      <c r="AS130" s="35"/>
      <c r="AT130" s="34">
        <f t="shared" si="30"/>
        <v>386</v>
      </c>
      <c r="AU130" s="35">
        <v>172</v>
      </c>
      <c r="AV130" s="35">
        <v>1560</v>
      </c>
      <c r="AW130" s="35">
        <f t="shared" si="31"/>
        <v>350</v>
      </c>
      <c r="AX130" s="6"/>
      <c r="AY130" s="6"/>
      <c r="AZ130" s="35"/>
      <c r="BA130" s="35">
        <v>547</v>
      </c>
      <c r="BB130" s="35"/>
      <c r="BC130" s="35">
        <f t="shared" si="32"/>
        <v>375</v>
      </c>
      <c r="BD130" s="35">
        <v>920</v>
      </c>
      <c r="BE130" s="35"/>
      <c r="BF130" s="35">
        <f t="shared" si="33"/>
        <v>373</v>
      </c>
      <c r="BG130" s="35">
        <v>1303</v>
      </c>
      <c r="BH130" s="35"/>
      <c r="BI130" s="35">
        <f t="shared" si="34"/>
        <v>383</v>
      </c>
      <c r="BJ130" s="35">
        <v>117</v>
      </c>
      <c r="BK130" s="35">
        <v>1560</v>
      </c>
      <c r="BL130" s="35">
        <f t="shared" si="35"/>
        <v>374</v>
      </c>
      <c r="BM130" s="35">
        <v>483</v>
      </c>
      <c r="BN130" s="35"/>
      <c r="BO130" s="6">
        <f t="shared" si="36"/>
        <v>366</v>
      </c>
      <c r="BP130" s="35">
        <v>826</v>
      </c>
      <c r="BQ130" s="6"/>
      <c r="BR130" s="6">
        <f t="shared" si="37"/>
        <v>343</v>
      </c>
      <c r="BS130" s="6"/>
      <c r="BT130" s="6"/>
      <c r="BU130" s="35"/>
      <c r="BV130" s="6">
        <v>1208</v>
      </c>
      <c r="BW130" s="6"/>
      <c r="BX130" s="6">
        <f t="shared" si="38"/>
        <v>382</v>
      </c>
      <c r="BY130" s="6">
        <v>26</v>
      </c>
      <c r="BZ130" s="6">
        <v>1560</v>
      </c>
      <c r="CA130" s="35">
        <f t="shared" si="39"/>
        <v>378</v>
      </c>
      <c r="CB130" s="6">
        <v>405</v>
      </c>
      <c r="CC130" s="6"/>
      <c r="CD130" s="6">
        <f t="shared" si="40"/>
        <v>379</v>
      </c>
      <c r="CE130" s="6">
        <v>788</v>
      </c>
      <c r="CF130" s="6"/>
      <c r="CG130" s="6">
        <f t="shared" si="41"/>
        <v>383</v>
      </c>
      <c r="CH130" s="6">
        <v>1184</v>
      </c>
      <c r="CI130" s="6"/>
      <c r="CJ130" s="6">
        <f t="shared" si="42"/>
        <v>396</v>
      </c>
      <c r="CK130" s="6">
        <v>1556</v>
      </c>
      <c r="CL130" s="6"/>
      <c r="CM130" s="6">
        <f t="shared" si="43"/>
        <v>372</v>
      </c>
      <c r="CN130" s="6"/>
      <c r="CO130" s="6"/>
      <c r="CP130" s="6"/>
      <c r="CQ130" s="6">
        <v>390</v>
      </c>
      <c r="CR130" s="6">
        <v>1560</v>
      </c>
      <c r="CS130" s="6">
        <f t="shared" si="44"/>
        <v>394</v>
      </c>
      <c r="CT130" s="6">
        <v>771</v>
      </c>
      <c r="CU130" s="6"/>
      <c r="CV130" s="6">
        <f t="shared" si="45"/>
        <v>381</v>
      </c>
      <c r="CW130" s="6">
        <v>1151</v>
      </c>
      <c r="CX130" s="6"/>
      <c r="CY130" s="6">
        <f t="shared" si="46"/>
        <v>380</v>
      </c>
      <c r="CZ130" s="6">
        <v>1531</v>
      </c>
      <c r="DA130" s="6"/>
      <c r="DB130" s="6">
        <f t="shared" si="47"/>
        <v>380</v>
      </c>
      <c r="DC130" s="6">
        <v>278</v>
      </c>
      <c r="DD130" s="6">
        <v>1598</v>
      </c>
      <c r="DE130" s="6">
        <f t="shared" si="48"/>
        <v>345</v>
      </c>
      <c r="DF130" s="6">
        <v>638</v>
      </c>
      <c r="DG130" s="6"/>
      <c r="DH130" s="6">
        <f t="shared" si="49"/>
        <v>360</v>
      </c>
      <c r="DI130" s="6"/>
      <c r="DJ130" s="6"/>
      <c r="DK130" s="6"/>
      <c r="DL130" s="6">
        <v>1019</v>
      </c>
      <c r="DM130" s="6"/>
      <c r="DN130" s="6">
        <f t="shared" si="50"/>
        <v>381</v>
      </c>
      <c r="DO130" s="6">
        <v>269</v>
      </c>
      <c r="DP130" s="6">
        <v>1091</v>
      </c>
      <c r="DQ130" s="6">
        <f t="shared" si="51"/>
        <v>341</v>
      </c>
    </row>
    <row r="131" spans="1:121">
      <c r="A131" s="6">
        <v>127</v>
      </c>
      <c r="B131" s="6">
        <v>295</v>
      </c>
      <c r="C131" s="6">
        <v>1560</v>
      </c>
      <c r="D131" s="6">
        <v>351</v>
      </c>
      <c r="E131" s="33" t="s">
        <v>307</v>
      </c>
      <c r="F131" s="33" t="s">
        <v>307</v>
      </c>
      <c r="G131" s="33" t="s">
        <v>307</v>
      </c>
      <c r="H131" s="33" t="s">
        <v>307</v>
      </c>
      <c r="I131" s="33" t="s">
        <v>307</v>
      </c>
      <c r="J131" s="33" t="s">
        <v>307</v>
      </c>
      <c r="K131" s="33" t="s">
        <v>307</v>
      </c>
      <c r="L131" s="33" t="s">
        <v>307</v>
      </c>
      <c r="M131" s="33" t="s">
        <v>307</v>
      </c>
      <c r="N131" s="33" t="s">
        <v>307</v>
      </c>
      <c r="O131" s="33" t="s">
        <v>307</v>
      </c>
      <c r="P131" s="33" t="s">
        <v>307</v>
      </c>
      <c r="Q131" s="33" t="s">
        <v>307</v>
      </c>
      <c r="R131" s="33" t="s">
        <v>307</v>
      </c>
      <c r="S131" s="33" t="s">
        <v>307</v>
      </c>
      <c r="T131" s="33" t="s">
        <v>307</v>
      </c>
      <c r="U131" s="148" t="s">
        <v>307</v>
      </c>
      <c r="V131" s="33" t="s">
        <v>307</v>
      </c>
      <c r="W131" s="33" t="s">
        <v>307</v>
      </c>
      <c r="X131" s="33" t="s">
        <v>307</v>
      </c>
      <c r="Y131" s="33" t="s">
        <v>307</v>
      </c>
      <c r="Z131" s="33" t="s">
        <v>307</v>
      </c>
      <c r="AA131" s="33" t="s">
        <v>307</v>
      </c>
      <c r="AB131" s="33" t="s">
        <v>307</v>
      </c>
      <c r="AC131" s="33" t="s">
        <v>307</v>
      </c>
      <c r="AD131" s="33" t="s">
        <v>307</v>
      </c>
      <c r="AE131" s="33" t="s">
        <v>307</v>
      </c>
      <c r="AF131" s="6">
        <v>114</v>
      </c>
      <c r="AG131" s="6">
        <v>593</v>
      </c>
      <c r="AH131" s="35">
        <f t="shared" si="26"/>
        <v>412</v>
      </c>
      <c r="AI131" s="6">
        <v>501</v>
      </c>
      <c r="AJ131" s="6"/>
      <c r="AK131" s="35">
        <f t="shared" si="27"/>
        <v>387</v>
      </c>
      <c r="AL131" s="35">
        <v>868</v>
      </c>
      <c r="AM131" s="35"/>
      <c r="AN131" s="35">
        <f t="shared" si="28"/>
        <v>367</v>
      </c>
      <c r="AO131" s="6">
        <v>1264</v>
      </c>
      <c r="AP131" s="6"/>
      <c r="AQ131" s="35">
        <f t="shared" si="29"/>
        <v>396</v>
      </c>
      <c r="AR131" s="6">
        <v>92</v>
      </c>
      <c r="AS131" s="6">
        <v>1560</v>
      </c>
      <c r="AT131" s="34">
        <f t="shared" si="30"/>
        <v>388</v>
      </c>
      <c r="AU131" s="35">
        <v>460</v>
      </c>
      <c r="AV131" s="35"/>
      <c r="AW131" s="35">
        <f t="shared" si="31"/>
        <v>368</v>
      </c>
      <c r="AX131" s="6"/>
      <c r="AY131" s="6"/>
      <c r="AZ131" s="35"/>
      <c r="BA131" s="6">
        <v>842</v>
      </c>
      <c r="BB131" s="35"/>
      <c r="BC131" s="35">
        <f t="shared" si="32"/>
        <v>382</v>
      </c>
      <c r="BD131" s="35">
        <v>1235</v>
      </c>
      <c r="BE131" s="35"/>
      <c r="BF131" s="35">
        <f t="shared" si="33"/>
        <v>393</v>
      </c>
      <c r="BG131" s="6">
        <v>64</v>
      </c>
      <c r="BH131" s="6">
        <v>1560</v>
      </c>
      <c r="BI131" s="35">
        <f t="shared" si="34"/>
        <v>389</v>
      </c>
      <c r="BJ131" s="6">
        <v>453</v>
      </c>
      <c r="BK131" s="6"/>
      <c r="BL131" s="35">
        <f t="shared" si="35"/>
        <v>389</v>
      </c>
      <c r="BM131" s="6">
        <v>373</v>
      </c>
      <c r="BN131" s="6">
        <v>460</v>
      </c>
      <c r="BO131" s="6">
        <f t="shared" si="36"/>
        <v>380</v>
      </c>
      <c r="BP131" s="6">
        <v>748</v>
      </c>
      <c r="BQ131" s="6"/>
      <c r="BR131" s="6">
        <f t="shared" si="37"/>
        <v>375</v>
      </c>
      <c r="BS131" s="6"/>
      <c r="BT131" s="6"/>
      <c r="BU131" s="35"/>
      <c r="BV131" s="6">
        <v>1142</v>
      </c>
      <c r="BW131" s="6"/>
      <c r="BX131" s="6">
        <f t="shared" si="38"/>
        <v>394</v>
      </c>
      <c r="BY131" s="6">
        <v>1533</v>
      </c>
      <c r="BZ131" s="6"/>
      <c r="CA131" s="35">
        <f t="shared" si="39"/>
        <v>391</v>
      </c>
      <c r="CB131" s="6">
        <v>0</v>
      </c>
      <c r="CC131" s="6">
        <v>1834</v>
      </c>
      <c r="CD131" s="6">
        <f t="shared" si="40"/>
        <v>301</v>
      </c>
      <c r="CE131" s="6">
        <v>0</v>
      </c>
      <c r="CF131" s="6"/>
      <c r="CG131" s="6">
        <f t="shared" si="41"/>
        <v>0</v>
      </c>
      <c r="CH131" s="6">
        <v>0</v>
      </c>
      <c r="CI131" s="6"/>
      <c r="CJ131" s="6">
        <f t="shared" si="42"/>
        <v>0</v>
      </c>
      <c r="CK131" s="6">
        <v>0</v>
      </c>
      <c r="CL131" s="6"/>
      <c r="CM131" s="6">
        <f t="shared" si="43"/>
        <v>0</v>
      </c>
      <c r="CN131" s="6"/>
      <c r="CO131" s="6"/>
      <c r="CP131" s="6"/>
      <c r="CQ131" s="6">
        <v>400</v>
      </c>
      <c r="CR131" s="6"/>
      <c r="CS131" s="6">
        <f t="shared" si="44"/>
        <v>400</v>
      </c>
      <c r="CT131" s="6">
        <v>783</v>
      </c>
      <c r="CU131" s="6"/>
      <c r="CV131" s="6">
        <f t="shared" si="45"/>
        <v>383</v>
      </c>
      <c r="CW131" s="6">
        <v>1177</v>
      </c>
      <c r="CX131" s="6"/>
      <c r="CY131" s="6">
        <f t="shared" si="46"/>
        <v>394</v>
      </c>
      <c r="CZ131" s="6">
        <v>12</v>
      </c>
      <c r="DA131" s="6">
        <v>1560</v>
      </c>
      <c r="DB131" s="6">
        <f t="shared" si="47"/>
        <v>395</v>
      </c>
      <c r="DC131" s="6">
        <v>396</v>
      </c>
      <c r="DD131" s="6"/>
      <c r="DE131" s="6">
        <f t="shared" si="48"/>
        <v>384</v>
      </c>
      <c r="DF131" s="6">
        <v>768</v>
      </c>
      <c r="DG131" s="6"/>
      <c r="DH131" s="6">
        <f t="shared" si="49"/>
        <v>372</v>
      </c>
      <c r="DI131" s="6"/>
      <c r="DJ131" s="6"/>
      <c r="DK131" s="6"/>
      <c r="DL131" s="6">
        <v>1158</v>
      </c>
      <c r="DM131" s="6"/>
      <c r="DN131" s="6">
        <f t="shared" si="50"/>
        <v>390</v>
      </c>
      <c r="DO131" s="6">
        <v>1523</v>
      </c>
      <c r="DP131" s="6"/>
      <c r="DQ131" s="6">
        <f t="shared" si="51"/>
        <v>365</v>
      </c>
    </row>
    <row r="132" spans="1:121">
      <c r="A132" s="6">
        <v>128</v>
      </c>
      <c r="B132" s="6">
        <v>1494</v>
      </c>
      <c r="C132" s="6"/>
      <c r="D132" s="6">
        <v>352</v>
      </c>
      <c r="E132" s="33" t="s">
        <v>307</v>
      </c>
      <c r="F132" s="33" t="s">
        <v>307</v>
      </c>
      <c r="G132" s="33" t="s">
        <v>307</v>
      </c>
      <c r="H132" s="33" t="s">
        <v>307</v>
      </c>
      <c r="I132" s="33" t="s">
        <v>307</v>
      </c>
      <c r="J132" s="33" t="s">
        <v>307</v>
      </c>
      <c r="K132" s="33" t="s">
        <v>307</v>
      </c>
      <c r="L132" s="33" t="s">
        <v>307</v>
      </c>
      <c r="M132" s="33" t="s">
        <v>307</v>
      </c>
      <c r="N132" s="33" t="s">
        <v>307</v>
      </c>
      <c r="O132" s="33" t="s">
        <v>307</v>
      </c>
      <c r="P132" s="33" t="s">
        <v>307</v>
      </c>
      <c r="Q132" s="33" t="s">
        <v>307</v>
      </c>
      <c r="R132" s="33" t="s">
        <v>307</v>
      </c>
      <c r="S132" s="33" t="s">
        <v>307</v>
      </c>
      <c r="T132" s="33" t="s">
        <v>307</v>
      </c>
      <c r="U132" s="33" t="s">
        <v>307</v>
      </c>
      <c r="V132" s="33" t="s">
        <v>307</v>
      </c>
      <c r="W132" s="33"/>
      <c r="X132" s="33"/>
      <c r="Y132" s="148" t="s">
        <v>37</v>
      </c>
      <c r="Z132" s="33" t="s">
        <v>37</v>
      </c>
      <c r="AA132" s="33" t="s">
        <v>37</v>
      </c>
      <c r="AB132" s="33" t="s">
        <v>37</v>
      </c>
      <c r="AC132" s="33" t="s">
        <v>37</v>
      </c>
      <c r="AD132" s="33" t="s">
        <v>37</v>
      </c>
      <c r="AE132" s="33" t="s">
        <v>37</v>
      </c>
      <c r="AF132" s="6">
        <v>352</v>
      </c>
      <c r="AG132" s="6">
        <v>1560</v>
      </c>
      <c r="AH132" s="35">
        <f t="shared" si="26"/>
        <v>418</v>
      </c>
      <c r="AI132" s="6">
        <v>725</v>
      </c>
      <c r="AJ132" s="6"/>
      <c r="AK132" s="35">
        <f t="shared" si="27"/>
        <v>373</v>
      </c>
      <c r="AL132" s="35">
        <v>1111</v>
      </c>
      <c r="AM132" s="35"/>
      <c r="AN132" s="35">
        <f t="shared" si="28"/>
        <v>386</v>
      </c>
      <c r="AO132" s="6">
        <v>1494</v>
      </c>
      <c r="AP132" s="6"/>
      <c r="AQ132" s="35">
        <f t="shared" si="29"/>
        <v>383</v>
      </c>
      <c r="AR132" s="6">
        <v>323</v>
      </c>
      <c r="AS132" s="6">
        <v>1560</v>
      </c>
      <c r="AT132" s="34">
        <f t="shared" si="30"/>
        <v>389</v>
      </c>
      <c r="AU132" s="35">
        <v>689</v>
      </c>
      <c r="AV132" s="35"/>
      <c r="AW132" s="35">
        <f t="shared" si="31"/>
        <v>366</v>
      </c>
      <c r="AX132" s="6"/>
      <c r="AY132" s="6"/>
      <c r="AZ132" s="35"/>
      <c r="BA132" s="6">
        <v>1079</v>
      </c>
      <c r="BB132" s="6"/>
      <c r="BC132" s="35">
        <f t="shared" si="32"/>
        <v>390</v>
      </c>
      <c r="BD132" s="6">
        <v>1460</v>
      </c>
      <c r="BE132" s="6"/>
      <c r="BF132" s="35">
        <f t="shared" si="33"/>
        <v>381</v>
      </c>
      <c r="BG132" s="6">
        <v>286</v>
      </c>
      <c r="BH132" s="6">
        <v>1560</v>
      </c>
      <c r="BI132" s="35">
        <f t="shared" si="34"/>
        <v>386</v>
      </c>
      <c r="BJ132" s="6">
        <v>674</v>
      </c>
      <c r="BK132" s="6"/>
      <c r="BL132" s="35">
        <f t="shared" si="35"/>
        <v>388</v>
      </c>
      <c r="BM132" s="6">
        <v>1061</v>
      </c>
      <c r="BN132" s="35"/>
      <c r="BO132" s="6">
        <f t="shared" si="36"/>
        <v>387</v>
      </c>
      <c r="BP132" s="6">
        <v>1421</v>
      </c>
      <c r="BQ132" s="6"/>
      <c r="BR132" s="6">
        <f t="shared" si="37"/>
        <v>360</v>
      </c>
      <c r="BS132" s="6"/>
      <c r="BT132" s="6"/>
      <c r="BU132" s="35"/>
      <c r="BV132" s="6">
        <v>1811</v>
      </c>
      <c r="BW132" s="6"/>
      <c r="BX132" s="6">
        <f t="shared" si="38"/>
        <v>390</v>
      </c>
      <c r="BY132" s="6">
        <v>377</v>
      </c>
      <c r="BZ132" s="6">
        <v>1820</v>
      </c>
      <c r="CA132" s="35">
        <f t="shared" si="39"/>
        <v>386</v>
      </c>
      <c r="CB132" s="6">
        <v>82</v>
      </c>
      <c r="CC132" s="35">
        <v>624</v>
      </c>
      <c r="CD132" s="6">
        <f t="shared" si="40"/>
        <v>329</v>
      </c>
      <c r="CE132" s="6">
        <v>455</v>
      </c>
      <c r="CF132" s="6"/>
      <c r="CG132" s="6">
        <f t="shared" si="41"/>
        <v>373</v>
      </c>
      <c r="CH132" s="6">
        <v>0</v>
      </c>
      <c r="CI132" s="35">
        <v>727</v>
      </c>
      <c r="CJ132" s="6">
        <f t="shared" si="42"/>
        <v>272</v>
      </c>
      <c r="CK132" s="6"/>
      <c r="CL132" s="6"/>
      <c r="CM132" s="6"/>
      <c r="CN132" s="6"/>
      <c r="CO132" s="6"/>
      <c r="CP132" s="6"/>
      <c r="CQ132" s="6"/>
      <c r="CR132" s="6"/>
      <c r="CS132" s="6"/>
      <c r="CT132" s="6">
        <v>346</v>
      </c>
      <c r="CU132" s="6"/>
      <c r="CV132" s="6">
        <f t="shared" si="45"/>
        <v>346</v>
      </c>
      <c r="CW132" s="6">
        <v>709</v>
      </c>
      <c r="CX132" s="6"/>
      <c r="CY132" s="6">
        <f t="shared" si="46"/>
        <v>363</v>
      </c>
      <c r="CZ132" s="6">
        <v>1073</v>
      </c>
      <c r="DA132" s="6"/>
      <c r="DB132" s="6">
        <f t="shared" si="47"/>
        <v>364</v>
      </c>
      <c r="DC132" s="6">
        <v>1438</v>
      </c>
      <c r="DD132" s="6"/>
      <c r="DE132" s="6">
        <f t="shared" si="48"/>
        <v>365</v>
      </c>
      <c r="DF132" s="6">
        <v>223</v>
      </c>
      <c r="DG132" s="6">
        <v>1560</v>
      </c>
      <c r="DH132" s="6">
        <f t="shared" si="49"/>
        <v>345</v>
      </c>
      <c r="DI132" s="6"/>
      <c r="DJ132" s="6"/>
      <c r="DK132" s="6"/>
      <c r="DL132" s="6">
        <v>602</v>
      </c>
      <c r="DM132" s="6"/>
      <c r="DN132" s="6">
        <f t="shared" si="50"/>
        <v>379</v>
      </c>
      <c r="DO132" s="6">
        <v>965</v>
      </c>
      <c r="DP132" s="6"/>
      <c r="DQ132" s="6">
        <f t="shared" si="51"/>
        <v>363</v>
      </c>
    </row>
    <row r="133" spans="1:121">
      <c r="A133" s="6">
        <v>129</v>
      </c>
      <c r="B133" s="6">
        <v>87</v>
      </c>
      <c r="C133" s="6">
        <v>649</v>
      </c>
      <c r="D133" s="6">
        <v>326</v>
      </c>
      <c r="E133" s="33" t="s">
        <v>37</v>
      </c>
      <c r="F133" s="33" t="s">
        <v>37</v>
      </c>
      <c r="G133" s="33" t="s">
        <v>37</v>
      </c>
      <c r="H133" s="33" t="s">
        <v>37</v>
      </c>
      <c r="I133" s="33" t="s">
        <v>37</v>
      </c>
      <c r="J133" s="33" t="s">
        <v>37</v>
      </c>
      <c r="K133" s="33" t="s">
        <v>37</v>
      </c>
      <c r="L133" s="33" t="s">
        <v>37</v>
      </c>
      <c r="M133" s="33" t="s">
        <v>37</v>
      </c>
      <c r="N133" s="33" t="s">
        <v>37</v>
      </c>
      <c r="O133" s="33" t="s">
        <v>37</v>
      </c>
      <c r="P133" s="33" t="s">
        <v>37</v>
      </c>
      <c r="Q133" s="33" t="s">
        <v>37</v>
      </c>
      <c r="R133" s="33" t="s">
        <v>37</v>
      </c>
      <c r="S133" s="148" t="s">
        <v>37</v>
      </c>
      <c r="T133" s="33" t="s">
        <v>37</v>
      </c>
      <c r="U133" s="33" t="s">
        <v>37</v>
      </c>
      <c r="V133" s="33" t="s">
        <v>37</v>
      </c>
      <c r="W133" s="33" t="s">
        <v>37</v>
      </c>
      <c r="X133" s="33" t="s">
        <v>37</v>
      </c>
      <c r="Y133" s="33" t="s">
        <v>37</v>
      </c>
      <c r="Z133" s="33" t="s">
        <v>37</v>
      </c>
      <c r="AA133" s="33" t="s">
        <v>37</v>
      </c>
      <c r="AB133" s="33" t="s">
        <v>37</v>
      </c>
      <c r="AC133" s="33" t="s">
        <v>37</v>
      </c>
      <c r="AD133" s="33" t="s">
        <v>37</v>
      </c>
      <c r="AE133" s="33" t="s">
        <v>37</v>
      </c>
      <c r="AF133" s="6">
        <v>37</v>
      </c>
      <c r="AG133" s="6">
        <v>442</v>
      </c>
      <c r="AH133" s="35">
        <f t="shared" si="26"/>
        <v>392</v>
      </c>
      <c r="AI133" s="6">
        <v>414</v>
      </c>
      <c r="AJ133" s="6"/>
      <c r="AK133" s="35">
        <f t="shared" si="27"/>
        <v>377</v>
      </c>
      <c r="AL133" s="35">
        <v>795</v>
      </c>
      <c r="AM133" s="35"/>
      <c r="AN133" s="35">
        <f t="shared" si="28"/>
        <v>381</v>
      </c>
      <c r="AO133" s="6">
        <v>1178</v>
      </c>
      <c r="AP133" s="6"/>
      <c r="AQ133" s="35">
        <f t="shared" si="29"/>
        <v>383</v>
      </c>
      <c r="AR133" s="6">
        <v>1558</v>
      </c>
      <c r="AS133" s="6"/>
      <c r="AT133" s="34">
        <f t="shared" si="30"/>
        <v>380</v>
      </c>
      <c r="AU133" s="35">
        <v>339</v>
      </c>
      <c r="AV133" s="35">
        <v>1561</v>
      </c>
      <c r="AW133" s="35">
        <f t="shared" si="31"/>
        <v>342</v>
      </c>
      <c r="AX133" s="6"/>
      <c r="AY133" s="6"/>
      <c r="AZ133" s="35"/>
      <c r="BA133" s="6">
        <v>711</v>
      </c>
      <c r="BB133" s="35"/>
      <c r="BC133" s="35">
        <f t="shared" si="32"/>
        <v>372</v>
      </c>
      <c r="BD133" s="35">
        <v>1088</v>
      </c>
      <c r="BE133" s="35"/>
      <c r="BF133" s="35">
        <f t="shared" si="33"/>
        <v>377</v>
      </c>
      <c r="BG133" s="6">
        <v>1467</v>
      </c>
      <c r="BH133" s="6"/>
      <c r="BI133" s="35">
        <f t="shared" si="34"/>
        <v>379</v>
      </c>
      <c r="BJ133" s="6">
        <v>289</v>
      </c>
      <c r="BK133" s="6">
        <v>1560</v>
      </c>
      <c r="BL133" s="35">
        <f t="shared" si="35"/>
        <v>382</v>
      </c>
      <c r="BM133" s="6">
        <v>671</v>
      </c>
      <c r="BN133" s="6"/>
      <c r="BO133" s="6">
        <f t="shared" si="36"/>
        <v>382</v>
      </c>
      <c r="BP133" s="6">
        <v>1024</v>
      </c>
      <c r="BQ133" s="6"/>
      <c r="BR133" s="6">
        <f t="shared" si="37"/>
        <v>353</v>
      </c>
      <c r="BS133" s="6"/>
      <c r="BT133" s="6"/>
      <c r="BU133" s="35"/>
      <c r="BV133" s="6">
        <v>1411</v>
      </c>
      <c r="BW133" s="6"/>
      <c r="BX133" s="6">
        <f t="shared" si="38"/>
        <v>387</v>
      </c>
      <c r="BY133" s="6">
        <v>320</v>
      </c>
      <c r="BZ133" s="6">
        <v>1449</v>
      </c>
      <c r="CA133" s="35">
        <f t="shared" si="39"/>
        <v>358</v>
      </c>
      <c r="CB133" s="6">
        <v>700</v>
      </c>
      <c r="CC133" s="6"/>
      <c r="CD133" s="6">
        <f t="shared" si="40"/>
        <v>380</v>
      </c>
      <c r="CE133" s="6">
        <v>1080</v>
      </c>
      <c r="CF133" s="6"/>
      <c r="CG133" s="6">
        <f t="shared" si="41"/>
        <v>380</v>
      </c>
      <c r="CH133" s="6">
        <v>1462</v>
      </c>
      <c r="CI133" s="6"/>
      <c r="CJ133" s="6">
        <f t="shared" si="42"/>
        <v>382</v>
      </c>
      <c r="CK133" s="6">
        <v>274</v>
      </c>
      <c r="CL133" s="6">
        <v>1560</v>
      </c>
      <c r="CM133" s="6">
        <f t="shared" si="43"/>
        <v>372</v>
      </c>
      <c r="CN133" s="6"/>
      <c r="CO133" s="6"/>
      <c r="CP133" s="6"/>
      <c r="CQ133" s="6">
        <v>658</v>
      </c>
      <c r="CR133" s="6"/>
      <c r="CS133" s="6">
        <f t="shared" si="44"/>
        <v>384</v>
      </c>
      <c r="CT133" s="6">
        <v>1031</v>
      </c>
      <c r="CU133" s="6"/>
      <c r="CV133" s="6">
        <f t="shared" si="45"/>
        <v>373</v>
      </c>
      <c r="CW133" s="6">
        <v>1413</v>
      </c>
      <c r="CX133" s="6"/>
      <c r="CY133" s="6">
        <f t="shared" si="46"/>
        <v>382</v>
      </c>
      <c r="CZ133" s="6">
        <v>233</v>
      </c>
      <c r="DA133" s="6">
        <v>1560</v>
      </c>
      <c r="DB133" s="6">
        <f t="shared" si="47"/>
        <v>380</v>
      </c>
      <c r="DC133" s="6">
        <v>615</v>
      </c>
      <c r="DD133" s="6"/>
      <c r="DE133" s="6">
        <f t="shared" si="48"/>
        <v>382</v>
      </c>
      <c r="DF133" s="6">
        <v>151</v>
      </c>
      <c r="DG133" s="6">
        <v>825</v>
      </c>
      <c r="DH133" s="6">
        <f t="shared" si="49"/>
        <v>361</v>
      </c>
      <c r="DI133" s="6"/>
      <c r="DJ133" s="6"/>
      <c r="DK133" s="6"/>
      <c r="DL133" s="6">
        <v>537</v>
      </c>
      <c r="DM133" s="6"/>
      <c r="DN133" s="6">
        <f t="shared" si="50"/>
        <v>386</v>
      </c>
      <c r="DO133" s="6">
        <v>899</v>
      </c>
      <c r="DP133" s="6"/>
      <c r="DQ133" s="6">
        <f t="shared" si="51"/>
        <v>362</v>
      </c>
    </row>
    <row r="134" spans="1:121">
      <c r="A134" s="6">
        <v>130</v>
      </c>
      <c r="B134" s="6">
        <v>1322</v>
      </c>
      <c r="C134" s="6"/>
      <c r="D134" s="6">
        <v>341</v>
      </c>
      <c r="E134" s="33" t="s">
        <v>37</v>
      </c>
      <c r="F134" s="33" t="s">
        <v>37</v>
      </c>
      <c r="G134" s="33" t="s">
        <v>37</v>
      </c>
      <c r="H134" s="33" t="s">
        <v>37</v>
      </c>
      <c r="I134" s="33" t="s">
        <v>37</v>
      </c>
      <c r="J134" s="33" t="s">
        <v>37</v>
      </c>
      <c r="K134" s="33" t="s">
        <v>37</v>
      </c>
      <c r="L134" s="33" t="s">
        <v>37</v>
      </c>
      <c r="M134" s="33" t="s">
        <v>37</v>
      </c>
      <c r="N134" s="33" t="s">
        <v>37</v>
      </c>
      <c r="O134" s="33" t="s">
        <v>37</v>
      </c>
      <c r="P134" s="33" t="s">
        <v>37</v>
      </c>
      <c r="Q134" s="33" t="s">
        <v>37</v>
      </c>
      <c r="R134" s="33" t="s">
        <v>37</v>
      </c>
      <c r="S134" s="33" t="s">
        <v>37</v>
      </c>
      <c r="T134" s="33" t="s">
        <v>37</v>
      </c>
      <c r="U134" s="148" t="s">
        <v>37</v>
      </c>
      <c r="V134" s="33" t="s">
        <v>37</v>
      </c>
      <c r="W134" s="33" t="s">
        <v>37</v>
      </c>
      <c r="X134" s="33" t="s">
        <v>37</v>
      </c>
      <c r="Y134" s="33" t="s">
        <v>37</v>
      </c>
      <c r="Z134" s="33" t="s">
        <v>37</v>
      </c>
      <c r="AA134" s="33" t="s">
        <v>37</v>
      </c>
      <c r="AB134" s="33" t="s">
        <v>37</v>
      </c>
      <c r="AC134" s="33" t="s">
        <v>37</v>
      </c>
      <c r="AD134" s="33" t="s">
        <v>37</v>
      </c>
      <c r="AE134" s="33" t="s">
        <v>37</v>
      </c>
      <c r="AF134" s="6">
        <v>150</v>
      </c>
      <c r="AG134" s="6">
        <v>1565</v>
      </c>
      <c r="AH134" s="35">
        <f t="shared" ref="AH134:AH197" si="52">AG134+AF134-B134</f>
        <v>393</v>
      </c>
      <c r="AI134" s="6">
        <v>521</v>
      </c>
      <c r="AJ134" s="6"/>
      <c r="AK134" s="35">
        <f t="shared" ref="AK134:AK197" si="53">AJ134+AI134-AF134</f>
        <v>371</v>
      </c>
      <c r="AL134" s="35">
        <v>902</v>
      </c>
      <c r="AM134" s="35"/>
      <c r="AN134" s="35">
        <f t="shared" ref="AN134:AN197" si="54">AM134+AL134-AI134</f>
        <v>381</v>
      </c>
      <c r="AO134" s="6">
        <v>1282</v>
      </c>
      <c r="AP134" s="6"/>
      <c r="AQ134" s="35">
        <f t="shared" ref="AQ134:AQ197" si="55">AP134+AO134-AL134</f>
        <v>380</v>
      </c>
      <c r="AR134" s="6">
        <v>310</v>
      </c>
      <c r="AS134" s="6">
        <v>1347</v>
      </c>
      <c r="AT134" s="34">
        <f t="shared" ref="AT134:AT197" si="56">AS134+AR134-AO134</f>
        <v>375</v>
      </c>
      <c r="AU134" s="35">
        <v>634</v>
      </c>
      <c r="AV134" s="35"/>
      <c r="AW134" s="35">
        <f t="shared" ref="AW134:AW197" si="57">AV134+AU134-AR134</f>
        <v>324</v>
      </c>
      <c r="AX134" s="6"/>
      <c r="AY134" s="6"/>
      <c r="AZ134" s="35"/>
      <c r="BA134" s="6">
        <v>1011</v>
      </c>
      <c r="BB134" s="6"/>
      <c r="BC134" s="35">
        <f t="shared" ref="BC134:BC197" si="58">BB134+BA134-AU134</f>
        <v>377</v>
      </c>
      <c r="BD134" s="6">
        <v>1381</v>
      </c>
      <c r="BE134" s="6"/>
      <c r="BF134" s="35">
        <f t="shared" ref="BF134:BF197" si="59">BE134+BD134-BA134</f>
        <v>370</v>
      </c>
      <c r="BG134" s="6">
        <v>322</v>
      </c>
      <c r="BH134" s="6">
        <v>1433</v>
      </c>
      <c r="BI134" s="35">
        <f t="shared" ref="BI134:BI197" si="60">BH134+BG134-BD134</f>
        <v>374</v>
      </c>
      <c r="BJ134" s="6">
        <v>697</v>
      </c>
      <c r="BK134" s="6"/>
      <c r="BL134" s="35">
        <f t="shared" ref="BL134:BL197" si="61">BK134+BJ134-BG134</f>
        <v>375</v>
      </c>
      <c r="BM134" s="6">
        <v>125</v>
      </c>
      <c r="BN134" s="35">
        <v>908</v>
      </c>
      <c r="BO134" s="6">
        <f t="shared" ref="BO134:BO197" si="62">BN134+BM134-BJ134</f>
        <v>336</v>
      </c>
      <c r="BP134" s="6">
        <v>467</v>
      </c>
      <c r="BQ134" s="6"/>
      <c r="BR134" s="6">
        <f t="shared" ref="BR134:BR197" si="63">BQ134+BP134-BM134</f>
        <v>342</v>
      </c>
      <c r="BS134" s="6"/>
      <c r="BT134" s="6"/>
      <c r="BU134" s="35"/>
      <c r="BV134" s="6">
        <v>796</v>
      </c>
      <c r="BW134" s="6"/>
      <c r="BX134" s="6">
        <f t="shared" ref="BX134:BX197" si="64">BW134+BV134-BP134</f>
        <v>329</v>
      </c>
      <c r="BY134" s="6">
        <v>1149</v>
      </c>
      <c r="BZ134" s="6"/>
      <c r="CA134" s="35">
        <f t="shared" ref="CA134:CA197" si="65">BZ134+BY134-BV134</f>
        <v>353</v>
      </c>
      <c r="CB134" s="6">
        <v>0</v>
      </c>
      <c r="CC134" s="35">
        <v>1433</v>
      </c>
      <c r="CD134" s="6">
        <f t="shared" ref="CD134:CD196" si="66">CC134+CB134-BY134</f>
        <v>284</v>
      </c>
      <c r="CE134" s="6">
        <v>375</v>
      </c>
      <c r="CF134" s="6"/>
      <c r="CG134" s="6">
        <f t="shared" ref="CG134:CG196" si="67">CF134+CE134-CB134</f>
        <v>375</v>
      </c>
      <c r="CH134" s="6">
        <v>753</v>
      </c>
      <c r="CI134" s="35"/>
      <c r="CJ134" s="6">
        <f t="shared" ref="CJ134:CJ196" si="68">CI134+CH134-CE134</f>
        <v>378</v>
      </c>
      <c r="CK134" s="6">
        <f>107+1009</f>
        <v>1116</v>
      </c>
      <c r="CL134" s="6"/>
      <c r="CM134" s="6">
        <f t="shared" ref="CM134:CM196" si="69">CL134+CK134-CH134</f>
        <v>363</v>
      </c>
      <c r="CN134" s="6"/>
      <c r="CO134" s="6"/>
      <c r="CP134" s="6"/>
      <c r="CQ134" s="6">
        <f>493+1009</f>
        <v>1502</v>
      </c>
      <c r="CR134" s="6"/>
      <c r="CS134" s="6">
        <f t="shared" ref="CS134:CS195" si="70">CR134+CQ134-CK134</f>
        <v>386</v>
      </c>
      <c r="CT134" s="6">
        <v>317</v>
      </c>
      <c r="CU134" s="6">
        <v>1560</v>
      </c>
      <c r="CV134" s="6">
        <f t="shared" ref="CV134:CV197" si="71">CU134+CT134-CQ134</f>
        <v>375</v>
      </c>
      <c r="CW134" s="6">
        <v>698</v>
      </c>
      <c r="CX134" s="6"/>
      <c r="CY134" s="6">
        <f t="shared" ref="CY134:CY197" si="72">CX134+CW134-CT134</f>
        <v>381</v>
      </c>
      <c r="CZ134" s="6">
        <v>1076</v>
      </c>
      <c r="DA134" s="35"/>
      <c r="DB134" s="6">
        <f t="shared" ref="DB134:DB197" si="73">DA134+CZ134-CW134</f>
        <v>378</v>
      </c>
      <c r="DC134" s="6">
        <v>1455</v>
      </c>
      <c r="DD134" s="6"/>
      <c r="DE134" s="6">
        <f t="shared" ref="DE134:DE197" si="74">DD134+DC134-CZ134</f>
        <v>379</v>
      </c>
      <c r="DF134" s="6">
        <v>254</v>
      </c>
      <c r="DG134" s="6">
        <v>1563</v>
      </c>
      <c r="DH134" s="6">
        <f t="shared" ref="DH134:DH197" si="75">DG134+DF134-DC134</f>
        <v>362</v>
      </c>
      <c r="DI134" s="6"/>
      <c r="DJ134" s="6"/>
      <c r="DK134" s="6"/>
      <c r="DL134" s="6">
        <v>641</v>
      </c>
      <c r="DM134" s="6"/>
      <c r="DN134" s="6">
        <f t="shared" ref="DN134:DN197" si="76">DM134+DL134-DF134</f>
        <v>387</v>
      </c>
      <c r="DO134" s="6">
        <v>999</v>
      </c>
      <c r="DP134" s="6"/>
      <c r="DQ134" s="6">
        <f t="shared" ref="DQ134:DQ197" si="77">DP134+DO134-DL134</f>
        <v>358</v>
      </c>
    </row>
    <row r="135" spans="1:121">
      <c r="A135" s="6">
        <v>131</v>
      </c>
      <c r="B135" s="6">
        <v>1069</v>
      </c>
      <c r="C135" s="6"/>
      <c r="D135" s="6">
        <v>343</v>
      </c>
      <c r="E135" s="33" t="s">
        <v>307</v>
      </c>
      <c r="F135" s="33" t="s">
        <v>307</v>
      </c>
      <c r="G135" s="148" t="s">
        <v>37</v>
      </c>
      <c r="H135" s="33" t="s">
        <v>37</v>
      </c>
      <c r="I135" s="33" t="s">
        <v>37</v>
      </c>
      <c r="J135" s="33" t="s">
        <v>37</v>
      </c>
      <c r="K135" s="33" t="s">
        <v>37</v>
      </c>
      <c r="L135" s="33" t="s">
        <v>37</v>
      </c>
      <c r="M135" s="33" t="s">
        <v>37</v>
      </c>
      <c r="N135" s="33" t="s">
        <v>37</v>
      </c>
      <c r="O135" s="33" t="s">
        <v>37</v>
      </c>
      <c r="P135" s="33" t="s">
        <v>37</v>
      </c>
      <c r="Q135" s="33" t="s">
        <v>37</v>
      </c>
      <c r="R135" s="33" t="s">
        <v>37</v>
      </c>
      <c r="S135" s="33" t="s">
        <v>37</v>
      </c>
      <c r="T135" s="33" t="s">
        <v>37</v>
      </c>
      <c r="U135" s="33" t="s">
        <v>37</v>
      </c>
      <c r="V135" s="33" t="s">
        <v>37</v>
      </c>
      <c r="W135" s="33" t="s">
        <v>37</v>
      </c>
      <c r="X135" s="33" t="s">
        <v>37</v>
      </c>
      <c r="Y135" s="33" t="s">
        <v>37</v>
      </c>
      <c r="Z135" s="33" t="s">
        <v>37</v>
      </c>
      <c r="AA135" s="33" t="s">
        <v>37</v>
      </c>
      <c r="AB135" s="148" t="s">
        <v>37</v>
      </c>
      <c r="AC135" s="33" t="s">
        <v>37</v>
      </c>
      <c r="AD135" s="33" t="s">
        <v>37</v>
      </c>
      <c r="AE135" s="33" t="s">
        <v>37</v>
      </c>
      <c r="AF135" s="6">
        <v>1478</v>
      </c>
      <c r="AG135" s="6"/>
      <c r="AH135" s="35">
        <f t="shared" si="52"/>
        <v>409</v>
      </c>
      <c r="AI135" s="6">
        <v>338</v>
      </c>
      <c r="AJ135" s="6">
        <v>1482</v>
      </c>
      <c r="AK135" s="35">
        <f t="shared" si="53"/>
        <v>342</v>
      </c>
      <c r="AL135" s="35">
        <v>712</v>
      </c>
      <c r="AM135" s="35"/>
      <c r="AN135" s="35">
        <f t="shared" si="54"/>
        <v>374</v>
      </c>
      <c r="AO135" s="6">
        <v>238</v>
      </c>
      <c r="AP135" s="6">
        <v>838</v>
      </c>
      <c r="AQ135" s="35">
        <f t="shared" si="55"/>
        <v>364</v>
      </c>
      <c r="AR135" s="6">
        <v>631</v>
      </c>
      <c r="AS135" s="6"/>
      <c r="AT135" s="34">
        <f t="shared" si="56"/>
        <v>393</v>
      </c>
      <c r="AU135" s="35">
        <v>992</v>
      </c>
      <c r="AV135" s="35"/>
      <c r="AW135" s="35">
        <f t="shared" si="57"/>
        <v>361</v>
      </c>
      <c r="AX135" s="6"/>
      <c r="AY135" s="6"/>
      <c r="AZ135" s="35"/>
      <c r="BA135" s="6">
        <v>1388</v>
      </c>
      <c r="BB135" s="6"/>
      <c r="BC135" s="35">
        <f t="shared" si="58"/>
        <v>396</v>
      </c>
      <c r="BD135" s="35">
        <v>219</v>
      </c>
      <c r="BE135" s="35">
        <v>1560</v>
      </c>
      <c r="BF135" s="35">
        <f t="shared" si="59"/>
        <v>391</v>
      </c>
      <c r="BG135" s="35">
        <v>612</v>
      </c>
      <c r="BH135" s="6"/>
      <c r="BI135" s="35">
        <f t="shared" si="60"/>
        <v>393</v>
      </c>
      <c r="BJ135" s="6">
        <v>992</v>
      </c>
      <c r="BK135" s="6"/>
      <c r="BL135" s="35">
        <f t="shared" si="61"/>
        <v>380</v>
      </c>
      <c r="BM135" s="6">
        <v>1363</v>
      </c>
      <c r="BN135" s="6"/>
      <c r="BO135" s="6">
        <f t="shared" si="62"/>
        <v>371</v>
      </c>
      <c r="BP135" s="6">
        <v>169</v>
      </c>
      <c r="BQ135" s="6">
        <v>1560</v>
      </c>
      <c r="BR135" s="6">
        <f t="shared" si="63"/>
        <v>366</v>
      </c>
      <c r="BS135" s="6"/>
      <c r="BT135" s="6"/>
      <c r="BU135" s="35"/>
      <c r="BV135" s="6">
        <v>552</v>
      </c>
      <c r="BW135" s="6"/>
      <c r="BX135" s="6">
        <f t="shared" si="64"/>
        <v>383</v>
      </c>
      <c r="BY135" s="6">
        <v>926</v>
      </c>
      <c r="BZ135" s="6"/>
      <c r="CA135" s="35">
        <f t="shared" si="65"/>
        <v>374</v>
      </c>
      <c r="CB135" s="6">
        <v>1305</v>
      </c>
      <c r="CC135" s="6"/>
      <c r="CD135" s="6">
        <f t="shared" si="66"/>
        <v>379</v>
      </c>
      <c r="CE135" s="6">
        <v>127</v>
      </c>
      <c r="CF135" s="6">
        <v>1560</v>
      </c>
      <c r="CG135" s="6">
        <f t="shared" si="67"/>
        <v>382</v>
      </c>
      <c r="CH135" s="6">
        <v>37</v>
      </c>
      <c r="CI135" s="6">
        <v>459</v>
      </c>
      <c r="CJ135" s="6">
        <f t="shared" si="68"/>
        <v>369</v>
      </c>
      <c r="CK135" s="6">
        <v>396</v>
      </c>
      <c r="CL135" s="6"/>
      <c r="CM135" s="6">
        <f t="shared" si="69"/>
        <v>359</v>
      </c>
      <c r="CN135" s="6"/>
      <c r="CO135" s="6"/>
      <c r="CP135" s="6"/>
      <c r="CQ135" s="6">
        <v>765</v>
      </c>
      <c r="CR135" s="6"/>
      <c r="CS135" s="6">
        <f t="shared" si="70"/>
        <v>369</v>
      </c>
      <c r="CT135" s="6">
        <v>0</v>
      </c>
      <c r="CU135" s="6">
        <v>1089</v>
      </c>
      <c r="CV135" s="6">
        <f t="shared" si="71"/>
        <v>324</v>
      </c>
      <c r="CW135" s="6">
        <v>359</v>
      </c>
      <c r="CX135" s="6"/>
      <c r="CY135" s="6">
        <f t="shared" si="72"/>
        <v>359</v>
      </c>
      <c r="CZ135" s="6">
        <v>742</v>
      </c>
      <c r="DA135" s="6"/>
      <c r="DB135" s="6">
        <f t="shared" si="73"/>
        <v>383</v>
      </c>
      <c r="DC135" s="6">
        <v>323</v>
      </c>
      <c r="DD135" s="6">
        <v>789</v>
      </c>
      <c r="DE135" s="6">
        <f t="shared" si="74"/>
        <v>370</v>
      </c>
      <c r="DF135" s="6">
        <v>694</v>
      </c>
      <c r="DG135" s="6"/>
      <c r="DH135" s="6">
        <f t="shared" si="75"/>
        <v>371</v>
      </c>
      <c r="DI135" s="6"/>
      <c r="DJ135" s="6"/>
      <c r="DK135" s="6"/>
      <c r="DL135" s="6">
        <v>237</v>
      </c>
      <c r="DM135" s="6">
        <v>842</v>
      </c>
      <c r="DN135" s="6">
        <f t="shared" si="76"/>
        <v>385</v>
      </c>
      <c r="DO135" s="6">
        <v>597</v>
      </c>
      <c r="DP135" s="6"/>
      <c r="DQ135" s="6">
        <f t="shared" si="77"/>
        <v>360</v>
      </c>
    </row>
    <row r="136" spans="1:121">
      <c r="A136" s="6">
        <v>132</v>
      </c>
      <c r="B136" s="6">
        <v>178</v>
      </c>
      <c r="C136" s="6">
        <v>1560</v>
      </c>
      <c r="D136" s="6">
        <v>339</v>
      </c>
      <c r="E136" s="33" t="s">
        <v>307</v>
      </c>
      <c r="F136" s="33" t="s">
        <v>307</v>
      </c>
      <c r="G136" s="33" t="s">
        <v>307</v>
      </c>
      <c r="H136" s="33" t="s">
        <v>307</v>
      </c>
      <c r="I136" s="33" t="s">
        <v>307</v>
      </c>
      <c r="J136" s="33" t="s">
        <v>307</v>
      </c>
      <c r="K136" s="33" t="s">
        <v>307</v>
      </c>
      <c r="L136" s="33" t="s">
        <v>307</v>
      </c>
      <c r="M136" s="33" t="s">
        <v>307</v>
      </c>
      <c r="N136" s="33" t="s">
        <v>307</v>
      </c>
      <c r="O136" s="33" t="s">
        <v>307</v>
      </c>
      <c r="P136" s="33" t="s">
        <v>307</v>
      </c>
      <c r="Q136" s="33" t="s">
        <v>307</v>
      </c>
      <c r="R136" s="33" t="s">
        <v>307</v>
      </c>
      <c r="S136" s="33" t="s">
        <v>307</v>
      </c>
      <c r="T136" s="33" t="s">
        <v>307</v>
      </c>
      <c r="U136" s="33" t="s">
        <v>307</v>
      </c>
      <c r="V136" s="33" t="s">
        <v>307</v>
      </c>
      <c r="W136" s="33" t="s">
        <v>307</v>
      </c>
      <c r="X136" s="33" t="s">
        <v>307</v>
      </c>
      <c r="Y136" s="33" t="s">
        <v>307</v>
      </c>
      <c r="Z136" s="148" t="s">
        <v>37</v>
      </c>
      <c r="AA136" s="33" t="s">
        <v>37</v>
      </c>
      <c r="AB136" s="33" t="s">
        <v>37</v>
      </c>
      <c r="AC136" s="33" t="s">
        <v>37</v>
      </c>
      <c r="AD136" s="33" t="s">
        <v>37</v>
      </c>
      <c r="AE136" s="33" t="s">
        <v>37</v>
      </c>
      <c r="AF136" s="35">
        <v>593</v>
      </c>
      <c r="AG136" s="35"/>
      <c r="AH136" s="35">
        <f t="shared" si="52"/>
        <v>415</v>
      </c>
      <c r="AI136" s="35">
        <v>973</v>
      </c>
      <c r="AJ136" s="35"/>
      <c r="AK136" s="35">
        <f t="shared" si="53"/>
        <v>380</v>
      </c>
      <c r="AL136" s="35">
        <v>1360</v>
      </c>
      <c r="AM136" s="35"/>
      <c r="AN136" s="35">
        <f t="shared" si="54"/>
        <v>387</v>
      </c>
      <c r="AO136" s="35">
        <v>183</v>
      </c>
      <c r="AP136" s="35">
        <v>1560</v>
      </c>
      <c r="AQ136" s="35">
        <f t="shared" si="55"/>
        <v>383</v>
      </c>
      <c r="AR136" s="6">
        <v>571</v>
      </c>
      <c r="AS136" s="35"/>
      <c r="AT136" s="34">
        <f t="shared" si="56"/>
        <v>388</v>
      </c>
      <c r="AU136" s="35">
        <v>929</v>
      </c>
      <c r="AV136" s="35"/>
      <c r="AW136" s="35">
        <f t="shared" si="57"/>
        <v>358</v>
      </c>
      <c r="AX136" s="6"/>
      <c r="AY136" s="6"/>
      <c r="AZ136" s="35"/>
      <c r="BA136" s="6">
        <v>1311</v>
      </c>
      <c r="BB136" s="6"/>
      <c r="BC136" s="35">
        <f t="shared" si="58"/>
        <v>382</v>
      </c>
      <c r="BD136" s="6">
        <v>125</v>
      </c>
      <c r="BE136" s="6">
        <v>1560</v>
      </c>
      <c r="BF136" s="35">
        <f t="shared" si="59"/>
        <v>374</v>
      </c>
      <c r="BG136" s="6">
        <v>512</v>
      </c>
      <c r="BH136" s="6"/>
      <c r="BI136" s="35">
        <f t="shared" si="60"/>
        <v>387</v>
      </c>
      <c r="BJ136" s="6">
        <v>896</v>
      </c>
      <c r="BK136" s="6"/>
      <c r="BL136" s="35">
        <f t="shared" si="61"/>
        <v>384</v>
      </c>
      <c r="BM136" s="6">
        <v>1277</v>
      </c>
      <c r="BN136" s="35"/>
      <c r="BO136" s="6">
        <f t="shared" si="62"/>
        <v>381</v>
      </c>
      <c r="BP136" s="6">
        <v>1647</v>
      </c>
      <c r="BQ136" s="6"/>
      <c r="BR136" s="6">
        <f t="shared" si="63"/>
        <v>370</v>
      </c>
      <c r="BS136" s="6"/>
      <c r="BT136" s="6"/>
      <c r="BU136" s="35"/>
      <c r="BV136" s="6">
        <v>0</v>
      </c>
      <c r="BW136" s="6">
        <v>1820</v>
      </c>
      <c r="BX136" s="6">
        <f t="shared" si="64"/>
        <v>173</v>
      </c>
      <c r="BY136" s="6">
        <v>0</v>
      </c>
      <c r="BZ136" s="6"/>
      <c r="CA136" s="35">
        <f t="shared" si="65"/>
        <v>0</v>
      </c>
      <c r="CB136" s="6">
        <v>0</v>
      </c>
      <c r="CC136" s="35"/>
      <c r="CD136" s="6">
        <f t="shared" si="66"/>
        <v>0</v>
      </c>
      <c r="CE136" s="6">
        <v>0</v>
      </c>
      <c r="CF136" s="6"/>
      <c r="CG136" s="6">
        <f t="shared" si="67"/>
        <v>0</v>
      </c>
      <c r="CH136" s="6">
        <v>0</v>
      </c>
      <c r="CI136" s="35"/>
      <c r="CJ136" s="6">
        <f t="shared" si="68"/>
        <v>0</v>
      </c>
      <c r="CK136" s="6">
        <v>232</v>
      </c>
      <c r="CL136" s="6"/>
      <c r="CM136" s="6">
        <f t="shared" si="69"/>
        <v>232</v>
      </c>
      <c r="CN136" s="6"/>
      <c r="CO136" s="6"/>
      <c r="CP136" s="6"/>
      <c r="CQ136" s="6">
        <v>617</v>
      </c>
      <c r="CR136" s="6"/>
      <c r="CS136" s="6">
        <f t="shared" si="70"/>
        <v>385</v>
      </c>
      <c r="CT136" s="6">
        <v>996</v>
      </c>
      <c r="CU136" s="6"/>
      <c r="CV136" s="6">
        <f t="shared" si="71"/>
        <v>379</v>
      </c>
      <c r="CW136" s="6">
        <v>302</v>
      </c>
      <c r="CX136" s="6">
        <v>1074</v>
      </c>
      <c r="CY136" s="6">
        <f t="shared" si="72"/>
        <v>380</v>
      </c>
      <c r="CZ136" s="6">
        <v>697</v>
      </c>
      <c r="DA136" s="6"/>
      <c r="DB136" s="6">
        <f t="shared" si="73"/>
        <v>395</v>
      </c>
      <c r="DC136" s="6">
        <v>1081</v>
      </c>
      <c r="DD136" s="6"/>
      <c r="DE136" s="6">
        <f t="shared" si="74"/>
        <v>384</v>
      </c>
      <c r="DF136" s="6">
        <v>1457</v>
      </c>
      <c r="DG136" s="6"/>
      <c r="DH136" s="6">
        <f t="shared" si="75"/>
        <v>376</v>
      </c>
      <c r="DI136" s="6"/>
      <c r="DJ136" s="6"/>
      <c r="DK136" s="6"/>
      <c r="DL136" s="6">
        <v>281</v>
      </c>
      <c r="DM136" s="6">
        <v>1561</v>
      </c>
      <c r="DN136" s="6">
        <f t="shared" si="76"/>
        <v>385</v>
      </c>
      <c r="DO136" s="6">
        <v>641</v>
      </c>
      <c r="DP136" s="6"/>
      <c r="DQ136" s="6">
        <f t="shared" si="77"/>
        <v>360</v>
      </c>
    </row>
    <row r="137" spans="1:121">
      <c r="A137" s="6">
        <v>133</v>
      </c>
      <c r="B137" s="6">
        <v>948</v>
      </c>
      <c r="C137" s="6"/>
      <c r="D137" s="6">
        <v>344</v>
      </c>
      <c r="E137" s="33" t="s">
        <v>307</v>
      </c>
      <c r="F137" s="33" t="s">
        <v>307</v>
      </c>
      <c r="G137" s="33" t="s">
        <v>307</v>
      </c>
      <c r="H137" s="33" t="s">
        <v>307</v>
      </c>
      <c r="I137" s="33" t="s">
        <v>307</v>
      </c>
      <c r="J137" s="33" t="s">
        <v>307</v>
      </c>
      <c r="K137" s="33" t="s">
        <v>307</v>
      </c>
      <c r="L137" s="33" t="s">
        <v>307</v>
      </c>
      <c r="M137" s="33" t="s">
        <v>307</v>
      </c>
      <c r="N137" s="33" t="s">
        <v>307</v>
      </c>
      <c r="O137" s="33" t="s">
        <v>307</v>
      </c>
      <c r="P137" s="148" t="s">
        <v>37</v>
      </c>
      <c r="Q137" s="33" t="s">
        <v>37</v>
      </c>
      <c r="R137" s="33" t="s">
        <v>37</v>
      </c>
      <c r="S137" s="33" t="s">
        <v>37</v>
      </c>
      <c r="T137" s="33" t="s">
        <v>37</v>
      </c>
      <c r="U137" s="33" t="s">
        <v>37</v>
      </c>
      <c r="V137" s="33" t="s">
        <v>37</v>
      </c>
      <c r="W137" s="33" t="s">
        <v>37</v>
      </c>
      <c r="X137" s="33" t="s">
        <v>37</v>
      </c>
      <c r="Y137" s="33" t="s">
        <v>37</v>
      </c>
      <c r="Z137" s="33" t="s">
        <v>37</v>
      </c>
      <c r="AA137" s="33" t="s">
        <v>37</v>
      </c>
      <c r="AB137" s="33" t="s">
        <v>37</v>
      </c>
      <c r="AC137" s="148" t="s">
        <v>37</v>
      </c>
      <c r="AD137" s="33" t="s">
        <v>37</v>
      </c>
      <c r="AE137" s="33" t="s">
        <v>37</v>
      </c>
      <c r="AF137" s="6">
        <v>1373</v>
      </c>
      <c r="AG137" s="6"/>
      <c r="AH137" s="35">
        <f t="shared" si="52"/>
        <v>425</v>
      </c>
      <c r="AI137" s="6">
        <v>194</v>
      </c>
      <c r="AJ137" s="6">
        <v>1560</v>
      </c>
      <c r="AK137" s="35">
        <f t="shared" si="53"/>
        <v>381</v>
      </c>
      <c r="AL137" s="35">
        <v>584</v>
      </c>
      <c r="AM137" s="35"/>
      <c r="AN137" s="35">
        <f t="shared" si="54"/>
        <v>390</v>
      </c>
      <c r="AO137" s="6">
        <v>26</v>
      </c>
      <c r="AP137" s="6">
        <v>953</v>
      </c>
      <c r="AQ137" s="35">
        <f t="shared" si="55"/>
        <v>395</v>
      </c>
      <c r="AR137" s="6">
        <v>419</v>
      </c>
      <c r="AS137" s="6"/>
      <c r="AT137" s="34">
        <f t="shared" si="56"/>
        <v>393</v>
      </c>
      <c r="AU137" s="35">
        <v>785</v>
      </c>
      <c r="AV137" s="35"/>
      <c r="AW137" s="35">
        <f t="shared" si="57"/>
        <v>366</v>
      </c>
      <c r="AX137" s="6"/>
      <c r="AY137" s="6"/>
      <c r="AZ137" s="35"/>
      <c r="BA137" s="6">
        <v>17</v>
      </c>
      <c r="BB137" s="6">
        <v>1029</v>
      </c>
      <c r="BC137" s="35">
        <f t="shared" si="58"/>
        <v>261</v>
      </c>
      <c r="BD137" s="6">
        <v>407</v>
      </c>
      <c r="BE137" s="6"/>
      <c r="BF137" s="35">
        <f t="shared" si="59"/>
        <v>390</v>
      </c>
      <c r="BG137" s="6">
        <v>797</v>
      </c>
      <c r="BH137" s="6"/>
      <c r="BI137" s="35">
        <f t="shared" si="60"/>
        <v>390</v>
      </c>
      <c r="BJ137" s="6">
        <v>1163</v>
      </c>
      <c r="BK137" s="6"/>
      <c r="BL137" s="35">
        <f t="shared" si="61"/>
        <v>366</v>
      </c>
      <c r="BM137" s="6">
        <v>305</v>
      </c>
      <c r="BN137" s="35">
        <v>1219</v>
      </c>
      <c r="BO137" s="6">
        <f t="shared" si="62"/>
        <v>361</v>
      </c>
      <c r="BP137" s="6">
        <v>667</v>
      </c>
      <c r="BQ137" s="6"/>
      <c r="BR137" s="6">
        <f t="shared" si="63"/>
        <v>362</v>
      </c>
      <c r="BS137" s="6"/>
      <c r="BT137" s="6"/>
      <c r="BU137" s="35"/>
      <c r="BV137" s="6">
        <v>1052</v>
      </c>
      <c r="BW137" s="6"/>
      <c r="BX137" s="6">
        <f t="shared" si="64"/>
        <v>385</v>
      </c>
      <c r="BY137" s="6">
        <v>1429</v>
      </c>
      <c r="BZ137" s="6"/>
      <c r="CA137" s="35">
        <f t="shared" si="65"/>
        <v>377</v>
      </c>
      <c r="CB137" s="6">
        <v>257</v>
      </c>
      <c r="CC137" s="35">
        <v>1560</v>
      </c>
      <c r="CD137" s="6">
        <f t="shared" si="66"/>
        <v>388</v>
      </c>
      <c r="CE137" s="6">
        <v>649</v>
      </c>
      <c r="CF137" s="6"/>
      <c r="CG137" s="6">
        <f t="shared" si="67"/>
        <v>392</v>
      </c>
      <c r="CH137" s="7">
        <v>1042</v>
      </c>
      <c r="CI137" s="35"/>
      <c r="CJ137" s="6">
        <f t="shared" si="68"/>
        <v>393</v>
      </c>
      <c r="CK137" s="6">
        <v>1417</v>
      </c>
      <c r="CL137" s="6"/>
      <c r="CM137" s="6">
        <f t="shared" si="69"/>
        <v>375</v>
      </c>
      <c r="CN137" s="6"/>
      <c r="CO137" s="6"/>
      <c r="CP137" s="6"/>
      <c r="CQ137" s="6">
        <v>244</v>
      </c>
      <c r="CR137" s="6">
        <v>1560</v>
      </c>
      <c r="CS137" s="6">
        <f t="shared" si="70"/>
        <v>387</v>
      </c>
      <c r="CT137" s="35">
        <v>621</v>
      </c>
      <c r="CU137" s="6"/>
      <c r="CV137" s="6">
        <f t="shared" si="71"/>
        <v>377</v>
      </c>
      <c r="CW137" s="6">
        <v>21</v>
      </c>
      <c r="CX137" s="6">
        <v>976</v>
      </c>
      <c r="CY137" s="6">
        <f t="shared" si="72"/>
        <v>376</v>
      </c>
      <c r="CZ137" s="6">
        <v>401</v>
      </c>
      <c r="DA137" s="6"/>
      <c r="DB137" s="6">
        <f t="shared" si="73"/>
        <v>380</v>
      </c>
      <c r="DC137" s="6">
        <v>763</v>
      </c>
      <c r="DD137" s="6"/>
      <c r="DE137" s="6">
        <f t="shared" si="74"/>
        <v>362</v>
      </c>
      <c r="DF137" s="6">
        <v>272</v>
      </c>
      <c r="DG137" s="6">
        <v>839</v>
      </c>
      <c r="DH137" s="6">
        <f t="shared" si="75"/>
        <v>348</v>
      </c>
      <c r="DI137" s="6"/>
      <c r="DJ137" s="6"/>
      <c r="DK137" s="6"/>
      <c r="DL137" s="6">
        <v>661</v>
      </c>
      <c r="DM137" s="6"/>
      <c r="DN137" s="6">
        <f t="shared" si="76"/>
        <v>389</v>
      </c>
      <c r="DO137" s="6">
        <v>1021</v>
      </c>
      <c r="DP137" s="6"/>
      <c r="DQ137" s="6">
        <f t="shared" si="77"/>
        <v>360</v>
      </c>
    </row>
    <row r="138" spans="1:121" ht="15.75" customHeight="1">
      <c r="A138" s="6">
        <v>134</v>
      </c>
      <c r="B138" s="6">
        <v>1528</v>
      </c>
      <c r="C138" s="6"/>
      <c r="D138" s="6">
        <v>340</v>
      </c>
      <c r="E138" s="33" t="s">
        <v>37</v>
      </c>
      <c r="F138" s="33" t="s">
        <v>37</v>
      </c>
      <c r="G138" s="33" t="s">
        <v>37</v>
      </c>
      <c r="H138" s="33" t="s">
        <v>37</v>
      </c>
      <c r="I138" s="33" t="s">
        <v>37</v>
      </c>
      <c r="J138" s="148" t="s">
        <v>37</v>
      </c>
      <c r="K138" s="33" t="s">
        <v>37</v>
      </c>
      <c r="L138" s="33" t="s">
        <v>37</v>
      </c>
      <c r="M138" s="33" t="s">
        <v>37</v>
      </c>
      <c r="N138" s="33" t="s">
        <v>37</v>
      </c>
      <c r="O138" s="33" t="s">
        <v>37</v>
      </c>
      <c r="P138" s="33" t="s">
        <v>37</v>
      </c>
      <c r="Q138" s="33" t="s">
        <v>37</v>
      </c>
      <c r="R138" s="33" t="s">
        <v>37</v>
      </c>
      <c r="S138" s="33" t="s">
        <v>37</v>
      </c>
      <c r="T138" s="33" t="s">
        <v>37</v>
      </c>
      <c r="U138" s="33" t="s">
        <v>37</v>
      </c>
      <c r="V138" s="33" t="s">
        <v>37</v>
      </c>
      <c r="W138" s="33" t="s">
        <v>37</v>
      </c>
      <c r="X138" s="33" t="s">
        <v>37</v>
      </c>
      <c r="Y138" s="33" t="s">
        <v>37</v>
      </c>
      <c r="Z138" s="33" t="s">
        <v>37</v>
      </c>
      <c r="AA138" s="33" t="s">
        <v>37</v>
      </c>
      <c r="AB138" s="33" t="s">
        <v>37</v>
      </c>
      <c r="AC138" s="33" t="s">
        <v>37</v>
      </c>
      <c r="AD138" s="33" t="s">
        <v>37</v>
      </c>
      <c r="AE138" s="148" t="s">
        <v>37</v>
      </c>
      <c r="AF138" s="6">
        <v>374</v>
      </c>
      <c r="AG138" s="6">
        <v>1560</v>
      </c>
      <c r="AH138" s="35">
        <f t="shared" si="52"/>
        <v>406</v>
      </c>
      <c r="AI138" s="6">
        <v>745</v>
      </c>
      <c r="AJ138" s="6"/>
      <c r="AK138" s="35">
        <f t="shared" si="53"/>
        <v>371</v>
      </c>
      <c r="AL138" s="35">
        <v>1126</v>
      </c>
      <c r="AM138" s="35"/>
      <c r="AN138" s="35">
        <f t="shared" si="54"/>
        <v>381</v>
      </c>
      <c r="AO138" s="6">
        <v>1488</v>
      </c>
      <c r="AP138" s="6"/>
      <c r="AQ138" s="35">
        <f t="shared" si="55"/>
        <v>362</v>
      </c>
      <c r="AR138" s="6">
        <v>269</v>
      </c>
      <c r="AS138" s="6">
        <v>1589</v>
      </c>
      <c r="AT138" s="34">
        <f t="shared" si="56"/>
        <v>370</v>
      </c>
      <c r="AU138" s="35">
        <v>620</v>
      </c>
      <c r="AV138" s="35"/>
      <c r="AW138" s="35">
        <f t="shared" si="57"/>
        <v>351</v>
      </c>
      <c r="AX138" s="6"/>
      <c r="AY138" s="6"/>
      <c r="AZ138" s="35"/>
      <c r="BA138" s="6">
        <v>998</v>
      </c>
      <c r="BB138" s="6"/>
      <c r="BC138" s="35">
        <f t="shared" si="58"/>
        <v>378</v>
      </c>
      <c r="BD138" s="35">
        <v>1377</v>
      </c>
      <c r="BE138" s="35"/>
      <c r="BF138" s="35">
        <f t="shared" si="59"/>
        <v>379</v>
      </c>
      <c r="BG138" s="6">
        <v>197</v>
      </c>
      <c r="BH138" s="6">
        <v>1561</v>
      </c>
      <c r="BI138" s="35">
        <f t="shared" si="60"/>
        <v>381</v>
      </c>
      <c r="BJ138" s="6">
        <v>574</v>
      </c>
      <c r="BK138" s="6"/>
      <c r="BL138" s="35">
        <f t="shared" si="61"/>
        <v>377</v>
      </c>
      <c r="BM138" s="6">
        <v>946</v>
      </c>
      <c r="BN138" s="6"/>
      <c r="BO138" s="6">
        <f t="shared" si="62"/>
        <v>372</v>
      </c>
      <c r="BP138" s="6">
        <v>1313</v>
      </c>
      <c r="BQ138" s="6"/>
      <c r="BR138" s="6">
        <f t="shared" si="63"/>
        <v>367</v>
      </c>
      <c r="BS138" s="6"/>
      <c r="BT138" s="6"/>
      <c r="BU138" s="35"/>
      <c r="BV138" s="6">
        <v>130</v>
      </c>
      <c r="BW138" s="6">
        <v>1560</v>
      </c>
      <c r="BX138" s="6">
        <f t="shared" si="64"/>
        <v>377</v>
      </c>
      <c r="BY138" s="6">
        <v>506</v>
      </c>
      <c r="BZ138" s="6"/>
      <c r="CA138" s="35">
        <f t="shared" si="65"/>
        <v>376</v>
      </c>
      <c r="CB138" s="6">
        <v>889</v>
      </c>
      <c r="CC138" s="6"/>
      <c r="CD138" s="6">
        <f t="shared" si="66"/>
        <v>383</v>
      </c>
      <c r="CE138" s="6">
        <v>1271</v>
      </c>
      <c r="CF138" s="6"/>
      <c r="CG138" s="6">
        <f t="shared" si="67"/>
        <v>382</v>
      </c>
      <c r="CH138" s="7">
        <v>90</v>
      </c>
      <c r="CI138" s="6">
        <v>1560</v>
      </c>
      <c r="CJ138" s="6">
        <f t="shared" si="68"/>
        <v>379</v>
      </c>
      <c r="CK138" s="6">
        <v>462</v>
      </c>
      <c r="CL138" s="6"/>
      <c r="CM138" s="6">
        <f t="shared" si="69"/>
        <v>372</v>
      </c>
      <c r="CN138" s="6"/>
      <c r="CO138" s="6"/>
      <c r="CP138" s="6"/>
      <c r="CQ138" s="6">
        <v>844</v>
      </c>
      <c r="CR138" s="6"/>
      <c r="CS138" s="6">
        <f t="shared" si="70"/>
        <v>382</v>
      </c>
      <c r="CT138" s="6">
        <v>1208</v>
      </c>
      <c r="CU138" s="6"/>
      <c r="CV138" s="6">
        <f t="shared" si="71"/>
        <v>364</v>
      </c>
      <c r="CW138" s="6">
        <v>27</v>
      </c>
      <c r="CX138" s="6">
        <v>1562</v>
      </c>
      <c r="CY138" s="6">
        <f t="shared" si="72"/>
        <v>381</v>
      </c>
      <c r="CZ138" s="6">
        <v>403</v>
      </c>
      <c r="DA138" s="6"/>
      <c r="DB138" s="6">
        <f t="shared" si="73"/>
        <v>376</v>
      </c>
      <c r="DC138" s="6">
        <v>778</v>
      </c>
      <c r="DD138" s="6"/>
      <c r="DE138" s="6">
        <f t="shared" si="74"/>
        <v>375</v>
      </c>
      <c r="DF138" s="6">
        <v>1135</v>
      </c>
      <c r="DG138" s="6"/>
      <c r="DH138" s="6">
        <f t="shared" si="75"/>
        <v>357</v>
      </c>
      <c r="DI138" s="6"/>
      <c r="DJ138" s="6"/>
      <c r="DK138" s="6"/>
      <c r="DL138" s="6">
        <v>1512</v>
      </c>
      <c r="DM138" s="6"/>
      <c r="DN138" s="6">
        <f t="shared" si="76"/>
        <v>377</v>
      </c>
      <c r="DO138" s="6">
        <v>266</v>
      </c>
      <c r="DP138" s="6">
        <v>1594</v>
      </c>
      <c r="DQ138" s="6">
        <f t="shared" si="77"/>
        <v>348</v>
      </c>
    </row>
    <row r="139" spans="1:121">
      <c r="A139" s="6">
        <v>135</v>
      </c>
      <c r="B139" s="6">
        <v>712</v>
      </c>
      <c r="C139" s="6"/>
      <c r="D139" s="6">
        <v>343</v>
      </c>
      <c r="E139" s="33" t="s">
        <v>307</v>
      </c>
      <c r="F139" s="33" t="s">
        <v>307</v>
      </c>
      <c r="G139" s="33" t="s">
        <v>307</v>
      </c>
      <c r="H139" s="33" t="s">
        <v>307</v>
      </c>
      <c r="I139" s="33" t="s">
        <v>307</v>
      </c>
      <c r="J139" s="33" t="s">
        <v>307</v>
      </c>
      <c r="K139" s="33" t="s">
        <v>307</v>
      </c>
      <c r="L139" s="33" t="s">
        <v>307</v>
      </c>
      <c r="M139" s="33" t="s">
        <v>307</v>
      </c>
      <c r="N139" s="33" t="s">
        <v>307</v>
      </c>
      <c r="O139" s="33" t="s">
        <v>307</v>
      </c>
      <c r="P139" s="33" t="s">
        <v>307</v>
      </c>
      <c r="Q139" s="148" t="s">
        <v>307</v>
      </c>
      <c r="R139" s="33" t="s">
        <v>307</v>
      </c>
      <c r="S139" s="33" t="s">
        <v>307</v>
      </c>
      <c r="T139" s="33" t="s">
        <v>307</v>
      </c>
      <c r="U139" s="33" t="s">
        <v>307</v>
      </c>
      <c r="V139" s="33" t="s">
        <v>307</v>
      </c>
      <c r="W139" s="33" t="s">
        <v>307</v>
      </c>
      <c r="X139" s="33" t="s">
        <v>307</v>
      </c>
      <c r="Y139" s="33" t="s">
        <v>307</v>
      </c>
      <c r="Z139" s="33" t="s">
        <v>307</v>
      </c>
      <c r="AA139" s="33" t="s">
        <v>307</v>
      </c>
      <c r="AB139" s="33" t="s">
        <v>307</v>
      </c>
      <c r="AC139" s="33" t="s">
        <v>307</v>
      </c>
      <c r="AD139" s="33" t="s">
        <v>307</v>
      </c>
      <c r="AE139" s="33" t="s">
        <v>307</v>
      </c>
      <c r="AF139" s="35">
        <v>1128</v>
      </c>
      <c r="AG139" s="35"/>
      <c r="AH139" s="35">
        <f t="shared" si="52"/>
        <v>416</v>
      </c>
      <c r="AI139" s="35">
        <v>1504</v>
      </c>
      <c r="AJ139" s="35"/>
      <c r="AK139" s="35">
        <f t="shared" si="53"/>
        <v>376</v>
      </c>
      <c r="AL139" s="35">
        <v>331</v>
      </c>
      <c r="AM139" s="35">
        <v>1560</v>
      </c>
      <c r="AN139" s="35">
        <f t="shared" si="54"/>
        <v>387</v>
      </c>
      <c r="AO139" s="35">
        <v>719</v>
      </c>
      <c r="AP139" s="35"/>
      <c r="AQ139" s="35">
        <f t="shared" si="55"/>
        <v>388</v>
      </c>
      <c r="AR139" s="35">
        <v>1104</v>
      </c>
      <c r="AS139" s="35"/>
      <c r="AT139" s="34">
        <f t="shared" si="56"/>
        <v>385</v>
      </c>
      <c r="AU139" s="35">
        <v>1463</v>
      </c>
      <c r="AV139" s="35"/>
      <c r="AW139" s="35">
        <f t="shared" si="57"/>
        <v>359</v>
      </c>
      <c r="AX139" s="6"/>
      <c r="AY139" s="6"/>
      <c r="AZ139" s="35"/>
      <c r="BA139" s="6">
        <v>283</v>
      </c>
      <c r="BB139" s="6">
        <v>1565</v>
      </c>
      <c r="BC139" s="35">
        <f t="shared" si="58"/>
        <v>385</v>
      </c>
      <c r="BD139" s="6">
        <v>658</v>
      </c>
      <c r="BE139" s="6"/>
      <c r="BF139" s="35">
        <f t="shared" si="59"/>
        <v>375</v>
      </c>
      <c r="BG139" s="6">
        <v>1035</v>
      </c>
      <c r="BH139" s="6"/>
      <c r="BI139" s="35">
        <f t="shared" si="60"/>
        <v>377</v>
      </c>
      <c r="BJ139" s="6">
        <v>1423</v>
      </c>
      <c r="BK139" s="6"/>
      <c r="BL139" s="35">
        <f t="shared" si="61"/>
        <v>388</v>
      </c>
      <c r="BM139" s="35">
        <v>0</v>
      </c>
      <c r="BN139" s="35">
        <v>1623</v>
      </c>
      <c r="BO139" s="6">
        <f t="shared" si="62"/>
        <v>200</v>
      </c>
      <c r="BP139" s="6">
        <v>344</v>
      </c>
      <c r="BQ139" s="6"/>
      <c r="BR139" s="6">
        <f t="shared" si="63"/>
        <v>344</v>
      </c>
      <c r="BS139" s="6"/>
      <c r="BT139" s="6"/>
      <c r="BU139" s="35"/>
      <c r="BV139" s="6">
        <v>733</v>
      </c>
      <c r="BW139" s="6"/>
      <c r="BX139" s="6">
        <f t="shared" si="64"/>
        <v>389</v>
      </c>
      <c r="BY139" s="6">
        <v>1113</v>
      </c>
      <c r="BZ139" s="6"/>
      <c r="CA139" s="35">
        <f t="shared" si="65"/>
        <v>380</v>
      </c>
      <c r="CB139" s="6">
        <v>1506</v>
      </c>
      <c r="CC139" s="35"/>
      <c r="CD139" s="6">
        <f t="shared" si="66"/>
        <v>393</v>
      </c>
      <c r="CE139" s="6">
        <v>0</v>
      </c>
      <c r="CF139" s="6">
        <v>1822</v>
      </c>
      <c r="CG139" s="6">
        <f t="shared" si="67"/>
        <v>316</v>
      </c>
      <c r="CH139" s="7">
        <v>0</v>
      </c>
      <c r="CI139" s="35"/>
      <c r="CJ139" s="6">
        <f t="shared" si="68"/>
        <v>0</v>
      </c>
      <c r="CK139" s="6">
        <v>13</v>
      </c>
      <c r="CL139" s="6"/>
      <c r="CM139" s="6">
        <f t="shared" si="69"/>
        <v>13</v>
      </c>
      <c r="CN139" s="6"/>
      <c r="CO139" s="6"/>
      <c r="CP139" s="6"/>
      <c r="CQ139" s="6">
        <v>394</v>
      </c>
      <c r="CR139" s="6"/>
      <c r="CS139" s="6">
        <f t="shared" si="70"/>
        <v>381</v>
      </c>
      <c r="CT139" s="6">
        <v>779</v>
      </c>
      <c r="CU139" s="6"/>
      <c r="CV139" s="6">
        <f t="shared" si="71"/>
        <v>385</v>
      </c>
      <c r="CW139" s="6">
        <v>1164</v>
      </c>
      <c r="CX139" s="6"/>
      <c r="CY139" s="6">
        <f t="shared" si="72"/>
        <v>385</v>
      </c>
      <c r="CZ139" s="6">
        <v>1535</v>
      </c>
      <c r="DA139" s="6"/>
      <c r="DB139" s="6">
        <f t="shared" si="73"/>
        <v>371</v>
      </c>
      <c r="DC139" s="6">
        <v>359</v>
      </c>
      <c r="DD139" s="6">
        <v>1560</v>
      </c>
      <c r="DE139" s="6">
        <f t="shared" si="74"/>
        <v>384</v>
      </c>
      <c r="DF139" s="6">
        <v>726</v>
      </c>
      <c r="DG139" s="6"/>
      <c r="DH139" s="6">
        <f t="shared" si="75"/>
        <v>367</v>
      </c>
      <c r="DI139" s="6"/>
      <c r="DJ139" s="6"/>
      <c r="DK139" s="6"/>
      <c r="DL139" s="6">
        <v>1118</v>
      </c>
      <c r="DM139" s="6"/>
      <c r="DN139" s="6">
        <f t="shared" si="76"/>
        <v>392</v>
      </c>
      <c r="DO139" s="6">
        <v>1484</v>
      </c>
      <c r="DP139" s="6"/>
      <c r="DQ139" s="6">
        <f t="shared" si="77"/>
        <v>366</v>
      </c>
    </row>
    <row r="140" spans="1:121">
      <c r="A140" s="6">
        <v>136</v>
      </c>
      <c r="B140" s="6">
        <v>1544</v>
      </c>
      <c r="C140" s="6"/>
      <c r="D140" s="6">
        <v>350</v>
      </c>
      <c r="E140" s="33" t="s">
        <v>37</v>
      </c>
      <c r="F140" s="33" t="s">
        <v>37</v>
      </c>
      <c r="G140" s="33" t="s">
        <v>37</v>
      </c>
      <c r="H140" s="148" t="s">
        <v>37</v>
      </c>
      <c r="I140" s="33" t="s">
        <v>37</v>
      </c>
      <c r="J140" s="33" t="s">
        <v>37</v>
      </c>
      <c r="K140" s="33" t="s">
        <v>37</v>
      </c>
      <c r="L140" s="33" t="s">
        <v>37</v>
      </c>
      <c r="M140" s="33" t="s">
        <v>37</v>
      </c>
      <c r="N140" s="33" t="s">
        <v>37</v>
      </c>
      <c r="O140" s="33" t="s">
        <v>37</v>
      </c>
      <c r="P140" s="33" t="s">
        <v>37</v>
      </c>
      <c r="Q140" s="33" t="s">
        <v>37</v>
      </c>
      <c r="R140" s="33" t="s">
        <v>37</v>
      </c>
      <c r="S140" s="33" t="s">
        <v>37</v>
      </c>
      <c r="T140" s="33" t="s">
        <v>37</v>
      </c>
      <c r="U140" s="33" t="s">
        <v>37</v>
      </c>
      <c r="V140" s="33" t="s">
        <v>37</v>
      </c>
      <c r="W140" s="33" t="s">
        <v>37</v>
      </c>
      <c r="X140" s="33" t="s">
        <v>37</v>
      </c>
      <c r="Y140" s="33" t="s">
        <v>37</v>
      </c>
      <c r="Z140" s="33" t="s">
        <v>37</v>
      </c>
      <c r="AA140" s="33" t="s">
        <v>37</v>
      </c>
      <c r="AB140" s="33" t="s">
        <v>37</v>
      </c>
      <c r="AC140" s="148" t="s">
        <v>37</v>
      </c>
      <c r="AD140" s="33" t="s">
        <v>37</v>
      </c>
      <c r="AE140" s="33" t="s">
        <v>37</v>
      </c>
      <c r="AF140" s="6">
        <v>263</v>
      </c>
      <c r="AG140" s="6">
        <v>1688</v>
      </c>
      <c r="AH140" s="35">
        <f t="shared" si="52"/>
        <v>407</v>
      </c>
      <c r="AI140" s="6">
        <v>0</v>
      </c>
      <c r="AJ140" s="6">
        <v>528</v>
      </c>
      <c r="AK140" s="35">
        <f t="shared" si="53"/>
        <v>265</v>
      </c>
      <c r="AL140" s="35">
        <v>367</v>
      </c>
      <c r="AM140" s="35"/>
      <c r="AN140" s="35">
        <f t="shared" si="54"/>
        <v>367</v>
      </c>
      <c r="AO140" s="6">
        <v>746</v>
      </c>
      <c r="AP140" s="6"/>
      <c r="AQ140" s="35">
        <f t="shared" si="55"/>
        <v>379</v>
      </c>
      <c r="AR140" s="6">
        <v>1124</v>
      </c>
      <c r="AS140" s="6"/>
      <c r="AT140" s="34">
        <f t="shared" si="56"/>
        <v>378</v>
      </c>
      <c r="AU140" s="35">
        <v>1483</v>
      </c>
      <c r="AV140" s="35"/>
      <c r="AW140" s="35">
        <f t="shared" si="57"/>
        <v>359</v>
      </c>
      <c r="AX140" s="6"/>
      <c r="AY140" s="6"/>
      <c r="AZ140" s="35"/>
      <c r="BA140" s="6">
        <v>305</v>
      </c>
      <c r="BB140" s="6">
        <v>1560</v>
      </c>
      <c r="BC140" s="35">
        <f t="shared" si="58"/>
        <v>382</v>
      </c>
      <c r="BD140" s="35">
        <v>686</v>
      </c>
      <c r="BE140" s="35"/>
      <c r="BF140" s="35">
        <f t="shared" si="59"/>
        <v>381</v>
      </c>
      <c r="BG140" s="6">
        <v>1058</v>
      </c>
      <c r="BH140" s="35"/>
      <c r="BI140" s="35">
        <f t="shared" si="60"/>
        <v>372</v>
      </c>
      <c r="BJ140" s="6">
        <v>294</v>
      </c>
      <c r="BK140" s="6">
        <v>1136</v>
      </c>
      <c r="BL140" s="35">
        <f t="shared" si="61"/>
        <v>372</v>
      </c>
      <c r="BM140" s="35">
        <v>675</v>
      </c>
      <c r="BN140" s="6"/>
      <c r="BO140" s="6">
        <f t="shared" si="62"/>
        <v>381</v>
      </c>
      <c r="BP140" s="6">
        <v>1037</v>
      </c>
      <c r="BQ140" s="6"/>
      <c r="BR140" s="6">
        <f t="shared" si="63"/>
        <v>362</v>
      </c>
      <c r="BS140" s="6"/>
      <c r="BT140" s="6"/>
      <c r="BU140" s="35"/>
      <c r="BV140" s="6">
        <v>1416</v>
      </c>
      <c r="BW140" s="6"/>
      <c r="BX140" s="6">
        <f t="shared" si="64"/>
        <v>379</v>
      </c>
      <c r="BY140" s="6">
        <v>231</v>
      </c>
      <c r="BZ140" s="6">
        <v>1560</v>
      </c>
      <c r="CA140" s="35">
        <f t="shared" si="65"/>
        <v>375</v>
      </c>
      <c r="CB140" s="35">
        <v>613</v>
      </c>
      <c r="CC140" s="6"/>
      <c r="CD140" s="6">
        <f t="shared" si="66"/>
        <v>382</v>
      </c>
      <c r="CE140" s="6">
        <v>241</v>
      </c>
      <c r="CF140" s="6">
        <v>743</v>
      </c>
      <c r="CG140" s="6">
        <f t="shared" si="67"/>
        <v>371</v>
      </c>
      <c r="CH140" s="7">
        <v>624</v>
      </c>
      <c r="CI140" s="6"/>
      <c r="CJ140" s="6">
        <f t="shared" si="68"/>
        <v>383</v>
      </c>
      <c r="CK140" s="6">
        <v>998</v>
      </c>
      <c r="CL140" s="6"/>
      <c r="CM140" s="6">
        <f t="shared" si="69"/>
        <v>374</v>
      </c>
      <c r="CN140" s="6"/>
      <c r="CO140" s="6"/>
      <c r="CP140" s="6"/>
      <c r="CQ140" s="6">
        <v>1384</v>
      </c>
      <c r="CR140" s="6"/>
      <c r="CS140" s="6">
        <f t="shared" si="70"/>
        <v>386</v>
      </c>
      <c r="CT140" s="6">
        <v>203</v>
      </c>
      <c r="CU140" s="6">
        <v>1560</v>
      </c>
      <c r="CV140" s="6">
        <f t="shared" si="71"/>
        <v>379</v>
      </c>
      <c r="CW140" s="6">
        <v>577</v>
      </c>
      <c r="CX140" s="6"/>
      <c r="CY140" s="6">
        <f t="shared" si="72"/>
        <v>374</v>
      </c>
      <c r="CZ140" s="6">
        <v>955</v>
      </c>
      <c r="DA140" s="6"/>
      <c r="DB140" s="6">
        <f t="shared" si="73"/>
        <v>378</v>
      </c>
      <c r="DC140" s="6">
        <v>0</v>
      </c>
      <c r="DD140" s="35">
        <v>1292</v>
      </c>
      <c r="DE140" s="6">
        <f t="shared" si="74"/>
        <v>337</v>
      </c>
      <c r="DF140" s="6">
        <v>349</v>
      </c>
      <c r="DG140" s="6"/>
      <c r="DH140" s="6">
        <f t="shared" si="75"/>
        <v>349</v>
      </c>
      <c r="DI140" s="6"/>
      <c r="DJ140" s="6"/>
      <c r="DK140" s="6"/>
      <c r="DL140" s="6">
        <v>238</v>
      </c>
      <c r="DM140" s="6">
        <v>491</v>
      </c>
      <c r="DN140" s="6">
        <f t="shared" si="76"/>
        <v>380</v>
      </c>
      <c r="DO140" s="6">
        <v>601</v>
      </c>
      <c r="DP140" s="6"/>
      <c r="DQ140" s="6">
        <f t="shared" si="77"/>
        <v>363</v>
      </c>
    </row>
    <row r="141" spans="1:121">
      <c r="A141" s="6">
        <v>137</v>
      </c>
      <c r="B141" s="6">
        <v>702</v>
      </c>
      <c r="C141" s="6"/>
      <c r="D141" s="6">
        <v>344</v>
      </c>
      <c r="E141" s="33" t="s">
        <v>37</v>
      </c>
      <c r="F141" s="33" t="s">
        <v>37</v>
      </c>
      <c r="G141" s="33" t="s">
        <v>37</v>
      </c>
      <c r="H141" s="33" t="s">
        <v>37</v>
      </c>
      <c r="I141" s="33" t="s">
        <v>37</v>
      </c>
      <c r="J141" s="33" t="s">
        <v>37</v>
      </c>
      <c r="K141" s="33" t="s">
        <v>37</v>
      </c>
      <c r="L141" s="33" t="s">
        <v>37</v>
      </c>
      <c r="M141" s="33" t="s">
        <v>37</v>
      </c>
      <c r="N141" s="33" t="s">
        <v>37</v>
      </c>
      <c r="O141" s="33" t="s">
        <v>37</v>
      </c>
      <c r="P141" s="33" t="s">
        <v>37</v>
      </c>
      <c r="Q141" s="33" t="s">
        <v>37</v>
      </c>
      <c r="R141" s="33" t="s">
        <v>37</v>
      </c>
      <c r="S141" s="33" t="s">
        <v>37</v>
      </c>
      <c r="T141" s="33" t="s">
        <v>37</v>
      </c>
      <c r="U141" s="33" t="s">
        <v>37</v>
      </c>
      <c r="V141" s="33" t="s">
        <v>37</v>
      </c>
      <c r="W141" s="33" t="s">
        <v>37</v>
      </c>
      <c r="X141" s="33" t="s">
        <v>37</v>
      </c>
      <c r="Y141" s="148" t="s">
        <v>37</v>
      </c>
      <c r="Z141" s="33" t="s">
        <v>37</v>
      </c>
      <c r="AA141" s="33" t="s">
        <v>37</v>
      </c>
      <c r="AB141" s="33" t="s">
        <v>37</v>
      </c>
      <c r="AC141" s="33" t="s">
        <v>37</v>
      </c>
      <c r="AD141" s="33" t="s">
        <v>37</v>
      </c>
      <c r="AE141" s="33" t="s">
        <v>37</v>
      </c>
      <c r="AF141" s="6">
        <v>1106</v>
      </c>
      <c r="AG141" s="6"/>
      <c r="AH141" s="35">
        <f t="shared" si="52"/>
        <v>404</v>
      </c>
      <c r="AI141" s="6">
        <v>1482</v>
      </c>
      <c r="AJ141" s="6"/>
      <c r="AK141" s="35">
        <f t="shared" si="53"/>
        <v>376</v>
      </c>
      <c r="AL141" s="35">
        <v>302</v>
      </c>
      <c r="AM141" s="35">
        <v>1560</v>
      </c>
      <c r="AN141" s="35">
        <f t="shared" si="54"/>
        <v>380</v>
      </c>
      <c r="AO141" s="6">
        <v>686</v>
      </c>
      <c r="AP141" s="35"/>
      <c r="AQ141" s="35">
        <f t="shared" si="55"/>
        <v>384</v>
      </c>
      <c r="AR141" s="6">
        <v>1067</v>
      </c>
      <c r="AS141" s="6"/>
      <c r="AT141" s="34">
        <f t="shared" si="56"/>
        <v>381</v>
      </c>
      <c r="AU141" s="35">
        <v>1410</v>
      </c>
      <c r="AV141" s="35"/>
      <c r="AW141" s="35">
        <f t="shared" si="57"/>
        <v>343</v>
      </c>
      <c r="AX141" s="6"/>
      <c r="AY141" s="6"/>
      <c r="AZ141" s="35"/>
      <c r="BA141" s="6">
        <v>235</v>
      </c>
      <c r="BB141" s="6">
        <v>1560</v>
      </c>
      <c r="BC141" s="35">
        <f t="shared" si="58"/>
        <v>385</v>
      </c>
      <c r="BD141" s="35">
        <v>614</v>
      </c>
      <c r="BE141" s="35"/>
      <c r="BF141" s="35">
        <f t="shared" si="59"/>
        <v>379</v>
      </c>
      <c r="BG141" s="6">
        <v>997</v>
      </c>
      <c r="BH141" s="35"/>
      <c r="BI141" s="35">
        <f t="shared" si="60"/>
        <v>383</v>
      </c>
      <c r="BJ141" s="6">
        <v>1379</v>
      </c>
      <c r="BK141" s="6"/>
      <c r="BL141" s="35">
        <f t="shared" si="61"/>
        <v>382</v>
      </c>
      <c r="BM141" s="6">
        <v>195</v>
      </c>
      <c r="BN141" s="6">
        <v>1560</v>
      </c>
      <c r="BO141" s="6">
        <f t="shared" si="62"/>
        <v>376</v>
      </c>
      <c r="BP141" s="6">
        <v>561</v>
      </c>
      <c r="BQ141" s="6"/>
      <c r="BR141" s="6">
        <f t="shared" si="63"/>
        <v>366</v>
      </c>
      <c r="BS141" s="6"/>
      <c r="BT141" s="6"/>
      <c r="BU141" s="35"/>
      <c r="BV141" s="6">
        <v>946</v>
      </c>
      <c r="BW141" s="6"/>
      <c r="BX141" s="6">
        <f t="shared" si="64"/>
        <v>385</v>
      </c>
      <c r="BY141" s="6">
        <v>1326</v>
      </c>
      <c r="BZ141" s="6"/>
      <c r="CA141" s="35">
        <f t="shared" si="65"/>
        <v>380</v>
      </c>
      <c r="CB141" s="6">
        <v>142</v>
      </c>
      <c r="CC141" s="6">
        <v>1560</v>
      </c>
      <c r="CD141" s="6">
        <f t="shared" si="66"/>
        <v>376</v>
      </c>
      <c r="CE141" s="6">
        <v>521</v>
      </c>
      <c r="CF141" s="6"/>
      <c r="CG141" s="6">
        <f t="shared" si="67"/>
        <v>379</v>
      </c>
      <c r="CH141" s="7">
        <v>904</v>
      </c>
      <c r="CI141" s="6"/>
      <c r="CJ141" s="6">
        <f t="shared" si="68"/>
        <v>383</v>
      </c>
      <c r="CK141" s="6">
        <v>1279</v>
      </c>
      <c r="CL141" s="6"/>
      <c r="CM141" s="6">
        <f t="shared" si="69"/>
        <v>375</v>
      </c>
      <c r="CN141" s="6"/>
      <c r="CO141" s="6"/>
      <c r="CP141" s="6"/>
      <c r="CQ141" s="6">
        <v>0</v>
      </c>
      <c r="CR141" s="6">
        <v>1594</v>
      </c>
      <c r="CS141" s="6">
        <f t="shared" si="70"/>
        <v>315</v>
      </c>
      <c r="CT141" s="6">
        <v>356</v>
      </c>
      <c r="CU141" s="6"/>
      <c r="CV141" s="6">
        <f t="shared" si="71"/>
        <v>356</v>
      </c>
      <c r="CW141" s="6">
        <v>734</v>
      </c>
      <c r="CX141" s="6"/>
      <c r="CY141" s="6">
        <f t="shared" si="72"/>
        <v>378</v>
      </c>
      <c r="CZ141" s="6">
        <v>1114</v>
      </c>
      <c r="DA141" s="6"/>
      <c r="DB141" s="6">
        <f t="shared" si="73"/>
        <v>380</v>
      </c>
      <c r="DC141" s="6">
        <v>1488</v>
      </c>
      <c r="DD141" s="6"/>
      <c r="DE141" s="6">
        <f t="shared" si="74"/>
        <v>374</v>
      </c>
      <c r="DF141" s="6">
        <v>290</v>
      </c>
      <c r="DG141" s="6">
        <v>1560</v>
      </c>
      <c r="DH141" s="6">
        <f t="shared" si="75"/>
        <v>362</v>
      </c>
      <c r="DI141" s="6"/>
      <c r="DJ141" s="6"/>
      <c r="DK141" s="6"/>
      <c r="DL141" s="6">
        <v>679</v>
      </c>
      <c r="DM141" s="6"/>
      <c r="DN141" s="6">
        <f t="shared" si="76"/>
        <v>389</v>
      </c>
      <c r="DO141" s="6">
        <v>1034</v>
      </c>
      <c r="DP141" s="6"/>
      <c r="DQ141" s="6">
        <f t="shared" si="77"/>
        <v>355</v>
      </c>
    </row>
    <row r="142" spans="1:121">
      <c r="A142" s="6">
        <v>138</v>
      </c>
      <c r="B142" s="6">
        <v>809</v>
      </c>
      <c r="C142" s="6"/>
      <c r="D142" s="6">
        <v>329</v>
      </c>
      <c r="E142" s="33" t="s">
        <v>37</v>
      </c>
      <c r="F142" s="33" t="s">
        <v>37</v>
      </c>
      <c r="G142" s="33" t="s">
        <v>37</v>
      </c>
      <c r="H142" s="33" t="s">
        <v>37</v>
      </c>
      <c r="I142" s="33" t="s">
        <v>37</v>
      </c>
      <c r="J142" s="33" t="s">
        <v>37</v>
      </c>
      <c r="K142" s="33" t="s">
        <v>37</v>
      </c>
      <c r="L142" s="33" t="s">
        <v>37</v>
      </c>
      <c r="M142" s="33" t="s">
        <v>37</v>
      </c>
      <c r="N142" s="33" t="s">
        <v>37</v>
      </c>
      <c r="O142" s="33" t="s">
        <v>37</v>
      </c>
      <c r="P142" s="148" t="s">
        <v>37</v>
      </c>
      <c r="Q142" s="33" t="s">
        <v>37</v>
      </c>
      <c r="R142" s="33" t="s">
        <v>37</v>
      </c>
      <c r="S142" s="33" t="s">
        <v>37</v>
      </c>
      <c r="T142" s="33" t="s">
        <v>37</v>
      </c>
      <c r="U142" s="33" t="s">
        <v>37</v>
      </c>
      <c r="V142" s="33" t="s">
        <v>37</v>
      </c>
      <c r="W142" s="33" t="s">
        <v>37</v>
      </c>
      <c r="X142" s="33" t="s">
        <v>37</v>
      </c>
      <c r="Y142" s="33" t="s">
        <v>37</v>
      </c>
      <c r="Z142" s="33" t="s">
        <v>37</v>
      </c>
      <c r="AA142" s="33" t="s">
        <v>37</v>
      </c>
      <c r="AB142" s="33" t="s">
        <v>37</v>
      </c>
      <c r="AC142" s="33" t="s">
        <v>37</v>
      </c>
      <c r="AD142" s="33" t="s">
        <v>37</v>
      </c>
      <c r="AE142" s="33" t="s">
        <v>37</v>
      </c>
      <c r="AF142" s="6">
        <v>1198</v>
      </c>
      <c r="AG142" s="6"/>
      <c r="AH142" s="35">
        <f t="shared" si="52"/>
        <v>389</v>
      </c>
      <c r="AI142" s="6">
        <v>14</v>
      </c>
      <c r="AJ142" s="6">
        <v>1560</v>
      </c>
      <c r="AK142" s="35">
        <f t="shared" si="53"/>
        <v>376</v>
      </c>
      <c r="AL142" s="35">
        <v>390</v>
      </c>
      <c r="AM142" s="35"/>
      <c r="AN142" s="35">
        <f t="shared" si="54"/>
        <v>376</v>
      </c>
      <c r="AO142" s="6">
        <v>762</v>
      </c>
      <c r="AP142" s="6"/>
      <c r="AQ142" s="35">
        <f t="shared" si="55"/>
        <v>372</v>
      </c>
      <c r="AR142" s="6">
        <v>1144</v>
      </c>
      <c r="AS142" s="6"/>
      <c r="AT142" s="34">
        <f t="shared" si="56"/>
        <v>382</v>
      </c>
      <c r="AU142" s="35">
        <v>1498</v>
      </c>
      <c r="AV142" s="35"/>
      <c r="AW142" s="35">
        <f t="shared" si="57"/>
        <v>354</v>
      </c>
      <c r="AX142" s="6"/>
      <c r="AY142" s="6"/>
      <c r="AZ142" s="35"/>
      <c r="BA142" s="6">
        <v>315</v>
      </c>
      <c r="BB142" s="6">
        <v>1560</v>
      </c>
      <c r="BC142" s="35">
        <f t="shared" si="58"/>
        <v>377</v>
      </c>
      <c r="BD142" s="6">
        <v>694</v>
      </c>
      <c r="BE142" s="6"/>
      <c r="BF142" s="35">
        <f t="shared" si="59"/>
        <v>379</v>
      </c>
      <c r="BG142" s="6">
        <v>1076</v>
      </c>
      <c r="BH142" s="6"/>
      <c r="BI142" s="35">
        <f t="shared" si="60"/>
        <v>382</v>
      </c>
      <c r="BJ142" s="6">
        <v>1456</v>
      </c>
      <c r="BK142" s="6"/>
      <c r="BL142" s="35">
        <f t="shared" si="61"/>
        <v>380</v>
      </c>
      <c r="BM142" s="6">
        <v>308</v>
      </c>
      <c r="BN142" s="35">
        <v>1502</v>
      </c>
      <c r="BO142" s="6">
        <f t="shared" si="62"/>
        <v>354</v>
      </c>
      <c r="BP142" s="6">
        <v>676</v>
      </c>
      <c r="BQ142" s="6"/>
      <c r="BR142" s="6">
        <f t="shared" si="63"/>
        <v>368</v>
      </c>
      <c r="BS142" s="6"/>
      <c r="BT142" s="6"/>
      <c r="BU142" s="35"/>
      <c r="BV142" s="6">
        <v>1054</v>
      </c>
      <c r="BW142" s="6"/>
      <c r="BX142" s="6">
        <f t="shared" si="64"/>
        <v>378</v>
      </c>
      <c r="BY142" s="6">
        <v>1434</v>
      </c>
      <c r="BZ142" s="6"/>
      <c r="CA142" s="35">
        <f t="shared" si="65"/>
        <v>380</v>
      </c>
      <c r="CB142" s="6">
        <v>246</v>
      </c>
      <c r="CC142" s="35">
        <v>1560</v>
      </c>
      <c r="CD142" s="6">
        <f t="shared" si="66"/>
        <v>372</v>
      </c>
      <c r="CE142" s="6">
        <v>627</v>
      </c>
      <c r="CF142" s="6"/>
      <c r="CG142" s="6">
        <f t="shared" si="67"/>
        <v>381</v>
      </c>
      <c r="CH142" s="7">
        <v>1009</v>
      </c>
      <c r="CI142" s="35"/>
      <c r="CJ142" s="6">
        <f t="shared" si="68"/>
        <v>382</v>
      </c>
      <c r="CK142" s="6">
        <v>244</v>
      </c>
      <c r="CL142" s="6">
        <v>1136</v>
      </c>
      <c r="CM142" s="6">
        <f t="shared" si="69"/>
        <v>371</v>
      </c>
      <c r="CN142" s="6"/>
      <c r="CO142" s="6"/>
      <c r="CP142" s="6"/>
      <c r="CQ142" s="6">
        <v>630</v>
      </c>
      <c r="CR142" s="6"/>
      <c r="CS142" s="6">
        <f t="shared" si="70"/>
        <v>386</v>
      </c>
      <c r="CT142" s="6">
        <v>1009</v>
      </c>
      <c r="CU142" s="6"/>
      <c r="CV142" s="6">
        <f t="shared" si="71"/>
        <v>379</v>
      </c>
      <c r="CW142" s="6">
        <v>1391</v>
      </c>
      <c r="CX142" s="35"/>
      <c r="CY142" s="6">
        <f t="shared" si="72"/>
        <v>382</v>
      </c>
      <c r="CZ142" s="6">
        <v>209</v>
      </c>
      <c r="DA142" s="35">
        <v>1560</v>
      </c>
      <c r="DB142" s="6">
        <f t="shared" si="73"/>
        <v>378</v>
      </c>
      <c r="DC142" s="6">
        <v>591</v>
      </c>
      <c r="DD142" s="6"/>
      <c r="DE142" s="6">
        <f t="shared" si="74"/>
        <v>382</v>
      </c>
      <c r="DF142" s="6">
        <v>953</v>
      </c>
      <c r="DG142" s="6"/>
      <c r="DH142" s="6">
        <f t="shared" si="75"/>
        <v>362</v>
      </c>
      <c r="DI142" s="6"/>
      <c r="DJ142" s="6"/>
      <c r="DK142" s="6"/>
      <c r="DL142" s="6">
        <v>1345</v>
      </c>
      <c r="DM142" s="6"/>
      <c r="DN142" s="6">
        <f t="shared" si="76"/>
        <v>392</v>
      </c>
      <c r="DO142" s="6">
        <v>136</v>
      </c>
      <c r="DP142" s="6">
        <v>1560</v>
      </c>
      <c r="DQ142" s="6">
        <f t="shared" si="77"/>
        <v>351</v>
      </c>
    </row>
    <row r="143" spans="1:121">
      <c r="A143" s="7">
        <v>139</v>
      </c>
      <c r="B143" s="6">
        <v>255</v>
      </c>
      <c r="C143" s="6">
        <v>1560</v>
      </c>
      <c r="D143" s="6">
        <v>342</v>
      </c>
      <c r="E143" s="33" t="s">
        <v>307</v>
      </c>
      <c r="F143" s="33" t="s">
        <v>307</v>
      </c>
      <c r="G143" s="33" t="s">
        <v>307</v>
      </c>
      <c r="H143" s="33" t="s">
        <v>307</v>
      </c>
      <c r="I143" s="33" t="s">
        <v>307</v>
      </c>
      <c r="J143" s="33" t="s">
        <v>307</v>
      </c>
      <c r="K143" s="33" t="s">
        <v>307</v>
      </c>
      <c r="L143" s="33" t="s">
        <v>307</v>
      </c>
      <c r="M143" s="33" t="s">
        <v>307</v>
      </c>
      <c r="N143" s="33" t="s">
        <v>307</v>
      </c>
      <c r="O143" s="33" t="s">
        <v>307</v>
      </c>
      <c r="P143" s="33" t="s">
        <v>307</v>
      </c>
      <c r="Q143" s="33" t="s">
        <v>307</v>
      </c>
      <c r="R143" s="148" t="s">
        <v>37</v>
      </c>
      <c r="S143" s="33" t="s">
        <v>37</v>
      </c>
      <c r="T143" s="33" t="s">
        <v>37</v>
      </c>
      <c r="U143" s="33" t="s">
        <v>37</v>
      </c>
      <c r="V143" s="33" t="s">
        <v>37</v>
      </c>
      <c r="W143" s="33" t="s">
        <v>37</v>
      </c>
      <c r="X143" s="33" t="s">
        <v>37</v>
      </c>
      <c r="Y143" s="33" t="s">
        <v>37</v>
      </c>
      <c r="Z143" s="33" t="s">
        <v>37</v>
      </c>
      <c r="AA143" s="33" t="s">
        <v>37</v>
      </c>
      <c r="AB143" s="33" t="s">
        <v>37</v>
      </c>
      <c r="AC143" s="33" t="s">
        <v>37</v>
      </c>
      <c r="AD143" s="33" t="s">
        <v>37</v>
      </c>
      <c r="AE143" s="33" t="s">
        <v>37</v>
      </c>
      <c r="AF143" s="35">
        <v>654</v>
      </c>
      <c r="AG143" s="35"/>
      <c r="AH143" s="35">
        <f t="shared" si="52"/>
        <v>399</v>
      </c>
      <c r="AI143" s="35">
        <v>1028</v>
      </c>
      <c r="AJ143" s="35"/>
      <c r="AK143" s="35">
        <f t="shared" si="53"/>
        <v>374</v>
      </c>
      <c r="AL143" s="35">
        <v>1408</v>
      </c>
      <c r="AM143" s="35"/>
      <c r="AN143" s="35">
        <f t="shared" si="54"/>
        <v>380</v>
      </c>
      <c r="AO143" s="6">
        <v>229</v>
      </c>
      <c r="AP143" s="6">
        <v>1560</v>
      </c>
      <c r="AQ143" s="35">
        <f t="shared" si="55"/>
        <v>381</v>
      </c>
      <c r="AR143" s="6">
        <v>607</v>
      </c>
      <c r="AS143" s="6"/>
      <c r="AT143" s="34">
        <f t="shared" si="56"/>
        <v>378</v>
      </c>
      <c r="AU143" s="35">
        <v>969</v>
      </c>
      <c r="AV143" s="35"/>
      <c r="AW143" s="35">
        <f t="shared" si="57"/>
        <v>362</v>
      </c>
      <c r="AX143" s="6"/>
      <c r="AY143" s="6"/>
      <c r="AZ143" s="35"/>
      <c r="BA143" s="6">
        <v>1354</v>
      </c>
      <c r="BB143" s="6"/>
      <c r="BC143" s="35">
        <f t="shared" si="58"/>
        <v>385</v>
      </c>
      <c r="BD143" s="6">
        <v>169</v>
      </c>
      <c r="BE143" s="6">
        <v>1560</v>
      </c>
      <c r="BF143" s="35">
        <f t="shared" si="59"/>
        <v>375</v>
      </c>
      <c r="BG143" s="6">
        <v>551</v>
      </c>
      <c r="BH143" s="6"/>
      <c r="BI143" s="35">
        <f t="shared" si="60"/>
        <v>382</v>
      </c>
      <c r="BJ143" s="6">
        <v>923</v>
      </c>
      <c r="BK143" s="6"/>
      <c r="BL143" s="35">
        <f t="shared" si="61"/>
        <v>372</v>
      </c>
      <c r="BM143" s="6">
        <v>1304</v>
      </c>
      <c r="BN143" s="35"/>
      <c r="BO143" s="6">
        <f t="shared" si="62"/>
        <v>381</v>
      </c>
      <c r="BP143" s="6">
        <v>0</v>
      </c>
      <c r="BQ143" s="6">
        <v>1617</v>
      </c>
      <c r="BR143" s="6">
        <f t="shared" si="63"/>
        <v>313</v>
      </c>
      <c r="BS143" s="6"/>
      <c r="BT143" s="6"/>
      <c r="BU143" s="35"/>
      <c r="BV143" s="6">
        <v>278</v>
      </c>
      <c r="BW143" s="6"/>
      <c r="BX143" s="6">
        <f t="shared" si="64"/>
        <v>278</v>
      </c>
      <c r="BY143" s="6">
        <v>658</v>
      </c>
      <c r="BZ143" s="6"/>
      <c r="CA143" s="35">
        <f t="shared" si="65"/>
        <v>380</v>
      </c>
      <c r="CB143" s="6">
        <v>1042</v>
      </c>
      <c r="CC143" s="35"/>
      <c r="CD143" s="6">
        <f t="shared" si="66"/>
        <v>384</v>
      </c>
      <c r="CE143" s="6">
        <v>1423</v>
      </c>
      <c r="CF143" s="6"/>
      <c r="CG143" s="6">
        <f t="shared" si="67"/>
        <v>381</v>
      </c>
      <c r="CH143" s="7">
        <v>244</v>
      </c>
      <c r="CI143" s="35">
        <v>1560</v>
      </c>
      <c r="CJ143" s="6">
        <f t="shared" si="68"/>
        <v>381</v>
      </c>
      <c r="CK143" s="6">
        <v>619</v>
      </c>
      <c r="CL143" s="6"/>
      <c r="CM143" s="6">
        <f t="shared" si="69"/>
        <v>375</v>
      </c>
      <c r="CN143" s="6"/>
      <c r="CO143" s="6"/>
      <c r="CP143" s="6"/>
      <c r="CQ143" s="6">
        <v>1002</v>
      </c>
      <c r="CR143" s="6"/>
      <c r="CS143" s="6">
        <f t="shared" si="70"/>
        <v>383</v>
      </c>
      <c r="CT143" s="6">
        <v>1376</v>
      </c>
      <c r="CU143" s="6"/>
      <c r="CV143" s="6">
        <f t="shared" si="71"/>
        <v>374</v>
      </c>
      <c r="CW143" s="6">
        <v>197</v>
      </c>
      <c r="CX143" s="35">
        <v>1560</v>
      </c>
      <c r="CY143" s="6">
        <f t="shared" si="72"/>
        <v>381</v>
      </c>
      <c r="CZ143" s="6">
        <v>574</v>
      </c>
      <c r="DA143" s="6"/>
      <c r="DB143" s="6">
        <f t="shared" si="73"/>
        <v>377</v>
      </c>
      <c r="DC143" s="6">
        <v>951</v>
      </c>
      <c r="DD143" s="6"/>
      <c r="DE143" s="6">
        <f t="shared" si="74"/>
        <v>377</v>
      </c>
      <c r="DF143" s="6">
        <v>1316</v>
      </c>
      <c r="DG143" s="6"/>
      <c r="DH143" s="6">
        <f t="shared" si="75"/>
        <v>365</v>
      </c>
      <c r="DI143" s="6"/>
      <c r="DJ143" s="6"/>
      <c r="DK143" s="6"/>
      <c r="DL143" s="6">
        <v>145</v>
      </c>
      <c r="DM143" s="6">
        <v>1560</v>
      </c>
      <c r="DN143" s="6">
        <f t="shared" si="76"/>
        <v>389</v>
      </c>
      <c r="DO143" s="6">
        <v>508</v>
      </c>
      <c r="DP143" s="6"/>
      <c r="DQ143" s="6">
        <f t="shared" si="77"/>
        <v>363</v>
      </c>
    </row>
    <row r="144" spans="1:121">
      <c r="A144" s="7">
        <v>140</v>
      </c>
      <c r="B144" s="6">
        <v>1006</v>
      </c>
      <c r="C144" s="6"/>
      <c r="D144" s="6">
        <v>351</v>
      </c>
      <c r="E144" s="33" t="s">
        <v>307</v>
      </c>
      <c r="F144" s="33" t="s">
        <v>307</v>
      </c>
      <c r="G144" s="33" t="s">
        <v>307</v>
      </c>
      <c r="H144" s="33" t="s">
        <v>307</v>
      </c>
      <c r="I144" s="33" t="s">
        <v>307</v>
      </c>
      <c r="J144" s="33" t="s">
        <v>307</v>
      </c>
      <c r="K144" s="33" t="s">
        <v>307</v>
      </c>
      <c r="L144" s="33" t="s">
        <v>307</v>
      </c>
      <c r="M144" s="33" t="s">
        <v>307</v>
      </c>
      <c r="N144" s="33" t="s">
        <v>307</v>
      </c>
      <c r="O144" s="33" t="s">
        <v>307</v>
      </c>
      <c r="P144" s="33" t="s">
        <v>307</v>
      </c>
      <c r="Q144" s="33" t="s">
        <v>307</v>
      </c>
      <c r="R144" s="33" t="s">
        <v>307</v>
      </c>
      <c r="S144" s="33" t="s">
        <v>307</v>
      </c>
      <c r="T144" s="33" t="s">
        <v>307</v>
      </c>
      <c r="U144" s="33" t="s">
        <v>307</v>
      </c>
      <c r="V144" s="33" t="s">
        <v>307</v>
      </c>
      <c r="W144" s="33" t="s">
        <v>307</v>
      </c>
      <c r="X144" s="33" t="s">
        <v>307</v>
      </c>
      <c r="Y144" s="33" t="s">
        <v>307</v>
      </c>
      <c r="Z144" s="33" t="s">
        <v>307</v>
      </c>
      <c r="AA144" s="148" t="s">
        <v>307</v>
      </c>
      <c r="AB144" s="33" t="s">
        <v>307</v>
      </c>
      <c r="AC144" s="33" t="s">
        <v>307</v>
      </c>
      <c r="AD144" s="33" t="s">
        <v>307</v>
      </c>
      <c r="AE144" s="33" t="s">
        <v>307</v>
      </c>
      <c r="AF144" s="35">
        <v>1410</v>
      </c>
      <c r="AG144" s="35"/>
      <c r="AH144" s="35">
        <f t="shared" si="52"/>
        <v>404</v>
      </c>
      <c r="AI144" s="35">
        <v>232</v>
      </c>
      <c r="AJ144" s="35">
        <v>1560</v>
      </c>
      <c r="AK144" s="35">
        <f t="shared" si="53"/>
        <v>382</v>
      </c>
      <c r="AL144" s="35">
        <v>620</v>
      </c>
      <c r="AM144" s="35"/>
      <c r="AN144" s="35">
        <f t="shared" si="54"/>
        <v>388</v>
      </c>
      <c r="AO144" s="6">
        <v>1008</v>
      </c>
      <c r="AP144" s="6"/>
      <c r="AQ144" s="35">
        <f t="shared" si="55"/>
        <v>388</v>
      </c>
      <c r="AR144" s="6">
        <v>1394</v>
      </c>
      <c r="AS144" s="6"/>
      <c r="AT144" s="34">
        <f t="shared" si="56"/>
        <v>386</v>
      </c>
      <c r="AU144" s="35">
        <v>191</v>
      </c>
      <c r="AV144" s="35">
        <v>1570</v>
      </c>
      <c r="AW144" s="35">
        <f t="shared" si="57"/>
        <v>367</v>
      </c>
      <c r="AX144" s="6"/>
      <c r="AY144" s="6"/>
      <c r="AZ144" s="35"/>
      <c r="BA144" s="6">
        <v>576</v>
      </c>
      <c r="BB144" s="6"/>
      <c r="BC144" s="35">
        <f t="shared" si="58"/>
        <v>385</v>
      </c>
      <c r="BD144" s="6">
        <v>956</v>
      </c>
      <c r="BE144" s="6"/>
      <c r="BF144" s="35">
        <f t="shared" si="59"/>
        <v>380</v>
      </c>
      <c r="BG144" s="6">
        <v>1341</v>
      </c>
      <c r="BH144" s="6"/>
      <c r="BI144" s="35">
        <f t="shared" si="60"/>
        <v>385</v>
      </c>
      <c r="BJ144" s="6">
        <v>169</v>
      </c>
      <c r="BK144" s="6">
        <v>1554</v>
      </c>
      <c r="BL144" s="35">
        <f t="shared" si="61"/>
        <v>382</v>
      </c>
      <c r="BM144" s="6">
        <v>552</v>
      </c>
      <c r="BN144" s="35"/>
      <c r="BO144" s="6">
        <f t="shared" si="62"/>
        <v>383</v>
      </c>
      <c r="BP144" s="6">
        <v>920</v>
      </c>
      <c r="BQ144" s="6"/>
      <c r="BR144" s="6">
        <f t="shared" si="63"/>
        <v>368</v>
      </c>
      <c r="BS144" s="6"/>
      <c r="BT144" s="6"/>
      <c r="BU144" s="35"/>
      <c r="BV144" s="6">
        <v>1311</v>
      </c>
      <c r="BW144" s="6"/>
      <c r="BX144" s="6">
        <f t="shared" si="64"/>
        <v>391</v>
      </c>
      <c r="BY144" s="6">
        <v>1691</v>
      </c>
      <c r="BZ144" s="6"/>
      <c r="CA144" s="35">
        <f t="shared" si="65"/>
        <v>380</v>
      </c>
      <c r="CB144" s="6">
        <v>0</v>
      </c>
      <c r="CC144" s="35">
        <v>1820</v>
      </c>
      <c r="CD144" s="6">
        <f t="shared" si="66"/>
        <v>129</v>
      </c>
      <c r="CE144" s="6">
        <v>0</v>
      </c>
      <c r="CF144" s="6"/>
      <c r="CG144" s="6">
        <f t="shared" si="67"/>
        <v>0</v>
      </c>
      <c r="CH144" s="7">
        <v>0</v>
      </c>
      <c r="CI144" s="35"/>
      <c r="CJ144" s="6">
        <f t="shared" si="68"/>
        <v>0</v>
      </c>
      <c r="CK144" s="6">
        <v>227</v>
      </c>
      <c r="CL144" s="6"/>
      <c r="CM144" s="6">
        <f t="shared" si="69"/>
        <v>227</v>
      </c>
      <c r="CN144" s="6"/>
      <c r="CO144" s="6"/>
      <c r="CP144" s="6"/>
      <c r="CQ144" s="6">
        <v>615</v>
      </c>
      <c r="CR144" s="6"/>
      <c r="CS144" s="6">
        <f t="shared" si="70"/>
        <v>388</v>
      </c>
      <c r="CT144" s="6">
        <v>991</v>
      </c>
      <c r="CU144" s="6"/>
      <c r="CV144" s="6">
        <f t="shared" si="71"/>
        <v>376</v>
      </c>
      <c r="CW144" s="6">
        <v>0</v>
      </c>
      <c r="CX144" s="6">
        <v>1335</v>
      </c>
      <c r="CY144" s="6">
        <f t="shared" si="72"/>
        <v>344</v>
      </c>
      <c r="CZ144" s="6">
        <v>355</v>
      </c>
      <c r="DA144" s="6"/>
      <c r="DB144" s="6">
        <f t="shared" si="73"/>
        <v>355</v>
      </c>
      <c r="DC144" s="6">
        <v>740</v>
      </c>
      <c r="DD144" s="6"/>
      <c r="DE144" s="6">
        <f t="shared" si="74"/>
        <v>385</v>
      </c>
      <c r="DF144" s="6">
        <v>18</v>
      </c>
      <c r="DG144" s="6">
        <v>1079</v>
      </c>
      <c r="DH144" s="6">
        <f t="shared" si="75"/>
        <v>357</v>
      </c>
      <c r="DI144" s="6"/>
      <c r="DJ144" s="6"/>
      <c r="DK144" s="6"/>
      <c r="DL144" s="6">
        <v>410</v>
      </c>
      <c r="DM144" s="6"/>
      <c r="DN144" s="6">
        <f t="shared" si="76"/>
        <v>392</v>
      </c>
      <c r="DO144" s="6">
        <v>771</v>
      </c>
      <c r="DP144" s="6"/>
      <c r="DQ144" s="6">
        <f t="shared" si="77"/>
        <v>361</v>
      </c>
    </row>
    <row r="145" spans="1:121">
      <c r="A145" s="6">
        <v>141</v>
      </c>
      <c r="B145" s="6">
        <v>1022</v>
      </c>
      <c r="C145" s="6"/>
      <c r="D145" s="6">
        <v>334</v>
      </c>
      <c r="E145" s="33" t="s">
        <v>37</v>
      </c>
      <c r="F145" s="33" t="s">
        <v>37</v>
      </c>
      <c r="G145" s="33" t="s">
        <v>37</v>
      </c>
      <c r="H145" s="33" t="s">
        <v>37</v>
      </c>
      <c r="I145" s="33" t="s">
        <v>37</v>
      </c>
      <c r="J145" s="33" t="s">
        <v>37</v>
      </c>
      <c r="K145" s="33" t="s">
        <v>37</v>
      </c>
      <c r="L145" s="33" t="s">
        <v>37</v>
      </c>
      <c r="M145" s="33" t="s">
        <v>37</v>
      </c>
      <c r="N145" s="33" t="s">
        <v>37</v>
      </c>
      <c r="O145" s="33" t="s">
        <v>37</v>
      </c>
      <c r="P145" s="33" t="s">
        <v>37</v>
      </c>
      <c r="Q145" s="33" t="s">
        <v>37</v>
      </c>
      <c r="R145" s="33" t="s">
        <v>37</v>
      </c>
      <c r="S145" s="33" t="s">
        <v>37</v>
      </c>
      <c r="T145" s="33" t="s">
        <v>37</v>
      </c>
      <c r="U145" s="33" t="s">
        <v>37</v>
      </c>
      <c r="V145" s="33" t="s">
        <v>37</v>
      </c>
      <c r="W145" s="33" t="s">
        <v>37</v>
      </c>
      <c r="X145" s="148" t="s">
        <v>37</v>
      </c>
      <c r="Y145" s="33" t="s">
        <v>37</v>
      </c>
      <c r="Z145" s="33" t="s">
        <v>37</v>
      </c>
      <c r="AA145" s="33" t="s">
        <v>37</v>
      </c>
      <c r="AB145" s="33" t="s">
        <v>37</v>
      </c>
      <c r="AC145" s="33" t="s">
        <v>37</v>
      </c>
      <c r="AD145" s="33" t="s">
        <v>37</v>
      </c>
      <c r="AE145" s="33" t="s">
        <v>37</v>
      </c>
      <c r="AF145" s="35">
        <v>1414</v>
      </c>
      <c r="AG145" s="35"/>
      <c r="AH145" s="35">
        <f t="shared" si="52"/>
        <v>392</v>
      </c>
      <c r="AI145" s="35">
        <v>230</v>
      </c>
      <c r="AJ145" s="35">
        <v>1560</v>
      </c>
      <c r="AK145" s="35">
        <f t="shared" si="53"/>
        <v>376</v>
      </c>
      <c r="AL145" s="35">
        <v>610</v>
      </c>
      <c r="AM145" s="35"/>
      <c r="AN145" s="35">
        <f t="shared" si="54"/>
        <v>380</v>
      </c>
      <c r="AO145" s="35">
        <v>990</v>
      </c>
      <c r="AP145" s="35"/>
      <c r="AQ145" s="35">
        <f t="shared" si="55"/>
        <v>380</v>
      </c>
      <c r="AR145" s="35">
        <v>1368</v>
      </c>
      <c r="AS145" s="35"/>
      <c r="AT145" s="34">
        <f t="shared" si="56"/>
        <v>378</v>
      </c>
      <c r="AU145" s="35">
        <v>167</v>
      </c>
      <c r="AV145" s="35">
        <v>1560</v>
      </c>
      <c r="AW145" s="35">
        <f t="shared" si="57"/>
        <v>359</v>
      </c>
      <c r="AX145" s="6"/>
      <c r="AY145" s="6"/>
      <c r="AZ145" s="35"/>
      <c r="BA145" s="6">
        <v>552</v>
      </c>
      <c r="BB145" s="35"/>
      <c r="BC145" s="35">
        <f t="shared" si="58"/>
        <v>385</v>
      </c>
      <c r="BD145" s="6">
        <v>938</v>
      </c>
      <c r="BE145" s="6"/>
      <c r="BF145" s="35">
        <f t="shared" si="59"/>
        <v>386</v>
      </c>
      <c r="BG145" s="6">
        <v>1327</v>
      </c>
      <c r="BH145" s="6"/>
      <c r="BI145" s="35">
        <f t="shared" si="60"/>
        <v>389</v>
      </c>
      <c r="BJ145" s="6">
        <v>154</v>
      </c>
      <c r="BK145" s="6">
        <v>1560</v>
      </c>
      <c r="BL145" s="35">
        <f t="shared" si="61"/>
        <v>387</v>
      </c>
      <c r="BM145" s="6">
        <v>535</v>
      </c>
      <c r="BN145" s="35"/>
      <c r="BO145" s="6">
        <f t="shared" si="62"/>
        <v>381</v>
      </c>
      <c r="BP145" s="6">
        <v>866</v>
      </c>
      <c r="BQ145" s="6"/>
      <c r="BR145" s="6">
        <f t="shared" si="63"/>
        <v>331</v>
      </c>
      <c r="BS145" s="6"/>
      <c r="BT145" s="6"/>
      <c r="BU145" s="35"/>
      <c r="BV145" s="6">
        <v>1253</v>
      </c>
      <c r="BW145" s="6"/>
      <c r="BX145" s="6">
        <f t="shared" si="64"/>
        <v>387</v>
      </c>
      <c r="BY145" s="6">
        <v>68</v>
      </c>
      <c r="BZ145" s="6">
        <v>1562</v>
      </c>
      <c r="CA145" s="35">
        <f t="shared" si="65"/>
        <v>377</v>
      </c>
      <c r="CB145" s="6">
        <v>449</v>
      </c>
      <c r="CC145" s="35"/>
      <c r="CD145" s="6">
        <f t="shared" si="66"/>
        <v>381</v>
      </c>
      <c r="CE145" s="6">
        <v>825</v>
      </c>
      <c r="CF145" s="6"/>
      <c r="CG145" s="6">
        <f t="shared" si="67"/>
        <v>376</v>
      </c>
      <c r="CH145" s="7">
        <v>1205</v>
      </c>
      <c r="CI145" s="35"/>
      <c r="CJ145" s="6">
        <f t="shared" si="68"/>
        <v>380</v>
      </c>
      <c r="CK145" s="6">
        <v>1573</v>
      </c>
      <c r="CL145" s="6"/>
      <c r="CM145" s="6">
        <f t="shared" si="69"/>
        <v>368</v>
      </c>
      <c r="CN145" s="6"/>
      <c r="CO145" s="6"/>
      <c r="CP145" s="6"/>
      <c r="CQ145" s="6">
        <v>304</v>
      </c>
      <c r="CR145" s="6">
        <v>1617</v>
      </c>
      <c r="CS145" s="6">
        <f t="shared" si="70"/>
        <v>348</v>
      </c>
      <c r="CT145" s="6">
        <v>677</v>
      </c>
      <c r="CU145" s="6"/>
      <c r="CV145" s="6">
        <f t="shared" si="71"/>
        <v>373</v>
      </c>
      <c r="CW145" s="6">
        <v>1037</v>
      </c>
      <c r="CX145" s="6"/>
      <c r="CY145" s="6">
        <f t="shared" si="72"/>
        <v>360</v>
      </c>
      <c r="CZ145" s="6">
        <v>1414</v>
      </c>
      <c r="DA145" s="6"/>
      <c r="DB145" s="6">
        <f t="shared" si="73"/>
        <v>377</v>
      </c>
      <c r="DC145" s="6">
        <v>233</v>
      </c>
      <c r="DD145" s="6">
        <v>1560</v>
      </c>
      <c r="DE145" s="6">
        <f t="shared" si="74"/>
        <v>379</v>
      </c>
      <c r="DF145" s="6">
        <v>594</v>
      </c>
      <c r="DG145" s="6"/>
      <c r="DH145" s="6">
        <f t="shared" si="75"/>
        <v>361</v>
      </c>
      <c r="DI145" s="6"/>
      <c r="DJ145" s="6"/>
      <c r="DK145" s="6"/>
      <c r="DL145" s="6">
        <v>984</v>
      </c>
      <c r="DM145" s="6"/>
      <c r="DN145" s="6">
        <f t="shared" si="76"/>
        <v>390</v>
      </c>
      <c r="DO145" s="6">
        <v>1348</v>
      </c>
      <c r="DP145" s="6"/>
      <c r="DQ145" s="6">
        <f t="shared" si="77"/>
        <v>364</v>
      </c>
    </row>
    <row r="146" spans="1:121">
      <c r="A146" s="6">
        <v>142</v>
      </c>
      <c r="B146" s="6">
        <v>1250</v>
      </c>
      <c r="C146" s="6"/>
      <c r="D146" s="6">
        <v>346</v>
      </c>
      <c r="E146" s="33" t="s">
        <v>307</v>
      </c>
      <c r="F146" s="33" t="s">
        <v>307</v>
      </c>
      <c r="G146" s="33" t="s">
        <v>307</v>
      </c>
      <c r="H146" s="33" t="s">
        <v>307</v>
      </c>
      <c r="I146" s="33" t="s">
        <v>307</v>
      </c>
      <c r="J146" s="33" t="s">
        <v>307</v>
      </c>
      <c r="K146" s="33" t="s">
        <v>307</v>
      </c>
      <c r="L146" s="33" t="s">
        <v>307</v>
      </c>
      <c r="M146" s="33" t="s">
        <v>307</v>
      </c>
      <c r="N146" s="33" t="s">
        <v>307</v>
      </c>
      <c r="O146" s="148" t="s">
        <v>37</v>
      </c>
      <c r="P146" s="33" t="s">
        <v>37</v>
      </c>
      <c r="Q146" s="33" t="s">
        <v>37</v>
      </c>
      <c r="R146" s="33" t="s">
        <v>37</v>
      </c>
      <c r="S146" s="33" t="s">
        <v>37</v>
      </c>
      <c r="T146" s="33" t="s">
        <v>37</v>
      </c>
      <c r="U146" s="33" t="s">
        <v>37</v>
      </c>
      <c r="V146" s="33" t="s">
        <v>37</v>
      </c>
      <c r="W146" s="33" t="s">
        <v>37</v>
      </c>
      <c r="X146" s="33" t="s">
        <v>37</v>
      </c>
      <c r="Y146" s="33" t="s">
        <v>37</v>
      </c>
      <c r="Z146" s="33" t="s">
        <v>37</v>
      </c>
      <c r="AA146" s="33" t="s">
        <v>37</v>
      </c>
      <c r="AB146" s="33" t="s">
        <v>37</v>
      </c>
      <c r="AC146" s="33" t="s">
        <v>37</v>
      </c>
      <c r="AD146" s="33" t="s">
        <v>37</v>
      </c>
      <c r="AE146" s="33" t="s">
        <v>37</v>
      </c>
      <c r="AF146" s="6">
        <v>99</v>
      </c>
      <c r="AG146" s="6">
        <v>1560</v>
      </c>
      <c r="AH146" s="35">
        <f t="shared" si="52"/>
        <v>409</v>
      </c>
      <c r="AI146" s="6">
        <v>456</v>
      </c>
      <c r="AJ146" s="6"/>
      <c r="AK146" s="35">
        <f t="shared" si="53"/>
        <v>357</v>
      </c>
      <c r="AL146" s="35">
        <v>836</v>
      </c>
      <c r="AM146" s="35"/>
      <c r="AN146" s="35">
        <f t="shared" si="54"/>
        <v>380</v>
      </c>
      <c r="AO146" s="6">
        <v>1221</v>
      </c>
      <c r="AP146" s="6"/>
      <c r="AQ146" s="35">
        <f t="shared" si="55"/>
        <v>385</v>
      </c>
      <c r="AR146" s="6">
        <v>39</v>
      </c>
      <c r="AS146" s="6">
        <v>1561</v>
      </c>
      <c r="AT146" s="34">
        <f t="shared" si="56"/>
        <v>379</v>
      </c>
      <c r="AU146" s="35">
        <v>397</v>
      </c>
      <c r="AV146" s="35"/>
      <c r="AW146" s="35">
        <f t="shared" si="57"/>
        <v>358</v>
      </c>
      <c r="AX146" s="6"/>
      <c r="AY146" s="6"/>
      <c r="AZ146" s="35"/>
      <c r="BA146" s="6">
        <v>758</v>
      </c>
      <c r="BB146" s="6"/>
      <c r="BC146" s="35">
        <f t="shared" si="58"/>
        <v>361</v>
      </c>
      <c r="BD146" s="35">
        <v>1142</v>
      </c>
      <c r="BE146" s="35"/>
      <c r="BF146" s="35">
        <f t="shared" si="59"/>
        <v>384</v>
      </c>
      <c r="BG146" s="6">
        <v>1525</v>
      </c>
      <c r="BH146" s="6"/>
      <c r="BI146" s="35">
        <f t="shared" si="60"/>
        <v>383</v>
      </c>
      <c r="BJ146" s="6">
        <v>287</v>
      </c>
      <c r="BK146" s="6">
        <v>1613</v>
      </c>
      <c r="BL146" s="35">
        <f t="shared" si="61"/>
        <v>375</v>
      </c>
      <c r="BM146" s="35">
        <v>677</v>
      </c>
      <c r="BN146" s="6"/>
      <c r="BO146" s="6">
        <f t="shared" si="62"/>
        <v>390</v>
      </c>
      <c r="BP146" s="6">
        <v>1044</v>
      </c>
      <c r="BQ146" s="6"/>
      <c r="BR146" s="6">
        <f t="shared" si="63"/>
        <v>367</v>
      </c>
      <c r="BS146" s="6"/>
      <c r="BT146" s="6"/>
      <c r="BU146" s="35"/>
      <c r="BV146" s="6">
        <v>1426</v>
      </c>
      <c r="BW146" s="6"/>
      <c r="BX146" s="6">
        <f t="shared" si="64"/>
        <v>382</v>
      </c>
      <c r="BY146" s="6">
        <v>242</v>
      </c>
      <c r="BZ146" s="6">
        <v>1560</v>
      </c>
      <c r="CA146" s="35">
        <f t="shared" si="65"/>
        <v>376</v>
      </c>
      <c r="CB146" s="6">
        <v>624</v>
      </c>
      <c r="CC146" s="6"/>
      <c r="CD146" s="6">
        <f t="shared" si="66"/>
        <v>382</v>
      </c>
      <c r="CE146" s="6">
        <v>1001</v>
      </c>
      <c r="CF146" s="6"/>
      <c r="CG146" s="6">
        <f t="shared" si="67"/>
        <v>377</v>
      </c>
      <c r="CH146" s="7">
        <v>266</v>
      </c>
      <c r="CI146" s="6">
        <v>1116</v>
      </c>
      <c r="CJ146" s="6">
        <f t="shared" si="68"/>
        <v>381</v>
      </c>
      <c r="CK146" s="6">
        <v>640</v>
      </c>
      <c r="CL146" s="6"/>
      <c r="CM146" s="6">
        <f t="shared" si="69"/>
        <v>374</v>
      </c>
      <c r="CN146" s="6"/>
      <c r="CO146" s="6"/>
      <c r="CP146" s="6"/>
      <c r="CQ146" s="6">
        <v>1024</v>
      </c>
      <c r="CR146" s="6"/>
      <c r="CS146" s="6">
        <f t="shared" si="70"/>
        <v>384</v>
      </c>
      <c r="CT146" s="6">
        <v>1402</v>
      </c>
      <c r="CU146" s="6"/>
      <c r="CV146" s="6">
        <f t="shared" si="71"/>
        <v>378</v>
      </c>
      <c r="CW146" s="6">
        <v>223</v>
      </c>
      <c r="CX146" s="6">
        <v>1560</v>
      </c>
      <c r="CY146" s="6">
        <f t="shared" si="72"/>
        <v>381</v>
      </c>
      <c r="CZ146" s="6">
        <v>601</v>
      </c>
      <c r="DA146" s="6"/>
      <c r="DB146" s="6">
        <f t="shared" si="73"/>
        <v>378</v>
      </c>
      <c r="DC146" s="6">
        <v>971</v>
      </c>
      <c r="DD146" s="6"/>
      <c r="DE146" s="6">
        <f t="shared" si="74"/>
        <v>370</v>
      </c>
      <c r="DF146" s="6">
        <v>1328</v>
      </c>
      <c r="DG146" s="6"/>
      <c r="DH146" s="6">
        <f t="shared" si="75"/>
        <v>357</v>
      </c>
      <c r="DI146" s="6"/>
      <c r="DJ146" s="6"/>
      <c r="DK146" s="6"/>
      <c r="DL146" s="6">
        <v>158</v>
      </c>
      <c r="DM146" s="6">
        <v>1560</v>
      </c>
      <c r="DN146" s="6">
        <f t="shared" si="76"/>
        <v>390</v>
      </c>
      <c r="DO146" s="6">
        <v>515</v>
      </c>
      <c r="DP146" s="6"/>
      <c r="DQ146" s="6">
        <f t="shared" si="77"/>
        <v>357</v>
      </c>
    </row>
    <row r="147" spans="1:121">
      <c r="A147" s="6">
        <v>143</v>
      </c>
      <c r="B147" s="6">
        <v>280</v>
      </c>
      <c r="C147" s="6">
        <v>1560</v>
      </c>
      <c r="D147" s="6">
        <v>341</v>
      </c>
      <c r="E147" s="33" t="s">
        <v>307</v>
      </c>
      <c r="F147" s="33" t="s">
        <v>307</v>
      </c>
      <c r="G147" s="33" t="s">
        <v>307</v>
      </c>
      <c r="H147" s="33" t="s">
        <v>307</v>
      </c>
      <c r="I147" s="33" t="s">
        <v>307</v>
      </c>
      <c r="J147" s="33" t="s">
        <v>307</v>
      </c>
      <c r="K147" s="33" t="s">
        <v>307</v>
      </c>
      <c r="L147" s="33" t="s">
        <v>307</v>
      </c>
      <c r="M147" s="33" t="s">
        <v>307</v>
      </c>
      <c r="N147" s="148" t="s">
        <v>37</v>
      </c>
      <c r="O147" s="33" t="s">
        <v>37</v>
      </c>
      <c r="P147" s="33" t="s">
        <v>37</v>
      </c>
      <c r="Q147" s="33" t="s">
        <v>37</v>
      </c>
      <c r="R147" s="33" t="s">
        <v>37</v>
      </c>
      <c r="S147" s="33" t="s">
        <v>37</v>
      </c>
      <c r="T147" s="33" t="s">
        <v>37</v>
      </c>
      <c r="U147" s="33" t="s">
        <v>37</v>
      </c>
      <c r="V147" s="33" t="s">
        <v>37</v>
      </c>
      <c r="W147" s="33" t="s">
        <v>37</v>
      </c>
      <c r="X147" s="33" t="s">
        <v>37</v>
      </c>
      <c r="Y147" s="33" t="s">
        <v>37</v>
      </c>
      <c r="Z147" s="33" t="s">
        <v>37</v>
      </c>
      <c r="AA147" s="33" t="s">
        <v>37</v>
      </c>
      <c r="AB147" s="33" t="s">
        <v>37</v>
      </c>
      <c r="AC147" s="33" t="s">
        <v>37</v>
      </c>
      <c r="AD147" s="33" t="s">
        <v>37</v>
      </c>
      <c r="AE147" s="33" t="s">
        <v>37</v>
      </c>
      <c r="AF147" s="6">
        <v>696</v>
      </c>
      <c r="AG147" s="6"/>
      <c r="AH147" s="35">
        <f t="shared" si="52"/>
        <v>416</v>
      </c>
      <c r="AI147" s="6">
        <v>1077</v>
      </c>
      <c r="AJ147" s="6"/>
      <c r="AK147" s="35">
        <f t="shared" si="53"/>
        <v>381</v>
      </c>
      <c r="AL147" s="35">
        <v>1463</v>
      </c>
      <c r="AM147" s="35"/>
      <c r="AN147" s="35">
        <f t="shared" si="54"/>
        <v>386</v>
      </c>
      <c r="AO147" s="6">
        <v>291</v>
      </c>
      <c r="AP147" s="6">
        <v>1560</v>
      </c>
      <c r="AQ147" s="35">
        <f t="shared" si="55"/>
        <v>388</v>
      </c>
      <c r="AR147" s="6">
        <v>678</v>
      </c>
      <c r="AS147" s="6"/>
      <c r="AT147" s="34">
        <f t="shared" si="56"/>
        <v>387</v>
      </c>
      <c r="AU147" s="35">
        <v>1045</v>
      </c>
      <c r="AV147" s="35"/>
      <c r="AW147" s="35">
        <f t="shared" si="57"/>
        <v>367</v>
      </c>
      <c r="AX147" s="6"/>
      <c r="AY147" s="6"/>
      <c r="AZ147" s="35"/>
      <c r="BA147" s="6">
        <v>273</v>
      </c>
      <c r="BB147" s="6">
        <v>1162</v>
      </c>
      <c r="BC147" s="35">
        <f t="shared" si="58"/>
        <v>390</v>
      </c>
      <c r="BD147" s="35">
        <v>0</v>
      </c>
      <c r="BE147" s="35">
        <v>473</v>
      </c>
      <c r="BF147" s="35">
        <f t="shared" si="59"/>
        <v>200</v>
      </c>
      <c r="BG147" s="6">
        <v>351</v>
      </c>
      <c r="BH147" s="6"/>
      <c r="BI147" s="35">
        <f t="shared" si="60"/>
        <v>351</v>
      </c>
      <c r="BJ147" s="6">
        <v>707</v>
      </c>
      <c r="BK147" s="6"/>
      <c r="BL147" s="35">
        <f t="shared" si="61"/>
        <v>356</v>
      </c>
      <c r="BM147" s="6">
        <v>1066</v>
      </c>
      <c r="BN147" s="6"/>
      <c r="BO147" s="6">
        <f t="shared" si="62"/>
        <v>359</v>
      </c>
      <c r="BP147" s="6">
        <v>1421</v>
      </c>
      <c r="BQ147" s="6"/>
      <c r="BR147" s="6">
        <f t="shared" si="63"/>
        <v>355</v>
      </c>
      <c r="BS147" s="6"/>
      <c r="BT147" s="6"/>
      <c r="BU147" s="35"/>
      <c r="BV147" s="6">
        <v>243</v>
      </c>
      <c r="BW147" s="6">
        <v>1560</v>
      </c>
      <c r="BX147" s="6">
        <f t="shared" si="64"/>
        <v>382</v>
      </c>
      <c r="BY147" s="6">
        <v>621</v>
      </c>
      <c r="BZ147" s="6"/>
      <c r="CA147" s="35">
        <f t="shared" si="65"/>
        <v>378</v>
      </c>
      <c r="CB147" s="6">
        <v>1004</v>
      </c>
      <c r="CC147" s="6"/>
      <c r="CD147" s="6">
        <f t="shared" si="66"/>
        <v>383</v>
      </c>
      <c r="CE147" s="6">
        <v>1380</v>
      </c>
      <c r="CF147" s="6"/>
      <c r="CG147" s="6">
        <f t="shared" si="67"/>
        <v>376</v>
      </c>
      <c r="CH147" s="7">
        <v>198</v>
      </c>
      <c r="CI147" s="6">
        <v>1560</v>
      </c>
      <c r="CJ147" s="6">
        <f t="shared" si="68"/>
        <v>378</v>
      </c>
      <c r="CK147" s="6">
        <v>575</v>
      </c>
      <c r="CL147" s="6"/>
      <c r="CM147" s="6">
        <f t="shared" si="69"/>
        <v>377</v>
      </c>
      <c r="CN147" s="6"/>
      <c r="CO147" s="6"/>
      <c r="CP147" s="6"/>
      <c r="CQ147" s="6">
        <v>962</v>
      </c>
      <c r="CR147" s="6"/>
      <c r="CS147" s="6">
        <f t="shared" si="70"/>
        <v>387</v>
      </c>
      <c r="CT147" s="6">
        <v>1342</v>
      </c>
      <c r="CU147" s="6"/>
      <c r="CV147" s="6">
        <f t="shared" si="71"/>
        <v>380</v>
      </c>
      <c r="CW147" s="6">
        <v>164</v>
      </c>
      <c r="CX147" s="6">
        <v>1560</v>
      </c>
      <c r="CY147" s="6">
        <f t="shared" si="72"/>
        <v>382</v>
      </c>
      <c r="CZ147" s="6">
        <v>545</v>
      </c>
      <c r="DA147" s="6"/>
      <c r="DB147" s="6">
        <f t="shared" si="73"/>
        <v>381</v>
      </c>
      <c r="DC147" s="6">
        <v>924</v>
      </c>
      <c r="DD147" s="6"/>
      <c r="DE147" s="6">
        <f t="shared" si="74"/>
        <v>379</v>
      </c>
      <c r="DF147" s="6">
        <v>1287</v>
      </c>
      <c r="DG147" s="6"/>
      <c r="DH147" s="6">
        <f t="shared" si="75"/>
        <v>363</v>
      </c>
      <c r="DI147" s="6"/>
      <c r="DJ147" s="6"/>
      <c r="DK147" s="6"/>
      <c r="DL147" s="6">
        <v>109</v>
      </c>
      <c r="DM147" s="6">
        <v>1560</v>
      </c>
      <c r="DN147" s="6">
        <f t="shared" si="76"/>
        <v>382</v>
      </c>
      <c r="DO147" s="6">
        <v>455</v>
      </c>
      <c r="DP147" s="6"/>
      <c r="DQ147" s="6">
        <f t="shared" si="77"/>
        <v>346</v>
      </c>
    </row>
    <row r="148" spans="1:121" ht="15.75" customHeight="1">
      <c r="A148" s="6">
        <v>144</v>
      </c>
      <c r="B148" s="6">
        <v>270</v>
      </c>
      <c r="C148" s="6">
        <v>1560</v>
      </c>
      <c r="D148" s="6">
        <v>329</v>
      </c>
      <c r="E148" s="33" t="s">
        <v>37</v>
      </c>
      <c r="F148" s="33" t="s">
        <v>37</v>
      </c>
      <c r="G148" s="33" t="s">
        <v>37</v>
      </c>
      <c r="H148" s="33" t="s">
        <v>37</v>
      </c>
      <c r="I148" s="33" t="s">
        <v>37</v>
      </c>
      <c r="J148" s="33" t="s">
        <v>37</v>
      </c>
      <c r="K148" s="33" t="s">
        <v>37</v>
      </c>
      <c r="L148" s="33" t="s">
        <v>37</v>
      </c>
      <c r="M148" s="33" t="s">
        <v>37</v>
      </c>
      <c r="N148" s="33" t="s">
        <v>37</v>
      </c>
      <c r="O148" s="33" t="s">
        <v>37</v>
      </c>
      <c r="P148" s="33" t="s">
        <v>37</v>
      </c>
      <c r="Q148" s="33" t="s">
        <v>37</v>
      </c>
      <c r="R148" s="148" t="s">
        <v>37</v>
      </c>
      <c r="S148" s="33" t="s">
        <v>37</v>
      </c>
      <c r="T148" s="33" t="s">
        <v>37</v>
      </c>
      <c r="U148" s="33" t="s">
        <v>37</v>
      </c>
      <c r="V148" s="33" t="s">
        <v>37</v>
      </c>
      <c r="W148" s="33" t="s">
        <v>37</v>
      </c>
      <c r="X148" s="33" t="s">
        <v>37</v>
      </c>
      <c r="Y148" s="33" t="s">
        <v>37</v>
      </c>
      <c r="Z148" s="33" t="s">
        <v>37</v>
      </c>
      <c r="AA148" s="33" t="s">
        <v>37</v>
      </c>
      <c r="AB148" s="33" t="s">
        <v>37</v>
      </c>
      <c r="AC148" s="33" t="s">
        <v>37</v>
      </c>
      <c r="AD148" s="33" t="s">
        <v>37</v>
      </c>
      <c r="AE148" s="33" t="s">
        <v>37</v>
      </c>
      <c r="AF148" s="6">
        <v>661</v>
      </c>
      <c r="AG148" s="6"/>
      <c r="AH148" s="35">
        <f t="shared" si="52"/>
        <v>391</v>
      </c>
      <c r="AI148" s="6">
        <v>1036</v>
      </c>
      <c r="AJ148" s="6"/>
      <c r="AK148" s="35">
        <f t="shared" si="53"/>
        <v>375</v>
      </c>
      <c r="AL148" s="35">
        <v>1417</v>
      </c>
      <c r="AM148" s="35"/>
      <c r="AN148" s="35">
        <f t="shared" si="54"/>
        <v>381</v>
      </c>
      <c r="AO148" s="6">
        <v>236</v>
      </c>
      <c r="AP148" s="6">
        <v>1560</v>
      </c>
      <c r="AQ148" s="35">
        <f t="shared" si="55"/>
        <v>379</v>
      </c>
      <c r="AR148" s="6">
        <v>616</v>
      </c>
      <c r="AS148" s="6"/>
      <c r="AT148" s="34">
        <f t="shared" si="56"/>
        <v>380</v>
      </c>
      <c r="AU148" s="35">
        <v>961</v>
      </c>
      <c r="AV148" s="35"/>
      <c r="AW148" s="35">
        <f t="shared" si="57"/>
        <v>345</v>
      </c>
      <c r="AX148" s="6"/>
      <c r="AY148" s="6"/>
      <c r="AZ148" s="35"/>
      <c r="BA148" s="6">
        <v>1345</v>
      </c>
      <c r="BB148" s="35"/>
      <c r="BC148" s="35">
        <f t="shared" si="58"/>
        <v>384</v>
      </c>
      <c r="BD148" s="6">
        <v>163</v>
      </c>
      <c r="BE148" s="6">
        <v>1560</v>
      </c>
      <c r="BF148" s="35">
        <f t="shared" si="59"/>
        <v>378</v>
      </c>
      <c r="BG148" s="6">
        <v>545</v>
      </c>
      <c r="BH148" s="6"/>
      <c r="BI148" s="35">
        <f t="shared" si="60"/>
        <v>382</v>
      </c>
      <c r="BJ148" s="6">
        <v>916</v>
      </c>
      <c r="BK148" s="6"/>
      <c r="BL148" s="35">
        <f t="shared" si="61"/>
        <v>371</v>
      </c>
      <c r="BM148" s="6">
        <v>1294</v>
      </c>
      <c r="BN148" s="35"/>
      <c r="BO148" s="6">
        <f t="shared" si="62"/>
        <v>378</v>
      </c>
      <c r="BP148" s="6">
        <v>1654</v>
      </c>
      <c r="BQ148" s="6"/>
      <c r="BR148" s="6">
        <f t="shared" si="63"/>
        <v>360</v>
      </c>
      <c r="BS148" s="6"/>
      <c r="BT148" s="6"/>
      <c r="BU148" s="35"/>
      <c r="BV148" s="6">
        <v>356</v>
      </c>
      <c r="BW148" s="6">
        <v>1672</v>
      </c>
      <c r="BX148" s="6">
        <f t="shared" si="64"/>
        <v>374</v>
      </c>
      <c r="BY148" s="6">
        <v>743</v>
      </c>
      <c r="BZ148" s="6"/>
      <c r="CA148" s="35">
        <f t="shared" si="65"/>
        <v>387</v>
      </c>
      <c r="CB148" s="6">
        <v>1138</v>
      </c>
      <c r="CC148" s="35"/>
      <c r="CD148" s="6">
        <f t="shared" si="66"/>
        <v>395</v>
      </c>
      <c r="CE148" s="6">
        <v>1531</v>
      </c>
      <c r="CF148" s="6"/>
      <c r="CG148" s="6">
        <f t="shared" si="67"/>
        <v>393</v>
      </c>
      <c r="CH148" s="7">
        <v>357</v>
      </c>
      <c r="CI148" s="35">
        <v>1565</v>
      </c>
      <c r="CJ148" s="6">
        <f t="shared" si="68"/>
        <v>391</v>
      </c>
      <c r="CK148" s="6">
        <v>744</v>
      </c>
      <c r="CL148" s="6"/>
      <c r="CM148" s="6">
        <f t="shared" si="69"/>
        <v>387</v>
      </c>
      <c r="CN148" s="6"/>
      <c r="CO148" s="6"/>
      <c r="CP148" s="6"/>
      <c r="CQ148" s="6">
        <v>1138</v>
      </c>
      <c r="CR148" s="6"/>
      <c r="CS148" s="6">
        <f t="shared" si="70"/>
        <v>394</v>
      </c>
      <c r="CT148" s="6">
        <v>1520</v>
      </c>
      <c r="CU148" s="6"/>
      <c r="CV148" s="6">
        <f t="shared" si="71"/>
        <v>382</v>
      </c>
      <c r="CW148" s="6">
        <v>345</v>
      </c>
      <c r="CX148" s="6">
        <v>1560</v>
      </c>
      <c r="CY148" s="6">
        <f t="shared" si="72"/>
        <v>385</v>
      </c>
      <c r="CZ148" s="6">
        <v>736</v>
      </c>
      <c r="DA148" s="6"/>
      <c r="DB148" s="6">
        <f t="shared" si="73"/>
        <v>391</v>
      </c>
      <c r="DC148" s="6">
        <v>1125</v>
      </c>
      <c r="DD148" s="6"/>
      <c r="DE148" s="6">
        <f t="shared" si="74"/>
        <v>389</v>
      </c>
      <c r="DF148" s="6">
        <v>1496</v>
      </c>
      <c r="DG148" s="6"/>
      <c r="DH148" s="6">
        <f t="shared" si="75"/>
        <v>371</v>
      </c>
      <c r="DI148" s="6"/>
      <c r="DJ148" s="6"/>
      <c r="DK148" s="6"/>
      <c r="DL148" s="6">
        <v>317</v>
      </c>
      <c r="DM148" s="6">
        <v>1560</v>
      </c>
      <c r="DN148" s="6">
        <f t="shared" si="76"/>
        <v>381</v>
      </c>
      <c r="DO148" s="6">
        <v>683</v>
      </c>
      <c r="DP148" s="6"/>
      <c r="DQ148" s="6">
        <f t="shared" si="77"/>
        <v>366</v>
      </c>
    </row>
    <row r="149" spans="1:121">
      <c r="A149" s="7">
        <v>145</v>
      </c>
      <c r="B149" s="6">
        <v>250</v>
      </c>
      <c r="C149" s="6">
        <v>1075</v>
      </c>
      <c r="D149" s="6">
        <v>325</v>
      </c>
      <c r="E149" s="148" t="s">
        <v>37</v>
      </c>
      <c r="F149" s="33" t="s">
        <v>37</v>
      </c>
      <c r="G149" s="33" t="s">
        <v>37</v>
      </c>
      <c r="H149" s="33" t="s">
        <v>37</v>
      </c>
      <c r="I149" s="33" t="s">
        <v>37</v>
      </c>
      <c r="J149" s="33" t="s">
        <v>37</v>
      </c>
      <c r="K149" s="33" t="s">
        <v>37</v>
      </c>
      <c r="L149" s="33" t="s">
        <v>37</v>
      </c>
      <c r="M149" s="33" t="s">
        <v>37</v>
      </c>
      <c r="N149" s="33" t="s">
        <v>37</v>
      </c>
      <c r="O149" s="33" t="s">
        <v>37</v>
      </c>
      <c r="P149" s="33" t="s">
        <v>37</v>
      </c>
      <c r="Q149" s="33" t="s">
        <v>37</v>
      </c>
      <c r="R149" s="33" t="s">
        <v>37</v>
      </c>
      <c r="S149" s="33" t="s">
        <v>37</v>
      </c>
      <c r="T149" s="33" t="s">
        <v>37</v>
      </c>
      <c r="U149" s="33" t="s">
        <v>37</v>
      </c>
      <c r="V149" s="33" t="s">
        <v>37</v>
      </c>
      <c r="W149" s="33" t="s">
        <v>37</v>
      </c>
      <c r="X149" s="33" t="s">
        <v>37</v>
      </c>
      <c r="Y149" s="33" t="s">
        <v>37</v>
      </c>
      <c r="Z149" s="148" t="s">
        <v>37</v>
      </c>
      <c r="AA149" s="33" t="s">
        <v>37</v>
      </c>
      <c r="AB149" s="33" t="s">
        <v>37</v>
      </c>
      <c r="AC149" s="33" t="s">
        <v>37</v>
      </c>
      <c r="AD149" s="33" t="s">
        <v>37</v>
      </c>
      <c r="AE149" s="33" t="s">
        <v>37</v>
      </c>
      <c r="AF149" s="35">
        <v>658</v>
      </c>
      <c r="AG149" s="35"/>
      <c r="AH149" s="35">
        <f t="shared" si="52"/>
        <v>408</v>
      </c>
      <c r="AI149" s="35">
        <v>1010</v>
      </c>
      <c r="AJ149" s="35"/>
      <c r="AK149" s="35">
        <f t="shared" si="53"/>
        <v>352</v>
      </c>
      <c r="AL149" s="35">
        <v>1387</v>
      </c>
      <c r="AM149" s="35"/>
      <c r="AN149" s="35">
        <f t="shared" si="54"/>
        <v>377</v>
      </c>
      <c r="AO149" s="6">
        <v>306</v>
      </c>
      <c r="AP149" s="6">
        <v>1398</v>
      </c>
      <c r="AQ149" s="35">
        <f t="shared" si="55"/>
        <v>317</v>
      </c>
      <c r="AR149" s="6">
        <v>687</v>
      </c>
      <c r="AS149" s="6"/>
      <c r="AT149" s="34">
        <f t="shared" si="56"/>
        <v>381</v>
      </c>
      <c r="AU149" s="35">
        <v>1040</v>
      </c>
      <c r="AV149" s="35"/>
      <c r="AW149" s="35">
        <f t="shared" si="57"/>
        <v>353</v>
      </c>
      <c r="AX149" s="35"/>
      <c r="AY149" s="6"/>
      <c r="AZ149" s="35"/>
      <c r="BA149" s="6">
        <v>1421</v>
      </c>
      <c r="BB149" s="6"/>
      <c r="BC149" s="35">
        <f t="shared" si="58"/>
        <v>381</v>
      </c>
      <c r="BD149" s="35">
        <v>238</v>
      </c>
      <c r="BE149" s="35">
        <v>1560</v>
      </c>
      <c r="BF149" s="35">
        <f t="shared" si="59"/>
        <v>377</v>
      </c>
      <c r="BG149" s="6">
        <v>620</v>
      </c>
      <c r="BH149" s="6"/>
      <c r="BI149" s="35">
        <f t="shared" si="60"/>
        <v>382</v>
      </c>
      <c r="BJ149" s="6">
        <v>1002</v>
      </c>
      <c r="BK149" s="6"/>
      <c r="BL149" s="35">
        <f t="shared" si="61"/>
        <v>382</v>
      </c>
      <c r="BM149" s="6">
        <v>1376</v>
      </c>
      <c r="BN149" s="6"/>
      <c r="BO149" s="6">
        <f t="shared" si="62"/>
        <v>374</v>
      </c>
      <c r="BP149" s="6">
        <v>170</v>
      </c>
      <c r="BQ149" s="6">
        <v>1560</v>
      </c>
      <c r="BR149" s="6">
        <f t="shared" si="63"/>
        <v>354</v>
      </c>
      <c r="BS149" s="6"/>
      <c r="BT149" s="6"/>
      <c r="BU149" s="35"/>
      <c r="BV149" s="6">
        <v>553</v>
      </c>
      <c r="BW149" s="6"/>
      <c r="BX149" s="6">
        <f t="shared" si="64"/>
        <v>383</v>
      </c>
      <c r="BY149" s="6">
        <v>924</v>
      </c>
      <c r="BZ149" s="6"/>
      <c r="CA149" s="35">
        <f t="shared" si="65"/>
        <v>371</v>
      </c>
      <c r="CB149" s="6">
        <v>1309</v>
      </c>
      <c r="CC149" s="6"/>
      <c r="CD149" s="6">
        <f t="shared" si="66"/>
        <v>385</v>
      </c>
      <c r="CE149" s="6">
        <v>137</v>
      </c>
      <c r="CF149" s="6">
        <v>1560</v>
      </c>
      <c r="CG149" s="6">
        <f t="shared" si="67"/>
        <v>388</v>
      </c>
      <c r="CH149" s="7">
        <v>523</v>
      </c>
      <c r="CI149" s="6"/>
      <c r="CJ149" s="6">
        <f t="shared" si="68"/>
        <v>386</v>
      </c>
      <c r="CK149" s="6">
        <v>25</v>
      </c>
      <c r="CL149" s="6">
        <v>878</v>
      </c>
      <c r="CM149" s="6">
        <f t="shared" si="69"/>
        <v>380</v>
      </c>
      <c r="CN149" s="6"/>
      <c r="CO149" s="6"/>
      <c r="CP149" s="6"/>
      <c r="CQ149" s="6">
        <v>418</v>
      </c>
      <c r="CR149" s="6"/>
      <c r="CS149" s="6">
        <f t="shared" si="70"/>
        <v>393</v>
      </c>
      <c r="CT149" s="6">
        <v>802</v>
      </c>
      <c r="CU149" s="6"/>
      <c r="CV149" s="6">
        <f t="shared" si="71"/>
        <v>384</v>
      </c>
      <c r="CW149" s="6">
        <v>289</v>
      </c>
      <c r="CX149" s="6">
        <v>888</v>
      </c>
      <c r="CY149" s="6">
        <f t="shared" si="72"/>
        <v>375</v>
      </c>
      <c r="CZ149" s="6">
        <v>676</v>
      </c>
      <c r="DA149" s="6"/>
      <c r="DB149" s="6">
        <f t="shared" si="73"/>
        <v>387</v>
      </c>
      <c r="DC149" s="6">
        <v>1066</v>
      </c>
      <c r="DD149" s="6"/>
      <c r="DE149" s="6">
        <f t="shared" si="74"/>
        <v>390</v>
      </c>
      <c r="DF149" s="6">
        <v>1436</v>
      </c>
      <c r="DG149" s="6"/>
      <c r="DH149" s="6">
        <f t="shared" si="75"/>
        <v>370</v>
      </c>
      <c r="DI149" s="6"/>
      <c r="DJ149" s="6"/>
      <c r="DK149" s="6"/>
      <c r="DL149" s="6">
        <v>264</v>
      </c>
      <c r="DM149" s="6">
        <v>1565</v>
      </c>
      <c r="DN149" s="6">
        <f t="shared" si="76"/>
        <v>393</v>
      </c>
      <c r="DO149" s="6">
        <v>624</v>
      </c>
      <c r="DP149" s="6"/>
      <c r="DQ149" s="6">
        <f t="shared" si="77"/>
        <v>360</v>
      </c>
    </row>
    <row r="150" spans="1:121">
      <c r="A150" s="6">
        <v>146</v>
      </c>
      <c r="B150" s="6">
        <v>1215</v>
      </c>
      <c r="C150" s="6"/>
      <c r="D150" s="6">
        <v>352</v>
      </c>
      <c r="E150" s="33" t="s">
        <v>37</v>
      </c>
      <c r="F150" s="33" t="s">
        <v>37</v>
      </c>
      <c r="G150" s="148" t="s">
        <v>37</v>
      </c>
      <c r="H150" s="33" t="s">
        <v>37</v>
      </c>
      <c r="I150" s="33" t="s">
        <v>37</v>
      </c>
      <c r="J150" s="33" t="s">
        <v>37</v>
      </c>
      <c r="K150" s="33" t="s">
        <v>37</v>
      </c>
      <c r="L150" s="33" t="s">
        <v>37</v>
      </c>
      <c r="M150" s="33" t="s">
        <v>37</v>
      </c>
      <c r="N150" s="33" t="s">
        <v>37</v>
      </c>
      <c r="O150" s="33" t="s">
        <v>37</v>
      </c>
      <c r="P150" s="33" t="s">
        <v>37</v>
      </c>
      <c r="Q150" s="33" t="s">
        <v>37</v>
      </c>
      <c r="R150" s="33" t="s">
        <v>37</v>
      </c>
      <c r="S150" s="33" t="s">
        <v>37</v>
      </c>
      <c r="T150" s="33" t="s">
        <v>37</v>
      </c>
      <c r="U150" s="33" t="s">
        <v>37</v>
      </c>
      <c r="V150" s="33" t="s">
        <v>37</v>
      </c>
      <c r="W150" s="33" t="s">
        <v>37</v>
      </c>
      <c r="X150" s="33" t="s">
        <v>37</v>
      </c>
      <c r="Y150" s="33" t="s">
        <v>37</v>
      </c>
      <c r="Z150" s="33" t="s">
        <v>37</v>
      </c>
      <c r="AA150" s="33" t="s">
        <v>37</v>
      </c>
      <c r="AB150" s="148" t="s">
        <v>37</v>
      </c>
      <c r="AC150" s="33" t="s">
        <v>37</v>
      </c>
      <c r="AD150" s="33" t="s">
        <v>37</v>
      </c>
      <c r="AE150" s="33" t="s">
        <v>37</v>
      </c>
      <c r="AF150" s="6">
        <v>0</v>
      </c>
      <c r="AG150" s="6">
        <v>1593</v>
      </c>
      <c r="AH150" s="35">
        <f t="shared" si="52"/>
        <v>378</v>
      </c>
      <c r="AI150" s="6">
        <v>362</v>
      </c>
      <c r="AJ150" s="6"/>
      <c r="AK150" s="35">
        <f t="shared" si="53"/>
        <v>362</v>
      </c>
      <c r="AL150" s="35">
        <v>733</v>
      </c>
      <c r="AM150" s="35"/>
      <c r="AN150" s="35">
        <f t="shared" si="54"/>
        <v>371</v>
      </c>
      <c r="AO150" s="6">
        <v>1087</v>
      </c>
      <c r="AP150" s="6"/>
      <c r="AQ150" s="35">
        <f t="shared" si="55"/>
        <v>354</v>
      </c>
      <c r="AR150" s="6">
        <v>1470</v>
      </c>
      <c r="AS150" s="6"/>
      <c r="AT150" s="34">
        <f t="shared" si="56"/>
        <v>383</v>
      </c>
      <c r="AU150" s="35">
        <v>267</v>
      </c>
      <c r="AV150" s="35">
        <v>1560</v>
      </c>
      <c r="AW150" s="35">
        <f t="shared" si="57"/>
        <v>357</v>
      </c>
      <c r="AX150" s="6"/>
      <c r="AY150" s="6"/>
      <c r="AZ150" s="35"/>
      <c r="BA150" s="6">
        <v>642</v>
      </c>
      <c r="BB150" s="6"/>
      <c r="BC150" s="35">
        <f t="shared" si="58"/>
        <v>375</v>
      </c>
      <c r="BD150" s="6">
        <v>1007</v>
      </c>
      <c r="BE150" s="6"/>
      <c r="BF150" s="35">
        <f t="shared" si="59"/>
        <v>365</v>
      </c>
      <c r="BG150" s="6">
        <v>1329</v>
      </c>
      <c r="BH150" s="6"/>
      <c r="BI150" s="35">
        <f t="shared" si="60"/>
        <v>322</v>
      </c>
      <c r="BJ150" s="6">
        <v>144</v>
      </c>
      <c r="BK150" s="6">
        <v>1560</v>
      </c>
      <c r="BL150" s="35">
        <f t="shared" si="61"/>
        <v>375</v>
      </c>
      <c r="BM150" s="6">
        <v>517</v>
      </c>
      <c r="BN150" s="35"/>
      <c r="BO150" s="6">
        <f t="shared" si="62"/>
        <v>373</v>
      </c>
      <c r="BP150" s="6">
        <v>880</v>
      </c>
      <c r="BQ150" s="6"/>
      <c r="BR150" s="6">
        <f t="shared" si="63"/>
        <v>363</v>
      </c>
      <c r="BS150" s="6"/>
      <c r="BT150" s="6"/>
      <c r="BU150" s="35"/>
      <c r="BV150" s="6">
        <v>1265</v>
      </c>
      <c r="BW150" s="6"/>
      <c r="BX150" s="6">
        <f t="shared" si="64"/>
        <v>385</v>
      </c>
      <c r="BY150" s="6">
        <v>84</v>
      </c>
      <c r="BZ150" s="6">
        <v>1560</v>
      </c>
      <c r="CA150" s="35">
        <f t="shared" si="65"/>
        <v>379</v>
      </c>
      <c r="CB150" s="6">
        <v>462</v>
      </c>
      <c r="CC150" s="35"/>
      <c r="CD150" s="6">
        <f t="shared" si="66"/>
        <v>378</v>
      </c>
      <c r="CE150" s="6">
        <v>839</v>
      </c>
      <c r="CF150" s="6"/>
      <c r="CG150" s="6">
        <f t="shared" si="67"/>
        <v>377</v>
      </c>
      <c r="CH150" s="7">
        <v>1213</v>
      </c>
      <c r="CI150" s="35"/>
      <c r="CJ150" s="6">
        <f t="shared" si="68"/>
        <v>374</v>
      </c>
      <c r="CK150" s="6">
        <v>23</v>
      </c>
      <c r="CL150" s="6">
        <v>1558</v>
      </c>
      <c r="CM150" s="6">
        <f t="shared" si="69"/>
        <v>368</v>
      </c>
      <c r="CN150" s="6"/>
      <c r="CO150" s="6"/>
      <c r="CP150" s="6"/>
      <c r="CQ150" s="6">
        <v>410</v>
      </c>
      <c r="CR150" s="6"/>
      <c r="CS150" s="6">
        <f t="shared" si="70"/>
        <v>387</v>
      </c>
      <c r="CT150" s="6">
        <v>782</v>
      </c>
      <c r="CU150" s="6"/>
      <c r="CV150" s="6">
        <f t="shared" si="71"/>
        <v>372</v>
      </c>
      <c r="CW150" s="6">
        <v>1162</v>
      </c>
      <c r="CX150" s="6"/>
      <c r="CY150" s="6">
        <f t="shared" si="72"/>
        <v>380</v>
      </c>
      <c r="CZ150" s="6">
        <v>1544</v>
      </c>
      <c r="DA150" s="6"/>
      <c r="DB150" s="6">
        <f t="shared" si="73"/>
        <v>382</v>
      </c>
      <c r="DC150" s="6">
        <v>278</v>
      </c>
      <c r="DD150" s="6">
        <v>1627</v>
      </c>
      <c r="DE150" s="6">
        <f t="shared" si="74"/>
        <v>361</v>
      </c>
      <c r="DF150" s="6">
        <v>642</v>
      </c>
      <c r="DG150" s="6"/>
      <c r="DH150" s="6">
        <f t="shared" si="75"/>
        <v>364</v>
      </c>
      <c r="DI150" s="6"/>
      <c r="DJ150" s="6"/>
      <c r="DK150" s="6"/>
      <c r="DL150" s="6">
        <v>1032</v>
      </c>
      <c r="DM150" s="6"/>
      <c r="DN150" s="6">
        <f t="shared" si="76"/>
        <v>390</v>
      </c>
      <c r="DO150" s="6">
        <v>1391</v>
      </c>
      <c r="DP150" s="6"/>
      <c r="DQ150" s="6">
        <f t="shared" si="77"/>
        <v>359</v>
      </c>
    </row>
    <row r="151" spans="1:121">
      <c r="A151" s="6">
        <v>147</v>
      </c>
      <c r="B151" s="6">
        <v>1445</v>
      </c>
      <c r="C151" s="6"/>
      <c r="D151" s="6">
        <v>333</v>
      </c>
      <c r="E151" s="33" t="s">
        <v>37</v>
      </c>
      <c r="F151" s="33" t="s">
        <v>37</v>
      </c>
      <c r="G151" s="148" t="s">
        <v>37</v>
      </c>
      <c r="H151" s="33" t="s">
        <v>37</v>
      </c>
      <c r="I151" s="33" t="s">
        <v>37</v>
      </c>
      <c r="J151" s="33" t="s">
        <v>37</v>
      </c>
      <c r="K151" s="33" t="s">
        <v>37</v>
      </c>
      <c r="L151" s="33" t="s">
        <v>37</v>
      </c>
      <c r="M151" s="33" t="s">
        <v>37</v>
      </c>
      <c r="N151" s="33" t="s">
        <v>37</v>
      </c>
      <c r="O151" s="33" t="s">
        <v>37</v>
      </c>
      <c r="P151" s="33" t="s">
        <v>37</v>
      </c>
      <c r="Q151" s="33" t="s">
        <v>37</v>
      </c>
      <c r="R151" s="33" t="s">
        <v>37</v>
      </c>
      <c r="S151" s="33" t="s">
        <v>37</v>
      </c>
      <c r="T151" s="33" t="s">
        <v>37</v>
      </c>
      <c r="U151" s="33" t="s">
        <v>37</v>
      </c>
      <c r="V151" s="33" t="s">
        <v>37</v>
      </c>
      <c r="W151" s="33" t="s">
        <v>37</v>
      </c>
      <c r="X151" s="33" t="s">
        <v>37</v>
      </c>
      <c r="Y151" s="33" t="s">
        <v>37</v>
      </c>
      <c r="Z151" s="33" t="s">
        <v>37</v>
      </c>
      <c r="AA151" s="33" t="s">
        <v>37</v>
      </c>
      <c r="AB151" s="148" t="s">
        <v>37</v>
      </c>
      <c r="AC151" s="33" t="s">
        <v>37</v>
      </c>
      <c r="AD151" s="33" t="s">
        <v>37</v>
      </c>
      <c r="AE151" s="33" t="s">
        <v>37</v>
      </c>
      <c r="AF151" s="6">
        <v>0</v>
      </c>
      <c r="AG151" s="35">
        <v>1623</v>
      </c>
      <c r="AH151" s="35">
        <f t="shared" si="52"/>
        <v>178</v>
      </c>
      <c r="AI151" s="6">
        <v>357</v>
      </c>
      <c r="AJ151" s="35"/>
      <c r="AK151" s="35">
        <f t="shared" si="53"/>
        <v>357</v>
      </c>
      <c r="AL151" s="35">
        <v>729</v>
      </c>
      <c r="AM151" s="35"/>
      <c r="AN151" s="35">
        <f t="shared" si="54"/>
        <v>372</v>
      </c>
      <c r="AO151" s="6">
        <v>1110</v>
      </c>
      <c r="AP151" s="6"/>
      <c r="AQ151" s="35">
        <f t="shared" si="55"/>
        <v>381</v>
      </c>
      <c r="AR151" s="6">
        <v>1489</v>
      </c>
      <c r="AS151" s="6"/>
      <c r="AT151" s="34">
        <f t="shared" si="56"/>
        <v>379</v>
      </c>
      <c r="AU151" s="35">
        <v>288</v>
      </c>
      <c r="AV151" s="35">
        <v>1560</v>
      </c>
      <c r="AW151" s="35">
        <f t="shared" si="57"/>
        <v>359</v>
      </c>
      <c r="AX151" s="6"/>
      <c r="AY151" s="6"/>
      <c r="AZ151" s="35"/>
      <c r="BA151" s="6">
        <v>672</v>
      </c>
      <c r="BB151" s="6"/>
      <c r="BC151" s="35">
        <f t="shared" si="58"/>
        <v>384</v>
      </c>
      <c r="BD151" s="6">
        <v>1045</v>
      </c>
      <c r="BE151" s="6"/>
      <c r="BF151" s="35">
        <f t="shared" si="59"/>
        <v>373</v>
      </c>
      <c r="BG151" s="6">
        <v>1426</v>
      </c>
      <c r="BH151" s="6"/>
      <c r="BI151" s="35">
        <f t="shared" si="60"/>
        <v>381</v>
      </c>
      <c r="BJ151" s="6">
        <v>247</v>
      </c>
      <c r="BK151" s="6">
        <v>1560</v>
      </c>
      <c r="BL151" s="35">
        <f t="shared" si="61"/>
        <v>381</v>
      </c>
      <c r="BM151" s="6">
        <v>630</v>
      </c>
      <c r="BN151" s="35"/>
      <c r="BO151" s="6">
        <f t="shared" si="62"/>
        <v>383</v>
      </c>
      <c r="BP151" s="6">
        <v>988</v>
      </c>
      <c r="BQ151" s="6"/>
      <c r="BR151" s="6">
        <f t="shared" si="63"/>
        <v>358</v>
      </c>
      <c r="BS151" s="6"/>
      <c r="BT151" s="6"/>
      <c r="BU151" s="35"/>
      <c r="BV151" s="6">
        <v>1375</v>
      </c>
      <c r="BW151" s="6"/>
      <c r="BX151" s="6">
        <f t="shared" si="64"/>
        <v>387</v>
      </c>
      <c r="BY151" s="6">
        <v>188</v>
      </c>
      <c r="BZ151" s="6">
        <v>1560</v>
      </c>
      <c r="CA151" s="35">
        <f t="shared" si="65"/>
        <v>373</v>
      </c>
      <c r="CB151" s="6">
        <v>569</v>
      </c>
      <c r="CC151" s="35"/>
      <c r="CD151" s="6">
        <f t="shared" si="66"/>
        <v>381</v>
      </c>
      <c r="CE151" s="6">
        <v>943</v>
      </c>
      <c r="CF151" s="6"/>
      <c r="CG151" s="6">
        <f t="shared" si="67"/>
        <v>374</v>
      </c>
      <c r="CH151" s="7">
        <v>1319</v>
      </c>
      <c r="CI151" s="35"/>
      <c r="CJ151" s="6">
        <f t="shared" si="68"/>
        <v>376</v>
      </c>
      <c r="CK151" s="6">
        <v>126</v>
      </c>
      <c r="CL151" s="6">
        <v>1560</v>
      </c>
      <c r="CM151" s="6">
        <f t="shared" si="69"/>
        <v>367</v>
      </c>
      <c r="CN151" s="6"/>
      <c r="CO151" s="6"/>
      <c r="CP151" s="6"/>
      <c r="CQ151" s="6">
        <v>512</v>
      </c>
      <c r="CR151" s="6"/>
      <c r="CS151" s="6">
        <f t="shared" si="70"/>
        <v>386</v>
      </c>
      <c r="CT151" s="6">
        <v>888</v>
      </c>
      <c r="CU151" s="6"/>
      <c r="CV151" s="6">
        <f t="shared" si="71"/>
        <v>376</v>
      </c>
      <c r="CW151" s="6">
        <v>1270</v>
      </c>
      <c r="CX151" s="6"/>
      <c r="CY151" s="6">
        <f t="shared" si="72"/>
        <v>382</v>
      </c>
      <c r="CZ151" s="6">
        <v>0</v>
      </c>
      <c r="DA151" s="6">
        <v>1627</v>
      </c>
      <c r="DB151" s="6">
        <f t="shared" si="73"/>
        <v>357</v>
      </c>
      <c r="DC151" s="6">
        <v>364</v>
      </c>
      <c r="DD151" s="6"/>
      <c r="DE151" s="6">
        <f t="shared" si="74"/>
        <v>364</v>
      </c>
      <c r="DF151" s="6">
        <v>723</v>
      </c>
      <c r="DG151" s="6"/>
      <c r="DH151" s="6">
        <f t="shared" si="75"/>
        <v>359</v>
      </c>
      <c r="DI151" s="6"/>
      <c r="DJ151" s="6"/>
      <c r="DK151" s="6"/>
      <c r="DL151" s="6">
        <v>1113</v>
      </c>
      <c r="DM151" s="6"/>
      <c r="DN151" s="6">
        <f t="shared" si="76"/>
        <v>390</v>
      </c>
      <c r="DO151" s="6">
        <v>1475</v>
      </c>
      <c r="DP151" s="6"/>
      <c r="DQ151" s="6">
        <f t="shared" si="77"/>
        <v>362</v>
      </c>
    </row>
    <row r="152" spans="1:121">
      <c r="A152" s="6">
        <v>148</v>
      </c>
      <c r="B152" s="6">
        <v>1231</v>
      </c>
      <c r="C152" s="6"/>
      <c r="D152" s="6">
        <v>345</v>
      </c>
      <c r="E152" s="33" t="s">
        <v>37</v>
      </c>
      <c r="F152" s="33" t="s">
        <v>37</v>
      </c>
      <c r="G152" s="33" t="s">
        <v>37</v>
      </c>
      <c r="H152" s="33" t="s">
        <v>37</v>
      </c>
      <c r="I152" s="33" t="s">
        <v>37</v>
      </c>
      <c r="J152" s="33" t="s">
        <v>37</v>
      </c>
      <c r="K152" s="33" t="s">
        <v>37</v>
      </c>
      <c r="L152" s="33" t="s">
        <v>37</v>
      </c>
      <c r="M152" s="33" t="s">
        <v>37</v>
      </c>
      <c r="N152" s="33" t="s">
        <v>37</v>
      </c>
      <c r="O152" s="148" t="s">
        <v>37</v>
      </c>
      <c r="P152" s="33" t="s">
        <v>37</v>
      </c>
      <c r="Q152" s="33" t="s">
        <v>37</v>
      </c>
      <c r="R152" s="33" t="s">
        <v>37</v>
      </c>
      <c r="S152" s="33" t="s">
        <v>37</v>
      </c>
      <c r="T152" s="33" t="s">
        <v>37</v>
      </c>
      <c r="U152" s="33" t="s">
        <v>37</v>
      </c>
      <c r="V152" s="33" t="s">
        <v>37</v>
      </c>
      <c r="W152" s="33" t="s">
        <v>37</v>
      </c>
      <c r="X152" s="33" t="s">
        <v>37</v>
      </c>
      <c r="Y152" s="33" t="s">
        <v>37</v>
      </c>
      <c r="Z152" s="33" t="s">
        <v>37</v>
      </c>
      <c r="AA152" s="33" t="s">
        <v>37</v>
      </c>
      <c r="AB152" s="33" t="s">
        <v>37</v>
      </c>
      <c r="AC152" s="33" t="s">
        <v>37</v>
      </c>
      <c r="AD152" s="33" t="s">
        <v>37</v>
      </c>
      <c r="AE152" s="33" t="s">
        <v>37</v>
      </c>
      <c r="AF152" s="6">
        <v>79</v>
      </c>
      <c r="AG152" s="6">
        <v>1560</v>
      </c>
      <c r="AH152" s="35">
        <f t="shared" si="52"/>
        <v>408</v>
      </c>
      <c r="AI152" s="6">
        <v>455</v>
      </c>
      <c r="AJ152" s="6"/>
      <c r="AK152" s="35">
        <f t="shared" si="53"/>
        <v>376</v>
      </c>
      <c r="AL152" s="35">
        <v>838</v>
      </c>
      <c r="AM152" s="35"/>
      <c r="AN152" s="35">
        <f t="shared" si="54"/>
        <v>383</v>
      </c>
      <c r="AO152" s="6">
        <v>1217</v>
      </c>
      <c r="AP152" s="6"/>
      <c r="AQ152" s="35">
        <f t="shared" si="55"/>
        <v>379</v>
      </c>
      <c r="AR152" s="6">
        <v>35</v>
      </c>
      <c r="AS152" s="6">
        <v>1560</v>
      </c>
      <c r="AT152" s="34">
        <f t="shared" si="56"/>
        <v>378</v>
      </c>
      <c r="AU152" s="35">
        <v>395</v>
      </c>
      <c r="AV152" s="35"/>
      <c r="AW152" s="35">
        <f t="shared" si="57"/>
        <v>360</v>
      </c>
      <c r="AX152" s="6"/>
      <c r="AY152" s="6"/>
      <c r="AZ152" s="35"/>
      <c r="BA152" s="6">
        <v>142</v>
      </c>
      <c r="BB152" s="6">
        <v>602</v>
      </c>
      <c r="BC152" s="35">
        <f t="shared" si="58"/>
        <v>349</v>
      </c>
      <c r="BD152" s="6">
        <v>519</v>
      </c>
      <c r="BE152" s="6"/>
      <c r="BF152" s="35">
        <f t="shared" si="59"/>
        <v>377</v>
      </c>
      <c r="BG152" s="6">
        <v>0</v>
      </c>
      <c r="BH152" s="6">
        <v>879</v>
      </c>
      <c r="BI152" s="35">
        <f t="shared" si="60"/>
        <v>360</v>
      </c>
      <c r="BJ152" s="6">
        <v>362</v>
      </c>
      <c r="BK152" s="6"/>
      <c r="BL152" s="35">
        <f t="shared" si="61"/>
        <v>362</v>
      </c>
      <c r="BM152" s="6">
        <v>745</v>
      </c>
      <c r="BN152" s="35"/>
      <c r="BO152" s="6">
        <f t="shared" si="62"/>
        <v>383</v>
      </c>
      <c r="BP152" s="6">
        <v>1106</v>
      </c>
      <c r="BQ152" s="6"/>
      <c r="BR152" s="6">
        <f t="shared" si="63"/>
        <v>361</v>
      </c>
      <c r="BS152" s="6"/>
      <c r="BT152" s="6"/>
      <c r="BU152" s="35"/>
      <c r="BV152" s="6">
        <v>1487</v>
      </c>
      <c r="BW152" s="6"/>
      <c r="BX152" s="6">
        <f t="shared" si="64"/>
        <v>381</v>
      </c>
      <c r="BY152" s="6">
        <v>364</v>
      </c>
      <c r="BZ152" s="6">
        <v>1500</v>
      </c>
      <c r="CA152" s="35">
        <f t="shared" si="65"/>
        <v>377</v>
      </c>
      <c r="CB152" s="35">
        <v>749</v>
      </c>
      <c r="CC152" s="35"/>
      <c r="CD152" s="6">
        <f t="shared" si="66"/>
        <v>385</v>
      </c>
      <c r="CE152" s="6">
        <v>1135</v>
      </c>
      <c r="CF152" s="6"/>
      <c r="CG152" s="6">
        <f t="shared" si="67"/>
        <v>386</v>
      </c>
      <c r="CH152" s="7">
        <v>1522</v>
      </c>
      <c r="CI152" s="35"/>
      <c r="CJ152" s="6">
        <f t="shared" si="68"/>
        <v>387</v>
      </c>
      <c r="CK152" s="6">
        <v>330</v>
      </c>
      <c r="CL152" s="6">
        <v>1565</v>
      </c>
      <c r="CM152" s="6">
        <f t="shared" si="69"/>
        <v>373</v>
      </c>
      <c r="CN152" s="6"/>
      <c r="CO152" s="6"/>
      <c r="CP152" s="6"/>
      <c r="CQ152" s="6">
        <v>215</v>
      </c>
      <c r="CR152" s="6">
        <v>502</v>
      </c>
      <c r="CS152" s="6">
        <f t="shared" si="70"/>
        <v>387</v>
      </c>
      <c r="CT152" s="6">
        <v>598</v>
      </c>
      <c r="CU152" s="6"/>
      <c r="CV152" s="6">
        <f t="shared" si="71"/>
        <v>383</v>
      </c>
      <c r="CW152" s="6">
        <v>980</v>
      </c>
      <c r="CX152" s="6"/>
      <c r="CY152" s="6">
        <f t="shared" si="72"/>
        <v>382</v>
      </c>
      <c r="CZ152" s="6">
        <v>1365</v>
      </c>
      <c r="DA152" s="6"/>
      <c r="DB152" s="6">
        <f t="shared" si="73"/>
        <v>385</v>
      </c>
      <c r="DC152" s="6">
        <v>193</v>
      </c>
      <c r="DD152" s="6">
        <v>1560</v>
      </c>
      <c r="DE152" s="6">
        <f t="shared" si="74"/>
        <v>388</v>
      </c>
      <c r="DF152" s="6">
        <v>562</v>
      </c>
      <c r="DG152" s="6"/>
      <c r="DH152" s="6">
        <f t="shared" si="75"/>
        <v>369</v>
      </c>
      <c r="DI152" s="6"/>
      <c r="DJ152" s="6"/>
      <c r="DK152" s="6"/>
      <c r="DL152" s="6">
        <v>953</v>
      </c>
      <c r="DM152" s="6"/>
      <c r="DN152" s="6">
        <f t="shared" si="76"/>
        <v>391</v>
      </c>
      <c r="DO152" s="6">
        <v>1307</v>
      </c>
      <c r="DP152" s="6"/>
      <c r="DQ152" s="6">
        <f t="shared" si="77"/>
        <v>354</v>
      </c>
    </row>
    <row r="153" spans="1:121">
      <c r="A153" s="6">
        <v>149</v>
      </c>
      <c r="B153" s="6">
        <v>321</v>
      </c>
      <c r="C153" s="6"/>
      <c r="D153" s="6">
        <v>321</v>
      </c>
      <c r="E153" s="148" t="s">
        <v>37</v>
      </c>
      <c r="F153" s="33" t="s">
        <v>37</v>
      </c>
      <c r="G153" s="33" t="s">
        <v>37</v>
      </c>
      <c r="H153" s="33" t="s">
        <v>37</v>
      </c>
      <c r="I153" s="33" t="s">
        <v>37</v>
      </c>
      <c r="J153" s="33" t="s">
        <v>37</v>
      </c>
      <c r="K153" s="33" t="s">
        <v>37</v>
      </c>
      <c r="L153" s="33" t="s">
        <v>37</v>
      </c>
      <c r="M153" s="33" t="s">
        <v>37</v>
      </c>
      <c r="N153" s="33" t="s">
        <v>37</v>
      </c>
      <c r="O153" s="33" t="s">
        <v>37</v>
      </c>
      <c r="P153" s="33" t="s">
        <v>37</v>
      </c>
      <c r="Q153" s="33" t="s">
        <v>37</v>
      </c>
      <c r="R153" s="33" t="s">
        <v>37</v>
      </c>
      <c r="S153" s="33" t="s">
        <v>37</v>
      </c>
      <c r="T153" s="33" t="s">
        <v>37</v>
      </c>
      <c r="U153" s="33" t="s">
        <v>37</v>
      </c>
      <c r="V153" s="33" t="s">
        <v>37</v>
      </c>
      <c r="W153" s="33" t="s">
        <v>37</v>
      </c>
      <c r="X153" s="33" t="s">
        <v>37</v>
      </c>
      <c r="Y153" s="33" t="s">
        <v>37</v>
      </c>
      <c r="Z153" s="33" t="s">
        <v>37</v>
      </c>
      <c r="AA153" s="148" t="s">
        <v>37</v>
      </c>
      <c r="AB153" s="33" t="s">
        <v>37</v>
      </c>
      <c r="AC153" s="33" t="s">
        <v>37</v>
      </c>
      <c r="AD153" s="33" t="s">
        <v>37</v>
      </c>
      <c r="AE153" s="33" t="s">
        <v>37</v>
      </c>
      <c r="AF153" s="6">
        <v>724</v>
      </c>
      <c r="AG153" s="6"/>
      <c r="AH153" s="35">
        <f t="shared" si="52"/>
        <v>403</v>
      </c>
      <c r="AI153" s="6">
        <v>1099</v>
      </c>
      <c r="AJ153" s="6"/>
      <c r="AK153" s="35">
        <f t="shared" si="53"/>
        <v>375</v>
      </c>
      <c r="AL153" s="35">
        <v>23</v>
      </c>
      <c r="AM153" s="35">
        <v>1447</v>
      </c>
      <c r="AN153" s="35">
        <f t="shared" si="54"/>
        <v>371</v>
      </c>
      <c r="AO153" s="6">
        <v>305</v>
      </c>
      <c r="AP153" s="6"/>
      <c r="AQ153" s="35">
        <f t="shared" si="55"/>
        <v>282</v>
      </c>
      <c r="AR153" s="6">
        <v>674</v>
      </c>
      <c r="AS153" s="6"/>
      <c r="AT153" s="34">
        <f t="shared" si="56"/>
        <v>369</v>
      </c>
      <c r="AU153" s="35">
        <v>1020</v>
      </c>
      <c r="AV153" s="35"/>
      <c r="AW153" s="35">
        <f t="shared" si="57"/>
        <v>346</v>
      </c>
      <c r="AX153" s="6"/>
      <c r="AY153" s="6"/>
      <c r="AZ153" s="35"/>
      <c r="BA153" s="6">
        <v>1393</v>
      </c>
      <c r="BB153" s="6"/>
      <c r="BC153" s="35">
        <f t="shared" si="58"/>
        <v>373</v>
      </c>
      <c r="BD153" s="6">
        <v>201</v>
      </c>
      <c r="BE153" s="6">
        <v>1560</v>
      </c>
      <c r="BF153" s="35">
        <f t="shared" si="59"/>
        <v>368</v>
      </c>
      <c r="BG153" s="6">
        <v>572</v>
      </c>
      <c r="BH153" s="6"/>
      <c r="BI153" s="35">
        <f t="shared" si="60"/>
        <v>371</v>
      </c>
      <c r="BJ153" s="6">
        <v>942</v>
      </c>
      <c r="BK153" s="6"/>
      <c r="BL153" s="35">
        <f t="shared" si="61"/>
        <v>370</v>
      </c>
      <c r="BM153" s="6">
        <v>1313</v>
      </c>
      <c r="BN153" s="35"/>
      <c r="BO153" s="6">
        <f t="shared" si="62"/>
        <v>371</v>
      </c>
      <c r="BP153" s="6">
        <v>81</v>
      </c>
      <c r="BQ153" s="6">
        <v>1580</v>
      </c>
      <c r="BR153" s="6">
        <f t="shared" si="63"/>
        <v>348</v>
      </c>
      <c r="BS153" s="6"/>
      <c r="BT153" s="6"/>
      <c r="BU153" s="35"/>
      <c r="BV153" s="6">
        <v>456</v>
      </c>
      <c r="BW153" s="6"/>
      <c r="BX153" s="6">
        <f t="shared" si="64"/>
        <v>375</v>
      </c>
      <c r="BY153" s="6">
        <v>817</v>
      </c>
      <c r="BZ153" s="6"/>
      <c r="CA153" s="35">
        <f t="shared" si="65"/>
        <v>361</v>
      </c>
      <c r="CB153" s="6">
        <v>1195</v>
      </c>
      <c r="CC153" s="35"/>
      <c r="CD153" s="6">
        <f t="shared" si="66"/>
        <v>378</v>
      </c>
      <c r="CE153" s="6">
        <v>13</v>
      </c>
      <c r="CF153" s="6">
        <v>1560</v>
      </c>
      <c r="CG153" s="6">
        <f t="shared" si="67"/>
        <v>378</v>
      </c>
      <c r="CH153" s="7">
        <v>393</v>
      </c>
      <c r="CI153" s="35"/>
      <c r="CJ153" s="6">
        <f t="shared" si="68"/>
        <v>380</v>
      </c>
      <c r="CK153" s="6">
        <v>766</v>
      </c>
      <c r="CL153" s="6"/>
      <c r="CM153" s="6">
        <f t="shared" si="69"/>
        <v>373</v>
      </c>
      <c r="CN153" s="6"/>
      <c r="CO153" s="6"/>
      <c r="CP153" s="6"/>
      <c r="CQ153" s="6">
        <v>1151</v>
      </c>
      <c r="CR153" s="6"/>
      <c r="CS153" s="6">
        <f t="shared" si="70"/>
        <v>385</v>
      </c>
      <c r="CT153" s="6">
        <v>1531</v>
      </c>
      <c r="CU153" s="6"/>
      <c r="CV153" s="6">
        <f t="shared" si="71"/>
        <v>380</v>
      </c>
      <c r="CW153" s="6">
        <v>0</v>
      </c>
      <c r="CX153" s="6">
        <v>1727</v>
      </c>
      <c r="CY153" s="6">
        <f t="shared" si="72"/>
        <v>196</v>
      </c>
      <c r="CZ153" s="6">
        <v>366</v>
      </c>
      <c r="DA153" s="6"/>
      <c r="DB153" s="6">
        <f t="shared" si="73"/>
        <v>366</v>
      </c>
      <c r="DC153" s="6">
        <v>758</v>
      </c>
      <c r="DD153" s="6"/>
      <c r="DE153" s="6">
        <f t="shared" si="74"/>
        <v>392</v>
      </c>
      <c r="DF153" s="6">
        <v>1133</v>
      </c>
      <c r="DG153" s="6"/>
      <c r="DH153" s="6">
        <f t="shared" si="75"/>
        <v>375</v>
      </c>
      <c r="DI153" s="6"/>
      <c r="DJ153" s="6"/>
      <c r="DK153" s="6"/>
      <c r="DL153" s="6">
        <v>1524</v>
      </c>
      <c r="DM153" s="6"/>
      <c r="DN153" s="6">
        <f t="shared" si="76"/>
        <v>391</v>
      </c>
      <c r="DO153" s="6">
        <v>325</v>
      </c>
      <c r="DP153" s="6">
        <v>1560</v>
      </c>
      <c r="DQ153" s="6">
        <f t="shared" si="77"/>
        <v>361</v>
      </c>
    </row>
    <row r="154" spans="1:121">
      <c r="A154" s="6">
        <v>150</v>
      </c>
      <c r="B154" s="6">
        <v>215</v>
      </c>
      <c r="C154" s="6">
        <v>1293</v>
      </c>
      <c r="D154" s="6">
        <v>355</v>
      </c>
      <c r="E154" s="33" t="s">
        <v>37</v>
      </c>
      <c r="F154" s="33" t="s">
        <v>37</v>
      </c>
      <c r="G154" s="148" t="s">
        <v>37</v>
      </c>
      <c r="H154" s="33" t="s">
        <v>37</v>
      </c>
      <c r="I154" s="33" t="s">
        <v>37</v>
      </c>
      <c r="J154" s="33" t="s">
        <v>37</v>
      </c>
      <c r="K154" s="33" t="s">
        <v>37</v>
      </c>
      <c r="L154" s="33" t="s">
        <v>37</v>
      </c>
      <c r="M154" s="33" t="s">
        <v>37</v>
      </c>
      <c r="N154" s="33" t="s">
        <v>37</v>
      </c>
      <c r="O154" s="33" t="s">
        <v>37</v>
      </c>
      <c r="P154" s="33" t="s">
        <v>37</v>
      </c>
      <c r="Q154" s="33" t="s">
        <v>37</v>
      </c>
      <c r="R154" s="33" t="s">
        <v>37</v>
      </c>
      <c r="S154" s="33" t="s">
        <v>37</v>
      </c>
      <c r="T154" s="33" t="s">
        <v>37</v>
      </c>
      <c r="U154" s="33" t="s">
        <v>37</v>
      </c>
      <c r="V154" s="33" t="s">
        <v>37</v>
      </c>
      <c r="W154" s="33" t="s">
        <v>37</v>
      </c>
      <c r="X154" s="33" t="s">
        <v>37</v>
      </c>
      <c r="Y154" s="33" t="s">
        <v>37</v>
      </c>
      <c r="Z154" s="33" t="s">
        <v>37</v>
      </c>
      <c r="AA154" s="33" t="s">
        <v>37</v>
      </c>
      <c r="AB154" s="148" t="s">
        <v>37</v>
      </c>
      <c r="AC154" s="33" t="s">
        <v>37</v>
      </c>
      <c r="AD154" s="33" t="s">
        <v>37</v>
      </c>
      <c r="AE154" s="33" t="s">
        <v>37</v>
      </c>
      <c r="AF154" s="6">
        <v>98</v>
      </c>
      <c r="AG154" s="6">
        <v>494</v>
      </c>
      <c r="AH154" s="35">
        <f t="shared" si="52"/>
        <v>377</v>
      </c>
      <c r="AI154" s="6">
        <v>324</v>
      </c>
      <c r="AJ154" s="6">
        <v>112</v>
      </c>
      <c r="AK154" s="35">
        <f t="shared" si="53"/>
        <v>338</v>
      </c>
      <c r="AL154" s="35">
        <v>699</v>
      </c>
      <c r="AM154" s="35"/>
      <c r="AN154" s="35">
        <f t="shared" si="54"/>
        <v>375</v>
      </c>
      <c r="AO154" s="6">
        <v>1066</v>
      </c>
      <c r="AP154" s="6"/>
      <c r="AQ154" s="35">
        <f t="shared" si="55"/>
        <v>367</v>
      </c>
      <c r="AR154" s="6">
        <v>101</v>
      </c>
      <c r="AS154" s="6">
        <v>1339</v>
      </c>
      <c r="AT154" s="34">
        <f t="shared" si="56"/>
        <v>374</v>
      </c>
      <c r="AU154" s="35">
        <v>459</v>
      </c>
      <c r="AV154" s="35"/>
      <c r="AW154" s="35">
        <f t="shared" si="57"/>
        <v>358</v>
      </c>
      <c r="AX154" s="6"/>
      <c r="AY154" s="6"/>
      <c r="AZ154" s="35"/>
      <c r="BA154" s="6">
        <v>844</v>
      </c>
      <c r="BB154" s="6"/>
      <c r="BC154" s="35">
        <f t="shared" si="58"/>
        <v>385</v>
      </c>
      <c r="BD154" s="35">
        <v>1207</v>
      </c>
      <c r="BE154" s="35"/>
      <c r="BF154" s="35">
        <f t="shared" si="59"/>
        <v>363</v>
      </c>
      <c r="BG154" s="4">
        <v>9</v>
      </c>
      <c r="BH154" s="6">
        <v>1577</v>
      </c>
      <c r="BI154" s="35">
        <f t="shared" si="60"/>
        <v>379</v>
      </c>
      <c r="BJ154" s="6">
        <v>397</v>
      </c>
      <c r="BK154" s="6"/>
      <c r="BL154" s="35">
        <f t="shared" si="61"/>
        <v>388</v>
      </c>
      <c r="BM154" s="6">
        <v>787</v>
      </c>
      <c r="BN154" s="6"/>
      <c r="BO154" s="6">
        <f t="shared" si="62"/>
        <v>390</v>
      </c>
      <c r="BP154" s="6">
        <v>1147</v>
      </c>
      <c r="BQ154" s="6"/>
      <c r="BR154" s="6">
        <f t="shared" si="63"/>
        <v>360</v>
      </c>
      <c r="BS154" s="6"/>
      <c r="BT154" s="6"/>
      <c r="BU154" s="35"/>
      <c r="BV154" s="6">
        <v>108</v>
      </c>
      <c r="BW154" s="6">
        <v>1401</v>
      </c>
      <c r="BX154" s="6">
        <f t="shared" si="64"/>
        <v>362</v>
      </c>
      <c r="BY154" s="6">
        <v>106</v>
      </c>
      <c r="BZ154" s="6">
        <v>359</v>
      </c>
      <c r="CA154" s="35">
        <f t="shared" si="65"/>
        <v>357</v>
      </c>
      <c r="CB154" s="6">
        <v>482</v>
      </c>
      <c r="CC154" s="6"/>
      <c r="CD154" s="6">
        <f t="shared" si="66"/>
        <v>376</v>
      </c>
      <c r="CE154" s="6">
        <v>863</v>
      </c>
      <c r="CF154" s="6"/>
      <c r="CG154" s="6">
        <f t="shared" si="67"/>
        <v>381</v>
      </c>
      <c r="CH154" s="7">
        <v>1242</v>
      </c>
      <c r="CI154" s="6"/>
      <c r="CJ154" s="6">
        <f t="shared" si="68"/>
        <v>379</v>
      </c>
      <c r="CK154" s="6">
        <v>54</v>
      </c>
      <c r="CL154" s="6">
        <v>1560</v>
      </c>
      <c r="CM154" s="6">
        <f t="shared" si="69"/>
        <v>372</v>
      </c>
      <c r="CN154" s="6"/>
      <c r="CO154" s="6"/>
      <c r="CP154" s="6"/>
      <c r="CQ154" s="6">
        <v>438</v>
      </c>
      <c r="CR154" s="6"/>
      <c r="CS154" s="6">
        <f t="shared" si="70"/>
        <v>384</v>
      </c>
      <c r="CT154" s="6">
        <v>57</v>
      </c>
      <c r="CU154" s="6">
        <v>721</v>
      </c>
      <c r="CV154" s="6">
        <f t="shared" si="71"/>
        <v>340</v>
      </c>
      <c r="CW154" s="6">
        <v>434</v>
      </c>
      <c r="CX154" s="6"/>
      <c r="CY154" s="6">
        <f t="shared" si="72"/>
        <v>377</v>
      </c>
      <c r="CZ154" s="6">
        <v>815</v>
      </c>
      <c r="DA154" s="6"/>
      <c r="DB154" s="6">
        <f t="shared" si="73"/>
        <v>381</v>
      </c>
      <c r="DC154" s="6">
        <v>267</v>
      </c>
      <c r="DD154" s="6">
        <v>903</v>
      </c>
      <c r="DE154" s="6">
        <f t="shared" si="74"/>
        <v>355</v>
      </c>
      <c r="DF154" s="6">
        <v>629</v>
      </c>
      <c r="DG154" s="6"/>
      <c r="DH154" s="6">
        <f t="shared" si="75"/>
        <v>362</v>
      </c>
      <c r="DI154" s="6"/>
      <c r="DJ154" s="6"/>
      <c r="DK154" s="6"/>
      <c r="DL154" s="6">
        <v>1013</v>
      </c>
      <c r="DM154" s="6"/>
      <c r="DN154" s="6">
        <f t="shared" si="76"/>
        <v>384</v>
      </c>
      <c r="DO154" s="6">
        <v>1363</v>
      </c>
      <c r="DP154" s="6"/>
      <c r="DQ154" s="6">
        <f t="shared" si="77"/>
        <v>350</v>
      </c>
    </row>
    <row r="155" spans="1:121">
      <c r="A155" s="6">
        <v>151</v>
      </c>
      <c r="B155" s="6">
        <v>259</v>
      </c>
      <c r="C155" s="6">
        <v>1529</v>
      </c>
      <c r="D155" s="6">
        <v>304</v>
      </c>
      <c r="E155" s="148" t="s">
        <v>37</v>
      </c>
      <c r="F155" s="33" t="s">
        <v>37</v>
      </c>
      <c r="G155" s="33" t="s">
        <v>37</v>
      </c>
      <c r="H155" s="33" t="s">
        <v>37</v>
      </c>
      <c r="I155" s="33" t="s">
        <v>37</v>
      </c>
      <c r="J155" s="33" t="s">
        <v>37</v>
      </c>
      <c r="K155" s="33" t="s">
        <v>37</v>
      </c>
      <c r="L155" s="33" t="s">
        <v>37</v>
      </c>
      <c r="M155" s="148" t="s">
        <v>37</v>
      </c>
      <c r="N155" s="33" t="s">
        <v>37</v>
      </c>
      <c r="O155" s="33" t="s">
        <v>37</v>
      </c>
      <c r="P155" s="33" t="s">
        <v>37</v>
      </c>
      <c r="Q155" s="33" t="s">
        <v>37</v>
      </c>
      <c r="R155" s="33" t="s">
        <v>37</v>
      </c>
      <c r="S155" s="33" t="s">
        <v>37</v>
      </c>
      <c r="T155" s="33" t="s">
        <v>37</v>
      </c>
      <c r="U155" s="33" t="s">
        <v>37</v>
      </c>
      <c r="V155" s="33" t="s">
        <v>37</v>
      </c>
      <c r="W155" s="33" t="s">
        <v>37</v>
      </c>
      <c r="X155" s="33" t="s">
        <v>37</v>
      </c>
      <c r="Y155" s="33" t="s">
        <v>37</v>
      </c>
      <c r="Z155" s="33" t="s">
        <v>37</v>
      </c>
      <c r="AA155" s="33" t="s">
        <v>37</v>
      </c>
      <c r="AB155" s="33" t="s">
        <v>37</v>
      </c>
      <c r="AC155" s="33" t="s">
        <v>37</v>
      </c>
      <c r="AD155" s="33" t="s">
        <v>37</v>
      </c>
      <c r="AE155" s="33" t="s">
        <v>37</v>
      </c>
      <c r="AF155" s="6">
        <v>656</v>
      </c>
      <c r="AG155" s="6"/>
      <c r="AH155" s="35">
        <f t="shared" si="52"/>
        <v>397</v>
      </c>
      <c r="AI155" s="6">
        <v>1031</v>
      </c>
      <c r="AJ155" s="6"/>
      <c r="AK155" s="35">
        <f t="shared" si="53"/>
        <v>375</v>
      </c>
      <c r="AL155" s="35">
        <v>1410</v>
      </c>
      <c r="AM155" s="35"/>
      <c r="AN155" s="35">
        <f t="shared" si="54"/>
        <v>379</v>
      </c>
      <c r="AO155" s="6">
        <v>218</v>
      </c>
      <c r="AP155" s="6">
        <v>1560</v>
      </c>
      <c r="AQ155" s="35">
        <f t="shared" si="55"/>
        <v>368</v>
      </c>
      <c r="AR155" s="6">
        <v>601</v>
      </c>
      <c r="AS155" s="6"/>
      <c r="AT155" s="34">
        <f t="shared" si="56"/>
        <v>383</v>
      </c>
      <c r="AU155" s="35">
        <v>941</v>
      </c>
      <c r="AV155" s="35"/>
      <c r="AW155" s="35">
        <f t="shared" si="57"/>
        <v>340</v>
      </c>
      <c r="AX155" s="6"/>
      <c r="AY155" s="6"/>
      <c r="AZ155" s="35"/>
      <c r="BA155" s="6">
        <v>0</v>
      </c>
      <c r="BB155" s="6">
        <v>1105</v>
      </c>
      <c r="BC155" s="35">
        <f t="shared" si="58"/>
        <v>164</v>
      </c>
      <c r="BD155" s="6">
        <v>349</v>
      </c>
      <c r="BE155" s="6"/>
      <c r="BF155" s="35">
        <f t="shared" si="59"/>
        <v>349</v>
      </c>
      <c r="BG155" s="6">
        <v>729</v>
      </c>
      <c r="BH155" s="6"/>
      <c r="BI155" s="35">
        <f t="shared" si="60"/>
        <v>380</v>
      </c>
      <c r="BJ155" s="6">
        <v>1106</v>
      </c>
      <c r="BK155" s="6"/>
      <c r="BL155" s="35">
        <f t="shared" si="61"/>
        <v>377</v>
      </c>
      <c r="BM155" s="6">
        <v>1490</v>
      </c>
      <c r="BN155" s="35"/>
      <c r="BO155" s="6">
        <f t="shared" si="62"/>
        <v>384</v>
      </c>
      <c r="BP155" s="6">
        <v>289</v>
      </c>
      <c r="BQ155" s="6">
        <v>1562</v>
      </c>
      <c r="BR155" s="6">
        <f t="shared" si="63"/>
        <v>361</v>
      </c>
      <c r="BS155" s="6"/>
      <c r="BT155" s="6"/>
      <c r="BU155" s="35"/>
      <c r="BV155" s="6">
        <v>46</v>
      </c>
      <c r="BW155" s="6">
        <v>621</v>
      </c>
      <c r="BX155" s="6">
        <f t="shared" si="64"/>
        <v>378</v>
      </c>
      <c r="BY155" s="6">
        <v>172</v>
      </c>
      <c r="BZ155" s="6">
        <v>244</v>
      </c>
      <c r="CA155" s="35">
        <f t="shared" si="65"/>
        <v>370</v>
      </c>
      <c r="CB155" s="6">
        <v>553</v>
      </c>
      <c r="CC155" s="35"/>
      <c r="CD155" s="6">
        <f t="shared" si="66"/>
        <v>381</v>
      </c>
      <c r="CE155" s="6">
        <v>933</v>
      </c>
      <c r="CF155" s="6"/>
      <c r="CG155" s="6">
        <f t="shared" si="67"/>
        <v>380</v>
      </c>
      <c r="CH155" s="7">
        <v>1313</v>
      </c>
      <c r="CI155" s="35"/>
      <c r="CJ155" s="6">
        <f t="shared" si="68"/>
        <v>380</v>
      </c>
      <c r="CK155" s="6">
        <v>118</v>
      </c>
      <c r="CL155" s="6">
        <v>1560</v>
      </c>
      <c r="CM155" s="6">
        <f t="shared" si="69"/>
        <v>365</v>
      </c>
      <c r="CN155" s="6"/>
      <c r="CO155" s="6"/>
      <c r="CP155" s="6"/>
      <c r="CQ155" s="6">
        <v>498</v>
      </c>
      <c r="CR155" s="6"/>
      <c r="CS155" s="6">
        <f t="shared" si="70"/>
        <v>380</v>
      </c>
      <c r="CT155" s="6">
        <v>856</v>
      </c>
      <c r="CU155" s="6"/>
      <c r="CV155" s="6">
        <f t="shared" si="71"/>
        <v>358</v>
      </c>
      <c r="CW155" s="35">
        <v>1236</v>
      </c>
      <c r="CX155" s="6"/>
      <c r="CY155" s="6">
        <f t="shared" si="72"/>
        <v>380</v>
      </c>
      <c r="CZ155" s="6">
        <v>58</v>
      </c>
      <c r="DA155" s="6">
        <v>1560</v>
      </c>
      <c r="DB155" s="6">
        <f t="shared" si="73"/>
        <v>382</v>
      </c>
      <c r="DC155" s="6">
        <v>440</v>
      </c>
      <c r="DD155" s="6"/>
      <c r="DE155" s="6">
        <f t="shared" si="74"/>
        <v>382</v>
      </c>
      <c r="DF155" s="6">
        <v>794</v>
      </c>
      <c r="DG155" s="6"/>
      <c r="DH155" s="6">
        <f t="shared" si="75"/>
        <v>354</v>
      </c>
      <c r="DI155" s="6"/>
      <c r="DJ155" s="6"/>
      <c r="DK155" s="6"/>
      <c r="DL155" s="6">
        <v>365</v>
      </c>
      <c r="DM155" s="6">
        <v>816</v>
      </c>
      <c r="DN155" s="6">
        <f t="shared" si="76"/>
        <v>387</v>
      </c>
      <c r="DO155" s="6">
        <v>711</v>
      </c>
      <c r="DP155" s="6"/>
      <c r="DQ155" s="6">
        <f t="shared" si="77"/>
        <v>346</v>
      </c>
    </row>
    <row r="156" spans="1:121">
      <c r="A156" s="6">
        <v>152</v>
      </c>
      <c r="B156" s="6">
        <v>1422</v>
      </c>
      <c r="C156" s="6"/>
      <c r="D156" s="6">
        <v>330</v>
      </c>
      <c r="E156" s="33" t="s">
        <v>37</v>
      </c>
      <c r="F156" s="33" t="s">
        <v>37</v>
      </c>
      <c r="G156" s="33" t="s">
        <v>37</v>
      </c>
      <c r="H156" s="148" t="s">
        <v>37</v>
      </c>
      <c r="I156" s="33" t="s">
        <v>37</v>
      </c>
      <c r="J156" s="33" t="s">
        <v>37</v>
      </c>
      <c r="K156" s="33" t="s">
        <v>37</v>
      </c>
      <c r="L156" s="33" t="s">
        <v>37</v>
      </c>
      <c r="M156" s="33" t="s">
        <v>37</v>
      </c>
      <c r="N156" s="33" t="s">
        <v>37</v>
      </c>
      <c r="O156" s="33" t="s">
        <v>37</v>
      </c>
      <c r="P156" s="33" t="s">
        <v>37</v>
      </c>
      <c r="Q156" s="33" t="s">
        <v>37</v>
      </c>
      <c r="R156" s="33" t="s">
        <v>37</v>
      </c>
      <c r="S156" s="33" t="s">
        <v>37</v>
      </c>
      <c r="T156" s="33" t="s">
        <v>37</v>
      </c>
      <c r="U156" s="33" t="s">
        <v>37</v>
      </c>
      <c r="V156" s="33" t="s">
        <v>37</v>
      </c>
      <c r="W156" s="33" t="s">
        <v>37</v>
      </c>
      <c r="X156" s="33" t="s">
        <v>37</v>
      </c>
      <c r="Y156" s="33" t="s">
        <v>37</v>
      </c>
      <c r="Z156" s="33" t="s">
        <v>37</v>
      </c>
      <c r="AA156" s="33" t="s">
        <v>37</v>
      </c>
      <c r="AB156" s="33" t="s">
        <v>37</v>
      </c>
      <c r="AC156" s="148" t="s">
        <v>37</v>
      </c>
      <c r="AD156" s="33" t="s">
        <v>37</v>
      </c>
      <c r="AE156" s="33" t="s">
        <v>37</v>
      </c>
      <c r="AF156" s="6">
        <v>259</v>
      </c>
      <c r="AG156" s="6">
        <v>1562</v>
      </c>
      <c r="AH156" s="35">
        <f t="shared" si="52"/>
        <v>399</v>
      </c>
      <c r="AI156" s="6">
        <v>0</v>
      </c>
      <c r="AJ156" s="6">
        <v>445</v>
      </c>
      <c r="AK156" s="35">
        <f t="shared" si="53"/>
        <v>186</v>
      </c>
      <c r="AL156" s="35">
        <v>361</v>
      </c>
      <c r="AM156" s="35"/>
      <c r="AN156" s="35">
        <f t="shared" si="54"/>
        <v>361</v>
      </c>
      <c r="AO156" s="6">
        <v>749</v>
      </c>
      <c r="AP156" s="6"/>
      <c r="AQ156" s="35">
        <f t="shared" si="55"/>
        <v>388</v>
      </c>
      <c r="AR156" s="6">
        <v>1142</v>
      </c>
      <c r="AS156" s="6"/>
      <c r="AT156" s="34">
        <f t="shared" si="56"/>
        <v>393</v>
      </c>
      <c r="AU156" s="35">
        <v>1508</v>
      </c>
      <c r="AV156" s="35"/>
      <c r="AW156" s="35">
        <f t="shared" si="57"/>
        <v>366</v>
      </c>
      <c r="AX156" s="6"/>
      <c r="AY156" s="6"/>
      <c r="AZ156" s="35"/>
      <c r="BA156" s="6">
        <v>341</v>
      </c>
      <c r="BB156" s="6">
        <v>1560</v>
      </c>
      <c r="BC156" s="35">
        <f t="shared" si="58"/>
        <v>393</v>
      </c>
      <c r="BD156" s="6">
        <v>725</v>
      </c>
      <c r="BE156" s="6"/>
      <c r="BF156" s="35">
        <f t="shared" si="59"/>
        <v>384</v>
      </c>
      <c r="BG156" s="6">
        <v>1117</v>
      </c>
      <c r="BH156" s="6"/>
      <c r="BI156" s="35">
        <f t="shared" si="60"/>
        <v>392</v>
      </c>
      <c r="BJ156" s="6">
        <v>1506</v>
      </c>
      <c r="BK156" s="6"/>
      <c r="BL156" s="35">
        <f t="shared" si="61"/>
        <v>389</v>
      </c>
      <c r="BM156" s="6">
        <v>332</v>
      </c>
      <c r="BN156" s="35">
        <v>1560</v>
      </c>
      <c r="BO156" s="6">
        <f t="shared" si="62"/>
        <v>386</v>
      </c>
      <c r="BP156" s="6">
        <v>697</v>
      </c>
      <c r="BQ156" s="6"/>
      <c r="BR156" s="6">
        <f t="shared" si="63"/>
        <v>365</v>
      </c>
      <c r="BS156" s="6"/>
      <c r="BT156" s="6"/>
      <c r="BU156" s="35"/>
      <c r="BV156" s="6">
        <v>1095</v>
      </c>
      <c r="BW156" s="6"/>
      <c r="BX156" s="6">
        <f t="shared" si="64"/>
        <v>398</v>
      </c>
      <c r="BY156" s="6">
        <v>1483</v>
      </c>
      <c r="BZ156" s="6"/>
      <c r="CA156" s="35">
        <f t="shared" si="65"/>
        <v>388</v>
      </c>
      <c r="CB156" s="6">
        <v>316</v>
      </c>
      <c r="CC156" s="35">
        <v>1560</v>
      </c>
      <c r="CD156" s="6">
        <f t="shared" si="66"/>
        <v>393</v>
      </c>
      <c r="CE156" s="6">
        <v>700</v>
      </c>
      <c r="CF156" s="6"/>
      <c r="CG156" s="6">
        <f t="shared" si="67"/>
        <v>384</v>
      </c>
      <c r="CH156" s="7">
        <v>1081</v>
      </c>
      <c r="CI156" s="35"/>
      <c r="CJ156" s="6">
        <f t="shared" si="68"/>
        <v>381</v>
      </c>
      <c r="CK156" s="6">
        <v>1454</v>
      </c>
      <c r="CL156" s="6"/>
      <c r="CM156" s="6">
        <f t="shared" si="69"/>
        <v>373</v>
      </c>
      <c r="CN156" s="6"/>
      <c r="CO156" s="6"/>
      <c r="CP156" s="6"/>
      <c r="CQ156" s="6">
        <v>282</v>
      </c>
      <c r="CR156" s="6">
        <v>1565</v>
      </c>
      <c r="CS156" s="6">
        <f t="shared" si="70"/>
        <v>393</v>
      </c>
      <c r="CT156" s="6">
        <v>661</v>
      </c>
      <c r="CU156" s="6"/>
      <c r="CV156" s="6">
        <f t="shared" si="71"/>
        <v>379</v>
      </c>
      <c r="CW156" s="6">
        <v>1049</v>
      </c>
      <c r="CX156" s="6"/>
      <c r="CY156" s="6">
        <f t="shared" si="72"/>
        <v>388</v>
      </c>
      <c r="CZ156" s="6">
        <v>1438</v>
      </c>
      <c r="DA156" s="6"/>
      <c r="DB156" s="6">
        <f t="shared" si="73"/>
        <v>389</v>
      </c>
      <c r="DC156" s="6">
        <v>0</v>
      </c>
      <c r="DD156" s="6">
        <v>1601</v>
      </c>
      <c r="DE156" s="6">
        <f t="shared" si="74"/>
        <v>163</v>
      </c>
      <c r="DF156" s="6">
        <v>342</v>
      </c>
      <c r="DG156" s="6"/>
      <c r="DH156" s="6">
        <f t="shared" si="75"/>
        <v>342</v>
      </c>
      <c r="DI156" s="6"/>
      <c r="DJ156" s="6"/>
      <c r="DK156" s="6"/>
      <c r="DL156" s="6">
        <v>733</v>
      </c>
      <c r="DM156" s="6"/>
      <c r="DN156" s="6">
        <f t="shared" si="76"/>
        <v>391</v>
      </c>
      <c r="DO156" s="6">
        <v>1087</v>
      </c>
      <c r="DP156" s="6"/>
      <c r="DQ156" s="6">
        <f t="shared" si="77"/>
        <v>354</v>
      </c>
    </row>
    <row r="157" spans="1:121">
      <c r="A157" s="6">
        <v>153</v>
      </c>
      <c r="B157" s="6">
        <v>1220</v>
      </c>
      <c r="C157" s="6"/>
      <c r="D157" s="6">
        <v>343</v>
      </c>
      <c r="E157" s="33" t="s">
        <v>37</v>
      </c>
      <c r="F157" s="33" t="s">
        <v>37</v>
      </c>
      <c r="G157" s="33" t="s">
        <v>37</v>
      </c>
      <c r="H157" s="33" t="s">
        <v>37</v>
      </c>
      <c r="I157" s="33" t="s">
        <v>37</v>
      </c>
      <c r="J157" s="33" t="s">
        <v>37</v>
      </c>
      <c r="K157" s="33" t="s">
        <v>37</v>
      </c>
      <c r="L157" s="148" t="s">
        <v>37</v>
      </c>
      <c r="M157" s="33" t="s">
        <v>37</v>
      </c>
      <c r="N157" s="33" t="s">
        <v>37</v>
      </c>
      <c r="O157" s="33" t="s">
        <v>37</v>
      </c>
      <c r="P157" s="33" t="s">
        <v>37</v>
      </c>
      <c r="Q157" s="33" t="s">
        <v>37</v>
      </c>
      <c r="R157" s="33" t="s">
        <v>37</v>
      </c>
      <c r="S157" s="33" t="s">
        <v>37</v>
      </c>
      <c r="T157" s="33" t="s">
        <v>37</v>
      </c>
      <c r="U157" s="33" t="s">
        <v>37</v>
      </c>
      <c r="V157" s="33" t="s">
        <v>37</v>
      </c>
      <c r="W157" s="33" t="s">
        <v>37</v>
      </c>
      <c r="X157" s="33" t="s">
        <v>37</v>
      </c>
      <c r="Y157" s="33" t="s">
        <v>37</v>
      </c>
      <c r="Z157" s="33" t="s">
        <v>37</v>
      </c>
      <c r="AA157" s="33" t="s">
        <v>37</v>
      </c>
      <c r="AB157" s="33" t="s">
        <v>37</v>
      </c>
      <c r="AC157" s="33" t="s">
        <v>37</v>
      </c>
      <c r="AD157" s="33" t="s">
        <v>37</v>
      </c>
      <c r="AE157" s="33" t="s">
        <v>37</v>
      </c>
      <c r="AF157" s="6">
        <v>66</v>
      </c>
      <c r="AG157" s="6">
        <v>1560</v>
      </c>
      <c r="AH157" s="35">
        <f t="shared" si="52"/>
        <v>406</v>
      </c>
      <c r="AI157" s="6">
        <v>439</v>
      </c>
      <c r="AJ157" s="6"/>
      <c r="AK157" s="35">
        <f t="shared" si="53"/>
        <v>373</v>
      </c>
      <c r="AL157" s="35">
        <v>822</v>
      </c>
      <c r="AM157" s="35"/>
      <c r="AN157" s="35">
        <f t="shared" si="54"/>
        <v>383</v>
      </c>
      <c r="AO157" s="6">
        <v>1206</v>
      </c>
      <c r="AP157" s="6"/>
      <c r="AQ157" s="35">
        <f t="shared" si="55"/>
        <v>384</v>
      </c>
      <c r="AR157" s="6">
        <v>1586</v>
      </c>
      <c r="AS157" s="6"/>
      <c r="AT157" s="34">
        <f t="shared" si="56"/>
        <v>380</v>
      </c>
      <c r="AU157" s="35">
        <v>1942</v>
      </c>
      <c r="AV157" s="35"/>
      <c r="AW157" s="35">
        <f t="shared" si="57"/>
        <v>356</v>
      </c>
      <c r="AX157" s="6"/>
      <c r="AY157" s="6"/>
      <c r="AZ157" s="35"/>
      <c r="BA157" s="6">
        <v>294</v>
      </c>
      <c r="BB157" s="6">
        <v>2016</v>
      </c>
      <c r="BC157" s="35">
        <f t="shared" si="58"/>
        <v>368</v>
      </c>
      <c r="BD157" s="6">
        <v>672</v>
      </c>
      <c r="BE157" s="6"/>
      <c r="BF157" s="35">
        <f t="shared" si="59"/>
        <v>378</v>
      </c>
      <c r="BG157" s="6">
        <v>1053</v>
      </c>
      <c r="BH157" s="6"/>
      <c r="BI157" s="35">
        <f t="shared" si="60"/>
        <v>381</v>
      </c>
      <c r="BJ157" s="6">
        <v>1435</v>
      </c>
      <c r="BK157" s="6"/>
      <c r="BL157" s="35">
        <f t="shared" si="61"/>
        <v>382</v>
      </c>
      <c r="BM157" s="6">
        <v>258</v>
      </c>
      <c r="BN157" s="35">
        <v>1560</v>
      </c>
      <c r="BO157" s="6">
        <f t="shared" si="62"/>
        <v>383</v>
      </c>
      <c r="BP157" s="6">
        <v>623</v>
      </c>
      <c r="BQ157" s="6"/>
      <c r="BR157" s="6">
        <f t="shared" si="63"/>
        <v>365</v>
      </c>
      <c r="BS157" s="6"/>
      <c r="BT157" s="6"/>
      <c r="BU157" s="35"/>
      <c r="BV157" s="6">
        <v>1008</v>
      </c>
      <c r="BW157" s="6"/>
      <c r="BX157" s="6">
        <f t="shared" si="64"/>
        <v>385</v>
      </c>
      <c r="BY157" s="6">
        <v>1386</v>
      </c>
      <c r="BZ157" s="6"/>
      <c r="CA157" s="35">
        <f t="shared" si="65"/>
        <v>378</v>
      </c>
      <c r="CB157" s="6">
        <v>207</v>
      </c>
      <c r="CC157" s="6">
        <v>1560</v>
      </c>
      <c r="CD157" s="6">
        <f t="shared" si="66"/>
        <v>381</v>
      </c>
      <c r="CE157" s="6">
        <v>589</v>
      </c>
      <c r="CF157" s="6"/>
      <c r="CG157" s="6">
        <f t="shared" si="67"/>
        <v>382</v>
      </c>
      <c r="CH157" s="7">
        <v>970</v>
      </c>
      <c r="CI157" s="6"/>
      <c r="CJ157" s="6">
        <f t="shared" si="68"/>
        <v>381</v>
      </c>
      <c r="CK157" s="6">
        <v>1344</v>
      </c>
      <c r="CL157" s="6"/>
      <c r="CM157" s="6">
        <f t="shared" si="69"/>
        <v>374</v>
      </c>
      <c r="CN157" s="6"/>
      <c r="CO157" s="6"/>
      <c r="CP157" s="6"/>
      <c r="CQ157" s="6">
        <v>170</v>
      </c>
      <c r="CR157" s="6">
        <v>1560</v>
      </c>
      <c r="CS157" s="6">
        <f t="shared" si="70"/>
        <v>386</v>
      </c>
      <c r="CT157" s="6">
        <v>547</v>
      </c>
      <c r="CU157" s="6"/>
      <c r="CV157" s="6">
        <f t="shared" si="71"/>
        <v>377</v>
      </c>
      <c r="CW157" s="6">
        <v>928</v>
      </c>
      <c r="CX157" s="6"/>
      <c r="CY157" s="6">
        <f t="shared" si="72"/>
        <v>381</v>
      </c>
      <c r="CZ157" s="6">
        <v>1312</v>
      </c>
      <c r="DA157" s="6"/>
      <c r="DB157" s="6">
        <f t="shared" si="73"/>
        <v>384</v>
      </c>
      <c r="DC157" s="6">
        <v>133</v>
      </c>
      <c r="DD157" s="6">
        <v>1560</v>
      </c>
      <c r="DE157" s="6">
        <f t="shared" si="74"/>
        <v>381</v>
      </c>
      <c r="DF157" s="6">
        <v>498</v>
      </c>
      <c r="DG157" s="6"/>
      <c r="DH157" s="6">
        <f t="shared" si="75"/>
        <v>365</v>
      </c>
      <c r="DI157" s="6"/>
      <c r="DJ157" s="6"/>
      <c r="DK157" s="6"/>
      <c r="DL157" s="6">
        <v>890</v>
      </c>
      <c r="DM157" s="6"/>
      <c r="DN157" s="6">
        <f t="shared" si="76"/>
        <v>392</v>
      </c>
      <c r="DO157" s="6">
        <v>1248</v>
      </c>
      <c r="DP157" s="6"/>
      <c r="DQ157" s="6">
        <f t="shared" si="77"/>
        <v>358</v>
      </c>
    </row>
    <row r="158" spans="1:121">
      <c r="A158" s="6">
        <v>154</v>
      </c>
      <c r="B158" s="6">
        <v>977</v>
      </c>
      <c r="C158" s="6"/>
      <c r="D158" s="6">
        <v>350</v>
      </c>
      <c r="E158" s="33" t="s">
        <v>307</v>
      </c>
      <c r="F158" s="33" t="s">
        <v>307</v>
      </c>
      <c r="G158" s="33" t="s">
        <v>307</v>
      </c>
      <c r="H158" s="33" t="s">
        <v>307</v>
      </c>
      <c r="I158" s="33" t="s">
        <v>307</v>
      </c>
      <c r="J158" s="33" t="s">
        <v>307</v>
      </c>
      <c r="K158" s="33" t="s">
        <v>307</v>
      </c>
      <c r="L158" s="148" t="s">
        <v>37</v>
      </c>
      <c r="M158" s="33" t="s">
        <v>37</v>
      </c>
      <c r="N158" s="33" t="s">
        <v>37</v>
      </c>
      <c r="O158" s="33" t="s">
        <v>37</v>
      </c>
      <c r="P158" s="33" t="s">
        <v>37</v>
      </c>
      <c r="Q158" s="33" t="s">
        <v>37</v>
      </c>
      <c r="R158" s="33" t="s">
        <v>37</v>
      </c>
      <c r="S158" s="33" t="s">
        <v>37</v>
      </c>
      <c r="T158" s="33" t="s">
        <v>37</v>
      </c>
      <c r="U158" s="33" t="s">
        <v>37</v>
      </c>
      <c r="V158" s="33" t="s">
        <v>37</v>
      </c>
      <c r="W158" s="33" t="s">
        <v>37</v>
      </c>
      <c r="X158" s="33" t="s">
        <v>37</v>
      </c>
      <c r="Y158" s="33" t="s">
        <v>37</v>
      </c>
      <c r="Z158" s="33" t="s">
        <v>37</v>
      </c>
      <c r="AA158" s="33" t="s">
        <v>37</v>
      </c>
      <c r="AB158" s="33" t="s">
        <v>37</v>
      </c>
      <c r="AC158" s="33" t="s">
        <v>37</v>
      </c>
      <c r="AD158" s="33" t="s">
        <v>37</v>
      </c>
      <c r="AE158" s="33" t="s">
        <v>37</v>
      </c>
      <c r="AF158" s="6">
        <v>1400</v>
      </c>
      <c r="AG158" s="6"/>
      <c r="AH158" s="35">
        <f t="shared" si="52"/>
        <v>423</v>
      </c>
      <c r="AI158" s="6">
        <v>191</v>
      </c>
      <c r="AJ158" s="6">
        <v>1570</v>
      </c>
      <c r="AK158" s="35">
        <f t="shared" si="53"/>
        <v>361</v>
      </c>
      <c r="AL158" s="35">
        <v>582</v>
      </c>
      <c r="AM158" s="35"/>
      <c r="AN158" s="35">
        <f t="shared" si="54"/>
        <v>391</v>
      </c>
      <c r="AO158" s="6">
        <v>975</v>
      </c>
      <c r="AP158" s="6"/>
      <c r="AQ158" s="35">
        <f t="shared" si="55"/>
        <v>393</v>
      </c>
      <c r="AR158" s="6">
        <v>1361</v>
      </c>
      <c r="AS158" s="6"/>
      <c r="AT158" s="34">
        <f t="shared" si="56"/>
        <v>386</v>
      </c>
      <c r="AU158" s="35">
        <v>0</v>
      </c>
      <c r="AV158" s="35">
        <v>1626</v>
      </c>
      <c r="AW158" s="35">
        <f t="shared" si="57"/>
        <v>265</v>
      </c>
      <c r="AX158" s="6"/>
      <c r="AY158" s="6"/>
      <c r="AZ158" s="35"/>
      <c r="BA158" s="6">
        <v>373</v>
      </c>
      <c r="BB158" s="6"/>
      <c r="BC158" s="35">
        <f t="shared" si="58"/>
        <v>373</v>
      </c>
      <c r="BD158" s="35">
        <v>764</v>
      </c>
      <c r="BE158" s="35"/>
      <c r="BF158" s="35">
        <f t="shared" si="59"/>
        <v>391</v>
      </c>
      <c r="BG158" s="6">
        <v>1157</v>
      </c>
      <c r="BH158" s="6"/>
      <c r="BI158" s="35">
        <f t="shared" si="60"/>
        <v>393</v>
      </c>
      <c r="BJ158" s="6">
        <v>1546</v>
      </c>
      <c r="BK158" s="6"/>
      <c r="BL158" s="35">
        <f t="shared" si="61"/>
        <v>389</v>
      </c>
      <c r="BM158" s="6">
        <v>379</v>
      </c>
      <c r="BN158" s="6">
        <v>1560</v>
      </c>
      <c r="BO158" s="6">
        <f t="shared" si="62"/>
        <v>393</v>
      </c>
      <c r="BP158" s="6">
        <v>750</v>
      </c>
      <c r="BQ158" s="6"/>
      <c r="BR158" s="6">
        <f t="shared" si="63"/>
        <v>371</v>
      </c>
      <c r="BS158" s="6"/>
      <c r="BT158" s="6"/>
      <c r="BU158" s="35"/>
      <c r="BV158" s="6">
        <v>1148</v>
      </c>
      <c r="BW158" s="6"/>
      <c r="BX158" s="6">
        <f t="shared" si="64"/>
        <v>398</v>
      </c>
      <c r="BY158" s="6">
        <v>1538</v>
      </c>
      <c r="BZ158" s="6"/>
      <c r="CA158" s="35">
        <f t="shared" si="65"/>
        <v>390</v>
      </c>
      <c r="CB158" s="6">
        <v>371</v>
      </c>
      <c r="CC158" s="6">
        <v>1560</v>
      </c>
      <c r="CD158" s="6">
        <f t="shared" si="66"/>
        <v>393</v>
      </c>
      <c r="CE158" s="6">
        <v>766</v>
      </c>
      <c r="CF158" s="6"/>
      <c r="CG158" s="6">
        <f t="shared" si="67"/>
        <v>395</v>
      </c>
      <c r="CH158" s="7">
        <v>1159</v>
      </c>
      <c r="CI158" s="6"/>
      <c r="CJ158" s="6">
        <f t="shared" si="68"/>
        <v>393</v>
      </c>
      <c r="CK158" s="6">
        <v>1543</v>
      </c>
      <c r="CL158" s="6"/>
      <c r="CM158" s="6">
        <f t="shared" si="69"/>
        <v>384</v>
      </c>
      <c r="CN158" s="6"/>
      <c r="CO158" s="6"/>
      <c r="CP158" s="6"/>
      <c r="CQ158" s="6">
        <v>380</v>
      </c>
      <c r="CR158" s="6">
        <v>1560</v>
      </c>
      <c r="CS158" s="6">
        <f t="shared" si="70"/>
        <v>397</v>
      </c>
      <c r="CT158" s="6">
        <v>769</v>
      </c>
      <c r="CU158" s="6"/>
      <c r="CV158" s="6">
        <f t="shared" si="71"/>
        <v>389</v>
      </c>
      <c r="CW158" s="6">
        <v>1158</v>
      </c>
      <c r="CX158" s="6"/>
      <c r="CY158" s="6">
        <f t="shared" si="72"/>
        <v>389</v>
      </c>
      <c r="CZ158" s="6">
        <v>330</v>
      </c>
      <c r="DA158" s="6">
        <v>1214</v>
      </c>
      <c r="DB158" s="6">
        <f t="shared" si="73"/>
        <v>386</v>
      </c>
      <c r="DC158" s="6">
        <v>721</v>
      </c>
      <c r="DD158" s="6"/>
      <c r="DE158" s="6">
        <f t="shared" si="74"/>
        <v>391</v>
      </c>
      <c r="DF158" s="6">
        <v>1094</v>
      </c>
      <c r="DG158" s="6"/>
      <c r="DH158" s="6">
        <f t="shared" si="75"/>
        <v>373</v>
      </c>
      <c r="DI158" s="6"/>
      <c r="DJ158" s="6"/>
      <c r="DK158" s="6"/>
      <c r="DL158" s="6">
        <v>1482</v>
      </c>
      <c r="DM158" s="6"/>
      <c r="DN158" s="6">
        <f t="shared" si="76"/>
        <v>388</v>
      </c>
      <c r="DO158" s="6">
        <v>324</v>
      </c>
      <c r="DP158" s="6">
        <v>1516</v>
      </c>
      <c r="DQ158" s="6">
        <f t="shared" si="77"/>
        <v>358</v>
      </c>
    </row>
    <row r="159" spans="1:121">
      <c r="A159" s="6">
        <v>155</v>
      </c>
      <c r="B159" s="6">
        <v>1291</v>
      </c>
      <c r="C159" s="6"/>
      <c r="D159" s="6">
        <v>345</v>
      </c>
      <c r="E159" s="33" t="s">
        <v>37</v>
      </c>
      <c r="F159" s="33" t="s">
        <v>37</v>
      </c>
      <c r="G159" s="33" t="s">
        <v>37</v>
      </c>
      <c r="H159" s="33" t="s">
        <v>37</v>
      </c>
      <c r="I159" s="33" t="s">
        <v>37</v>
      </c>
      <c r="J159" s="33" t="s">
        <v>37</v>
      </c>
      <c r="K159" s="33" t="s">
        <v>37</v>
      </c>
      <c r="L159" s="33" t="s">
        <v>37</v>
      </c>
      <c r="M159" s="33" t="s">
        <v>37</v>
      </c>
      <c r="N159" s="33" t="s">
        <v>37</v>
      </c>
      <c r="O159" s="148" t="s">
        <v>37</v>
      </c>
      <c r="P159" s="33" t="s">
        <v>37</v>
      </c>
      <c r="Q159" s="33" t="s">
        <v>37</v>
      </c>
      <c r="R159" s="33" t="s">
        <v>37</v>
      </c>
      <c r="S159" s="33" t="s">
        <v>37</v>
      </c>
      <c r="T159" s="33" t="s">
        <v>37</v>
      </c>
      <c r="U159" s="33" t="s">
        <v>37</v>
      </c>
      <c r="V159" s="33" t="s">
        <v>37</v>
      </c>
      <c r="W159" s="33" t="s">
        <v>37</v>
      </c>
      <c r="X159" s="33" t="s">
        <v>37</v>
      </c>
      <c r="Y159" s="33" t="s">
        <v>37</v>
      </c>
      <c r="Z159" s="33" t="s">
        <v>37</v>
      </c>
      <c r="AA159" s="33" t="s">
        <v>37</v>
      </c>
      <c r="AB159" s="33" t="s">
        <v>37</v>
      </c>
      <c r="AC159" s="33" t="s">
        <v>37</v>
      </c>
      <c r="AD159" s="33" t="s">
        <v>37</v>
      </c>
      <c r="AE159" s="33" t="s">
        <v>37</v>
      </c>
      <c r="AF159" s="6">
        <v>142</v>
      </c>
      <c r="AG159" s="6">
        <v>1560</v>
      </c>
      <c r="AH159" s="35">
        <f t="shared" si="52"/>
        <v>411</v>
      </c>
      <c r="AI159" s="6">
        <v>518</v>
      </c>
      <c r="AJ159" s="6"/>
      <c r="AK159" s="35">
        <f t="shared" si="53"/>
        <v>376</v>
      </c>
      <c r="AL159" s="35">
        <v>891</v>
      </c>
      <c r="AM159" s="35"/>
      <c r="AN159" s="35">
        <f t="shared" si="54"/>
        <v>373</v>
      </c>
      <c r="AO159" s="6">
        <v>1275</v>
      </c>
      <c r="AP159" s="6"/>
      <c r="AQ159" s="35">
        <f t="shared" si="55"/>
        <v>384</v>
      </c>
      <c r="AR159" s="6">
        <v>94</v>
      </c>
      <c r="AS159" s="6">
        <v>1560</v>
      </c>
      <c r="AT159" s="34">
        <f t="shared" si="56"/>
        <v>379</v>
      </c>
      <c r="AU159" s="35">
        <v>455</v>
      </c>
      <c r="AV159" s="35"/>
      <c r="AW159" s="35">
        <f t="shared" si="57"/>
        <v>361</v>
      </c>
      <c r="AX159" s="6"/>
      <c r="AY159" s="6"/>
      <c r="AZ159" s="35"/>
      <c r="BA159" s="6">
        <v>837</v>
      </c>
      <c r="BB159" s="6"/>
      <c r="BC159" s="35">
        <f t="shared" si="58"/>
        <v>382</v>
      </c>
      <c r="BD159" s="6">
        <v>1217</v>
      </c>
      <c r="BE159" s="6"/>
      <c r="BF159" s="35">
        <f t="shared" si="59"/>
        <v>380</v>
      </c>
      <c r="BG159" s="6">
        <v>0</v>
      </c>
      <c r="BH159" s="6">
        <v>1596</v>
      </c>
      <c r="BI159" s="35">
        <f t="shared" si="60"/>
        <v>379</v>
      </c>
      <c r="BJ159" s="6">
        <v>353</v>
      </c>
      <c r="BK159" s="6"/>
      <c r="BL159" s="35">
        <f t="shared" si="61"/>
        <v>353</v>
      </c>
      <c r="BM159" s="6">
        <v>736</v>
      </c>
      <c r="BN159" s="35"/>
      <c r="BO159" s="6">
        <f t="shared" si="62"/>
        <v>383</v>
      </c>
      <c r="BP159" s="6">
        <v>1102</v>
      </c>
      <c r="BQ159" s="6"/>
      <c r="BR159" s="6">
        <f t="shared" si="63"/>
        <v>366</v>
      </c>
      <c r="BS159" s="6"/>
      <c r="BT159" s="6"/>
      <c r="BU159" s="35"/>
      <c r="BV159" s="6">
        <v>1485</v>
      </c>
      <c r="BW159" s="6"/>
      <c r="BX159" s="6">
        <f t="shared" si="64"/>
        <v>383</v>
      </c>
      <c r="BY159" s="6">
        <v>304</v>
      </c>
      <c r="BZ159" s="6">
        <v>1560</v>
      </c>
      <c r="CA159" s="35">
        <f t="shared" si="65"/>
        <v>379</v>
      </c>
      <c r="CB159" s="6">
        <v>684</v>
      </c>
      <c r="CC159" s="35"/>
      <c r="CD159" s="6">
        <f t="shared" si="66"/>
        <v>380</v>
      </c>
      <c r="CE159" s="6">
        <v>1064</v>
      </c>
      <c r="CF159" s="6"/>
      <c r="CG159" s="6">
        <f t="shared" si="67"/>
        <v>380</v>
      </c>
      <c r="CH159" s="7">
        <v>1442</v>
      </c>
      <c r="CI159" s="35"/>
      <c r="CJ159" s="6">
        <f t="shared" si="68"/>
        <v>378</v>
      </c>
      <c r="CK159" s="6">
        <v>248</v>
      </c>
      <c r="CL159" s="6">
        <v>1560</v>
      </c>
      <c r="CM159" s="6">
        <f t="shared" si="69"/>
        <v>366</v>
      </c>
      <c r="CN159" s="6"/>
      <c r="CO159" s="6"/>
      <c r="CP159" s="6"/>
      <c r="CQ159" s="6">
        <v>635</v>
      </c>
      <c r="CR159" s="6"/>
      <c r="CS159" s="6">
        <f t="shared" si="70"/>
        <v>387</v>
      </c>
      <c r="CT159" s="6">
        <v>1013</v>
      </c>
      <c r="CU159" s="6"/>
      <c r="CV159" s="6">
        <f t="shared" si="71"/>
        <v>378</v>
      </c>
      <c r="CW159" s="6">
        <v>1390</v>
      </c>
      <c r="CX159" s="6"/>
      <c r="CY159" s="6">
        <f t="shared" si="72"/>
        <v>377</v>
      </c>
      <c r="CZ159" s="6">
        <v>205</v>
      </c>
      <c r="DA159" s="6">
        <v>1564</v>
      </c>
      <c r="DB159" s="6">
        <f t="shared" si="73"/>
        <v>379</v>
      </c>
      <c r="DC159" s="6">
        <v>587</v>
      </c>
      <c r="DD159" s="6"/>
      <c r="DE159" s="6">
        <f t="shared" si="74"/>
        <v>382</v>
      </c>
      <c r="DF159" s="6">
        <v>952</v>
      </c>
      <c r="DG159" s="6"/>
      <c r="DH159" s="6">
        <f t="shared" si="75"/>
        <v>365</v>
      </c>
      <c r="DI159" s="6"/>
      <c r="DJ159" s="6"/>
      <c r="DK159" s="6"/>
      <c r="DL159" s="6">
        <v>1344</v>
      </c>
      <c r="DM159" s="6"/>
      <c r="DN159" s="6">
        <f t="shared" si="76"/>
        <v>392</v>
      </c>
      <c r="DO159" s="6">
        <v>144</v>
      </c>
      <c r="DP159" s="6">
        <v>1560</v>
      </c>
      <c r="DQ159" s="6">
        <f t="shared" si="77"/>
        <v>360</v>
      </c>
    </row>
    <row r="160" spans="1:121">
      <c r="A160" s="6">
        <v>156</v>
      </c>
      <c r="B160" s="6">
        <v>1463</v>
      </c>
      <c r="C160" s="6"/>
      <c r="D160" s="6">
        <v>314</v>
      </c>
      <c r="E160" s="33" t="s">
        <v>37</v>
      </c>
      <c r="F160" s="148" t="s">
        <v>37</v>
      </c>
      <c r="G160" s="33" t="s">
        <v>37</v>
      </c>
      <c r="H160" s="33" t="s">
        <v>37</v>
      </c>
      <c r="I160" s="33" t="s">
        <v>37</v>
      </c>
      <c r="J160" s="33" t="s">
        <v>37</v>
      </c>
      <c r="K160" s="33" t="s">
        <v>37</v>
      </c>
      <c r="L160" s="33" t="s">
        <v>37</v>
      </c>
      <c r="M160" s="33" t="s">
        <v>37</v>
      </c>
      <c r="N160" s="33" t="s">
        <v>37</v>
      </c>
      <c r="O160" s="33" t="s">
        <v>37</v>
      </c>
      <c r="P160" s="33" t="s">
        <v>37</v>
      </c>
      <c r="Q160" s="33" t="s">
        <v>37</v>
      </c>
      <c r="R160" s="33" t="s">
        <v>37</v>
      </c>
      <c r="S160" s="33" t="s">
        <v>37</v>
      </c>
      <c r="T160" s="33" t="s">
        <v>37</v>
      </c>
      <c r="U160" s="33" t="s">
        <v>37</v>
      </c>
      <c r="V160" s="33" t="s">
        <v>37</v>
      </c>
      <c r="W160" s="33" t="s">
        <v>37</v>
      </c>
      <c r="X160" s="33" t="s">
        <v>37</v>
      </c>
      <c r="Y160" s="33" t="s">
        <v>37</v>
      </c>
      <c r="Z160" s="33" t="s">
        <v>37</v>
      </c>
      <c r="AA160" s="33" t="s">
        <v>37</v>
      </c>
      <c r="AB160" s="148" t="s">
        <v>37</v>
      </c>
      <c r="AC160" s="33" t="s">
        <v>37</v>
      </c>
      <c r="AD160" s="33" t="s">
        <v>37</v>
      </c>
      <c r="AE160" s="33" t="s">
        <v>37</v>
      </c>
      <c r="AF160" s="6">
        <v>253</v>
      </c>
      <c r="AG160" s="6">
        <v>1606</v>
      </c>
      <c r="AH160" s="35">
        <f t="shared" si="52"/>
        <v>396</v>
      </c>
      <c r="AI160" s="6">
        <v>626</v>
      </c>
      <c r="AJ160" s="6"/>
      <c r="AK160" s="35">
        <f t="shared" si="53"/>
        <v>373</v>
      </c>
      <c r="AL160" s="35">
        <v>1008</v>
      </c>
      <c r="AM160" s="35"/>
      <c r="AN160" s="35">
        <f t="shared" si="54"/>
        <v>382</v>
      </c>
      <c r="AO160" s="6">
        <v>1382</v>
      </c>
      <c r="AP160" s="6"/>
      <c r="AQ160" s="35">
        <f t="shared" si="55"/>
        <v>374</v>
      </c>
      <c r="AR160" s="6">
        <v>206</v>
      </c>
      <c r="AS160" s="6">
        <v>1560</v>
      </c>
      <c r="AT160" s="34">
        <f t="shared" si="56"/>
        <v>384</v>
      </c>
      <c r="AU160" s="35">
        <v>548</v>
      </c>
      <c r="AV160" s="35"/>
      <c r="AW160" s="35">
        <f t="shared" si="57"/>
        <v>342</v>
      </c>
      <c r="AX160" s="6"/>
      <c r="AY160" s="6"/>
      <c r="AZ160" s="35"/>
      <c r="BA160" s="6">
        <v>928</v>
      </c>
      <c r="BB160" s="6"/>
      <c r="BC160" s="35">
        <f t="shared" si="58"/>
        <v>380</v>
      </c>
      <c r="BD160" s="35">
        <v>1301</v>
      </c>
      <c r="BE160" s="35"/>
      <c r="BF160" s="35">
        <f t="shared" si="59"/>
        <v>373</v>
      </c>
      <c r="BG160" s="6">
        <v>121</v>
      </c>
      <c r="BH160" s="6">
        <v>1561</v>
      </c>
      <c r="BI160" s="35">
        <f t="shared" si="60"/>
        <v>381</v>
      </c>
      <c r="BJ160" s="6">
        <v>501</v>
      </c>
      <c r="BK160" s="6"/>
      <c r="BL160" s="35">
        <f t="shared" si="61"/>
        <v>380</v>
      </c>
      <c r="BM160" s="6">
        <v>83</v>
      </c>
      <c r="BN160" s="6">
        <v>794</v>
      </c>
      <c r="BO160" s="6">
        <f t="shared" si="62"/>
        <v>376</v>
      </c>
      <c r="BP160" s="6">
        <v>444</v>
      </c>
      <c r="BQ160" s="6"/>
      <c r="BR160" s="6">
        <f t="shared" si="63"/>
        <v>361</v>
      </c>
      <c r="BS160" s="6"/>
      <c r="BT160" s="6"/>
      <c r="BU160" s="35"/>
      <c r="BV160" s="6">
        <v>826</v>
      </c>
      <c r="BW160" s="6"/>
      <c r="BX160" s="6">
        <f t="shared" si="64"/>
        <v>382</v>
      </c>
      <c r="BY160" s="6">
        <v>1195</v>
      </c>
      <c r="BZ160" s="6"/>
      <c r="CA160" s="35">
        <f t="shared" si="65"/>
        <v>369</v>
      </c>
      <c r="CB160" s="6">
        <v>1559</v>
      </c>
      <c r="CC160" s="6"/>
      <c r="CD160" s="6">
        <f t="shared" si="66"/>
        <v>364</v>
      </c>
      <c r="CE160" s="6">
        <v>356</v>
      </c>
      <c r="CF160" s="6">
        <v>1565</v>
      </c>
      <c r="CG160" s="6">
        <f t="shared" si="67"/>
        <v>362</v>
      </c>
      <c r="CH160" s="7">
        <v>714</v>
      </c>
      <c r="CI160" s="6"/>
      <c r="CJ160" s="6">
        <f t="shared" si="68"/>
        <v>358</v>
      </c>
      <c r="CK160" s="6">
        <v>1069</v>
      </c>
      <c r="CL160" s="6"/>
      <c r="CM160" s="6">
        <f t="shared" si="69"/>
        <v>355</v>
      </c>
      <c r="CN160" s="6"/>
      <c r="CO160" s="6"/>
      <c r="CP160" s="6"/>
      <c r="CQ160" s="6">
        <v>1438</v>
      </c>
      <c r="CR160" s="6"/>
      <c r="CS160" s="6">
        <f t="shared" si="70"/>
        <v>369</v>
      </c>
      <c r="CT160" s="6">
        <v>239</v>
      </c>
      <c r="CU160" s="6">
        <v>1560</v>
      </c>
      <c r="CV160" s="6">
        <f t="shared" si="71"/>
        <v>361</v>
      </c>
      <c r="CW160" s="6">
        <v>603</v>
      </c>
      <c r="CX160" s="6"/>
      <c r="CY160" s="6">
        <f t="shared" si="72"/>
        <v>364</v>
      </c>
      <c r="CZ160" s="6">
        <v>0</v>
      </c>
      <c r="DA160" s="6">
        <v>800</v>
      </c>
      <c r="DB160" s="6">
        <f t="shared" si="73"/>
        <v>197</v>
      </c>
      <c r="DC160" s="6">
        <v>364</v>
      </c>
      <c r="DD160" s="6"/>
      <c r="DE160" s="6">
        <f t="shared" si="74"/>
        <v>364</v>
      </c>
      <c r="DF160" s="6">
        <v>175</v>
      </c>
      <c r="DG160" s="6">
        <v>537</v>
      </c>
      <c r="DH160" s="6">
        <f t="shared" si="75"/>
        <v>348</v>
      </c>
      <c r="DI160" s="6"/>
      <c r="DJ160" s="6"/>
      <c r="DK160" s="6"/>
      <c r="DL160" s="6">
        <v>305</v>
      </c>
      <c r="DM160" s="6">
        <v>254</v>
      </c>
      <c r="DN160" s="6">
        <f t="shared" si="76"/>
        <v>384</v>
      </c>
      <c r="DO160" s="6">
        <v>651</v>
      </c>
      <c r="DP160" s="6"/>
      <c r="DQ160" s="6">
        <f t="shared" si="77"/>
        <v>346</v>
      </c>
    </row>
    <row r="161" spans="1:121">
      <c r="A161" s="6">
        <v>157</v>
      </c>
      <c r="B161" s="6">
        <v>0</v>
      </c>
      <c r="C161" s="6">
        <v>1618</v>
      </c>
      <c r="D161" s="6">
        <v>143</v>
      </c>
      <c r="E161" s="33" t="s">
        <v>37</v>
      </c>
      <c r="F161" s="148" t="s">
        <v>37</v>
      </c>
      <c r="G161" s="33" t="s">
        <v>37</v>
      </c>
      <c r="H161" s="33" t="s">
        <v>37</v>
      </c>
      <c r="I161" s="33" t="s">
        <v>37</v>
      </c>
      <c r="J161" s="33" t="s">
        <v>37</v>
      </c>
      <c r="K161" s="33" t="s">
        <v>37</v>
      </c>
      <c r="L161" s="33" t="s">
        <v>37</v>
      </c>
      <c r="M161" s="33" t="s">
        <v>37</v>
      </c>
      <c r="N161" s="33" t="s">
        <v>37</v>
      </c>
      <c r="O161" s="33" t="s">
        <v>37</v>
      </c>
      <c r="P161" s="33" t="s">
        <v>37</v>
      </c>
      <c r="Q161" s="33" t="s">
        <v>37</v>
      </c>
      <c r="R161" s="33" t="s">
        <v>37</v>
      </c>
      <c r="S161" s="33" t="s">
        <v>37</v>
      </c>
      <c r="T161" s="33" t="s">
        <v>37</v>
      </c>
      <c r="U161" s="33" t="s">
        <v>37</v>
      </c>
      <c r="V161" s="33" t="s">
        <v>37</v>
      </c>
      <c r="W161" s="33" t="s">
        <v>37</v>
      </c>
      <c r="X161" s="33" t="s">
        <v>37</v>
      </c>
      <c r="Y161" s="33" t="s">
        <v>37</v>
      </c>
      <c r="Z161" s="33" t="s">
        <v>37</v>
      </c>
      <c r="AA161" s="148" t="s">
        <v>37</v>
      </c>
      <c r="AB161" s="33" t="s">
        <v>37</v>
      </c>
      <c r="AC161" s="33" t="s">
        <v>37</v>
      </c>
      <c r="AD161" s="33" t="s">
        <v>37</v>
      </c>
      <c r="AE161" s="33" t="s">
        <v>37</v>
      </c>
      <c r="AF161" s="6">
        <v>349</v>
      </c>
      <c r="AG161" s="6"/>
      <c r="AH161" s="35">
        <f t="shared" si="52"/>
        <v>349</v>
      </c>
      <c r="AI161" s="6">
        <v>723</v>
      </c>
      <c r="AJ161" s="6"/>
      <c r="AK161" s="35">
        <f t="shared" si="53"/>
        <v>374</v>
      </c>
      <c r="AL161" s="35">
        <v>1089</v>
      </c>
      <c r="AM161" s="35"/>
      <c r="AN161" s="35">
        <f t="shared" si="54"/>
        <v>366</v>
      </c>
      <c r="AO161" s="6">
        <v>1467</v>
      </c>
      <c r="AP161" s="6"/>
      <c r="AQ161" s="35">
        <f t="shared" si="55"/>
        <v>378</v>
      </c>
      <c r="AR161" s="6">
        <v>286</v>
      </c>
      <c r="AS161" s="6">
        <v>1560</v>
      </c>
      <c r="AT161" s="34">
        <f t="shared" si="56"/>
        <v>379</v>
      </c>
      <c r="AU161" s="35">
        <v>636</v>
      </c>
      <c r="AV161" s="35"/>
      <c r="AW161" s="35">
        <f t="shared" si="57"/>
        <v>350</v>
      </c>
      <c r="AX161" s="6"/>
      <c r="AY161" s="6"/>
      <c r="AZ161" s="35"/>
      <c r="BA161" s="6">
        <v>1018</v>
      </c>
      <c r="BB161" s="6"/>
      <c r="BC161" s="35">
        <f t="shared" si="58"/>
        <v>382</v>
      </c>
      <c r="BD161" s="6">
        <v>1383</v>
      </c>
      <c r="BE161" s="6"/>
      <c r="BF161" s="35">
        <f t="shared" si="59"/>
        <v>365</v>
      </c>
      <c r="BG161" s="6">
        <v>200</v>
      </c>
      <c r="BH161" s="6">
        <v>1561</v>
      </c>
      <c r="BI161" s="35">
        <f t="shared" si="60"/>
        <v>378</v>
      </c>
      <c r="BJ161" s="6">
        <v>578</v>
      </c>
      <c r="BK161" s="6"/>
      <c r="BL161" s="35">
        <f t="shared" si="61"/>
        <v>378</v>
      </c>
      <c r="BM161" s="6">
        <v>43</v>
      </c>
      <c r="BN161" s="35">
        <v>911</v>
      </c>
      <c r="BO161" s="6">
        <f t="shared" si="62"/>
        <v>376</v>
      </c>
      <c r="BP161" s="6">
        <v>405</v>
      </c>
      <c r="BQ161" s="6"/>
      <c r="BR161" s="6">
        <f t="shared" si="63"/>
        <v>362</v>
      </c>
      <c r="BS161" s="6"/>
      <c r="BT161" s="6"/>
      <c r="BU161" s="35"/>
      <c r="BV161" s="6">
        <v>785</v>
      </c>
      <c r="BW161" s="6"/>
      <c r="BX161" s="6">
        <f t="shared" si="64"/>
        <v>380</v>
      </c>
      <c r="BY161" s="6">
        <v>1164</v>
      </c>
      <c r="BZ161" s="6"/>
      <c r="CA161" s="35">
        <f t="shared" si="65"/>
        <v>379</v>
      </c>
      <c r="CB161" s="6">
        <v>1545</v>
      </c>
      <c r="CC161" s="6"/>
      <c r="CD161" s="6">
        <f t="shared" si="66"/>
        <v>381</v>
      </c>
      <c r="CE161" s="6">
        <v>367</v>
      </c>
      <c r="CF161" s="6">
        <v>1560</v>
      </c>
      <c r="CG161" s="6">
        <f t="shared" si="67"/>
        <v>382</v>
      </c>
      <c r="CH161" s="7">
        <v>747</v>
      </c>
      <c r="CI161" s="6"/>
      <c r="CJ161" s="6">
        <f t="shared" si="68"/>
        <v>380</v>
      </c>
      <c r="CK161" s="6">
        <v>1119</v>
      </c>
      <c r="CL161" s="6"/>
      <c r="CM161" s="6">
        <f t="shared" si="69"/>
        <v>372</v>
      </c>
      <c r="CN161" s="6"/>
      <c r="CO161" s="6"/>
      <c r="CP161" s="6"/>
      <c r="CQ161" s="6">
        <v>1506</v>
      </c>
      <c r="CR161" s="6"/>
      <c r="CS161" s="6">
        <f t="shared" si="70"/>
        <v>387</v>
      </c>
      <c r="CT161" s="6">
        <v>324</v>
      </c>
      <c r="CU161" s="6">
        <v>1560</v>
      </c>
      <c r="CV161" s="6">
        <f t="shared" si="71"/>
        <v>378</v>
      </c>
      <c r="CW161" s="6">
        <v>706</v>
      </c>
      <c r="CX161" s="6"/>
      <c r="CY161" s="6">
        <f t="shared" si="72"/>
        <v>382</v>
      </c>
      <c r="CZ161" s="6">
        <v>346</v>
      </c>
      <c r="DA161" s="6">
        <v>724</v>
      </c>
      <c r="DB161" s="6">
        <f t="shared" si="73"/>
        <v>364</v>
      </c>
      <c r="DC161" s="6">
        <v>728</v>
      </c>
      <c r="DD161" s="6"/>
      <c r="DE161" s="6">
        <f t="shared" si="74"/>
        <v>382</v>
      </c>
      <c r="DF161" s="6">
        <v>1094</v>
      </c>
      <c r="DG161" s="6"/>
      <c r="DH161" s="6">
        <f t="shared" si="75"/>
        <v>366</v>
      </c>
      <c r="DI161" s="6"/>
      <c r="DJ161" s="6"/>
      <c r="DK161" s="6"/>
      <c r="DL161" s="6">
        <v>1484</v>
      </c>
      <c r="DM161" s="6"/>
      <c r="DN161" s="6">
        <f t="shared" si="76"/>
        <v>390</v>
      </c>
      <c r="DO161" s="6">
        <v>276</v>
      </c>
      <c r="DP161" s="6">
        <v>1560</v>
      </c>
      <c r="DQ161" s="6">
        <f t="shared" si="77"/>
        <v>352</v>
      </c>
    </row>
    <row r="162" spans="1:121">
      <c r="A162" s="6">
        <v>158</v>
      </c>
      <c r="B162" s="6">
        <v>188</v>
      </c>
      <c r="C162" s="6">
        <v>1474</v>
      </c>
      <c r="D162" s="6">
        <v>328</v>
      </c>
      <c r="E162" s="33" t="s">
        <v>37</v>
      </c>
      <c r="F162" s="33" t="s">
        <v>37</v>
      </c>
      <c r="G162" s="33" t="s">
        <v>37</v>
      </c>
      <c r="H162" s="33" t="s">
        <v>37</v>
      </c>
      <c r="I162" s="148" t="s">
        <v>37</v>
      </c>
      <c r="J162" s="33" t="s">
        <v>37</v>
      </c>
      <c r="K162" s="33" t="s">
        <v>37</v>
      </c>
      <c r="L162" s="33" t="s">
        <v>37</v>
      </c>
      <c r="M162" s="33" t="s">
        <v>37</v>
      </c>
      <c r="N162" s="33" t="s">
        <v>37</v>
      </c>
      <c r="O162" s="33" t="s">
        <v>37</v>
      </c>
      <c r="P162" s="33" t="s">
        <v>37</v>
      </c>
      <c r="Q162" s="33" t="s">
        <v>37</v>
      </c>
      <c r="R162" s="33" t="s">
        <v>37</v>
      </c>
      <c r="S162" s="33" t="s">
        <v>37</v>
      </c>
      <c r="T162" s="33" t="s">
        <v>37</v>
      </c>
      <c r="U162" s="33" t="s">
        <v>37</v>
      </c>
      <c r="V162" s="33" t="s">
        <v>37</v>
      </c>
      <c r="W162" s="33" t="s">
        <v>37</v>
      </c>
      <c r="X162" s="33" t="s">
        <v>37</v>
      </c>
      <c r="Y162" s="33" t="s">
        <v>37</v>
      </c>
      <c r="Z162" s="33" t="s">
        <v>37</v>
      </c>
      <c r="AA162" s="33" t="s">
        <v>37</v>
      </c>
      <c r="AB162" s="33" t="s">
        <v>37</v>
      </c>
      <c r="AC162" s="33" t="s">
        <v>37</v>
      </c>
      <c r="AD162" s="33" t="s">
        <v>37</v>
      </c>
      <c r="AE162" s="148" t="s">
        <v>37</v>
      </c>
      <c r="AF162" s="6">
        <v>584</v>
      </c>
      <c r="AG162" s="6"/>
      <c r="AH162" s="35">
        <f t="shared" si="52"/>
        <v>396</v>
      </c>
      <c r="AI162" s="6">
        <v>941</v>
      </c>
      <c r="AJ162" s="6"/>
      <c r="AK162" s="35">
        <f t="shared" si="53"/>
        <v>357</v>
      </c>
      <c r="AL162" s="35">
        <v>0</v>
      </c>
      <c r="AM162" s="35">
        <v>1114</v>
      </c>
      <c r="AN162" s="35">
        <f t="shared" si="54"/>
        <v>173</v>
      </c>
      <c r="AO162" s="6">
        <v>318</v>
      </c>
      <c r="AP162" s="6"/>
      <c r="AQ162" s="35">
        <f t="shared" si="55"/>
        <v>318</v>
      </c>
      <c r="AR162" s="6">
        <v>695</v>
      </c>
      <c r="AS162" s="6"/>
      <c r="AT162" s="34">
        <f t="shared" si="56"/>
        <v>377</v>
      </c>
      <c r="AU162" s="35">
        <v>1052</v>
      </c>
      <c r="AV162" s="35"/>
      <c r="AW162" s="35">
        <f t="shared" si="57"/>
        <v>357</v>
      </c>
      <c r="AX162" s="6"/>
      <c r="AY162" s="6"/>
      <c r="AZ162" s="35"/>
      <c r="BA162" s="6">
        <v>1430</v>
      </c>
      <c r="BB162" s="6"/>
      <c r="BC162" s="35">
        <f t="shared" si="58"/>
        <v>378</v>
      </c>
      <c r="BD162" s="35">
        <v>321</v>
      </c>
      <c r="BE162" s="35">
        <v>1475</v>
      </c>
      <c r="BF162" s="35">
        <f t="shared" si="59"/>
        <v>366</v>
      </c>
      <c r="BG162" s="6">
        <v>684</v>
      </c>
      <c r="BH162" s="6"/>
      <c r="BI162" s="35">
        <f t="shared" si="60"/>
        <v>363</v>
      </c>
      <c r="BJ162" s="6">
        <v>1051</v>
      </c>
      <c r="BK162" s="6"/>
      <c r="BL162" s="35">
        <f t="shared" si="61"/>
        <v>367</v>
      </c>
      <c r="BM162" s="6">
        <v>1421</v>
      </c>
      <c r="BN162" s="6"/>
      <c r="BO162" s="6">
        <f t="shared" si="62"/>
        <v>370</v>
      </c>
      <c r="BP162" s="6">
        <v>213</v>
      </c>
      <c r="BQ162" s="6">
        <v>1560</v>
      </c>
      <c r="BR162" s="6">
        <f t="shared" si="63"/>
        <v>352</v>
      </c>
      <c r="BS162" s="6"/>
      <c r="BT162" s="6"/>
      <c r="BU162" s="35"/>
      <c r="BV162" s="6">
        <v>587</v>
      </c>
      <c r="BW162" s="6"/>
      <c r="BX162" s="6">
        <f t="shared" si="64"/>
        <v>374</v>
      </c>
      <c r="BY162" s="6">
        <v>953</v>
      </c>
      <c r="BZ162" s="6"/>
      <c r="CA162" s="35">
        <f t="shared" si="65"/>
        <v>366</v>
      </c>
      <c r="CB162" s="6">
        <v>1326</v>
      </c>
      <c r="CC162" s="6"/>
      <c r="CD162" s="6">
        <f t="shared" si="66"/>
        <v>373</v>
      </c>
      <c r="CE162" s="6">
        <v>138</v>
      </c>
      <c r="CF162" s="6">
        <v>1560</v>
      </c>
      <c r="CG162" s="6">
        <f t="shared" si="67"/>
        <v>372</v>
      </c>
      <c r="CH162" s="6">
        <v>519</v>
      </c>
      <c r="CI162" s="6"/>
      <c r="CJ162" s="6">
        <f t="shared" si="68"/>
        <v>381</v>
      </c>
      <c r="CK162" s="6">
        <v>888</v>
      </c>
      <c r="CL162" s="6"/>
      <c r="CM162" s="6">
        <f t="shared" si="69"/>
        <v>369</v>
      </c>
      <c r="CN162" s="6"/>
      <c r="CO162" s="6"/>
      <c r="CP162" s="6"/>
      <c r="CQ162" s="6">
        <v>1260</v>
      </c>
      <c r="CR162" s="6"/>
      <c r="CS162" s="6">
        <f t="shared" si="70"/>
        <v>372</v>
      </c>
      <c r="CT162" s="6">
        <v>79</v>
      </c>
      <c r="CU162" s="6">
        <v>1560</v>
      </c>
      <c r="CV162" s="6">
        <f t="shared" si="71"/>
        <v>379</v>
      </c>
      <c r="CW162" s="6">
        <v>460</v>
      </c>
      <c r="CX162" s="6"/>
      <c r="CY162" s="6">
        <f t="shared" si="72"/>
        <v>381</v>
      </c>
      <c r="CZ162" s="6">
        <v>825</v>
      </c>
      <c r="DA162" s="6"/>
      <c r="DB162" s="6">
        <f t="shared" si="73"/>
        <v>365</v>
      </c>
      <c r="DC162" s="6">
        <v>1196</v>
      </c>
      <c r="DD162" s="6"/>
      <c r="DE162" s="6">
        <f t="shared" si="74"/>
        <v>371</v>
      </c>
      <c r="DF162" s="6">
        <v>1555</v>
      </c>
      <c r="DG162" s="6"/>
      <c r="DH162" s="6">
        <f t="shared" si="75"/>
        <v>359</v>
      </c>
      <c r="DI162" s="6"/>
      <c r="DJ162" s="6"/>
      <c r="DK162" s="6"/>
      <c r="DL162" s="6">
        <v>0</v>
      </c>
      <c r="DM162" s="6">
        <v>1721</v>
      </c>
      <c r="DN162" s="6">
        <f t="shared" si="76"/>
        <v>166</v>
      </c>
      <c r="DO162" s="6">
        <v>330</v>
      </c>
      <c r="DP162" s="6"/>
      <c r="DQ162" s="6">
        <f t="shared" si="77"/>
        <v>330</v>
      </c>
    </row>
    <row r="163" spans="1:121">
      <c r="A163" s="6">
        <v>159</v>
      </c>
      <c r="B163" s="6">
        <v>1117</v>
      </c>
      <c r="C163" s="6"/>
      <c r="D163" s="6">
        <v>331</v>
      </c>
      <c r="E163" s="33" t="s">
        <v>37</v>
      </c>
      <c r="F163" s="33" t="s">
        <v>37</v>
      </c>
      <c r="G163" s="148" t="s">
        <v>37</v>
      </c>
      <c r="H163" s="33" t="s">
        <v>37</v>
      </c>
      <c r="I163" s="33" t="s">
        <v>37</v>
      </c>
      <c r="J163" s="33" t="s">
        <v>37</v>
      </c>
      <c r="K163" s="33" t="s">
        <v>37</v>
      </c>
      <c r="L163" s="33" t="s">
        <v>37</v>
      </c>
      <c r="M163" s="33" t="s">
        <v>37</v>
      </c>
      <c r="N163" s="33" t="s">
        <v>37</v>
      </c>
      <c r="O163" s="33" t="s">
        <v>37</v>
      </c>
      <c r="P163" s="33" t="s">
        <v>37</v>
      </c>
      <c r="Q163" s="33" t="s">
        <v>37</v>
      </c>
      <c r="R163" s="33" t="s">
        <v>37</v>
      </c>
      <c r="S163" s="33" t="s">
        <v>37</v>
      </c>
      <c r="T163" s="33" t="s">
        <v>37</v>
      </c>
      <c r="U163" s="33" t="s">
        <v>37</v>
      </c>
      <c r="V163" s="33" t="s">
        <v>37</v>
      </c>
      <c r="W163" s="33" t="s">
        <v>37</v>
      </c>
      <c r="X163" s="33" t="s">
        <v>37</v>
      </c>
      <c r="Y163" s="33" t="s">
        <v>37</v>
      </c>
      <c r="Z163" s="33" t="s">
        <v>37</v>
      </c>
      <c r="AA163" s="33" t="s">
        <v>37</v>
      </c>
      <c r="AB163" s="148" t="s">
        <v>37</v>
      </c>
      <c r="AC163" s="33" t="s">
        <v>37</v>
      </c>
      <c r="AD163" s="33" t="s">
        <v>37</v>
      </c>
      <c r="AE163" s="33" t="s">
        <v>37</v>
      </c>
      <c r="AF163" s="35">
        <v>1520</v>
      </c>
      <c r="AG163" s="35"/>
      <c r="AH163" s="35">
        <f t="shared" si="52"/>
        <v>403</v>
      </c>
      <c r="AI163" s="35">
        <v>276</v>
      </c>
      <c r="AJ163" s="35">
        <v>1561</v>
      </c>
      <c r="AK163" s="35">
        <f t="shared" si="53"/>
        <v>317</v>
      </c>
      <c r="AL163" s="35">
        <v>657</v>
      </c>
      <c r="AM163" s="35"/>
      <c r="AN163" s="35">
        <f t="shared" si="54"/>
        <v>381</v>
      </c>
      <c r="AO163" s="6">
        <v>1038</v>
      </c>
      <c r="AP163" s="6"/>
      <c r="AQ163" s="35">
        <f t="shared" si="55"/>
        <v>381</v>
      </c>
      <c r="AR163" s="6">
        <v>1416</v>
      </c>
      <c r="AS163" s="6"/>
      <c r="AT163" s="34">
        <f t="shared" si="56"/>
        <v>378</v>
      </c>
      <c r="AU163" s="35">
        <v>217</v>
      </c>
      <c r="AV163" s="35">
        <v>1560</v>
      </c>
      <c r="AW163" s="35">
        <f t="shared" si="57"/>
        <v>361</v>
      </c>
      <c r="AX163" s="6"/>
      <c r="AY163" s="6"/>
      <c r="AZ163" s="35"/>
      <c r="BA163" s="6">
        <v>602</v>
      </c>
      <c r="BB163" s="6"/>
      <c r="BC163" s="35">
        <f t="shared" si="58"/>
        <v>385</v>
      </c>
      <c r="BD163" s="6">
        <v>54</v>
      </c>
      <c r="BE163" s="6">
        <f>680+242</f>
        <v>922</v>
      </c>
      <c r="BF163" s="35">
        <f t="shared" si="59"/>
        <v>374</v>
      </c>
      <c r="BG163" s="6">
        <v>419</v>
      </c>
      <c r="BH163" s="6"/>
      <c r="BI163" s="35">
        <f t="shared" si="60"/>
        <v>365</v>
      </c>
      <c r="BJ163" s="6">
        <v>781</v>
      </c>
      <c r="BK163" s="6"/>
      <c r="BL163" s="35">
        <f t="shared" si="61"/>
        <v>362</v>
      </c>
      <c r="BM163" s="6">
        <v>1159</v>
      </c>
      <c r="BN163" s="35"/>
      <c r="BO163" s="6">
        <f t="shared" si="62"/>
        <v>378</v>
      </c>
      <c r="BP163" s="6">
        <v>1521</v>
      </c>
      <c r="BQ163" s="6"/>
      <c r="BR163" s="6">
        <f t="shared" si="63"/>
        <v>362</v>
      </c>
      <c r="BS163" s="6"/>
      <c r="BT163" s="6"/>
      <c r="BU163" s="35"/>
      <c r="BV163" s="6">
        <v>342</v>
      </c>
      <c r="BW163" s="6">
        <v>1560</v>
      </c>
      <c r="BX163" s="6">
        <f t="shared" si="64"/>
        <v>381</v>
      </c>
      <c r="BY163" s="6">
        <v>720</v>
      </c>
      <c r="BZ163" s="6"/>
      <c r="CA163" s="35">
        <f t="shared" si="65"/>
        <v>378</v>
      </c>
      <c r="CB163" s="6">
        <v>1104</v>
      </c>
      <c r="CC163" s="6"/>
      <c r="CD163" s="6">
        <f t="shared" si="66"/>
        <v>384</v>
      </c>
      <c r="CE163" s="6">
        <v>1485</v>
      </c>
      <c r="CF163" s="6"/>
      <c r="CG163" s="6">
        <f t="shared" si="67"/>
        <v>381</v>
      </c>
      <c r="CH163" s="6">
        <v>304</v>
      </c>
      <c r="CI163" s="6">
        <v>1560</v>
      </c>
      <c r="CJ163" s="6">
        <f t="shared" si="68"/>
        <v>379</v>
      </c>
      <c r="CK163" s="6">
        <v>677</v>
      </c>
      <c r="CL163" s="6"/>
      <c r="CM163" s="6">
        <f t="shared" si="69"/>
        <v>373</v>
      </c>
      <c r="CN163" s="6"/>
      <c r="CO163" s="6"/>
      <c r="CP163" s="6"/>
      <c r="CQ163" s="6">
        <v>1050</v>
      </c>
      <c r="CR163" s="6"/>
      <c r="CS163" s="6">
        <f t="shared" si="70"/>
        <v>373</v>
      </c>
      <c r="CT163" s="6">
        <v>1417</v>
      </c>
      <c r="CU163" s="6"/>
      <c r="CV163" s="6">
        <f t="shared" si="71"/>
        <v>367</v>
      </c>
      <c r="CW163" s="6">
        <v>228</v>
      </c>
      <c r="CX163" s="6">
        <v>1560</v>
      </c>
      <c r="CY163" s="6">
        <f t="shared" si="72"/>
        <v>371</v>
      </c>
      <c r="CZ163" s="6">
        <v>603</v>
      </c>
      <c r="DA163" s="6"/>
      <c r="DB163" s="6">
        <f t="shared" si="73"/>
        <v>375</v>
      </c>
      <c r="DC163" s="6">
        <v>276</v>
      </c>
      <c r="DD163" s="6">
        <v>679</v>
      </c>
      <c r="DE163" s="6">
        <f t="shared" si="74"/>
        <v>352</v>
      </c>
      <c r="DF163" s="6">
        <v>638</v>
      </c>
      <c r="DG163" s="6"/>
      <c r="DH163" s="6">
        <f t="shared" si="75"/>
        <v>362</v>
      </c>
      <c r="DI163" s="6"/>
      <c r="DJ163" s="6"/>
      <c r="DK163" s="6"/>
      <c r="DL163" s="6">
        <v>1029</v>
      </c>
      <c r="DM163" s="6"/>
      <c r="DN163" s="6">
        <f t="shared" si="76"/>
        <v>391</v>
      </c>
      <c r="DO163" s="6">
        <v>1391</v>
      </c>
      <c r="DP163" s="6"/>
      <c r="DQ163" s="6">
        <f t="shared" si="77"/>
        <v>362</v>
      </c>
    </row>
    <row r="164" spans="1:121">
      <c r="A164" s="6">
        <v>160</v>
      </c>
      <c r="B164" s="6">
        <v>224</v>
      </c>
      <c r="C164" s="6">
        <v>1605</v>
      </c>
      <c r="D164" s="6">
        <v>325</v>
      </c>
      <c r="E164" s="33" t="s">
        <v>37</v>
      </c>
      <c r="F164" s="33" t="s">
        <v>37</v>
      </c>
      <c r="G164" s="33" t="s">
        <v>37</v>
      </c>
      <c r="H164" s="33" t="s">
        <v>37</v>
      </c>
      <c r="I164" s="33" t="s">
        <v>37</v>
      </c>
      <c r="J164" s="33" t="s">
        <v>37</v>
      </c>
      <c r="K164" s="33" t="s">
        <v>37</v>
      </c>
      <c r="L164" s="33" t="s">
        <v>37</v>
      </c>
      <c r="M164" s="33" t="s">
        <v>37</v>
      </c>
      <c r="N164" s="33" t="s">
        <v>37</v>
      </c>
      <c r="O164" s="33" t="s">
        <v>37</v>
      </c>
      <c r="P164" s="33" t="s">
        <v>37</v>
      </c>
      <c r="Q164" s="33" t="s">
        <v>37</v>
      </c>
      <c r="R164" s="33" t="s">
        <v>37</v>
      </c>
      <c r="S164" s="33" t="s">
        <v>37</v>
      </c>
      <c r="T164" s="33" t="s">
        <v>37</v>
      </c>
      <c r="U164" s="33" t="s">
        <v>37</v>
      </c>
      <c r="V164" s="33" t="s">
        <v>37</v>
      </c>
      <c r="W164" s="33" t="s">
        <v>37</v>
      </c>
      <c r="X164" s="33" t="s">
        <v>37</v>
      </c>
      <c r="Y164" s="33" t="s">
        <v>37</v>
      </c>
      <c r="Z164" s="148" t="s">
        <v>37</v>
      </c>
      <c r="AA164" s="33" t="s">
        <v>37</v>
      </c>
      <c r="AB164" s="33" t="s">
        <v>37</v>
      </c>
      <c r="AC164" s="33" t="s">
        <v>37</v>
      </c>
      <c r="AD164" s="33" t="s">
        <v>37</v>
      </c>
      <c r="AE164" s="33" t="s">
        <v>37</v>
      </c>
      <c r="AF164" s="6">
        <v>636</v>
      </c>
      <c r="AG164" s="6"/>
      <c r="AH164" s="35">
        <f t="shared" si="52"/>
        <v>412</v>
      </c>
      <c r="AI164" s="6">
        <v>220</v>
      </c>
      <c r="AJ164" s="6">
        <v>772</v>
      </c>
      <c r="AK164" s="35">
        <f t="shared" si="53"/>
        <v>356</v>
      </c>
      <c r="AL164" s="35">
        <v>245</v>
      </c>
      <c r="AM164" s="35">
        <v>353</v>
      </c>
      <c r="AN164" s="35">
        <f t="shared" si="54"/>
        <v>378</v>
      </c>
      <c r="AO164" s="6">
        <v>622</v>
      </c>
      <c r="AP164" s="6"/>
      <c r="AQ164" s="35">
        <f t="shared" si="55"/>
        <v>377</v>
      </c>
      <c r="AR164" s="6">
        <v>998</v>
      </c>
      <c r="AS164" s="6"/>
      <c r="AT164" s="34">
        <f t="shared" si="56"/>
        <v>376</v>
      </c>
      <c r="AU164" s="35">
        <v>1358</v>
      </c>
      <c r="AV164" s="35"/>
      <c r="AW164" s="35">
        <f t="shared" si="57"/>
        <v>360</v>
      </c>
      <c r="AX164" s="35"/>
      <c r="AY164" s="6"/>
      <c r="AZ164" s="35"/>
      <c r="BA164" s="6">
        <v>180</v>
      </c>
      <c r="BB164" s="6">
        <v>1560</v>
      </c>
      <c r="BC164" s="35">
        <f t="shared" si="58"/>
        <v>382</v>
      </c>
      <c r="BD164" s="35">
        <v>552</v>
      </c>
      <c r="BE164" s="35"/>
      <c r="BF164" s="35">
        <f t="shared" si="59"/>
        <v>372</v>
      </c>
      <c r="BG164" s="6">
        <v>924</v>
      </c>
      <c r="BH164" s="6"/>
      <c r="BI164" s="35">
        <f t="shared" si="60"/>
        <v>372</v>
      </c>
      <c r="BJ164" s="35">
        <v>1306</v>
      </c>
      <c r="BK164" s="6"/>
      <c r="BL164" s="35">
        <f t="shared" si="61"/>
        <v>382</v>
      </c>
      <c r="BM164" s="6">
        <v>128</v>
      </c>
      <c r="BN164" s="6">
        <v>1560</v>
      </c>
      <c r="BO164" s="6">
        <f t="shared" si="62"/>
        <v>382</v>
      </c>
      <c r="BP164" s="6">
        <v>480</v>
      </c>
      <c r="BQ164" s="6"/>
      <c r="BR164" s="6">
        <f t="shared" si="63"/>
        <v>352</v>
      </c>
      <c r="BS164" s="6"/>
      <c r="BT164" s="6"/>
      <c r="BU164" s="35"/>
      <c r="BV164" s="6">
        <v>869</v>
      </c>
      <c r="BW164" s="6"/>
      <c r="BX164" s="6">
        <f t="shared" si="64"/>
        <v>389</v>
      </c>
      <c r="BY164" s="6">
        <v>1255</v>
      </c>
      <c r="BZ164" s="6"/>
      <c r="CA164" s="35">
        <f t="shared" si="65"/>
        <v>386</v>
      </c>
      <c r="CB164" s="6">
        <v>83</v>
      </c>
      <c r="CC164" s="6">
        <v>1560</v>
      </c>
      <c r="CD164" s="6">
        <f t="shared" si="66"/>
        <v>388</v>
      </c>
      <c r="CE164" s="6">
        <v>470</v>
      </c>
      <c r="CF164" s="6"/>
      <c r="CG164" s="6">
        <f t="shared" si="67"/>
        <v>387</v>
      </c>
      <c r="CH164" s="6">
        <v>852</v>
      </c>
      <c r="CI164" s="6"/>
      <c r="CJ164" s="6">
        <f t="shared" si="68"/>
        <v>382</v>
      </c>
      <c r="CK164" s="6">
        <v>1229</v>
      </c>
      <c r="CL164" s="6"/>
      <c r="CM164" s="6">
        <f t="shared" si="69"/>
        <v>377</v>
      </c>
      <c r="CN164" s="6"/>
      <c r="CO164" s="6"/>
      <c r="CP164" s="6"/>
      <c r="CQ164" s="6">
        <v>58</v>
      </c>
      <c r="CR164" s="6">
        <v>1560</v>
      </c>
      <c r="CS164" s="6">
        <f t="shared" si="70"/>
        <v>389</v>
      </c>
      <c r="CT164" s="6">
        <v>436</v>
      </c>
      <c r="CU164" s="6"/>
      <c r="CV164" s="6">
        <f t="shared" si="71"/>
        <v>378</v>
      </c>
      <c r="CW164" s="6">
        <v>289</v>
      </c>
      <c r="CX164" s="6">
        <v>508</v>
      </c>
      <c r="CY164" s="6">
        <f t="shared" si="72"/>
        <v>361</v>
      </c>
      <c r="CZ164" s="6">
        <v>677</v>
      </c>
      <c r="DA164" s="6"/>
      <c r="DB164" s="6">
        <f t="shared" si="73"/>
        <v>388</v>
      </c>
      <c r="DC164" s="6">
        <v>1064</v>
      </c>
      <c r="DD164" s="6"/>
      <c r="DE164" s="6">
        <f t="shared" si="74"/>
        <v>387</v>
      </c>
      <c r="DF164" s="6">
        <v>1428</v>
      </c>
      <c r="DG164" s="6"/>
      <c r="DH164" s="6">
        <f t="shared" si="75"/>
        <v>364</v>
      </c>
      <c r="DI164" s="6"/>
      <c r="DJ164" s="6"/>
      <c r="DK164" s="6"/>
      <c r="DL164" s="6">
        <v>250</v>
      </c>
      <c r="DM164" s="6">
        <v>1560</v>
      </c>
      <c r="DN164" s="6">
        <f t="shared" si="76"/>
        <v>382</v>
      </c>
      <c r="DO164" s="6">
        <v>614</v>
      </c>
      <c r="DP164" s="6"/>
      <c r="DQ164" s="6">
        <f t="shared" si="77"/>
        <v>364</v>
      </c>
    </row>
    <row r="165" spans="1:121">
      <c r="A165" s="6">
        <v>161</v>
      </c>
      <c r="B165" s="6">
        <v>1078</v>
      </c>
      <c r="C165" s="6"/>
      <c r="D165" s="6">
        <v>352</v>
      </c>
      <c r="E165" s="33" t="s">
        <v>307</v>
      </c>
      <c r="F165" s="33" t="s">
        <v>307</v>
      </c>
      <c r="G165" s="33" t="s">
        <v>307</v>
      </c>
      <c r="H165" s="33" t="s">
        <v>307</v>
      </c>
      <c r="I165" s="33" t="s">
        <v>307</v>
      </c>
      <c r="J165" s="33" t="s">
        <v>307</v>
      </c>
      <c r="K165" s="33" t="s">
        <v>307</v>
      </c>
      <c r="L165" s="33" t="s">
        <v>307</v>
      </c>
      <c r="M165" s="33" t="s">
        <v>307</v>
      </c>
      <c r="N165" s="148" t="s">
        <v>37</v>
      </c>
      <c r="O165" s="33" t="s">
        <v>37</v>
      </c>
      <c r="P165" s="33" t="s">
        <v>37</v>
      </c>
      <c r="Q165" s="33" t="s">
        <v>37</v>
      </c>
      <c r="R165" s="33" t="s">
        <v>37</v>
      </c>
      <c r="S165" s="33" t="s">
        <v>37</v>
      </c>
      <c r="T165" s="33" t="s">
        <v>37</v>
      </c>
      <c r="U165" s="33" t="s">
        <v>37</v>
      </c>
      <c r="V165" s="33" t="s">
        <v>37</v>
      </c>
      <c r="W165" s="33" t="s">
        <v>37</v>
      </c>
      <c r="X165" s="33" t="s">
        <v>37</v>
      </c>
      <c r="Y165" s="33" t="s">
        <v>37</v>
      </c>
      <c r="Z165" s="33" t="s">
        <v>37</v>
      </c>
      <c r="AA165" s="33" t="s">
        <v>37</v>
      </c>
      <c r="AB165" s="33" t="s">
        <v>37</v>
      </c>
      <c r="AC165" s="33" t="s">
        <v>37</v>
      </c>
      <c r="AD165" s="33" t="s">
        <v>37</v>
      </c>
      <c r="AE165" s="33" t="s">
        <v>37</v>
      </c>
      <c r="AF165" s="6">
        <v>1507</v>
      </c>
      <c r="AG165" s="6"/>
      <c r="AH165" s="35">
        <f t="shared" si="52"/>
        <v>429</v>
      </c>
      <c r="AI165" s="6">
        <v>342</v>
      </c>
      <c r="AJ165" s="6">
        <v>1560</v>
      </c>
      <c r="AK165" s="35">
        <f t="shared" si="53"/>
        <v>395</v>
      </c>
      <c r="AL165" s="35">
        <v>741</v>
      </c>
      <c r="AM165" s="35"/>
      <c r="AN165" s="35">
        <f t="shared" si="54"/>
        <v>399</v>
      </c>
      <c r="AO165" s="6">
        <v>1140</v>
      </c>
      <c r="AP165" s="6"/>
      <c r="AQ165" s="35">
        <f t="shared" si="55"/>
        <v>399</v>
      </c>
      <c r="AR165" s="6">
        <v>1541</v>
      </c>
      <c r="AS165" s="6"/>
      <c r="AT165" s="34">
        <f t="shared" si="56"/>
        <v>401</v>
      </c>
      <c r="AU165" s="35">
        <v>359</v>
      </c>
      <c r="AV165" s="35">
        <v>1560</v>
      </c>
      <c r="AW165" s="35">
        <f t="shared" si="57"/>
        <v>378</v>
      </c>
      <c r="AX165" s="6"/>
      <c r="AY165" s="6"/>
      <c r="AZ165" s="35"/>
      <c r="BA165" s="6">
        <v>759</v>
      </c>
      <c r="BB165" s="6"/>
      <c r="BC165" s="35">
        <f t="shared" si="58"/>
        <v>400</v>
      </c>
      <c r="BD165" s="35">
        <v>1157</v>
      </c>
      <c r="BE165" s="35"/>
      <c r="BF165" s="35">
        <f t="shared" si="59"/>
        <v>398</v>
      </c>
      <c r="BG165" s="6">
        <v>242</v>
      </c>
      <c r="BH165" s="6">
        <v>1278</v>
      </c>
      <c r="BI165" s="35">
        <f t="shared" si="60"/>
        <v>363</v>
      </c>
      <c r="BJ165" s="35">
        <v>624</v>
      </c>
      <c r="BK165" s="6"/>
      <c r="BL165" s="35">
        <f t="shared" si="61"/>
        <v>382</v>
      </c>
      <c r="BM165" s="6">
        <v>1007</v>
      </c>
      <c r="BN165" s="6"/>
      <c r="BO165" s="6">
        <f t="shared" si="62"/>
        <v>383</v>
      </c>
      <c r="BP165" s="6">
        <v>1371</v>
      </c>
      <c r="BQ165" s="6"/>
      <c r="BR165" s="6">
        <f t="shared" si="63"/>
        <v>364</v>
      </c>
      <c r="BS165" s="6"/>
      <c r="BT165" s="6"/>
      <c r="BU165" s="35"/>
      <c r="BV165" s="6">
        <v>192</v>
      </c>
      <c r="BW165" s="6">
        <v>1560</v>
      </c>
      <c r="BX165" s="6">
        <f t="shared" si="64"/>
        <v>381</v>
      </c>
      <c r="BY165" s="6">
        <v>569</v>
      </c>
      <c r="BZ165" s="6"/>
      <c r="CA165" s="35">
        <f t="shared" si="65"/>
        <v>377</v>
      </c>
      <c r="CB165" s="35">
        <v>959</v>
      </c>
      <c r="CC165" s="6"/>
      <c r="CD165" s="6">
        <f t="shared" si="66"/>
        <v>390</v>
      </c>
      <c r="CE165" s="6">
        <v>1351</v>
      </c>
      <c r="CF165" s="6"/>
      <c r="CG165" s="6">
        <f t="shared" si="67"/>
        <v>392</v>
      </c>
      <c r="CH165" s="6">
        <v>184</v>
      </c>
      <c r="CI165" s="6">
        <v>1560</v>
      </c>
      <c r="CJ165" s="6">
        <f t="shared" si="68"/>
        <v>393</v>
      </c>
      <c r="CK165" s="6">
        <v>564</v>
      </c>
      <c r="CL165" s="6"/>
      <c r="CM165" s="6">
        <f t="shared" si="69"/>
        <v>380</v>
      </c>
      <c r="CN165" s="6"/>
      <c r="CO165" s="6"/>
      <c r="CP165" s="6"/>
      <c r="CQ165" s="6">
        <v>960</v>
      </c>
      <c r="CR165" s="6"/>
      <c r="CS165" s="6">
        <f t="shared" si="70"/>
        <v>396</v>
      </c>
      <c r="CT165" s="6">
        <v>1341</v>
      </c>
      <c r="CU165" s="6"/>
      <c r="CV165" s="6">
        <f t="shared" si="71"/>
        <v>381</v>
      </c>
      <c r="CW165" s="6">
        <v>172</v>
      </c>
      <c r="CX165" s="6">
        <v>1560</v>
      </c>
      <c r="CY165" s="6">
        <f t="shared" si="72"/>
        <v>391</v>
      </c>
      <c r="CZ165" s="6">
        <v>565</v>
      </c>
      <c r="DA165" s="6"/>
      <c r="DB165" s="6">
        <f t="shared" si="73"/>
        <v>393</v>
      </c>
      <c r="DC165" s="6">
        <v>956</v>
      </c>
      <c r="DD165" s="6"/>
      <c r="DE165" s="6">
        <f t="shared" si="74"/>
        <v>391</v>
      </c>
      <c r="DF165" s="6">
        <v>1331</v>
      </c>
      <c r="DG165" s="6"/>
      <c r="DH165" s="6">
        <f t="shared" si="75"/>
        <v>375</v>
      </c>
      <c r="DI165" s="6"/>
      <c r="DJ165" s="6"/>
      <c r="DK165" s="6"/>
      <c r="DL165" s="6">
        <v>162</v>
      </c>
      <c r="DM165" s="6">
        <v>1560</v>
      </c>
      <c r="DN165" s="6">
        <f t="shared" si="76"/>
        <v>391</v>
      </c>
      <c r="DO165" s="6">
        <v>525</v>
      </c>
      <c r="DP165" s="6"/>
      <c r="DQ165" s="6">
        <f t="shared" si="77"/>
        <v>363</v>
      </c>
    </row>
    <row r="166" spans="1:121">
      <c r="A166" s="7">
        <v>162</v>
      </c>
      <c r="B166" s="6">
        <v>523</v>
      </c>
      <c r="C166" s="6"/>
      <c r="D166" s="6">
        <v>338</v>
      </c>
      <c r="E166" s="33" t="s">
        <v>37</v>
      </c>
      <c r="F166" s="33" t="s">
        <v>37</v>
      </c>
      <c r="G166" s="33" t="s">
        <v>37</v>
      </c>
      <c r="H166" s="33" t="s">
        <v>37</v>
      </c>
      <c r="I166" s="148" t="s">
        <v>37</v>
      </c>
      <c r="J166" s="33" t="s">
        <v>37</v>
      </c>
      <c r="K166" s="33" t="s">
        <v>37</v>
      </c>
      <c r="L166" s="33" t="s">
        <v>37</v>
      </c>
      <c r="M166" s="33" t="s">
        <v>37</v>
      </c>
      <c r="N166" s="33" t="s">
        <v>37</v>
      </c>
      <c r="O166" s="33" t="s">
        <v>37</v>
      </c>
      <c r="P166" s="33" t="s">
        <v>37</v>
      </c>
      <c r="Q166" s="33" t="s">
        <v>37</v>
      </c>
      <c r="R166" s="33" t="s">
        <v>37</v>
      </c>
      <c r="S166" s="33" t="s">
        <v>37</v>
      </c>
      <c r="T166" s="33" t="s">
        <v>37</v>
      </c>
      <c r="U166" s="33" t="s">
        <v>37</v>
      </c>
      <c r="V166" s="33" t="s">
        <v>37</v>
      </c>
      <c r="W166" s="33" t="s">
        <v>37</v>
      </c>
      <c r="X166" s="33" t="s">
        <v>37</v>
      </c>
      <c r="Y166" s="33" t="s">
        <v>37</v>
      </c>
      <c r="Z166" s="33" t="s">
        <v>37</v>
      </c>
      <c r="AA166" s="33" t="s">
        <v>37</v>
      </c>
      <c r="AB166" s="33" t="s">
        <v>37</v>
      </c>
      <c r="AC166" s="33" t="s">
        <v>37</v>
      </c>
      <c r="AD166" s="148" t="s">
        <v>37</v>
      </c>
      <c r="AE166" s="33" t="s">
        <v>37</v>
      </c>
      <c r="AF166" s="35">
        <v>932</v>
      </c>
      <c r="AG166" s="35"/>
      <c r="AH166" s="35">
        <f t="shared" si="52"/>
        <v>409</v>
      </c>
      <c r="AI166" s="35">
        <v>1275</v>
      </c>
      <c r="AJ166" s="35"/>
      <c r="AK166" s="35">
        <f t="shared" si="53"/>
        <v>343</v>
      </c>
      <c r="AL166" s="35">
        <v>0</v>
      </c>
      <c r="AM166" s="35">
        <v>1599</v>
      </c>
      <c r="AN166" s="35">
        <f t="shared" si="54"/>
        <v>324</v>
      </c>
      <c r="AO166" s="6">
        <v>354</v>
      </c>
      <c r="AP166" s="6"/>
      <c r="AQ166" s="35">
        <f t="shared" si="55"/>
        <v>354</v>
      </c>
      <c r="AR166" s="6">
        <v>742</v>
      </c>
      <c r="AS166" s="6"/>
      <c r="AT166" s="34">
        <f t="shared" si="56"/>
        <v>388</v>
      </c>
      <c r="AU166" s="35">
        <v>1102</v>
      </c>
      <c r="AV166" s="35"/>
      <c r="AW166" s="35">
        <f t="shared" si="57"/>
        <v>360</v>
      </c>
      <c r="AX166" s="6"/>
      <c r="AY166" s="6"/>
      <c r="AZ166" s="35"/>
      <c r="BA166" s="6">
        <v>1493</v>
      </c>
      <c r="BB166" s="6"/>
      <c r="BC166" s="35">
        <f t="shared" si="58"/>
        <v>391</v>
      </c>
      <c r="BD166" s="6">
        <v>309</v>
      </c>
      <c r="BE166" s="6">
        <v>1565</v>
      </c>
      <c r="BF166" s="35">
        <f t="shared" si="59"/>
        <v>381</v>
      </c>
      <c r="BG166" s="6">
        <v>694</v>
      </c>
      <c r="BH166" s="6"/>
      <c r="BI166" s="35">
        <f t="shared" si="60"/>
        <v>385</v>
      </c>
      <c r="BJ166" s="6">
        <v>1089</v>
      </c>
      <c r="BK166" s="6"/>
      <c r="BL166" s="35">
        <f t="shared" si="61"/>
        <v>395</v>
      </c>
      <c r="BM166" s="6">
        <v>1468</v>
      </c>
      <c r="BN166" s="35"/>
      <c r="BO166" s="6">
        <f t="shared" si="62"/>
        <v>379</v>
      </c>
      <c r="BP166" s="6">
        <v>242</v>
      </c>
      <c r="BQ166" s="6">
        <v>1587</v>
      </c>
      <c r="BR166" s="6">
        <f t="shared" si="63"/>
        <v>361</v>
      </c>
      <c r="BS166" s="6"/>
      <c r="BT166" s="6"/>
      <c r="BU166" s="35"/>
      <c r="BV166" s="6">
        <v>632</v>
      </c>
      <c r="BW166" s="6"/>
      <c r="BX166" s="6">
        <f t="shared" si="64"/>
        <v>390</v>
      </c>
      <c r="BY166" s="6">
        <v>995</v>
      </c>
      <c r="BZ166" s="6"/>
      <c r="CA166" s="35">
        <f t="shared" si="65"/>
        <v>363</v>
      </c>
      <c r="CB166" s="6">
        <v>320</v>
      </c>
      <c r="CC166" s="35">
        <v>1050</v>
      </c>
      <c r="CD166" s="6">
        <f t="shared" si="66"/>
        <v>375</v>
      </c>
      <c r="CE166" s="6">
        <v>700</v>
      </c>
      <c r="CF166" s="6"/>
      <c r="CG166" s="6">
        <f t="shared" si="67"/>
        <v>380</v>
      </c>
      <c r="CH166" s="6">
        <v>1090</v>
      </c>
      <c r="CI166" s="35"/>
      <c r="CJ166" s="6">
        <f t="shared" si="68"/>
        <v>390</v>
      </c>
      <c r="CK166" s="6">
        <v>1476</v>
      </c>
      <c r="CL166" s="6"/>
      <c r="CM166" s="6">
        <f t="shared" si="69"/>
        <v>386</v>
      </c>
      <c r="CN166" s="6"/>
      <c r="CO166" s="6"/>
      <c r="CP166" s="6"/>
      <c r="CQ166" s="6">
        <v>311</v>
      </c>
      <c r="CR166" s="6">
        <v>1560</v>
      </c>
      <c r="CS166" s="6">
        <f t="shared" si="70"/>
        <v>395</v>
      </c>
      <c r="CT166" s="6">
        <v>691</v>
      </c>
      <c r="CU166" s="6"/>
      <c r="CV166" s="6">
        <f t="shared" si="71"/>
        <v>380</v>
      </c>
      <c r="CW166" s="6">
        <v>1062</v>
      </c>
      <c r="CX166" s="6"/>
      <c r="CY166" s="6">
        <f t="shared" si="72"/>
        <v>371</v>
      </c>
      <c r="CZ166" s="6">
        <v>1442</v>
      </c>
      <c r="DA166" s="6"/>
      <c r="DB166" s="6">
        <f t="shared" si="73"/>
        <v>380</v>
      </c>
      <c r="DC166" s="6">
        <v>265</v>
      </c>
      <c r="DD166" s="6">
        <v>1560</v>
      </c>
      <c r="DE166" s="6">
        <f t="shared" si="74"/>
        <v>383</v>
      </c>
      <c r="DF166" s="6">
        <v>0</v>
      </c>
      <c r="DG166" s="6">
        <v>521</v>
      </c>
      <c r="DH166" s="6">
        <f t="shared" si="75"/>
        <v>256</v>
      </c>
      <c r="DI166" s="6"/>
      <c r="DJ166" s="6"/>
      <c r="DK166" s="6"/>
      <c r="DL166" s="6">
        <v>371</v>
      </c>
      <c r="DM166" s="6"/>
      <c r="DN166" s="6">
        <f t="shared" si="76"/>
        <v>371</v>
      </c>
      <c r="DO166" s="6">
        <v>728</v>
      </c>
      <c r="DP166" s="6"/>
      <c r="DQ166" s="6">
        <f t="shared" si="77"/>
        <v>357</v>
      </c>
    </row>
    <row r="167" spans="1:121">
      <c r="A167" s="6">
        <v>163</v>
      </c>
      <c r="B167" s="6">
        <v>636</v>
      </c>
      <c r="C167" s="6"/>
      <c r="D167" s="6">
        <v>335</v>
      </c>
      <c r="E167" s="33" t="s">
        <v>37</v>
      </c>
      <c r="F167" s="33" t="s">
        <v>37</v>
      </c>
      <c r="G167" s="33" t="s">
        <v>37</v>
      </c>
      <c r="H167" s="33" t="s">
        <v>37</v>
      </c>
      <c r="I167" s="148" t="s">
        <v>37</v>
      </c>
      <c r="J167" s="33" t="s">
        <v>37</v>
      </c>
      <c r="K167" s="33" t="s">
        <v>37</v>
      </c>
      <c r="L167" s="33" t="s">
        <v>37</v>
      </c>
      <c r="M167" s="33" t="s">
        <v>37</v>
      </c>
      <c r="N167" s="33" t="s">
        <v>37</v>
      </c>
      <c r="O167" s="33" t="s">
        <v>37</v>
      </c>
      <c r="P167" s="33" t="s">
        <v>37</v>
      </c>
      <c r="Q167" s="33" t="s">
        <v>37</v>
      </c>
      <c r="R167" s="33" t="s">
        <v>37</v>
      </c>
      <c r="S167" s="33" t="s">
        <v>37</v>
      </c>
      <c r="T167" s="33" t="s">
        <v>37</v>
      </c>
      <c r="U167" s="33" t="s">
        <v>37</v>
      </c>
      <c r="V167" s="33" t="s">
        <v>37</v>
      </c>
      <c r="W167" s="33" t="s">
        <v>37</v>
      </c>
      <c r="X167" s="33" t="s">
        <v>37</v>
      </c>
      <c r="Y167" s="33" t="s">
        <v>37</v>
      </c>
      <c r="Z167" s="33" t="s">
        <v>37</v>
      </c>
      <c r="AA167" s="33" t="s">
        <v>37</v>
      </c>
      <c r="AB167" s="33" t="s">
        <v>37</v>
      </c>
      <c r="AC167" s="33" t="s">
        <v>37</v>
      </c>
      <c r="AD167" s="148" t="s">
        <v>37</v>
      </c>
      <c r="AE167" s="33" t="s">
        <v>37</v>
      </c>
      <c r="AF167" s="35">
        <v>1031</v>
      </c>
      <c r="AG167" s="35"/>
      <c r="AH167" s="35">
        <f t="shared" si="52"/>
        <v>395</v>
      </c>
      <c r="AI167" s="35">
        <v>1401</v>
      </c>
      <c r="AJ167" s="35"/>
      <c r="AK167" s="35">
        <f t="shared" si="53"/>
        <v>370</v>
      </c>
      <c r="AL167" s="35">
        <v>0</v>
      </c>
      <c r="AM167" s="35">
        <v>1650</v>
      </c>
      <c r="AN167" s="35">
        <f t="shared" si="54"/>
        <v>249</v>
      </c>
      <c r="AO167" s="6">
        <v>339</v>
      </c>
      <c r="AP167" s="6"/>
      <c r="AQ167" s="35">
        <f t="shared" si="55"/>
        <v>339</v>
      </c>
      <c r="AR167" s="6">
        <v>714</v>
      </c>
      <c r="AS167" s="6"/>
      <c r="AT167" s="34">
        <f t="shared" si="56"/>
        <v>375</v>
      </c>
      <c r="AU167" s="35">
        <v>1068</v>
      </c>
      <c r="AV167" s="35"/>
      <c r="AW167" s="35">
        <f t="shared" si="57"/>
        <v>354</v>
      </c>
      <c r="AX167" s="6"/>
      <c r="AY167" s="6"/>
      <c r="AZ167" s="35"/>
      <c r="BA167" s="6">
        <v>1443</v>
      </c>
      <c r="BB167" s="6"/>
      <c r="BC167" s="35">
        <f t="shared" si="58"/>
        <v>375</v>
      </c>
      <c r="BD167" s="35">
        <v>258</v>
      </c>
      <c r="BE167" s="35">
        <v>1560</v>
      </c>
      <c r="BF167" s="35">
        <f t="shared" si="59"/>
        <v>375</v>
      </c>
      <c r="BG167" s="6">
        <v>634</v>
      </c>
      <c r="BH167" s="6"/>
      <c r="BI167" s="35">
        <f t="shared" si="60"/>
        <v>376</v>
      </c>
      <c r="BJ167" s="6">
        <v>1011</v>
      </c>
      <c r="BK167" s="6"/>
      <c r="BL167" s="35">
        <f t="shared" si="61"/>
        <v>377</v>
      </c>
      <c r="BM167" s="6">
        <v>1366</v>
      </c>
      <c r="BN167" s="6"/>
      <c r="BO167" s="6">
        <f t="shared" si="62"/>
        <v>355</v>
      </c>
      <c r="BP167" s="6">
        <v>160</v>
      </c>
      <c r="BQ167" s="6">
        <v>1561</v>
      </c>
      <c r="BR167" s="6">
        <f t="shared" si="63"/>
        <v>355</v>
      </c>
      <c r="BS167" s="6"/>
      <c r="BT167" s="6"/>
      <c r="BU167" s="35"/>
      <c r="BV167" s="6">
        <v>538</v>
      </c>
      <c r="BW167" s="6"/>
      <c r="BX167" s="6">
        <f t="shared" si="64"/>
        <v>378</v>
      </c>
      <c r="BY167" s="6">
        <v>912</v>
      </c>
      <c r="BZ167" s="6"/>
      <c r="CA167" s="35">
        <f t="shared" si="65"/>
        <v>374</v>
      </c>
      <c r="CB167" s="6">
        <v>1298</v>
      </c>
      <c r="CC167" s="6"/>
      <c r="CD167" s="6">
        <f t="shared" si="66"/>
        <v>386</v>
      </c>
      <c r="CE167" s="6">
        <v>122</v>
      </c>
      <c r="CF167" s="6">
        <v>1560</v>
      </c>
      <c r="CG167" s="6">
        <f t="shared" si="67"/>
        <v>384</v>
      </c>
      <c r="CH167" s="6">
        <v>509</v>
      </c>
      <c r="CI167" s="6"/>
      <c r="CJ167" s="6">
        <f t="shared" si="68"/>
        <v>387</v>
      </c>
      <c r="CK167" s="6">
        <v>889</v>
      </c>
      <c r="CL167" s="6"/>
      <c r="CM167" s="6">
        <f t="shared" si="69"/>
        <v>380</v>
      </c>
      <c r="CN167" s="6"/>
      <c r="CO167" s="6"/>
      <c r="CP167" s="6"/>
      <c r="CQ167" s="6">
        <v>1282</v>
      </c>
      <c r="CR167" s="6"/>
      <c r="CS167" s="6">
        <f t="shared" si="70"/>
        <v>393</v>
      </c>
      <c r="CT167" s="6">
        <v>104</v>
      </c>
      <c r="CU167" s="6">
        <v>1560</v>
      </c>
      <c r="CV167" s="6">
        <f t="shared" si="71"/>
        <v>382</v>
      </c>
      <c r="CW167" s="6">
        <v>493</v>
      </c>
      <c r="CX167" s="6"/>
      <c r="CY167" s="6">
        <f t="shared" si="72"/>
        <v>389</v>
      </c>
      <c r="CZ167" s="6">
        <v>874</v>
      </c>
      <c r="DA167" s="6"/>
      <c r="DB167" s="6">
        <f t="shared" si="73"/>
        <v>381</v>
      </c>
      <c r="DC167" s="6">
        <v>1262</v>
      </c>
      <c r="DD167" s="6"/>
      <c r="DE167" s="6">
        <f t="shared" si="74"/>
        <v>388</v>
      </c>
      <c r="DF167" s="6">
        <v>1629</v>
      </c>
      <c r="DG167" s="6"/>
      <c r="DH167" s="6">
        <f t="shared" si="75"/>
        <v>367</v>
      </c>
      <c r="DI167" s="6"/>
      <c r="DJ167" s="6"/>
      <c r="DK167" s="6"/>
      <c r="DL167" s="6">
        <v>346</v>
      </c>
      <c r="DM167" s="6">
        <v>1641</v>
      </c>
      <c r="DN167" s="6">
        <f t="shared" si="76"/>
        <v>358</v>
      </c>
      <c r="DO167" s="6">
        <v>705</v>
      </c>
      <c r="DP167" s="6"/>
      <c r="DQ167" s="6">
        <f t="shared" si="77"/>
        <v>359</v>
      </c>
    </row>
    <row r="168" spans="1:121">
      <c r="A168" s="6">
        <v>164</v>
      </c>
      <c r="B168" s="6">
        <v>0</v>
      </c>
      <c r="C168" s="6">
        <v>1652</v>
      </c>
      <c r="D168" s="6">
        <v>175</v>
      </c>
      <c r="E168" s="33" t="s">
        <v>37</v>
      </c>
      <c r="F168" s="148" t="s">
        <v>37</v>
      </c>
      <c r="G168" s="33" t="s">
        <v>37</v>
      </c>
      <c r="H168" s="33" t="s">
        <v>37</v>
      </c>
      <c r="I168" s="33" t="s">
        <v>37</v>
      </c>
      <c r="J168" s="33" t="s">
        <v>37</v>
      </c>
      <c r="K168" s="33" t="s">
        <v>37</v>
      </c>
      <c r="L168" s="33" t="s">
        <v>37</v>
      </c>
      <c r="M168" s="33" t="s">
        <v>37</v>
      </c>
      <c r="N168" s="33" t="s">
        <v>37</v>
      </c>
      <c r="O168" s="33" t="s">
        <v>37</v>
      </c>
      <c r="P168" s="33" t="s">
        <v>37</v>
      </c>
      <c r="Q168" s="33" t="s">
        <v>37</v>
      </c>
      <c r="R168" s="33" t="s">
        <v>37</v>
      </c>
      <c r="S168" s="33" t="s">
        <v>37</v>
      </c>
      <c r="T168" s="33" t="s">
        <v>37</v>
      </c>
      <c r="U168" s="33" t="s">
        <v>37</v>
      </c>
      <c r="V168" s="33" t="s">
        <v>37</v>
      </c>
      <c r="W168" s="33" t="s">
        <v>37</v>
      </c>
      <c r="X168" s="33" t="s">
        <v>37</v>
      </c>
      <c r="Y168" s="33" t="s">
        <v>37</v>
      </c>
      <c r="Z168" s="33" t="s">
        <v>37</v>
      </c>
      <c r="AA168" s="148" t="s">
        <v>37</v>
      </c>
      <c r="AB168" s="33" t="s">
        <v>37</v>
      </c>
      <c r="AC168" s="33" t="s">
        <v>37</v>
      </c>
      <c r="AD168" s="33" t="s">
        <v>37</v>
      </c>
      <c r="AE168" s="33" t="s">
        <v>37</v>
      </c>
      <c r="AF168" s="6">
        <v>361</v>
      </c>
      <c r="AG168" s="6"/>
      <c r="AH168" s="35">
        <f t="shared" si="52"/>
        <v>361</v>
      </c>
      <c r="AI168" s="6">
        <v>729</v>
      </c>
      <c r="AJ168" s="6"/>
      <c r="AK168" s="35">
        <f t="shared" si="53"/>
        <v>368</v>
      </c>
      <c r="AL168" s="35">
        <v>1104</v>
      </c>
      <c r="AM168" s="35"/>
      <c r="AN168" s="35">
        <f t="shared" si="54"/>
        <v>375</v>
      </c>
      <c r="AO168" s="6">
        <v>1470</v>
      </c>
      <c r="AP168" s="6"/>
      <c r="AQ168" s="35">
        <f t="shared" si="55"/>
        <v>366</v>
      </c>
      <c r="AR168" s="6">
        <v>272</v>
      </c>
      <c r="AS168" s="6">
        <v>1560</v>
      </c>
      <c r="AT168" s="34">
        <f t="shared" si="56"/>
        <v>362</v>
      </c>
      <c r="AU168" s="35">
        <v>613</v>
      </c>
      <c r="AV168" s="35"/>
      <c r="AW168" s="35">
        <f t="shared" si="57"/>
        <v>341</v>
      </c>
      <c r="AX168" s="6"/>
      <c r="AY168" s="6"/>
      <c r="AZ168" s="35"/>
      <c r="BA168" s="6">
        <v>977</v>
      </c>
      <c r="BB168" s="6"/>
      <c r="BC168" s="35">
        <f t="shared" si="58"/>
        <v>364</v>
      </c>
      <c r="BD168" s="35">
        <v>1336</v>
      </c>
      <c r="BE168" s="35"/>
      <c r="BF168" s="35">
        <f t="shared" si="59"/>
        <v>359</v>
      </c>
      <c r="BG168" s="6">
        <v>135</v>
      </c>
      <c r="BH168" s="6">
        <v>1560</v>
      </c>
      <c r="BI168" s="35">
        <f t="shared" si="60"/>
        <v>359</v>
      </c>
      <c r="BJ168" s="6">
        <v>486</v>
      </c>
      <c r="BK168" s="6"/>
      <c r="BL168" s="35">
        <f t="shared" si="61"/>
        <v>351</v>
      </c>
      <c r="BM168" s="6">
        <v>851</v>
      </c>
      <c r="BN168" s="6"/>
      <c r="BO168" s="6">
        <f t="shared" si="62"/>
        <v>365</v>
      </c>
      <c r="BP168" s="6">
        <v>1199</v>
      </c>
      <c r="BQ168" s="6"/>
      <c r="BR168" s="6">
        <f t="shared" si="63"/>
        <v>348</v>
      </c>
      <c r="BS168" s="6"/>
      <c r="BT168" s="6"/>
      <c r="BU168" s="35"/>
      <c r="BV168" s="6">
        <v>11</v>
      </c>
      <c r="BW168" s="6">
        <v>1560</v>
      </c>
      <c r="BX168" s="6">
        <f t="shared" si="64"/>
        <v>372</v>
      </c>
      <c r="BY168" s="6">
        <v>395</v>
      </c>
      <c r="BZ168" s="6"/>
      <c r="CA168" s="35">
        <f t="shared" si="65"/>
        <v>384</v>
      </c>
      <c r="CB168" s="6">
        <v>789</v>
      </c>
      <c r="CC168" s="6"/>
      <c r="CD168" s="6">
        <f t="shared" si="66"/>
        <v>394</v>
      </c>
      <c r="CE168" s="6">
        <v>1178</v>
      </c>
      <c r="CF168" s="6"/>
      <c r="CG168" s="6">
        <f t="shared" si="67"/>
        <v>389</v>
      </c>
      <c r="CH168" s="6">
        <v>2</v>
      </c>
      <c r="CI168" s="6">
        <v>1560</v>
      </c>
      <c r="CJ168" s="6">
        <f t="shared" si="68"/>
        <v>384</v>
      </c>
      <c r="CK168" s="6">
        <v>389</v>
      </c>
      <c r="CL168" s="6"/>
      <c r="CM168" s="6">
        <f t="shared" si="69"/>
        <v>387</v>
      </c>
      <c r="CN168" s="6"/>
      <c r="CO168" s="6"/>
      <c r="CP168" s="6"/>
      <c r="CQ168" s="6">
        <v>788</v>
      </c>
      <c r="CR168" s="6"/>
      <c r="CS168" s="6">
        <f t="shared" si="70"/>
        <v>399</v>
      </c>
      <c r="CT168" s="6">
        <v>1176</v>
      </c>
      <c r="CU168" s="6"/>
      <c r="CV168" s="6">
        <f t="shared" si="71"/>
        <v>388</v>
      </c>
      <c r="CW168" s="6">
        <v>1563</v>
      </c>
      <c r="CX168" s="6"/>
      <c r="CY168" s="6">
        <f t="shared" si="72"/>
        <v>387</v>
      </c>
      <c r="CZ168" s="6">
        <v>332</v>
      </c>
      <c r="DA168" s="6">
        <v>1611</v>
      </c>
      <c r="DB168" s="6">
        <f t="shared" si="73"/>
        <v>380</v>
      </c>
      <c r="DC168" s="6">
        <v>719</v>
      </c>
      <c r="DD168" s="6"/>
      <c r="DE168" s="6">
        <f t="shared" si="74"/>
        <v>387</v>
      </c>
      <c r="DF168" s="6">
        <v>1096</v>
      </c>
      <c r="DG168" s="6"/>
      <c r="DH168" s="6">
        <f t="shared" si="75"/>
        <v>377</v>
      </c>
      <c r="DI168" s="35"/>
      <c r="DJ168" s="6"/>
      <c r="DK168" s="6"/>
      <c r="DL168" s="35">
        <v>1472</v>
      </c>
      <c r="DM168" s="6"/>
      <c r="DN168" s="6">
        <f t="shared" si="76"/>
        <v>376</v>
      </c>
      <c r="DO168" s="35">
        <v>271</v>
      </c>
      <c r="DP168" s="6">
        <v>1560</v>
      </c>
      <c r="DQ168" s="6">
        <f t="shared" si="77"/>
        <v>359</v>
      </c>
    </row>
    <row r="169" spans="1:121">
      <c r="A169" s="6">
        <v>165</v>
      </c>
      <c r="B169" s="6">
        <v>589</v>
      </c>
      <c r="C169" s="6"/>
      <c r="D169" s="6">
        <v>331</v>
      </c>
      <c r="E169" s="33" t="s">
        <v>37</v>
      </c>
      <c r="F169" s="33" t="s">
        <v>37</v>
      </c>
      <c r="G169" s="33" t="s">
        <v>37</v>
      </c>
      <c r="H169" s="33" t="s">
        <v>37</v>
      </c>
      <c r="I169" s="33" t="s">
        <v>37</v>
      </c>
      <c r="J169" s="33" t="s">
        <v>37</v>
      </c>
      <c r="K169" s="33" t="s">
        <v>37</v>
      </c>
      <c r="L169" s="33" t="s">
        <v>37</v>
      </c>
      <c r="M169" s="33" t="s">
        <v>37</v>
      </c>
      <c r="N169" s="33" t="s">
        <v>37</v>
      </c>
      <c r="O169" s="33" t="s">
        <v>37</v>
      </c>
      <c r="P169" s="33" t="s">
        <v>37</v>
      </c>
      <c r="Q169" s="33" t="s">
        <v>37</v>
      </c>
      <c r="R169" s="33" t="s">
        <v>37</v>
      </c>
      <c r="S169" s="33" t="s">
        <v>37</v>
      </c>
      <c r="T169" s="33" t="s">
        <v>37</v>
      </c>
      <c r="U169" s="33" t="s">
        <v>37</v>
      </c>
      <c r="V169" s="33" t="s">
        <v>37</v>
      </c>
      <c r="W169" s="33" t="s">
        <v>37</v>
      </c>
      <c r="X169" s="33" t="s">
        <v>37</v>
      </c>
      <c r="Y169" s="148" t="s">
        <v>37</v>
      </c>
      <c r="Z169" s="33" t="s">
        <v>37</v>
      </c>
      <c r="AA169" s="33" t="s">
        <v>37</v>
      </c>
      <c r="AB169" s="33" t="s">
        <v>37</v>
      </c>
      <c r="AC169" s="33" t="s">
        <v>37</v>
      </c>
      <c r="AD169" s="33" t="s">
        <v>37</v>
      </c>
      <c r="AE169" s="33" t="s">
        <v>37</v>
      </c>
      <c r="AF169" s="35">
        <v>990</v>
      </c>
      <c r="AG169" s="35"/>
      <c r="AH169" s="35">
        <f t="shared" si="52"/>
        <v>401</v>
      </c>
      <c r="AI169" s="35">
        <v>1354</v>
      </c>
      <c r="AJ169" s="35"/>
      <c r="AK169" s="35">
        <f t="shared" si="53"/>
        <v>364</v>
      </c>
      <c r="AL169" s="35">
        <v>150</v>
      </c>
      <c r="AM169" s="35">
        <v>1560</v>
      </c>
      <c r="AN169" s="35">
        <f t="shared" si="54"/>
        <v>356</v>
      </c>
      <c r="AO169" s="35">
        <v>520</v>
      </c>
      <c r="AP169" s="35"/>
      <c r="AQ169" s="35">
        <f t="shared" si="55"/>
        <v>370</v>
      </c>
      <c r="AR169" s="6">
        <v>886</v>
      </c>
      <c r="AS169" s="35"/>
      <c r="AT169" s="34">
        <f t="shared" si="56"/>
        <v>366</v>
      </c>
      <c r="AU169" s="35">
        <v>1232</v>
      </c>
      <c r="AV169" s="35"/>
      <c r="AW169" s="35">
        <f t="shared" si="57"/>
        <v>346</v>
      </c>
      <c r="AX169" s="6"/>
      <c r="AY169" s="6"/>
      <c r="AZ169" s="35"/>
      <c r="BA169" s="6">
        <v>41</v>
      </c>
      <c r="BB169" s="6">
        <v>1560</v>
      </c>
      <c r="BC169" s="35">
        <f t="shared" si="58"/>
        <v>369</v>
      </c>
      <c r="BD169" s="6">
        <v>410</v>
      </c>
      <c r="BE169" s="6"/>
      <c r="BF169" s="35">
        <f t="shared" si="59"/>
        <v>369</v>
      </c>
      <c r="BG169" s="6">
        <v>776</v>
      </c>
      <c r="BH169" s="6"/>
      <c r="BI169" s="35">
        <f t="shared" si="60"/>
        <v>366</v>
      </c>
      <c r="BJ169" s="6">
        <v>1143</v>
      </c>
      <c r="BK169" s="6"/>
      <c r="BL169" s="35">
        <f t="shared" si="61"/>
        <v>367</v>
      </c>
      <c r="BM169" s="6">
        <v>1504</v>
      </c>
      <c r="BN169" s="35"/>
      <c r="BO169" s="6">
        <f t="shared" si="62"/>
        <v>361</v>
      </c>
      <c r="BP169" s="6">
        <v>287</v>
      </c>
      <c r="BQ169" s="6">
        <v>1558</v>
      </c>
      <c r="BR169" s="6">
        <f t="shared" si="63"/>
        <v>341</v>
      </c>
      <c r="BS169" s="6"/>
      <c r="BT169" s="6"/>
      <c r="BU169" s="35"/>
      <c r="BV169" s="6">
        <v>648</v>
      </c>
      <c r="BW169" s="6"/>
      <c r="BX169" s="6">
        <f t="shared" si="64"/>
        <v>361</v>
      </c>
      <c r="BY169" s="6">
        <v>1015</v>
      </c>
      <c r="BZ169" s="6"/>
      <c r="CA169" s="35">
        <f t="shared" si="65"/>
        <v>367</v>
      </c>
      <c r="CB169" s="6">
        <v>1379</v>
      </c>
      <c r="CC169" s="6"/>
      <c r="CD169" s="6">
        <f t="shared" si="66"/>
        <v>364</v>
      </c>
      <c r="CE169" s="6">
        <v>190</v>
      </c>
      <c r="CF169" s="6">
        <v>1560</v>
      </c>
      <c r="CG169" s="6">
        <f t="shared" si="67"/>
        <v>371</v>
      </c>
      <c r="CH169" s="6">
        <v>552</v>
      </c>
      <c r="CI169" s="6"/>
      <c r="CJ169" s="6">
        <f t="shared" si="68"/>
        <v>362</v>
      </c>
      <c r="CK169" s="6">
        <v>912</v>
      </c>
      <c r="CL169" s="6"/>
      <c r="CM169" s="6">
        <f t="shared" si="69"/>
        <v>360</v>
      </c>
      <c r="CN169" s="6"/>
      <c r="CO169" s="6"/>
      <c r="CP169" s="6"/>
      <c r="CQ169" s="6">
        <v>1288</v>
      </c>
      <c r="CR169" s="6"/>
      <c r="CS169" s="6">
        <f t="shared" si="70"/>
        <v>376</v>
      </c>
      <c r="CT169" s="6">
        <v>257</v>
      </c>
      <c r="CU169" s="6">
        <v>1381</v>
      </c>
      <c r="CV169" s="6">
        <f t="shared" si="71"/>
        <v>350</v>
      </c>
      <c r="CW169" s="6">
        <v>627</v>
      </c>
      <c r="CX169" s="6"/>
      <c r="CY169" s="6">
        <f t="shared" si="72"/>
        <v>370</v>
      </c>
      <c r="CZ169" s="6">
        <v>994</v>
      </c>
      <c r="DA169" s="6"/>
      <c r="DB169" s="6">
        <f t="shared" si="73"/>
        <v>367</v>
      </c>
      <c r="DC169" s="6">
        <v>50</v>
      </c>
      <c r="DD169" s="6">
        <v>1305</v>
      </c>
      <c r="DE169" s="6">
        <f t="shared" si="74"/>
        <v>361</v>
      </c>
      <c r="DF169" s="6">
        <v>393</v>
      </c>
      <c r="DG169" s="6"/>
      <c r="DH169" s="6">
        <f t="shared" si="75"/>
        <v>343</v>
      </c>
      <c r="DI169" s="6"/>
      <c r="DJ169" s="6"/>
      <c r="DK169" s="6"/>
      <c r="DL169" s="6">
        <v>765</v>
      </c>
      <c r="DM169" s="6"/>
      <c r="DN169" s="6">
        <f t="shared" si="76"/>
        <v>372</v>
      </c>
      <c r="DO169" s="6">
        <v>1115</v>
      </c>
      <c r="DP169" s="6"/>
      <c r="DQ169" s="6">
        <f t="shared" si="77"/>
        <v>350</v>
      </c>
    </row>
    <row r="170" spans="1:121">
      <c r="A170" s="6">
        <v>166</v>
      </c>
      <c r="B170" s="6">
        <v>1324</v>
      </c>
      <c r="C170" s="6"/>
      <c r="D170" s="6">
        <v>343</v>
      </c>
      <c r="E170" s="33" t="s">
        <v>37</v>
      </c>
      <c r="F170" s="148" t="s">
        <v>37</v>
      </c>
      <c r="G170" s="33" t="s">
        <v>37</v>
      </c>
      <c r="H170" s="33" t="s">
        <v>37</v>
      </c>
      <c r="I170" s="33" t="s">
        <v>37</v>
      </c>
      <c r="J170" s="33" t="s">
        <v>37</v>
      </c>
      <c r="K170" s="33" t="s">
        <v>37</v>
      </c>
      <c r="L170" s="33" t="s">
        <v>37</v>
      </c>
      <c r="M170" s="33" t="s">
        <v>37</v>
      </c>
      <c r="N170" s="33" t="s">
        <v>37</v>
      </c>
      <c r="O170" s="33" t="s">
        <v>37</v>
      </c>
      <c r="P170" s="33" t="s">
        <v>37</v>
      </c>
      <c r="Q170" s="33" t="s">
        <v>37</v>
      </c>
      <c r="R170" s="33" t="s">
        <v>37</v>
      </c>
      <c r="S170" s="33" t="s">
        <v>37</v>
      </c>
      <c r="T170" s="33" t="s">
        <v>37</v>
      </c>
      <c r="U170" s="33" t="s">
        <v>37</v>
      </c>
      <c r="V170" s="33" t="s">
        <v>37</v>
      </c>
      <c r="W170" s="33" t="s">
        <v>37</v>
      </c>
      <c r="X170" s="33" t="s">
        <v>37</v>
      </c>
      <c r="Y170" s="33" t="s">
        <v>37</v>
      </c>
      <c r="Z170" s="33" t="s">
        <v>37</v>
      </c>
      <c r="AA170" s="148" t="s">
        <v>37</v>
      </c>
      <c r="AB170" s="33" t="s">
        <v>37</v>
      </c>
      <c r="AC170" s="33" t="s">
        <v>37</v>
      </c>
      <c r="AD170" s="33" t="s">
        <v>37</v>
      </c>
      <c r="AE170" s="33" t="s">
        <v>37</v>
      </c>
      <c r="AF170" s="6">
        <v>311</v>
      </c>
      <c r="AG170" s="6">
        <v>1403</v>
      </c>
      <c r="AH170" s="35">
        <f t="shared" si="52"/>
        <v>390</v>
      </c>
      <c r="AI170" s="6">
        <v>683</v>
      </c>
      <c r="AJ170" s="6"/>
      <c r="AK170" s="35">
        <f t="shared" si="53"/>
        <v>372</v>
      </c>
      <c r="AL170" s="35">
        <v>1061</v>
      </c>
      <c r="AM170" s="35"/>
      <c r="AN170" s="35">
        <f t="shared" si="54"/>
        <v>378</v>
      </c>
      <c r="AO170" s="6">
        <v>1443</v>
      </c>
      <c r="AP170" s="6"/>
      <c r="AQ170" s="35">
        <f t="shared" si="55"/>
        <v>382</v>
      </c>
      <c r="AR170" s="6">
        <v>265</v>
      </c>
      <c r="AS170" s="6">
        <v>1560</v>
      </c>
      <c r="AT170" s="34">
        <f t="shared" si="56"/>
        <v>382</v>
      </c>
      <c r="AU170" s="35">
        <v>622</v>
      </c>
      <c r="AV170" s="35"/>
      <c r="AW170" s="35">
        <f t="shared" si="57"/>
        <v>357</v>
      </c>
      <c r="AX170" s="6"/>
      <c r="AY170" s="6"/>
      <c r="AZ170" s="35"/>
      <c r="BA170" s="6">
        <v>998</v>
      </c>
      <c r="BB170" s="6"/>
      <c r="BC170" s="35">
        <f t="shared" si="58"/>
        <v>376</v>
      </c>
      <c r="BD170" s="35">
        <v>1374</v>
      </c>
      <c r="BE170" s="35"/>
      <c r="BF170" s="35">
        <f t="shared" si="59"/>
        <v>376</v>
      </c>
      <c r="BG170" s="6">
        <v>193</v>
      </c>
      <c r="BH170" s="6">
        <v>1560</v>
      </c>
      <c r="BI170" s="35">
        <f t="shared" si="60"/>
        <v>379</v>
      </c>
      <c r="BJ170" s="6">
        <v>572</v>
      </c>
      <c r="BK170" s="6"/>
      <c r="BL170" s="35">
        <f t="shared" si="61"/>
        <v>379</v>
      </c>
      <c r="BM170" s="6">
        <v>954</v>
      </c>
      <c r="BN170" s="6"/>
      <c r="BO170" s="6">
        <f t="shared" si="62"/>
        <v>382</v>
      </c>
      <c r="BP170" s="6">
        <v>1304</v>
      </c>
      <c r="BQ170" s="6"/>
      <c r="BR170" s="6">
        <f t="shared" si="63"/>
        <v>350</v>
      </c>
      <c r="BS170" s="6"/>
      <c r="BT170" s="6"/>
      <c r="BU170" s="35"/>
      <c r="BV170" s="6">
        <v>127</v>
      </c>
      <c r="BW170" s="6">
        <v>1560</v>
      </c>
      <c r="BX170" s="6">
        <f t="shared" si="64"/>
        <v>383</v>
      </c>
      <c r="BY170" s="6">
        <v>507</v>
      </c>
      <c r="BZ170" s="6"/>
      <c r="CA170" s="35">
        <f t="shared" si="65"/>
        <v>380</v>
      </c>
      <c r="CB170" s="6">
        <v>890</v>
      </c>
      <c r="CC170" s="6"/>
      <c r="CD170" s="6">
        <f t="shared" si="66"/>
        <v>383</v>
      </c>
      <c r="CE170" s="6">
        <v>1273</v>
      </c>
      <c r="CF170" s="6"/>
      <c r="CG170" s="6">
        <f t="shared" si="67"/>
        <v>383</v>
      </c>
      <c r="CH170" s="6">
        <v>89</v>
      </c>
      <c r="CI170" s="6">
        <v>1560</v>
      </c>
      <c r="CJ170" s="6">
        <f t="shared" si="68"/>
        <v>376</v>
      </c>
      <c r="CK170" s="6">
        <v>463</v>
      </c>
      <c r="CL170" s="6"/>
      <c r="CM170" s="6">
        <f t="shared" si="69"/>
        <v>374</v>
      </c>
      <c r="CN170" s="6"/>
      <c r="CO170" s="6"/>
      <c r="CP170" s="6"/>
      <c r="CQ170" s="6">
        <v>846</v>
      </c>
      <c r="CR170" s="6"/>
      <c r="CS170" s="6">
        <f t="shared" si="70"/>
        <v>383</v>
      </c>
      <c r="CT170" s="6">
        <v>1219</v>
      </c>
      <c r="CU170" s="6"/>
      <c r="CV170" s="6">
        <f t="shared" si="71"/>
        <v>373</v>
      </c>
      <c r="CW170" s="6">
        <v>0</v>
      </c>
      <c r="CX170" s="6">
        <v>1602</v>
      </c>
      <c r="CY170" s="6">
        <f t="shared" si="72"/>
        <v>383</v>
      </c>
      <c r="CZ170" s="6">
        <v>372</v>
      </c>
      <c r="DA170" s="6"/>
      <c r="DB170" s="6">
        <f t="shared" si="73"/>
        <v>372</v>
      </c>
      <c r="DC170" s="6">
        <v>756</v>
      </c>
      <c r="DD170" s="6"/>
      <c r="DE170" s="6">
        <f t="shared" si="74"/>
        <v>384</v>
      </c>
      <c r="DF170" s="6">
        <v>1123</v>
      </c>
      <c r="DG170" s="6"/>
      <c r="DH170" s="6">
        <f t="shared" si="75"/>
        <v>367</v>
      </c>
      <c r="DI170" s="35"/>
      <c r="DJ170" s="6"/>
      <c r="DK170" s="6"/>
      <c r="DL170" s="35">
        <v>1512</v>
      </c>
      <c r="DM170" s="6"/>
      <c r="DN170" s="6">
        <f t="shared" si="76"/>
        <v>389</v>
      </c>
      <c r="DO170" s="35">
        <v>313</v>
      </c>
      <c r="DP170" s="6">
        <v>1560</v>
      </c>
      <c r="DQ170" s="6">
        <f t="shared" si="77"/>
        <v>361</v>
      </c>
    </row>
    <row r="171" spans="1:121">
      <c r="A171" s="6">
        <v>167</v>
      </c>
      <c r="B171" s="6">
        <v>1513</v>
      </c>
      <c r="C171" s="6"/>
      <c r="D171" s="6">
        <v>333</v>
      </c>
      <c r="E171" s="33" t="s">
        <v>37</v>
      </c>
      <c r="F171" s="33" t="s">
        <v>37</v>
      </c>
      <c r="G171" s="33" t="s">
        <v>37</v>
      </c>
      <c r="H171" s="33" t="s">
        <v>37</v>
      </c>
      <c r="I171" s="33" t="s">
        <v>37</v>
      </c>
      <c r="J171" s="33" t="s">
        <v>37</v>
      </c>
      <c r="K171" s="148" t="s">
        <v>37</v>
      </c>
      <c r="L171" s="33" t="s">
        <v>37</v>
      </c>
      <c r="M171" s="33" t="s">
        <v>37</v>
      </c>
      <c r="N171" s="33" t="s">
        <v>37</v>
      </c>
      <c r="O171" s="33" t="s">
        <v>37</v>
      </c>
      <c r="P171" s="33" t="s">
        <v>37</v>
      </c>
      <c r="Q171" s="33" t="s">
        <v>37</v>
      </c>
      <c r="R171" s="33" t="s">
        <v>37</v>
      </c>
      <c r="S171" s="33" t="s">
        <v>37</v>
      </c>
      <c r="T171" s="33" t="s">
        <v>37</v>
      </c>
      <c r="U171" s="33" t="s">
        <v>37</v>
      </c>
      <c r="V171" s="33" t="s">
        <v>37</v>
      </c>
      <c r="W171" s="33" t="s">
        <v>37</v>
      </c>
      <c r="X171" s="33" t="s">
        <v>37</v>
      </c>
      <c r="Y171" s="33" t="s">
        <v>37</v>
      </c>
      <c r="Z171" s="33" t="s">
        <v>37</v>
      </c>
      <c r="AA171" s="33" t="s">
        <v>37</v>
      </c>
      <c r="AB171" s="33" t="s">
        <v>37</v>
      </c>
      <c r="AC171" s="33" t="s">
        <v>37</v>
      </c>
      <c r="AD171" s="33" t="s">
        <v>37</v>
      </c>
      <c r="AE171" s="33" t="s">
        <v>37</v>
      </c>
      <c r="AF171" s="6">
        <v>377</v>
      </c>
      <c r="AG171" s="6">
        <v>1515</v>
      </c>
      <c r="AH171" s="35">
        <f t="shared" si="52"/>
        <v>379</v>
      </c>
      <c r="AI171" s="6">
        <v>746</v>
      </c>
      <c r="AJ171" s="6"/>
      <c r="AK171" s="35">
        <f t="shared" si="53"/>
        <v>369</v>
      </c>
      <c r="AL171" s="35">
        <v>14</v>
      </c>
      <c r="AM171" s="35">
        <v>1094</v>
      </c>
      <c r="AN171" s="35">
        <f t="shared" si="54"/>
        <v>362</v>
      </c>
      <c r="AO171" s="6">
        <v>184</v>
      </c>
      <c r="AP171" s="6">
        <v>182</v>
      </c>
      <c r="AQ171" s="35">
        <f t="shared" si="55"/>
        <v>352</v>
      </c>
      <c r="AR171" s="6">
        <v>314</v>
      </c>
      <c r="AS171" s="6"/>
      <c r="AT171" s="34">
        <f t="shared" si="56"/>
        <v>130</v>
      </c>
      <c r="AU171" s="35">
        <v>342</v>
      </c>
      <c r="AV171" s="35">
        <v>314</v>
      </c>
      <c r="AW171" s="35">
        <f t="shared" si="57"/>
        <v>342</v>
      </c>
      <c r="AX171" s="6"/>
      <c r="AY171" s="6"/>
      <c r="AZ171" s="35"/>
      <c r="BA171" s="6">
        <v>0</v>
      </c>
      <c r="BB171" s="6">
        <v>499</v>
      </c>
      <c r="BC171" s="35">
        <f t="shared" si="58"/>
        <v>157</v>
      </c>
      <c r="BD171" s="4">
        <v>12</v>
      </c>
      <c r="BE171" s="35">
        <v>335</v>
      </c>
      <c r="BF171" s="35">
        <f t="shared" si="59"/>
        <v>347</v>
      </c>
      <c r="BG171" s="6">
        <v>381</v>
      </c>
      <c r="BH171" s="6"/>
      <c r="BI171" s="35">
        <f t="shared" si="60"/>
        <v>369</v>
      </c>
      <c r="BJ171" s="6">
        <v>758</v>
      </c>
      <c r="BK171" s="6"/>
      <c r="BL171" s="35">
        <f t="shared" si="61"/>
        <v>377</v>
      </c>
      <c r="BM171" s="6">
        <v>1135</v>
      </c>
      <c r="BN171" s="6"/>
      <c r="BO171" s="6">
        <f t="shared" si="62"/>
        <v>377</v>
      </c>
      <c r="BP171" s="6">
        <v>1492</v>
      </c>
      <c r="BQ171" s="6"/>
      <c r="BR171" s="6">
        <f t="shared" si="63"/>
        <v>357</v>
      </c>
      <c r="BS171" s="6"/>
      <c r="BT171" s="6"/>
      <c r="BU171" s="35"/>
      <c r="BV171" s="6">
        <v>315</v>
      </c>
      <c r="BW171" s="6">
        <v>1560</v>
      </c>
      <c r="BX171" s="6">
        <f t="shared" si="64"/>
        <v>383</v>
      </c>
      <c r="BY171" s="6">
        <v>695</v>
      </c>
      <c r="BZ171" s="6"/>
      <c r="CA171" s="35">
        <f t="shared" si="65"/>
        <v>380</v>
      </c>
      <c r="CB171" s="6">
        <v>1074</v>
      </c>
      <c r="CC171" s="6"/>
      <c r="CD171" s="6">
        <f t="shared" si="66"/>
        <v>379</v>
      </c>
      <c r="CE171" s="6">
        <v>1457</v>
      </c>
      <c r="CF171" s="6"/>
      <c r="CG171" s="6">
        <f t="shared" si="67"/>
        <v>383</v>
      </c>
      <c r="CH171" s="6">
        <v>276</v>
      </c>
      <c r="CI171" s="6">
        <v>1560</v>
      </c>
      <c r="CJ171" s="6">
        <f t="shared" si="68"/>
        <v>379</v>
      </c>
      <c r="CK171" s="6">
        <v>650</v>
      </c>
      <c r="CL171" s="6"/>
      <c r="CM171" s="6">
        <f t="shared" si="69"/>
        <v>374</v>
      </c>
      <c r="CN171" s="6"/>
      <c r="CO171" s="6"/>
      <c r="CP171" s="6"/>
      <c r="CQ171" s="6">
        <v>1038</v>
      </c>
      <c r="CR171" s="6"/>
      <c r="CS171" s="6">
        <f t="shared" si="70"/>
        <v>388</v>
      </c>
      <c r="CT171" s="6">
        <v>1418</v>
      </c>
      <c r="CU171" s="6"/>
      <c r="CV171" s="6">
        <f t="shared" si="71"/>
        <v>380</v>
      </c>
      <c r="CW171" s="6">
        <v>240</v>
      </c>
      <c r="CX171" s="6">
        <v>1560</v>
      </c>
      <c r="CY171" s="6">
        <f t="shared" si="72"/>
        <v>382</v>
      </c>
      <c r="CZ171" s="6">
        <v>622</v>
      </c>
      <c r="DA171" s="6"/>
      <c r="DB171" s="6">
        <f t="shared" si="73"/>
        <v>382</v>
      </c>
      <c r="DC171" s="6">
        <v>1001</v>
      </c>
      <c r="DD171" s="6"/>
      <c r="DE171" s="6">
        <f t="shared" si="74"/>
        <v>379</v>
      </c>
      <c r="DF171" s="6">
        <v>59</v>
      </c>
      <c r="DG171" s="6">
        <v>1305</v>
      </c>
      <c r="DH171" s="6">
        <f t="shared" si="75"/>
        <v>363</v>
      </c>
      <c r="DI171" s="6"/>
      <c r="DJ171" s="6"/>
      <c r="DK171" s="6"/>
      <c r="DL171" s="6">
        <v>451</v>
      </c>
      <c r="DM171" s="6"/>
      <c r="DN171" s="6">
        <f t="shared" si="76"/>
        <v>392</v>
      </c>
      <c r="DO171" s="6">
        <v>814</v>
      </c>
      <c r="DP171" s="6"/>
      <c r="DQ171" s="6">
        <f t="shared" si="77"/>
        <v>363</v>
      </c>
    </row>
    <row r="172" spans="1:121">
      <c r="A172" s="6">
        <v>168</v>
      </c>
      <c r="B172" s="6">
        <v>330</v>
      </c>
      <c r="C172" s="6"/>
      <c r="D172" s="6">
        <v>330</v>
      </c>
      <c r="E172" s="148" t="s">
        <v>37</v>
      </c>
      <c r="F172" s="33" t="s">
        <v>37</v>
      </c>
      <c r="G172" s="33" t="s">
        <v>37</v>
      </c>
      <c r="H172" s="33" t="s">
        <v>37</v>
      </c>
      <c r="I172" s="33" t="s">
        <v>37</v>
      </c>
      <c r="J172" s="33" t="s">
        <v>37</v>
      </c>
      <c r="K172" s="33" t="s">
        <v>37</v>
      </c>
      <c r="L172" s="33" t="s">
        <v>37</v>
      </c>
      <c r="M172" s="33" t="s">
        <v>37</v>
      </c>
      <c r="N172" s="33" t="s">
        <v>37</v>
      </c>
      <c r="O172" s="33" t="s">
        <v>37</v>
      </c>
      <c r="P172" s="33" t="s">
        <v>37</v>
      </c>
      <c r="Q172" s="33" t="s">
        <v>37</v>
      </c>
      <c r="R172" s="33" t="s">
        <v>37</v>
      </c>
      <c r="S172" s="33" t="s">
        <v>37</v>
      </c>
      <c r="T172" s="33" t="s">
        <v>37</v>
      </c>
      <c r="U172" s="33" t="s">
        <v>37</v>
      </c>
      <c r="V172" s="33" t="s">
        <v>37</v>
      </c>
      <c r="W172" s="33" t="s">
        <v>37</v>
      </c>
      <c r="X172" s="33" t="s">
        <v>37</v>
      </c>
      <c r="Y172" s="33" t="s">
        <v>37</v>
      </c>
      <c r="Z172" s="148" t="s">
        <v>37</v>
      </c>
      <c r="AA172" s="33" t="s">
        <v>37</v>
      </c>
      <c r="AB172" s="33" t="s">
        <v>37</v>
      </c>
      <c r="AC172" s="33" t="s">
        <v>37</v>
      </c>
      <c r="AD172" s="33" t="s">
        <v>37</v>
      </c>
      <c r="AE172" s="33" t="s">
        <v>37</v>
      </c>
      <c r="AF172" s="35">
        <v>741</v>
      </c>
      <c r="AG172" s="35"/>
      <c r="AH172" s="35">
        <f t="shared" si="52"/>
        <v>411</v>
      </c>
      <c r="AI172" s="35">
        <v>1115</v>
      </c>
      <c r="AJ172" s="35"/>
      <c r="AK172" s="35">
        <f t="shared" si="53"/>
        <v>374</v>
      </c>
      <c r="AL172" s="35">
        <v>1486</v>
      </c>
      <c r="AM172" s="35"/>
      <c r="AN172" s="35">
        <f t="shared" si="54"/>
        <v>371</v>
      </c>
      <c r="AO172" s="35">
        <v>287</v>
      </c>
      <c r="AP172" s="35">
        <v>1560</v>
      </c>
      <c r="AQ172" s="35">
        <f t="shared" si="55"/>
        <v>361</v>
      </c>
      <c r="AR172" s="35">
        <v>670</v>
      </c>
      <c r="AS172" s="35"/>
      <c r="AT172" s="34">
        <f t="shared" si="56"/>
        <v>383</v>
      </c>
      <c r="AU172" s="35">
        <v>1032</v>
      </c>
      <c r="AV172" s="35"/>
      <c r="AW172" s="35">
        <f t="shared" si="57"/>
        <v>362</v>
      </c>
      <c r="AX172" s="6"/>
      <c r="AY172" s="6"/>
      <c r="AZ172" s="35"/>
      <c r="BA172" s="6">
        <v>1417</v>
      </c>
      <c r="BB172" s="6"/>
      <c r="BC172" s="35">
        <f t="shared" si="58"/>
        <v>385</v>
      </c>
      <c r="BD172" s="35">
        <v>236</v>
      </c>
      <c r="BE172" s="6">
        <v>1560</v>
      </c>
      <c r="BF172" s="35">
        <f t="shared" si="59"/>
        <v>379</v>
      </c>
      <c r="BG172" s="6">
        <v>608</v>
      </c>
      <c r="BH172" s="6"/>
      <c r="BI172" s="35">
        <f t="shared" si="60"/>
        <v>372</v>
      </c>
      <c r="BJ172" s="6">
        <v>987</v>
      </c>
      <c r="BK172" s="6"/>
      <c r="BL172" s="35">
        <f t="shared" si="61"/>
        <v>379</v>
      </c>
      <c r="BM172" s="6">
        <v>1368</v>
      </c>
      <c r="BN172" s="35"/>
      <c r="BO172" s="6">
        <f t="shared" si="62"/>
        <v>381</v>
      </c>
      <c r="BP172" s="6">
        <v>168</v>
      </c>
      <c r="BQ172" s="6">
        <v>1560</v>
      </c>
      <c r="BR172" s="6">
        <f t="shared" si="63"/>
        <v>360</v>
      </c>
      <c r="BS172" s="6"/>
      <c r="BT172" s="6"/>
      <c r="BU172" s="35"/>
      <c r="BV172" s="6">
        <v>550</v>
      </c>
      <c r="BW172" s="6"/>
      <c r="BX172" s="6">
        <f t="shared" si="64"/>
        <v>382</v>
      </c>
      <c r="BY172" s="6">
        <v>926</v>
      </c>
      <c r="BZ172" s="6"/>
      <c r="CA172" s="35">
        <f t="shared" si="65"/>
        <v>376</v>
      </c>
      <c r="CB172" s="6">
        <v>1315</v>
      </c>
      <c r="CC172" s="6"/>
      <c r="CD172" s="6">
        <f t="shared" si="66"/>
        <v>389</v>
      </c>
      <c r="CE172" s="6">
        <v>147</v>
      </c>
      <c r="CF172" s="6">
        <v>1560</v>
      </c>
      <c r="CG172" s="6">
        <f t="shared" si="67"/>
        <v>392</v>
      </c>
      <c r="CH172" s="6">
        <v>539</v>
      </c>
      <c r="CI172" s="6"/>
      <c r="CJ172" s="6">
        <f t="shared" si="68"/>
        <v>392</v>
      </c>
      <c r="CK172" s="6">
        <v>921</v>
      </c>
      <c r="CL172" s="6"/>
      <c r="CM172" s="6">
        <f t="shared" si="69"/>
        <v>382</v>
      </c>
      <c r="CN172" s="6"/>
      <c r="CO172" s="6"/>
      <c r="CP172" s="6"/>
      <c r="CQ172" s="6">
        <v>1315</v>
      </c>
      <c r="CR172" s="6"/>
      <c r="CS172" s="6">
        <f t="shared" si="70"/>
        <v>394</v>
      </c>
      <c r="CT172" s="6">
        <v>0</v>
      </c>
      <c r="CU172" s="6">
        <v>1617</v>
      </c>
      <c r="CV172" s="6">
        <f t="shared" si="71"/>
        <v>302</v>
      </c>
      <c r="CW172" s="6">
        <v>328</v>
      </c>
      <c r="CX172" s="6"/>
      <c r="CY172" s="6">
        <f t="shared" si="72"/>
        <v>328</v>
      </c>
      <c r="CZ172" s="6">
        <v>698</v>
      </c>
      <c r="DA172" s="6"/>
      <c r="DB172" s="6">
        <f t="shared" si="73"/>
        <v>370</v>
      </c>
      <c r="DC172" s="6">
        <v>366</v>
      </c>
      <c r="DD172" s="6">
        <v>699</v>
      </c>
      <c r="DE172" s="6">
        <f t="shared" si="74"/>
        <v>367</v>
      </c>
      <c r="DF172" s="6">
        <v>730</v>
      </c>
      <c r="DG172" s="6"/>
      <c r="DH172" s="6">
        <f t="shared" si="75"/>
        <v>364</v>
      </c>
      <c r="DI172" s="6"/>
      <c r="DJ172" s="6"/>
      <c r="DK172" s="6"/>
      <c r="DL172" s="6">
        <v>1115</v>
      </c>
      <c r="DM172" s="6"/>
      <c r="DN172" s="6">
        <f t="shared" si="76"/>
        <v>385</v>
      </c>
      <c r="DO172" s="6">
        <v>1472</v>
      </c>
      <c r="DP172" s="6"/>
      <c r="DQ172" s="6">
        <f t="shared" si="77"/>
        <v>357</v>
      </c>
    </row>
    <row r="173" spans="1:121">
      <c r="A173" s="6">
        <v>169</v>
      </c>
      <c r="B173" s="6">
        <v>609</v>
      </c>
      <c r="C173" s="6"/>
      <c r="D173" s="6">
        <v>344</v>
      </c>
      <c r="E173" s="33" t="s">
        <v>37</v>
      </c>
      <c r="F173" s="33" t="s">
        <v>37</v>
      </c>
      <c r="G173" s="33" t="s">
        <v>37</v>
      </c>
      <c r="H173" s="33" t="s">
        <v>37</v>
      </c>
      <c r="I173" s="148" t="s">
        <v>37</v>
      </c>
      <c r="J173" s="33" t="s">
        <v>37</v>
      </c>
      <c r="K173" s="33" t="s">
        <v>37</v>
      </c>
      <c r="L173" s="33" t="s">
        <v>37</v>
      </c>
      <c r="M173" s="33" t="s">
        <v>37</v>
      </c>
      <c r="N173" s="33" t="s">
        <v>37</v>
      </c>
      <c r="O173" s="33" t="s">
        <v>37</v>
      </c>
      <c r="P173" s="33" t="s">
        <v>37</v>
      </c>
      <c r="Q173" s="33" t="s">
        <v>37</v>
      </c>
      <c r="R173" s="33" t="s">
        <v>37</v>
      </c>
      <c r="S173" s="33" t="s">
        <v>37</v>
      </c>
      <c r="T173" s="33" t="s">
        <v>37</v>
      </c>
      <c r="U173" s="33" t="s">
        <v>37</v>
      </c>
      <c r="V173" s="33" t="s">
        <v>37</v>
      </c>
      <c r="W173" s="33" t="s">
        <v>37</v>
      </c>
      <c r="X173" s="33" t="s">
        <v>37</v>
      </c>
      <c r="Y173" s="33" t="s">
        <v>37</v>
      </c>
      <c r="Z173" s="33" t="s">
        <v>37</v>
      </c>
      <c r="AA173" s="33" t="s">
        <v>37</v>
      </c>
      <c r="AB173" s="33" t="s">
        <v>37</v>
      </c>
      <c r="AC173" s="33" t="s">
        <v>37</v>
      </c>
      <c r="AD173" s="148" t="s">
        <v>37</v>
      </c>
      <c r="AE173" s="33" t="s">
        <v>37</v>
      </c>
      <c r="AF173" s="6">
        <v>1018</v>
      </c>
      <c r="AG173" s="6"/>
      <c r="AH173" s="35">
        <f t="shared" si="52"/>
        <v>409</v>
      </c>
      <c r="AI173" s="6">
        <v>1390</v>
      </c>
      <c r="AJ173" s="6"/>
      <c r="AK173" s="35">
        <f t="shared" si="53"/>
        <v>372</v>
      </c>
      <c r="AL173" s="35">
        <v>0</v>
      </c>
      <c r="AM173" s="35">
        <v>1614</v>
      </c>
      <c r="AN173" s="35">
        <f t="shared" si="54"/>
        <v>224</v>
      </c>
      <c r="AO173" s="6">
        <v>360</v>
      </c>
      <c r="AP173" s="6"/>
      <c r="AQ173" s="35">
        <f t="shared" si="55"/>
        <v>360</v>
      </c>
      <c r="AR173" s="6">
        <v>738</v>
      </c>
      <c r="AS173" s="6"/>
      <c r="AT173" s="34">
        <f t="shared" si="56"/>
        <v>378</v>
      </c>
      <c r="AU173" s="35">
        <v>1100</v>
      </c>
      <c r="AV173" s="35"/>
      <c r="AW173" s="35">
        <f t="shared" si="57"/>
        <v>362</v>
      </c>
      <c r="AX173" s="6"/>
      <c r="AY173" s="6"/>
      <c r="AZ173" s="35"/>
      <c r="BA173" s="6">
        <v>1482</v>
      </c>
      <c r="BB173" s="6"/>
      <c r="BC173" s="35">
        <f t="shared" si="58"/>
        <v>382</v>
      </c>
      <c r="BD173" s="6">
        <v>300</v>
      </c>
      <c r="BE173" s="35">
        <v>1560</v>
      </c>
      <c r="BF173" s="35">
        <f t="shared" si="59"/>
        <v>378</v>
      </c>
      <c r="BG173" s="35">
        <v>680</v>
      </c>
      <c r="BH173" s="6"/>
      <c r="BI173" s="35">
        <f t="shared" si="60"/>
        <v>380</v>
      </c>
      <c r="BJ173" s="6">
        <v>1061</v>
      </c>
      <c r="BK173" s="6"/>
      <c r="BL173" s="35">
        <f t="shared" si="61"/>
        <v>381</v>
      </c>
      <c r="BM173" s="6">
        <v>1440</v>
      </c>
      <c r="BN173" s="6"/>
      <c r="BO173" s="6">
        <f t="shared" si="62"/>
        <v>379</v>
      </c>
      <c r="BP173" s="6">
        <v>241</v>
      </c>
      <c r="BQ173" s="6">
        <v>1560</v>
      </c>
      <c r="BR173" s="6">
        <f t="shared" si="63"/>
        <v>361</v>
      </c>
      <c r="BS173" s="6"/>
      <c r="BT173" s="6"/>
      <c r="BU173" s="35"/>
      <c r="BV173" s="6">
        <v>50</v>
      </c>
      <c r="BW173" s="6">
        <v>567</v>
      </c>
      <c r="BX173" s="6">
        <f t="shared" si="64"/>
        <v>376</v>
      </c>
      <c r="BY173" s="6">
        <v>437</v>
      </c>
      <c r="BZ173" s="6"/>
      <c r="CA173" s="35">
        <f t="shared" si="65"/>
        <v>387</v>
      </c>
      <c r="CB173" s="6">
        <v>831</v>
      </c>
      <c r="CC173" s="6"/>
      <c r="CD173" s="6">
        <f t="shared" si="66"/>
        <v>394</v>
      </c>
      <c r="CE173" s="6">
        <v>1224</v>
      </c>
      <c r="CF173" s="6"/>
      <c r="CG173" s="6">
        <f t="shared" si="67"/>
        <v>393</v>
      </c>
      <c r="CH173" s="6">
        <v>52</v>
      </c>
      <c r="CI173" s="6">
        <v>1560</v>
      </c>
      <c r="CJ173" s="6">
        <f t="shared" si="68"/>
        <v>388</v>
      </c>
      <c r="CK173" s="6">
        <v>438</v>
      </c>
      <c r="CL173" s="6"/>
      <c r="CM173" s="6">
        <f t="shared" si="69"/>
        <v>386</v>
      </c>
      <c r="CN173" s="6"/>
      <c r="CO173" s="6"/>
      <c r="CP173" s="6"/>
      <c r="CQ173" s="6">
        <v>839</v>
      </c>
      <c r="CR173" s="6"/>
      <c r="CS173" s="6">
        <f t="shared" si="70"/>
        <v>401</v>
      </c>
      <c r="CT173" s="6">
        <v>1226</v>
      </c>
      <c r="CU173" s="6"/>
      <c r="CV173" s="6">
        <f t="shared" si="71"/>
        <v>387</v>
      </c>
      <c r="CW173" s="6">
        <v>49</v>
      </c>
      <c r="CX173" s="6">
        <v>1560</v>
      </c>
      <c r="CY173" s="6">
        <f t="shared" si="72"/>
        <v>383</v>
      </c>
      <c r="CZ173" s="6">
        <v>430</v>
      </c>
      <c r="DA173" s="6"/>
      <c r="DB173" s="6">
        <f t="shared" si="73"/>
        <v>381</v>
      </c>
      <c r="DC173" s="6">
        <v>256</v>
      </c>
      <c r="DD173" s="6">
        <v>542</v>
      </c>
      <c r="DE173" s="6">
        <f t="shared" si="74"/>
        <v>368</v>
      </c>
      <c r="DF173" s="6">
        <v>0</v>
      </c>
      <c r="DG173" s="6">
        <v>505</v>
      </c>
      <c r="DH173" s="6">
        <f t="shared" si="75"/>
        <v>249</v>
      </c>
      <c r="DI173" s="6"/>
      <c r="DJ173" s="6"/>
      <c r="DK173" s="6"/>
      <c r="DL173" s="6">
        <v>377</v>
      </c>
      <c r="DM173" s="6"/>
      <c r="DN173" s="6">
        <f t="shared" si="76"/>
        <v>377</v>
      </c>
      <c r="DO173" s="6">
        <v>740</v>
      </c>
      <c r="DP173" s="6"/>
      <c r="DQ173" s="6">
        <f t="shared" si="77"/>
        <v>363</v>
      </c>
    </row>
    <row r="174" spans="1:121">
      <c r="A174" s="6">
        <v>170</v>
      </c>
      <c r="B174" s="6">
        <v>1230</v>
      </c>
      <c r="C174" s="6"/>
      <c r="D174" s="6">
        <v>336</v>
      </c>
      <c r="E174" s="33" t="s">
        <v>37</v>
      </c>
      <c r="F174" s="33" t="s">
        <v>37</v>
      </c>
      <c r="G174" s="33" t="s">
        <v>37</v>
      </c>
      <c r="H174" s="33" t="s">
        <v>37</v>
      </c>
      <c r="I174" s="33" t="s">
        <v>37</v>
      </c>
      <c r="J174" s="33" t="s">
        <v>37</v>
      </c>
      <c r="K174" s="148" t="s">
        <v>37</v>
      </c>
      <c r="L174" s="33" t="s">
        <v>37</v>
      </c>
      <c r="M174" s="33" t="s">
        <v>37</v>
      </c>
      <c r="N174" s="33" t="s">
        <v>37</v>
      </c>
      <c r="O174" s="33" t="s">
        <v>37</v>
      </c>
      <c r="P174" s="33" t="s">
        <v>37</v>
      </c>
      <c r="Q174" s="33" t="s">
        <v>37</v>
      </c>
      <c r="R174" s="33" t="s">
        <v>37</v>
      </c>
      <c r="S174" s="33" t="s">
        <v>37</v>
      </c>
      <c r="T174" s="33" t="s">
        <v>37</v>
      </c>
      <c r="U174" s="33" t="s">
        <v>37</v>
      </c>
      <c r="V174" s="33" t="s">
        <v>37</v>
      </c>
      <c r="W174" s="33" t="s">
        <v>37</v>
      </c>
      <c r="X174" s="33" t="s">
        <v>37</v>
      </c>
      <c r="Y174" s="33" t="s">
        <v>37</v>
      </c>
      <c r="Z174" s="33" t="s">
        <v>37</v>
      </c>
      <c r="AA174" s="33" t="s">
        <v>37</v>
      </c>
      <c r="AB174" s="33" t="s">
        <v>37</v>
      </c>
      <c r="AC174" s="33" t="s">
        <v>37</v>
      </c>
      <c r="AD174" s="33" t="s">
        <v>37</v>
      </c>
      <c r="AE174" s="33" t="s">
        <v>37</v>
      </c>
      <c r="AF174" s="6">
        <v>82</v>
      </c>
      <c r="AG174" s="6">
        <v>1560</v>
      </c>
      <c r="AH174" s="35">
        <f t="shared" si="52"/>
        <v>412</v>
      </c>
      <c r="AI174" s="6">
        <v>455</v>
      </c>
      <c r="AJ174" s="6"/>
      <c r="AK174" s="35">
        <f t="shared" si="53"/>
        <v>373</v>
      </c>
      <c r="AL174" s="35">
        <v>842</v>
      </c>
      <c r="AM174" s="35"/>
      <c r="AN174" s="35">
        <f t="shared" si="54"/>
        <v>387</v>
      </c>
      <c r="AO174" s="6">
        <v>1221</v>
      </c>
      <c r="AP174" s="6"/>
      <c r="AQ174" s="35">
        <f t="shared" si="55"/>
        <v>379</v>
      </c>
      <c r="AR174" s="6">
        <v>1603</v>
      </c>
      <c r="AS174" s="6"/>
      <c r="AT174" s="34">
        <f t="shared" si="56"/>
        <v>382</v>
      </c>
      <c r="AU174" s="35">
        <v>178</v>
      </c>
      <c r="AV174" s="35">
        <v>1605</v>
      </c>
      <c r="AW174" s="35">
        <f t="shared" si="57"/>
        <v>180</v>
      </c>
      <c r="AX174" s="6"/>
      <c r="AY174" s="6"/>
      <c r="AZ174" s="35"/>
      <c r="BA174" s="6">
        <v>550</v>
      </c>
      <c r="BB174" s="6"/>
      <c r="BC174" s="35">
        <f t="shared" si="58"/>
        <v>372</v>
      </c>
      <c r="BD174" s="35">
        <v>923</v>
      </c>
      <c r="BE174" s="6"/>
      <c r="BF174" s="35">
        <f t="shared" si="59"/>
        <v>373</v>
      </c>
      <c r="BG174" s="6">
        <v>1305</v>
      </c>
      <c r="BH174" s="6"/>
      <c r="BI174" s="35">
        <f t="shared" si="60"/>
        <v>382</v>
      </c>
      <c r="BJ174" s="6">
        <v>125</v>
      </c>
      <c r="BK174" s="6">
        <v>1560</v>
      </c>
      <c r="BL174" s="35">
        <f t="shared" si="61"/>
        <v>380</v>
      </c>
      <c r="BM174" s="6">
        <v>508</v>
      </c>
      <c r="BN174" s="6"/>
      <c r="BO174" s="6">
        <f t="shared" si="62"/>
        <v>383</v>
      </c>
      <c r="BP174" s="6">
        <v>862</v>
      </c>
      <c r="BQ174" s="6"/>
      <c r="BR174" s="6">
        <f t="shared" si="63"/>
        <v>354</v>
      </c>
      <c r="BS174" s="6"/>
      <c r="BT174" s="6"/>
      <c r="BU174" s="35"/>
      <c r="BV174" s="6">
        <v>1235</v>
      </c>
      <c r="BW174" s="6"/>
      <c r="BX174" s="6">
        <f t="shared" si="64"/>
        <v>373</v>
      </c>
      <c r="BY174" s="6">
        <v>52</v>
      </c>
      <c r="BZ174" s="6">
        <v>1560</v>
      </c>
      <c r="CA174" s="35">
        <f t="shared" si="65"/>
        <v>377</v>
      </c>
      <c r="CB174" s="6">
        <v>434</v>
      </c>
      <c r="CC174" s="6"/>
      <c r="CD174" s="6">
        <f t="shared" si="66"/>
        <v>382</v>
      </c>
      <c r="CE174" s="6">
        <v>817</v>
      </c>
      <c r="CF174" s="6"/>
      <c r="CG174" s="6">
        <f t="shared" si="67"/>
        <v>383</v>
      </c>
      <c r="CH174" s="6">
        <v>1195</v>
      </c>
      <c r="CI174" s="6"/>
      <c r="CJ174" s="6">
        <f t="shared" si="68"/>
        <v>378</v>
      </c>
      <c r="CK174" s="6">
        <v>14</v>
      </c>
      <c r="CL174" s="6">
        <v>1541</v>
      </c>
      <c r="CM174" s="6">
        <f t="shared" si="69"/>
        <v>360</v>
      </c>
      <c r="CN174" s="6"/>
      <c r="CO174" s="6"/>
      <c r="CP174" s="6"/>
      <c r="CQ174" s="6">
        <v>395</v>
      </c>
      <c r="CR174" s="6"/>
      <c r="CS174" s="6">
        <f t="shared" si="70"/>
        <v>381</v>
      </c>
      <c r="CT174" s="6">
        <v>769</v>
      </c>
      <c r="CU174" s="6"/>
      <c r="CV174" s="6">
        <f t="shared" si="71"/>
        <v>374</v>
      </c>
      <c r="CW174" s="6">
        <v>100</v>
      </c>
      <c r="CX174" s="6">
        <v>1030</v>
      </c>
      <c r="CY174" s="6">
        <f t="shared" si="72"/>
        <v>361</v>
      </c>
      <c r="CZ174" s="6">
        <v>455</v>
      </c>
      <c r="DA174" s="6"/>
      <c r="DB174" s="6">
        <f t="shared" si="73"/>
        <v>355</v>
      </c>
      <c r="DC174" s="6">
        <v>823</v>
      </c>
      <c r="DD174" s="6"/>
      <c r="DE174" s="6">
        <f t="shared" si="74"/>
        <v>368</v>
      </c>
      <c r="DF174" s="6">
        <v>1169</v>
      </c>
      <c r="DG174" s="6"/>
      <c r="DH174" s="6">
        <f t="shared" si="75"/>
        <v>346</v>
      </c>
      <c r="DI174" s="6"/>
      <c r="DJ174" s="6"/>
      <c r="DK174" s="6"/>
      <c r="DL174" s="6">
        <v>366</v>
      </c>
      <c r="DM174" s="6">
        <v>1183</v>
      </c>
      <c r="DN174" s="6">
        <f t="shared" si="76"/>
        <v>380</v>
      </c>
      <c r="DO174" s="6">
        <v>720</v>
      </c>
      <c r="DP174" s="6"/>
      <c r="DQ174" s="6">
        <f t="shared" si="77"/>
        <v>354</v>
      </c>
    </row>
    <row r="175" spans="1:121">
      <c r="A175" s="6">
        <v>171</v>
      </c>
      <c r="B175" s="6">
        <v>428</v>
      </c>
      <c r="C175" s="6"/>
      <c r="D175" s="6">
        <v>332</v>
      </c>
      <c r="E175" s="33" t="s">
        <v>37</v>
      </c>
      <c r="F175" s="33" t="s">
        <v>37</v>
      </c>
      <c r="G175" s="33" t="s">
        <v>37</v>
      </c>
      <c r="H175" s="33" t="s">
        <v>37</v>
      </c>
      <c r="I175" s="148" t="s">
        <v>37</v>
      </c>
      <c r="J175" s="33" t="s">
        <v>37</v>
      </c>
      <c r="K175" s="33" t="s">
        <v>37</v>
      </c>
      <c r="L175" s="33" t="s">
        <v>37</v>
      </c>
      <c r="M175" s="33" t="s">
        <v>37</v>
      </c>
      <c r="N175" s="33" t="s">
        <v>37</v>
      </c>
      <c r="O175" s="33" t="s">
        <v>37</v>
      </c>
      <c r="P175" s="33" t="s">
        <v>37</v>
      </c>
      <c r="Q175" s="33" t="s">
        <v>37</v>
      </c>
      <c r="R175" s="33" t="s">
        <v>37</v>
      </c>
      <c r="S175" s="33" t="s">
        <v>37</v>
      </c>
      <c r="T175" s="33" t="s">
        <v>37</v>
      </c>
      <c r="U175" s="33" t="s">
        <v>37</v>
      </c>
      <c r="V175" s="33" t="s">
        <v>37</v>
      </c>
      <c r="W175" s="33" t="s">
        <v>37</v>
      </c>
      <c r="X175" s="33" t="s">
        <v>37</v>
      </c>
      <c r="Y175" s="33" t="s">
        <v>37</v>
      </c>
      <c r="Z175" s="33" t="s">
        <v>37</v>
      </c>
      <c r="AA175" s="33" t="s">
        <v>37</v>
      </c>
      <c r="AB175" s="33" t="s">
        <v>37</v>
      </c>
      <c r="AC175" s="33" t="s">
        <v>37</v>
      </c>
      <c r="AD175" s="148" t="s">
        <v>37</v>
      </c>
      <c r="AE175" s="33" t="s">
        <v>37</v>
      </c>
      <c r="AF175" s="6">
        <v>841</v>
      </c>
      <c r="AG175" s="6"/>
      <c r="AH175" s="35">
        <f t="shared" si="52"/>
        <v>413</v>
      </c>
      <c r="AI175" s="6">
        <v>1216</v>
      </c>
      <c r="AJ175" s="6"/>
      <c r="AK175" s="35">
        <f t="shared" si="53"/>
        <v>375</v>
      </c>
      <c r="AL175" s="35">
        <v>1600</v>
      </c>
      <c r="AM175" s="35"/>
      <c r="AN175" s="35">
        <f t="shared" si="54"/>
        <v>384</v>
      </c>
      <c r="AO175" s="6">
        <v>343</v>
      </c>
      <c r="AP175" s="6">
        <v>1603</v>
      </c>
      <c r="AQ175" s="35">
        <f t="shared" si="55"/>
        <v>346</v>
      </c>
      <c r="AR175" s="6">
        <v>67</v>
      </c>
      <c r="AS175" s="6">
        <v>645</v>
      </c>
      <c r="AT175" s="34">
        <f t="shared" si="56"/>
        <v>369</v>
      </c>
      <c r="AU175" s="35">
        <v>431</v>
      </c>
      <c r="AV175" s="35"/>
      <c r="AW175" s="35">
        <f t="shared" si="57"/>
        <v>364</v>
      </c>
      <c r="AX175" s="6"/>
      <c r="AY175" s="6"/>
      <c r="AZ175" s="35"/>
      <c r="BA175" s="6">
        <v>820</v>
      </c>
      <c r="BB175" s="6"/>
      <c r="BC175" s="35">
        <f t="shared" si="58"/>
        <v>389</v>
      </c>
      <c r="BD175" s="6">
        <v>1207</v>
      </c>
      <c r="BE175" s="35"/>
      <c r="BF175" s="35">
        <f t="shared" si="59"/>
        <v>387</v>
      </c>
      <c r="BG175" s="6">
        <v>34</v>
      </c>
      <c r="BH175" s="6">
        <v>1560</v>
      </c>
      <c r="BI175" s="35">
        <f t="shared" si="60"/>
        <v>387</v>
      </c>
      <c r="BJ175" s="6">
        <v>418</v>
      </c>
      <c r="BK175" s="6"/>
      <c r="BL175" s="35">
        <f t="shared" si="61"/>
        <v>384</v>
      </c>
      <c r="BM175" s="35">
        <v>806</v>
      </c>
      <c r="BN175" s="6"/>
      <c r="BO175" s="6">
        <f t="shared" si="62"/>
        <v>388</v>
      </c>
      <c r="BP175" s="6">
        <v>1173</v>
      </c>
      <c r="BQ175" s="6"/>
      <c r="BR175" s="6">
        <f t="shared" si="63"/>
        <v>367</v>
      </c>
      <c r="BS175" s="6"/>
      <c r="BT175" s="6"/>
      <c r="BU175" s="35"/>
      <c r="BV175" s="6">
        <v>3</v>
      </c>
      <c r="BW175" s="6">
        <v>1560</v>
      </c>
      <c r="BX175" s="6">
        <f t="shared" si="64"/>
        <v>390</v>
      </c>
      <c r="BY175" s="6">
        <v>386</v>
      </c>
      <c r="BZ175" s="6"/>
      <c r="CA175" s="35">
        <f t="shared" si="65"/>
        <v>383</v>
      </c>
      <c r="CB175" s="6">
        <v>772</v>
      </c>
      <c r="CC175" s="6"/>
      <c r="CD175" s="6">
        <f t="shared" si="66"/>
        <v>386</v>
      </c>
      <c r="CE175" s="6">
        <v>1160</v>
      </c>
      <c r="CF175" s="6"/>
      <c r="CG175" s="6">
        <f t="shared" si="67"/>
        <v>388</v>
      </c>
      <c r="CH175" s="6">
        <v>1543</v>
      </c>
      <c r="CI175" s="6"/>
      <c r="CJ175" s="6">
        <f t="shared" si="68"/>
        <v>383</v>
      </c>
      <c r="CK175" s="6">
        <v>359</v>
      </c>
      <c r="CL175" s="6">
        <v>1560</v>
      </c>
      <c r="CM175" s="6">
        <f t="shared" si="69"/>
        <v>376</v>
      </c>
      <c r="CN175" s="6"/>
      <c r="CO175" s="6"/>
      <c r="CP175" s="6"/>
      <c r="CQ175" s="6">
        <v>750</v>
      </c>
      <c r="CR175" s="6"/>
      <c r="CS175" s="6">
        <f t="shared" si="70"/>
        <v>391</v>
      </c>
      <c r="CT175" s="6">
        <v>1135</v>
      </c>
      <c r="CU175" s="6"/>
      <c r="CV175" s="6">
        <f t="shared" si="71"/>
        <v>385</v>
      </c>
      <c r="CW175" s="6">
        <v>1519</v>
      </c>
      <c r="CX175" s="6"/>
      <c r="CY175" s="6">
        <f t="shared" si="72"/>
        <v>384</v>
      </c>
      <c r="CZ175" s="6">
        <v>336</v>
      </c>
      <c r="DA175" s="6">
        <v>1560</v>
      </c>
      <c r="DB175" s="6">
        <f t="shared" si="73"/>
        <v>377</v>
      </c>
      <c r="DC175" s="6">
        <v>722</v>
      </c>
      <c r="DD175" s="6"/>
      <c r="DE175" s="6">
        <f t="shared" si="74"/>
        <v>386</v>
      </c>
      <c r="DF175" s="6">
        <v>0</v>
      </c>
      <c r="DG175" s="6">
        <v>972</v>
      </c>
      <c r="DH175" s="6">
        <f t="shared" si="75"/>
        <v>250</v>
      </c>
      <c r="DI175" s="6"/>
      <c r="DJ175" s="6"/>
      <c r="DK175" s="6"/>
      <c r="DL175" s="6">
        <v>368</v>
      </c>
      <c r="DM175" s="6"/>
      <c r="DN175" s="6">
        <f t="shared" si="76"/>
        <v>368</v>
      </c>
      <c r="DO175" s="6">
        <v>728</v>
      </c>
      <c r="DP175" s="6"/>
      <c r="DQ175" s="6">
        <f t="shared" si="77"/>
        <v>360</v>
      </c>
    </row>
    <row r="176" spans="1:121">
      <c r="A176" s="6">
        <v>172</v>
      </c>
      <c r="B176" s="6">
        <v>1288</v>
      </c>
      <c r="C176" s="6"/>
      <c r="D176" s="6">
        <v>344</v>
      </c>
      <c r="E176" s="33" t="s">
        <v>37</v>
      </c>
      <c r="F176" s="33" t="s">
        <v>37</v>
      </c>
      <c r="G176" s="33" t="s">
        <v>37</v>
      </c>
      <c r="H176" s="33" t="s">
        <v>37</v>
      </c>
      <c r="I176" s="33" t="s">
        <v>37</v>
      </c>
      <c r="J176" s="33" t="s">
        <v>37</v>
      </c>
      <c r="K176" s="148" t="s">
        <v>37</v>
      </c>
      <c r="L176" s="33" t="s">
        <v>37</v>
      </c>
      <c r="M176" s="33" t="s">
        <v>37</v>
      </c>
      <c r="N176" s="33" t="s">
        <v>37</v>
      </c>
      <c r="O176" s="33" t="s">
        <v>37</v>
      </c>
      <c r="P176" s="33" t="s">
        <v>37</v>
      </c>
      <c r="Q176" s="33" t="s">
        <v>37</v>
      </c>
      <c r="R176" s="33" t="s">
        <v>37</v>
      </c>
      <c r="S176" s="33" t="s">
        <v>37</v>
      </c>
      <c r="T176" s="33" t="s">
        <v>37</v>
      </c>
      <c r="U176" s="33" t="s">
        <v>37</v>
      </c>
      <c r="V176" s="33" t="s">
        <v>37</v>
      </c>
      <c r="W176" s="33" t="s">
        <v>37</v>
      </c>
      <c r="X176" s="33" t="s">
        <v>37</v>
      </c>
      <c r="Y176" s="33" t="s">
        <v>37</v>
      </c>
      <c r="Z176" s="33" t="s">
        <v>37</v>
      </c>
      <c r="AA176" s="33" t="s">
        <v>37</v>
      </c>
      <c r="AB176" s="33" t="s">
        <v>37</v>
      </c>
      <c r="AC176" s="33" t="s">
        <v>37</v>
      </c>
      <c r="AD176" s="33" t="s">
        <v>37</v>
      </c>
      <c r="AE176" s="33" t="s">
        <v>37</v>
      </c>
      <c r="AF176" s="35">
        <v>135</v>
      </c>
      <c r="AG176" s="35">
        <v>1560</v>
      </c>
      <c r="AH176" s="35">
        <f t="shared" si="52"/>
        <v>407</v>
      </c>
      <c r="AI176" s="35">
        <v>499</v>
      </c>
      <c r="AJ176" s="35"/>
      <c r="AK176" s="35">
        <f t="shared" si="53"/>
        <v>364</v>
      </c>
      <c r="AL176" s="35">
        <v>884</v>
      </c>
      <c r="AM176" s="35"/>
      <c r="AN176" s="35">
        <f t="shared" si="54"/>
        <v>385</v>
      </c>
      <c r="AO176" s="6">
        <v>1262</v>
      </c>
      <c r="AP176" s="35"/>
      <c r="AQ176" s="35">
        <f t="shared" si="55"/>
        <v>378</v>
      </c>
      <c r="AR176" s="6">
        <v>1645</v>
      </c>
      <c r="AS176" s="6"/>
      <c r="AT176" s="34">
        <f t="shared" si="56"/>
        <v>383</v>
      </c>
      <c r="AU176" s="35">
        <v>280</v>
      </c>
      <c r="AV176" s="35">
        <v>1711</v>
      </c>
      <c r="AW176" s="35">
        <f t="shared" si="57"/>
        <v>346</v>
      </c>
      <c r="AX176" s="6"/>
      <c r="AY176" s="6"/>
      <c r="AZ176" s="35"/>
      <c r="BA176" s="6">
        <v>666</v>
      </c>
      <c r="BB176" s="6"/>
      <c r="BC176" s="35">
        <f t="shared" si="58"/>
        <v>386</v>
      </c>
      <c r="BD176" s="35">
        <v>1037</v>
      </c>
      <c r="BE176" s="6"/>
      <c r="BF176" s="35">
        <f t="shared" si="59"/>
        <v>371</v>
      </c>
      <c r="BG176" s="6">
        <v>1419</v>
      </c>
      <c r="BH176" s="6"/>
      <c r="BI176" s="35">
        <f t="shared" si="60"/>
        <v>382</v>
      </c>
      <c r="BJ176" s="6">
        <v>230</v>
      </c>
      <c r="BK176" s="6">
        <v>1560</v>
      </c>
      <c r="BL176" s="35">
        <f t="shared" si="61"/>
        <v>371</v>
      </c>
      <c r="BM176" s="6">
        <v>610</v>
      </c>
      <c r="BN176" s="35"/>
      <c r="BO176" s="6">
        <f t="shared" si="62"/>
        <v>380</v>
      </c>
      <c r="BP176" s="6">
        <v>974</v>
      </c>
      <c r="BQ176" s="6"/>
      <c r="BR176" s="6">
        <f t="shared" si="63"/>
        <v>364</v>
      </c>
      <c r="BS176" s="6"/>
      <c r="BT176" s="6"/>
      <c r="BU176" s="35"/>
      <c r="BV176" s="6">
        <v>1360</v>
      </c>
      <c r="BW176" s="6"/>
      <c r="BX176" s="6">
        <f t="shared" si="64"/>
        <v>386</v>
      </c>
      <c r="BY176" s="6">
        <v>180</v>
      </c>
      <c r="BZ176" s="6">
        <v>1560</v>
      </c>
      <c r="CA176" s="35">
        <f t="shared" si="65"/>
        <v>380</v>
      </c>
      <c r="CB176" s="6">
        <v>559</v>
      </c>
      <c r="CC176" s="35"/>
      <c r="CD176" s="6">
        <f t="shared" si="66"/>
        <v>379</v>
      </c>
      <c r="CE176" s="6">
        <v>268</v>
      </c>
      <c r="CF176" s="6">
        <v>669</v>
      </c>
      <c r="CG176" s="6">
        <f t="shared" si="67"/>
        <v>378</v>
      </c>
      <c r="CH176" s="6">
        <v>638</v>
      </c>
      <c r="CI176" s="35"/>
      <c r="CJ176" s="6">
        <f t="shared" si="68"/>
        <v>370</v>
      </c>
      <c r="CK176" s="6">
        <v>1007</v>
      </c>
      <c r="CL176" s="6"/>
      <c r="CM176" s="6">
        <f t="shared" si="69"/>
        <v>369</v>
      </c>
      <c r="CN176" s="6"/>
      <c r="CO176" s="6"/>
      <c r="CP176" s="6"/>
      <c r="CQ176" s="6">
        <v>1395</v>
      </c>
      <c r="CR176" s="6"/>
      <c r="CS176" s="6">
        <f t="shared" si="70"/>
        <v>388</v>
      </c>
      <c r="CT176" s="6">
        <v>210</v>
      </c>
      <c r="CU176" s="6">
        <v>1560</v>
      </c>
      <c r="CV176" s="6">
        <f t="shared" si="71"/>
        <v>375</v>
      </c>
      <c r="CW176" s="6">
        <v>93</v>
      </c>
      <c r="CX176" s="6">
        <v>479</v>
      </c>
      <c r="CY176" s="6">
        <f t="shared" si="72"/>
        <v>362</v>
      </c>
      <c r="CZ176" s="6">
        <v>472</v>
      </c>
      <c r="DA176" s="6"/>
      <c r="DB176" s="6">
        <f t="shared" si="73"/>
        <v>379</v>
      </c>
      <c r="DC176" s="6">
        <v>856</v>
      </c>
      <c r="DD176" s="6"/>
      <c r="DE176" s="6">
        <f t="shared" si="74"/>
        <v>384</v>
      </c>
      <c r="DF176" s="6">
        <v>1220</v>
      </c>
      <c r="DG176" s="6"/>
      <c r="DH176" s="6">
        <f t="shared" si="75"/>
        <v>364</v>
      </c>
      <c r="DI176" s="6"/>
      <c r="DJ176" s="6"/>
      <c r="DK176" s="6"/>
      <c r="DL176" s="6">
        <v>32</v>
      </c>
      <c r="DM176" s="6">
        <v>1577</v>
      </c>
      <c r="DN176" s="6">
        <f t="shared" si="76"/>
        <v>389</v>
      </c>
      <c r="DO176" s="6">
        <v>395</v>
      </c>
      <c r="DP176" s="6"/>
      <c r="DQ176" s="6">
        <f t="shared" si="77"/>
        <v>363</v>
      </c>
    </row>
    <row r="177" spans="1:121">
      <c r="A177" s="6">
        <v>173</v>
      </c>
      <c r="B177" s="6">
        <v>1048</v>
      </c>
      <c r="C177" s="6"/>
      <c r="D177" s="6">
        <v>344</v>
      </c>
      <c r="E177" s="33" t="s">
        <v>307</v>
      </c>
      <c r="F177" s="33" t="s">
        <v>307</v>
      </c>
      <c r="G177" s="33" t="s">
        <v>307</v>
      </c>
      <c r="H177" s="33" t="s">
        <v>307</v>
      </c>
      <c r="I177" s="33" t="s">
        <v>307</v>
      </c>
      <c r="J177" s="33" t="s">
        <v>307</v>
      </c>
      <c r="K177" s="33" t="s">
        <v>307</v>
      </c>
      <c r="L177" s="33" t="s">
        <v>307</v>
      </c>
      <c r="M177" s="33" t="s">
        <v>307</v>
      </c>
      <c r="N177" s="33" t="s">
        <v>307</v>
      </c>
      <c r="O177" s="33" t="s">
        <v>307</v>
      </c>
      <c r="P177" s="33" t="s">
        <v>307</v>
      </c>
      <c r="Q177" s="33" t="s">
        <v>307</v>
      </c>
      <c r="R177" s="33" t="s">
        <v>307</v>
      </c>
      <c r="S177" s="33" t="s">
        <v>307</v>
      </c>
      <c r="T177" s="148" t="s">
        <v>307</v>
      </c>
      <c r="U177" s="33" t="s">
        <v>307</v>
      </c>
      <c r="V177" s="33" t="s">
        <v>307</v>
      </c>
      <c r="W177" s="33" t="s">
        <v>307</v>
      </c>
      <c r="X177" s="33" t="s">
        <v>307</v>
      </c>
      <c r="Y177" s="33" t="s">
        <v>307</v>
      </c>
      <c r="Z177" s="33" t="s">
        <v>307</v>
      </c>
      <c r="AA177" s="33" t="s">
        <v>307</v>
      </c>
      <c r="AB177" s="33" t="s">
        <v>307</v>
      </c>
      <c r="AC177" s="33" t="s">
        <v>307</v>
      </c>
      <c r="AD177" s="33" t="s">
        <v>307</v>
      </c>
      <c r="AE177" s="33" t="s">
        <v>307</v>
      </c>
      <c r="AF177" s="6">
        <v>6</v>
      </c>
      <c r="AG177" s="6">
        <v>1452</v>
      </c>
      <c r="AH177" s="35">
        <f t="shared" si="52"/>
        <v>410</v>
      </c>
      <c r="AI177" s="6">
        <v>382</v>
      </c>
      <c r="AJ177" s="6"/>
      <c r="AK177" s="35">
        <f t="shared" si="53"/>
        <v>376</v>
      </c>
      <c r="AL177" s="35">
        <v>763</v>
      </c>
      <c r="AM177" s="35"/>
      <c r="AN177" s="35">
        <f t="shared" si="54"/>
        <v>381</v>
      </c>
      <c r="AO177" s="6">
        <v>1141</v>
      </c>
      <c r="AP177" s="6"/>
      <c r="AQ177" s="35">
        <f t="shared" si="55"/>
        <v>378</v>
      </c>
      <c r="AR177" s="6">
        <v>170</v>
      </c>
      <c r="AS177" s="6">
        <v>1343</v>
      </c>
      <c r="AT177" s="34">
        <f t="shared" si="56"/>
        <v>372</v>
      </c>
      <c r="AU177" s="35">
        <v>162</v>
      </c>
      <c r="AV177" s="35">
        <v>359</v>
      </c>
      <c r="AW177" s="35">
        <f t="shared" si="57"/>
        <v>351</v>
      </c>
      <c r="AX177" s="6"/>
      <c r="AY177" s="6"/>
      <c r="AZ177" s="35"/>
      <c r="BA177" s="6">
        <v>548</v>
      </c>
      <c r="BB177" s="6"/>
      <c r="BC177" s="35">
        <f t="shared" si="58"/>
        <v>386</v>
      </c>
      <c r="BD177" s="6">
        <v>929</v>
      </c>
      <c r="BE177" s="35"/>
      <c r="BF177" s="35">
        <f t="shared" si="59"/>
        <v>381</v>
      </c>
      <c r="BG177" s="6">
        <v>1285</v>
      </c>
      <c r="BH177" s="6"/>
      <c r="BI177" s="35">
        <f t="shared" si="60"/>
        <v>356</v>
      </c>
      <c r="BJ177" s="6">
        <v>326</v>
      </c>
      <c r="BK177" s="6">
        <v>1296</v>
      </c>
      <c r="BL177" s="35">
        <f t="shared" si="61"/>
        <v>337</v>
      </c>
      <c r="BM177" s="6">
        <v>700</v>
      </c>
      <c r="BN177" s="6"/>
      <c r="BO177" s="6">
        <f t="shared" si="62"/>
        <v>374</v>
      </c>
      <c r="BP177" s="6">
        <v>1053</v>
      </c>
      <c r="BQ177" s="6"/>
      <c r="BR177" s="6">
        <f t="shared" si="63"/>
        <v>353</v>
      </c>
      <c r="BS177" s="6"/>
      <c r="BT177" s="6"/>
      <c r="BU177" s="35"/>
      <c r="BV177" s="6">
        <v>1444</v>
      </c>
      <c r="BW177" s="6"/>
      <c r="BX177" s="6">
        <f t="shared" si="64"/>
        <v>391</v>
      </c>
      <c r="BY177" s="6">
        <v>1819</v>
      </c>
      <c r="BZ177" s="6"/>
      <c r="CA177" s="35">
        <f t="shared" si="65"/>
        <v>375</v>
      </c>
      <c r="CB177" s="6">
        <v>0</v>
      </c>
      <c r="CC177" s="6">
        <v>1825</v>
      </c>
      <c r="CD177" s="6">
        <f t="shared" si="66"/>
        <v>6</v>
      </c>
      <c r="CE177" s="6">
        <v>0</v>
      </c>
      <c r="CF177" s="6"/>
      <c r="CG177" s="6">
        <f t="shared" si="67"/>
        <v>0</v>
      </c>
      <c r="CH177" s="6">
        <v>0</v>
      </c>
      <c r="CI177" s="6"/>
      <c r="CJ177" s="6">
        <f t="shared" si="68"/>
        <v>0</v>
      </c>
      <c r="CK177" s="6">
        <v>0</v>
      </c>
      <c r="CL177" s="6"/>
      <c r="CM177" s="6">
        <f t="shared" si="69"/>
        <v>0</v>
      </c>
      <c r="CN177" s="6"/>
      <c r="CO177" s="6"/>
      <c r="CP177" s="6"/>
      <c r="CQ177" s="6">
        <v>0</v>
      </c>
      <c r="CR177" s="6"/>
      <c r="CS177" s="6">
        <f t="shared" si="70"/>
        <v>0</v>
      </c>
      <c r="CT177" s="6">
        <v>0</v>
      </c>
      <c r="CU177" s="6"/>
      <c r="CV177" s="6">
        <f t="shared" si="71"/>
        <v>0</v>
      </c>
      <c r="CW177" s="6">
        <v>293</v>
      </c>
      <c r="CX177" s="6"/>
      <c r="CY177" s="6">
        <f t="shared" si="72"/>
        <v>293</v>
      </c>
      <c r="CZ177" s="6">
        <v>677</v>
      </c>
      <c r="DA177" s="6"/>
      <c r="DB177" s="6">
        <f t="shared" si="73"/>
        <v>384</v>
      </c>
      <c r="DC177" s="6">
        <v>1060</v>
      </c>
      <c r="DD177" s="6"/>
      <c r="DE177" s="6">
        <f t="shared" si="74"/>
        <v>383</v>
      </c>
      <c r="DF177" s="6">
        <v>1434</v>
      </c>
      <c r="DG177" s="6"/>
      <c r="DH177" s="6">
        <f t="shared" si="75"/>
        <v>374</v>
      </c>
      <c r="DI177" s="6"/>
      <c r="DJ177" s="6"/>
      <c r="DK177" s="6"/>
      <c r="DL177" s="6">
        <v>270</v>
      </c>
      <c r="DM177" s="6">
        <v>1560</v>
      </c>
      <c r="DN177" s="6">
        <f t="shared" si="76"/>
        <v>396</v>
      </c>
      <c r="DO177" s="6">
        <v>637</v>
      </c>
      <c r="DP177" s="6"/>
      <c r="DQ177" s="6">
        <f t="shared" si="77"/>
        <v>367</v>
      </c>
    </row>
    <row r="178" spans="1:121">
      <c r="A178" s="6">
        <v>174</v>
      </c>
      <c r="B178" s="6">
        <v>904</v>
      </c>
      <c r="C178" s="6"/>
      <c r="D178" s="6">
        <v>351</v>
      </c>
      <c r="E178" s="33" t="s">
        <v>307</v>
      </c>
      <c r="F178" s="33" t="s">
        <v>307</v>
      </c>
      <c r="G178" s="33" t="s">
        <v>307</v>
      </c>
      <c r="H178" s="33" t="s">
        <v>307</v>
      </c>
      <c r="I178" s="33" t="s">
        <v>307</v>
      </c>
      <c r="J178" s="33" t="s">
        <v>307</v>
      </c>
      <c r="K178" s="148" t="s">
        <v>37</v>
      </c>
      <c r="L178" s="33" t="s">
        <v>37</v>
      </c>
      <c r="M178" s="33" t="s">
        <v>37</v>
      </c>
      <c r="N178" s="33" t="s">
        <v>37</v>
      </c>
      <c r="O178" s="33" t="s">
        <v>37</v>
      </c>
      <c r="P178" s="33" t="s">
        <v>37</v>
      </c>
      <c r="Q178" s="33" t="s">
        <v>37</v>
      </c>
      <c r="R178" s="33" t="s">
        <v>37</v>
      </c>
      <c r="S178" s="33" t="s">
        <v>37</v>
      </c>
      <c r="T178" s="33" t="s">
        <v>37</v>
      </c>
      <c r="U178" s="33" t="s">
        <v>37</v>
      </c>
      <c r="V178" s="33" t="s">
        <v>37</v>
      </c>
      <c r="W178" s="33" t="s">
        <v>37</v>
      </c>
      <c r="X178" s="33" t="s">
        <v>37</v>
      </c>
      <c r="Y178" s="33" t="s">
        <v>37</v>
      </c>
      <c r="Z178" s="33" t="s">
        <v>37</v>
      </c>
      <c r="AA178" s="33" t="s">
        <v>37</v>
      </c>
      <c r="AB178" s="33" t="s">
        <v>37</v>
      </c>
      <c r="AC178" s="33" t="s">
        <v>37</v>
      </c>
      <c r="AD178" s="33" t="s">
        <v>37</v>
      </c>
      <c r="AE178" s="33" t="s">
        <v>37</v>
      </c>
      <c r="AF178" s="6">
        <v>1322</v>
      </c>
      <c r="AG178" s="6"/>
      <c r="AH178" s="35">
        <f t="shared" si="52"/>
        <v>418</v>
      </c>
      <c r="AI178" s="6">
        <v>147</v>
      </c>
      <c r="AJ178" s="6">
        <v>1560</v>
      </c>
      <c r="AK178" s="35">
        <f t="shared" si="53"/>
        <v>385</v>
      </c>
      <c r="AL178" s="35">
        <v>543</v>
      </c>
      <c r="AM178" s="35"/>
      <c r="AN178" s="35">
        <f t="shared" si="54"/>
        <v>396</v>
      </c>
      <c r="AO178" s="6">
        <v>926</v>
      </c>
      <c r="AP178" s="6"/>
      <c r="AQ178" s="35">
        <f t="shared" si="55"/>
        <v>383</v>
      </c>
      <c r="AR178" s="6">
        <v>1313</v>
      </c>
      <c r="AS178" s="6"/>
      <c r="AT178" s="34">
        <f t="shared" si="56"/>
        <v>387</v>
      </c>
      <c r="AU178" s="35">
        <v>329</v>
      </c>
      <c r="AV178" s="35">
        <v>1343</v>
      </c>
      <c r="AW178" s="35">
        <f t="shared" si="57"/>
        <v>359</v>
      </c>
      <c r="AX178" s="35"/>
      <c r="AY178" s="6"/>
      <c r="AZ178" s="35"/>
      <c r="BA178" s="6">
        <v>724</v>
      </c>
      <c r="BB178" s="6"/>
      <c r="BC178" s="35">
        <f t="shared" si="58"/>
        <v>395</v>
      </c>
      <c r="BD178" s="35">
        <v>1105</v>
      </c>
      <c r="BE178" s="35"/>
      <c r="BF178" s="35">
        <f t="shared" si="59"/>
        <v>381</v>
      </c>
      <c r="BG178" s="6">
        <v>1490</v>
      </c>
      <c r="BH178" s="6"/>
      <c r="BI178" s="35">
        <f t="shared" si="60"/>
        <v>385</v>
      </c>
      <c r="BJ178" s="6">
        <v>322</v>
      </c>
      <c r="BK178" s="6">
        <v>1562</v>
      </c>
      <c r="BL178" s="35">
        <f t="shared" si="61"/>
        <v>394</v>
      </c>
      <c r="BM178" s="6">
        <v>716</v>
      </c>
      <c r="BN178" s="6"/>
      <c r="BO178" s="6">
        <f t="shared" si="62"/>
        <v>394</v>
      </c>
      <c r="BP178" s="6">
        <v>1081</v>
      </c>
      <c r="BQ178" s="6"/>
      <c r="BR178" s="6">
        <f t="shared" si="63"/>
        <v>365</v>
      </c>
      <c r="BS178" s="6"/>
      <c r="BT178" s="6"/>
      <c r="BU178" s="35"/>
      <c r="BV178" s="35">
        <v>1474</v>
      </c>
      <c r="BW178" s="6"/>
      <c r="BX178" s="6">
        <f t="shared" si="64"/>
        <v>393</v>
      </c>
      <c r="BY178" s="6">
        <v>298</v>
      </c>
      <c r="BZ178" s="6">
        <v>1560</v>
      </c>
      <c r="CA178" s="35">
        <f t="shared" si="65"/>
        <v>384</v>
      </c>
      <c r="CB178" s="6">
        <v>694</v>
      </c>
      <c r="CC178" s="6"/>
      <c r="CD178" s="6">
        <f t="shared" si="66"/>
        <v>396</v>
      </c>
      <c r="CE178" s="6">
        <v>1084</v>
      </c>
      <c r="CF178" s="6"/>
      <c r="CG178" s="6">
        <f t="shared" si="67"/>
        <v>390</v>
      </c>
      <c r="CH178" s="6">
        <v>1477</v>
      </c>
      <c r="CI178" s="6"/>
      <c r="CJ178" s="6">
        <f t="shared" si="68"/>
        <v>393</v>
      </c>
      <c r="CK178" s="6">
        <v>355</v>
      </c>
      <c r="CL178" s="6">
        <v>1505</v>
      </c>
      <c r="CM178" s="6">
        <f t="shared" si="69"/>
        <v>383</v>
      </c>
      <c r="CN178" s="6"/>
      <c r="CO178" s="6"/>
      <c r="CP178" s="6"/>
      <c r="CQ178" s="6">
        <v>753</v>
      </c>
      <c r="CR178" s="6"/>
      <c r="CS178" s="6">
        <f t="shared" si="70"/>
        <v>398</v>
      </c>
      <c r="CT178" s="6">
        <v>1141</v>
      </c>
      <c r="CU178" s="6"/>
      <c r="CV178" s="6">
        <f t="shared" si="71"/>
        <v>388</v>
      </c>
      <c r="CW178" s="6">
        <v>1536</v>
      </c>
      <c r="CX178" s="6"/>
      <c r="CY178" s="6">
        <f t="shared" si="72"/>
        <v>395</v>
      </c>
      <c r="CZ178" s="6">
        <v>370</v>
      </c>
      <c r="DA178" s="6">
        <v>1560</v>
      </c>
      <c r="DB178" s="6">
        <f t="shared" si="73"/>
        <v>394</v>
      </c>
      <c r="DC178" s="6">
        <v>764</v>
      </c>
      <c r="DD178" s="6"/>
      <c r="DE178" s="6">
        <f t="shared" si="74"/>
        <v>394</v>
      </c>
      <c r="DF178" s="6">
        <v>1139</v>
      </c>
      <c r="DG178" s="6"/>
      <c r="DH178" s="6">
        <f t="shared" si="75"/>
        <v>375</v>
      </c>
      <c r="DI178" s="6"/>
      <c r="DJ178" s="6"/>
      <c r="DK178" s="6"/>
      <c r="DL178" s="6">
        <v>1527</v>
      </c>
      <c r="DM178" s="6"/>
      <c r="DN178" s="6">
        <f t="shared" si="76"/>
        <v>388</v>
      </c>
      <c r="DO178" s="6">
        <v>0</v>
      </c>
      <c r="DP178" s="6">
        <v>1695</v>
      </c>
      <c r="DQ178" s="6">
        <f t="shared" si="77"/>
        <v>168</v>
      </c>
    </row>
    <row r="179" spans="1:121" ht="14.25" customHeight="1">
      <c r="A179" s="6">
        <v>175</v>
      </c>
      <c r="B179" s="6">
        <v>570</v>
      </c>
      <c r="C179" s="6"/>
      <c r="D179" s="6">
        <v>328</v>
      </c>
      <c r="E179" s="33" t="s">
        <v>37</v>
      </c>
      <c r="F179" s="33" t="s">
        <v>37</v>
      </c>
      <c r="G179" s="33" t="s">
        <v>37</v>
      </c>
      <c r="H179" s="33" t="s">
        <v>37</v>
      </c>
      <c r="I179" s="33" t="s">
        <v>37</v>
      </c>
      <c r="J179" s="33" t="s">
        <v>37</v>
      </c>
      <c r="K179" s="33" t="s">
        <v>37</v>
      </c>
      <c r="L179" s="33" t="s">
        <v>37</v>
      </c>
      <c r="M179" s="33" t="s">
        <v>37</v>
      </c>
      <c r="N179" s="33" t="s">
        <v>37</v>
      </c>
      <c r="O179" s="33" t="s">
        <v>37</v>
      </c>
      <c r="P179" s="33" t="s">
        <v>37</v>
      </c>
      <c r="Q179" s="33" t="s">
        <v>37</v>
      </c>
      <c r="R179" s="33" t="s">
        <v>37</v>
      </c>
      <c r="S179" s="33" t="s">
        <v>37</v>
      </c>
      <c r="T179" s="33" t="s">
        <v>37</v>
      </c>
      <c r="U179" s="33" t="s">
        <v>37</v>
      </c>
      <c r="V179" s="33" t="s">
        <v>37</v>
      </c>
      <c r="W179" s="33" t="s">
        <v>37</v>
      </c>
      <c r="X179" s="33" t="s">
        <v>37</v>
      </c>
      <c r="Y179" s="33" t="s">
        <v>37</v>
      </c>
      <c r="Z179" s="148" t="s">
        <v>37</v>
      </c>
      <c r="AA179" s="33" t="s">
        <v>37</v>
      </c>
      <c r="AB179" s="33" t="s">
        <v>37</v>
      </c>
      <c r="AC179" s="33" t="s">
        <v>37</v>
      </c>
      <c r="AD179" s="33" t="s">
        <v>37</v>
      </c>
      <c r="AE179" s="33" t="s">
        <v>37</v>
      </c>
      <c r="AF179" s="6">
        <v>969</v>
      </c>
      <c r="AG179" s="6"/>
      <c r="AH179" s="35">
        <f t="shared" si="52"/>
        <v>399</v>
      </c>
      <c r="AI179" s="6">
        <v>4</v>
      </c>
      <c r="AJ179" s="6">
        <v>1337</v>
      </c>
      <c r="AK179" s="35">
        <f t="shared" si="53"/>
        <v>372</v>
      </c>
      <c r="AL179" s="35">
        <v>376</v>
      </c>
      <c r="AM179" s="35"/>
      <c r="AN179" s="35">
        <f t="shared" si="54"/>
        <v>372</v>
      </c>
      <c r="AO179" s="6">
        <v>744</v>
      </c>
      <c r="AP179" s="6"/>
      <c r="AQ179" s="35">
        <f t="shared" si="55"/>
        <v>368</v>
      </c>
      <c r="AR179" s="6">
        <v>1126</v>
      </c>
      <c r="AS179" s="6"/>
      <c r="AT179" s="34">
        <f t="shared" si="56"/>
        <v>382</v>
      </c>
      <c r="AU179" s="35">
        <v>1486</v>
      </c>
      <c r="AV179" s="35"/>
      <c r="AW179" s="35">
        <f t="shared" si="57"/>
        <v>360</v>
      </c>
      <c r="AX179" s="6"/>
      <c r="AY179" s="6"/>
      <c r="AZ179" s="35"/>
      <c r="BA179" s="6">
        <v>301</v>
      </c>
      <c r="BB179" s="6">
        <v>1560</v>
      </c>
      <c r="BC179" s="35">
        <f t="shared" si="58"/>
        <v>375</v>
      </c>
      <c r="BD179" s="35">
        <v>654</v>
      </c>
      <c r="BE179" s="35"/>
      <c r="BF179" s="35">
        <f t="shared" si="59"/>
        <v>353</v>
      </c>
      <c r="BG179" s="35">
        <v>1034</v>
      </c>
      <c r="BH179" s="35"/>
      <c r="BI179" s="35">
        <f t="shared" si="60"/>
        <v>380</v>
      </c>
      <c r="BJ179" s="6">
        <v>1407</v>
      </c>
      <c r="BK179" s="6"/>
      <c r="BL179" s="35">
        <f t="shared" si="61"/>
        <v>373</v>
      </c>
      <c r="BM179" s="6">
        <v>217</v>
      </c>
      <c r="BN179" s="6">
        <v>1570</v>
      </c>
      <c r="BO179" s="6">
        <f t="shared" si="62"/>
        <v>380</v>
      </c>
      <c r="BP179" s="6">
        <v>547</v>
      </c>
      <c r="BQ179" s="6"/>
      <c r="BR179" s="6">
        <f t="shared" si="63"/>
        <v>330</v>
      </c>
      <c r="BS179" s="6"/>
      <c r="BT179" s="6"/>
      <c r="BU179" s="35"/>
      <c r="BV179" s="6">
        <v>930</v>
      </c>
      <c r="BW179" s="6"/>
      <c r="BX179" s="6">
        <f t="shared" si="64"/>
        <v>383</v>
      </c>
      <c r="BY179" s="6">
        <v>1307</v>
      </c>
      <c r="BZ179" s="6"/>
      <c r="CA179" s="35">
        <f t="shared" si="65"/>
        <v>377</v>
      </c>
      <c r="CB179" s="6">
        <v>124</v>
      </c>
      <c r="CC179" s="6">
        <v>1560</v>
      </c>
      <c r="CD179" s="6">
        <f t="shared" si="66"/>
        <v>377</v>
      </c>
      <c r="CE179" s="6">
        <v>506</v>
      </c>
      <c r="CF179" s="6"/>
      <c r="CG179" s="6">
        <f t="shared" si="67"/>
        <v>382</v>
      </c>
      <c r="CH179" s="6">
        <v>882</v>
      </c>
      <c r="CI179" s="6"/>
      <c r="CJ179" s="6">
        <f t="shared" si="68"/>
        <v>376</v>
      </c>
      <c r="CK179" s="6">
        <v>1244</v>
      </c>
      <c r="CL179" s="6"/>
      <c r="CM179" s="6">
        <f t="shared" si="69"/>
        <v>362</v>
      </c>
      <c r="CN179" s="6"/>
      <c r="CO179" s="6"/>
      <c r="CP179" s="6"/>
      <c r="CQ179" s="6">
        <v>1631</v>
      </c>
      <c r="CR179" s="6"/>
      <c r="CS179" s="6">
        <f t="shared" si="70"/>
        <v>387</v>
      </c>
      <c r="CT179" s="6">
        <v>0</v>
      </c>
      <c r="CU179" s="6">
        <v>1844</v>
      </c>
      <c r="CV179" s="6">
        <f t="shared" si="71"/>
        <v>213</v>
      </c>
      <c r="CW179" s="6">
        <v>373</v>
      </c>
      <c r="CX179" s="6"/>
      <c r="CY179" s="6">
        <f t="shared" si="72"/>
        <v>373</v>
      </c>
      <c r="CZ179" s="6">
        <v>758</v>
      </c>
      <c r="DA179" s="6"/>
      <c r="DB179" s="6">
        <f t="shared" si="73"/>
        <v>385</v>
      </c>
      <c r="DC179" s="6">
        <v>1141</v>
      </c>
      <c r="DD179" s="6"/>
      <c r="DE179" s="6">
        <f t="shared" si="74"/>
        <v>383</v>
      </c>
      <c r="DF179" s="6">
        <v>1506</v>
      </c>
      <c r="DG179" s="6"/>
      <c r="DH179" s="6">
        <f t="shared" si="75"/>
        <v>365</v>
      </c>
      <c r="DI179" s="6"/>
      <c r="DJ179" s="6"/>
      <c r="DK179" s="6"/>
      <c r="DL179" s="6">
        <v>321</v>
      </c>
      <c r="DM179" s="6">
        <v>1562</v>
      </c>
      <c r="DN179" s="6">
        <f t="shared" si="76"/>
        <v>377</v>
      </c>
      <c r="DO179" s="6">
        <v>680</v>
      </c>
      <c r="DP179" s="6"/>
      <c r="DQ179" s="6">
        <f t="shared" si="77"/>
        <v>359</v>
      </c>
    </row>
    <row r="180" spans="1:121">
      <c r="A180" s="6">
        <v>176</v>
      </c>
      <c r="B180" s="6">
        <v>0</v>
      </c>
      <c r="C180" s="6">
        <v>1341</v>
      </c>
      <c r="D180" s="6">
        <v>144</v>
      </c>
      <c r="E180" s="33" t="s">
        <v>37</v>
      </c>
      <c r="F180" s="148" t="s">
        <v>37</v>
      </c>
      <c r="G180" s="33" t="s">
        <v>37</v>
      </c>
      <c r="H180" s="33" t="s">
        <v>37</v>
      </c>
      <c r="I180" s="33" t="s">
        <v>37</v>
      </c>
      <c r="J180" s="33" t="s">
        <v>37</v>
      </c>
      <c r="K180" s="33" t="s">
        <v>37</v>
      </c>
      <c r="L180" s="33" t="s">
        <v>37</v>
      </c>
      <c r="M180" s="33" t="s">
        <v>37</v>
      </c>
      <c r="N180" s="33" t="s">
        <v>37</v>
      </c>
      <c r="O180" s="33" t="s">
        <v>37</v>
      </c>
      <c r="P180" s="33" t="s">
        <v>37</v>
      </c>
      <c r="Q180" s="33" t="s">
        <v>37</v>
      </c>
      <c r="R180" s="33" t="s">
        <v>37</v>
      </c>
      <c r="S180" s="33" t="s">
        <v>37</v>
      </c>
      <c r="T180" s="33" t="s">
        <v>37</v>
      </c>
      <c r="U180" s="33" t="s">
        <v>37</v>
      </c>
      <c r="V180" s="33" t="s">
        <v>37</v>
      </c>
      <c r="W180" s="33" t="s">
        <v>37</v>
      </c>
      <c r="X180" s="33" t="s">
        <v>37</v>
      </c>
      <c r="Y180" s="33" t="s">
        <v>37</v>
      </c>
      <c r="Z180" s="33" t="s">
        <v>37</v>
      </c>
      <c r="AA180" s="148" t="s">
        <v>37</v>
      </c>
      <c r="AB180" s="33" t="s">
        <v>37</v>
      </c>
      <c r="AC180" s="33" t="s">
        <v>37</v>
      </c>
      <c r="AD180" s="33" t="s">
        <v>37</v>
      </c>
      <c r="AE180" s="33" t="s">
        <v>37</v>
      </c>
      <c r="AF180" s="35">
        <v>366</v>
      </c>
      <c r="AG180" s="35"/>
      <c r="AH180" s="35">
        <f t="shared" si="52"/>
        <v>366</v>
      </c>
      <c r="AI180" s="35">
        <v>734</v>
      </c>
      <c r="AJ180" s="35"/>
      <c r="AK180" s="35">
        <f t="shared" si="53"/>
        <v>368</v>
      </c>
      <c r="AL180" s="35">
        <v>1112</v>
      </c>
      <c r="AM180" s="35"/>
      <c r="AN180" s="35">
        <f t="shared" si="54"/>
        <v>378</v>
      </c>
      <c r="AO180" s="35">
        <v>1490</v>
      </c>
      <c r="AP180" s="35"/>
      <c r="AQ180" s="35">
        <f t="shared" si="55"/>
        <v>378</v>
      </c>
      <c r="AR180" s="35">
        <v>308</v>
      </c>
      <c r="AS180" s="35">
        <v>1560</v>
      </c>
      <c r="AT180" s="34">
        <f t="shared" si="56"/>
        <v>378</v>
      </c>
      <c r="AU180" s="35">
        <v>668</v>
      </c>
      <c r="AV180" s="35"/>
      <c r="AW180" s="35">
        <f t="shared" si="57"/>
        <v>360</v>
      </c>
      <c r="AX180" s="35"/>
      <c r="AY180" s="6"/>
      <c r="AZ180" s="35"/>
      <c r="BA180" s="6">
        <v>192</v>
      </c>
      <c r="BB180" s="6">
        <v>845</v>
      </c>
      <c r="BC180" s="35">
        <f t="shared" si="58"/>
        <v>369</v>
      </c>
      <c r="BD180" s="35">
        <v>570</v>
      </c>
      <c r="BE180" s="6"/>
      <c r="BF180" s="35">
        <f t="shared" si="59"/>
        <v>378</v>
      </c>
      <c r="BG180" s="6">
        <v>254</v>
      </c>
      <c r="BH180" s="6">
        <v>693</v>
      </c>
      <c r="BI180" s="35">
        <f t="shared" si="60"/>
        <v>377</v>
      </c>
      <c r="BJ180" s="35">
        <v>635</v>
      </c>
      <c r="BK180" s="6"/>
      <c r="BL180" s="35">
        <f t="shared" si="61"/>
        <v>381</v>
      </c>
      <c r="BM180" s="6">
        <v>1017</v>
      </c>
      <c r="BN180" s="35"/>
      <c r="BO180" s="6">
        <f t="shared" si="62"/>
        <v>382</v>
      </c>
      <c r="BP180" s="6">
        <v>1380</v>
      </c>
      <c r="BQ180" s="6"/>
      <c r="BR180" s="6">
        <f t="shared" si="63"/>
        <v>363</v>
      </c>
      <c r="BS180" s="6"/>
      <c r="BT180" s="6"/>
      <c r="BU180" s="35"/>
      <c r="BV180" s="6">
        <v>195</v>
      </c>
      <c r="BW180" s="6">
        <v>1560</v>
      </c>
      <c r="BX180" s="6">
        <f t="shared" si="64"/>
        <v>375</v>
      </c>
      <c r="BY180" s="6">
        <v>571</v>
      </c>
      <c r="BZ180" s="6"/>
      <c r="CA180" s="35">
        <f t="shared" si="65"/>
        <v>376</v>
      </c>
      <c r="CB180" s="6">
        <v>949</v>
      </c>
      <c r="CC180" s="6"/>
      <c r="CD180" s="6">
        <f t="shared" si="66"/>
        <v>378</v>
      </c>
      <c r="CE180" s="6">
        <v>17</v>
      </c>
      <c r="CF180" s="6">
        <v>1307</v>
      </c>
      <c r="CG180" s="6">
        <f t="shared" si="67"/>
        <v>375</v>
      </c>
      <c r="CH180" s="6">
        <v>397</v>
      </c>
      <c r="CI180" s="6"/>
      <c r="CJ180" s="6">
        <f t="shared" si="68"/>
        <v>380</v>
      </c>
      <c r="CK180" s="6">
        <v>769</v>
      </c>
      <c r="CL180" s="6"/>
      <c r="CM180" s="6">
        <f t="shared" si="69"/>
        <v>372</v>
      </c>
      <c r="CN180" s="6"/>
      <c r="CO180" s="6"/>
      <c r="CP180" s="6"/>
      <c r="CQ180" s="6">
        <v>1155</v>
      </c>
      <c r="CR180" s="6"/>
      <c r="CS180" s="6">
        <f t="shared" si="70"/>
        <v>386</v>
      </c>
      <c r="CT180" s="6">
        <v>1534</v>
      </c>
      <c r="CU180" s="6"/>
      <c r="CV180" s="6">
        <f t="shared" si="71"/>
        <v>379</v>
      </c>
      <c r="CW180" s="6">
        <v>0</v>
      </c>
      <c r="CX180" s="6">
        <v>1876</v>
      </c>
      <c r="CY180" s="6">
        <f t="shared" si="72"/>
        <v>342</v>
      </c>
      <c r="CZ180" s="6">
        <v>355</v>
      </c>
      <c r="DA180" s="6"/>
      <c r="DB180" s="6">
        <f t="shared" si="73"/>
        <v>355</v>
      </c>
      <c r="DC180" s="6">
        <v>733</v>
      </c>
      <c r="DD180" s="6"/>
      <c r="DE180" s="6">
        <f t="shared" si="74"/>
        <v>378</v>
      </c>
      <c r="DF180" s="6">
        <v>1093</v>
      </c>
      <c r="DG180" s="6"/>
      <c r="DH180" s="6">
        <f t="shared" si="75"/>
        <v>360</v>
      </c>
      <c r="DI180" s="35"/>
      <c r="DJ180" s="6"/>
      <c r="DK180" s="6"/>
      <c r="DL180" s="35">
        <v>1483</v>
      </c>
      <c r="DM180" s="6"/>
      <c r="DN180" s="6">
        <f t="shared" si="76"/>
        <v>390</v>
      </c>
      <c r="DO180" s="35">
        <v>282</v>
      </c>
      <c r="DP180" s="6">
        <v>1560</v>
      </c>
      <c r="DQ180" s="6">
        <f t="shared" si="77"/>
        <v>359</v>
      </c>
    </row>
    <row r="181" spans="1:121">
      <c r="A181" s="6">
        <v>177</v>
      </c>
      <c r="B181" s="6">
        <v>699</v>
      </c>
      <c r="C181" s="6"/>
      <c r="D181" s="6">
        <v>352</v>
      </c>
      <c r="E181" s="33" t="s">
        <v>307</v>
      </c>
      <c r="F181" s="33" t="s">
        <v>307</v>
      </c>
      <c r="G181" s="33" t="s">
        <v>307</v>
      </c>
      <c r="H181" s="33" t="s">
        <v>307</v>
      </c>
      <c r="I181" s="33" t="s">
        <v>307</v>
      </c>
      <c r="J181" s="33" t="s">
        <v>307</v>
      </c>
      <c r="K181" s="33" t="s">
        <v>307</v>
      </c>
      <c r="L181" s="33" t="s">
        <v>307</v>
      </c>
      <c r="M181" s="33" t="s">
        <v>307</v>
      </c>
      <c r="N181" s="33" t="s">
        <v>307</v>
      </c>
      <c r="O181" s="33" t="s">
        <v>307</v>
      </c>
      <c r="P181" s="33" t="s">
        <v>307</v>
      </c>
      <c r="Q181" s="33" t="s">
        <v>307</v>
      </c>
      <c r="R181" s="33" t="s">
        <v>307</v>
      </c>
      <c r="S181" s="33" t="s">
        <v>307</v>
      </c>
      <c r="T181" s="148" t="s">
        <v>307</v>
      </c>
      <c r="U181" s="33" t="s">
        <v>307</v>
      </c>
      <c r="V181" s="33" t="s">
        <v>307</v>
      </c>
      <c r="W181" s="33" t="s">
        <v>307</v>
      </c>
      <c r="X181" s="33" t="s">
        <v>307</v>
      </c>
      <c r="Y181" s="33" t="s">
        <v>307</v>
      </c>
      <c r="Z181" s="33" t="s">
        <v>307</v>
      </c>
      <c r="AA181" s="33" t="s">
        <v>307</v>
      </c>
      <c r="AB181" s="33" t="s">
        <v>307</v>
      </c>
      <c r="AC181" s="33" t="s">
        <v>307</v>
      </c>
      <c r="AD181" s="33" t="s">
        <v>307</v>
      </c>
      <c r="AE181" s="33" t="s">
        <v>307</v>
      </c>
      <c r="AF181" s="35">
        <v>1111</v>
      </c>
      <c r="AG181" s="35"/>
      <c r="AH181" s="35">
        <f t="shared" si="52"/>
        <v>412</v>
      </c>
      <c r="AI181" s="35">
        <v>1499</v>
      </c>
      <c r="AJ181" s="35"/>
      <c r="AK181" s="35">
        <f t="shared" si="53"/>
        <v>388</v>
      </c>
      <c r="AL181" s="35">
        <v>329</v>
      </c>
      <c r="AM181" s="35">
        <v>1560</v>
      </c>
      <c r="AN181" s="35">
        <f t="shared" si="54"/>
        <v>390</v>
      </c>
      <c r="AO181" s="6">
        <v>711</v>
      </c>
      <c r="AP181" s="6"/>
      <c r="AQ181" s="35">
        <f t="shared" si="55"/>
        <v>382</v>
      </c>
      <c r="AR181" s="6">
        <v>1103</v>
      </c>
      <c r="AS181" s="6"/>
      <c r="AT181" s="34">
        <f t="shared" si="56"/>
        <v>392</v>
      </c>
      <c r="AU181" s="35">
        <v>1474</v>
      </c>
      <c r="AV181" s="35"/>
      <c r="AW181" s="35">
        <f t="shared" si="57"/>
        <v>371</v>
      </c>
      <c r="AX181" s="6"/>
      <c r="AY181" s="6"/>
      <c r="AZ181" s="35"/>
      <c r="BA181" s="6">
        <v>308</v>
      </c>
      <c r="BB181" s="6">
        <v>1560</v>
      </c>
      <c r="BC181" s="35">
        <f t="shared" si="58"/>
        <v>394</v>
      </c>
      <c r="BD181" s="6">
        <v>699</v>
      </c>
      <c r="BE181" s="35"/>
      <c r="BF181" s="35">
        <f t="shared" si="59"/>
        <v>391</v>
      </c>
      <c r="BG181" s="6">
        <v>1091</v>
      </c>
      <c r="BH181" s="6"/>
      <c r="BI181" s="35">
        <f t="shared" si="60"/>
        <v>392</v>
      </c>
      <c r="BJ181" s="35">
        <v>1484</v>
      </c>
      <c r="BK181" s="6"/>
      <c r="BL181" s="35">
        <f t="shared" si="61"/>
        <v>393</v>
      </c>
      <c r="BM181" s="6">
        <v>311</v>
      </c>
      <c r="BN181" s="6">
        <v>1562</v>
      </c>
      <c r="BO181" s="6">
        <f t="shared" si="62"/>
        <v>389</v>
      </c>
      <c r="BP181" s="6">
        <v>690</v>
      </c>
      <c r="BQ181" s="6"/>
      <c r="BR181" s="6">
        <f t="shared" si="63"/>
        <v>379</v>
      </c>
      <c r="BS181" s="6"/>
      <c r="BT181" s="6"/>
      <c r="BU181" s="35"/>
      <c r="BV181" s="6">
        <v>1088</v>
      </c>
      <c r="BW181" s="6"/>
      <c r="BX181" s="6">
        <f t="shared" si="64"/>
        <v>398</v>
      </c>
      <c r="BY181" s="6">
        <v>1483</v>
      </c>
      <c r="BZ181" s="6"/>
      <c r="CA181" s="35">
        <f t="shared" si="65"/>
        <v>395</v>
      </c>
      <c r="CB181" s="6">
        <v>0</v>
      </c>
      <c r="CC181" s="6">
        <v>1610</v>
      </c>
      <c r="CD181" s="6">
        <f t="shared" si="66"/>
        <v>127</v>
      </c>
      <c r="CE181" s="6">
        <v>0</v>
      </c>
      <c r="CF181" s="6"/>
      <c r="CG181" s="6">
        <f t="shared" si="67"/>
        <v>0</v>
      </c>
      <c r="CH181" s="6">
        <v>0</v>
      </c>
      <c r="CI181" s="6"/>
      <c r="CJ181" s="6">
        <f t="shared" si="68"/>
        <v>0</v>
      </c>
      <c r="CK181" s="6">
        <v>0</v>
      </c>
      <c r="CL181" s="6"/>
      <c r="CM181" s="6">
        <f t="shared" si="69"/>
        <v>0</v>
      </c>
      <c r="CN181" s="6"/>
      <c r="CO181" s="6"/>
      <c r="CP181" s="6"/>
      <c r="CQ181" s="6">
        <v>0</v>
      </c>
      <c r="CR181" s="6"/>
      <c r="CS181" s="6">
        <f t="shared" si="70"/>
        <v>0</v>
      </c>
      <c r="CT181" s="6">
        <v>0</v>
      </c>
      <c r="CU181" s="6"/>
      <c r="CV181" s="6">
        <f t="shared" si="71"/>
        <v>0</v>
      </c>
      <c r="CW181" s="6">
        <v>293</v>
      </c>
      <c r="CX181" s="6"/>
      <c r="CY181" s="6">
        <f t="shared" si="72"/>
        <v>293</v>
      </c>
      <c r="CZ181" s="6">
        <v>688</v>
      </c>
      <c r="DA181" s="6"/>
      <c r="DB181" s="6">
        <f t="shared" si="73"/>
        <v>395</v>
      </c>
      <c r="DC181" s="6">
        <v>1085</v>
      </c>
      <c r="DD181" s="6"/>
      <c r="DE181" s="6">
        <f t="shared" si="74"/>
        <v>397</v>
      </c>
      <c r="DF181" s="6">
        <v>1467</v>
      </c>
      <c r="DG181" s="6"/>
      <c r="DH181" s="6">
        <f t="shared" si="75"/>
        <v>382</v>
      </c>
      <c r="DI181" s="6"/>
      <c r="DJ181" s="6"/>
      <c r="DK181" s="6"/>
      <c r="DL181" s="6">
        <v>305</v>
      </c>
      <c r="DM181" s="6">
        <v>1560</v>
      </c>
      <c r="DN181" s="6">
        <f t="shared" si="76"/>
        <v>398</v>
      </c>
      <c r="DO181" s="6">
        <v>673</v>
      </c>
      <c r="DP181" s="6"/>
      <c r="DQ181" s="6">
        <f t="shared" si="77"/>
        <v>368</v>
      </c>
    </row>
    <row r="182" spans="1:121">
      <c r="A182" s="6">
        <v>178</v>
      </c>
      <c r="B182" s="6">
        <v>309</v>
      </c>
      <c r="C182" s="6"/>
      <c r="D182" s="6">
        <v>309</v>
      </c>
      <c r="E182" s="148" t="s">
        <v>37</v>
      </c>
      <c r="F182" s="33" t="s">
        <v>37</v>
      </c>
      <c r="G182" s="33" t="s">
        <v>37</v>
      </c>
      <c r="H182" s="33" t="s">
        <v>37</v>
      </c>
      <c r="I182" s="33" t="s">
        <v>37</v>
      </c>
      <c r="J182" s="33" t="s">
        <v>37</v>
      </c>
      <c r="K182" s="33" t="s">
        <v>37</v>
      </c>
      <c r="L182" s="33" t="s">
        <v>37</v>
      </c>
      <c r="M182" s="33" t="s">
        <v>37</v>
      </c>
      <c r="N182" s="33" t="s">
        <v>37</v>
      </c>
      <c r="O182" s="33" t="s">
        <v>37</v>
      </c>
      <c r="P182" s="33" t="s">
        <v>37</v>
      </c>
      <c r="Q182" s="33" t="s">
        <v>37</v>
      </c>
      <c r="R182" s="33" t="s">
        <v>37</v>
      </c>
      <c r="S182" s="33" t="s">
        <v>37</v>
      </c>
      <c r="T182" s="33" t="s">
        <v>37</v>
      </c>
      <c r="U182" s="33" t="s">
        <v>37</v>
      </c>
      <c r="V182" s="33" t="s">
        <v>37</v>
      </c>
      <c r="W182" s="33" t="s">
        <v>37</v>
      </c>
      <c r="X182" s="33" t="s">
        <v>37</v>
      </c>
      <c r="Y182" s="33" t="s">
        <v>37</v>
      </c>
      <c r="Z182" s="148" t="s">
        <v>37</v>
      </c>
      <c r="AA182" s="33" t="s">
        <v>37</v>
      </c>
      <c r="AB182" s="33" t="s">
        <v>37</v>
      </c>
      <c r="AC182" s="33" t="s">
        <v>37</v>
      </c>
      <c r="AD182" s="33" t="s">
        <v>37</v>
      </c>
      <c r="AE182" s="33" t="s">
        <v>37</v>
      </c>
      <c r="AF182" s="6">
        <v>720</v>
      </c>
      <c r="AG182" s="6"/>
      <c r="AH182" s="35">
        <f t="shared" si="52"/>
        <v>411</v>
      </c>
      <c r="AI182" s="6">
        <v>2</v>
      </c>
      <c r="AJ182" s="6">
        <v>1085</v>
      </c>
      <c r="AK182" s="35">
        <f t="shared" si="53"/>
        <v>367</v>
      </c>
      <c r="AL182" s="35">
        <v>388</v>
      </c>
      <c r="AM182" s="35"/>
      <c r="AN182" s="35">
        <f t="shared" si="54"/>
        <v>386</v>
      </c>
      <c r="AO182" s="6">
        <v>762</v>
      </c>
      <c r="AP182" s="6"/>
      <c r="AQ182" s="35">
        <f t="shared" si="55"/>
        <v>374</v>
      </c>
      <c r="AR182" s="6">
        <v>1136</v>
      </c>
      <c r="AS182" s="6"/>
      <c r="AT182" s="34">
        <f t="shared" si="56"/>
        <v>374</v>
      </c>
      <c r="AU182" s="35">
        <v>313</v>
      </c>
      <c r="AV182" s="35">
        <v>1183</v>
      </c>
      <c r="AW182" s="35">
        <f t="shared" si="57"/>
        <v>360</v>
      </c>
      <c r="AX182" s="6"/>
      <c r="AY182" s="6"/>
      <c r="AZ182" s="35"/>
      <c r="BA182" s="6">
        <v>678</v>
      </c>
      <c r="BB182" s="6"/>
      <c r="BC182" s="35">
        <f t="shared" si="58"/>
        <v>365</v>
      </c>
      <c r="BD182" s="35">
        <v>1055</v>
      </c>
      <c r="BE182" s="35"/>
      <c r="BF182" s="35">
        <f t="shared" si="59"/>
        <v>377</v>
      </c>
      <c r="BG182" s="6">
        <v>1425</v>
      </c>
      <c r="BH182" s="6"/>
      <c r="BI182" s="35">
        <f t="shared" si="60"/>
        <v>370</v>
      </c>
      <c r="BJ182" s="35">
        <v>233</v>
      </c>
      <c r="BK182" s="6">
        <v>1560</v>
      </c>
      <c r="BL182" s="35">
        <f t="shared" si="61"/>
        <v>368</v>
      </c>
      <c r="BM182" s="6">
        <v>611</v>
      </c>
      <c r="BN182" s="6"/>
      <c r="BO182" s="6">
        <f t="shared" si="62"/>
        <v>378</v>
      </c>
      <c r="BP182" s="6">
        <v>7</v>
      </c>
      <c r="BQ182" s="6">
        <v>950</v>
      </c>
      <c r="BR182" s="6">
        <f t="shared" si="63"/>
        <v>346</v>
      </c>
      <c r="BS182" s="6"/>
      <c r="BT182" s="6"/>
      <c r="BU182" s="35"/>
      <c r="BV182" s="6">
        <v>387</v>
      </c>
      <c r="BW182" s="6"/>
      <c r="BX182" s="6">
        <f t="shared" si="64"/>
        <v>380</v>
      </c>
      <c r="BY182" s="6">
        <v>765</v>
      </c>
      <c r="BZ182" s="6"/>
      <c r="CA182" s="35">
        <f t="shared" si="65"/>
        <v>378</v>
      </c>
      <c r="CB182" s="6">
        <v>1148</v>
      </c>
      <c r="CC182" s="6"/>
      <c r="CD182" s="6">
        <f t="shared" si="66"/>
        <v>383</v>
      </c>
      <c r="CE182" s="6">
        <v>1533</v>
      </c>
      <c r="CF182" s="6"/>
      <c r="CG182" s="6">
        <f t="shared" si="67"/>
        <v>385</v>
      </c>
      <c r="CH182" s="6">
        <v>354</v>
      </c>
      <c r="CI182" s="6">
        <v>1560</v>
      </c>
      <c r="CJ182" s="6">
        <f t="shared" si="68"/>
        <v>381</v>
      </c>
      <c r="CK182" s="6">
        <v>731</v>
      </c>
      <c r="CL182" s="6"/>
      <c r="CM182" s="6">
        <f t="shared" si="69"/>
        <v>377</v>
      </c>
      <c r="CN182" s="6"/>
      <c r="CO182" s="6"/>
      <c r="CP182" s="6"/>
      <c r="CQ182" s="6">
        <v>1124</v>
      </c>
      <c r="CR182" s="6"/>
      <c r="CS182" s="6">
        <f t="shared" si="70"/>
        <v>393</v>
      </c>
      <c r="CT182" s="6">
        <v>1492</v>
      </c>
      <c r="CU182" s="6"/>
      <c r="CV182" s="6">
        <f t="shared" si="71"/>
        <v>368</v>
      </c>
      <c r="CW182" s="6">
        <v>342</v>
      </c>
      <c r="CX182" s="6">
        <v>1520</v>
      </c>
      <c r="CY182" s="6">
        <f t="shared" si="72"/>
        <v>370</v>
      </c>
      <c r="CZ182" s="6">
        <v>730</v>
      </c>
      <c r="DA182" s="6"/>
      <c r="DB182" s="6">
        <f t="shared" si="73"/>
        <v>388</v>
      </c>
      <c r="DC182" s="6">
        <v>1118</v>
      </c>
      <c r="DD182" s="6"/>
      <c r="DE182" s="6">
        <f t="shared" si="74"/>
        <v>388</v>
      </c>
      <c r="DF182" s="6">
        <v>1490</v>
      </c>
      <c r="DG182" s="6"/>
      <c r="DH182" s="6">
        <f t="shared" si="75"/>
        <v>372</v>
      </c>
      <c r="DI182" s="35"/>
      <c r="DJ182" s="6"/>
      <c r="DK182" s="6"/>
      <c r="DL182" s="35">
        <v>322</v>
      </c>
      <c r="DM182" s="6">
        <v>1560</v>
      </c>
      <c r="DN182" s="6">
        <f t="shared" si="76"/>
        <v>392</v>
      </c>
      <c r="DO182" s="35">
        <v>682</v>
      </c>
      <c r="DP182" s="6"/>
      <c r="DQ182" s="6">
        <f t="shared" si="77"/>
        <v>360</v>
      </c>
    </row>
    <row r="183" spans="1:121">
      <c r="A183" s="6">
        <v>179</v>
      </c>
      <c r="B183" s="6">
        <v>309</v>
      </c>
      <c r="C183" s="6"/>
      <c r="D183" s="6">
        <v>309</v>
      </c>
      <c r="E183" s="148" t="s">
        <v>37</v>
      </c>
      <c r="F183" s="33" t="s">
        <v>37</v>
      </c>
      <c r="G183" s="33" t="s">
        <v>37</v>
      </c>
      <c r="H183" s="33" t="s">
        <v>37</v>
      </c>
      <c r="I183" s="33" t="s">
        <v>37</v>
      </c>
      <c r="J183" s="33" t="s">
        <v>37</v>
      </c>
      <c r="K183" s="33" t="s">
        <v>37</v>
      </c>
      <c r="L183" s="33" t="s">
        <v>37</v>
      </c>
      <c r="M183" s="33" t="s">
        <v>37</v>
      </c>
      <c r="N183" s="33" t="s">
        <v>37</v>
      </c>
      <c r="O183" s="33" t="s">
        <v>37</v>
      </c>
      <c r="P183" s="33" t="s">
        <v>37</v>
      </c>
      <c r="Q183" s="33" t="s">
        <v>37</v>
      </c>
      <c r="R183" s="33" t="s">
        <v>37</v>
      </c>
      <c r="S183" s="33" t="s">
        <v>37</v>
      </c>
      <c r="T183" s="33" t="s">
        <v>37</v>
      </c>
      <c r="U183" s="33" t="s">
        <v>37</v>
      </c>
      <c r="V183" s="33" t="s">
        <v>37</v>
      </c>
      <c r="W183" s="33" t="s">
        <v>37</v>
      </c>
      <c r="X183" s="33" t="s">
        <v>37</v>
      </c>
      <c r="Y183" s="33" t="s">
        <v>37</v>
      </c>
      <c r="Z183" s="33" t="s">
        <v>37</v>
      </c>
      <c r="AA183" s="148" t="s">
        <v>307</v>
      </c>
      <c r="AB183" s="33" t="s">
        <v>307</v>
      </c>
      <c r="AC183" s="33" t="s">
        <v>307</v>
      </c>
      <c r="AD183" s="33" t="s">
        <v>307</v>
      </c>
      <c r="AE183" s="33" t="s">
        <v>307</v>
      </c>
      <c r="AF183" s="6">
        <v>720</v>
      </c>
      <c r="AG183" s="6"/>
      <c r="AH183" s="35">
        <f t="shared" si="52"/>
        <v>411</v>
      </c>
      <c r="AI183" s="6">
        <v>1091</v>
      </c>
      <c r="AJ183" s="6"/>
      <c r="AK183" s="35">
        <f t="shared" si="53"/>
        <v>371</v>
      </c>
      <c r="AL183" s="35">
        <v>1477</v>
      </c>
      <c r="AM183" s="35"/>
      <c r="AN183" s="35">
        <f t="shared" si="54"/>
        <v>386</v>
      </c>
      <c r="AO183" s="6">
        <v>355</v>
      </c>
      <c r="AP183" s="6">
        <v>1498</v>
      </c>
      <c r="AQ183" s="35">
        <f t="shared" si="55"/>
        <v>376</v>
      </c>
      <c r="AR183" s="6">
        <v>735</v>
      </c>
      <c r="AS183" s="6"/>
      <c r="AT183" s="34">
        <f t="shared" si="56"/>
        <v>380</v>
      </c>
      <c r="AU183" s="35">
        <v>1101</v>
      </c>
      <c r="AV183" s="35"/>
      <c r="AW183" s="35">
        <f t="shared" si="57"/>
        <v>366</v>
      </c>
      <c r="AX183" s="6"/>
      <c r="AY183" s="6"/>
      <c r="AZ183" s="35"/>
      <c r="BA183" s="6">
        <v>1481</v>
      </c>
      <c r="BB183" s="6"/>
      <c r="BC183" s="35">
        <f t="shared" si="58"/>
        <v>380</v>
      </c>
      <c r="BD183" s="35">
        <v>291</v>
      </c>
      <c r="BE183" s="6">
        <v>1560</v>
      </c>
      <c r="BF183" s="35">
        <f t="shared" si="59"/>
        <v>370</v>
      </c>
      <c r="BG183" s="35">
        <v>252</v>
      </c>
      <c r="BH183" s="6">
        <v>413</v>
      </c>
      <c r="BI183" s="35">
        <f t="shared" si="60"/>
        <v>374</v>
      </c>
      <c r="BJ183" s="35">
        <v>633</v>
      </c>
      <c r="BK183" s="6"/>
      <c r="BL183" s="35">
        <f t="shared" si="61"/>
        <v>381</v>
      </c>
      <c r="BM183" s="6">
        <v>994</v>
      </c>
      <c r="BN183" s="6"/>
      <c r="BO183" s="6">
        <f t="shared" si="62"/>
        <v>361</v>
      </c>
      <c r="BP183" s="6">
        <v>1343</v>
      </c>
      <c r="BQ183" s="6"/>
      <c r="BR183" s="6">
        <f t="shared" si="63"/>
        <v>349</v>
      </c>
      <c r="BS183" s="6"/>
      <c r="BT183" s="6"/>
      <c r="BU183" s="35"/>
      <c r="BV183" s="6">
        <v>141</v>
      </c>
      <c r="BW183" s="6">
        <v>1560</v>
      </c>
      <c r="BX183" s="6">
        <f t="shared" si="64"/>
        <v>358</v>
      </c>
      <c r="BY183" s="6">
        <v>494</v>
      </c>
      <c r="BZ183" s="6"/>
      <c r="CA183" s="35">
        <f t="shared" si="65"/>
        <v>353</v>
      </c>
      <c r="CB183" s="6">
        <v>872</v>
      </c>
      <c r="CC183" s="6"/>
      <c r="CD183" s="6">
        <f t="shared" si="66"/>
        <v>378</v>
      </c>
      <c r="CE183" s="6">
        <v>182</v>
      </c>
      <c r="CF183" s="6">
        <v>1052</v>
      </c>
      <c r="CG183" s="6">
        <f t="shared" si="67"/>
        <v>362</v>
      </c>
      <c r="CH183" s="6">
        <v>543</v>
      </c>
      <c r="CI183" s="6"/>
      <c r="CJ183" s="6">
        <f t="shared" si="68"/>
        <v>361</v>
      </c>
      <c r="CK183" s="6">
        <v>20</v>
      </c>
      <c r="CL183" s="6">
        <v>853</v>
      </c>
      <c r="CM183" s="6">
        <f t="shared" si="69"/>
        <v>330</v>
      </c>
      <c r="CN183" s="6"/>
      <c r="CO183" s="6"/>
      <c r="CP183" s="6"/>
      <c r="CQ183" s="6">
        <v>356</v>
      </c>
      <c r="CR183" s="6"/>
      <c r="CS183" s="6">
        <f t="shared" si="70"/>
        <v>336</v>
      </c>
      <c r="CT183" s="6">
        <v>699</v>
      </c>
      <c r="CU183" s="6"/>
      <c r="CV183" s="6">
        <f t="shared" si="71"/>
        <v>343</v>
      </c>
      <c r="CW183" s="6">
        <v>0</v>
      </c>
      <c r="CX183" s="6">
        <v>886</v>
      </c>
      <c r="CY183" s="6">
        <f t="shared" si="72"/>
        <v>187</v>
      </c>
      <c r="CZ183" s="6">
        <v>365</v>
      </c>
      <c r="DA183" s="6"/>
      <c r="DB183" s="6">
        <f t="shared" si="73"/>
        <v>365</v>
      </c>
      <c r="DC183" s="6">
        <v>756</v>
      </c>
      <c r="DD183" s="6"/>
      <c r="DE183" s="6">
        <f t="shared" si="74"/>
        <v>391</v>
      </c>
      <c r="DF183" s="6">
        <v>289</v>
      </c>
      <c r="DG183" s="6">
        <v>840</v>
      </c>
      <c r="DH183" s="6">
        <f t="shared" si="75"/>
        <v>373</v>
      </c>
      <c r="DI183" s="6"/>
      <c r="DJ183" s="6"/>
      <c r="DK183" s="6"/>
      <c r="DL183" s="6">
        <v>677</v>
      </c>
      <c r="DM183" s="6"/>
      <c r="DN183" s="6">
        <f t="shared" si="76"/>
        <v>388</v>
      </c>
      <c r="DO183" s="6">
        <v>1037</v>
      </c>
      <c r="DP183" s="6"/>
      <c r="DQ183" s="6">
        <f t="shared" si="77"/>
        <v>360</v>
      </c>
    </row>
    <row r="184" spans="1:121">
      <c r="A184" s="6">
        <v>180</v>
      </c>
      <c r="B184" s="6">
        <v>1538</v>
      </c>
      <c r="C184" s="6"/>
      <c r="D184" s="6">
        <v>339</v>
      </c>
      <c r="E184" s="33" t="s">
        <v>37</v>
      </c>
      <c r="F184" s="148" t="s">
        <v>37</v>
      </c>
      <c r="G184" s="33" t="s">
        <v>37</v>
      </c>
      <c r="H184" s="33" t="s">
        <v>37</v>
      </c>
      <c r="I184" s="33" t="s">
        <v>37</v>
      </c>
      <c r="J184" s="33" t="s">
        <v>37</v>
      </c>
      <c r="K184" s="33" t="s">
        <v>37</v>
      </c>
      <c r="L184" s="33" t="s">
        <v>37</v>
      </c>
      <c r="M184" s="33" t="s">
        <v>37</v>
      </c>
      <c r="N184" s="33" t="s">
        <v>37</v>
      </c>
      <c r="O184" s="33" t="s">
        <v>37</v>
      </c>
      <c r="P184" s="33" t="s">
        <v>37</v>
      </c>
      <c r="Q184" s="33" t="s">
        <v>37</v>
      </c>
      <c r="R184" s="33" t="s">
        <v>37</v>
      </c>
      <c r="S184" s="33" t="s">
        <v>37</v>
      </c>
      <c r="T184" s="33" t="s">
        <v>37</v>
      </c>
      <c r="U184" s="33" t="s">
        <v>37</v>
      </c>
      <c r="V184" s="33" t="s">
        <v>37</v>
      </c>
      <c r="W184" s="33" t="s">
        <v>37</v>
      </c>
      <c r="X184" s="33" t="s">
        <v>37</v>
      </c>
      <c r="Y184" s="33" t="s">
        <v>37</v>
      </c>
      <c r="Z184" s="33" t="s">
        <v>37</v>
      </c>
      <c r="AA184" s="148" t="s">
        <v>37</v>
      </c>
      <c r="AB184" s="33" t="s">
        <v>37</v>
      </c>
      <c r="AC184" s="33" t="s">
        <v>37</v>
      </c>
      <c r="AD184" s="33" t="s">
        <v>37</v>
      </c>
      <c r="AE184" s="33" t="s">
        <v>37</v>
      </c>
      <c r="AF184" s="6">
        <v>326</v>
      </c>
      <c r="AG184" s="6">
        <v>1553</v>
      </c>
      <c r="AH184" s="35">
        <f t="shared" si="52"/>
        <v>341</v>
      </c>
      <c r="AI184" s="6">
        <v>690</v>
      </c>
      <c r="AJ184" s="6"/>
      <c r="AK184" s="35">
        <f t="shared" si="53"/>
        <v>364</v>
      </c>
      <c r="AL184" s="35">
        <v>1063</v>
      </c>
      <c r="AM184" s="35"/>
      <c r="AN184" s="35">
        <f t="shared" si="54"/>
        <v>373</v>
      </c>
      <c r="AO184" s="6">
        <v>1416</v>
      </c>
      <c r="AP184" s="6"/>
      <c r="AQ184" s="35">
        <f t="shared" si="55"/>
        <v>353</v>
      </c>
      <c r="AR184" s="6">
        <v>369</v>
      </c>
      <c r="AS184" s="6">
        <v>1425</v>
      </c>
      <c r="AT184" s="34">
        <f t="shared" si="56"/>
        <v>378</v>
      </c>
      <c r="AU184" s="35">
        <v>727</v>
      </c>
      <c r="AV184" s="35"/>
      <c r="AW184" s="35">
        <f t="shared" si="57"/>
        <v>358</v>
      </c>
      <c r="AX184" s="6"/>
      <c r="AY184" s="6"/>
      <c r="AZ184" s="35"/>
      <c r="BA184" s="6">
        <v>1097</v>
      </c>
      <c r="BB184" s="6"/>
      <c r="BC184" s="35">
        <f t="shared" si="58"/>
        <v>370</v>
      </c>
      <c r="BD184" s="6">
        <v>1472</v>
      </c>
      <c r="BE184" s="35"/>
      <c r="BF184" s="35">
        <f t="shared" si="59"/>
        <v>375</v>
      </c>
      <c r="BG184" s="6">
        <v>305</v>
      </c>
      <c r="BH184" s="6">
        <v>1533</v>
      </c>
      <c r="BI184" s="35">
        <f t="shared" si="60"/>
        <v>366</v>
      </c>
      <c r="BJ184" s="35">
        <v>681</v>
      </c>
      <c r="BK184" s="6"/>
      <c r="BL184" s="35">
        <f t="shared" si="61"/>
        <v>376</v>
      </c>
      <c r="BM184" s="6">
        <v>1054</v>
      </c>
      <c r="BN184" s="6"/>
      <c r="BO184" s="6">
        <f t="shared" si="62"/>
        <v>373</v>
      </c>
      <c r="BP184" s="6">
        <v>1417</v>
      </c>
      <c r="BQ184" s="6"/>
      <c r="BR184" s="6">
        <f t="shared" si="63"/>
        <v>363</v>
      </c>
      <c r="BS184" s="6"/>
      <c r="BT184" s="6"/>
      <c r="BU184" s="35"/>
      <c r="BV184" s="35">
        <v>241</v>
      </c>
      <c r="BW184" s="6">
        <v>1560</v>
      </c>
      <c r="BX184" s="6">
        <f t="shared" si="64"/>
        <v>384</v>
      </c>
      <c r="BY184" s="6">
        <v>619</v>
      </c>
      <c r="BZ184" s="6"/>
      <c r="CA184" s="35">
        <f t="shared" si="65"/>
        <v>378</v>
      </c>
      <c r="CB184" s="6">
        <v>999</v>
      </c>
      <c r="CC184" s="6"/>
      <c r="CD184" s="6">
        <f t="shared" si="66"/>
        <v>380</v>
      </c>
      <c r="CE184" s="6">
        <v>1377</v>
      </c>
      <c r="CF184" s="6"/>
      <c r="CG184" s="6">
        <f t="shared" si="67"/>
        <v>378</v>
      </c>
      <c r="CH184" s="6">
        <v>195</v>
      </c>
      <c r="CI184" s="6">
        <v>1560</v>
      </c>
      <c r="CJ184" s="6">
        <f t="shared" si="68"/>
        <v>378</v>
      </c>
      <c r="CK184" s="6">
        <v>561</v>
      </c>
      <c r="CL184" s="6"/>
      <c r="CM184" s="6">
        <f t="shared" si="69"/>
        <v>366</v>
      </c>
      <c r="CN184" s="6"/>
      <c r="CO184" s="6"/>
      <c r="CP184" s="6"/>
      <c r="CQ184" s="6">
        <v>946</v>
      </c>
      <c r="CR184" s="6"/>
      <c r="CS184" s="6">
        <f t="shared" si="70"/>
        <v>385</v>
      </c>
      <c r="CT184" s="6">
        <v>1313</v>
      </c>
      <c r="CU184" s="6"/>
      <c r="CV184" s="6">
        <f t="shared" si="71"/>
        <v>367</v>
      </c>
      <c r="CW184" s="6">
        <v>1691</v>
      </c>
      <c r="CX184" s="6"/>
      <c r="CY184" s="6">
        <f t="shared" si="72"/>
        <v>378</v>
      </c>
      <c r="CZ184" s="6">
        <v>270</v>
      </c>
      <c r="DA184" s="6">
        <v>1791</v>
      </c>
      <c r="DB184" s="6">
        <f t="shared" si="73"/>
        <v>370</v>
      </c>
      <c r="DC184" s="6">
        <v>651</v>
      </c>
      <c r="DD184" s="6"/>
      <c r="DE184" s="6">
        <f t="shared" si="74"/>
        <v>381</v>
      </c>
      <c r="DF184" s="6">
        <v>1015</v>
      </c>
      <c r="DG184" s="6"/>
      <c r="DH184" s="6">
        <f t="shared" si="75"/>
        <v>364</v>
      </c>
      <c r="DI184" s="6"/>
      <c r="DJ184" s="6"/>
      <c r="DK184" s="6"/>
      <c r="DL184" s="6">
        <v>158</v>
      </c>
      <c r="DM184" s="6">
        <v>1242</v>
      </c>
      <c r="DN184" s="6">
        <f t="shared" si="76"/>
        <v>385</v>
      </c>
      <c r="DO184" s="6">
        <v>510</v>
      </c>
      <c r="DP184" s="6"/>
      <c r="DQ184" s="6">
        <f t="shared" si="77"/>
        <v>352</v>
      </c>
    </row>
    <row r="185" spans="1:121">
      <c r="A185" s="6">
        <v>181</v>
      </c>
      <c r="B185" s="6">
        <v>110</v>
      </c>
      <c r="C185" s="6">
        <v>1000</v>
      </c>
      <c r="D185" s="6">
        <v>366</v>
      </c>
      <c r="E185" s="33" t="s">
        <v>102</v>
      </c>
      <c r="F185" s="33" t="s">
        <v>102</v>
      </c>
      <c r="G185" s="33" t="s">
        <v>102</v>
      </c>
      <c r="H185" s="33" t="s">
        <v>102</v>
      </c>
      <c r="I185" s="33" t="s">
        <v>102</v>
      </c>
      <c r="J185" s="33" t="s">
        <v>102</v>
      </c>
      <c r="K185" s="33" t="s">
        <v>102</v>
      </c>
      <c r="L185" s="33" t="s">
        <v>102</v>
      </c>
      <c r="M185" s="33" t="s">
        <v>102</v>
      </c>
      <c r="N185" s="33" t="s">
        <v>102</v>
      </c>
      <c r="O185" s="33" t="s">
        <v>102</v>
      </c>
      <c r="P185" s="33" t="s">
        <v>102</v>
      </c>
      <c r="Q185" s="33"/>
      <c r="R185" s="33"/>
      <c r="S185" s="33"/>
      <c r="T185" s="33"/>
      <c r="U185" s="33"/>
      <c r="V185" s="148" t="s">
        <v>132</v>
      </c>
      <c r="W185" s="33" t="s">
        <v>132</v>
      </c>
      <c r="X185" s="33" t="s">
        <v>132</v>
      </c>
      <c r="Y185" s="33" t="s">
        <v>132</v>
      </c>
      <c r="Z185" s="33" t="s">
        <v>132</v>
      </c>
      <c r="AA185" s="33" t="s">
        <v>132</v>
      </c>
      <c r="AB185" s="33" t="s">
        <v>132</v>
      </c>
      <c r="AC185" s="33" t="s">
        <v>132</v>
      </c>
      <c r="AD185" s="33" t="s">
        <v>132</v>
      </c>
      <c r="AE185" s="33" t="s">
        <v>132</v>
      </c>
      <c r="AF185" s="35">
        <v>523</v>
      </c>
      <c r="AG185" s="35"/>
      <c r="AH185" s="35">
        <f t="shared" si="52"/>
        <v>413</v>
      </c>
      <c r="AI185" s="35">
        <v>883</v>
      </c>
      <c r="AJ185" s="35"/>
      <c r="AK185" s="35">
        <f t="shared" si="53"/>
        <v>360</v>
      </c>
      <c r="AL185" s="35">
        <v>265</v>
      </c>
      <c r="AM185" s="35">
        <v>1000</v>
      </c>
      <c r="AN185" s="35">
        <f t="shared" si="54"/>
        <v>382</v>
      </c>
      <c r="AO185" s="6">
        <v>628</v>
      </c>
      <c r="AP185" s="6"/>
      <c r="AQ185" s="35">
        <f t="shared" si="55"/>
        <v>363</v>
      </c>
      <c r="AR185" s="6">
        <v>22</v>
      </c>
      <c r="AS185" s="6">
        <v>1000</v>
      </c>
      <c r="AT185" s="34">
        <f t="shared" si="56"/>
        <v>394</v>
      </c>
      <c r="AU185" s="35">
        <v>403</v>
      </c>
      <c r="AV185" s="35"/>
      <c r="AW185" s="35">
        <f t="shared" si="57"/>
        <v>381</v>
      </c>
      <c r="AX185" s="6"/>
      <c r="AY185" s="6"/>
      <c r="AZ185" s="35"/>
      <c r="BA185" s="6">
        <v>171</v>
      </c>
      <c r="BB185" s="6">
        <v>641</v>
      </c>
      <c r="BC185" s="35">
        <f>BB185+BA185-AU185</f>
        <v>409</v>
      </c>
      <c r="BD185" s="35">
        <v>530</v>
      </c>
      <c r="BE185" s="35"/>
      <c r="BF185" s="35">
        <f t="shared" si="59"/>
        <v>359</v>
      </c>
      <c r="BG185" s="6">
        <v>352</v>
      </c>
      <c r="BH185" s="6">
        <v>552</v>
      </c>
      <c r="BI185" s="35">
        <f t="shared" si="60"/>
        <v>374</v>
      </c>
      <c r="BJ185" s="35">
        <v>748</v>
      </c>
      <c r="BK185" s="6"/>
      <c r="BL185" s="35">
        <f t="shared" si="61"/>
        <v>396</v>
      </c>
      <c r="BM185" s="6">
        <v>0</v>
      </c>
      <c r="BN185" s="6">
        <v>1065</v>
      </c>
      <c r="BO185" s="6">
        <f t="shared" si="62"/>
        <v>317</v>
      </c>
      <c r="BP185" s="6"/>
      <c r="BQ185" s="6"/>
      <c r="BR185" s="6"/>
      <c r="BS185" s="6"/>
      <c r="BT185" s="6"/>
      <c r="BU185" s="35"/>
      <c r="BV185" s="6"/>
      <c r="BW185" s="6"/>
      <c r="BX185" s="6"/>
      <c r="BY185" s="6"/>
      <c r="BZ185" s="6"/>
      <c r="CA185" s="35"/>
      <c r="CB185" s="6"/>
      <c r="CC185" s="6"/>
      <c r="CD185" s="6"/>
      <c r="CE185" s="6"/>
      <c r="CF185" s="6"/>
      <c r="CG185" s="6"/>
      <c r="CH185" s="6">
        <v>273</v>
      </c>
      <c r="CI185" s="6"/>
      <c r="CJ185" s="6">
        <f t="shared" si="68"/>
        <v>273</v>
      </c>
      <c r="CK185" s="6">
        <v>689</v>
      </c>
      <c r="CL185" s="6"/>
      <c r="CM185" s="6">
        <f t="shared" si="69"/>
        <v>416</v>
      </c>
      <c r="CN185" s="6"/>
      <c r="CO185" s="6"/>
      <c r="CP185" s="6"/>
      <c r="CQ185" s="6">
        <v>1093</v>
      </c>
      <c r="CR185" s="6"/>
      <c r="CS185" s="6">
        <f t="shared" si="70"/>
        <v>404</v>
      </c>
      <c r="CT185" s="6">
        <v>308</v>
      </c>
      <c r="CU185" s="6">
        <v>1200</v>
      </c>
      <c r="CV185" s="6">
        <f t="shared" si="71"/>
        <v>415</v>
      </c>
      <c r="CW185" s="6">
        <v>727</v>
      </c>
      <c r="CX185" s="6"/>
      <c r="CY185" s="6">
        <f t="shared" si="72"/>
        <v>419</v>
      </c>
      <c r="CZ185" s="6">
        <v>1148</v>
      </c>
      <c r="DA185" s="6"/>
      <c r="DB185" s="6">
        <f t="shared" si="73"/>
        <v>421</v>
      </c>
      <c r="DC185" s="6">
        <v>351</v>
      </c>
      <c r="DD185" s="6">
        <v>1200</v>
      </c>
      <c r="DE185" s="6">
        <f t="shared" si="74"/>
        <v>403</v>
      </c>
      <c r="DF185" s="6">
        <v>742</v>
      </c>
      <c r="DG185" s="6"/>
      <c r="DH185" s="6">
        <f t="shared" si="75"/>
        <v>391</v>
      </c>
      <c r="DI185" s="6"/>
      <c r="DJ185" s="6"/>
      <c r="DK185" s="6"/>
      <c r="DL185" s="6">
        <v>1147</v>
      </c>
      <c r="DM185" s="6"/>
      <c r="DN185" s="6">
        <f t="shared" si="76"/>
        <v>405</v>
      </c>
      <c r="DO185" s="6">
        <v>321</v>
      </c>
      <c r="DP185" s="6">
        <v>1202</v>
      </c>
      <c r="DQ185" s="6">
        <f t="shared" si="77"/>
        <v>376</v>
      </c>
    </row>
    <row r="186" spans="1:121">
      <c r="A186" s="6">
        <v>182</v>
      </c>
      <c r="B186" s="6">
        <v>32</v>
      </c>
      <c r="C186" s="6">
        <v>532</v>
      </c>
      <c r="D186" s="6">
        <v>350</v>
      </c>
      <c r="E186" s="33" t="s">
        <v>102</v>
      </c>
      <c r="F186" s="33" t="s">
        <v>102</v>
      </c>
      <c r="G186" s="33" t="s">
        <v>102</v>
      </c>
      <c r="H186" s="33" t="s">
        <v>102</v>
      </c>
      <c r="I186" s="33" t="s">
        <v>102</v>
      </c>
      <c r="J186" s="33" t="s">
        <v>102</v>
      </c>
      <c r="K186" s="33" t="s">
        <v>102</v>
      </c>
      <c r="L186" s="33" t="s">
        <v>102</v>
      </c>
      <c r="M186" s="33" t="s">
        <v>102</v>
      </c>
      <c r="N186" s="33" t="s">
        <v>102</v>
      </c>
      <c r="O186" s="33" t="s">
        <v>102</v>
      </c>
      <c r="P186" s="33" t="s">
        <v>102</v>
      </c>
      <c r="Q186" s="33" t="s">
        <v>102</v>
      </c>
      <c r="R186" s="33"/>
      <c r="S186" s="33"/>
      <c r="T186" s="33"/>
      <c r="U186" s="33"/>
      <c r="V186" s="33"/>
      <c r="W186" s="148" t="s">
        <v>132</v>
      </c>
      <c r="X186" s="33" t="s">
        <v>132</v>
      </c>
      <c r="Y186" s="33" t="s">
        <v>132</v>
      </c>
      <c r="Z186" s="33" t="s">
        <v>132</v>
      </c>
      <c r="AA186" s="33" t="s">
        <v>132</v>
      </c>
      <c r="AB186" s="33" t="s">
        <v>132</v>
      </c>
      <c r="AC186" s="33" t="s">
        <v>132</v>
      </c>
      <c r="AD186" s="33" t="s">
        <v>132</v>
      </c>
      <c r="AE186" s="33" t="s">
        <v>132</v>
      </c>
      <c r="AF186" s="6">
        <v>454</v>
      </c>
      <c r="AG186" s="6"/>
      <c r="AH186" s="35">
        <f t="shared" si="52"/>
        <v>422</v>
      </c>
      <c r="AI186" s="6">
        <v>845</v>
      </c>
      <c r="AJ186" s="6"/>
      <c r="AK186" s="35">
        <f t="shared" si="53"/>
        <v>391</v>
      </c>
      <c r="AL186" s="35">
        <v>243</v>
      </c>
      <c r="AM186" s="35">
        <v>1000</v>
      </c>
      <c r="AN186" s="35">
        <f t="shared" si="54"/>
        <v>398</v>
      </c>
      <c r="AO186" s="6">
        <v>623</v>
      </c>
      <c r="AP186" s="6"/>
      <c r="AQ186" s="35">
        <f t="shared" si="55"/>
        <v>380</v>
      </c>
      <c r="AR186" s="6">
        <v>1</v>
      </c>
      <c r="AS186" s="6">
        <v>1000</v>
      </c>
      <c r="AT186" s="34">
        <f t="shared" si="56"/>
        <v>378</v>
      </c>
      <c r="AU186" s="35">
        <v>351</v>
      </c>
      <c r="AV186" s="35"/>
      <c r="AW186" s="35">
        <f t="shared" si="57"/>
        <v>350</v>
      </c>
      <c r="AX186" s="6"/>
      <c r="AY186" s="6"/>
      <c r="AZ186" s="35"/>
      <c r="BA186" s="6">
        <v>746</v>
      </c>
      <c r="BB186" s="6"/>
      <c r="BC186" s="35">
        <f t="shared" si="58"/>
        <v>395</v>
      </c>
      <c r="BD186" s="35">
        <v>143</v>
      </c>
      <c r="BE186" s="35">
        <v>1000</v>
      </c>
      <c r="BF186" s="35">
        <f t="shared" si="59"/>
        <v>397</v>
      </c>
      <c r="BG186" s="6">
        <v>537</v>
      </c>
      <c r="BH186" s="6"/>
      <c r="BI186" s="35">
        <f t="shared" si="60"/>
        <v>394</v>
      </c>
      <c r="BJ186" s="35">
        <v>925</v>
      </c>
      <c r="BK186" s="6"/>
      <c r="BL186" s="35">
        <f t="shared" si="61"/>
        <v>388</v>
      </c>
      <c r="BM186" s="6">
        <v>308</v>
      </c>
      <c r="BN186" s="6">
        <v>1000</v>
      </c>
      <c r="BO186" s="6">
        <f t="shared" si="62"/>
        <v>383</v>
      </c>
      <c r="BP186" s="6">
        <v>0</v>
      </c>
      <c r="BQ186" s="6">
        <v>499</v>
      </c>
      <c r="BR186" s="6">
        <f t="shared" si="63"/>
        <v>191</v>
      </c>
      <c r="BS186" s="6"/>
      <c r="BT186" s="6"/>
      <c r="BU186" s="35"/>
      <c r="BV186" s="6"/>
      <c r="BW186" s="6"/>
      <c r="BX186" s="6"/>
      <c r="BY186" s="6"/>
      <c r="BZ186" s="6"/>
      <c r="CA186" s="35"/>
      <c r="CB186" s="6"/>
      <c r="CC186" s="6"/>
      <c r="CD186" s="6"/>
      <c r="CE186" s="6"/>
      <c r="CF186" s="6"/>
      <c r="CG186" s="6"/>
      <c r="CH186" s="6"/>
      <c r="CI186" s="6"/>
      <c r="CJ186" s="6"/>
      <c r="CK186" s="6">
        <v>401</v>
      </c>
      <c r="CL186" s="6"/>
      <c r="CM186" s="6">
        <f t="shared" si="69"/>
        <v>401</v>
      </c>
      <c r="CN186" s="6"/>
      <c r="CO186" s="6"/>
      <c r="CP186" s="6"/>
      <c r="CQ186" s="6">
        <v>823</v>
      </c>
      <c r="CR186" s="6"/>
      <c r="CS186" s="6">
        <f t="shared" si="70"/>
        <v>422</v>
      </c>
      <c r="CT186" s="6">
        <v>270</v>
      </c>
      <c r="CU186" s="6">
        <v>964</v>
      </c>
      <c r="CV186" s="6">
        <f t="shared" si="71"/>
        <v>411</v>
      </c>
      <c r="CW186" s="6">
        <v>686</v>
      </c>
      <c r="CX186" s="6"/>
      <c r="CY186" s="6">
        <f t="shared" si="72"/>
        <v>416</v>
      </c>
      <c r="CZ186" s="6">
        <v>1096</v>
      </c>
      <c r="DA186" s="6"/>
      <c r="DB186" s="6">
        <f t="shared" si="73"/>
        <v>410</v>
      </c>
      <c r="DC186" s="6">
        <v>311</v>
      </c>
      <c r="DD186" s="6">
        <v>1200</v>
      </c>
      <c r="DE186" s="6">
        <f t="shared" si="74"/>
        <v>415</v>
      </c>
      <c r="DF186" s="6">
        <v>41</v>
      </c>
      <c r="DG186" s="6">
        <v>654</v>
      </c>
      <c r="DH186" s="6">
        <f t="shared" si="75"/>
        <v>384</v>
      </c>
      <c r="DI186" s="6"/>
      <c r="DJ186" s="6"/>
      <c r="DK186" s="6"/>
      <c r="DL186" s="6">
        <v>59</v>
      </c>
      <c r="DM186" s="6">
        <v>305</v>
      </c>
      <c r="DN186" s="6">
        <f t="shared" si="76"/>
        <v>323</v>
      </c>
      <c r="DO186" s="6">
        <v>443</v>
      </c>
      <c r="DP186" s="6"/>
      <c r="DQ186" s="6">
        <f t="shared" si="77"/>
        <v>384</v>
      </c>
    </row>
    <row r="187" spans="1:121">
      <c r="A187" s="6">
        <v>183</v>
      </c>
      <c r="B187" s="6">
        <v>603</v>
      </c>
      <c r="C187" s="6"/>
      <c r="D187" s="6">
        <v>360</v>
      </c>
      <c r="E187" s="33" t="s">
        <v>102</v>
      </c>
      <c r="F187" s="33" t="s">
        <v>102</v>
      </c>
      <c r="G187" s="33" t="s">
        <v>102</v>
      </c>
      <c r="H187" s="33" t="s">
        <v>102</v>
      </c>
      <c r="I187" s="33" t="s">
        <v>102</v>
      </c>
      <c r="J187" s="33" t="s">
        <v>102</v>
      </c>
      <c r="K187" s="33" t="s">
        <v>102</v>
      </c>
      <c r="L187" s="33" t="s">
        <v>102</v>
      </c>
      <c r="M187" s="33" t="s">
        <v>102</v>
      </c>
      <c r="N187" s="33" t="s">
        <v>102</v>
      </c>
      <c r="O187" s="33" t="s">
        <v>102</v>
      </c>
      <c r="P187" s="33" t="s">
        <v>102</v>
      </c>
      <c r="Q187" s="33" t="s">
        <v>102</v>
      </c>
      <c r="R187" s="33" t="s">
        <v>102</v>
      </c>
      <c r="S187" s="33"/>
      <c r="T187" s="33"/>
      <c r="U187" s="33"/>
      <c r="V187" s="33"/>
      <c r="W187" s="33"/>
      <c r="X187" s="33"/>
      <c r="Y187" s="148" t="s">
        <v>37</v>
      </c>
      <c r="Z187" s="33" t="s">
        <v>37</v>
      </c>
      <c r="AA187" s="33" t="s">
        <v>37</v>
      </c>
      <c r="AB187" s="33" t="s">
        <v>37</v>
      </c>
      <c r="AC187" s="33" t="s">
        <v>37</v>
      </c>
      <c r="AD187" s="33" t="s">
        <v>37</v>
      </c>
      <c r="AE187" s="33" t="s">
        <v>37</v>
      </c>
      <c r="AF187" s="6">
        <v>32</v>
      </c>
      <c r="AG187" s="6">
        <v>1000</v>
      </c>
      <c r="AH187" s="35">
        <f t="shared" si="52"/>
        <v>429</v>
      </c>
      <c r="AI187" s="6">
        <v>442</v>
      </c>
      <c r="AJ187" s="6"/>
      <c r="AK187" s="35">
        <f t="shared" si="53"/>
        <v>410</v>
      </c>
      <c r="AL187" s="35">
        <v>211</v>
      </c>
      <c r="AM187" s="35">
        <v>595</v>
      </c>
      <c r="AN187" s="35">
        <f t="shared" si="54"/>
        <v>364</v>
      </c>
      <c r="AO187" s="6">
        <v>588</v>
      </c>
      <c r="AP187" s="6"/>
      <c r="AQ187" s="35">
        <f t="shared" si="55"/>
        <v>377</v>
      </c>
      <c r="AR187" s="6">
        <v>5</v>
      </c>
      <c r="AS187" s="6">
        <v>1000</v>
      </c>
      <c r="AT187" s="34">
        <f t="shared" si="56"/>
        <v>417</v>
      </c>
      <c r="AU187" s="35">
        <v>386</v>
      </c>
      <c r="AV187" s="35"/>
      <c r="AW187" s="35">
        <f t="shared" si="57"/>
        <v>381</v>
      </c>
      <c r="AX187" s="6"/>
      <c r="AY187" s="6"/>
      <c r="AZ187" s="35"/>
      <c r="BA187" s="6">
        <v>790</v>
      </c>
      <c r="BB187" s="6"/>
      <c r="BC187" s="35">
        <f t="shared" si="58"/>
        <v>404</v>
      </c>
      <c r="BD187" s="35">
        <v>179</v>
      </c>
      <c r="BE187" s="35">
        <v>1000</v>
      </c>
      <c r="BF187" s="35">
        <f t="shared" si="59"/>
        <v>389</v>
      </c>
      <c r="BG187" s="6">
        <v>551</v>
      </c>
      <c r="BH187" s="6"/>
      <c r="BI187" s="35">
        <f t="shared" si="60"/>
        <v>372</v>
      </c>
      <c r="BJ187" s="35">
        <v>913</v>
      </c>
      <c r="BK187" s="6"/>
      <c r="BL187" s="35">
        <f t="shared" si="61"/>
        <v>362</v>
      </c>
      <c r="BM187" s="6">
        <v>315</v>
      </c>
      <c r="BN187" s="6">
        <v>975</v>
      </c>
      <c r="BO187" s="6">
        <f t="shared" si="62"/>
        <v>377</v>
      </c>
      <c r="BP187" s="6">
        <v>666</v>
      </c>
      <c r="BQ187" s="6"/>
      <c r="BR187" s="6">
        <f t="shared" si="63"/>
        <v>351</v>
      </c>
      <c r="BS187" s="6"/>
      <c r="BT187" s="6"/>
      <c r="BU187" s="35"/>
      <c r="BV187" s="6">
        <v>0</v>
      </c>
      <c r="BW187" s="6">
        <v>768</v>
      </c>
      <c r="BX187" s="6">
        <f t="shared" si="64"/>
        <v>102</v>
      </c>
      <c r="BY187" s="6"/>
      <c r="BZ187" s="6"/>
      <c r="CA187" s="35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>
        <v>383</v>
      </c>
      <c r="CU187" s="6"/>
      <c r="CV187" s="6">
        <f t="shared" si="71"/>
        <v>383</v>
      </c>
      <c r="CW187" s="6">
        <v>778</v>
      </c>
      <c r="CX187" s="6"/>
      <c r="CY187" s="6">
        <f t="shared" si="72"/>
        <v>395</v>
      </c>
      <c r="CZ187" s="6">
        <v>1173</v>
      </c>
      <c r="DA187" s="6"/>
      <c r="DB187" s="6">
        <f t="shared" si="73"/>
        <v>395</v>
      </c>
      <c r="DC187" s="6">
        <v>1</v>
      </c>
      <c r="DD187" s="6">
        <v>1560</v>
      </c>
      <c r="DE187" s="6">
        <f t="shared" si="74"/>
        <v>388</v>
      </c>
      <c r="DF187" s="6">
        <v>371</v>
      </c>
      <c r="DG187" s="6"/>
      <c r="DH187" s="6">
        <f t="shared" si="75"/>
        <v>370</v>
      </c>
      <c r="DI187" s="6"/>
      <c r="DJ187" s="6"/>
      <c r="DK187" s="6"/>
      <c r="DL187" s="6">
        <v>768</v>
      </c>
      <c r="DM187" s="6"/>
      <c r="DN187" s="6">
        <f t="shared" si="76"/>
        <v>397</v>
      </c>
      <c r="DO187" s="6">
        <v>1130</v>
      </c>
      <c r="DP187" s="6"/>
      <c r="DQ187" s="6">
        <f t="shared" si="77"/>
        <v>362</v>
      </c>
    </row>
    <row r="188" spans="1:121">
      <c r="A188" s="6">
        <v>184</v>
      </c>
      <c r="B188" s="6">
        <v>660</v>
      </c>
      <c r="C188" s="6"/>
      <c r="D188" s="6">
        <v>366</v>
      </c>
      <c r="E188" s="33" t="s">
        <v>102</v>
      </c>
      <c r="F188" s="33" t="s">
        <v>102</v>
      </c>
      <c r="G188" s="33" t="s">
        <v>102</v>
      </c>
      <c r="H188" s="33" t="s">
        <v>102</v>
      </c>
      <c r="I188" s="33" t="s">
        <v>102</v>
      </c>
      <c r="J188" s="33" t="s">
        <v>102</v>
      </c>
      <c r="K188" s="33" t="s">
        <v>102</v>
      </c>
      <c r="L188" s="33" t="s">
        <v>102</v>
      </c>
      <c r="M188" s="33" t="s">
        <v>102</v>
      </c>
      <c r="N188" s="33" t="s">
        <v>102</v>
      </c>
      <c r="O188" s="148" t="s">
        <v>37</v>
      </c>
      <c r="P188" s="33" t="s">
        <v>37</v>
      </c>
      <c r="Q188" s="33" t="s">
        <v>37</v>
      </c>
      <c r="R188" s="33" t="s">
        <v>37</v>
      </c>
      <c r="S188" s="33" t="s">
        <v>37</v>
      </c>
      <c r="T188" s="33" t="s">
        <v>37</v>
      </c>
      <c r="U188" s="33" t="s">
        <v>37</v>
      </c>
      <c r="V188" s="33" t="s">
        <v>37</v>
      </c>
      <c r="W188" s="33" t="s">
        <v>37</v>
      </c>
      <c r="X188" s="33" t="s">
        <v>37</v>
      </c>
      <c r="Y188" s="33" t="s">
        <v>37</v>
      </c>
      <c r="Z188" s="33" t="s">
        <v>37</v>
      </c>
      <c r="AA188" s="33" t="s">
        <v>37</v>
      </c>
      <c r="AB188" s="33" t="s">
        <v>37</v>
      </c>
      <c r="AC188" s="33" t="s">
        <v>37</v>
      </c>
      <c r="AD188" s="33" t="s">
        <v>37</v>
      </c>
      <c r="AE188" s="33" t="s">
        <v>37</v>
      </c>
      <c r="AF188" s="6">
        <v>87</v>
      </c>
      <c r="AG188" s="6">
        <v>936</v>
      </c>
      <c r="AH188" s="35">
        <f t="shared" si="52"/>
        <v>363</v>
      </c>
      <c r="AI188" s="6">
        <v>459</v>
      </c>
      <c r="AJ188" s="6"/>
      <c r="AK188" s="35">
        <f t="shared" si="53"/>
        <v>372</v>
      </c>
      <c r="AL188" s="35">
        <v>839</v>
      </c>
      <c r="AM188" s="35"/>
      <c r="AN188" s="35">
        <f t="shared" si="54"/>
        <v>380</v>
      </c>
      <c r="AO188" s="6">
        <v>158</v>
      </c>
      <c r="AP188" s="6">
        <v>999</v>
      </c>
      <c r="AQ188" s="35">
        <f t="shared" si="55"/>
        <v>318</v>
      </c>
      <c r="AR188" s="6">
        <v>533</v>
      </c>
      <c r="AS188" s="6"/>
      <c r="AT188" s="34">
        <f t="shared" si="56"/>
        <v>375</v>
      </c>
      <c r="AU188" s="35">
        <v>873</v>
      </c>
      <c r="AV188" s="35"/>
      <c r="AW188" s="35">
        <f t="shared" si="57"/>
        <v>340</v>
      </c>
      <c r="AX188" s="6"/>
      <c r="AY188" s="6"/>
      <c r="AZ188" s="35"/>
      <c r="BA188" s="6">
        <v>244</v>
      </c>
      <c r="BB188" s="6">
        <v>1000</v>
      </c>
      <c r="BC188" s="35">
        <f t="shared" si="58"/>
        <v>371</v>
      </c>
      <c r="BD188" s="35">
        <v>626</v>
      </c>
      <c r="BE188" s="35"/>
      <c r="BF188" s="35">
        <f t="shared" si="59"/>
        <v>382</v>
      </c>
      <c r="BG188" s="6">
        <v>0</v>
      </c>
      <c r="BH188" s="6">
        <v>794</v>
      </c>
      <c r="BI188" s="35">
        <f t="shared" si="60"/>
        <v>168</v>
      </c>
      <c r="BJ188" s="35">
        <v>354</v>
      </c>
      <c r="BK188" s="6"/>
      <c r="BL188" s="35">
        <f t="shared" si="61"/>
        <v>354</v>
      </c>
      <c r="BM188" s="6">
        <v>733</v>
      </c>
      <c r="BN188" s="6"/>
      <c r="BO188" s="6">
        <f t="shared" si="62"/>
        <v>379</v>
      </c>
      <c r="BP188" s="6">
        <v>1096</v>
      </c>
      <c r="BQ188" s="6"/>
      <c r="BR188" s="6">
        <f t="shared" si="63"/>
        <v>363</v>
      </c>
      <c r="BS188" s="6"/>
      <c r="BT188" s="6"/>
      <c r="BU188" s="35"/>
      <c r="BV188" s="6">
        <v>1482</v>
      </c>
      <c r="BW188" s="6"/>
      <c r="BX188" s="6">
        <f t="shared" si="64"/>
        <v>386</v>
      </c>
      <c r="BY188" s="6">
        <v>289</v>
      </c>
      <c r="BZ188" s="6">
        <v>1560</v>
      </c>
      <c r="CA188" s="35">
        <f t="shared" si="65"/>
        <v>367</v>
      </c>
      <c r="CB188" s="6">
        <v>679</v>
      </c>
      <c r="CC188" s="6"/>
      <c r="CD188" s="6">
        <f t="shared" si="66"/>
        <v>390</v>
      </c>
      <c r="CE188" s="6">
        <v>1073</v>
      </c>
      <c r="CF188" s="6"/>
      <c r="CG188" s="6">
        <f t="shared" si="67"/>
        <v>394</v>
      </c>
      <c r="CH188" s="6">
        <v>1464</v>
      </c>
      <c r="CI188" s="6"/>
      <c r="CJ188" s="6">
        <f t="shared" si="68"/>
        <v>391</v>
      </c>
      <c r="CK188" s="6">
        <v>281</v>
      </c>
      <c r="CL188" s="6">
        <v>1560</v>
      </c>
      <c r="CM188" s="6">
        <f t="shared" si="69"/>
        <v>377</v>
      </c>
      <c r="CN188" s="6"/>
      <c r="CO188" s="6"/>
      <c r="CP188" s="6"/>
      <c r="CQ188" s="6">
        <v>669</v>
      </c>
      <c r="CR188" s="6"/>
      <c r="CS188" s="6">
        <f t="shared" si="70"/>
        <v>388</v>
      </c>
      <c r="CT188" s="6">
        <v>1047</v>
      </c>
      <c r="CU188" s="6"/>
      <c r="CV188" s="6">
        <f t="shared" si="71"/>
        <v>378</v>
      </c>
      <c r="CW188" s="6">
        <v>1428</v>
      </c>
      <c r="CX188" s="6"/>
      <c r="CY188" s="6">
        <f t="shared" si="72"/>
        <v>381</v>
      </c>
      <c r="CZ188" s="6">
        <v>250</v>
      </c>
      <c r="DA188" s="6">
        <v>1560</v>
      </c>
      <c r="DB188" s="6">
        <f t="shared" si="73"/>
        <v>382</v>
      </c>
      <c r="DC188" s="6">
        <v>634</v>
      </c>
      <c r="DD188" s="6"/>
      <c r="DE188" s="6">
        <f t="shared" si="74"/>
        <v>384</v>
      </c>
      <c r="DF188" s="6">
        <v>996</v>
      </c>
      <c r="DG188" s="6"/>
      <c r="DH188" s="6">
        <f t="shared" si="75"/>
        <v>362</v>
      </c>
      <c r="DI188" s="6"/>
      <c r="DJ188" s="6"/>
      <c r="DK188" s="6"/>
      <c r="DL188" s="6">
        <v>1380</v>
      </c>
      <c r="DM188" s="6"/>
      <c r="DN188" s="6">
        <f t="shared" si="76"/>
        <v>384</v>
      </c>
      <c r="DO188" s="6">
        <v>183</v>
      </c>
      <c r="DP188" s="6">
        <v>1560</v>
      </c>
      <c r="DQ188" s="6">
        <f t="shared" si="77"/>
        <v>363</v>
      </c>
    </row>
    <row r="189" spans="1:121">
      <c r="A189" s="6">
        <v>185</v>
      </c>
      <c r="B189" s="6">
        <v>495</v>
      </c>
      <c r="C189" s="6"/>
      <c r="D189" s="6">
        <v>268</v>
      </c>
      <c r="E189" s="33" t="s">
        <v>362</v>
      </c>
      <c r="F189" s="33" t="s">
        <v>362</v>
      </c>
      <c r="G189" s="33" t="s">
        <v>362</v>
      </c>
      <c r="H189" s="33" t="s">
        <v>362</v>
      </c>
      <c r="I189" s="33" t="s">
        <v>362</v>
      </c>
      <c r="J189" s="33" t="s">
        <v>362</v>
      </c>
      <c r="K189" s="33" t="s">
        <v>362</v>
      </c>
      <c r="L189" s="33" t="s">
        <v>362</v>
      </c>
      <c r="M189" s="33" t="s">
        <v>362</v>
      </c>
      <c r="N189" s="33" t="s">
        <v>362</v>
      </c>
      <c r="O189" s="33" t="s">
        <v>362</v>
      </c>
      <c r="P189" s="33" t="s">
        <v>362</v>
      </c>
      <c r="Q189" s="33" t="s">
        <v>362</v>
      </c>
      <c r="R189" s="33" t="s">
        <v>362</v>
      </c>
      <c r="S189" s="33" t="s">
        <v>362</v>
      </c>
      <c r="T189" s="33" t="s">
        <v>362</v>
      </c>
      <c r="U189" s="33" t="s">
        <v>362</v>
      </c>
      <c r="V189" s="33" t="s">
        <v>362</v>
      </c>
      <c r="W189" s="33" t="s">
        <v>362</v>
      </c>
      <c r="X189" s="33" t="s">
        <v>362</v>
      </c>
      <c r="Y189" s="33" t="s">
        <v>362</v>
      </c>
      <c r="Z189" s="33" t="s">
        <v>362</v>
      </c>
      <c r="AA189" s="33" t="s">
        <v>362</v>
      </c>
      <c r="AB189" s="33" t="s">
        <v>362</v>
      </c>
      <c r="AC189" s="33" t="s">
        <v>362</v>
      </c>
      <c r="AD189" s="148" t="s">
        <v>462</v>
      </c>
      <c r="AE189" s="33" t="s">
        <v>462</v>
      </c>
      <c r="AF189" s="6">
        <v>93</v>
      </c>
      <c r="AG189" s="6">
        <v>713</v>
      </c>
      <c r="AH189" s="35">
        <f t="shared" si="52"/>
        <v>311</v>
      </c>
      <c r="AI189" s="6">
        <v>384</v>
      </c>
      <c r="AJ189" s="6"/>
      <c r="AK189" s="35">
        <f t="shared" si="53"/>
        <v>291</v>
      </c>
      <c r="AL189" s="35">
        <v>673</v>
      </c>
      <c r="AM189" s="35"/>
      <c r="AN189" s="35">
        <f t="shared" si="54"/>
        <v>289</v>
      </c>
      <c r="AO189" s="6">
        <v>968</v>
      </c>
      <c r="AP189" s="6"/>
      <c r="AQ189" s="35">
        <f t="shared" si="55"/>
        <v>295</v>
      </c>
      <c r="AR189" s="6">
        <v>265</v>
      </c>
      <c r="AS189" s="6">
        <v>1000</v>
      </c>
      <c r="AT189" s="34">
        <f t="shared" si="56"/>
        <v>297</v>
      </c>
      <c r="AU189" s="35">
        <v>547</v>
      </c>
      <c r="AV189" s="35"/>
      <c r="AW189" s="35">
        <f t="shared" si="57"/>
        <v>282</v>
      </c>
      <c r="AX189" s="35"/>
      <c r="AY189" s="6"/>
      <c r="AZ189" s="35"/>
      <c r="BA189" s="6">
        <v>849</v>
      </c>
      <c r="BB189" s="6"/>
      <c r="BC189" s="35">
        <f t="shared" si="58"/>
        <v>302</v>
      </c>
      <c r="BD189" s="35">
        <v>148</v>
      </c>
      <c r="BE189" s="35">
        <v>1000</v>
      </c>
      <c r="BF189" s="35">
        <f t="shared" si="59"/>
        <v>299</v>
      </c>
      <c r="BG189" s="6">
        <v>441</v>
      </c>
      <c r="BH189" s="6"/>
      <c r="BI189" s="35">
        <f t="shared" si="60"/>
        <v>293</v>
      </c>
      <c r="BJ189" s="35">
        <v>739</v>
      </c>
      <c r="BK189" s="6"/>
      <c r="BL189" s="35">
        <f t="shared" si="61"/>
        <v>298</v>
      </c>
      <c r="BM189" s="6">
        <v>41</v>
      </c>
      <c r="BN189" s="6">
        <v>1000</v>
      </c>
      <c r="BO189" s="6">
        <f t="shared" si="62"/>
        <v>302</v>
      </c>
      <c r="BP189" s="6">
        <v>326</v>
      </c>
      <c r="BQ189" s="6"/>
      <c r="BR189" s="6">
        <f t="shared" si="63"/>
        <v>285</v>
      </c>
      <c r="BS189" s="6"/>
      <c r="BT189" s="6"/>
      <c r="BU189" s="35"/>
      <c r="BV189" s="6">
        <v>330</v>
      </c>
      <c r="BW189" s="6"/>
      <c r="BX189" s="6">
        <f t="shared" si="64"/>
        <v>4</v>
      </c>
      <c r="BY189" s="6">
        <v>330</v>
      </c>
      <c r="BZ189" s="6"/>
      <c r="CA189" s="35">
        <f t="shared" si="65"/>
        <v>0</v>
      </c>
      <c r="CB189" s="6">
        <v>330</v>
      </c>
      <c r="CC189" s="6"/>
      <c r="CD189" s="6">
        <f t="shared" si="66"/>
        <v>0</v>
      </c>
      <c r="CE189" s="6">
        <v>330</v>
      </c>
      <c r="CF189" s="6"/>
      <c r="CG189" s="6">
        <f t="shared" si="67"/>
        <v>0</v>
      </c>
      <c r="CH189" s="6">
        <v>330</v>
      </c>
      <c r="CI189" s="6"/>
      <c r="CJ189" s="6">
        <f t="shared" si="68"/>
        <v>0</v>
      </c>
      <c r="CK189" s="6">
        <v>330</v>
      </c>
      <c r="CL189" s="6"/>
      <c r="CM189" s="6">
        <f t="shared" si="69"/>
        <v>0</v>
      </c>
      <c r="CN189" s="6"/>
      <c r="CO189" s="6"/>
      <c r="CP189" s="6"/>
      <c r="CQ189" s="6">
        <v>330</v>
      </c>
      <c r="CR189" s="6"/>
      <c r="CS189" s="6">
        <f t="shared" si="70"/>
        <v>0</v>
      </c>
      <c r="CT189" s="6">
        <v>330</v>
      </c>
      <c r="CU189" s="6"/>
      <c r="CV189" s="6">
        <f t="shared" si="71"/>
        <v>0</v>
      </c>
      <c r="CW189" s="6">
        <v>330</v>
      </c>
      <c r="CX189" s="6"/>
      <c r="CY189" s="6">
        <f t="shared" si="72"/>
        <v>0</v>
      </c>
      <c r="CZ189" s="6">
        <v>330</v>
      </c>
      <c r="DA189" s="6"/>
      <c r="DB189" s="6">
        <f t="shared" si="73"/>
        <v>0</v>
      </c>
      <c r="DC189" s="6">
        <v>330</v>
      </c>
      <c r="DD189" s="6"/>
      <c r="DE189" s="6">
        <f t="shared" si="74"/>
        <v>0</v>
      </c>
      <c r="DF189" s="6"/>
      <c r="DG189" s="6">
        <v>330</v>
      </c>
      <c r="DH189" s="6"/>
      <c r="DI189" s="6"/>
      <c r="DJ189" s="6"/>
      <c r="DK189" s="6"/>
      <c r="DL189" s="6">
        <v>275</v>
      </c>
      <c r="DM189" s="6"/>
      <c r="DN189" s="6">
        <f t="shared" si="76"/>
        <v>275</v>
      </c>
      <c r="DO189" s="6">
        <v>559</v>
      </c>
      <c r="DP189" s="6"/>
      <c r="DQ189" s="6">
        <f t="shared" si="77"/>
        <v>284</v>
      </c>
    </row>
    <row r="190" spans="1:121" ht="14.25" customHeight="1">
      <c r="A190" s="6">
        <v>186</v>
      </c>
      <c r="B190" s="6">
        <v>688</v>
      </c>
      <c r="C190" s="6"/>
      <c r="D190" s="6">
        <v>344</v>
      </c>
      <c r="E190" s="33" t="s">
        <v>307</v>
      </c>
      <c r="F190" s="33" t="s">
        <v>307</v>
      </c>
      <c r="G190" s="33" t="s">
        <v>307</v>
      </c>
      <c r="H190" s="33" t="s">
        <v>307</v>
      </c>
      <c r="I190" s="33" t="s">
        <v>307</v>
      </c>
      <c r="J190" s="33" t="s">
        <v>307</v>
      </c>
      <c r="K190" s="33" t="s">
        <v>307</v>
      </c>
      <c r="L190" s="33" t="s">
        <v>307</v>
      </c>
      <c r="M190" s="33" t="s">
        <v>307</v>
      </c>
      <c r="N190" s="33" t="s">
        <v>307</v>
      </c>
      <c r="O190" s="33" t="s">
        <v>307</v>
      </c>
      <c r="P190" s="33" t="s">
        <v>307</v>
      </c>
      <c r="Q190" s="33" t="s">
        <v>307</v>
      </c>
      <c r="R190" s="33" t="s">
        <v>307</v>
      </c>
      <c r="S190" s="33" t="s">
        <v>307</v>
      </c>
      <c r="T190" s="33" t="s">
        <v>307</v>
      </c>
      <c r="U190" s="33" t="s">
        <v>307</v>
      </c>
      <c r="V190" s="33" t="s">
        <v>307</v>
      </c>
      <c r="W190" s="33" t="s">
        <v>307</v>
      </c>
      <c r="X190" s="33" t="s">
        <v>307</v>
      </c>
      <c r="Y190" s="33" t="s">
        <v>307</v>
      </c>
      <c r="Z190" s="33" t="s">
        <v>307</v>
      </c>
      <c r="AA190" s="33" t="s">
        <v>307</v>
      </c>
      <c r="AB190" s="148" t="s">
        <v>102</v>
      </c>
      <c r="AC190" s="33" t="s">
        <v>102</v>
      </c>
      <c r="AD190" s="33" t="s">
        <v>102</v>
      </c>
      <c r="AE190" s="33" t="s">
        <v>102</v>
      </c>
      <c r="AF190" s="35">
        <v>1112</v>
      </c>
      <c r="AG190" s="35"/>
      <c r="AH190" s="35">
        <f t="shared" si="52"/>
        <v>424</v>
      </c>
      <c r="AI190" s="35">
        <v>1504</v>
      </c>
      <c r="AJ190" s="35"/>
      <c r="AK190" s="35">
        <f t="shared" si="53"/>
        <v>392</v>
      </c>
      <c r="AL190" s="35">
        <v>344</v>
      </c>
      <c r="AM190" s="35">
        <v>1560</v>
      </c>
      <c r="AN190" s="35">
        <f t="shared" si="54"/>
        <v>400</v>
      </c>
      <c r="AO190" s="6">
        <v>732</v>
      </c>
      <c r="AP190" s="6"/>
      <c r="AQ190" s="35">
        <f t="shared" si="55"/>
        <v>388</v>
      </c>
      <c r="AR190" s="6">
        <v>1125</v>
      </c>
      <c r="AS190" s="6"/>
      <c r="AT190" s="34">
        <f t="shared" si="56"/>
        <v>393</v>
      </c>
      <c r="AU190" s="35">
        <v>1498</v>
      </c>
      <c r="AV190" s="35"/>
      <c r="AW190" s="35">
        <f t="shared" si="57"/>
        <v>373</v>
      </c>
      <c r="AX190" s="6"/>
      <c r="AY190" s="6"/>
      <c r="AZ190" s="35"/>
      <c r="BA190" s="6">
        <v>333</v>
      </c>
      <c r="BB190" s="6">
        <v>1560</v>
      </c>
      <c r="BC190" s="35">
        <f t="shared" si="58"/>
        <v>395</v>
      </c>
      <c r="BD190" s="6">
        <v>727</v>
      </c>
      <c r="BE190" s="6"/>
      <c r="BF190" s="35">
        <f t="shared" si="59"/>
        <v>394</v>
      </c>
      <c r="BG190" s="6">
        <v>1122</v>
      </c>
      <c r="BH190" s="6"/>
      <c r="BI190" s="35">
        <f t="shared" si="60"/>
        <v>395</v>
      </c>
      <c r="BJ190" s="35">
        <v>1518</v>
      </c>
      <c r="BK190" s="6"/>
      <c r="BL190" s="35">
        <f t="shared" si="61"/>
        <v>396</v>
      </c>
      <c r="BM190" s="35">
        <v>345</v>
      </c>
      <c r="BN190" s="35">
        <v>1571</v>
      </c>
      <c r="BO190" s="6">
        <f t="shared" si="62"/>
        <v>398</v>
      </c>
      <c r="BP190" s="6">
        <v>726</v>
      </c>
      <c r="BQ190" s="6"/>
      <c r="BR190" s="6">
        <f t="shared" si="63"/>
        <v>381</v>
      </c>
      <c r="BS190" s="6"/>
      <c r="BT190" s="6"/>
      <c r="BU190" s="35"/>
      <c r="BV190" s="6">
        <v>1127</v>
      </c>
      <c r="BW190" s="6"/>
      <c r="BX190" s="6">
        <f t="shared" si="64"/>
        <v>401</v>
      </c>
      <c r="BY190" s="6">
        <v>1522</v>
      </c>
      <c r="BZ190" s="6"/>
      <c r="CA190" s="35">
        <f t="shared" si="65"/>
        <v>395</v>
      </c>
      <c r="CB190" s="6">
        <v>0</v>
      </c>
      <c r="CC190" s="35">
        <v>1820</v>
      </c>
      <c r="CD190" s="6">
        <f t="shared" si="66"/>
        <v>298</v>
      </c>
      <c r="CE190" s="6">
        <v>0</v>
      </c>
      <c r="CF190" s="6"/>
      <c r="CG190" s="6">
        <f t="shared" si="67"/>
        <v>0</v>
      </c>
      <c r="CH190" s="6">
        <v>0</v>
      </c>
      <c r="CI190" s="35"/>
      <c r="CJ190" s="6">
        <f t="shared" si="68"/>
        <v>0</v>
      </c>
      <c r="CK190" s="6">
        <v>18</v>
      </c>
      <c r="CL190" s="6"/>
      <c r="CM190" s="6">
        <f t="shared" si="69"/>
        <v>18</v>
      </c>
      <c r="CN190" s="6"/>
      <c r="CO190" s="6"/>
      <c r="CP190" s="6"/>
      <c r="CQ190" s="6">
        <v>399</v>
      </c>
      <c r="CR190" s="6"/>
      <c r="CS190" s="6">
        <f t="shared" si="70"/>
        <v>381</v>
      </c>
      <c r="CT190" s="35">
        <v>777</v>
      </c>
      <c r="CU190" s="6"/>
      <c r="CV190" s="6">
        <f t="shared" si="71"/>
        <v>378</v>
      </c>
      <c r="CW190" s="6">
        <v>1157</v>
      </c>
      <c r="CX190" s="6"/>
      <c r="CY190" s="6">
        <f t="shared" si="72"/>
        <v>380</v>
      </c>
      <c r="CZ190" s="6">
        <v>0</v>
      </c>
      <c r="DA190" s="6">
        <v>1397</v>
      </c>
      <c r="DB190" s="6">
        <f t="shared" si="73"/>
        <v>240</v>
      </c>
      <c r="DC190" s="6">
        <v>421</v>
      </c>
      <c r="DD190" s="6"/>
      <c r="DE190" s="6">
        <f t="shared" si="74"/>
        <v>421</v>
      </c>
      <c r="DF190" s="6">
        <v>807</v>
      </c>
      <c r="DG190" s="6"/>
      <c r="DH190" s="6">
        <f t="shared" si="75"/>
        <v>386</v>
      </c>
      <c r="DI190" s="6"/>
      <c r="DJ190" s="6"/>
      <c r="DK190" s="6"/>
      <c r="DL190" s="6">
        <v>1227</v>
      </c>
      <c r="DM190" s="6"/>
      <c r="DN190" s="6">
        <f t="shared" si="76"/>
        <v>420</v>
      </c>
      <c r="DO190" s="6">
        <v>363</v>
      </c>
      <c r="DP190" s="6">
        <v>1255</v>
      </c>
      <c r="DQ190" s="6">
        <f t="shared" si="77"/>
        <v>391</v>
      </c>
    </row>
    <row r="191" spans="1:121">
      <c r="A191" s="6">
        <v>187</v>
      </c>
      <c r="B191" s="6">
        <v>262</v>
      </c>
      <c r="C191" s="6">
        <v>379</v>
      </c>
      <c r="D191" s="6">
        <v>267</v>
      </c>
      <c r="E191" s="148" t="s">
        <v>362</v>
      </c>
      <c r="F191" s="33" t="s">
        <v>362</v>
      </c>
      <c r="G191" s="33" t="s">
        <v>362</v>
      </c>
      <c r="H191" s="33" t="s">
        <v>362</v>
      </c>
      <c r="I191" s="33" t="s">
        <v>362</v>
      </c>
      <c r="J191" s="33" t="s">
        <v>362</v>
      </c>
      <c r="K191" s="33" t="s">
        <v>362</v>
      </c>
      <c r="L191" s="33" t="s">
        <v>362</v>
      </c>
      <c r="M191" s="33" t="s">
        <v>362</v>
      </c>
      <c r="N191" s="33" t="s">
        <v>362</v>
      </c>
      <c r="O191" s="33" t="s">
        <v>362</v>
      </c>
      <c r="P191" s="33" t="s">
        <v>362</v>
      </c>
      <c r="Q191" s="33" t="s">
        <v>362</v>
      </c>
      <c r="R191" s="33" t="s">
        <v>362</v>
      </c>
      <c r="S191" s="33" t="s">
        <v>362</v>
      </c>
      <c r="T191" s="33" t="s">
        <v>362</v>
      </c>
      <c r="U191" s="33" t="s">
        <v>362</v>
      </c>
      <c r="V191" s="33" t="s">
        <v>362</v>
      </c>
      <c r="W191" s="33" t="s">
        <v>362</v>
      </c>
      <c r="X191" s="33" t="s">
        <v>362</v>
      </c>
      <c r="Y191" s="33" t="s">
        <v>362</v>
      </c>
      <c r="Z191" s="33" t="s">
        <v>362</v>
      </c>
      <c r="AA191" s="33" t="s">
        <v>362</v>
      </c>
      <c r="AB191" s="33" t="s">
        <v>362</v>
      </c>
      <c r="AC191" s="33" t="s">
        <v>362</v>
      </c>
      <c r="AD191" s="148" t="s">
        <v>462</v>
      </c>
      <c r="AE191" s="33" t="s">
        <v>462</v>
      </c>
      <c r="AF191" s="6">
        <v>660</v>
      </c>
      <c r="AG191" s="6"/>
      <c r="AH191" s="35">
        <f t="shared" si="52"/>
        <v>398</v>
      </c>
      <c r="AI191" s="6">
        <v>908</v>
      </c>
      <c r="AJ191" s="6"/>
      <c r="AK191" s="35">
        <f t="shared" si="53"/>
        <v>248</v>
      </c>
      <c r="AL191" s="35">
        <v>219</v>
      </c>
      <c r="AM191" s="35">
        <v>1000</v>
      </c>
      <c r="AN191" s="35">
        <f t="shared" si="54"/>
        <v>311</v>
      </c>
      <c r="AO191" s="6">
        <v>528</v>
      </c>
      <c r="AP191" s="6"/>
      <c r="AQ191" s="35">
        <f t="shared" si="55"/>
        <v>309</v>
      </c>
      <c r="AR191" s="6">
        <v>840</v>
      </c>
      <c r="AS191" s="6"/>
      <c r="AT191" s="34">
        <f t="shared" si="56"/>
        <v>312</v>
      </c>
      <c r="AU191" s="35">
        <v>128</v>
      </c>
      <c r="AV191" s="35">
        <v>1002</v>
      </c>
      <c r="AW191" s="35">
        <f t="shared" si="57"/>
        <v>290</v>
      </c>
      <c r="AX191" s="35"/>
      <c r="AY191" s="6"/>
      <c r="AZ191" s="35"/>
      <c r="BA191" s="6">
        <v>441</v>
      </c>
      <c r="BB191" s="6"/>
      <c r="BC191" s="35">
        <f t="shared" si="58"/>
        <v>313</v>
      </c>
      <c r="BD191" s="35">
        <v>748</v>
      </c>
      <c r="BE191" s="35"/>
      <c r="BF191" s="35">
        <f t="shared" si="59"/>
        <v>307</v>
      </c>
      <c r="BG191" s="6">
        <v>54</v>
      </c>
      <c r="BH191" s="6">
        <v>1000</v>
      </c>
      <c r="BI191" s="35">
        <f t="shared" si="60"/>
        <v>306</v>
      </c>
      <c r="BJ191" s="35">
        <v>363</v>
      </c>
      <c r="BK191" s="6"/>
      <c r="BL191" s="35">
        <f t="shared" si="61"/>
        <v>309</v>
      </c>
      <c r="BM191" s="6">
        <v>670</v>
      </c>
      <c r="BN191" s="6"/>
      <c r="BO191" s="6">
        <f t="shared" si="62"/>
        <v>307</v>
      </c>
      <c r="BP191" s="6">
        <v>966</v>
      </c>
      <c r="BQ191" s="7"/>
      <c r="BR191" s="6">
        <f t="shared" si="63"/>
        <v>296</v>
      </c>
      <c r="BS191" s="7"/>
      <c r="BT191" s="7"/>
      <c r="BU191" s="35"/>
      <c r="BV191" s="6">
        <v>971</v>
      </c>
      <c r="BW191" s="6"/>
      <c r="BX191" s="6">
        <f t="shared" si="64"/>
        <v>5</v>
      </c>
      <c r="BY191" s="6">
        <v>971</v>
      </c>
      <c r="BZ191" s="6"/>
      <c r="CA191" s="35">
        <f t="shared" si="65"/>
        <v>0</v>
      </c>
      <c r="CB191" s="6">
        <v>971</v>
      </c>
      <c r="CC191" s="6"/>
      <c r="CD191" s="6">
        <f t="shared" si="66"/>
        <v>0</v>
      </c>
      <c r="CE191" s="6">
        <v>971</v>
      </c>
      <c r="CF191" s="6"/>
      <c r="CG191" s="6">
        <f t="shared" si="67"/>
        <v>0</v>
      </c>
      <c r="CH191" s="6">
        <v>971</v>
      </c>
      <c r="CI191" s="6"/>
      <c r="CJ191" s="6">
        <f t="shared" si="68"/>
        <v>0</v>
      </c>
      <c r="CK191" s="6">
        <v>971</v>
      </c>
      <c r="CL191" s="6"/>
      <c r="CM191" s="6">
        <f t="shared" si="69"/>
        <v>0</v>
      </c>
      <c r="CN191" s="6"/>
      <c r="CO191" s="6"/>
      <c r="CP191" s="6"/>
      <c r="CQ191" s="6">
        <v>971</v>
      </c>
      <c r="CR191" s="6"/>
      <c r="CS191" s="6">
        <f t="shared" si="70"/>
        <v>0</v>
      </c>
      <c r="CT191" s="6">
        <v>971</v>
      </c>
      <c r="CU191" s="6"/>
      <c r="CV191" s="6">
        <f t="shared" si="71"/>
        <v>0</v>
      </c>
      <c r="CW191" s="6">
        <v>971</v>
      </c>
      <c r="CX191" s="6"/>
      <c r="CY191" s="6">
        <f t="shared" si="72"/>
        <v>0</v>
      </c>
      <c r="CZ191" s="6">
        <v>971</v>
      </c>
      <c r="DA191" s="6"/>
      <c r="DB191" s="6">
        <f t="shared" si="73"/>
        <v>0</v>
      </c>
      <c r="DC191" s="6">
        <v>971</v>
      </c>
      <c r="DD191" s="6"/>
      <c r="DE191" s="6">
        <f t="shared" si="74"/>
        <v>0</v>
      </c>
      <c r="DF191" s="6"/>
      <c r="DG191" s="6">
        <v>971</v>
      </c>
      <c r="DH191" s="6"/>
      <c r="DI191" s="6"/>
      <c r="DJ191" s="6"/>
      <c r="DK191" s="6"/>
      <c r="DL191" s="6">
        <v>254</v>
      </c>
      <c r="DM191" s="6"/>
      <c r="DN191" s="6">
        <f t="shared" si="76"/>
        <v>254</v>
      </c>
      <c r="DO191" s="6">
        <v>516</v>
      </c>
      <c r="DP191" s="6"/>
      <c r="DQ191" s="6">
        <f t="shared" si="77"/>
        <v>262</v>
      </c>
    </row>
    <row r="192" spans="1:121">
      <c r="A192" s="6">
        <v>188</v>
      </c>
      <c r="B192" s="6">
        <v>317</v>
      </c>
      <c r="C192" s="6">
        <v>1560</v>
      </c>
      <c r="D192" s="6">
        <v>326</v>
      </c>
      <c r="E192" s="141" t="s">
        <v>307</v>
      </c>
      <c r="F192" s="141" t="s">
        <v>307</v>
      </c>
      <c r="G192" s="141" t="s">
        <v>307</v>
      </c>
      <c r="H192" s="141" t="s">
        <v>307</v>
      </c>
      <c r="I192" s="141" t="s">
        <v>307</v>
      </c>
      <c r="J192" s="141" t="s">
        <v>307</v>
      </c>
      <c r="K192" s="141" t="s">
        <v>307</v>
      </c>
      <c r="L192" s="141" t="s">
        <v>307</v>
      </c>
      <c r="M192" s="141" t="s">
        <v>307</v>
      </c>
      <c r="N192" s="141" t="s">
        <v>307</v>
      </c>
      <c r="O192" s="141" t="s">
        <v>307</v>
      </c>
      <c r="P192" s="141" t="s">
        <v>307</v>
      </c>
      <c r="Q192" s="141" t="s">
        <v>307</v>
      </c>
      <c r="R192" s="141" t="s">
        <v>307</v>
      </c>
      <c r="S192" s="163" t="s">
        <v>37</v>
      </c>
      <c r="T192" s="141" t="s">
        <v>37</v>
      </c>
      <c r="U192" s="141" t="s">
        <v>37</v>
      </c>
      <c r="V192" s="141" t="s">
        <v>37</v>
      </c>
      <c r="W192" s="141" t="s">
        <v>37</v>
      </c>
      <c r="X192" s="141" t="s">
        <v>37</v>
      </c>
      <c r="Y192" s="141" t="s">
        <v>37</v>
      </c>
      <c r="Z192" s="141" t="s">
        <v>37</v>
      </c>
      <c r="AA192" s="141" t="s">
        <v>37</v>
      </c>
      <c r="AB192" s="141" t="s">
        <v>37</v>
      </c>
      <c r="AC192" s="141" t="s">
        <v>37</v>
      </c>
      <c r="AD192" s="141" t="s">
        <v>37</v>
      </c>
      <c r="AE192" s="141" t="s">
        <v>37</v>
      </c>
      <c r="AF192" s="6">
        <v>703</v>
      </c>
      <c r="AG192" s="6"/>
      <c r="AH192" s="35">
        <f t="shared" si="52"/>
        <v>386</v>
      </c>
      <c r="AI192" s="6">
        <v>1058</v>
      </c>
      <c r="AJ192" s="6"/>
      <c r="AK192" s="35">
        <f t="shared" si="53"/>
        <v>355</v>
      </c>
      <c r="AL192" s="35">
        <v>1427</v>
      </c>
      <c r="AM192" s="35"/>
      <c r="AN192" s="35">
        <f t="shared" si="54"/>
        <v>369</v>
      </c>
      <c r="AO192" s="6">
        <v>328</v>
      </c>
      <c r="AP192" s="6">
        <v>1450</v>
      </c>
      <c r="AQ192" s="35">
        <f t="shared" si="55"/>
        <v>351</v>
      </c>
      <c r="AR192" s="6">
        <v>690</v>
      </c>
      <c r="AS192" s="6"/>
      <c r="AT192" s="34">
        <f t="shared" si="56"/>
        <v>362</v>
      </c>
      <c r="AU192" s="35">
        <v>1028</v>
      </c>
      <c r="AV192" s="35"/>
      <c r="AW192" s="35">
        <f t="shared" si="57"/>
        <v>338</v>
      </c>
      <c r="AX192" s="6"/>
      <c r="AY192" s="6"/>
      <c r="AZ192" s="35"/>
      <c r="BA192" s="35">
        <v>1390</v>
      </c>
      <c r="BB192" s="6"/>
      <c r="BC192" s="35">
        <f t="shared" si="58"/>
        <v>362</v>
      </c>
      <c r="BD192" s="35">
        <v>187</v>
      </c>
      <c r="BE192" s="35">
        <v>1560</v>
      </c>
      <c r="BF192" s="35">
        <f t="shared" si="59"/>
        <v>357</v>
      </c>
      <c r="BG192" s="6">
        <v>548</v>
      </c>
      <c r="BH192" s="6"/>
      <c r="BI192" s="35">
        <f t="shared" si="60"/>
        <v>361</v>
      </c>
      <c r="BJ192" s="35">
        <v>910</v>
      </c>
      <c r="BK192" s="6"/>
      <c r="BL192" s="35">
        <f t="shared" si="61"/>
        <v>362</v>
      </c>
      <c r="BM192" s="6">
        <v>1274</v>
      </c>
      <c r="BN192" s="6"/>
      <c r="BO192" s="6">
        <f t="shared" si="62"/>
        <v>364</v>
      </c>
      <c r="BP192" s="6">
        <v>1619</v>
      </c>
      <c r="BQ192" s="7"/>
      <c r="BR192" s="6">
        <f t="shared" si="63"/>
        <v>345</v>
      </c>
      <c r="BS192" s="7"/>
      <c r="BT192" s="7"/>
      <c r="BU192" s="35"/>
      <c r="BV192" s="6">
        <v>1989</v>
      </c>
      <c r="BW192" s="6"/>
      <c r="BX192" s="6">
        <f t="shared" si="64"/>
        <v>370</v>
      </c>
      <c r="BY192" s="6">
        <v>253</v>
      </c>
      <c r="BZ192" s="6">
        <v>2085</v>
      </c>
      <c r="CA192" s="35">
        <f t="shared" si="65"/>
        <v>349</v>
      </c>
      <c r="CB192" s="35">
        <v>630</v>
      </c>
      <c r="CC192" s="6"/>
      <c r="CD192" s="6">
        <f t="shared" si="66"/>
        <v>377</v>
      </c>
      <c r="CE192" s="6">
        <v>1021</v>
      </c>
      <c r="CF192" s="6"/>
      <c r="CG192" s="6">
        <f t="shared" si="67"/>
        <v>391</v>
      </c>
      <c r="CH192" s="6">
        <v>1411</v>
      </c>
      <c r="CI192" s="6"/>
      <c r="CJ192" s="6">
        <f t="shared" si="68"/>
        <v>390</v>
      </c>
      <c r="CK192" s="6">
        <v>237</v>
      </c>
      <c r="CL192" s="6">
        <v>1560</v>
      </c>
      <c r="CM192" s="6">
        <f t="shared" si="69"/>
        <v>386</v>
      </c>
      <c r="CN192" s="6"/>
      <c r="CO192" s="6"/>
      <c r="CP192" s="6"/>
      <c r="CQ192" s="6">
        <v>636</v>
      </c>
      <c r="CR192" s="6"/>
      <c r="CS192" s="6">
        <f t="shared" si="70"/>
        <v>399</v>
      </c>
      <c r="CT192" s="6">
        <v>1027</v>
      </c>
      <c r="CU192" s="6"/>
      <c r="CV192" s="6">
        <f t="shared" si="71"/>
        <v>391</v>
      </c>
      <c r="CW192" s="6">
        <v>1421</v>
      </c>
      <c r="CX192" s="6"/>
      <c r="CY192" s="6">
        <f t="shared" si="72"/>
        <v>394</v>
      </c>
      <c r="CZ192" s="6">
        <v>240</v>
      </c>
      <c r="DA192" s="6">
        <v>1560</v>
      </c>
      <c r="DB192" s="6">
        <f t="shared" si="73"/>
        <v>379</v>
      </c>
      <c r="DC192" s="6">
        <v>631</v>
      </c>
      <c r="DD192" s="6"/>
      <c r="DE192" s="6">
        <f t="shared" si="74"/>
        <v>391</v>
      </c>
      <c r="DF192" s="6">
        <v>977</v>
      </c>
      <c r="DG192" s="6"/>
      <c r="DH192" s="6">
        <f t="shared" si="75"/>
        <v>346</v>
      </c>
      <c r="DI192" s="6"/>
      <c r="DJ192" s="6"/>
      <c r="DK192" s="6"/>
      <c r="DL192" s="6">
        <v>1356</v>
      </c>
      <c r="DM192" s="6"/>
      <c r="DN192" s="6">
        <f t="shared" si="76"/>
        <v>379</v>
      </c>
      <c r="DO192" s="6">
        <v>142</v>
      </c>
      <c r="DP192" s="6">
        <v>1560</v>
      </c>
      <c r="DQ192" s="6">
        <f t="shared" si="77"/>
        <v>346</v>
      </c>
    </row>
    <row r="193" spans="1:121">
      <c r="A193" s="6">
        <v>189</v>
      </c>
      <c r="B193" s="6">
        <v>274</v>
      </c>
      <c r="C193" s="6">
        <v>1000</v>
      </c>
      <c r="D193" s="6">
        <v>372</v>
      </c>
      <c r="E193" s="33" t="s">
        <v>102</v>
      </c>
      <c r="F193" s="33" t="s">
        <v>102</v>
      </c>
      <c r="G193" s="33" t="s">
        <v>102</v>
      </c>
      <c r="H193" s="33" t="s">
        <v>102</v>
      </c>
      <c r="I193" s="33" t="s">
        <v>102</v>
      </c>
      <c r="J193" s="33" t="s">
        <v>102</v>
      </c>
      <c r="K193" s="148" t="s">
        <v>102</v>
      </c>
      <c r="L193" s="33" t="s">
        <v>102</v>
      </c>
      <c r="M193" s="148" t="s">
        <v>37</v>
      </c>
      <c r="N193" s="33" t="s">
        <v>37</v>
      </c>
      <c r="O193" s="33" t="s">
        <v>37</v>
      </c>
      <c r="P193" s="33" t="s">
        <v>37</v>
      </c>
      <c r="Q193" s="33" t="s">
        <v>37</v>
      </c>
      <c r="R193" s="33" t="s">
        <v>37</v>
      </c>
      <c r="S193" s="33" t="s">
        <v>37</v>
      </c>
      <c r="T193" s="33" t="s">
        <v>37</v>
      </c>
      <c r="U193" s="33" t="s">
        <v>37</v>
      </c>
      <c r="V193" s="33" t="s">
        <v>37</v>
      </c>
      <c r="W193" s="33" t="s">
        <v>37</v>
      </c>
      <c r="X193" s="33" t="s">
        <v>37</v>
      </c>
      <c r="Y193" s="33" t="s">
        <v>37</v>
      </c>
      <c r="Z193" s="33" t="s">
        <v>37</v>
      </c>
      <c r="AA193" s="33" t="s">
        <v>37</v>
      </c>
      <c r="AB193" s="33" t="s">
        <v>37</v>
      </c>
      <c r="AC193" s="33" t="s">
        <v>37</v>
      </c>
      <c r="AD193" s="33" t="s">
        <v>37</v>
      </c>
      <c r="AE193" s="33" t="s">
        <v>37</v>
      </c>
      <c r="AF193" s="6">
        <v>706</v>
      </c>
      <c r="AG193" s="6"/>
      <c r="AH193" s="35">
        <f t="shared" si="52"/>
        <v>432</v>
      </c>
      <c r="AI193" s="6">
        <v>93</v>
      </c>
      <c r="AJ193" s="6">
        <v>1000</v>
      </c>
      <c r="AK193" s="35">
        <f t="shared" si="53"/>
        <v>387</v>
      </c>
      <c r="AL193" s="35">
        <v>486</v>
      </c>
      <c r="AM193" s="35"/>
      <c r="AN193" s="35">
        <f t="shared" si="54"/>
        <v>393</v>
      </c>
      <c r="AO193" s="6">
        <v>863</v>
      </c>
      <c r="AP193" s="6"/>
      <c r="AQ193" s="35">
        <f t="shared" si="55"/>
        <v>377</v>
      </c>
      <c r="AR193" s="6">
        <v>0</v>
      </c>
      <c r="AS193" s="6">
        <v>1249</v>
      </c>
      <c r="AT193" s="34">
        <f t="shared" si="56"/>
        <v>386</v>
      </c>
      <c r="AU193" s="35">
        <v>329</v>
      </c>
      <c r="AV193" s="35"/>
      <c r="AW193" s="35">
        <f t="shared" si="57"/>
        <v>329</v>
      </c>
      <c r="AX193" s="6"/>
      <c r="AY193" s="6"/>
      <c r="AZ193" s="35"/>
      <c r="BA193" s="6">
        <v>718</v>
      </c>
      <c r="BB193" s="6"/>
      <c r="BC193" s="35">
        <f t="shared" si="58"/>
        <v>389</v>
      </c>
      <c r="BD193" s="35">
        <v>331</v>
      </c>
      <c r="BE193" s="35">
        <v>741</v>
      </c>
      <c r="BF193" s="35">
        <f t="shared" si="59"/>
        <v>354</v>
      </c>
      <c r="BG193" s="35">
        <v>712</v>
      </c>
      <c r="BH193" s="6"/>
      <c r="BI193" s="35">
        <f t="shared" si="60"/>
        <v>381</v>
      </c>
      <c r="BJ193" s="35">
        <v>1094</v>
      </c>
      <c r="BK193" s="6"/>
      <c r="BL193" s="35">
        <f t="shared" si="61"/>
        <v>382</v>
      </c>
      <c r="BM193" s="6">
        <v>40</v>
      </c>
      <c r="BN193" s="6">
        <v>1437</v>
      </c>
      <c r="BO193" s="6">
        <f t="shared" si="62"/>
        <v>383</v>
      </c>
      <c r="BP193" s="6">
        <v>398</v>
      </c>
      <c r="BQ193" s="7"/>
      <c r="BR193" s="6">
        <f t="shared" si="63"/>
        <v>358</v>
      </c>
      <c r="BS193" s="7"/>
      <c r="BT193" s="7"/>
      <c r="BU193" s="35"/>
      <c r="BV193" s="6">
        <v>784</v>
      </c>
      <c r="BW193" s="6"/>
      <c r="BX193" s="6">
        <f t="shared" si="64"/>
        <v>386</v>
      </c>
      <c r="BY193" s="6">
        <v>1163</v>
      </c>
      <c r="BZ193" s="6"/>
      <c r="CA193" s="35">
        <f t="shared" si="65"/>
        <v>379</v>
      </c>
      <c r="CB193" s="35">
        <v>274</v>
      </c>
      <c r="CC193" s="6">
        <v>1265</v>
      </c>
      <c r="CD193" s="6">
        <f t="shared" si="66"/>
        <v>376</v>
      </c>
      <c r="CE193" s="6">
        <v>662</v>
      </c>
      <c r="CF193" s="6"/>
      <c r="CG193" s="6">
        <f t="shared" si="67"/>
        <v>388</v>
      </c>
      <c r="CH193" s="6">
        <v>1045</v>
      </c>
      <c r="CI193" s="6"/>
      <c r="CJ193" s="6">
        <f t="shared" si="68"/>
        <v>383</v>
      </c>
      <c r="CK193" s="6">
        <v>275</v>
      </c>
      <c r="CL193" s="6">
        <v>1148</v>
      </c>
      <c r="CM193" s="6">
        <f t="shared" si="69"/>
        <v>378</v>
      </c>
      <c r="CN193" s="6"/>
      <c r="CO193" s="6"/>
      <c r="CP193" s="6"/>
      <c r="CQ193" s="6">
        <v>663</v>
      </c>
      <c r="CR193" s="6"/>
      <c r="CS193" s="6">
        <f t="shared" si="70"/>
        <v>388</v>
      </c>
      <c r="CT193" s="6">
        <v>5</v>
      </c>
      <c r="CU193" s="6">
        <v>1033</v>
      </c>
      <c r="CV193" s="6">
        <f t="shared" si="71"/>
        <v>375</v>
      </c>
      <c r="CW193" s="6">
        <v>388</v>
      </c>
      <c r="CX193" s="6"/>
      <c r="CY193" s="6">
        <f t="shared" si="72"/>
        <v>383</v>
      </c>
      <c r="CZ193" s="6">
        <v>783</v>
      </c>
      <c r="DA193" s="6"/>
      <c r="DB193" s="6">
        <f t="shared" si="73"/>
        <v>395</v>
      </c>
      <c r="DC193" s="6">
        <v>4</v>
      </c>
      <c r="DD193" s="6">
        <v>1172</v>
      </c>
      <c r="DE193" s="6">
        <f t="shared" si="74"/>
        <v>393</v>
      </c>
      <c r="DF193" s="6">
        <v>374</v>
      </c>
      <c r="DG193" s="6"/>
      <c r="DH193" s="6">
        <f t="shared" si="75"/>
        <v>370</v>
      </c>
      <c r="DI193" s="6"/>
      <c r="DJ193" s="6"/>
      <c r="DK193" s="6"/>
      <c r="DL193" s="6">
        <v>764</v>
      </c>
      <c r="DM193" s="6"/>
      <c r="DN193" s="6">
        <f t="shared" si="76"/>
        <v>390</v>
      </c>
      <c r="DO193" s="6">
        <v>1116</v>
      </c>
      <c r="DP193" s="6"/>
      <c r="DQ193" s="6">
        <f t="shared" si="77"/>
        <v>352</v>
      </c>
    </row>
    <row r="194" spans="1:121">
      <c r="A194" s="6">
        <v>190</v>
      </c>
      <c r="B194" s="6">
        <v>259</v>
      </c>
      <c r="C194" s="6">
        <v>1000</v>
      </c>
      <c r="D194" s="6">
        <v>354</v>
      </c>
      <c r="E194" s="33" t="s">
        <v>102</v>
      </c>
      <c r="F194" s="33" t="s">
        <v>102</v>
      </c>
      <c r="G194" s="33" t="s">
        <v>102</v>
      </c>
      <c r="H194" s="33" t="s">
        <v>102</v>
      </c>
      <c r="I194" s="33" t="s">
        <v>102</v>
      </c>
      <c r="J194" s="33" t="s">
        <v>102</v>
      </c>
      <c r="K194" s="33" t="s">
        <v>102</v>
      </c>
      <c r="L194" s="148" t="s">
        <v>102</v>
      </c>
      <c r="M194" s="33" t="s">
        <v>102</v>
      </c>
      <c r="N194" s="33" t="s">
        <v>102</v>
      </c>
      <c r="O194" s="33" t="s">
        <v>102</v>
      </c>
      <c r="P194" s="33" t="s">
        <v>102</v>
      </c>
      <c r="Q194" s="33" t="s">
        <v>102</v>
      </c>
      <c r="R194" s="33" t="s">
        <v>102</v>
      </c>
      <c r="S194" s="33" t="s">
        <v>102</v>
      </c>
      <c r="T194" s="33" t="s">
        <v>102</v>
      </c>
      <c r="U194" s="33" t="s">
        <v>102</v>
      </c>
      <c r="V194" s="33" t="s">
        <v>102</v>
      </c>
      <c r="W194" s="33" t="s">
        <v>102</v>
      </c>
      <c r="X194" s="33" t="s">
        <v>102</v>
      </c>
      <c r="Y194" s="33" t="s">
        <v>102</v>
      </c>
      <c r="Z194" s="33" t="s">
        <v>102</v>
      </c>
      <c r="AA194" s="33" t="s">
        <v>102</v>
      </c>
      <c r="AB194" s="33" t="s">
        <v>102</v>
      </c>
      <c r="AC194" s="33" t="s">
        <v>102</v>
      </c>
      <c r="AD194" s="33" t="s">
        <v>102</v>
      </c>
      <c r="AE194" s="33" t="s">
        <v>102</v>
      </c>
      <c r="AF194" s="6">
        <v>625</v>
      </c>
      <c r="AG194" s="6"/>
      <c r="AH194" s="35">
        <f t="shared" si="52"/>
        <v>366</v>
      </c>
      <c r="AI194" s="6">
        <v>989</v>
      </c>
      <c r="AJ194" s="6"/>
      <c r="AK194" s="35">
        <f t="shared" si="53"/>
        <v>364</v>
      </c>
      <c r="AL194" s="35">
        <v>366</v>
      </c>
      <c r="AM194" s="35">
        <v>1000</v>
      </c>
      <c r="AN194" s="35">
        <f t="shared" si="54"/>
        <v>377</v>
      </c>
      <c r="AO194" s="6">
        <v>718</v>
      </c>
      <c r="AP194" s="6"/>
      <c r="AQ194" s="35">
        <f t="shared" si="55"/>
        <v>352</v>
      </c>
      <c r="AR194" s="6">
        <v>1106</v>
      </c>
      <c r="AS194" s="6"/>
      <c r="AT194" s="34">
        <f t="shared" si="56"/>
        <v>388</v>
      </c>
      <c r="AU194" s="35">
        <v>0</v>
      </c>
      <c r="AV194" s="35">
        <v>1308</v>
      </c>
      <c r="AW194" s="35">
        <f t="shared" si="57"/>
        <v>202</v>
      </c>
      <c r="AX194" s="6"/>
      <c r="AY194" s="6"/>
      <c r="AZ194" s="35"/>
      <c r="BA194" s="6">
        <v>286</v>
      </c>
      <c r="BB194" s="6"/>
      <c r="BC194" s="35">
        <f t="shared" si="58"/>
        <v>286</v>
      </c>
      <c r="BD194" s="35">
        <v>658</v>
      </c>
      <c r="BE194" s="35"/>
      <c r="BF194" s="35">
        <f t="shared" si="59"/>
        <v>372</v>
      </c>
      <c r="BG194" s="35">
        <v>8</v>
      </c>
      <c r="BH194" s="6">
        <v>955</v>
      </c>
      <c r="BI194" s="35">
        <f t="shared" si="60"/>
        <v>305</v>
      </c>
      <c r="BJ194" s="35">
        <v>396</v>
      </c>
      <c r="BK194" s="6"/>
      <c r="BL194" s="35">
        <f t="shared" si="61"/>
        <v>388</v>
      </c>
      <c r="BM194" s="6">
        <v>780</v>
      </c>
      <c r="BN194" s="6"/>
      <c r="BO194" s="6">
        <f t="shared" si="62"/>
        <v>384</v>
      </c>
      <c r="BP194" s="6">
        <v>121</v>
      </c>
      <c r="BQ194" s="7">
        <v>1000</v>
      </c>
      <c r="BR194" s="6">
        <f t="shared" si="63"/>
        <v>341</v>
      </c>
      <c r="BS194" s="7"/>
      <c r="BT194" s="7"/>
      <c r="BU194" s="35"/>
      <c r="BV194" s="6">
        <v>126</v>
      </c>
      <c r="BW194" s="6"/>
      <c r="BX194" s="6">
        <f t="shared" si="64"/>
        <v>5</v>
      </c>
      <c r="BY194" s="35">
        <v>126</v>
      </c>
      <c r="BZ194" s="6"/>
      <c r="CA194" s="35">
        <f t="shared" si="65"/>
        <v>0</v>
      </c>
      <c r="CB194" s="35">
        <v>126</v>
      </c>
      <c r="CC194" s="6"/>
      <c r="CD194" s="6">
        <f t="shared" si="66"/>
        <v>0</v>
      </c>
      <c r="CE194" s="6">
        <v>126</v>
      </c>
      <c r="CF194" s="6"/>
      <c r="CG194" s="6">
        <f t="shared" si="67"/>
        <v>0</v>
      </c>
      <c r="CH194" s="6">
        <v>126</v>
      </c>
      <c r="CI194" s="6"/>
      <c r="CJ194" s="6">
        <f t="shared" si="68"/>
        <v>0</v>
      </c>
      <c r="CK194" s="6">
        <v>126</v>
      </c>
      <c r="CL194" s="6"/>
      <c r="CM194" s="6">
        <f t="shared" si="69"/>
        <v>0</v>
      </c>
      <c r="CN194" s="6"/>
      <c r="CO194" s="6"/>
      <c r="CP194" s="6"/>
      <c r="CQ194" s="6">
        <v>126</v>
      </c>
      <c r="CR194" s="6"/>
      <c r="CS194" s="6">
        <f t="shared" si="70"/>
        <v>0</v>
      </c>
      <c r="CT194" s="6">
        <v>126</v>
      </c>
      <c r="CU194" s="6"/>
      <c r="CV194" s="6">
        <f t="shared" si="71"/>
        <v>0</v>
      </c>
      <c r="CW194" s="6">
        <v>126</v>
      </c>
      <c r="CX194" s="6"/>
      <c r="CY194" s="6">
        <f t="shared" si="72"/>
        <v>0</v>
      </c>
      <c r="CZ194" s="6">
        <v>126</v>
      </c>
      <c r="DA194" s="6"/>
      <c r="DB194" s="6">
        <f t="shared" si="73"/>
        <v>0</v>
      </c>
      <c r="DC194" s="6">
        <v>514</v>
      </c>
      <c r="DD194" s="6"/>
      <c r="DE194" s="6">
        <f t="shared" si="74"/>
        <v>388</v>
      </c>
      <c r="DF194" s="6">
        <v>880</v>
      </c>
      <c r="DG194" s="6"/>
      <c r="DH194" s="6">
        <f t="shared" si="75"/>
        <v>366</v>
      </c>
      <c r="DI194" s="6"/>
      <c r="DJ194" s="6"/>
      <c r="DK194" s="6"/>
      <c r="DL194" s="6">
        <v>269</v>
      </c>
      <c r="DM194" s="6">
        <v>1000</v>
      </c>
      <c r="DN194" s="6">
        <f t="shared" si="76"/>
        <v>389</v>
      </c>
      <c r="DO194" s="6">
        <v>637</v>
      </c>
      <c r="DP194" s="6"/>
      <c r="DQ194" s="6">
        <f t="shared" si="77"/>
        <v>368</v>
      </c>
    </row>
    <row r="195" spans="1:121">
      <c r="A195" s="6">
        <v>191</v>
      </c>
      <c r="B195" s="6">
        <v>455</v>
      </c>
      <c r="C195" s="6"/>
      <c r="D195" s="6">
        <v>321</v>
      </c>
      <c r="E195" s="33" t="s">
        <v>102</v>
      </c>
      <c r="F195" s="33" t="s">
        <v>102</v>
      </c>
      <c r="G195" s="33" t="s">
        <v>102</v>
      </c>
      <c r="H195" s="33" t="s">
        <v>102</v>
      </c>
      <c r="I195" s="33" t="s">
        <v>102</v>
      </c>
      <c r="J195" s="33" t="s">
        <v>102</v>
      </c>
      <c r="K195" s="33" t="s">
        <v>102</v>
      </c>
      <c r="L195" s="33" t="s">
        <v>102</v>
      </c>
      <c r="M195" s="33" t="s">
        <v>102</v>
      </c>
      <c r="N195" s="148" t="s">
        <v>37</v>
      </c>
      <c r="O195" s="33" t="s">
        <v>37</v>
      </c>
      <c r="P195" s="33" t="s">
        <v>37</v>
      </c>
      <c r="Q195" s="33" t="s">
        <v>37</v>
      </c>
      <c r="R195" s="33" t="s">
        <v>37</v>
      </c>
      <c r="S195" s="33" t="s">
        <v>37</v>
      </c>
      <c r="T195" s="33" t="s">
        <v>37</v>
      </c>
      <c r="U195" s="33" t="s">
        <v>37</v>
      </c>
      <c r="V195" s="33" t="s">
        <v>37</v>
      </c>
      <c r="W195" s="33" t="s">
        <v>37</v>
      </c>
      <c r="X195" s="33" t="s">
        <v>37</v>
      </c>
      <c r="Y195" s="33" t="s">
        <v>37</v>
      </c>
      <c r="Z195" s="33" t="s">
        <v>37</v>
      </c>
      <c r="AA195" s="33" t="s">
        <v>37</v>
      </c>
      <c r="AB195" s="33" t="s">
        <v>37</v>
      </c>
      <c r="AC195" s="33" t="s">
        <v>37</v>
      </c>
      <c r="AD195" s="33" t="s">
        <v>37</v>
      </c>
      <c r="AE195" s="33" t="s">
        <v>37</v>
      </c>
      <c r="AF195" s="35">
        <v>189</v>
      </c>
      <c r="AG195" s="35">
        <v>671</v>
      </c>
      <c r="AH195" s="35">
        <f t="shared" si="52"/>
        <v>405</v>
      </c>
      <c r="AI195" s="35">
        <v>580</v>
      </c>
      <c r="AJ195" s="35"/>
      <c r="AK195" s="35">
        <f t="shared" si="53"/>
        <v>391</v>
      </c>
      <c r="AL195" s="35">
        <v>914</v>
      </c>
      <c r="AM195" s="35"/>
      <c r="AN195" s="35">
        <f t="shared" si="54"/>
        <v>334</v>
      </c>
      <c r="AO195" s="6">
        <v>235</v>
      </c>
      <c r="AP195" s="6">
        <v>1000</v>
      </c>
      <c r="AQ195" s="35">
        <f t="shared" si="55"/>
        <v>321</v>
      </c>
      <c r="AR195" s="6">
        <v>583</v>
      </c>
      <c r="AS195" s="6"/>
      <c r="AT195" s="34">
        <f t="shared" si="56"/>
        <v>348</v>
      </c>
      <c r="AU195" s="35">
        <v>920</v>
      </c>
      <c r="AV195" s="35"/>
      <c r="AW195" s="35">
        <f t="shared" si="57"/>
        <v>337</v>
      </c>
      <c r="AX195" s="6"/>
      <c r="AY195" s="6"/>
      <c r="AZ195" s="35"/>
      <c r="BA195" s="6">
        <v>267</v>
      </c>
      <c r="BB195" s="6">
        <v>1000</v>
      </c>
      <c r="BC195" s="35">
        <f t="shared" si="58"/>
        <v>347</v>
      </c>
      <c r="BD195" s="35">
        <v>638</v>
      </c>
      <c r="BE195" s="35"/>
      <c r="BF195" s="35">
        <f t="shared" si="59"/>
        <v>371</v>
      </c>
      <c r="BG195" s="6">
        <v>172</v>
      </c>
      <c r="BH195" s="6">
        <v>657</v>
      </c>
      <c r="BI195" s="35">
        <f t="shared" si="60"/>
        <v>191</v>
      </c>
      <c r="BJ195" s="35">
        <v>559</v>
      </c>
      <c r="BK195" s="6"/>
      <c r="BL195" s="35">
        <f t="shared" si="61"/>
        <v>387</v>
      </c>
      <c r="BM195" s="6">
        <v>953</v>
      </c>
      <c r="BN195" s="6"/>
      <c r="BO195" s="6">
        <f t="shared" si="62"/>
        <v>394</v>
      </c>
      <c r="BP195" s="6">
        <v>1331</v>
      </c>
      <c r="BQ195" s="7"/>
      <c r="BR195" s="6">
        <f t="shared" si="63"/>
        <v>378</v>
      </c>
      <c r="BS195" s="7"/>
      <c r="BT195" s="7"/>
      <c r="BU195" s="35"/>
      <c r="BV195" s="6">
        <v>154</v>
      </c>
      <c r="BW195" s="6">
        <v>1560</v>
      </c>
      <c r="BX195" s="6">
        <f t="shared" si="64"/>
        <v>383</v>
      </c>
      <c r="BY195" s="35">
        <v>519</v>
      </c>
      <c r="BZ195" s="6"/>
      <c r="CA195" s="35">
        <f t="shared" si="65"/>
        <v>365</v>
      </c>
      <c r="CB195" s="6">
        <v>905</v>
      </c>
      <c r="CC195" s="6"/>
      <c r="CD195" s="6">
        <f t="shared" si="66"/>
        <v>386</v>
      </c>
      <c r="CE195" s="6">
        <v>1294</v>
      </c>
      <c r="CF195" s="6"/>
      <c r="CG195" s="6">
        <f t="shared" si="67"/>
        <v>389</v>
      </c>
      <c r="CH195" s="6">
        <v>108</v>
      </c>
      <c r="CI195" s="6">
        <v>1569</v>
      </c>
      <c r="CJ195" s="6">
        <f t="shared" si="68"/>
        <v>383</v>
      </c>
      <c r="CK195" s="6">
        <v>179</v>
      </c>
      <c r="CL195" s="6">
        <v>303</v>
      </c>
      <c r="CM195" s="6">
        <f t="shared" si="69"/>
        <v>374</v>
      </c>
      <c r="CN195" s="6"/>
      <c r="CO195" s="6"/>
      <c r="CP195" s="6"/>
      <c r="CQ195" s="6">
        <v>563</v>
      </c>
      <c r="CR195" s="6"/>
      <c r="CS195" s="6">
        <f t="shared" si="70"/>
        <v>384</v>
      </c>
      <c r="CT195" s="6">
        <v>945</v>
      </c>
      <c r="CU195" s="6"/>
      <c r="CV195" s="6">
        <f t="shared" si="71"/>
        <v>382</v>
      </c>
      <c r="CW195" s="6">
        <v>1329</v>
      </c>
      <c r="CX195" s="6"/>
      <c r="CY195" s="6">
        <f t="shared" si="72"/>
        <v>384</v>
      </c>
      <c r="CZ195" s="6">
        <v>139</v>
      </c>
      <c r="DA195" s="6">
        <v>1570</v>
      </c>
      <c r="DB195" s="6">
        <f t="shared" si="73"/>
        <v>380</v>
      </c>
      <c r="DC195" s="6">
        <v>516</v>
      </c>
      <c r="DD195" s="6"/>
      <c r="DE195" s="6">
        <f t="shared" si="74"/>
        <v>377</v>
      </c>
      <c r="DF195" s="6">
        <v>874</v>
      </c>
      <c r="DG195" s="6"/>
      <c r="DH195" s="6">
        <f t="shared" si="75"/>
        <v>358</v>
      </c>
      <c r="DI195" s="6"/>
      <c r="DJ195" s="6"/>
      <c r="DK195" s="6"/>
      <c r="DL195" s="6">
        <v>1260</v>
      </c>
      <c r="DM195" s="6"/>
      <c r="DN195" s="6">
        <f t="shared" si="76"/>
        <v>386</v>
      </c>
      <c r="DO195" s="6">
        <v>61</v>
      </c>
      <c r="DP195" s="6">
        <v>1560</v>
      </c>
      <c r="DQ195" s="6">
        <f t="shared" si="77"/>
        <v>361</v>
      </c>
    </row>
    <row r="196" spans="1:121">
      <c r="A196" s="6">
        <v>192</v>
      </c>
      <c r="B196" s="6">
        <v>1404</v>
      </c>
      <c r="C196" s="6"/>
      <c r="D196" s="6">
        <v>345</v>
      </c>
      <c r="E196" s="33" t="s">
        <v>307</v>
      </c>
      <c r="F196" s="33" t="s">
        <v>307</v>
      </c>
      <c r="G196" s="33" t="s">
        <v>307</v>
      </c>
      <c r="H196" s="33" t="s">
        <v>307</v>
      </c>
      <c r="I196" s="33" t="s">
        <v>307</v>
      </c>
      <c r="J196" s="33" t="s">
        <v>307</v>
      </c>
      <c r="K196" s="33" t="s">
        <v>307</v>
      </c>
      <c r="L196" s="33" t="s">
        <v>307</v>
      </c>
      <c r="M196" s="33" t="s">
        <v>307</v>
      </c>
      <c r="N196" s="33" t="s">
        <v>307</v>
      </c>
      <c r="O196" s="33" t="s">
        <v>307</v>
      </c>
      <c r="P196" s="33" t="s">
        <v>307</v>
      </c>
      <c r="Q196" s="33" t="s">
        <v>307</v>
      </c>
      <c r="R196" s="33" t="s">
        <v>307</v>
      </c>
      <c r="S196" s="33" t="s">
        <v>307</v>
      </c>
      <c r="T196" s="33" t="s">
        <v>307</v>
      </c>
      <c r="U196" s="33" t="s">
        <v>307</v>
      </c>
      <c r="V196" s="33" t="s">
        <v>307</v>
      </c>
      <c r="W196" s="33" t="s">
        <v>307</v>
      </c>
      <c r="X196" s="33"/>
      <c r="Y196" s="148" t="s">
        <v>37</v>
      </c>
      <c r="Z196" s="33" t="s">
        <v>37</v>
      </c>
      <c r="AA196" s="33" t="s">
        <v>37</v>
      </c>
      <c r="AB196" s="33" t="s">
        <v>37</v>
      </c>
      <c r="AC196" s="33" t="s">
        <v>37</v>
      </c>
      <c r="AD196" s="33" t="s">
        <v>37</v>
      </c>
      <c r="AE196" s="33" t="s">
        <v>37</v>
      </c>
      <c r="AF196" s="6">
        <v>251</v>
      </c>
      <c r="AG196" s="6">
        <v>1560</v>
      </c>
      <c r="AH196" s="35">
        <f t="shared" si="52"/>
        <v>407</v>
      </c>
      <c r="AI196" s="6">
        <v>597</v>
      </c>
      <c r="AJ196" s="6"/>
      <c r="AK196" s="35">
        <f t="shared" si="53"/>
        <v>346</v>
      </c>
      <c r="AL196" s="35">
        <v>972</v>
      </c>
      <c r="AM196" s="35"/>
      <c r="AN196" s="35">
        <f t="shared" si="54"/>
        <v>375</v>
      </c>
      <c r="AO196" s="6">
        <v>1338</v>
      </c>
      <c r="AP196" s="6"/>
      <c r="AQ196" s="35">
        <f t="shared" si="55"/>
        <v>366</v>
      </c>
      <c r="AR196" s="6">
        <v>125</v>
      </c>
      <c r="AS196" s="6">
        <v>1565</v>
      </c>
      <c r="AT196" s="34">
        <f t="shared" si="56"/>
        <v>352</v>
      </c>
      <c r="AU196" s="35">
        <v>481</v>
      </c>
      <c r="AV196" s="35"/>
      <c r="AW196" s="35">
        <f t="shared" si="57"/>
        <v>356</v>
      </c>
      <c r="AX196" s="6"/>
      <c r="AY196" s="6"/>
      <c r="AZ196" s="35"/>
      <c r="BA196" s="6">
        <v>860</v>
      </c>
      <c r="BB196" s="6"/>
      <c r="BC196" s="35">
        <f t="shared" si="58"/>
        <v>379</v>
      </c>
      <c r="BD196" s="35">
        <v>1239</v>
      </c>
      <c r="BE196" s="35"/>
      <c r="BF196" s="35">
        <f t="shared" si="59"/>
        <v>379</v>
      </c>
      <c r="BG196" s="6">
        <v>57</v>
      </c>
      <c r="BH196" s="6">
        <v>1560</v>
      </c>
      <c r="BI196" s="35">
        <f t="shared" si="60"/>
        <v>378</v>
      </c>
      <c r="BJ196" s="35">
        <v>426</v>
      </c>
      <c r="BK196" s="6"/>
      <c r="BL196" s="35">
        <f t="shared" si="61"/>
        <v>369</v>
      </c>
      <c r="BM196" s="6">
        <v>299</v>
      </c>
      <c r="BN196" s="6">
        <v>492</v>
      </c>
      <c r="BO196" s="6">
        <f t="shared" si="62"/>
        <v>365</v>
      </c>
      <c r="BP196" s="6">
        <v>217</v>
      </c>
      <c r="BQ196" s="7">
        <v>431</v>
      </c>
      <c r="BR196" s="6">
        <f t="shared" si="63"/>
        <v>349</v>
      </c>
      <c r="BS196" s="7"/>
      <c r="BT196" s="7"/>
      <c r="BU196" s="35"/>
      <c r="BV196" s="6">
        <v>39</v>
      </c>
      <c r="BW196" s="6">
        <v>542</v>
      </c>
      <c r="BX196" s="6">
        <f t="shared" si="64"/>
        <v>364</v>
      </c>
      <c r="BY196" s="35">
        <v>415</v>
      </c>
      <c r="BZ196" s="6"/>
      <c r="CA196" s="35">
        <f t="shared" si="65"/>
        <v>376</v>
      </c>
      <c r="CB196" s="6">
        <v>808</v>
      </c>
      <c r="CC196" s="6"/>
      <c r="CD196" s="6">
        <f t="shared" si="66"/>
        <v>393</v>
      </c>
      <c r="CE196" s="6">
        <v>1196</v>
      </c>
      <c r="CF196" s="6"/>
      <c r="CG196" s="6">
        <f t="shared" si="67"/>
        <v>388</v>
      </c>
      <c r="CH196" s="6">
        <v>1587</v>
      </c>
      <c r="CI196" s="6"/>
      <c r="CJ196" s="6">
        <f t="shared" si="68"/>
        <v>391</v>
      </c>
      <c r="CK196" s="6">
        <v>0</v>
      </c>
      <c r="CL196" s="6">
        <v>1725</v>
      </c>
      <c r="CM196" s="6">
        <f t="shared" si="69"/>
        <v>138</v>
      </c>
      <c r="CN196" s="6"/>
      <c r="CO196" s="6"/>
      <c r="CP196" s="6"/>
      <c r="CQ196" s="6"/>
      <c r="CR196" s="6"/>
      <c r="CS196" s="6"/>
      <c r="CT196" s="6">
        <v>365</v>
      </c>
      <c r="CU196" s="6"/>
      <c r="CV196" s="6">
        <f t="shared" si="71"/>
        <v>365</v>
      </c>
      <c r="CW196" s="6">
        <v>747</v>
      </c>
      <c r="CX196" s="6"/>
      <c r="CY196" s="6">
        <f t="shared" si="72"/>
        <v>382</v>
      </c>
      <c r="CZ196" s="6">
        <v>1127</v>
      </c>
      <c r="DA196" s="6"/>
      <c r="DB196" s="6">
        <f t="shared" si="73"/>
        <v>380</v>
      </c>
      <c r="DC196" s="6">
        <v>1511</v>
      </c>
      <c r="DD196" s="6"/>
      <c r="DE196" s="6">
        <f t="shared" si="74"/>
        <v>384</v>
      </c>
      <c r="DF196" s="6">
        <v>315</v>
      </c>
      <c r="DG196" s="6">
        <v>1560</v>
      </c>
      <c r="DH196" s="6">
        <f t="shared" si="75"/>
        <v>364</v>
      </c>
      <c r="DI196" s="6"/>
      <c r="DJ196" s="6"/>
      <c r="DK196" s="6"/>
      <c r="DL196" s="6">
        <v>706</v>
      </c>
      <c r="DM196" s="6"/>
      <c r="DN196" s="6">
        <f t="shared" si="76"/>
        <v>391</v>
      </c>
      <c r="DO196" s="6">
        <v>1065</v>
      </c>
      <c r="DP196" s="6"/>
      <c r="DQ196" s="6">
        <f t="shared" si="77"/>
        <v>359</v>
      </c>
    </row>
    <row r="197" spans="1:121">
      <c r="A197" s="6">
        <v>193</v>
      </c>
      <c r="B197" s="6">
        <v>168</v>
      </c>
      <c r="C197" s="6">
        <v>1000</v>
      </c>
      <c r="D197" s="6">
        <v>375</v>
      </c>
      <c r="E197" s="33" t="s">
        <v>102</v>
      </c>
      <c r="F197" s="33" t="s">
        <v>102</v>
      </c>
      <c r="G197" s="33" t="s">
        <v>102</v>
      </c>
      <c r="H197" s="33" t="s">
        <v>102</v>
      </c>
      <c r="I197" s="33" t="s">
        <v>102</v>
      </c>
      <c r="J197" s="33" t="s">
        <v>102</v>
      </c>
      <c r="K197" s="33" t="s">
        <v>102</v>
      </c>
      <c r="L197" s="33" t="s">
        <v>102</v>
      </c>
      <c r="M197" s="33" t="s">
        <v>102</v>
      </c>
      <c r="N197" s="33" t="s">
        <v>102</v>
      </c>
      <c r="O197" s="33" t="s">
        <v>102</v>
      </c>
      <c r="P197" s="33" t="s">
        <v>102</v>
      </c>
      <c r="Q197" s="33" t="s">
        <v>102</v>
      </c>
      <c r="R197" s="33" t="s">
        <v>102</v>
      </c>
      <c r="S197" s="33" t="s">
        <v>102</v>
      </c>
      <c r="T197" s="33"/>
      <c r="U197" s="33"/>
      <c r="V197" s="33"/>
      <c r="W197" s="33"/>
      <c r="X197" s="33"/>
      <c r="Y197" s="148" t="s">
        <v>37</v>
      </c>
      <c r="Z197" s="33" t="s">
        <v>37</v>
      </c>
      <c r="AA197" s="33" t="s">
        <v>37</v>
      </c>
      <c r="AB197" s="33" t="s">
        <v>37</v>
      </c>
      <c r="AC197" s="33" t="s">
        <v>37</v>
      </c>
      <c r="AD197" s="33" t="s">
        <v>37</v>
      </c>
      <c r="AE197" s="33" t="s">
        <v>37</v>
      </c>
      <c r="AF197" s="6">
        <v>1</v>
      </c>
      <c r="AG197" s="6">
        <v>598</v>
      </c>
      <c r="AH197" s="35">
        <f t="shared" si="52"/>
        <v>431</v>
      </c>
      <c r="AI197" s="6">
        <v>419</v>
      </c>
      <c r="AJ197" s="6"/>
      <c r="AK197" s="35">
        <f t="shared" si="53"/>
        <v>418</v>
      </c>
      <c r="AL197" s="35">
        <v>834</v>
      </c>
      <c r="AM197" s="35"/>
      <c r="AN197" s="35">
        <f t="shared" si="54"/>
        <v>415</v>
      </c>
      <c r="AO197" s="6">
        <v>252</v>
      </c>
      <c r="AP197" s="6">
        <v>1000</v>
      </c>
      <c r="AQ197" s="35">
        <f t="shared" si="55"/>
        <v>418</v>
      </c>
      <c r="AR197" s="6">
        <v>192</v>
      </c>
      <c r="AS197" s="6">
        <v>475</v>
      </c>
      <c r="AT197" s="34">
        <f t="shared" si="56"/>
        <v>415</v>
      </c>
      <c r="AU197" s="35">
        <v>594</v>
      </c>
      <c r="AV197" s="35"/>
      <c r="AW197" s="35">
        <f t="shared" si="57"/>
        <v>402</v>
      </c>
      <c r="AX197" s="6"/>
      <c r="AY197" s="6"/>
      <c r="AZ197" s="35"/>
      <c r="BA197" s="6">
        <v>19</v>
      </c>
      <c r="BB197" s="6">
        <v>1000</v>
      </c>
      <c r="BC197" s="35">
        <f t="shared" si="58"/>
        <v>425</v>
      </c>
      <c r="BD197" s="35">
        <v>446</v>
      </c>
      <c r="BE197" s="35"/>
      <c r="BF197" s="35">
        <f t="shared" si="59"/>
        <v>427</v>
      </c>
      <c r="BG197" s="6">
        <v>82</v>
      </c>
      <c r="BH197" s="6">
        <v>785</v>
      </c>
      <c r="BI197" s="35">
        <f t="shared" si="60"/>
        <v>421</v>
      </c>
      <c r="BJ197" s="35">
        <v>515</v>
      </c>
      <c r="BK197" s="6"/>
      <c r="BL197" s="35">
        <f t="shared" si="61"/>
        <v>433</v>
      </c>
      <c r="BM197" s="6">
        <v>932</v>
      </c>
      <c r="BN197" s="6"/>
      <c r="BO197" s="6">
        <f t="shared" si="62"/>
        <v>417</v>
      </c>
      <c r="BP197" s="6">
        <v>321</v>
      </c>
      <c r="BQ197" s="7">
        <v>1017</v>
      </c>
      <c r="BR197" s="6">
        <f t="shared" si="63"/>
        <v>406</v>
      </c>
      <c r="BS197" s="7"/>
      <c r="BT197" s="7"/>
      <c r="BU197" s="35"/>
      <c r="BV197" s="6">
        <v>744</v>
      </c>
      <c r="BW197" s="6"/>
      <c r="BX197" s="6">
        <f t="shared" si="64"/>
        <v>423</v>
      </c>
      <c r="BY197" s="35">
        <v>0</v>
      </c>
      <c r="BZ197" s="6">
        <v>1065</v>
      </c>
      <c r="CA197" s="35">
        <f t="shared" si="65"/>
        <v>321</v>
      </c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>
        <v>369</v>
      </c>
      <c r="CU197" s="6"/>
      <c r="CV197" s="6">
        <f t="shared" si="71"/>
        <v>369</v>
      </c>
      <c r="CW197" s="6">
        <v>751</v>
      </c>
      <c r="CX197" s="6"/>
      <c r="CY197" s="6">
        <f t="shared" si="72"/>
        <v>382</v>
      </c>
      <c r="CZ197" s="6">
        <v>1134</v>
      </c>
      <c r="DA197" s="6"/>
      <c r="DB197" s="6">
        <f t="shared" si="73"/>
        <v>383</v>
      </c>
      <c r="DC197" s="6">
        <v>1510</v>
      </c>
      <c r="DD197" s="6"/>
      <c r="DE197" s="6">
        <f t="shared" si="74"/>
        <v>376</v>
      </c>
      <c r="DF197" s="6">
        <v>307</v>
      </c>
      <c r="DG197" s="6">
        <v>1560</v>
      </c>
      <c r="DH197" s="6">
        <f t="shared" si="75"/>
        <v>357</v>
      </c>
      <c r="DI197" s="6"/>
      <c r="DJ197" s="6"/>
      <c r="DK197" s="6"/>
      <c r="DL197" s="6">
        <v>688</v>
      </c>
      <c r="DM197" s="6"/>
      <c r="DN197" s="6">
        <f t="shared" si="76"/>
        <v>381</v>
      </c>
      <c r="DO197" s="6">
        <v>1044</v>
      </c>
      <c r="DP197" s="6"/>
      <c r="DQ197" s="6">
        <f t="shared" si="77"/>
        <v>356</v>
      </c>
    </row>
    <row r="198" spans="1:121">
      <c r="A198" s="6">
        <v>194</v>
      </c>
      <c r="B198" s="6">
        <v>153</v>
      </c>
      <c r="C198" s="6">
        <v>712</v>
      </c>
      <c r="D198" s="6">
        <v>298</v>
      </c>
      <c r="E198" s="33" t="s">
        <v>37</v>
      </c>
      <c r="F198" s="33" t="s">
        <v>37</v>
      </c>
      <c r="G198" s="33" t="s">
        <v>37</v>
      </c>
      <c r="H198" s="33" t="s">
        <v>37</v>
      </c>
      <c r="I198" s="33" t="s">
        <v>37</v>
      </c>
      <c r="J198" s="33" t="s">
        <v>37</v>
      </c>
      <c r="K198" s="33" t="s">
        <v>37</v>
      </c>
      <c r="L198" s="148" t="s">
        <v>37</v>
      </c>
      <c r="M198" s="33" t="s">
        <v>37</v>
      </c>
      <c r="N198" s="33" t="s">
        <v>37</v>
      </c>
      <c r="O198" s="33" t="s">
        <v>37</v>
      </c>
      <c r="P198" s="33" t="s">
        <v>37</v>
      </c>
      <c r="Q198" s="33" t="s">
        <v>37</v>
      </c>
      <c r="R198" s="33" t="s">
        <v>37</v>
      </c>
      <c r="S198" s="33" t="s">
        <v>37</v>
      </c>
      <c r="T198" s="33" t="s">
        <v>37</v>
      </c>
      <c r="U198" s="33" t="s">
        <v>37</v>
      </c>
      <c r="V198" s="33" t="s">
        <v>37</v>
      </c>
      <c r="W198" s="33" t="s">
        <v>37</v>
      </c>
      <c r="X198" s="33" t="s">
        <v>37</v>
      </c>
      <c r="Y198" s="33" t="s">
        <v>37</v>
      </c>
      <c r="Z198" s="33" t="s">
        <v>37</v>
      </c>
      <c r="AA198" s="33" t="s">
        <v>37</v>
      </c>
      <c r="AB198" s="33" t="s">
        <v>37</v>
      </c>
      <c r="AC198" s="33" t="s">
        <v>37</v>
      </c>
      <c r="AD198" s="33" t="s">
        <v>37</v>
      </c>
      <c r="AE198" s="33" t="s">
        <v>37</v>
      </c>
      <c r="AF198" s="6">
        <v>542</v>
      </c>
      <c r="AG198" s="6"/>
      <c r="AH198" s="35">
        <f t="shared" ref="AH198:AH256" si="78">AG198+AF198-B198</f>
        <v>389</v>
      </c>
      <c r="AI198" s="6">
        <v>251</v>
      </c>
      <c r="AJ198" s="6">
        <v>656</v>
      </c>
      <c r="AK198" s="35">
        <f t="shared" ref="AK198:AK256" si="79">AJ198+AI198-AF198</f>
        <v>365</v>
      </c>
      <c r="AL198" s="35">
        <v>359</v>
      </c>
      <c r="AM198" s="35">
        <v>277</v>
      </c>
      <c r="AN198" s="35">
        <f t="shared" ref="AN198:AN256" si="80">AM198+AL198-AI198</f>
        <v>385</v>
      </c>
      <c r="AO198" s="6">
        <v>731</v>
      </c>
      <c r="AP198" s="6"/>
      <c r="AQ198" s="35">
        <f t="shared" ref="AQ198:AQ256" si="81">AP198+AO198-AL198</f>
        <v>372</v>
      </c>
      <c r="AR198" s="6">
        <v>1109</v>
      </c>
      <c r="AS198" s="6"/>
      <c r="AT198" s="34">
        <f t="shared" ref="AT198:AT256" si="82">AS198+AR198-AO198</f>
        <v>378</v>
      </c>
      <c r="AU198" s="35">
        <v>0</v>
      </c>
      <c r="AV198" s="35">
        <v>1285</v>
      </c>
      <c r="AW198" s="35">
        <f t="shared" ref="AW198:AW256" si="83">AV198+AU198-AR198</f>
        <v>176</v>
      </c>
      <c r="AX198" s="6"/>
      <c r="AY198" s="6"/>
      <c r="AZ198" s="35"/>
      <c r="BA198" s="6">
        <v>341</v>
      </c>
      <c r="BB198" s="6"/>
      <c r="BC198" s="35">
        <f t="shared" ref="BC198:BC256" si="84">BB198+BA198-AU198</f>
        <v>341</v>
      </c>
      <c r="BD198" s="35">
        <v>719</v>
      </c>
      <c r="BE198" s="35"/>
      <c r="BF198" s="35">
        <f t="shared" ref="BF198:BF256" si="85">BE198+BD198-BA198</f>
        <v>378</v>
      </c>
      <c r="BG198" s="6">
        <v>1102</v>
      </c>
      <c r="BH198" s="6"/>
      <c r="BI198" s="35">
        <f t="shared" ref="BI198:BI256" si="86">BH198+BG198-BD198</f>
        <v>383</v>
      </c>
      <c r="BJ198" s="35">
        <v>1482</v>
      </c>
      <c r="BK198" s="6"/>
      <c r="BL198" s="35">
        <f t="shared" ref="BL198:BL256" si="87">BK198+BJ198-BG198</f>
        <v>380</v>
      </c>
      <c r="BM198" s="6">
        <v>302</v>
      </c>
      <c r="BN198" s="6">
        <v>1560</v>
      </c>
      <c r="BO198" s="6">
        <f t="shared" ref="BO198:BO256" si="88">BN198+BM198-BJ198</f>
        <v>380</v>
      </c>
      <c r="BP198" s="6">
        <v>668</v>
      </c>
      <c r="BQ198" s="305"/>
      <c r="BR198" s="6">
        <f t="shared" ref="BR198:BR256" si="89">BQ198+BP198-BM198</f>
        <v>366</v>
      </c>
      <c r="BS198" s="7"/>
      <c r="BT198" s="7"/>
      <c r="BU198" s="35"/>
      <c r="BV198" s="6">
        <v>1055</v>
      </c>
      <c r="BW198" s="6"/>
      <c r="BX198" s="6">
        <f t="shared" ref="BX198:BX256" si="90">BW198+BV198-BP198</f>
        <v>387</v>
      </c>
      <c r="BY198" s="35">
        <v>1433</v>
      </c>
      <c r="BZ198" s="6"/>
      <c r="CA198" s="35">
        <f t="shared" ref="CA198:CA256" si="91">BZ198+BY198-BV198</f>
        <v>378</v>
      </c>
      <c r="CB198" s="6">
        <v>257</v>
      </c>
      <c r="CC198" s="6">
        <v>1560</v>
      </c>
      <c r="CD198" s="6">
        <f t="shared" ref="CD198:CD256" si="92">CC198+CB198-BY198</f>
        <v>384</v>
      </c>
      <c r="CE198" s="6">
        <v>664</v>
      </c>
      <c r="CF198" s="6"/>
      <c r="CG198" s="6">
        <f t="shared" ref="CG198:CG256" si="93">CF198+CE198-CB198</f>
        <v>407</v>
      </c>
      <c r="CH198" s="6">
        <v>1029</v>
      </c>
      <c r="CI198" s="6"/>
      <c r="CJ198" s="6">
        <f t="shared" ref="CJ198:CJ256" si="94">CI198+CH198-CE198</f>
        <v>365</v>
      </c>
      <c r="CK198" s="6">
        <v>23</v>
      </c>
      <c r="CL198" s="6">
        <v>1384</v>
      </c>
      <c r="CM198" s="6">
        <f t="shared" ref="CM198:CM256" si="95">CL198+CK198-CH198</f>
        <v>378</v>
      </c>
      <c r="CN198" s="6"/>
      <c r="CO198" s="6"/>
      <c r="CP198" s="6"/>
      <c r="CQ198" s="6">
        <v>402</v>
      </c>
      <c r="CR198" s="6"/>
      <c r="CS198" s="6">
        <f t="shared" ref="CS198:CS256" si="96">CR198+CQ198-CK198</f>
        <v>379</v>
      </c>
      <c r="CT198" s="6">
        <v>784</v>
      </c>
      <c r="CU198" s="6"/>
      <c r="CV198" s="6">
        <f t="shared" ref="CV198:CV256" si="97">CU198+CT198-CQ198</f>
        <v>382</v>
      </c>
      <c r="CW198" s="6">
        <v>1172</v>
      </c>
      <c r="CX198" s="6"/>
      <c r="CY198" s="6">
        <f t="shared" ref="CY198:CY256" si="98">CX198+CW198-CT198</f>
        <v>388</v>
      </c>
      <c r="CZ198" s="6">
        <v>1</v>
      </c>
      <c r="DA198" s="6">
        <v>1560</v>
      </c>
      <c r="DB198" s="6">
        <f t="shared" ref="DB198:DB256" si="99">DA198+CZ198-CW198</f>
        <v>389</v>
      </c>
      <c r="DC198" s="6">
        <v>387</v>
      </c>
      <c r="DD198" s="6"/>
      <c r="DE198" s="6">
        <f t="shared" ref="DE198:DE256" si="100">DD198+DC198-CZ198</f>
        <v>386</v>
      </c>
      <c r="DF198" s="6">
        <v>753</v>
      </c>
      <c r="DG198" s="6"/>
      <c r="DH198" s="6">
        <f t="shared" ref="DH198:DH256" si="101">DG198+DF198-DC198</f>
        <v>366</v>
      </c>
      <c r="DI198" s="6"/>
      <c r="DJ198" s="6"/>
      <c r="DK198" s="6"/>
      <c r="DL198" s="6">
        <v>1140</v>
      </c>
      <c r="DM198" s="6"/>
      <c r="DN198" s="6">
        <f t="shared" ref="DN198:DN256" si="102">DM198+DL198-DF198</f>
        <v>387</v>
      </c>
      <c r="DO198" s="6">
        <v>1501</v>
      </c>
      <c r="DP198" s="6"/>
      <c r="DQ198" s="6">
        <f t="shared" ref="DQ198:DQ256" si="103">DP198+DO198-DL198</f>
        <v>361</v>
      </c>
    </row>
    <row r="199" spans="1:121">
      <c r="A199" s="6">
        <v>195</v>
      </c>
      <c r="B199" s="6">
        <v>895</v>
      </c>
      <c r="C199" s="6"/>
      <c r="D199" s="6">
        <v>360</v>
      </c>
      <c r="E199" s="33" t="s">
        <v>307</v>
      </c>
      <c r="F199" s="33" t="s">
        <v>307</v>
      </c>
      <c r="G199" s="33" t="s">
        <v>307</v>
      </c>
      <c r="H199" s="33" t="s">
        <v>307</v>
      </c>
      <c r="I199" s="33" t="s">
        <v>307</v>
      </c>
      <c r="J199" s="33" t="s">
        <v>307</v>
      </c>
      <c r="K199" s="148" t="s">
        <v>37</v>
      </c>
      <c r="L199" s="33" t="s">
        <v>37</v>
      </c>
      <c r="M199" s="33" t="s">
        <v>37</v>
      </c>
      <c r="N199" s="33" t="s">
        <v>37</v>
      </c>
      <c r="O199" s="33" t="s">
        <v>37</v>
      </c>
      <c r="P199" s="33" t="s">
        <v>37</v>
      </c>
      <c r="Q199" s="33" t="s">
        <v>37</v>
      </c>
      <c r="R199" s="33" t="s">
        <v>37</v>
      </c>
      <c r="S199" s="33" t="s">
        <v>37</v>
      </c>
      <c r="T199" s="33" t="s">
        <v>37</v>
      </c>
      <c r="U199" s="33" t="s">
        <v>37</v>
      </c>
      <c r="V199" s="33" t="s">
        <v>37</v>
      </c>
      <c r="W199" s="33" t="s">
        <v>37</v>
      </c>
      <c r="X199" s="33" t="s">
        <v>37</v>
      </c>
      <c r="Y199" s="33" t="s">
        <v>37</v>
      </c>
      <c r="Z199" s="33" t="s">
        <v>37</v>
      </c>
      <c r="AA199" s="33" t="s">
        <v>37</v>
      </c>
      <c r="AB199" s="33" t="s">
        <v>37</v>
      </c>
      <c r="AC199" s="33" t="s">
        <v>37</v>
      </c>
      <c r="AD199" s="33" t="s">
        <v>37</v>
      </c>
      <c r="AE199" s="33" t="s">
        <v>37</v>
      </c>
      <c r="AF199" s="35">
        <v>1319</v>
      </c>
      <c r="AG199" s="35"/>
      <c r="AH199" s="35">
        <f t="shared" si="78"/>
        <v>424</v>
      </c>
      <c r="AI199" s="35">
        <v>139</v>
      </c>
      <c r="AJ199" s="35">
        <v>1560</v>
      </c>
      <c r="AK199" s="35">
        <f t="shared" si="79"/>
        <v>380</v>
      </c>
      <c r="AL199" s="35">
        <v>526</v>
      </c>
      <c r="AM199" s="35"/>
      <c r="AN199" s="35">
        <f t="shared" si="80"/>
        <v>387</v>
      </c>
      <c r="AO199" s="35">
        <v>916</v>
      </c>
      <c r="AP199" s="35"/>
      <c r="AQ199" s="35">
        <f t="shared" si="81"/>
        <v>390</v>
      </c>
      <c r="AR199" s="35">
        <v>0</v>
      </c>
      <c r="AS199" s="35">
        <v>1133</v>
      </c>
      <c r="AT199" s="34">
        <f t="shared" si="82"/>
        <v>217</v>
      </c>
      <c r="AU199" s="35">
        <v>352</v>
      </c>
      <c r="AV199" s="35"/>
      <c r="AW199" s="35">
        <f t="shared" si="83"/>
        <v>352</v>
      </c>
      <c r="AX199" s="6"/>
      <c r="AY199" s="6"/>
      <c r="AZ199" s="35"/>
      <c r="BA199" s="6">
        <v>747</v>
      </c>
      <c r="BB199" s="6"/>
      <c r="BC199" s="35">
        <f t="shared" si="84"/>
        <v>395</v>
      </c>
      <c r="BD199" s="6">
        <v>1138</v>
      </c>
      <c r="BE199" s="6"/>
      <c r="BF199" s="35">
        <f t="shared" si="85"/>
        <v>391</v>
      </c>
      <c r="BG199" s="6">
        <v>1538</v>
      </c>
      <c r="BH199" s="6"/>
      <c r="BI199" s="35">
        <f t="shared" si="86"/>
        <v>400</v>
      </c>
      <c r="BJ199" s="35">
        <v>364</v>
      </c>
      <c r="BK199" s="6">
        <v>1560</v>
      </c>
      <c r="BL199" s="35">
        <f t="shared" si="87"/>
        <v>386</v>
      </c>
      <c r="BM199" s="6">
        <v>759</v>
      </c>
      <c r="BN199" s="35"/>
      <c r="BO199" s="6">
        <f t="shared" si="88"/>
        <v>395</v>
      </c>
      <c r="BP199" s="6">
        <v>1135</v>
      </c>
      <c r="BQ199" s="305"/>
      <c r="BR199" s="6">
        <f t="shared" si="89"/>
        <v>376</v>
      </c>
      <c r="BS199" s="7"/>
      <c r="BT199" s="7"/>
      <c r="BU199" s="35"/>
      <c r="BV199" s="35">
        <v>1533</v>
      </c>
      <c r="BW199" s="6"/>
      <c r="BX199" s="6">
        <f t="shared" si="90"/>
        <v>398</v>
      </c>
      <c r="BY199" s="35">
        <v>363</v>
      </c>
      <c r="BZ199" s="6">
        <v>1560</v>
      </c>
      <c r="CA199" s="35">
        <f t="shared" si="91"/>
        <v>390</v>
      </c>
      <c r="CB199" s="6">
        <v>759</v>
      </c>
      <c r="CC199" s="35"/>
      <c r="CD199" s="6">
        <f t="shared" si="92"/>
        <v>396</v>
      </c>
      <c r="CE199" s="6">
        <v>1152</v>
      </c>
      <c r="CF199" s="6"/>
      <c r="CG199" s="6">
        <f t="shared" si="93"/>
        <v>393</v>
      </c>
      <c r="CH199" s="6">
        <v>1541</v>
      </c>
      <c r="CI199" s="35"/>
      <c r="CJ199" s="6">
        <f t="shared" si="94"/>
        <v>389</v>
      </c>
      <c r="CK199" s="6">
        <v>364</v>
      </c>
      <c r="CL199" s="6">
        <v>1560</v>
      </c>
      <c r="CM199" s="6">
        <f t="shared" si="95"/>
        <v>383</v>
      </c>
      <c r="CN199" s="6"/>
      <c r="CO199" s="6"/>
      <c r="CP199" s="6"/>
      <c r="CQ199" s="6">
        <v>751</v>
      </c>
      <c r="CR199" s="6"/>
      <c r="CS199" s="6">
        <f t="shared" si="96"/>
        <v>387</v>
      </c>
      <c r="CT199" s="6">
        <v>1134</v>
      </c>
      <c r="CU199" s="35"/>
      <c r="CV199" s="6">
        <f t="shared" si="97"/>
        <v>383</v>
      </c>
      <c r="CW199" s="6">
        <v>1521</v>
      </c>
      <c r="CX199" s="6"/>
      <c r="CY199" s="6">
        <f t="shared" si="98"/>
        <v>387</v>
      </c>
      <c r="CZ199" s="6">
        <v>342</v>
      </c>
      <c r="DA199" s="6">
        <v>1565</v>
      </c>
      <c r="DB199" s="6">
        <f t="shared" si="99"/>
        <v>386</v>
      </c>
      <c r="DC199" s="6">
        <v>729</v>
      </c>
      <c r="DD199" s="6"/>
      <c r="DE199" s="6">
        <f t="shared" si="100"/>
        <v>387</v>
      </c>
      <c r="DF199" s="6">
        <v>1098</v>
      </c>
      <c r="DG199" s="6"/>
      <c r="DH199" s="6">
        <f t="shared" si="101"/>
        <v>369</v>
      </c>
      <c r="DI199" s="6"/>
      <c r="DJ199" s="6"/>
      <c r="DK199" s="6"/>
      <c r="DL199" s="6">
        <v>1485</v>
      </c>
      <c r="DM199" s="6"/>
      <c r="DN199" s="6">
        <f t="shared" si="102"/>
        <v>387</v>
      </c>
      <c r="DO199" s="6">
        <v>0</v>
      </c>
      <c r="DP199" s="6">
        <v>1611</v>
      </c>
      <c r="DQ199" s="6">
        <f t="shared" si="103"/>
        <v>126</v>
      </c>
    </row>
    <row r="200" spans="1:121">
      <c r="A200" s="6">
        <v>196</v>
      </c>
      <c r="B200" s="6">
        <v>73</v>
      </c>
      <c r="C200" s="6">
        <v>1413</v>
      </c>
      <c r="D200" s="6">
        <v>308</v>
      </c>
      <c r="E200" s="33" t="s">
        <v>37</v>
      </c>
      <c r="F200" s="33" t="s">
        <v>37</v>
      </c>
      <c r="G200" s="33" t="s">
        <v>37</v>
      </c>
      <c r="H200" s="33" t="s">
        <v>37</v>
      </c>
      <c r="I200" s="33" t="s">
        <v>37</v>
      </c>
      <c r="J200" s="33" t="s">
        <v>37</v>
      </c>
      <c r="K200" s="33" t="s">
        <v>37</v>
      </c>
      <c r="L200" s="148" t="s">
        <v>37</v>
      </c>
      <c r="M200" s="33" t="s">
        <v>37</v>
      </c>
      <c r="N200" s="33" t="s">
        <v>37</v>
      </c>
      <c r="O200" s="33" t="s">
        <v>37</v>
      </c>
      <c r="P200" s="33" t="s">
        <v>37</v>
      </c>
      <c r="Q200" s="33" t="s">
        <v>37</v>
      </c>
      <c r="R200" s="33" t="s">
        <v>37</v>
      </c>
      <c r="S200" s="33" t="s">
        <v>37</v>
      </c>
      <c r="T200" s="33" t="s">
        <v>37</v>
      </c>
      <c r="U200" s="33" t="s">
        <v>37</v>
      </c>
      <c r="V200" s="33" t="s">
        <v>37</v>
      </c>
      <c r="W200" s="33" t="s">
        <v>37</v>
      </c>
      <c r="X200" s="33" t="s">
        <v>37</v>
      </c>
      <c r="Y200" s="33" t="s">
        <v>37</v>
      </c>
      <c r="Z200" s="33" t="s">
        <v>37</v>
      </c>
      <c r="AA200" s="33" t="s">
        <v>37</v>
      </c>
      <c r="AB200" s="33" t="s">
        <v>37</v>
      </c>
      <c r="AC200" s="33" t="s">
        <v>37</v>
      </c>
      <c r="AD200" s="33" t="s">
        <v>37</v>
      </c>
      <c r="AE200" s="33" t="s">
        <v>37</v>
      </c>
      <c r="AF200" s="6">
        <v>453</v>
      </c>
      <c r="AG200" s="6"/>
      <c r="AH200" s="35">
        <f t="shared" si="78"/>
        <v>380</v>
      </c>
      <c r="AI200" s="6">
        <v>828</v>
      </c>
      <c r="AJ200" s="6"/>
      <c r="AK200" s="35">
        <f t="shared" si="79"/>
        <v>375</v>
      </c>
      <c r="AL200" s="35">
        <v>1211</v>
      </c>
      <c r="AM200" s="35"/>
      <c r="AN200" s="35">
        <f t="shared" si="80"/>
        <v>383</v>
      </c>
      <c r="AO200" s="6">
        <v>222</v>
      </c>
      <c r="AP200" s="6">
        <v>1363</v>
      </c>
      <c r="AQ200" s="35">
        <f t="shared" si="81"/>
        <v>374</v>
      </c>
      <c r="AR200" s="35">
        <v>603</v>
      </c>
      <c r="AS200" s="6"/>
      <c r="AT200" s="34">
        <f t="shared" si="82"/>
        <v>381</v>
      </c>
      <c r="AU200" s="35">
        <v>0</v>
      </c>
      <c r="AV200" s="35">
        <v>883</v>
      </c>
      <c r="AW200" s="35">
        <f t="shared" si="83"/>
        <v>280</v>
      </c>
      <c r="AX200" s="6"/>
      <c r="AY200" s="6"/>
      <c r="AZ200" s="35"/>
      <c r="BA200" s="6">
        <v>335</v>
      </c>
      <c r="BB200" s="6"/>
      <c r="BC200" s="35">
        <f t="shared" si="84"/>
        <v>335</v>
      </c>
      <c r="BD200" s="35">
        <v>706</v>
      </c>
      <c r="BE200" s="35"/>
      <c r="BF200" s="35">
        <f t="shared" si="85"/>
        <v>371</v>
      </c>
      <c r="BG200" s="6">
        <v>1066</v>
      </c>
      <c r="BH200" s="6"/>
      <c r="BI200" s="35">
        <f t="shared" si="86"/>
        <v>360</v>
      </c>
      <c r="BJ200" s="35">
        <v>1431</v>
      </c>
      <c r="BK200" s="6"/>
      <c r="BL200" s="35">
        <f t="shared" si="87"/>
        <v>365</v>
      </c>
      <c r="BM200" s="6">
        <v>233</v>
      </c>
      <c r="BN200" s="6">
        <v>1560</v>
      </c>
      <c r="BO200" s="6">
        <f t="shared" si="88"/>
        <v>362</v>
      </c>
      <c r="BP200" s="6">
        <v>582</v>
      </c>
      <c r="BQ200" s="305"/>
      <c r="BR200" s="6">
        <f t="shared" si="89"/>
        <v>349</v>
      </c>
      <c r="BS200" s="7"/>
      <c r="BT200" s="7"/>
      <c r="BU200" s="35"/>
      <c r="BV200" s="35">
        <v>951</v>
      </c>
      <c r="BW200" s="6"/>
      <c r="BX200" s="6">
        <f t="shared" si="90"/>
        <v>369</v>
      </c>
      <c r="BY200" s="35">
        <v>1310</v>
      </c>
      <c r="BZ200" s="6"/>
      <c r="CA200" s="35">
        <f t="shared" si="91"/>
        <v>359</v>
      </c>
      <c r="CB200" s="6">
        <v>115</v>
      </c>
      <c r="CC200" s="6">
        <v>1560</v>
      </c>
      <c r="CD200" s="6">
        <f t="shared" si="92"/>
        <v>365</v>
      </c>
      <c r="CE200" s="6">
        <v>473</v>
      </c>
      <c r="CF200" s="6"/>
      <c r="CG200" s="6">
        <f t="shared" si="93"/>
        <v>358</v>
      </c>
      <c r="CH200" s="6">
        <v>835</v>
      </c>
      <c r="CI200" s="6"/>
      <c r="CJ200" s="6">
        <f t="shared" si="94"/>
        <v>362</v>
      </c>
      <c r="CK200" s="6">
        <v>1191</v>
      </c>
      <c r="CL200" s="6"/>
      <c r="CM200" s="6">
        <f t="shared" si="95"/>
        <v>356</v>
      </c>
      <c r="CN200" s="6"/>
      <c r="CO200" s="6"/>
      <c r="CP200" s="6"/>
      <c r="CQ200" s="6">
        <v>1551</v>
      </c>
      <c r="CR200" s="6"/>
      <c r="CS200" s="6">
        <f t="shared" si="96"/>
        <v>360</v>
      </c>
      <c r="CT200" s="6">
        <v>351</v>
      </c>
      <c r="CU200" s="6">
        <v>1560</v>
      </c>
      <c r="CV200" s="6">
        <f t="shared" si="97"/>
        <v>360</v>
      </c>
      <c r="CW200" s="6">
        <v>176</v>
      </c>
      <c r="CX200" s="6">
        <v>544</v>
      </c>
      <c r="CY200" s="6">
        <f t="shared" si="98"/>
        <v>369</v>
      </c>
      <c r="CZ200" s="6">
        <v>550</v>
      </c>
      <c r="DA200" s="6"/>
      <c r="DB200" s="6">
        <f t="shared" si="99"/>
        <v>374</v>
      </c>
      <c r="DC200" s="6">
        <v>222</v>
      </c>
      <c r="DD200" s="6">
        <v>699</v>
      </c>
      <c r="DE200" s="6">
        <f t="shared" si="100"/>
        <v>371</v>
      </c>
      <c r="DF200" s="6">
        <v>585</v>
      </c>
      <c r="DG200" s="6"/>
      <c r="DH200" s="6">
        <f t="shared" si="101"/>
        <v>363</v>
      </c>
      <c r="DI200" s="6"/>
      <c r="DJ200" s="6"/>
      <c r="DK200" s="6"/>
      <c r="DL200" s="6">
        <v>975</v>
      </c>
      <c r="DM200" s="6"/>
      <c r="DN200" s="6">
        <f t="shared" si="102"/>
        <v>390</v>
      </c>
      <c r="DO200" s="6">
        <v>1338</v>
      </c>
      <c r="DP200" s="6"/>
      <c r="DQ200" s="6">
        <f t="shared" si="103"/>
        <v>363</v>
      </c>
    </row>
    <row r="201" spans="1:121">
      <c r="A201" s="6">
        <v>197</v>
      </c>
      <c r="B201" s="6">
        <v>289</v>
      </c>
      <c r="C201" s="10">
        <v>769</v>
      </c>
      <c r="D201" s="6">
        <v>329</v>
      </c>
      <c r="E201" s="33" t="s">
        <v>37</v>
      </c>
      <c r="F201" s="33" t="s">
        <v>37</v>
      </c>
      <c r="G201" s="33" t="s">
        <v>37</v>
      </c>
      <c r="H201" s="33" t="s">
        <v>37</v>
      </c>
      <c r="I201" s="33" t="s">
        <v>37</v>
      </c>
      <c r="J201" s="33" t="s">
        <v>37</v>
      </c>
      <c r="K201" s="33" t="s">
        <v>37</v>
      </c>
      <c r="L201" s="148" t="s">
        <v>37</v>
      </c>
      <c r="M201" s="33" t="s">
        <v>37</v>
      </c>
      <c r="N201" s="33" t="s">
        <v>37</v>
      </c>
      <c r="O201" s="33" t="s">
        <v>37</v>
      </c>
      <c r="P201" s="33" t="s">
        <v>37</v>
      </c>
      <c r="Q201" s="33" t="s">
        <v>37</v>
      </c>
      <c r="R201" s="33" t="s">
        <v>37</v>
      </c>
      <c r="S201" s="33" t="s">
        <v>37</v>
      </c>
      <c r="T201" s="33" t="s">
        <v>37</v>
      </c>
      <c r="U201" s="33" t="s">
        <v>37</v>
      </c>
      <c r="V201" s="33" t="s">
        <v>37</v>
      </c>
      <c r="W201" s="33" t="s">
        <v>37</v>
      </c>
      <c r="X201" s="33" t="s">
        <v>37</v>
      </c>
      <c r="Y201" s="33" t="s">
        <v>37</v>
      </c>
      <c r="Z201" s="33" t="s">
        <v>37</v>
      </c>
      <c r="AA201" s="33" t="s">
        <v>37</v>
      </c>
      <c r="AB201" s="33" t="s">
        <v>37</v>
      </c>
      <c r="AC201" s="33" t="s">
        <v>37</v>
      </c>
      <c r="AD201" s="33" t="s">
        <v>37</v>
      </c>
      <c r="AE201" s="33" t="s">
        <v>37</v>
      </c>
      <c r="AF201" s="6">
        <f>399+289</f>
        <v>688</v>
      </c>
      <c r="AG201" s="6"/>
      <c r="AH201" s="35">
        <f t="shared" si="78"/>
        <v>399</v>
      </c>
      <c r="AI201" s="6">
        <f>779+289</f>
        <v>1068</v>
      </c>
      <c r="AJ201" s="6"/>
      <c r="AK201" s="35">
        <f t="shared" si="79"/>
        <v>380</v>
      </c>
      <c r="AL201" s="35">
        <f>1169+289</f>
        <v>1458</v>
      </c>
      <c r="AM201" s="35"/>
      <c r="AN201" s="35">
        <f t="shared" si="80"/>
        <v>390</v>
      </c>
      <c r="AO201" s="6">
        <v>240</v>
      </c>
      <c r="AP201" s="6">
        <v>1596</v>
      </c>
      <c r="AQ201" s="35">
        <f t="shared" si="81"/>
        <v>378</v>
      </c>
      <c r="AR201" s="6">
        <v>263</v>
      </c>
      <c r="AS201" s="6">
        <v>360</v>
      </c>
      <c r="AT201" s="34">
        <f t="shared" si="82"/>
        <v>383</v>
      </c>
      <c r="AU201" s="35">
        <v>0</v>
      </c>
      <c r="AV201" s="35">
        <v>471</v>
      </c>
      <c r="AW201" s="35">
        <f t="shared" si="83"/>
        <v>208</v>
      </c>
      <c r="AX201" s="6"/>
      <c r="AY201" s="6"/>
      <c r="AZ201" s="35"/>
      <c r="BA201" s="6">
        <v>359</v>
      </c>
      <c r="BB201" s="6"/>
      <c r="BC201" s="35">
        <f t="shared" si="84"/>
        <v>359</v>
      </c>
      <c r="BD201" s="35">
        <v>746</v>
      </c>
      <c r="BE201" s="35"/>
      <c r="BF201" s="35">
        <f t="shared" si="85"/>
        <v>387</v>
      </c>
      <c r="BG201" s="6">
        <v>1133</v>
      </c>
      <c r="BH201" s="6"/>
      <c r="BI201" s="35">
        <f t="shared" si="86"/>
        <v>387</v>
      </c>
      <c r="BJ201" s="35">
        <v>1521</v>
      </c>
      <c r="BK201" s="6"/>
      <c r="BL201" s="35">
        <f t="shared" si="87"/>
        <v>388</v>
      </c>
      <c r="BM201" s="6">
        <v>349</v>
      </c>
      <c r="BN201" s="6">
        <v>1560</v>
      </c>
      <c r="BO201" s="6">
        <f t="shared" si="88"/>
        <v>388</v>
      </c>
      <c r="BP201" s="6">
        <v>720</v>
      </c>
      <c r="BQ201" s="305"/>
      <c r="BR201" s="6">
        <f t="shared" si="89"/>
        <v>371</v>
      </c>
      <c r="BS201" s="7"/>
      <c r="BT201" s="7"/>
      <c r="BU201" s="35"/>
      <c r="BV201" s="35">
        <v>1112</v>
      </c>
      <c r="BW201" s="6"/>
      <c r="BX201" s="6">
        <f t="shared" si="90"/>
        <v>392</v>
      </c>
      <c r="BY201" s="35">
        <v>1497</v>
      </c>
      <c r="BZ201" s="6"/>
      <c r="CA201" s="35">
        <f t="shared" si="91"/>
        <v>385</v>
      </c>
      <c r="CB201" s="6">
        <v>330</v>
      </c>
      <c r="CC201" s="6">
        <v>1560</v>
      </c>
      <c r="CD201" s="6">
        <f t="shared" si="92"/>
        <v>393</v>
      </c>
      <c r="CE201" s="6">
        <v>723</v>
      </c>
      <c r="CF201" s="6"/>
      <c r="CG201" s="6">
        <f t="shared" si="93"/>
        <v>393</v>
      </c>
      <c r="CH201" s="6">
        <v>1117</v>
      </c>
      <c r="CI201" s="6"/>
      <c r="CJ201" s="6">
        <f t="shared" si="94"/>
        <v>394</v>
      </c>
      <c r="CK201" s="6">
        <v>1503</v>
      </c>
      <c r="CL201" s="6"/>
      <c r="CM201" s="6">
        <f t="shared" si="95"/>
        <v>386</v>
      </c>
      <c r="CN201" s="6"/>
      <c r="CO201" s="6"/>
      <c r="CP201" s="6"/>
      <c r="CQ201" s="6">
        <v>343</v>
      </c>
      <c r="CR201" s="6">
        <v>1560</v>
      </c>
      <c r="CS201" s="6">
        <f t="shared" si="96"/>
        <v>400</v>
      </c>
      <c r="CT201" s="6">
        <v>735</v>
      </c>
      <c r="CU201" s="6"/>
      <c r="CV201" s="6">
        <f t="shared" si="97"/>
        <v>392</v>
      </c>
      <c r="CW201" s="6">
        <v>1113</v>
      </c>
      <c r="CX201" s="6"/>
      <c r="CY201" s="6">
        <f t="shared" si="98"/>
        <v>378</v>
      </c>
      <c r="CZ201" s="6">
        <v>1495</v>
      </c>
      <c r="DA201" s="6"/>
      <c r="DB201" s="6">
        <f t="shared" si="99"/>
        <v>382</v>
      </c>
      <c r="DC201" s="6">
        <v>314</v>
      </c>
      <c r="DD201" s="6">
        <v>1560</v>
      </c>
      <c r="DE201" s="6">
        <f t="shared" si="100"/>
        <v>379</v>
      </c>
      <c r="DF201" s="6">
        <v>686</v>
      </c>
      <c r="DG201" s="6"/>
      <c r="DH201" s="6">
        <f t="shared" si="101"/>
        <v>372</v>
      </c>
      <c r="DI201" s="6"/>
      <c r="DJ201" s="10"/>
      <c r="DK201" s="6"/>
      <c r="DL201" s="6">
        <v>1072</v>
      </c>
      <c r="DM201" s="10"/>
      <c r="DN201" s="6">
        <f t="shared" si="102"/>
        <v>386</v>
      </c>
      <c r="DO201" s="6">
        <v>1432</v>
      </c>
      <c r="DP201" s="10"/>
      <c r="DQ201" s="6">
        <f t="shared" si="103"/>
        <v>360</v>
      </c>
    </row>
    <row r="202" spans="1:121">
      <c r="A202" s="6">
        <v>198</v>
      </c>
      <c r="B202" s="6">
        <v>157</v>
      </c>
      <c r="C202" s="10">
        <v>913</v>
      </c>
      <c r="D202" s="6">
        <v>338</v>
      </c>
      <c r="E202" s="33" t="s">
        <v>37</v>
      </c>
      <c r="F202" s="33" t="s">
        <v>37</v>
      </c>
      <c r="G202" s="33" t="s">
        <v>37</v>
      </c>
      <c r="H202" s="33" t="s">
        <v>37</v>
      </c>
      <c r="I202" s="33" t="s">
        <v>37</v>
      </c>
      <c r="J202" s="148" t="s">
        <v>37</v>
      </c>
      <c r="K202" s="33" t="s">
        <v>37</v>
      </c>
      <c r="L202" s="33" t="s">
        <v>37</v>
      </c>
      <c r="M202" s="33" t="s">
        <v>37</v>
      </c>
      <c r="N202" s="33" t="s">
        <v>37</v>
      </c>
      <c r="O202" s="33" t="s">
        <v>37</v>
      </c>
      <c r="P202" s="33" t="s">
        <v>37</v>
      </c>
      <c r="Q202" s="33" t="s">
        <v>37</v>
      </c>
      <c r="R202" s="33" t="s">
        <v>37</v>
      </c>
      <c r="S202" s="33" t="s">
        <v>37</v>
      </c>
      <c r="T202" s="33" t="s">
        <v>37</v>
      </c>
      <c r="U202" s="33" t="s">
        <v>37</v>
      </c>
      <c r="V202" s="33" t="s">
        <v>37</v>
      </c>
      <c r="W202" s="33" t="s">
        <v>37</v>
      </c>
      <c r="X202" s="33" t="s">
        <v>37</v>
      </c>
      <c r="Y202" s="33" t="s">
        <v>37</v>
      </c>
      <c r="Z202" s="33" t="s">
        <v>37</v>
      </c>
      <c r="AA202" s="33" t="s">
        <v>37</v>
      </c>
      <c r="AB202" s="33" t="s">
        <v>37</v>
      </c>
      <c r="AC202" s="33" t="s">
        <v>37</v>
      </c>
      <c r="AD202" s="33" t="s">
        <v>37</v>
      </c>
      <c r="AE202" s="148" t="s">
        <v>37</v>
      </c>
      <c r="AF202" s="6">
        <v>569</v>
      </c>
      <c r="AG202" s="6"/>
      <c r="AH202" s="35">
        <f t="shared" si="78"/>
        <v>412</v>
      </c>
      <c r="AI202" s="6">
        <v>933</v>
      </c>
      <c r="AJ202" s="6"/>
      <c r="AK202" s="35">
        <f t="shared" si="79"/>
        <v>364</v>
      </c>
      <c r="AL202" s="35">
        <v>365</v>
      </c>
      <c r="AM202" s="35">
        <v>954</v>
      </c>
      <c r="AN202" s="35">
        <f t="shared" si="80"/>
        <v>386</v>
      </c>
      <c r="AO202" s="6">
        <v>742</v>
      </c>
      <c r="AP202" s="6"/>
      <c r="AQ202" s="35">
        <f t="shared" si="81"/>
        <v>377</v>
      </c>
      <c r="AR202" s="6">
        <v>279</v>
      </c>
      <c r="AS202" s="6">
        <v>831</v>
      </c>
      <c r="AT202" s="34">
        <f t="shared" si="82"/>
        <v>368</v>
      </c>
      <c r="AU202" s="35">
        <v>639</v>
      </c>
      <c r="AV202" s="35"/>
      <c r="AW202" s="35">
        <f t="shared" si="83"/>
        <v>360</v>
      </c>
      <c r="AX202" s="6"/>
      <c r="AY202" s="6"/>
      <c r="AZ202" s="35"/>
      <c r="BA202" s="6">
        <v>1023</v>
      </c>
      <c r="BB202" s="6"/>
      <c r="BC202" s="35">
        <f t="shared" si="84"/>
        <v>384</v>
      </c>
      <c r="BD202" s="35">
        <v>1404</v>
      </c>
      <c r="BE202" s="35"/>
      <c r="BF202" s="35">
        <f t="shared" si="85"/>
        <v>381</v>
      </c>
      <c r="BG202" s="6">
        <v>212</v>
      </c>
      <c r="BH202" s="6">
        <v>1573</v>
      </c>
      <c r="BI202" s="35">
        <f t="shared" si="86"/>
        <v>381</v>
      </c>
      <c r="BJ202" s="35">
        <v>595</v>
      </c>
      <c r="BK202" s="6"/>
      <c r="BL202" s="35">
        <f t="shared" si="87"/>
        <v>383</v>
      </c>
      <c r="BM202" s="6">
        <v>979</v>
      </c>
      <c r="BN202" s="6"/>
      <c r="BO202" s="6">
        <f t="shared" si="88"/>
        <v>384</v>
      </c>
      <c r="BP202" s="6">
        <v>9</v>
      </c>
      <c r="BQ202" s="305">
        <v>1330</v>
      </c>
      <c r="BR202" s="6">
        <f t="shared" si="89"/>
        <v>360</v>
      </c>
      <c r="BS202" s="7"/>
      <c r="BT202" s="7"/>
      <c r="BU202" s="35"/>
      <c r="BV202" s="35">
        <v>394</v>
      </c>
      <c r="BW202" s="6"/>
      <c r="BX202" s="6">
        <f t="shared" si="90"/>
        <v>385</v>
      </c>
      <c r="BY202" s="35">
        <v>770</v>
      </c>
      <c r="BZ202" s="6"/>
      <c r="CA202" s="35">
        <f t="shared" si="91"/>
        <v>376</v>
      </c>
      <c r="CB202" s="6">
        <v>1146</v>
      </c>
      <c r="CC202" s="6"/>
      <c r="CD202" s="6">
        <f t="shared" si="92"/>
        <v>376</v>
      </c>
      <c r="CE202" s="6">
        <v>278</v>
      </c>
      <c r="CF202" s="6">
        <v>1251</v>
      </c>
      <c r="CG202" s="6">
        <f t="shared" si="93"/>
        <v>383</v>
      </c>
      <c r="CH202" s="6">
        <v>659</v>
      </c>
      <c r="CI202" s="6"/>
      <c r="CJ202" s="6">
        <f t="shared" si="94"/>
        <v>381</v>
      </c>
      <c r="CK202" s="6">
        <v>11</v>
      </c>
      <c r="CL202" s="6">
        <v>1020</v>
      </c>
      <c r="CM202" s="6">
        <f t="shared" si="95"/>
        <v>372</v>
      </c>
      <c r="CN202" s="6"/>
      <c r="CO202" s="6"/>
      <c r="CP202" s="6"/>
      <c r="CQ202" s="6">
        <v>399</v>
      </c>
      <c r="CR202" s="6"/>
      <c r="CS202" s="6">
        <f t="shared" si="96"/>
        <v>388</v>
      </c>
      <c r="CT202" s="6">
        <v>776</v>
      </c>
      <c r="CU202" s="6"/>
      <c r="CV202" s="6">
        <f t="shared" si="97"/>
        <v>377</v>
      </c>
      <c r="CW202" s="6">
        <v>29</v>
      </c>
      <c r="CX202" s="6">
        <v>1129</v>
      </c>
      <c r="CY202" s="6">
        <f t="shared" si="98"/>
        <v>382</v>
      </c>
      <c r="CZ202" s="6">
        <v>411</v>
      </c>
      <c r="DA202" s="6"/>
      <c r="DB202" s="6">
        <f t="shared" si="99"/>
        <v>382</v>
      </c>
      <c r="DC202" s="6">
        <v>24</v>
      </c>
      <c r="DD202" s="6">
        <v>768</v>
      </c>
      <c r="DE202" s="6">
        <f t="shared" si="100"/>
        <v>381</v>
      </c>
      <c r="DF202" s="6">
        <v>377</v>
      </c>
      <c r="DG202" s="6"/>
      <c r="DH202" s="6">
        <f t="shared" si="101"/>
        <v>353</v>
      </c>
      <c r="DI202" s="6"/>
      <c r="DJ202" s="10"/>
      <c r="DK202" s="6"/>
      <c r="DL202" s="6">
        <v>761</v>
      </c>
      <c r="DM202" s="10"/>
      <c r="DN202" s="6">
        <f t="shared" si="102"/>
        <v>384</v>
      </c>
      <c r="DO202" s="6">
        <v>279</v>
      </c>
      <c r="DP202" s="10">
        <v>810</v>
      </c>
      <c r="DQ202" s="6">
        <f t="shared" si="103"/>
        <v>328</v>
      </c>
    </row>
    <row r="203" spans="1:121">
      <c r="A203" s="6">
        <v>199</v>
      </c>
      <c r="B203" s="6">
        <v>1405</v>
      </c>
      <c r="C203" s="10"/>
      <c r="D203" s="6">
        <v>341</v>
      </c>
      <c r="E203" s="33" t="s">
        <v>37</v>
      </c>
      <c r="F203" s="33" t="s">
        <v>37</v>
      </c>
      <c r="G203" s="33" t="s">
        <v>37</v>
      </c>
      <c r="H203" s="33" t="s">
        <v>37</v>
      </c>
      <c r="I203" s="33" t="s">
        <v>37</v>
      </c>
      <c r="J203" s="33" t="s">
        <v>37</v>
      </c>
      <c r="K203" s="33" t="s">
        <v>37</v>
      </c>
      <c r="L203" s="148" t="s">
        <v>37</v>
      </c>
      <c r="M203" s="33" t="s">
        <v>37</v>
      </c>
      <c r="N203" s="33" t="s">
        <v>37</v>
      </c>
      <c r="O203" s="33" t="s">
        <v>37</v>
      </c>
      <c r="P203" s="33" t="s">
        <v>37</v>
      </c>
      <c r="Q203" s="33" t="s">
        <v>37</v>
      </c>
      <c r="R203" s="33" t="s">
        <v>37</v>
      </c>
      <c r="S203" s="33" t="s">
        <v>37</v>
      </c>
      <c r="T203" s="33" t="s">
        <v>37</v>
      </c>
      <c r="U203" s="33" t="s">
        <v>37</v>
      </c>
      <c r="V203" s="33" t="s">
        <v>37</v>
      </c>
      <c r="W203" s="33" t="s">
        <v>37</v>
      </c>
      <c r="X203" s="33" t="s">
        <v>37</v>
      </c>
      <c r="Y203" s="33" t="s">
        <v>37</v>
      </c>
      <c r="Z203" s="33" t="s">
        <v>37</v>
      </c>
      <c r="AA203" s="33" t="s">
        <v>37</v>
      </c>
      <c r="AB203" s="33" t="s">
        <v>37</v>
      </c>
      <c r="AC203" s="33" t="s">
        <v>37</v>
      </c>
      <c r="AD203" s="33" t="s">
        <v>37</v>
      </c>
      <c r="AE203" s="33" t="s">
        <v>37</v>
      </c>
      <c r="AF203" s="6">
        <v>240</v>
      </c>
      <c r="AG203" s="6">
        <v>1560</v>
      </c>
      <c r="AH203" s="35">
        <f t="shared" si="78"/>
        <v>395</v>
      </c>
      <c r="AI203" s="6">
        <v>577</v>
      </c>
      <c r="AJ203" s="6"/>
      <c r="AK203" s="35">
        <f t="shared" si="79"/>
        <v>337</v>
      </c>
      <c r="AL203" s="35">
        <v>925</v>
      </c>
      <c r="AM203" s="35"/>
      <c r="AN203" s="35">
        <f t="shared" si="80"/>
        <v>348</v>
      </c>
      <c r="AO203" s="6">
        <v>1270</v>
      </c>
      <c r="AP203" s="6"/>
      <c r="AQ203" s="35">
        <f t="shared" si="81"/>
        <v>345</v>
      </c>
      <c r="AR203" s="6">
        <v>1633</v>
      </c>
      <c r="AS203" s="6"/>
      <c r="AT203" s="34">
        <f t="shared" si="82"/>
        <v>363</v>
      </c>
      <c r="AU203" s="35">
        <v>0</v>
      </c>
      <c r="AV203" s="35">
        <v>1944</v>
      </c>
      <c r="AW203" s="35">
        <f t="shared" si="83"/>
        <v>311</v>
      </c>
      <c r="AX203" s="6"/>
      <c r="AY203" s="6"/>
      <c r="AZ203" s="35"/>
      <c r="BA203" s="6">
        <v>325</v>
      </c>
      <c r="BB203" s="6"/>
      <c r="BC203" s="35">
        <f t="shared" si="84"/>
        <v>325</v>
      </c>
      <c r="BD203" s="35">
        <v>671</v>
      </c>
      <c r="BE203" s="35"/>
      <c r="BF203" s="35">
        <f t="shared" si="85"/>
        <v>346</v>
      </c>
      <c r="BG203" s="6">
        <v>1034</v>
      </c>
      <c r="BH203" s="6"/>
      <c r="BI203" s="35">
        <f t="shared" si="86"/>
        <v>363</v>
      </c>
      <c r="BJ203" s="35">
        <v>1401</v>
      </c>
      <c r="BK203" s="6"/>
      <c r="BL203" s="35">
        <f t="shared" si="87"/>
        <v>367</v>
      </c>
      <c r="BM203" s="6">
        <v>149</v>
      </c>
      <c r="BN203" s="6">
        <v>1621</v>
      </c>
      <c r="BO203" s="6">
        <f t="shared" si="88"/>
        <v>369</v>
      </c>
      <c r="BP203" s="6">
        <v>497</v>
      </c>
      <c r="BQ203" s="305"/>
      <c r="BR203" s="6">
        <f t="shared" si="89"/>
        <v>348</v>
      </c>
      <c r="BS203" s="7"/>
      <c r="BT203" s="7"/>
      <c r="BU203" s="35"/>
      <c r="BV203" s="35">
        <v>863</v>
      </c>
      <c r="BW203" s="6"/>
      <c r="BX203" s="6">
        <f t="shared" si="90"/>
        <v>366</v>
      </c>
      <c r="BY203" s="35">
        <v>1221</v>
      </c>
      <c r="BZ203" s="6"/>
      <c r="CA203" s="35">
        <f t="shared" si="91"/>
        <v>358</v>
      </c>
      <c r="CB203" s="6">
        <v>41</v>
      </c>
      <c r="CC203" s="6">
        <v>1560</v>
      </c>
      <c r="CD203" s="6">
        <f t="shared" si="92"/>
        <v>380</v>
      </c>
      <c r="CE203" s="6">
        <v>419</v>
      </c>
      <c r="CF203" s="6"/>
      <c r="CG203" s="6">
        <f t="shared" si="93"/>
        <v>378</v>
      </c>
      <c r="CH203" s="6">
        <v>794</v>
      </c>
      <c r="CI203" s="6"/>
      <c r="CJ203" s="6">
        <f t="shared" si="94"/>
        <v>375</v>
      </c>
      <c r="CK203" s="6">
        <v>1166</v>
      </c>
      <c r="CL203" s="6"/>
      <c r="CM203" s="6">
        <f t="shared" si="95"/>
        <v>372</v>
      </c>
      <c r="CN203" s="6"/>
      <c r="CO203" s="6"/>
      <c r="CP203" s="6"/>
      <c r="CQ203" s="6">
        <v>1554</v>
      </c>
      <c r="CR203" s="6"/>
      <c r="CS203" s="6">
        <f t="shared" si="96"/>
        <v>388</v>
      </c>
      <c r="CT203" s="6">
        <v>372</v>
      </c>
      <c r="CU203" s="6">
        <v>1560</v>
      </c>
      <c r="CV203" s="6">
        <f t="shared" si="97"/>
        <v>378</v>
      </c>
      <c r="CW203" s="6">
        <v>754</v>
      </c>
      <c r="CX203" s="6"/>
      <c r="CY203" s="6">
        <f t="shared" si="98"/>
        <v>382</v>
      </c>
      <c r="CZ203" s="6">
        <v>1137</v>
      </c>
      <c r="DA203" s="6"/>
      <c r="DB203" s="6">
        <f t="shared" si="99"/>
        <v>383</v>
      </c>
      <c r="DC203" s="6">
        <v>1513</v>
      </c>
      <c r="DD203" s="6"/>
      <c r="DE203" s="6">
        <f t="shared" si="100"/>
        <v>376</v>
      </c>
      <c r="DF203" s="6">
        <v>318</v>
      </c>
      <c r="DG203" s="6">
        <v>1560</v>
      </c>
      <c r="DH203" s="6">
        <f t="shared" si="101"/>
        <v>365</v>
      </c>
      <c r="DI203" s="6"/>
      <c r="DJ203" s="10"/>
      <c r="DK203" s="6"/>
      <c r="DL203" s="6">
        <v>701</v>
      </c>
      <c r="DM203" s="10"/>
      <c r="DN203" s="6">
        <f t="shared" si="102"/>
        <v>383</v>
      </c>
      <c r="DO203" s="6">
        <v>1061</v>
      </c>
      <c r="DP203" s="10"/>
      <c r="DQ203" s="6">
        <f t="shared" si="103"/>
        <v>360</v>
      </c>
    </row>
    <row r="204" spans="1:121">
      <c r="A204" s="6">
        <v>200</v>
      </c>
      <c r="B204" s="6">
        <v>497</v>
      </c>
      <c r="C204" s="10"/>
      <c r="D204" s="6">
        <v>341</v>
      </c>
      <c r="E204" s="33" t="s">
        <v>307</v>
      </c>
      <c r="F204" s="33" t="s">
        <v>307</v>
      </c>
      <c r="G204" s="33" t="s">
        <v>307</v>
      </c>
      <c r="H204" s="33" t="s">
        <v>307</v>
      </c>
      <c r="I204" s="33" t="s">
        <v>307</v>
      </c>
      <c r="J204" s="33" t="s">
        <v>307</v>
      </c>
      <c r="K204" s="33" t="s">
        <v>307</v>
      </c>
      <c r="L204" s="33" t="s">
        <v>307</v>
      </c>
      <c r="M204" s="148" t="s">
        <v>37</v>
      </c>
      <c r="N204" s="33" t="s">
        <v>37</v>
      </c>
      <c r="O204" s="33" t="s">
        <v>37</v>
      </c>
      <c r="P204" s="33" t="s">
        <v>37</v>
      </c>
      <c r="Q204" s="33" t="s">
        <v>37</v>
      </c>
      <c r="R204" s="33" t="s">
        <v>37</v>
      </c>
      <c r="S204" s="33" t="s">
        <v>37</v>
      </c>
      <c r="T204" s="33" t="s">
        <v>37</v>
      </c>
      <c r="U204" s="33" t="s">
        <v>37</v>
      </c>
      <c r="V204" s="33" t="s">
        <v>37</v>
      </c>
      <c r="W204" s="33" t="s">
        <v>37</v>
      </c>
      <c r="X204" s="33" t="s">
        <v>37</v>
      </c>
      <c r="Y204" s="33" t="s">
        <v>37</v>
      </c>
      <c r="Z204" s="33" t="s">
        <v>37</v>
      </c>
      <c r="AA204" s="33" t="s">
        <v>37</v>
      </c>
      <c r="AB204" s="33" t="s">
        <v>37</v>
      </c>
      <c r="AC204" s="33" t="s">
        <v>37</v>
      </c>
      <c r="AD204" s="33" t="s">
        <v>37</v>
      </c>
      <c r="AE204" s="33" t="s">
        <v>37</v>
      </c>
      <c r="AF204" s="6">
        <v>901</v>
      </c>
      <c r="AG204" s="6"/>
      <c r="AH204" s="35">
        <f t="shared" si="78"/>
        <v>404</v>
      </c>
      <c r="AI204" s="6">
        <v>1262</v>
      </c>
      <c r="AJ204" s="6"/>
      <c r="AK204" s="35">
        <f t="shared" si="79"/>
        <v>361</v>
      </c>
      <c r="AL204" s="35">
        <v>80</v>
      </c>
      <c r="AM204" s="35">
        <v>1560</v>
      </c>
      <c r="AN204" s="35">
        <f t="shared" si="80"/>
        <v>378</v>
      </c>
      <c r="AO204" s="6">
        <v>435</v>
      </c>
      <c r="AP204" s="6"/>
      <c r="AQ204" s="35">
        <f t="shared" si="81"/>
        <v>355</v>
      </c>
      <c r="AR204" s="6">
        <v>824</v>
      </c>
      <c r="AS204" s="6"/>
      <c r="AT204" s="34">
        <f t="shared" si="82"/>
        <v>389</v>
      </c>
      <c r="AU204" s="35">
        <v>1187</v>
      </c>
      <c r="AV204" s="35"/>
      <c r="AW204" s="35">
        <f t="shared" si="83"/>
        <v>363</v>
      </c>
      <c r="AX204" s="6"/>
      <c r="AY204" s="6"/>
      <c r="AZ204" s="35"/>
      <c r="BA204" s="6">
        <v>0</v>
      </c>
      <c r="BB204" s="6">
        <v>1360</v>
      </c>
      <c r="BC204" s="35">
        <f t="shared" si="84"/>
        <v>173</v>
      </c>
      <c r="BD204" s="35">
        <v>366</v>
      </c>
      <c r="BE204" s="35"/>
      <c r="BF204" s="35">
        <f t="shared" si="85"/>
        <v>366</v>
      </c>
      <c r="BG204" s="6">
        <v>731</v>
      </c>
      <c r="BH204" s="6"/>
      <c r="BI204" s="35">
        <f t="shared" si="86"/>
        <v>365</v>
      </c>
      <c r="BJ204" s="35">
        <v>1114</v>
      </c>
      <c r="BK204" s="6"/>
      <c r="BL204" s="35">
        <f t="shared" si="87"/>
        <v>383</v>
      </c>
      <c r="BM204" s="6">
        <v>1501</v>
      </c>
      <c r="BN204" s="6"/>
      <c r="BO204" s="6">
        <f t="shared" si="88"/>
        <v>387</v>
      </c>
      <c r="BP204" s="35">
        <v>302</v>
      </c>
      <c r="BQ204" s="305">
        <v>1563</v>
      </c>
      <c r="BR204" s="6">
        <f t="shared" si="89"/>
        <v>364</v>
      </c>
      <c r="BS204" s="305"/>
      <c r="BT204" s="7"/>
      <c r="BU204" s="35"/>
      <c r="BV204" s="35">
        <v>692</v>
      </c>
      <c r="BW204" s="6"/>
      <c r="BX204" s="6">
        <f t="shared" si="90"/>
        <v>390</v>
      </c>
      <c r="BY204" s="35">
        <v>1077</v>
      </c>
      <c r="BZ204" s="6"/>
      <c r="CA204" s="35">
        <f t="shared" si="91"/>
        <v>385</v>
      </c>
      <c r="CB204" s="6">
        <v>1465</v>
      </c>
      <c r="CC204" s="6"/>
      <c r="CD204" s="6">
        <f t="shared" si="92"/>
        <v>388</v>
      </c>
      <c r="CE204" s="6">
        <v>295</v>
      </c>
      <c r="CF204" s="6">
        <v>1558</v>
      </c>
      <c r="CG204" s="6">
        <f t="shared" si="93"/>
        <v>388</v>
      </c>
      <c r="CH204" s="6">
        <v>683</v>
      </c>
      <c r="CI204" s="6"/>
      <c r="CJ204" s="6">
        <f t="shared" si="94"/>
        <v>388</v>
      </c>
      <c r="CK204" s="6">
        <v>1061</v>
      </c>
      <c r="CL204" s="6"/>
      <c r="CM204" s="6">
        <f t="shared" si="95"/>
        <v>378</v>
      </c>
      <c r="CN204" s="6"/>
      <c r="CO204" s="6"/>
      <c r="CP204" s="6"/>
      <c r="CQ204" s="6">
        <v>1449</v>
      </c>
      <c r="CR204" s="6"/>
      <c r="CS204" s="6">
        <f t="shared" si="96"/>
        <v>388</v>
      </c>
      <c r="CT204" s="6">
        <v>267</v>
      </c>
      <c r="CU204" s="6">
        <v>1560</v>
      </c>
      <c r="CV204" s="6">
        <f t="shared" si="97"/>
        <v>378</v>
      </c>
      <c r="CW204" s="6">
        <v>654</v>
      </c>
      <c r="CX204" s="6"/>
      <c r="CY204" s="6">
        <f t="shared" si="98"/>
        <v>387</v>
      </c>
      <c r="CZ204" s="6">
        <v>1038</v>
      </c>
      <c r="DA204" s="6"/>
      <c r="DB204" s="6">
        <f t="shared" si="99"/>
        <v>384</v>
      </c>
      <c r="DC204" s="6">
        <v>1419</v>
      </c>
      <c r="DD204" s="6"/>
      <c r="DE204" s="6">
        <f t="shared" si="100"/>
        <v>381</v>
      </c>
      <c r="DF204" s="6">
        <v>225</v>
      </c>
      <c r="DG204" s="6">
        <v>1560</v>
      </c>
      <c r="DH204" s="6">
        <f t="shared" si="101"/>
        <v>366</v>
      </c>
      <c r="DI204" s="6"/>
      <c r="DJ204" s="10"/>
      <c r="DK204" s="6"/>
      <c r="DL204" s="6">
        <v>616</v>
      </c>
      <c r="DM204" s="10"/>
      <c r="DN204" s="6">
        <f t="shared" si="102"/>
        <v>391</v>
      </c>
      <c r="DO204" s="6">
        <v>968</v>
      </c>
      <c r="DP204" s="10"/>
      <c r="DQ204" s="6">
        <f t="shared" si="103"/>
        <v>352</v>
      </c>
    </row>
    <row r="205" spans="1:121">
      <c r="A205" s="6">
        <v>201</v>
      </c>
      <c r="B205" s="6">
        <v>841</v>
      </c>
      <c r="C205" s="10"/>
      <c r="D205" s="6">
        <v>199</v>
      </c>
      <c r="E205" s="141" t="s">
        <v>72</v>
      </c>
      <c r="F205" s="141" t="s">
        <v>72</v>
      </c>
      <c r="G205" s="141" t="s">
        <v>72</v>
      </c>
      <c r="H205" s="141" t="s">
        <v>72</v>
      </c>
      <c r="I205" s="163" t="s">
        <v>37</v>
      </c>
      <c r="J205" s="141" t="s">
        <v>37</v>
      </c>
      <c r="K205" s="141" t="s">
        <v>37</v>
      </c>
      <c r="L205" s="141" t="s">
        <v>37</v>
      </c>
      <c r="M205" s="141" t="s">
        <v>37</v>
      </c>
      <c r="N205" s="141" t="s">
        <v>37</v>
      </c>
      <c r="O205" s="141" t="s">
        <v>37</v>
      </c>
      <c r="P205" s="141" t="s">
        <v>37</v>
      </c>
      <c r="Q205" s="141" t="s">
        <v>37</v>
      </c>
      <c r="R205" s="141" t="s">
        <v>37</v>
      </c>
      <c r="S205" s="141" t="s">
        <v>37</v>
      </c>
      <c r="T205" s="141" t="s">
        <v>37</v>
      </c>
      <c r="U205" s="141" t="s">
        <v>37</v>
      </c>
      <c r="V205" s="141" t="s">
        <v>37</v>
      </c>
      <c r="W205" s="141" t="s">
        <v>37</v>
      </c>
      <c r="X205" s="141" t="s">
        <v>37</v>
      </c>
      <c r="Y205" s="141" t="s">
        <v>37</v>
      </c>
      <c r="Z205" s="141" t="s">
        <v>37</v>
      </c>
      <c r="AA205" s="141" t="s">
        <v>37</v>
      </c>
      <c r="AB205" s="141" t="s">
        <v>37</v>
      </c>
      <c r="AC205" s="141" t="s">
        <v>37</v>
      </c>
      <c r="AD205" s="141" t="s">
        <v>37</v>
      </c>
      <c r="AE205" s="163" t="s">
        <v>37</v>
      </c>
      <c r="AF205" s="6">
        <v>1097</v>
      </c>
      <c r="AG205" s="6"/>
      <c r="AH205" s="35">
        <f t="shared" si="78"/>
        <v>256</v>
      </c>
      <c r="AI205" s="6">
        <v>227</v>
      </c>
      <c r="AJ205" s="6">
        <v>1100</v>
      </c>
      <c r="AK205" s="35">
        <f t="shared" si="79"/>
        <v>230</v>
      </c>
      <c r="AL205" s="35">
        <v>474</v>
      </c>
      <c r="AM205" s="35"/>
      <c r="AN205" s="35">
        <f t="shared" si="80"/>
        <v>247</v>
      </c>
      <c r="AO205" s="6">
        <v>237</v>
      </c>
      <c r="AP205" s="6">
        <v>485</v>
      </c>
      <c r="AQ205" s="35">
        <f t="shared" si="81"/>
        <v>248</v>
      </c>
      <c r="AR205" s="35">
        <v>587</v>
      </c>
      <c r="AS205" s="6"/>
      <c r="AT205" s="34">
        <f t="shared" si="82"/>
        <v>350</v>
      </c>
      <c r="AU205" s="35">
        <v>921</v>
      </c>
      <c r="AV205" s="35"/>
      <c r="AW205" s="35">
        <f t="shared" si="83"/>
        <v>334</v>
      </c>
      <c r="AX205" s="6"/>
      <c r="AY205" s="6"/>
      <c r="AZ205" s="35"/>
      <c r="BA205" s="6">
        <v>243</v>
      </c>
      <c r="BB205" s="6">
        <v>1029</v>
      </c>
      <c r="BC205" s="35">
        <f t="shared" si="84"/>
        <v>351</v>
      </c>
      <c r="BD205" s="35">
        <v>615</v>
      </c>
      <c r="BE205" s="35"/>
      <c r="BF205" s="35">
        <f t="shared" si="85"/>
        <v>372</v>
      </c>
      <c r="BG205" s="6">
        <v>990</v>
      </c>
      <c r="BH205" s="6"/>
      <c r="BI205" s="35">
        <f t="shared" si="86"/>
        <v>375</v>
      </c>
      <c r="BJ205" s="35">
        <v>1369</v>
      </c>
      <c r="BK205" s="6"/>
      <c r="BL205" s="35">
        <f t="shared" si="87"/>
        <v>379</v>
      </c>
      <c r="BM205" s="6">
        <v>189</v>
      </c>
      <c r="BN205" s="6">
        <v>1560</v>
      </c>
      <c r="BO205" s="6">
        <f t="shared" si="88"/>
        <v>380</v>
      </c>
      <c r="BP205" s="35">
        <v>550</v>
      </c>
      <c r="BQ205" s="305"/>
      <c r="BR205" s="6">
        <f t="shared" si="89"/>
        <v>361</v>
      </c>
      <c r="BS205" s="305"/>
      <c r="BT205" s="305"/>
      <c r="BU205" s="35"/>
      <c r="BV205" s="35">
        <v>931</v>
      </c>
      <c r="BW205" s="35"/>
      <c r="BX205" s="6">
        <f t="shared" si="90"/>
        <v>381</v>
      </c>
      <c r="BY205" s="35">
        <v>1310</v>
      </c>
      <c r="BZ205" s="35"/>
      <c r="CA205" s="35">
        <f t="shared" si="91"/>
        <v>379</v>
      </c>
      <c r="CB205" s="35">
        <v>276</v>
      </c>
      <c r="CC205" s="6">
        <v>1416</v>
      </c>
      <c r="CD205" s="6">
        <f t="shared" si="92"/>
        <v>382</v>
      </c>
      <c r="CE205" s="6">
        <v>658</v>
      </c>
      <c r="CF205" s="6"/>
      <c r="CG205" s="6">
        <f t="shared" si="93"/>
        <v>382</v>
      </c>
      <c r="CH205" s="6">
        <v>1038</v>
      </c>
      <c r="CI205" s="6"/>
      <c r="CJ205" s="6">
        <f t="shared" si="94"/>
        <v>380</v>
      </c>
      <c r="CK205" s="6">
        <v>186</v>
      </c>
      <c r="CL205" s="6">
        <v>1225</v>
      </c>
      <c r="CM205" s="6">
        <f t="shared" si="95"/>
        <v>373</v>
      </c>
      <c r="CN205" s="6"/>
      <c r="CO205" s="6"/>
      <c r="CP205" s="6"/>
      <c r="CQ205" s="6">
        <v>573</v>
      </c>
      <c r="CR205" s="6"/>
      <c r="CS205" s="6">
        <f t="shared" si="96"/>
        <v>387</v>
      </c>
      <c r="CT205" s="6">
        <v>8</v>
      </c>
      <c r="CU205" s="6">
        <v>942</v>
      </c>
      <c r="CV205" s="6">
        <f t="shared" si="97"/>
        <v>377</v>
      </c>
      <c r="CW205" s="6">
        <v>390</v>
      </c>
      <c r="CX205" s="6"/>
      <c r="CY205" s="6">
        <f t="shared" si="98"/>
        <v>382</v>
      </c>
      <c r="CZ205" s="6">
        <v>773</v>
      </c>
      <c r="DA205" s="6"/>
      <c r="DB205" s="6">
        <f t="shared" si="99"/>
        <v>383</v>
      </c>
      <c r="DC205" s="6">
        <v>1156</v>
      </c>
      <c r="DD205" s="6"/>
      <c r="DE205" s="6">
        <f t="shared" si="100"/>
        <v>383</v>
      </c>
      <c r="DF205" s="6">
        <v>1520</v>
      </c>
      <c r="DG205" s="6"/>
      <c r="DH205" s="6">
        <f t="shared" si="101"/>
        <v>364</v>
      </c>
      <c r="DI205" s="6"/>
      <c r="DJ205" s="10"/>
      <c r="DK205" s="6"/>
      <c r="DL205" s="6">
        <v>0</v>
      </c>
      <c r="DM205" s="10">
        <v>1719</v>
      </c>
      <c r="DN205" s="6">
        <f t="shared" si="102"/>
        <v>199</v>
      </c>
      <c r="DO205" s="6">
        <v>325</v>
      </c>
      <c r="DP205" s="10"/>
      <c r="DQ205" s="6">
        <f t="shared" si="103"/>
        <v>325</v>
      </c>
    </row>
    <row r="206" spans="1:121">
      <c r="A206" s="7">
        <v>202</v>
      </c>
      <c r="B206" s="6">
        <v>1100</v>
      </c>
      <c r="C206" s="10"/>
      <c r="D206" s="6">
        <v>214</v>
      </c>
      <c r="E206" s="141" t="s">
        <v>72</v>
      </c>
      <c r="F206" s="141" t="s">
        <v>72</v>
      </c>
      <c r="G206" s="141" t="s">
        <v>72</v>
      </c>
      <c r="H206" s="163" t="s">
        <v>37</v>
      </c>
      <c r="I206" s="141" t="s">
        <v>37</v>
      </c>
      <c r="J206" s="141" t="s">
        <v>37</v>
      </c>
      <c r="K206" s="141" t="s">
        <v>37</v>
      </c>
      <c r="L206" s="141" t="s">
        <v>37</v>
      </c>
      <c r="M206" s="141" t="s">
        <v>37</v>
      </c>
      <c r="N206" s="141" t="s">
        <v>37</v>
      </c>
      <c r="O206" s="141" t="s">
        <v>37</v>
      </c>
      <c r="P206" s="141" t="s">
        <v>37</v>
      </c>
      <c r="Q206" s="141" t="s">
        <v>37</v>
      </c>
      <c r="R206" s="141" t="s">
        <v>37</v>
      </c>
      <c r="S206" s="141" t="s">
        <v>37</v>
      </c>
      <c r="T206" s="141" t="s">
        <v>37</v>
      </c>
      <c r="U206" s="141" t="s">
        <v>37</v>
      </c>
      <c r="V206" s="141" t="s">
        <v>37</v>
      </c>
      <c r="W206" s="141" t="s">
        <v>37</v>
      </c>
      <c r="X206" s="141" t="s">
        <v>37</v>
      </c>
      <c r="Y206" s="141" t="s">
        <v>37</v>
      </c>
      <c r="Z206" s="141" t="s">
        <v>37</v>
      </c>
      <c r="AA206" s="141" t="s">
        <v>37</v>
      </c>
      <c r="AB206" s="141" t="s">
        <v>37</v>
      </c>
      <c r="AC206" s="163" t="s">
        <v>37</v>
      </c>
      <c r="AD206" s="141" t="s">
        <v>37</v>
      </c>
      <c r="AE206" s="141" t="s">
        <v>37</v>
      </c>
      <c r="AF206" s="6">
        <v>237</v>
      </c>
      <c r="AG206" s="6">
        <v>1110</v>
      </c>
      <c r="AH206" s="35">
        <f t="shared" si="78"/>
        <v>247</v>
      </c>
      <c r="AI206" s="6">
        <v>466</v>
      </c>
      <c r="AJ206" s="6"/>
      <c r="AK206" s="35">
        <f t="shared" si="79"/>
        <v>229</v>
      </c>
      <c r="AL206" s="35">
        <v>289</v>
      </c>
      <c r="AM206" s="35">
        <v>476</v>
      </c>
      <c r="AN206" s="35">
        <f t="shared" si="80"/>
        <v>299</v>
      </c>
      <c r="AO206" s="35">
        <v>663</v>
      </c>
      <c r="AP206" s="6"/>
      <c r="AQ206" s="35">
        <f t="shared" si="81"/>
        <v>374</v>
      </c>
      <c r="AR206" s="6">
        <v>1042</v>
      </c>
      <c r="AS206" s="6"/>
      <c r="AT206" s="34">
        <f t="shared" si="82"/>
        <v>379</v>
      </c>
      <c r="AU206" s="35">
        <v>1396</v>
      </c>
      <c r="AV206" s="35"/>
      <c r="AW206" s="35">
        <f t="shared" si="83"/>
        <v>354</v>
      </c>
      <c r="AX206" s="6"/>
      <c r="AY206" s="6"/>
      <c r="AZ206" s="35"/>
      <c r="BA206" s="6">
        <v>220</v>
      </c>
      <c r="BB206" s="6">
        <v>1560</v>
      </c>
      <c r="BC206" s="35">
        <f t="shared" si="84"/>
        <v>384</v>
      </c>
      <c r="BD206" s="35">
        <v>600</v>
      </c>
      <c r="BE206" s="35"/>
      <c r="BF206" s="35">
        <f t="shared" si="85"/>
        <v>380</v>
      </c>
      <c r="BG206" s="35">
        <v>977</v>
      </c>
      <c r="BH206" s="6"/>
      <c r="BI206" s="35">
        <f t="shared" si="86"/>
        <v>377</v>
      </c>
      <c r="BJ206" s="6">
        <v>1359</v>
      </c>
      <c r="BK206" s="6"/>
      <c r="BL206" s="35">
        <f t="shared" si="87"/>
        <v>382</v>
      </c>
      <c r="BM206" s="6">
        <v>181</v>
      </c>
      <c r="BN206" s="6">
        <v>1560</v>
      </c>
      <c r="BO206" s="6">
        <f t="shared" si="88"/>
        <v>382</v>
      </c>
      <c r="BP206" s="35">
        <v>547</v>
      </c>
      <c r="BQ206" s="305"/>
      <c r="BR206" s="6">
        <f t="shared" si="89"/>
        <v>366</v>
      </c>
      <c r="BS206" s="305"/>
      <c r="BT206" s="305"/>
      <c r="BU206" s="35"/>
      <c r="BV206" s="35">
        <v>931</v>
      </c>
      <c r="BW206" s="35"/>
      <c r="BX206" s="6">
        <f t="shared" si="90"/>
        <v>384</v>
      </c>
      <c r="BY206" s="35">
        <v>1308</v>
      </c>
      <c r="BZ206" s="35"/>
      <c r="CA206" s="35">
        <f t="shared" si="91"/>
        <v>377</v>
      </c>
      <c r="CB206" s="35">
        <v>125</v>
      </c>
      <c r="CC206" s="6">
        <v>1560</v>
      </c>
      <c r="CD206" s="6">
        <f t="shared" si="92"/>
        <v>377</v>
      </c>
      <c r="CE206" s="6">
        <v>56</v>
      </c>
      <c r="CF206" s="6">
        <v>448</v>
      </c>
      <c r="CG206" s="6">
        <f t="shared" si="93"/>
        <v>379</v>
      </c>
      <c r="CH206" s="6">
        <v>430</v>
      </c>
      <c r="CI206" s="6"/>
      <c r="CJ206" s="6">
        <f t="shared" si="94"/>
        <v>374</v>
      </c>
      <c r="CK206" s="6">
        <v>802</v>
      </c>
      <c r="CL206" s="6"/>
      <c r="CM206" s="6">
        <f t="shared" si="95"/>
        <v>372</v>
      </c>
      <c r="CN206" s="6"/>
      <c r="CO206" s="6"/>
      <c r="CP206" s="6"/>
      <c r="CQ206" s="6">
        <v>1190</v>
      </c>
      <c r="CR206" s="6"/>
      <c r="CS206" s="6">
        <f t="shared" si="96"/>
        <v>388</v>
      </c>
      <c r="CT206" s="6">
        <v>10</v>
      </c>
      <c r="CU206" s="6">
        <v>1560</v>
      </c>
      <c r="CV206" s="6">
        <f t="shared" si="97"/>
        <v>380</v>
      </c>
      <c r="CW206" s="6">
        <v>389</v>
      </c>
      <c r="CX206" s="6"/>
      <c r="CY206" s="6">
        <f t="shared" si="98"/>
        <v>379</v>
      </c>
      <c r="CZ206" s="6">
        <v>753</v>
      </c>
      <c r="DA206" s="6"/>
      <c r="DB206" s="6">
        <f t="shared" si="99"/>
        <v>364</v>
      </c>
      <c r="DC206" s="6">
        <v>1137</v>
      </c>
      <c r="DD206" s="6"/>
      <c r="DE206" s="6">
        <f t="shared" si="100"/>
        <v>384</v>
      </c>
      <c r="DF206" s="6">
        <v>307</v>
      </c>
      <c r="DG206" s="6">
        <v>1170</v>
      </c>
      <c r="DH206" s="6">
        <f t="shared" si="101"/>
        <v>340</v>
      </c>
      <c r="DI206" s="6"/>
      <c r="DJ206" s="10"/>
      <c r="DK206" s="6"/>
      <c r="DL206" s="6">
        <v>694</v>
      </c>
      <c r="DM206" s="10"/>
      <c r="DN206" s="6">
        <f t="shared" si="102"/>
        <v>387</v>
      </c>
      <c r="DO206" s="6">
        <v>1054</v>
      </c>
      <c r="DP206" s="10"/>
      <c r="DQ206" s="6">
        <f t="shared" si="103"/>
        <v>360</v>
      </c>
    </row>
    <row r="207" spans="1:121">
      <c r="A207" s="6">
        <v>203</v>
      </c>
      <c r="B207" s="6">
        <v>366</v>
      </c>
      <c r="C207" s="10"/>
      <c r="D207" s="6">
        <v>240</v>
      </c>
      <c r="E207" s="141" t="s">
        <v>75</v>
      </c>
      <c r="F207" s="141" t="s">
        <v>75</v>
      </c>
      <c r="G207" s="141" t="s">
        <v>75</v>
      </c>
      <c r="H207" s="141" t="s">
        <v>75</v>
      </c>
      <c r="I207" s="141" t="s">
        <v>75</v>
      </c>
      <c r="J207" s="141" t="s">
        <v>75</v>
      </c>
      <c r="K207" s="141" t="s">
        <v>75</v>
      </c>
      <c r="L207" s="141" t="s">
        <v>75</v>
      </c>
      <c r="M207" s="141" t="s">
        <v>75</v>
      </c>
      <c r="N207" s="141" t="s">
        <v>75</v>
      </c>
      <c r="O207" s="163" t="s">
        <v>75</v>
      </c>
      <c r="P207" s="141" t="s">
        <v>75</v>
      </c>
      <c r="Q207" s="141" t="s">
        <v>75</v>
      </c>
      <c r="R207" s="141" t="s">
        <v>75</v>
      </c>
      <c r="S207" s="141" t="s">
        <v>75</v>
      </c>
      <c r="T207" s="141" t="s">
        <v>75</v>
      </c>
      <c r="U207" s="141" t="s">
        <v>75</v>
      </c>
      <c r="V207" s="141" t="s">
        <v>75</v>
      </c>
      <c r="W207" s="141" t="s">
        <v>75</v>
      </c>
      <c r="X207" s="141" t="s">
        <v>75</v>
      </c>
      <c r="Y207" s="141" t="s">
        <v>75</v>
      </c>
      <c r="Z207" s="141" t="s">
        <v>75</v>
      </c>
      <c r="AA207" s="141" t="s">
        <v>75</v>
      </c>
      <c r="AB207" s="141" t="s">
        <v>75</v>
      </c>
      <c r="AC207" s="141" t="s">
        <v>75</v>
      </c>
      <c r="AD207" s="141" t="s">
        <v>75</v>
      </c>
      <c r="AE207" s="141" t="s">
        <v>75</v>
      </c>
      <c r="AF207" s="6">
        <v>650</v>
      </c>
      <c r="AG207" s="6"/>
      <c r="AH207" s="35">
        <f t="shared" si="78"/>
        <v>284</v>
      </c>
      <c r="AI207" s="6">
        <v>911</v>
      </c>
      <c r="AJ207" s="6"/>
      <c r="AK207" s="35">
        <f t="shared" si="79"/>
        <v>261</v>
      </c>
      <c r="AL207" s="35">
        <v>77</v>
      </c>
      <c r="AM207" s="35">
        <v>1105</v>
      </c>
      <c r="AN207" s="35">
        <f t="shared" si="80"/>
        <v>271</v>
      </c>
      <c r="AO207" s="6">
        <v>345</v>
      </c>
      <c r="AP207" s="6"/>
      <c r="AQ207" s="35">
        <f t="shared" si="81"/>
        <v>268</v>
      </c>
      <c r="AR207" s="6">
        <v>613</v>
      </c>
      <c r="AS207" s="6"/>
      <c r="AT207" s="34">
        <f t="shared" si="82"/>
        <v>268</v>
      </c>
      <c r="AU207" s="35">
        <v>868</v>
      </c>
      <c r="AV207" s="35"/>
      <c r="AW207" s="35">
        <f t="shared" si="83"/>
        <v>255</v>
      </c>
      <c r="AX207" s="6"/>
      <c r="AY207" s="6"/>
      <c r="AZ207" s="35"/>
      <c r="BA207" s="6">
        <v>41</v>
      </c>
      <c r="BB207" s="6">
        <v>1100</v>
      </c>
      <c r="BC207" s="35">
        <f t="shared" si="84"/>
        <v>273</v>
      </c>
      <c r="BD207" s="35">
        <v>310</v>
      </c>
      <c r="BE207" s="35"/>
      <c r="BF207" s="35">
        <f t="shared" si="85"/>
        <v>269</v>
      </c>
      <c r="BG207" s="35">
        <v>579</v>
      </c>
      <c r="BH207" s="6"/>
      <c r="BI207" s="35">
        <f t="shared" si="86"/>
        <v>269</v>
      </c>
      <c r="BJ207" s="6">
        <v>244</v>
      </c>
      <c r="BK207" s="6">
        <v>592</v>
      </c>
      <c r="BL207" s="35">
        <f t="shared" si="87"/>
        <v>257</v>
      </c>
      <c r="BM207" s="6">
        <v>516</v>
      </c>
      <c r="BN207" s="6"/>
      <c r="BO207" s="6">
        <f t="shared" si="88"/>
        <v>272</v>
      </c>
      <c r="BP207" s="35">
        <v>757</v>
      </c>
      <c r="BQ207" s="305"/>
      <c r="BR207" s="6">
        <f t="shared" si="89"/>
        <v>241</v>
      </c>
      <c r="BS207" s="305"/>
      <c r="BT207" s="305"/>
      <c r="BU207" s="35"/>
      <c r="BV207" s="35">
        <v>757</v>
      </c>
      <c r="BW207" s="35"/>
      <c r="BX207" s="6">
        <f t="shared" si="90"/>
        <v>0</v>
      </c>
      <c r="BY207" s="35">
        <v>757</v>
      </c>
      <c r="BZ207" s="35"/>
      <c r="CA207" s="35">
        <f t="shared" si="91"/>
        <v>0</v>
      </c>
      <c r="CB207" s="35">
        <v>757</v>
      </c>
      <c r="CC207" s="6"/>
      <c r="CD207" s="6">
        <f t="shared" si="92"/>
        <v>0</v>
      </c>
      <c r="CE207" s="6">
        <v>757</v>
      </c>
      <c r="CF207" s="6"/>
      <c r="CG207" s="6">
        <f t="shared" si="93"/>
        <v>0</v>
      </c>
      <c r="CH207" s="6">
        <v>757</v>
      </c>
      <c r="CI207" s="6"/>
      <c r="CJ207" s="6">
        <f t="shared" si="94"/>
        <v>0</v>
      </c>
      <c r="CK207" s="6">
        <v>757</v>
      </c>
      <c r="CL207" s="6"/>
      <c r="CM207" s="6">
        <f t="shared" si="95"/>
        <v>0</v>
      </c>
      <c r="CN207" s="6"/>
      <c r="CO207" s="6"/>
      <c r="CP207" s="6"/>
      <c r="CQ207" s="6">
        <v>757</v>
      </c>
      <c r="CR207" s="6"/>
      <c r="CS207" s="6">
        <f t="shared" si="96"/>
        <v>0</v>
      </c>
      <c r="CT207" s="6">
        <v>757</v>
      </c>
      <c r="CU207" s="6"/>
      <c r="CV207" s="6">
        <f t="shared" si="97"/>
        <v>0</v>
      </c>
      <c r="CW207" s="6">
        <v>757</v>
      </c>
      <c r="CX207" s="6"/>
      <c r="CY207" s="6">
        <f t="shared" si="98"/>
        <v>0</v>
      </c>
      <c r="CZ207" s="6">
        <v>757</v>
      </c>
      <c r="DA207" s="6"/>
      <c r="DB207" s="6">
        <f t="shared" si="99"/>
        <v>0</v>
      </c>
      <c r="DC207" s="6">
        <v>757</v>
      </c>
      <c r="DD207" s="6"/>
      <c r="DE207" s="6">
        <f t="shared" si="100"/>
        <v>0</v>
      </c>
      <c r="DF207" s="6">
        <v>757</v>
      </c>
      <c r="DG207" s="6"/>
      <c r="DH207" s="6">
        <f t="shared" si="101"/>
        <v>0</v>
      </c>
      <c r="DI207" s="6"/>
      <c r="DJ207" s="10"/>
      <c r="DK207" s="6"/>
      <c r="DL207" s="6">
        <v>757</v>
      </c>
      <c r="DM207" s="10"/>
      <c r="DN207" s="6">
        <f t="shared" si="102"/>
        <v>0</v>
      </c>
      <c r="DO207" s="6">
        <v>757</v>
      </c>
      <c r="DP207" s="10"/>
      <c r="DQ207" s="6">
        <f t="shared" si="103"/>
        <v>0</v>
      </c>
    </row>
    <row r="208" spans="1:121">
      <c r="A208" s="6">
        <v>204</v>
      </c>
      <c r="B208" s="6">
        <v>941</v>
      </c>
      <c r="C208" s="10"/>
      <c r="D208" s="6">
        <v>215</v>
      </c>
      <c r="E208" s="141" t="s">
        <v>72</v>
      </c>
      <c r="F208" s="141" t="s">
        <v>72</v>
      </c>
      <c r="G208" s="141" t="s">
        <v>72</v>
      </c>
      <c r="H208" s="141" t="s">
        <v>72</v>
      </c>
      <c r="I208" s="163" t="s">
        <v>37</v>
      </c>
      <c r="J208" s="141" t="s">
        <v>37</v>
      </c>
      <c r="K208" s="141" t="s">
        <v>37</v>
      </c>
      <c r="L208" s="141" t="s">
        <v>37</v>
      </c>
      <c r="M208" s="141" t="s">
        <v>37</v>
      </c>
      <c r="N208" s="141" t="s">
        <v>37</v>
      </c>
      <c r="O208" s="141" t="s">
        <v>37</v>
      </c>
      <c r="P208" s="141" t="s">
        <v>37</v>
      </c>
      <c r="Q208" s="141" t="s">
        <v>37</v>
      </c>
      <c r="R208" s="141" t="s">
        <v>37</v>
      </c>
      <c r="S208" s="141" t="s">
        <v>37</v>
      </c>
      <c r="T208" s="141" t="s">
        <v>37</v>
      </c>
      <c r="U208" s="141" t="s">
        <v>37</v>
      </c>
      <c r="V208" s="141" t="s">
        <v>37</v>
      </c>
      <c r="W208" s="141" t="s">
        <v>37</v>
      </c>
      <c r="X208" s="141" t="s">
        <v>37</v>
      </c>
      <c r="Y208" s="141" t="s">
        <v>37</v>
      </c>
      <c r="Z208" s="141" t="s">
        <v>37</v>
      </c>
      <c r="AA208" s="141" t="s">
        <v>37</v>
      </c>
      <c r="AB208" s="141" t="s">
        <v>37</v>
      </c>
      <c r="AC208" s="141" t="s">
        <v>37</v>
      </c>
      <c r="AD208" s="141" t="s">
        <v>37</v>
      </c>
      <c r="AE208" s="163" t="s">
        <v>37</v>
      </c>
      <c r="AF208" s="6">
        <v>94</v>
      </c>
      <c r="AG208" s="6">
        <v>1100</v>
      </c>
      <c r="AH208" s="35">
        <f t="shared" si="78"/>
        <v>253</v>
      </c>
      <c r="AI208" s="6">
        <v>327</v>
      </c>
      <c r="AJ208" s="6"/>
      <c r="AK208" s="35">
        <f t="shared" si="79"/>
        <v>233</v>
      </c>
      <c r="AL208" s="35">
        <v>564</v>
      </c>
      <c r="AM208" s="35"/>
      <c r="AN208" s="35">
        <f t="shared" si="80"/>
        <v>237</v>
      </c>
      <c r="AO208" s="6">
        <v>255</v>
      </c>
      <c r="AP208" s="6">
        <v>575</v>
      </c>
      <c r="AQ208" s="35">
        <f t="shared" si="81"/>
        <v>266</v>
      </c>
      <c r="AR208" s="35">
        <v>625</v>
      </c>
      <c r="AS208" s="6"/>
      <c r="AT208" s="34">
        <f t="shared" si="82"/>
        <v>370</v>
      </c>
      <c r="AU208" s="35">
        <v>974</v>
      </c>
      <c r="AV208" s="35"/>
      <c r="AW208" s="35">
        <f t="shared" si="83"/>
        <v>349</v>
      </c>
      <c r="AX208" s="6"/>
      <c r="AY208" s="6"/>
      <c r="AZ208" s="35"/>
      <c r="BA208" s="6">
        <v>53</v>
      </c>
      <c r="BB208" s="6">
        <v>1298</v>
      </c>
      <c r="BC208" s="35">
        <f t="shared" si="84"/>
        <v>377</v>
      </c>
      <c r="BD208" s="35">
        <v>405</v>
      </c>
      <c r="BE208" s="35"/>
      <c r="BF208" s="35">
        <f t="shared" si="85"/>
        <v>352</v>
      </c>
      <c r="BG208" s="35">
        <v>781</v>
      </c>
      <c r="BH208" s="6"/>
      <c r="BI208" s="35">
        <f t="shared" si="86"/>
        <v>376</v>
      </c>
      <c r="BJ208" s="6">
        <v>1164</v>
      </c>
      <c r="BK208" s="6"/>
      <c r="BL208" s="35">
        <f t="shared" si="87"/>
        <v>383</v>
      </c>
      <c r="BM208" s="6">
        <v>1541</v>
      </c>
      <c r="BN208" s="6"/>
      <c r="BO208" s="6">
        <f t="shared" si="88"/>
        <v>377</v>
      </c>
      <c r="BP208" s="35">
        <v>342</v>
      </c>
      <c r="BQ208" s="35">
        <v>1560</v>
      </c>
      <c r="BR208" s="6">
        <f t="shared" si="89"/>
        <v>361</v>
      </c>
      <c r="BS208" s="35"/>
      <c r="BT208" s="35"/>
      <c r="BU208" s="35"/>
      <c r="BV208" s="35">
        <v>724</v>
      </c>
      <c r="BW208" s="35"/>
      <c r="BX208" s="6">
        <f t="shared" si="90"/>
        <v>382</v>
      </c>
      <c r="BY208" s="35">
        <v>1093</v>
      </c>
      <c r="BZ208" s="35"/>
      <c r="CA208" s="35">
        <f t="shared" si="91"/>
        <v>369</v>
      </c>
      <c r="CB208" s="35">
        <v>1472</v>
      </c>
      <c r="CC208" s="6"/>
      <c r="CD208" s="6">
        <f t="shared" si="92"/>
        <v>379</v>
      </c>
      <c r="CE208" s="35">
        <v>290</v>
      </c>
      <c r="CF208" s="6">
        <v>1560</v>
      </c>
      <c r="CG208" s="6">
        <f t="shared" si="93"/>
        <v>378</v>
      </c>
      <c r="CH208" s="6">
        <v>672</v>
      </c>
      <c r="CI208" s="6"/>
      <c r="CJ208" s="6">
        <f t="shared" si="94"/>
        <v>382</v>
      </c>
      <c r="CK208" s="6">
        <v>1031</v>
      </c>
      <c r="CL208" s="6"/>
      <c r="CM208" s="6">
        <f t="shared" si="95"/>
        <v>359</v>
      </c>
      <c r="CN208" s="6"/>
      <c r="CO208" s="6"/>
      <c r="CP208" s="6"/>
      <c r="CQ208" s="6">
        <v>1430</v>
      </c>
      <c r="CR208" s="6"/>
      <c r="CS208" s="6">
        <f t="shared" si="96"/>
        <v>399</v>
      </c>
      <c r="CT208" s="6">
        <v>218</v>
      </c>
      <c r="CU208" s="6">
        <v>1560</v>
      </c>
      <c r="CV208" s="6">
        <f t="shared" si="97"/>
        <v>348</v>
      </c>
      <c r="CW208" s="6">
        <v>599</v>
      </c>
      <c r="CX208" s="6"/>
      <c r="CY208" s="6">
        <f t="shared" si="98"/>
        <v>381</v>
      </c>
      <c r="CZ208" s="6">
        <v>976</v>
      </c>
      <c r="DA208" s="6"/>
      <c r="DB208" s="6">
        <f t="shared" si="99"/>
        <v>377</v>
      </c>
      <c r="DC208" s="6">
        <v>1352</v>
      </c>
      <c r="DD208" s="6"/>
      <c r="DE208" s="6">
        <f t="shared" si="100"/>
        <v>376</v>
      </c>
      <c r="DF208" s="6">
        <v>216</v>
      </c>
      <c r="DG208" s="6">
        <v>1492</v>
      </c>
      <c r="DH208" s="6">
        <f t="shared" si="101"/>
        <v>356</v>
      </c>
      <c r="DI208" s="6"/>
      <c r="DJ208" s="10"/>
      <c r="DK208" s="6"/>
      <c r="DL208" s="6">
        <v>0</v>
      </c>
      <c r="DM208" s="10">
        <v>412</v>
      </c>
      <c r="DN208" s="6">
        <f t="shared" si="102"/>
        <v>196</v>
      </c>
      <c r="DO208" s="6">
        <v>330</v>
      </c>
      <c r="DP208" s="10"/>
      <c r="DQ208" s="6">
        <f t="shared" si="103"/>
        <v>330</v>
      </c>
    </row>
    <row r="209" spans="1:121">
      <c r="A209" s="7">
        <v>205</v>
      </c>
      <c r="B209" s="6">
        <v>303</v>
      </c>
      <c r="C209" s="10"/>
      <c r="D209" s="6">
        <v>223</v>
      </c>
      <c r="E209" s="141" t="s">
        <v>72</v>
      </c>
      <c r="F209" s="141" t="s">
        <v>72</v>
      </c>
      <c r="G209" s="141" t="s">
        <v>72</v>
      </c>
      <c r="H209" s="163" t="s">
        <v>37</v>
      </c>
      <c r="I209" s="141" t="s">
        <v>37</v>
      </c>
      <c r="J209" s="141" t="s">
        <v>37</v>
      </c>
      <c r="K209" s="141" t="s">
        <v>37</v>
      </c>
      <c r="L209" s="141" t="s">
        <v>37</v>
      </c>
      <c r="M209" s="141" t="s">
        <v>37</v>
      </c>
      <c r="N209" s="141" t="s">
        <v>37</v>
      </c>
      <c r="O209" s="141" t="s">
        <v>37</v>
      </c>
      <c r="P209" s="141" t="s">
        <v>37</v>
      </c>
      <c r="Q209" s="141" t="s">
        <v>37</v>
      </c>
      <c r="R209" s="141" t="s">
        <v>37</v>
      </c>
      <c r="S209" s="141" t="s">
        <v>37</v>
      </c>
      <c r="T209" s="141" t="s">
        <v>37</v>
      </c>
      <c r="U209" s="141" t="s">
        <v>37</v>
      </c>
      <c r="V209" s="141" t="s">
        <v>37</v>
      </c>
      <c r="W209" s="141" t="s">
        <v>37</v>
      </c>
      <c r="X209" s="141" t="s">
        <v>37</v>
      </c>
      <c r="Y209" s="141" t="s">
        <v>37</v>
      </c>
      <c r="Z209" s="141" t="s">
        <v>37</v>
      </c>
      <c r="AA209" s="141" t="s">
        <v>37</v>
      </c>
      <c r="AB209" s="141" t="s">
        <v>37</v>
      </c>
      <c r="AC209" s="141" t="s">
        <v>37</v>
      </c>
      <c r="AD209" s="163" t="s">
        <v>37</v>
      </c>
      <c r="AE209" s="141" t="s">
        <v>37</v>
      </c>
      <c r="AF209" s="6">
        <v>548</v>
      </c>
      <c r="AG209" s="6"/>
      <c r="AH209" s="35">
        <f t="shared" si="78"/>
        <v>245</v>
      </c>
      <c r="AI209" s="6">
        <v>790</v>
      </c>
      <c r="AJ209" s="6"/>
      <c r="AK209" s="35">
        <f t="shared" si="79"/>
        <v>242</v>
      </c>
      <c r="AL209" s="35">
        <v>310</v>
      </c>
      <c r="AM209" s="35">
        <v>803</v>
      </c>
      <c r="AN209" s="35">
        <f t="shared" si="80"/>
        <v>323</v>
      </c>
      <c r="AO209" s="35">
        <v>668</v>
      </c>
      <c r="AP209" s="6"/>
      <c r="AQ209" s="35">
        <f t="shared" si="81"/>
        <v>358</v>
      </c>
      <c r="AR209" s="6">
        <v>1033</v>
      </c>
      <c r="AS209" s="6"/>
      <c r="AT209" s="34">
        <f t="shared" si="82"/>
        <v>365</v>
      </c>
      <c r="AU209" s="35">
        <v>1378</v>
      </c>
      <c r="AV209" s="35"/>
      <c r="AW209" s="35">
        <f t="shared" si="83"/>
        <v>345</v>
      </c>
      <c r="AX209" s="6"/>
      <c r="AY209" s="6"/>
      <c r="AZ209" s="35"/>
      <c r="BA209" s="6">
        <v>185</v>
      </c>
      <c r="BB209" s="6">
        <v>1560</v>
      </c>
      <c r="BC209" s="35">
        <f t="shared" si="84"/>
        <v>367</v>
      </c>
      <c r="BD209" s="35">
        <v>550</v>
      </c>
      <c r="BE209" s="35"/>
      <c r="BF209" s="35">
        <f t="shared" si="85"/>
        <v>365</v>
      </c>
      <c r="BG209" s="35">
        <v>919</v>
      </c>
      <c r="BH209" s="6"/>
      <c r="BI209" s="35">
        <f t="shared" si="86"/>
        <v>369</v>
      </c>
      <c r="BJ209" s="6">
        <v>1285</v>
      </c>
      <c r="BK209" s="6"/>
      <c r="BL209" s="35">
        <f t="shared" si="87"/>
        <v>366</v>
      </c>
      <c r="BM209" s="6">
        <v>92</v>
      </c>
      <c r="BN209" s="6">
        <v>1560</v>
      </c>
      <c r="BO209" s="6">
        <f t="shared" si="88"/>
        <v>367</v>
      </c>
      <c r="BP209" s="35">
        <v>439</v>
      </c>
      <c r="BQ209" s="35"/>
      <c r="BR209" s="6">
        <f t="shared" si="89"/>
        <v>347</v>
      </c>
      <c r="BS209" s="35"/>
      <c r="BT209" s="35"/>
      <c r="BU209" s="35"/>
      <c r="BV209" s="35">
        <v>767</v>
      </c>
      <c r="BW209" s="35"/>
      <c r="BX209" s="6">
        <f t="shared" si="90"/>
        <v>328</v>
      </c>
      <c r="BY209" s="35">
        <v>1120</v>
      </c>
      <c r="BZ209" s="35"/>
      <c r="CA209" s="35">
        <f t="shared" si="91"/>
        <v>353</v>
      </c>
      <c r="CB209" s="35">
        <v>260</v>
      </c>
      <c r="CC209" s="6">
        <v>1220</v>
      </c>
      <c r="CD209" s="6">
        <f t="shared" si="92"/>
        <v>360</v>
      </c>
      <c r="CE209" s="6">
        <v>643</v>
      </c>
      <c r="CF209" s="6"/>
      <c r="CG209" s="6">
        <f t="shared" si="93"/>
        <v>383</v>
      </c>
      <c r="CH209" s="6">
        <v>1012</v>
      </c>
      <c r="CI209" s="6"/>
      <c r="CJ209" s="6">
        <f t="shared" si="94"/>
        <v>369</v>
      </c>
      <c r="CK209" s="6">
        <v>184</v>
      </c>
      <c r="CL209" s="6">
        <v>1199</v>
      </c>
      <c r="CM209" s="6">
        <f t="shared" si="95"/>
        <v>371</v>
      </c>
      <c r="CN209" s="6"/>
      <c r="CO209" s="6"/>
      <c r="CP209" s="6"/>
      <c r="CQ209" s="6">
        <v>569</v>
      </c>
      <c r="CR209" s="6"/>
      <c r="CS209" s="6">
        <f t="shared" si="96"/>
        <v>385</v>
      </c>
      <c r="CT209" s="6">
        <v>947</v>
      </c>
      <c r="CU209" s="6"/>
      <c r="CV209" s="6">
        <f t="shared" si="97"/>
        <v>378</v>
      </c>
      <c r="CW209" s="6">
        <v>1322</v>
      </c>
      <c r="CX209" s="6"/>
      <c r="CY209" s="6">
        <f t="shared" si="98"/>
        <v>375</v>
      </c>
      <c r="CZ209" s="6">
        <v>142</v>
      </c>
      <c r="DA209" s="6">
        <v>1560</v>
      </c>
      <c r="DB209" s="6">
        <f t="shared" si="99"/>
        <v>380</v>
      </c>
      <c r="DC209" s="6">
        <v>522</v>
      </c>
      <c r="DD209" s="6"/>
      <c r="DE209" s="6">
        <f t="shared" si="100"/>
        <v>380</v>
      </c>
      <c r="DF209" s="6">
        <v>0</v>
      </c>
      <c r="DG209" s="6">
        <v>768</v>
      </c>
      <c r="DH209" s="6">
        <f t="shared" si="101"/>
        <v>246</v>
      </c>
      <c r="DI209" s="6"/>
      <c r="DJ209" s="10"/>
      <c r="DK209" s="6"/>
      <c r="DL209" s="6">
        <v>329</v>
      </c>
      <c r="DM209" s="10"/>
      <c r="DN209" s="6">
        <f t="shared" si="102"/>
        <v>329</v>
      </c>
      <c r="DO209" s="6">
        <v>55</v>
      </c>
      <c r="DP209" s="10">
        <v>615</v>
      </c>
      <c r="DQ209" s="6">
        <f t="shared" si="103"/>
        <v>341</v>
      </c>
    </row>
    <row r="210" spans="1:121">
      <c r="A210" s="6">
        <v>206</v>
      </c>
      <c r="B210" s="6">
        <v>621</v>
      </c>
      <c r="C210" s="10"/>
      <c r="D210" s="6">
        <v>219</v>
      </c>
      <c r="E210" s="141" t="s">
        <v>72</v>
      </c>
      <c r="F210" s="141" t="s">
        <v>72</v>
      </c>
      <c r="G210" s="141" t="s">
        <v>72</v>
      </c>
      <c r="H210" s="141" t="s">
        <v>72</v>
      </c>
      <c r="I210" s="141" t="s">
        <v>72</v>
      </c>
      <c r="J210" s="163" t="s">
        <v>72</v>
      </c>
      <c r="K210" s="141" t="s">
        <v>72</v>
      </c>
      <c r="L210" s="141" t="s">
        <v>72</v>
      </c>
      <c r="M210" s="141" t="s">
        <v>72</v>
      </c>
      <c r="N210" s="141" t="s">
        <v>72</v>
      </c>
      <c r="O210" s="141" t="s">
        <v>72</v>
      </c>
      <c r="P210" s="141" t="s">
        <v>72</v>
      </c>
      <c r="Q210" s="141" t="s">
        <v>72</v>
      </c>
      <c r="R210" s="141" t="s">
        <v>72</v>
      </c>
      <c r="S210" s="141" t="s">
        <v>72</v>
      </c>
      <c r="T210" s="141" t="s">
        <v>72</v>
      </c>
      <c r="U210" s="141" t="s">
        <v>72</v>
      </c>
      <c r="V210" s="141" t="s">
        <v>72</v>
      </c>
      <c r="W210" s="141" t="s">
        <v>72</v>
      </c>
      <c r="X210" s="141" t="s">
        <v>72</v>
      </c>
      <c r="Y210" s="141" t="s">
        <v>72</v>
      </c>
      <c r="Z210" s="141" t="s">
        <v>72</v>
      </c>
      <c r="AA210" s="141" t="s">
        <v>72</v>
      </c>
      <c r="AB210" s="141" t="s">
        <v>72</v>
      </c>
      <c r="AC210" s="141" t="s">
        <v>72</v>
      </c>
      <c r="AD210" s="141" t="s">
        <v>72</v>
      </c>
      <c r="AE210" s="141" t="s">
        <v>72</v>
      </c>
      <c r="AF210" s="6">
        <v>881</v>
      </c>
      <c r="AG210" s="6"/>
      <c r="AH210" s="35">
        <f t="shared" si="78"/>
        <v>260</v>
      </c>
      <c r="AI210" s="6">
        <v>18</v>
      </c>
      <c r="AJ210" s="6">
        <v>1100</v>
      </c>
      <c r="AK210" s="35">
        <f t="shared" si="79"/>
        <v>237</v>
      </c>
      <c r="AL210" s="35">
        <v>263</v>
      </c>
      <c r="AM210" s="35"/>
      <c r="AN210" s="35">
        <f t="shared" si="80"/>
        <v>245</v>
      </c>
      <c r="AO210" s="6">
        <v>0</v>
      </c>
      <c r="AP210" s="6">
        <v>348</v>
      </c>
      <c r="AQ210" s="35">
        <f t="shared" si="81"/>
        <v>85</v>
      </c>
      <c r="AR210" s="6">
        <v>226</v>
      </c>
      <c r="AS210" s="6"/>
      <c r="AT210" s="34">
        <f t="shared" si="82"/>
        <v>226</v>
      </c>
      <c r="AU210" s="35">
        <v>455</v>
      </c>
      <c r="AV210" s="35"/>
      <c r="AW210" s="35">
        <f t="shared" si="83"/>
        <v>229</v>
      </c>
      <c r="AX210" s="6"/>
      <c r="AY210" s="6"/>
      <c r="AZ210" s="35"/>
      <c r="BA210" s="6">
        <v>713</v>
      </c>
      <c r="BB210" s="6"/>
      <c r="BC210" s="35">
        <f t="shared" si="84"/>
        <v>258</v>
      </c>
      <c r="BD210" s="35">
        <v>962</v>
      </c>
      <c r="BE210" s="35"/>
      <c r="BF210" s="35">
        <f t="shared" si="85"/>
        <v>249</v>
      </c>
      <c r="BG210" s="35">
        <v>117</v>
      </c>
      <c r="BH210" s="6">
        <v>1100</v>
      </c>
      <c r="BI210" s="35">
        <f t="shared" si="86"/>
        <v>255</v>
      </c>
      <c r="BJ210" s="6">
        <v>368</v>
      </c>
      <c r="BK210" s="6"/>
      <c r="BL210" s="35">
        <f t="shared" si="87"/>
        <v>251</v>
      </c>
      <c r="BM210" s="6">
        <v>626</v>
      </c>
      <c r="BN210" s="6"/>
      <c r="BO210" s="6">
        <f t="shared" si="88"/>
        <v>258</v>
      </c>
      <c r="BP210" s="35">
        <v>141</v>
      </c>
      <c r="BQ210" s="35">
        <v>701</v>
      </c>
      <c r="BR210" s="6">
        <f t="shared" si="89"/>
        <v>216</v>
      </c>
      <c r="BS210" s="35"/>
      <c r="BT210" s="35"/>
      <c r="BU210" s="35"/>
      <c r="BV210" s="35">
        <v>141</v>
      </c>
      <c r="BW210" s="35"/>
      <c r="BX210" s="6">
        <f t="shared" si="90"/>
        <v>0</v>
      </c>
      <c r="BY210" s="35">
        <v>141</v>
      </c>
      <c r="BZ210" s="35"/>
      <c r="CA210" s="35">
        <f t="shared" si="91"/>
        <v>0</v>
      </c>
      <c r="CB210" s="35">
        <v>141</v>
      </c>
      <c r="CC210" s="6"/>
      <c r="CD210" s="6">
        <f t="shared" si="92"/>
        <v>0</v>
      </c>
      <c r="CE210" s="6">
        <v>141</v>
      </c>
      <c r="CF210" s="6"/>
      <c r="CG210" s="6">
        <f t="shared" si="93"/>
        <v>0</v>
      </c>
      <c r="CH210" s="6">
        <v>141</v>
      </c>
      <c r="CI210" s="6"/>
      <c r="CJ210" s="6">
        <f t="shared" si="94"/>
        <v>0</v>
      </c>
      <c r="CK210" s="6">
        <v>141</v>
      </c>
      <c r="CL210" s="6"/>
      <c r="CM210" s="6">
        <f t="shared" si="95"/>
        <v>0</v>
      </c>
      <c r="CN210" s="6"/>
      <c r="CO210" s="6"/>
      <c r="CP210" s="6"/>
      <c r="CQ210" s="6">
        <v>141</v>
      </c>
      <c r="CR210" s="6"/>
      <c r="CS210" s="6">
        <f t="shared" si="96"/>
        <v>0</v>
      </c>
      <c r="CT210" s="6">
        <v>141</v>
      </c>
      <c r="CU210" s="6"/>
      <c r="CV210" s="6">
        <f t="shared" si="97"/>
        <v>0</v>
      </c>
      <c r="CW210" s="6">
        <v>141</v>
      </c>
      <c r="CX210" s="6"/>
      <c r="CY210" s="6">
        <f t="shared" si="98"/>
        <v>0</v>
      </c>
      <c r="CZ210" s="6">
        <v>141</v>
      </c>
      <c r="DA210" s="6"/>
      <c r="DB210" s="6">
        <f t="shared" si="99"/>
        <v>0</v>
      </c>
      <c r="DC210" s="6">
        <v>141</v>
      </c>
      <c r="DD210" s="6"/>
      <c r="DE210" s="6">
        <f t="shared" si="100"/>
        <v>0</v>
      </c>
      <c r="DF210" s="6">
        <v>141</v>
      </c>
      <c r="DG210" s="6"/>
      <c r="DH210" s="6">
        <f t="shared" si="101"/>
        <v>0</v>
      </c>
      <c r="DI210" s="6"/>
      <c r="DJ210" s="10"/>
      <c r="DK210" s="6"/>
      <c r="DL210" s="6">
        <v>141</v>
      </c>
      <c r="DM210" s="10"/>
      <c r="DN210" s="6">
        <f t="shared" si="102"/>
        <v>0</v>
      </c>
      <c r="DO210" s="6">
        <v>141</v>
      </c>
      <c r="DP210" s="10"/>
      <c r="DQ210" s="6">
        <f t="shared" si="103"/>
        <v>0</v>
      </c>
    </row>
    <row r="211" spans="1:121">
      <c r="A211" s="6">
        <v>207</v>
      </c>
      <c r="B211" s="6">
        <v>66</v>
      </c>
      <c r="C211" s="10">
        <v>1100</v>
      </c>
      <c r="D211" s="6">
        <v>222</v>
      </c>
      <c r="E211" s="141" t="s">
        <v>75</v>
      </c>
      <c r="F211" s="141" t="s">
        <v>75</v>
      </c>
      <c r="G211" s="141" t="s">
        <v>75</v>
      </c>
      <c r="H211" s="141" t="s">
        <v>75</v>
      </c>
      <c r="I211" s="141" t="s">
        <v>75</v>
      </c>
      <c r="J211" s="141" t="s">
        <v>75</v>
      </c>
      <c r="K211" s="141" t="s">
        <v>75</v>
      </c>
      <c r="L211" s="141" t="s">
        <v>75</v>
      </c>
      <c r="M211" s="141" t="s">
        <v>75</v>
      </c>
      <c r="N211" s="141" t="s">
        <v>75</v>
      </c>
      <c r="O211" s="141" t="s">
        <v>75</v>
      </c>
      <c r="P211" s="163" t="s">
        <v>75</v>
      </c>
      <c r="Q211" s="141" t="s">
        <v>75</v>
      </c>
      <c r="R211" s="141" t="s">
        <v>75</v>
      </c>
      <c r="S211" s="141" t="s">
        <v>75</v>
      </c>
      <c r="T211" s="141" t="s">
        <v>75</v>
      </c>
      <c r="U211" s="141" t="s">
        <v>75</v>
      </c>
      <c r="V211" s="141" t="s">
        <v>75</v>
      </c>
      <c r="W211" s="141" t="s">
        <v>75</v>
      </c>
      <c r="X211" s="141" t="s">
        <v>75</v>
      </c>
      <c r="Y211" s="141" t="s">
        <v>75</v>
      </c>
      <c r="Z211" s="141" t="s">
        <v>75</v>
      </c>
      <c r="AA211" s="141" t="s">
        <v>75</v>
      </c>
      <c r="AB211" s="141" t="s">
        <v>75</v>
      </c>
      <c r="AC211" s="141" t="s">
        <v>75</v>
      </c>
      <c r="AD211" s="141" t="s">
        <v>75</v>
      </c>
      <c r="AE211" s="141" t="s">
        <v>75</v>
      </c>
      <c r="AF211" s="6">
        <v>346</v>
      </c>
      <c r="AG211" s="6"/>
      <c r="AH211" s="35">
        <f t="shared" si="78"/>
        <v>280</v>
      </c>
      <c r="AI211" s="6">
        <v>603</v>
      </c>
      <c r="AJ211" s="6"/>
      <c r="AK211" s="35">
        <f t="shared" si="79"/>
        <v>257</v>
      </c>
      <c r="AL211" s="35">
        <v>868</v>
      </c>
      <c r="AM211" s="35"/>
      <c r="AN211" s="35">
        <f t="shared" si="80"/>
        <v>265</v>
      </c>
      <c r="AO211" s="6">
        <v>30</v>
      </c>
      <c r="AP211" s="6">
        <v>1100</v>
      </c>
      <c r="AQ211" s="35">
        <f t="shared" si="81"/>
        <v>262</v>
      </c>
      <c r="AR211" s="6">
        <v>295</v>
      </c>
      <c r="AS211" s="6"/>
      <c r="AT211" s="34">
        <f t="shared" si="82"/>
        <v>265</v>
      </c>
      <c r="AU211" s="35">
        <v>547</v>
      </c>
      <c r="AV211" s="35"/>
      <c r="AW211" s="35">
        <f t="shared" si="83"/>
        <v>252</v>
      </c>
      <c r="AX211" s="6"/>
      <c r="AY211" s="6"/>
      <c r="AZ211" s="35"/>
      <c r="BA211" s="6">
        <v>817</v>
      </c>
      <c r="BB211" s="6"/>
      <c r="BC211" s="35">
        <f t="shared" si="84"/>
        <v>270</v>
      </c>
      <c r="BD211" s="35">
        <v>239</v>
      </c>
      <c r="BE211" s="35">
        <v>841</v>
      </c>
      <c r="BF211" s="35">
        <f t="shared" si="85"/>
        <v>263</v>
      </c>
      <c r="BG211" s="35">
        <v>504</v>
      </c>
      <c r="BH211" s="6"/>
      <c r="BI211" s="35">
        <f t="shared" si="86"/>
        <v>265</v>
      </c>
      <c r="BJ211" s="6">
        <v>771</v>
      </c>
      <c r="BK211" s="6"/>
      <c r="BL211" s="35">
        <f t="shared" si="87"/>
        <v>267</v>
      </c>
      <c r="BM211" s="6">
        <v>194</v>
      </c>
      <c r="BN211" s="6">
        <v>826</v>
      </c>
      <c r="BO211" s="6">
        <f t="shared" si="88"/>
        <v>249</v>
      </c>
      <c r="BP211" s="35">
        <v>431</v>
      </c>
      <c r="BQ211" s="35"/>
      <c r="BR211" s="6">
        <f t="shared" si="89"/>
        <v>237</v>
      </c>
      <c r="BS211" s="35"/>
      <c r="BT211" s="35"/>
      <c r="BU211" s="35"/>
      <c r="BV211" s="35">
        <v>431</v>
      </c>
      <c r="BW211" s="35"/>
      <c r="BX211" s="6">
        <f t="shared" si="90"/>
        <v>0</v>
      </c>
      <c r="BY211" s="35">
        <v>431</v>
      </c>
      <c r="BZ211" s="35"/>
      <c r="CA211" s="35">
        <f t="shared" si="91"/>
        <v>0</v>
      </c>
      <c r="CB211" s="35">
        <v>431</v>
      </c>
      <c r="CC211" s="6"/>
      <c r="CD211" s="6">
        <f t="shared" si="92"/>
        <v>0</v>
      </c>
      <c r="CE211" s="6">
        <v>431</v>
      </c>
      <c r="CF211" s="6"/>
      <c r="CG211" s="6">
        <f t="shared" si="93"/>
        <v>0</v>
      </c>
      <c r="CH211" s="6">
        <v>431</v>
      </c>
      <c r="CI211" s="6"/>
      <c r="CJ211" s="6">
        <f t="shared" si="94"/>
        <v>0</v>
      </c>
      <c r="CK211" s="6">
        <v>431</v>
      </c>
      <c r="CL211" s="6"/>
      <c r="CM211" s="6">
        <f t="shared" si="95"/>
        <v>0</v>
      </c>
      <c r="CN211" s="6"/>
      <c r="CO211" s="6"/>
      <c r="CP211" s="6"/>
      <c r="CQ211" s="6">
        <v>431</v>
      </c>
      <c r="CR211" s="6"/>
      <c r="CS211" s="6">
        <f t="shared" si="96"/>
        <v>0</v>
      </c>
      <c r="CT211" s="6">
        <v>431</v>
      </c>
      <c r="CU211" s="6"/>
      <c r="CV211" s="6">
        <f t="shared" si="97"/>
        <v>0</v>
      </c>
      <c r="CW211" s="6">
        <v>431</v>
      </c>
      <c r="CX211" s="6"/>
      <c r="CY211" s="6">
        <f t="shared" si="98"/>
        <v>0</v>
      </c>
      <c r="CZ211" s="6">
        <v>431</v>
      </c>
      <c r="DA211" s="6"/>
      <c r="DB211" s="6">
        <f t="shared" si="99"/>
        <v>0</v>
      </c>
      <c r="DC211" s="6">
        <v>431</v>
      </c>
      <c r="DD211" s="6"/>
      <c r="DE211" s="6">
        <f t="shared" si="100"/>
        <v>0</v>
      </c>
      <c r="DF211" s="6">
        <v>431</v>
      </c>
      <c r="DG211" s="6"/>
      <c r="DH211" s="6">
        <f t="shared" si="101"/>
        <v>0</v>
      </c>
      <c r="DI211" s="6"/>
      <c r="DJ211" s="10"/>
      <c r="DK211" s="6"/>
      <c r="DL211" s="6">
        <v>431</v>
      </c>
      <c r="DM211" s="10"/>
      <c r="DN211" s="6">
        <f t="shared" si="102"/>
        <v>0</v>
      </c>
      <c r="DO211" s="6">
        <v>431</v>
      </c>
      <c r="DP211" s="10"/>
      <c r="DQ211" s="6">
        <f t="shared" si="103"/>
        <v>0</v>
      </c>
    </row>
    <row r="212" spans="1:121">
      <c r="A212" s="7">
        <v>208</v>
      </c>
      <c r="B212" s="6">
        <v>281</v>
      </c>
      <c r="C212" s="10"/>
      <c r="D212" s="6">
        <v>223</v>
      </c>
      <c r="E212" s="141" t="s">
        <v>72</v>
      </c>
      <c r="F212" s="141" t="s">
        <v>72</v>
      </c>
      <c r="G212" s="141" t="s">
        <v>72</v>
      </c>
      <c r="H212" s="163" t="s">
        <v>37</v>
      </c>
      <c r="I212" s="141" t="s">
        <v>37</v>
      </c>
      <c r="J212" s="141" t="s">
        <v>37</v>
      </c>
      <c r="K212" s="141" t="s">
        <v>37</v>
      </c>
      <c r="L212" s="141" t="s">
        <v>37</v>
      </c>
      <c r="M212" s="141" t="s">
        <v>37</v>
      </c>
      <c r="N212" s="141" t="s">
        <v>37</v>
      </c>
      <c r="O212" s="141" t="s">
        <v>37</v>
      </c>
      <c r="P212" s="141" t="s">
        <v>37</v>
      </c>
      <c r="Q212" s="141" t="s">
        <v>37</v>
      </c>
      <c r="R212" s="141" t="s">
        <v>37</v>
      </c>
      <c r="S212" s="141" t="s">
        <v>37</v>
      </c>
      <c r="T212" s="141" t="s">
        <v>37</v>
      </c>
      <c r="U212" s="141" t="s">
        <v>37</v>
      </c>
      <c r="V212" s="141" t="s">
        <v>37</v>
      </c>
      <c r="W212" s="141" t="s">
        <v>37</v>
      </c>
      <c r="X212" s="141" t="s">
        <v>37</v>
      </c>
      <c r="Y212" s="141" t="s">
        <v>37</v>
      </c>
      <c r="Z212" s="141" t="s">
        <v>37</v>
      </c>
      <c r="AA212" s="141" t="s">
        <v>37</v>
      </c>
      <c r="AB212" s="141" t="s">
        <v>37</v>
      </c>
      <c r="AC212" s="141" t="s">
        <v>37</v>
      </c>
      <c r="AD212" s="163" t="s">
        <v>37</v>
      </c>
      <c r="AE212" s="141" t="s">
        <v>37</v>
      </c>
      <c r="AF212" s="6">
        <v>541</v>
      </c>
      <c r="AG212" s="6"/>
      <c r="AH212" s="35">
        <f t="shared" si="78"/>
        <v>260</v>
      </c>
      <c r="AI212" s="6">
        <v>779</v>
      </c>
      <c r="AJ212" s="6"/>
      <c r="AK212" s="35">
        <f t="shared" si="79"/>
        <v>238</v>
      </c>
      <c r="AL212" s="35">
        <v>295</v>
      </c>
      <c r="AM212" s="35">
        <v>791</v>
      </c>
      <c r="AN212" s="35">
        <f t="shared" si="80"/>
        <v>307</v>
      </c>
      <c r="AO212" s="35">
        <v>651</v>
      </c>
      <c r="AP212" s="6"/>
      <c r="AQ212" s="35">
        <f t="shared" si="81"/>
        <v>356</v>
      </c>
      <c r="AR212" s="6">
        <v>17</v>
      </c>
      <c r="AS212" s="6">
        <v>995</v>
      </c>
      <c r="AT212" s="34">
        <f t="shared" si="82"/>
        <v>361</v>
      </c>
      <c r="AU212" s="35">
        <v>359</v>
      </c>
      <c r="AV212" s="35"/>
      <c r="AW212" s="35">
        <f t="shared" si="83"/>
        <v>342</v>
      </c>
      <c r="AX212" s="6"/>
      <c r="AY212" s="6"/>
      <c r="AZ212" s="35"/>
      <c r="BA212" s="6">
        <v>730</v>
      </c>
      <c r="BB212" s="6"/>
      <c r="BC212" s="35">
        <f t="shared" si="84"/>
        <v>371</v>
      </c>
      <c r="BD212" s="35">
        <v>1101</v>
      </c>
      <c r="BE212" s="35"/>
      <c r="BF212" s="35">
        <f t="shared" si="85"/>
        <v>371</v>
      </c>
      <c r="BG212" s="35">
        <v>1467</v>
      </c>
      <c r="BH212" s="6"/>
      <c r="BI212" s="35">
        <f t="shared" si="86"/>
        <v>366</v>
      </c>
      <c r="BJ212" s="6">
        <v>267</v>
      </c>
      <c r="BK212" s="6">
        <v>1570</v>
      </c>
      <c r="BL212" s="35">
        <f t="shared" si="87"/>
        <v>370</v>
      </c>
      <c r="BM212" s="6">
        <v>633</v>
      </c>
      <c r="BN212" s="6"/>
      <c r="BO212" s="6">
        <f t="shared" si="88"/>
        <v>366</v>
      </c>
      <c r="BP212" s="35">
        <v>982</v>
      </c>
      <c r="BQ212" s="35"/>
      <c r="BR212" s="6">
        <f t="shared" si="89"/>
        <v>349</v>
      </c>
      <c r="BS212" s="35"/>
      <c r="BT212" s="35"/>
      <c r="BU212" s="35"/>
      <c r="BV212" s="35">
        <v>170</v>
      </c>
      <c r="BW212" s="35">
        <v>1182</v>
      </c>
      <c r="BX212" s="6">
        <f t="shared" si="90"/>
        <v>370</v>
      </c>
      <c r="BY212" s="35">
        <v>541</v>
      </c>
      <c r="BZ212" s="35"/>
      <c r="CA212" s="35">
        <f t="shared" si="91"/>
        <v>371</v>
      </c>
      <c r="CB212" s="35">
        <v>246</v>
      </c>
      <c r="CC212" s="6">
        <v>650</v>
      </c>
      <c r="CD212" s="6">
        <f t="shared" si="92"/>
        <v>355</v>
      </c>
      <c r="CE212" s="6">
        <v>598</v>
      </c>
      <c r="CF212" s="6"/>
      <c r="CG212" s="6">
        <f t="shared" si="93"/>
        <v>352</v>
      </c>
      <c r="CH212" s="6">
        <v>960</v>
      </c>
      <c r="CI212" s="6"/>
      <c r="CJ212" s="6">
        <f t="shared" si="94"/>
        <v>362</v>
      </c>
      <c r="CK212" s="6">
        <v>172</v>
      </c>
      <c r="CL212" s="6">
        <v>1144</v>
      </c>
      <c r="CM212" s="6">
        <f t="shared" si="95"/>
        <v>356</v>
      </c>
      <c r="CN212" s="6"/>
      <c r="CO212" s="6"/>
      <c r="CP212" s="6"/>
      <c r="CQ212" s="6">
        <v>536</v>
      </c>
      <c r="CR212" s="6"/>
      <c r="CS212" s="6">
        <f t="shared" si="96"/>
        <v>364</v>
      </c>
      <c r="CT212" s="6">
        <v>897</v>
      </c>
      <c r="CU212" s="6"/>
      <c r="CV212" s="6">
        <f t="shared" si="97"/>
        <v>361</v>
      </c>
      <c r="CW212" s="6">
        <v>25</v>
      </c>
      <c r="CX212" s="35">
        <v>1240</v>
      </c>
      <c r="CY212" s="6">
        <f t="shared" si="98"/>
        <v>368</v>
      </c>
      <c r="CZ212" s="6">
        <v>391</v>
      </c>
      <c r="DA212" s="6"/>
      <c r="DB212" s="6">
        <f t="shared" si="99"/>
        <v>366</v>
      </c>
      <c r="DC212" s="6">
        <v>759</v>
      </c>
      <c r="DD212" s="6"/>
      <c r="DE212" s="6">
        <f t="shared" si="100"/>
        <v>368</v>
      </c>
      <c r="DF212" s="6">
        <v>0</v>
      </c>
      <c r="DG212" s="6">
        <v>1092</v>
      </c>
      <c r="DH212" s="6">
        <f t="shared" si="101"/>
        <v>333</v>
      </c>
      <c r="DI212" s="6"/>
      <c r="DJ212" s="10"/>
      <c r="DK212" s="6"/>
      <c r="DL212" s="6">
        <v>362</v>
      </c>
      <c r="DM212" s="10"/>
      <c r="DN212" s="6">
        <f t="shared" si="102"/>
        <v>362</v>
      </c>
      <c r="DO212" s="6">
        <v>721</v>
      </c>
      <c r="DP212" s="10"/>
      <c r="DQ212" s="6">
        <f t="shared" si="103"/>
        <v>359</v>
      </c>
    </row>
    <row r="213" spans="1:121" ht="15.75" customHeight="1">
      <c r="A213" s="6">
        <v>209</v>
      </c>
      <c r="B213" s="6">
        <v>457</v>
      </c>
      <c r="C213" s="10"/>
      <c r="D213" s="6">
        <v>224</v>
      </c>
      <c r="E213" s="141" t="s">
        <v>75</v>
      </c>
      <c r="F213" s="141" t="s">
        <v>75</v>
      </c>
      <c r="G213" s="141" t="s">
        <v>75</v>
      </c>
      <c r="H213" s="141" t="s">
        <v>75</v>
      </c>
      <c r="I213" s="141" t="s">
        <v>75</v>
      </c>
      <c r="J213" s="141" t="s">
        <v>75</v>
      </c>
      <c r="K213" s="141" t="s">
        <v>75</v>
      </c>
      <c r="L213" s="141" t="s">
        <v>75</v>
      </c>
      <c r="M213" s="141" t="s">
        <v>75</v>
      </c>
      <c r="N213" s="141" t="s">
        <v>75</v>
      </c>
      <c r="O213" s="141" t="s">
        <v>75</v>
      </c>
      <c r="P213" s="141" t="s">
        <v>75</v>
      </c>
      <c r="Q213" s="163" t="s">
        <v>75</v>
      </c>
      <c r="R213" s="141" t="s">
        <v>75</v>
      </c>
      <c r="S213" s="141" t="s">
        <v>75</v>
      </c>
      <c r="T213" s="141" t="s">
        <v>75</v>
      </c>
      <c r="U213" s="141" t="s">
        <v>75</v>
      </c>
      <c r="V213" s="141" t="s">
        <v>75</v>
      </c>
      <c r="W213" s="141" t="s">
        <v>75</v>
      </c>
      <c r="X213" s="141" t="s">
        <v>75</v>
      </c>
      <c r="Y213" s="141" t="s">
        <v>75</v>
      </c>
      <c r="Z213" s="141" t="s">
        <v>75</v>
      </c>
      <c r="AA213" s="141" t="s">
        <v>75</v>
      </c>
      <c r="AB213" s="141" t="s">
        <v>75</v>
      </c>
      <c r="AC213" s="141" t="s">
        <v>75</v>
      </c>
      <c r="AD213" s="141" t="s">
        <v>75</v>
      </c>
      <c r="AE213" s="141" t="s">
        <v>75</v>
      </c>
      <c r="AF213" s="6">
        <v>698</v>
      </c>
      <c r="AG213" s="6"/>
      <c r="AH213" s="35">
        <f t="shared" si="78"/>
        <v>241</v>
      </c>
      <c r="AI213" s="6">
        <v>944</v>
      </c>
      <c r="AJ213" s="6"/>
      <c r="AK213" s="35">
        <f t="shared" si="79"/>
        <v>246</v>
      </c>
      <c r="AL213" s="35">
        <v>101</v>
      </c>
      <c r="AM213" s="35">
        <v>1100</v>
      </c>
      <c r="AN213" s="35">
        <f t="shared" si="80"/>
        <v>257</v>
      </c>
      <c r="AO213" s="6">
        <v>355</v>
      </c>
      <c r="AP213" s="6"/>
      <c r="AQ213" s="35">
        <f t="shared" si="81"/>
        <v>254</v>
      </c>
      <c r="AR213" s="6">
        <v>612</v>
      </c>
      <c r="AS213" s="6"/>
      <c r="AT213" s="34">
        <f t="shared" si="82"/>
        <v>257</v>
      </c>
      <c r="AU213" s="35">
        <v>853</v>
      </c>
      <c r="AV213" s="35"/>
      <c r="AW213" s="35">
        <f t="shared" si="83"/>
        <v>241</v>
      </c>
      <c r="AX213" s="6"/>
      <c r="AY213" s="6"/>
      <c r="AZ213" s="35"/>
      <c r="BA213" s="6">
        <v>146</v>
      </c>
      <c r="BB213" s="6">
        <v>964</v>
      </c>
      <c r="BC213" s="35">
        <f t="shared" si="84"/>
        <v>257</v>
      </c>
      <c r="BD213" s="35">
        <v>406</v>
      </c>
      <c r="BE213" s="35"/>
      <c r="BF213" s="35">
        <f t="shared" si="85"/>
        <v>260</v>
      </c>
      <c r="BG213" s="35">
        <v>664</v>
      </c>
      <c r="BH213" s="6"/>
      <c r="BI213" s="35">
        <f t="shared" si="86"/>
        <v>258</v>
      </c>
      <c r="BJ213" s="6">
        <v>924</v>
      </c>
      <c r="BK213" s="6"/>
      <c r="BL213" s="35">
        <f t="shared" si="87"/>
        <v>260</v>
      </c>
      <c r="BM213" s="6">
        <v>0</v>
      </c>
      <c r="BN213" s="6">
        <v>1114</v>
      </c>
      <c r="BO213" s="6">
        <f t="shared" si="88"/>
        <v>190</v>
      </c>
      <c r="BP213" s="35">
        <v>25</v>
      </c>
      <c r="BQ213" s="35">
        <v>200</v>
      </c>
      <c r="BR213" s="6">
        <f t="shared" si="89"/>
        <v>225</v>
      </c>
      <c r="BS213" s="35"/>
      <c r="BT213" s="35"/>
      <c r="BU213" s="35"/>
      <c r="BV213" s="35">
        <v>25</v>
      </c>
      <c r="BW213" s="35"/>
      <c r="BX213" s="6">
        <f t="shared" si="90"/>
        <v>0</v>
      </c>
      <c r="BY213" s="35">
        <v>25</v>
      </c>
      <c r="BZ213" s="35"/>
      <c r="CA213" s="35">
        <f t="shared" si="91"/>
        <v>0</v>
      </c>
      <c r="CB213" s="35">
        <v>25</v>
      </c>
      <c r="CC213" s="6"/>
      <c r="CD213" s="6">
        <f t="shared" si="92"/>
        <v>0</v>
      </c>
      <c r="CE213" s="6">
        <v>25</v>
      </c>
      <c r="CF213" s="6"/>
      <c r="CG213" s="6">
        <f t="shared" si="93"/>
        <v>0</v>
      </c>
      <c r="CH213" s="6">
        <v>25</v>
      </c>
      <c r="CI213" s="6"/>
      <c r="CJ213" s="6">
        <f t="shared" si="94"/>
        <v>0</v>
      </c>
      <c r="CK213" s="6">
        <v>25</v>
      </c>
      <c r="CL213" s="6"/>
      <c r="CM213" s="6">
        <f t="shared" si="95"/>
        <v>0</v>
      </c>
      <c r="CN213" s="6"/>
      <c r="CO213" s="6"/>
      <c r="CP213" s="6"/>
      <c r="CQ213" s="6">
        <v>25</v>
      </c>
      <c r="CR213" s="6"/>
      <c r="CS213" s="6">
        <f t="shared" si="96"/>
        <v>0</v>
      </c>
      <c r="CT213" s="6">
        <v>25</v>
      </c>
      <c r="CU213" s="6"/>
      <c r="CV213" s="6">
        <f t="shared" si="97"/>
        <v>0</v>
      </c>
      <c r="CW213" s="6">
        <v>25</v>
      </c>
      <c r="CX213" s="6"/>
      <c r="CY213" s="6">
        <f t="shared" si="98"/>
        <v>0</v>
      </c>
      <c r="CZ213" s="6">
        <v>25</v>
      </c>
      <c r="DA213" s="6"/>
      <c r="DB213" s="6">
        <f t="shared" si="99"/>
        <v>0</v>
      </c>
      <c r="DC213" s="6">
        <v>25</v>
      </c>
      <c r="DD213" s="6"/>
      <c r="DE213" s="6">
        <f t="shared" si="100"/>
        <v>0</v>
      </c>
      <c r="DF213" s="6">
        <v>25</v>
      </c>
      <c r="DG213" s="6"/>
      <c r="DH213" s="6">
        <f t="shared" si="101"/>
        <v>0</v>
      </c>
      <c r="DI213" s="6"/>
      <c r="DJ213" s="10"/>
      <c r="DK213" s="6"/>
      <c r="DL213" s="6">
        <v>25</v>
      </c>
      <c r="DM213" s="10"/>
      <c r="DN213" s="6">
        <f t="shared" si="102"/>
        <v>0</v>
      </c>
      <c r="DO213" s="6">
        <v>25</v>
      </c>
      <c r="DP213" s="10"/>
      <c r="DQ213" s="6">
        <f t="shared" si="103"/>
        <v>0</v>
      </c>
    </row>
    <row r="214" spans="1:121">
      <c r="A214" s="6">
        <v>210</v>
      </c>
      <c r="B214" s="6">
        <v>658</v>
      </c>
      <c r="C214" s="10"/>
      <c r="D214" s="6">
        <v>213</v>
      </c>
      <c r="E214" s="141" t="s">
        <v>72</v>
      </c>
      <c r="F214" s="141" t="s">
        <v>72</v>
      </c>
      <c r="G214" s="141" t="s">
        <v>72</v>
      </c>
      <c r="H214" s="141" t="s">
        <v>72</v>
      </c>
      <c r="I214" s="141" t="s">
        <v>72</v>
      </c>
      <c r="J214" s="141" t="s">
        <v>72</v>
      </c>
      <c r="K214" s="141" t="s">
        <v>72</v>
      </c>
      <c r="L214" s="141" t="s">
        <v>72</v>
      </c>
      <c r="M214" s="141" t="s">
        <v>72</v>
      </c>
      <c r="N214" s="141" t="s">
        <v>72</v>
      </c>
      <c r="O214" s="141" t="s">
        <v>72</v>
      </c>
      <c r="P214" s="141" t="s">
        <v>72</v>
      </c>
      <c r="Q214" s="141" t="s">
        <v>72</v>
      </c>
      <c r="R214" s="141" t="s">
        <v>72</v>
      </c>
      <c r="S214" s="141" t="s">
        <v>72</v>
      </c>
      <c r="T214" s="141" t="s">
        <v>72</v>
      </c>
      <c r="U214" s="141" t="s">
        <v>72</v>
      </c>
      <c r="V214" s="141" t="s">
        <v>72</v>
      </c>
      <c r="W214" s="141" t="s">
        <v>72</v>
      </c>
      <c r="X214" s="141" t="s">
        <v>72</v>
      </c>
      <c r="Y214" s="141" t="s">
        <v>72</v>
      </c>
      <c r="Z214" s="141" t="s">
        <v>72</v>
      </c>
      <c r="AA214" s="141" t="s">
        <v>72</v>
      </c>
      <c r="AB214" s="141" t="s">
        <v>72</v>
      </c>
      <c r="AC214" s="141" t="s">
        <v>72</v>
      </c>
      <c r="AD214" s="141" t="s">
        <v>72</v>
      </c>
      <c r="AE214" s="141" t="s">
        <v>72</v>
      </c>
      <c r="AF214" s="6">
        <v>914</v>
      </c>
      <c r="AG214" s="6"/>
      <c r="AH214" s="35">
        <f t="shared" si="78"/>
        <v>256</v>
      </c>
      <c r="AI214" s="6">
        <v>39</v>
      </c>
      <c r="AJ214" s="6">
        <v>1100</v>
      </c>
      <c r="AK214" s="35">
        <f t="shared" si="79"/>
        <v>225</v>
      </c>
      <c r="AL214" s="35">
        <v>282</v>
      </c>
      <c r="AM214" s="35"/>
      <c r="AN214" s="35">
        <f t="shared" si="80"/>
        <v>243</v>
      </c>
      <c r="AO214" s="6">
        <v>524</v>
      </c>
      <c r="AP214" s="6"/>
      <c r="AQ214" s="35">
        <f t="shared" si="81"/>
        <v>242</v>
      </c>
      <c r="AR214" s="6">
        <v>764</v>
      </c>
      <c r="AS214" s="6"/>
      <c r="AT214" s="34">
        <f t="shared" si="82"/>
        <v>240</v>
      </c>
      <c r="AU214" s="35">
        <v>990</v>
      </c>
      <c r="AV214" s="35"/>
      <c r="AW214" s="35">
        <f t="shared" si="83"/>
        <v>226</v>
      </c>
      <c r="AX214" s="6"/>
      <c r="AY214" s="6"/>
      <c r="AZ214" s="35"/>
      <c r="BA214" s="35">
        <v>142</v>
      </c>
      <c r="BB214" s="6">
        <v>1100</v>
      </c>
      <c r="BC214" s="35">
        <f t="shared" si="84"/>
        <v>252</v>
      </c>
      <c r="BD214" s="35">
        <v>392</v>
      </c>
      <c r="BE214" s="35"/>
      <c r="BF214" s="35">
        <f t="shared" si="85"/>
        <v>250</v>
      </c>
      <c r="BG214" s="35">
        <v>637</v>
      </c>
      <c r="BH214" s="6"/>
      <c r="BI214" s="35">
        <f t="shared" si="86"/>
        <v>245</v>
      </c>
      <c r="BJ214" s="6">
        <v>885</v>
      </c>
      <c r="BK214" s="6"/>
      <c r="BL214" s="35">
        <f t="shared" si="87"/>
        <v>248</v>
      </c>
      <c r="BM214" s="6">
        <v>33</v>
      </c>
      <c r="BN214" s="6">
        <v>1100</v>
      </c>
      <c r="BO214" s="6">
        <f t="shared" si="88"/>
        <v>248</v>
      </c>
      <c r="BP214" s="35">
        <v>252</v>
      </c>
      <c r="BQ214" s="35"/>
      <c r="BR214" s="6">
        <f t="shared" si="89"/>
        <v>219</v>
      </c>
      <c r="BS214" s="35"/>
      <c r="BT214" s="35"/>
      <c r="BU214" s="35"/>
      <c r="BV214" s="35">
        <v>252</v>
      </c>
      <c r="BW214" s="35"/>
      <c r="BX214" s="6">
        <f t="shared" si="90"/>
        <v>0</v>
      </c>
      <c r="BY214" s="35">
        <v>252</v>
      </c>
      <c r="BZ214" s="35"/>
      <c r="CA214" s="35">
        <f t="shared" si="91"/>
        <v>0</v>
      </c>
      <c r="CB214" s="35">
        <v>252</v>
      </c>
      <c r="CC214" s="6"/>
      <c r="CD214" s="6">
        <f t="shared" si="92"/>
        <v>0</v>
      </c>
      <c r="CE214" s="6">
        <v>252</v>
      </c>
      <c r="CF214" s="6"/>
      <c r="CG214" s="6">
        <f t="shared" si="93"/>
        <v>0</v>
      </c>
      <c r="CH214" s="6">
        <v>252</v>
      </c>
      <c r="CI214" s="6"/>
      <c r="CJ214" s="6">
        <f t="shared" si="94"/>
        <v>0</v>
      </c>
      <c r="CK214" s="6">
        <v>252</v>
      </c>
      <c r="CL214" s="6"/>
      <c r="CM214" s="6">
        <f t="shared" si="95"/>
        <v>0</v>
      </c>
      <c r="CN214" s="6"/>
      <c r="CO214" s="6"/>
      <c r="CP214" s="6"/>
      <c r="CQ214" s="6">
        <v>252</v>
      </c>
      <c r="CR214" s="6"/>
      <c r="CS214" s="6">
        <f t="shared" si="96"/>
        <v>0</v>
      </c>
      <c r="CT214" s="6">
        <v>252</v>
      </c>
      <c r="CU214" s="6"/>
      <c r="CV214" s="6">
        <f t="shared" si="97"/>
        <v>0</v>
      </c>
      <c r="CW214" s="6">
        <v>252</v>
      </c>
      <c r="CX214" s="6"/>
      <c r="CY214" s="6">
        <f t="shared" si="98"/>
        <v>0</v>
      </c>
      <c r="CZ214" s="6">
        <v>252</v>
      </c>
      <c r="DA214" s="6"/>
      <c r="DB214" s="6">
        <f t="shared" si="99"/>
        <v>0</v>
      </c>
      <c r="DC214" s="6">
        <v>252</v>
      </c>
      <c r="DD214" s="6"/>
      <c r="DE214" s="6">
        <f t="shared" si="100"/>
        <v>0</v>
      </c>
      <c r="DF214" s="6">
        <v>252</v>
      </c>
      <c r="DG214" s="6"/>
      <c r="DH214" s="6">
        <f t="shared" si="101"/>
        <v>0</v>
      </c>
      <c r="DI214" s="6"/>
      <c r="DJ214" s="10"/>
      <c r="DK214" s="6"/>
      <c r="DL214" s="6">
        <v>252</v>
      </c>
      <c r="DM214" s="10"/>
      <c r="DN214" s="6">
        <f t="shared" si="102"/>
        <v>0</v>
      </c>
      <c r="DO214" s="6">
        <v>252</v>
      </c>
      <c r="DP214" s="10"/>
      <c r="DQ214" s="6">
        <f t="shared" si="103"/>
        <v>0</v>
      </c>
    </row>
    <row r="215" spans="1:121">
      <c r="A215" s="6">
        <v>211</v>
      </c>
      <c r="B215" s="6">
        <v>234</v>
      </c>
      <c r="C215" s="10">
        <v>1100</v>
      </c>
      <c r="D215" s="6">
        <v>239</v>
      </c>
      <c r="E215" s="141" t="s">
        <v>75</v>
      </c>
      <c r="F215" s="141" t="s">
        <v>75</v>
      </c>
      <c r="G215" s="163" t="s">
        <v>37</v>
      </c>
      <c r="H215" s="141" t="s">
        <v>37</v>
      </c>
      <c r="I215" s="141" t="s">
        <v>37</v>
      </c>
      <c r="J215" s="141" t="s">
        <v>37</v>
      </c>
      <c r="K215" s="141" t="s">
        <v>37</v>
      </c>
      <c r="L215" s="141" t="s">
        <v>37</v>
      </c>
      <c r="M215" s="141" t="s">
        <v>37</v>
      </c>
      <c r="N215" s="141" t="s">
        <v>37</v>
      </c>
      <c r="O215" s="141" t="s">
        <v>37</v>
      </c>
      <c r="P215" s="141" t="s">
        <v>37</v>
      </c>
      <c r="Q215" s="141" t="s">
        <v>37</v>
      </c>
      <c r="R215" s="141" t="s">
        <v>37</v>
      </c>
      <c r="S215" s="141" t="s">
        <v>37</v>
      </c>
      <c r="T215" s="141" t="s">
        <v>37</v>
      </c>
      <c r="U215" s="141" t="s">
        <v>37</v>
      </c>
      <c r="V215" s="141" t="s">
        <v>37</v>
      </c>
      <c r="W215" s="141" t="s">
        <v>37</v>
      </c>
      <c r="X215" s="141" t="s">
        <v>37</v>
      </c>
      <c r="Y215" s="141" t="s">
        <v>37</v>
      </c>
      <c r="Z215" s="141" t="s">
        <v>37</v>
      </c>
      <c r="AA215" s="141" t="s">
        <v>37</v>
      </c>
      <c r="AB215" s="163" t="s">
        <v>37</v>
      </c>
      <c r="AC215" s="141" t="s">
        <v>37</v>
      </c>
      <c r="AD215" s="141" t="s">
        <v>37</v>
      </c>
      <c r="AE215" s="141" t="s">
        <v>37</v>
      </c>
      <c r="AF215" s="6">
        <v>514</v>
      </c>
      <c r="AG215" s="6"/>
      <c r="AH215" s="35">
        <f t="shared" si="78"/>
        <v>280</v>
      </c>
      <c r="AI215" s="6">
        <v>268</v>
      </c>
      <c r="AJ215" s="6">
        <v>556</v>
      </c>
      <c r="AK215" s="35">
        <f t="shared" si="79"/>
        <v>310</v>
      </c>
      <c r="AL215" s="35">
        <v>657</v>
      </c>
      <c r="AM215" s="35"/>
      <c r="AN215" s="35">
        <f t="shared" si="80"/>
        <v>389</v>
      </c>
      <c r="AO215" s="6">
        <v>1036</v>
      </c>
      <c r="AP215" s="6"/>
      <c r="AQ215" s="35">
        <f t="shared" si="81"/>
        <v>379</v>
      </c>
      <c r="AR215" s="6">
        <v>1422</v>
      </c>
      <c r="AS215" s="6"/>
      <c r="AT215" s="34">
        <f t="shared" si="82"/>
        <v>386</v>
      </c>
      <c r="AU215" s="35">
        <v>224</v>
      </c>
      <c r="AV215" s="35">
        <v>1560</v>
      </c>
      <c r="AW215" s="35">
        <f t="shared" si="83"/>
        <v>362</v>
      </c>
      <c r="AX215" s="6"/>
      <c r="AY215" s="6"/>
      <c r="AZ215" s="35"/>
      <c r="BA215" s="6">
        <v>615</v>
      </c>
      <c r="BB215" s="6"/>
      <c r="BC215" s="35">
        <f t="shared" si="84"/>
        <v>391</v>
      </c>
      <c r="BD215" s="35">
        <v>987</v>
      </c>
      <c r="BE215" s="35"/>
      <c r="BF215" s="35">
        <f t="shared" si="85"/>
        <v>372</v>
      </c>
      <c r="BG215" s="35">
        <v>1372</v>
      </c>
      <c r="BH215" s="6"/>
      <c r="BI215" s="35">
        <f t="shared" si="86"/>
        <v>385</v>
      </c>
      <c r="BJ215" s="6">
        <v>195</v>
      </c>
      <c r="BK215" s="6">
        <v>1560</v>
      </c>
      <c r="BL215" s="35">
        <f t="shared" si="87"/>
        <v>383</v>
      </c>
      <c r="BM215" s="6">
        <v>582</v>
      </c>
      <c r="BN215" s="6"/>
      <c r="BO215" s="6">
        <f t="shared" si="88"/>
        <v>387</v>
      </c>
      <c r="BP215" s="35">
        <v>943</v>
      </c>
      <c r="BQ215" s="35"/>
      <c r="BR215" s="6">
        <f t="shared" si="89"/>
        <v>361</v>
      </c>
      <c r="BS215" s="35"/>
      <c r="BT215" s="35"/>
      <c r="BU215" s="35"/>
      <c r="BV215" s="35">
        <v>1327</v>
      </c>
      <c r="BW215" s="35"/>
      <c r="BX215" s="6">
        <f t="shared" si="90"/>
        <v>384</v>
      </c>
      <c r="BY215" s="35">
        <v>159</v>
      </c>
      <c r="BZ215" s="35">
        <v>1560</v>
      </c>
      <c r="CA215" s="35">
        <f t="shared" si="91"/>
        <v>392</v>
      </c>
      <c r="CB215" s="35">
        <v>530</v>
      </c>
      <c r="CC215" s="6"/>
      <c r="CD215" s="6">
        <f t="shared" si="92"/>
        <v>371</v>
      </c>
      <c r="CE215" s="6">
        <v>920</v>
      </c>
      <c r="CF215" s="6"/>
      <c r="CG215" s="6">
        <f t="shared" si="93"/>
        <v>390</v>
      </c>
      <c r="CH215" s="6">
        <v>1307</v>
      </c>
      <c r="CI215" s="6"/>
      <c r="CJ215" s="6">
        <f t="shared" si="94"/>
        <v>387</v>
      </c>
      <c r="CK215" s="6">
        <v>198</v>
      </c>
      <c r="CL215" s="6">
        <v>1488</v>
      </c>
      <c r="CM215" s="6">
        <f t="shared" si="95"/>
        <v>379</v>
      </c>
      <c r="CN215" s="6"/>
      <c r="CO215" s="6"/>
      <c r="CP215" s="6"/>
      <c r="CQ215" s="6">
        <v>592</v>
      </c>
      <c r="CR215" s="6"/>
      <c r="CS215" s="6">
        <f t="shared" si="96"/>
        <v>394</v>
      </c>
      <c r="CT215" s="6">
        <v>972</v>
      </c>
      <c r="CU215" s="6"/>
      <c r="CV215" s="6">
        <f t="shared" si="97"/>
        <v>380</v>
      </c>
      <c r="CW215" s="6">
        <v>1350</v>
      </c>
      <c r="CX215" s="35"/>
      <c r="CY215" s="6">
        <f t="shared" si="98"/>
        <v>378</v>
      </c>
      <c r="CZ215" s="6">
        <v>0</v>
      </c>
      <c r="DA215" s="6">
        <v>1697</v>
      </c>
      <c r="DB215" s="6">
        <f t="shared" si="99"/>
        <v>347</v>
      </c>
      <c r="DC215" s="6">
        <v>364</v>
      </c>
      <c r="DD215" s="6"/>
      <c r="DE215" s="6">
        <f t="shared" si="100"/>
        <v>364</v>
      </c>
      <c r="DF215" s="6">
        <v>727</v>
      </c>
      <c r="DG215" s="6"/>
      <c r="DH215" s="6">
        <f t="shared" si="101"/>
        <v>363</v>
      </c>
      <c r="DI215" s="6"/>
      <c r="DJ215" s="10"/>
      <c r="DK215" s="6"/>
      <c r="DL215" s="6">
        <v>1109</v>
      </c>
      <c r="DM215" s="10"/>
      <c r="DN215" s="6">
        <f t="shared" si="102"/>
        <v>382</v>
      </c>
      <c r="DO215" s="6">
        <v>1470</v>
      </c>
      <c r="DP215" s="10"/>
      <c r="DQ215" s="6">
        <f t="shared" si="103"/>
        <v>361</v>
      </c>
    </row>
    <row r="216" spans="1:121">
      <c r="A216" s="6">
        <v>212</v>
      </c>
      <c r="B216" s="6">
        <v>524</v>
      </c>
      <c r="C216" s="10"/>
      <c r="D216" s="6">
        <v>238</v>
      </c>
      <c r="E216" s="141" t="s">
        <v>291</v>
      </c>
      <c r="F216" s="141" t="s">
        <v>291</v>
      </c>
      <c r="G216" s="141" t="s">
        <v>291</v>
      </c>
      <c r="H216" s="141" t="s">
        <v>291</v>
      </c>
      <c r="I216" s="141" t="s">
        <v>291</v>
      </c>
      <c r="J216" s="141" t="s">
        <v>291</v>
      </c>
      <c r="K216" s="141" t="s">
        <v>291</v>
      </c>
      <c r="L216" s="141" t="s">
        <v>291</v>
      </c>
      <c r="M216" s="163" t="s">
        <v>75</v>
      </c>
      <c r="N216" s="141" t="s">
        <v>75</v>
      </c>
      <c r="O216" s="141" t="s">
        <v>75</v>
      </c>
      <c r="P216" s="141" t="s">
        <v>75</v>
      </c>
      <c r="Q216" s="141" t="s">
        <v>75</v>
      </c>
      <c r="R216" s="141" t="s">
        <v>75</v>
      </c>
      <c r="S216" s="141" t="s">
        <v>75</v>
      </c>
      <c r="T216" s="141" t="s">
        <v>75</v>
      </c>
      <c r="U216" s="141" t="s">
        <v>75</v>
      </c>
      <c r="V216" s="141" t="s">
        <v>75</v>
      </c>
      <c r="W216" s="141" t="s">
        <v>75</v>
      </c>
      <c r="X216" s="141" t="s">
        <v>75</v>
      </c>
      <c r="Y216" s="141" t="s">
        <v>75</v>
      </c>
      <c r="Z216" s="141" t="s">
        <v>75</v>
      </c>
      <c r="AA216" s="141" t="s">
        <v>75</v>
      </c>
      <c r="AB216" s="141" t="s">
        <v>75</v>
      </c>
      <c r="AC216" s="141" t="s">
        <v>75</v>
      </c>
      <c r="AD216" s="141" t="s">
        <v>75</v>
      </c>
      <c r="AE216" s="141" t="s">
        <v>75</v>
      </c>
      <c r="AF216" s="6">
        <v>802</v>
      </c>
      <c r="AG216" s="6"/>
      <c r="AH216" s="35">
        <f t="shared" si="78"/>
        <v>278</v>
      </c>
      <c r="AI216" s="6">
        <v>162</v>
      </c>
      <c r="AJ216" s="6">
        <v>876</v>
      </c>
      <c r="AK216" s="35">
        <f t="shared" si="79"/>
        <v>236</v>
      </c>
      <c r="AL216" s="35">
        <v>430</v>
      </c>
      <c r="AM216" s="35"/>
      <c r="AN216" s="35">
        <f t="shared" si="80"/>
        <v>268</v>
      </c>
      <c r="AO216" s="6">
        <v>692</v>
      </c>
      <c r="AP216" s="6"/>
      <c r="AQ216" s="35">
        <f t="shared" si="81"/>
        <v>262</v>
      </c>
      <c r="AR216" s="6">
        <v>951</v>
      </c>
      <c r="AS216" s="35"/>
      <c r="AT216" s="34">
        <f t="shared" si="82"/>
        <v>259</v>
      </c>
      <c r="AU216" s="35">
        <v>161</v>
      </c>
      <c r="AV216" s="35">
        <v>1037</v>
      </c>
      <c r="AW216" s="35">
        <f t="shared" si="83"/>
        <v>247</v>
      </c>
      <c r="AX216" s="35"/>
      <c r="AY216" s="6"/>
      <c r="AZ216" s="35"/>
      <c r="BA216" s="6">
        <v>0</v>
      </c>
      <c r="BB216" s="6">
        <v>396</v>
      </c>
      <c r="BC216" s="35">
        <f t="shared" si="84"/>
        <v>235</v>
      </c>
      <c r="BD216" s="35">
        <v>251</v>
      </c>
      <c r="BE216" s="35"/>
      <c r="BF216" s="35">
        <f t="shared" si="85"/>
        <v>251</v>
      </c>
      <c r="BG216" s="35">
        <v>517</v>
      </c>
      <c r="BH216" s="6"/>
      <c r="BI216" s="35">
        <f t="shared" si="86"/>
        <v>266</v>
      </c>
      <c r="BJ216" s="6">
        <v>784</v>
      </c>
      <c r="BK216" s="6"/>
      <c r="BL216" s="35">
        <f t="shared" si="87"/>
        <v>267</v>
      </c>
      <c r="BM216" s="6">
        <v>1051</v>
      </c>
      <c r="BN216" s="6"/>
      <c r="BO216" s="6">
        <f t="shared" si="88"/>
        <v>267</v>
      </c>
      <c r="BP216" s="35">
        <v>186</v>
      </c>
      <c r="BQ216" s="35">
        <v>1103</v>
      </c>
      <c r="BR216" s="6">
        <f t="shared" si="89"/>
        <v>238</v>
      </c>
      <c r="BS216" s="35"/>
      <c r="BT216" s="35"/>
      <c r="BU216" s="35"/>
      <c r="BV216" s="35">
        <v>186</v>
      </c>
      <c r="BW216" s="35"/>
      <c r="BX216" s="6">
        <f t="shared" si="90"/>
        <v>0</v>
      </c>
      <c r="BY216" s="35">
        <v>186</v>
      </c>
      <c r="BZ216" s="35"/>
      <c r="CA216" s="35">
        <f t="shared" si="91"/>
        <v>0</v>
      </c>
      <c r="CB216" s="35">
        <v>186</v>
      </c>
      <c r="CC216" s="6"/>
      <c r="CD216" s="6">
        <f t="shared" si="92"/>
        <v>0</v>
      </c>
      <c r="CE216" s="6">
        <v>186</v>
      </c>
      <c r="CF216" s="6"/>
      <c r="CG216" s="6">
        <f t="shared" si="93"/>
        <v>0</v>
      </c>
      <c r="CH216" s="6">
        <v>186</v>
      </c>
      <c r="CI216" s="6"/>
      <c r="CJ216" s="6">
        <f t="shared" si="94"/>
        <v>0</v>
      </c>
      <c r="CK216" s="6">
        <v>186</v>
      </c>
      <c r="CL216" s="6"/>
      <c r="CM216" s="6">
        <f t="shared" si="95"/>
        <v>0</v>
      </c>
      <c r="CN216" s="6"/>
      <c r="CO216" s="6"/>
      <c r="CP216" s="6"/>
      <c r="CQ216" s="6">
        <v>186</v>
      </c>
      <c r="CR216" s="6"/>
      <c r="CS216" s="6">
        <f t="shared" si="96"/>
        <v>0</v>
      </c>
      <c r="CT216" s="6">
        <v>186</v>
      </c>
      <c r="CU216" s="6"/>
      <c r="CV216" s="6">
        <f t="shared" si="97"/>
        <v>0</v>
      </c>
      <c r="CW216" s="6">
        <v>186</v>
      </c>
      <c r="CX216" s="6"/>
      <c r="CY216" s="6">
        <f t="shared" si="98"/>
        <v>0</v>
      </c>
      <c r="CZ216" s="6">
        <v>186</v>
      </c>
      <c r="DA216" s="6"/>
      <c r="DB216" s="6">
        <f t="shared" si="99"/>
        <v>0</v>
      </c>
      <c r="DC216" s="6">
        <v>186</v>
      </c>
      <c r="DD216" s="6"/>
      <c r="DE216" s="6">
        <f t="shared" si="100"/>
        <v>0</v>
      </c>
      <c r="DF216" s="6">
        <v>186</v>
      </c>
      <c r="DG216" s="6"/>
      <c r="DH216" s="6">
        <f t="shared" si="101"/>
        <v>0</v>
      </c>
      <c r="DI216" s="6"/>
      <c r="DJ216" s="10"/>
      <c r="DK216" s="6"/>
      <c r="DL216" s="6">
        <v>186</v>
      </c>
      <c r="DM216" s="10"/>
      <c r="DN216" s="6">
        <f t="shared" si="102"/>
        <v>0</v>
      </c>
      <c r="DO216" s="6">
        <v>186</v>
      </c>
      <c r="DP216" s="10"/>
      <c r="DQ216" s="6">
        <f t="shared" si="103"/>
        <v>0</v>
      </c>
    </row>
    <row r="217" spans="1:121">
      <c r="A217" s="151">
        <v>213</v>
      </c>
      <c r="B217" s="6">
        <v>327</v>
      </c>
      <c r="C217" s="10"/>
      <c r="D217" s="6">
        <v>228</v>
      </c>
      <c r="E217" s="141" t="s">
        <v>72</v>
      </c>
      <c r="F217" s="141" t="s">
        <v>72</v>
      </c>
      <c r="G217" s="141" t="s">
        <v>72</v>
      </c>
      <c r="H217" s="141" t="s">
        <v>72</v>
      </c>
      <c r="I217" s="163" t="s">
        <v>37</v>
      </c>
      <c r="J217" s="141" t="s">
        <v>37</v>
      </c>
      <c r="K217" s="141" t="s">
        <v>37</v>
      </c>
      <c r="L217" s="141" t="s">
        <v>37</v>
      </c>
      <c r="M217" s="141" t="s">
        <v>37</v>
      </c>
      <c r="N217" s="141" t="s">
        <v>37</v>
      </c>
      <c r="O217" s="141" t="s">
        <v>37</v>
      </c>
      <c r="P217" s="141" t="s">
        <v>37</v>
      </c>
      <c r="Q217" s="141" t="s">
        <v>37</v>
      </c>
      <c r="R217" s="141" t="s">
        <v>37</v>
      </c>
      <c r="S217" s="141" t="s">
        <v>37</v>
      </c>
      <c r="T217" s="141" t="s">
        <v>37</v>
      </c>
      <c r="U217" s="141" t="s">
        <v>37</v>
      </c>
      <c r="V217" s="141" t="s">
        <v>37</v>
      </c>
      <c r="W217" s="141" t="s">
        <v>37</v>
      </c>
      <c r="X217" s="141" t="s">
        <v>37</v>
      </c>
      <c r="Y217" s="141" t="s">
        <v>37</v>
      </c>
      <c r="Z217" s="141" t="s">
        <v>37</v>
      </c>
      <c r="AA217" s="141" t="s">
        <v>37</v>
      </c>
      <c r="AB217" s="141" t="s">
        <v>37</v>
      </c>
      <c r="AC217" s="141" t="s">
        <v>37</v>
      </c>
      <c r="AD217" s="163" t="s">
        <v>37</v>
      </c>
      <c r="AE217" s="141" t="s">
        <v>37</v>
      </c>
      <c r="AF217" s="6">
        <v>590</v>
      </c>
      <c r="AG217" s="6"/>
      <c r="AH217" s="35">
        <f t="shared" si="78"/>
        <v>263</v>
      </c>
      <c r="AI217" s="6">
        <v>834</v>
      </c>
      <c r="AJ217" s="6"/>
      <c r="AK217" s="35">
        <f t="shared" si="79"/>
        <v>244</v>
      </c>
      <c r="AL217" s="35">
        <v>0</v>
      </c>
      <c r="AM217" s="35">
        <v>990</v>
      </c>
      <c r="AN217" s="35">
        <f t="shared" si="80"/>
        <v>156</v>
      </c>
      <c r="AO217" s="6">
        <v>299</v>
      </c>
      <c r="AP217" s="6"/>
      <c r="AQ217" s="35">
        <f t="shared" si="81"/>
        <v>299</v>
      </c>
      <c r="AR217" s="6">
        <v>680</v>
      </c>
      <c r="AS217" s="6"/>
      <c r="AT217" s="34">
        <f t="shared" si="82"/>
        <v>381</v>
      </c>
      <c r="AU217" s="35">
        <v>1036</v>
      </c>
      <c r="AV217" s="35"/>
      <c r="AW217" s="35">
        <f t="shared" si="83"/>
        <v>356</v>
      </c>
      <c r="AX217" s="6"/>
      <c r="AY217" s="6"/>
      <c r="AZ217" s="35"/>
      <c r="BA217" s="6">
        <v>1420</v>
      </c>
      <c r="BB217" s="6"/>
      <c r="BC217" s="35">
        <f t="shared" si="84"/>
        <v>384</v>
      </c>
      <c r="BD217" s="35">
        <v>240</v>
      </c>
      <c r="BE217" s="35">
        <v>1560</v>
      </c>
      <c r="BF217" s="35">
        <f t="shared" si="85"/>
        <v>380</v>
      </c>
      <c r="BG217" s="35">
        <v>621</v>
      </c>
      <c r="BH217" s="6"/>
      <c r="BI217" s="35">
        <f t="shared" si="86"/>
        <v>381</v>
      </c>
      <c r="BJ217" s="6">
        <v>1002</v>
      </c>
      <c r="BK217" s="6"/>
      <c r="BL217" s="35">
        <f t="shared" si="87"/>
        <v>381</v>
      </c>
      <c r="BM217" s="6">
        <v>1386</v>
      </c>
      <c r="BN217" s="6"/>
      <c r="BO217" s="6">
        <f t="shared" si="88"/>
        <v>384</v>
      </c>
      <c r="BP217" s="35">
        <v>190</v>
      </c>
      <c r="BQ217" s="35">
        <v>1560</v>
      </c>
      <c r="BR217" s="6">
        <f t="shared" si="89"/>
        <v>364</v>
      </c>
      <c r="BS217" s="35"/>
      <c r="BT217" s="35"/>
      <c r="BU217" s="35"/>
      <c r="BV217" s="35">
        <v>574</v>
      </c>
      <c r="BW217" s="35"/>
      <c r="BX217" s="6">
        <f t="shared" si="90"/>
        <v>384</v>
      </c>
      <c r="BY217" s="35">
        <v>954</v>
      </c>
      <c r="BZ217" s="35"/>
      <c r="CA217" s="35">
        <f t="shared" si="91"/>
        <v>380</v>
      </c>
      <c r="CB217" s="35">
        <v>1338</v>
      </c>
      <c r="CC217" s="6"/>
      <c r="CD217" s="6">
        <f t="shared" si="92"/>
        <v>384</v>
      </c>
      <c r="CE217" s="35">
        <v>276</v>
      </c>
      <c r="CF217" s="6">
        <v>1444</v>
      </c>
      <c r="CG217" s="6">
        <f t="shared" si="93"/>
        <v>382</v>
      </c>
      <c r="CH217" s="6">
        <v>653</v>
      </c>
      <c r="CI217" s="6"/>
      <c r="CJ217" s="6">
        <f t="shared" si="94"/>
        <v>377</v>
      </c>
      <c r="CK217" s="6">
        <v>1023</v>
      </c>
      <c r="CL217" s="6"/>
      <c r="CM217" s="6">
        <f t="shared" si="95"/>
        <v>370</v>
      </c>
      <c r="CN217" s="6"/>
      <c r="CO217" s="6"/>
      <c r="CP217" s="6"/>
      <c r="CQ217" s="6">
        <v>1405</v>
      </c>
      <c r="CR217" s="6"/>
      <c r="CS217" s="6">
        <f t="shared" si="96"/>
        <v>382</v>
      </c>
      <c r="CT217" s="6">
        <v>221</v>
      </c>
      <c r="CU217" s="6">
        <v>1560</v>
      </c>
      <c r="CV217" s="6">
        <f t="shared" si="97"/>
        <v>376</v>
      </c>
      <c r="CW217" s="6">
        <v>602</v>
      </c>
      <c r="CX217" s="6"/>
      <c r="CY217" s="6">
        <f t="shared" si="98"/>
        <v>381</v>
      </c>
      <c r="CZ217" s="6">
        <v>975</v>
      </c>
      <c r="DA217" s="6"/>
      <c r="DB217" s="6">
        <f t="shared" si="99"/>
        <v>373</v>
      </c>
      <c r="DC217" s="6">
        <v>1365</v>
      </c>
      <c r="DD217" s="6"/>
      <c r="DE217" s="6">
        <f t="shared" si="100"/>
        <v>390</v>
      </c>
      <c r="DF217" s="6">
        <v>1736</v>
      </c>
      <c r="DG217" s="6"/>
      <c r="DH217" s="6">
        <f t="shared" si="101"/>
        <v>371</v>
      </c>
      <c r="DI217" s="6"/>
      <c r="DJ217" s="10"/>
      <c r="DK217" s="6"/>
      <c r="DL217" s="6">
        <v>362</v>
      </c>
      <c r="DM217" s="10">
        <v>1740</v>
      </c>
      <c r="DN217" s="6">
        <f t="shared" si="102"/>
        <v>366</v>
      </c>
      <c r="DO217" s="6">
        <v>724</v>
      </c>
      <c r="DP217" s="10"/>
      <c r="DQ217" s="6">
        <f t="shared" si="103"/>
        <v>362</v>
      </c>
    </row>
    <row r="218" spans="1:121">
      <c r="A218" s="6">
        <v>214</v>
      </c>
      <c r="B218" s="6">
        <v>794</v>
      </c>
      <c r="C218" s="10"/>
      <c r="D218" s="6">
        <v>236</v>
      </c>
      <c r="E218" s="141" t="s">
        <v>291</v>
      </c>
      <c r="F218" s="141" t="s">
        <v>291</v>
      </c>
      <c r="G218" s="141" t="s">
        <v>291</v>
      </c>
      <c r="H218" s="141" t="s">
        <v>291</v>
      </c>
      <c r="I218" s="141" t="s">
        <v>291</v>
      </c>
      <c r="J218" s="141" t="s">
        <v>291</v>
      </c>
      <c r="K218" s="141" t="s">
        <v>291</v>
      </c>
      <c r="L218" s="141" t="s">
        <v>291</v>
      </c>
      <c r="M218" s="163" t="s">
        <v>75</v>
      </c>
      <c r="N218" s="141" t="s">
        <v>75</v>
      </c>
      <c r="O218" s="141" t="s">
        <v>75</v>
      </c>
      <c r="P218" s="141" t="s">
        <v>75</v>
      </c>
      <c r="Q218" s="141" t="s">
        <v>75</v>
      </c>
      <c r="R218" s="141" t="s">
        <v>75</v>
      </c>
      <c r="S218" s="141" t="s">
        <v>75</v>
      </c>
      <c r="T218" s="141" t="s">
        <v>75</v>
      </c>
      <c r="U218" s="141" t="s">
        <v>75</v>
      </c>
      <c r="V218" s="141" t="s">
        <v>75</v>
      </c>
      <c r="W218" s="141" t="s">
        <v>75</v>
      </c>
      <c r="X218" s="141" t="s">
        <v>75</v>
      </c>
      <c r="Y218" s="141" t="s">
        <v>75</v>
      </c>
      <c r="Z218" s="141" t="s">
        <v>75</v>
      </c>
      <c r="AA218" s="141" t="s">
        <v>75</v>
      </c>
      <c r="AB218" s="141" t="s">
        <v>75</v>
      </c>
      <c r="AC218" s="141" t="s">
        <v>75</v>
      </c>
      <c r="AD218" s="141" t="s">
        <v>75</v>
      </c>
      <c r="AE218" s="141" t="s">
        <v>75</v>
      </c>
      <c r="AF218" s="6">
        <v>1071</v>
      </c>
      <c r="AG218" s="6"/>
      <c r="AH218" s="35">
        <f t="shared" si="78"/>
        <v>277</v>
      </c>
      <c r="AI218" s="6">
        <v>226</v>
      </c>
      <c r="AJ218" s="6">
        <v>1100</v>
      </c>
      <c r="AK218" s="35">
        <f t="shared" si="79"/>
        <v>255</v>
      </c>
      <c r="AL218" s="35">
        <v>496</v>
      </c>
      <c r="AM218" s="35"/>
      <c r="AN218" s="35">
        <f t="shared" si="80"/>
        <v>270</v>
      </c>
      <c r="AO218" s="6">
        <v>757</v>
      </c>
      <c r="AP218" s="6"/>
      <c r="AQ218" s="35">
        <f t="shared" si="81"/>
        <v>261</v>
      </c>
      <c r="AR218" s="6">
        <v>1023</v>
      </c>
      <c r="AS218" s="6"/>
      <c r="AT218" s="34">
        <f t="shared" si="82"/>
        <v>266</v>
      </c>
      <c r="AU218" s="35">
        <v>184</v>
      </c>
      <c r="AV218" s="35">
        <v>1091</v>
      </c>
      <c r="AW218" s="35">
        <f t="shared" si="83"/>
        <v>252</v>
      </c>
      <c r="AX218" s="6"/>
      <c r="AY218" s="6"/>
      <c r="AZ218" s="35"/>
      <c r="BA218" s="6">
        <v>0</v>
      </c>
      <c r="BB218" s="6">
        <v>330</v>
      </c>
      <c r="BC218" s="35">
        <f t="shared" si="84"/>
        <v>146</v>
      </c>
      <c r="BD218" s="35">
        <v>246</v>
      </c>
      <c r="BE218" s="35"/>
      <c r="BF218" s="35">
        <f t="shared" si="85"/>
        <v>246</v>
      </c>
      <c r="BG218" s="35">
        <v>509</v>
      </c>
      <c r="BH218" s="6"/>
      <c r="BI218" s="35">
        <f t="shared" si="86"/>
        <v>263</v>
      </c>
      <c r="BJ218" s="6">
        <v>777</v>
      </c>
      <c r="BK218" s="6"/>
      <c r="BL218" s="35">
        <f t="shared" si="87"/>
        <v>268</v>
      </c>
      <c r="BM218" s="6">
        <v>1041</v>
      </c>
      <c r="BN218" s="6"/>
      <c r="BO218" s="6">
        <f t="shared" si="88"/>
        <v>264</v>
      </c>
      <c r="BP218" s="35">
        <v>175</v>
      </c>
      <c r="BQ218" s="35">
        <v>1100</v>
      </c>
      <c r="BR218" s="6">
        <f t="shared" si="89"/>
        <v>234</v>
      </c>
      <c r="BS218" s="35"/>
      <c r="BT218" s="35"/>
      <c r="BU218" s="35"/>
      <c r="BV218" s="35">
        <v>175</v>
      </c>
      <c r="BW218" s="35"/>
      <c r="BX218" s="6">
        <f t="shared" si="90"/>
        <v>0</v>
      </c>
      <c r="BY218" s="35">
        <v>175</v>
      </c>
      <c r="BZ218" s="35"/>
      <c r="CA218" s="35">
        <f t="shared" si="91"/>
        <v>0</v>
      </c>
      <c r="CB218" s="35">
        <v>175</v>
      </c>
      <c r="CC218" s="6"/>
      <c r="CD218" s="6">
        <f t="shared" si="92"/>
        <v>0</v>
      </c>
      <c r="CE218" s="6">
        <v>175</v>
      </c>
      <c r="CF218" s="6"/>
      <c r="CG218" s="6">
        <f t="shared" si="93"/>
        <v>0</v>
      </c>
      <c r="CH218" s="6">
        <v>175</v>
      </c>
      <c r="CI218" s="6"/>
      <c r="CJ218" s="6">
        <f t="shared" si="94"/>
        <v>0</v>
      </c>
      <c r="CK218" s="6">
        <v>175</v>
      </c>
      <c r="CL218" s="6"/>
      <c r="CM218" s="6">
        <f t="shared" si="95"/>
        <v>0</v>
      </c>
      <c r="CN218" s="6"/>
      <c r="CO218" s="6"/>
      <c r="CP218" s="6"/>
      <c r="CQ218" s="6">
        <v>175</v>
      </c>
      <c r="CR218" s="6"/>
      <c r="CS218" s="6">
        <f t="shared" si="96"/>
        <v>0</v>
      </c>
      <c r="CT218" s="6">
        <v>175</v>
      </c>
      <c r="CU218" s="6"/>
      <c r="CV218" s="6">
        <f t="shared" si="97"/>
        <v>0</v>
      </c>
      <c r="CW218" s="6">
        <v>175</v>
      </c>
      <c r="CX218" s="6"/>
      <c r="CY218" s="6">
        <f t="shared" si="98"/>
        <v>0</v>
      </c>
      <c r="CZ218" s="6">
        <v>175</v>
      </c>
      <c r="DA218" s="6"/>
      <c r="DB218" s="6">
        <f t="shared" si="99"/>
        <v>0</v>
      </c>
      <c r="DC218" s="6">
        <v>175</v>
      </c>
      <c r="DD218" s="6"/>
      <c r="DE218" s="6">
        <f t="shared" si="100"/>
        <v>0</v>
      </c>
      <c r="DF218" s="6">
        <v>175</v>
      </c>
      <c r="DG218" s="6"/>
      <c r="DH218" s="6">
        <f t="shared" si="101"/>
        <v>0</v>
      </c>
      <c r="DI218" s="6"/>
      <c r="DJ218" s="10"/>
      <c r="DK218" s="6"/>
      <c r="DL218" s="6">
        <v>175</v>
      </c>
      <c r="DM218" s="10"/>
      <c r="DN218" s="6">
        <f t="shared" si="102"/>
        <v>0</v>
      </c>
      <c r="DO218" s="6">
        <v>175</v>
      </c>
      <c r="DP218" s="10"/>
      <c r="DQ218" s="6">
        <f t="shared" si="103"/>
        <v>0</v>
      </c>
    </row>
    <row r="219" spans="1:121">
      <c r="A219" s="6">
        <v>215</v>
      </c>
      <c r="B219" s="6">
        <v>346</v>
      </c>
      <c r="C219" s="10"/>
      <c r="D219" s="6">
        <v>196</v>
      </c>
      <c r="E219" s="141" t="s">
        <v>72</v>
      </c>
      <c r="F219" s="141" t="s">
        <v>72</v>
      </c>
      <c r="G219" s="141" t="s">
        <v>72</v>
      </c>
      <c r="H219" s="163" t="s">
        <v>37</v>
      </c>
      <c r="I219" s="141" t="s">
        <v>37</v>
      </c>
      <c r="J219" s="141" t="s">
        <v>37</v>
      </c>
      <c r="K219" s="141" t="s">
        <v>37</v>
      </c>
      <c r="L219" s="141" t="s">
        <v>37</v>
      </c>
      <c r="M219" s="141" t="s">
        <v>37</v>
      </c>
      <c r="N219" s="141" t="s">
        <v>37</v>
      </c>
      <c r="O219" s="141" t="s">
        <v>37</v>
      </c>
      <c r="P219" s="141" t="s">
        <v>37</v>
      </c>
      <c r="Q219" s="141" t="s">
        <v>37</v>
      </c>
      <c r="R219" s="141" t="s">
        <v>37</v>
      </c>
      <c r="S219" s="141" t="s">
        <v>37</v>
      </c>
      <c r="T219" s="141" t="s">
        <v>37</v>
      </c>
      <c r="U219" s="141" t="s">
        <v>37</v>
      </c>
      <c r="V219" s="141" t="s">
        <v>37</v>
      </c>
      <c r="W219" s="141" t="s">
        <v>37</v>
      </c>
      <c r="X219" s="141" t="s">
        <v>37</v>
      </c>
      <c r="Y219" s="141" t="s">
        <v>37</v>
      </c>
      <c r="Z219" s="141" t="s">
        <v>37</v>
      </c>
      <c r="AA219" s="141" t="s">
        <v>37</v>
      </c>
      <c r="AB219" s="141" t="s">
        <v>37</v>
      </c>
      <c r="AC219" s="141" t="s">
        <v>37</v>
      </c>
      <c r="AD219" s="163" t="s">
        <v>37</v>
      </c>
      <c r="AE219" s="141" t="s">
        <v>37</v>
      </c>
      <c r="AF219" s="6">
        <v>576</v>
      </c>
      <c r="AG219" s="6"/>
      <c r="AH219" s="35">
        <f t="shared" si="78"/>
        <v>230</v>
      </c>
      <c r="AI219" s="6">
        <v>790</v>
      </c>
      <c r="AJ219" s="6"/>
      <c r="AK219" s="35">
        <f t="shared" si="79"/>
        <v>214</v>
      </c>
      <c r="AL219" s="35">
        <v>231</v>
      </c>
      <c r="AM219" s="35">
        <v>832</v>
      </c>
      <c r="AN219" s="35">
        <f t="shared" si="80"/>
        <v>273</v>
      </c>
      <c r="AO219" s="35">
        <v>603</v>
      </c>
      <c r="AP219" s="6"/>
      <c r="AQ219" s="35">
        <f t="shared" si="81"/>
        <v>372</v>
      </c>
      <c r="AR219" s="6">
        <v>977</v>
      </c>
      <c r="AS219" s="6"/>
      <c r="AT219" s="34">
        <f t="shared" si="82"/>
        <v>374</v>
      </c>
      <c r="AU219" s="35">
        <v>339</v>
      </c>
      <c r="AV219" s="35">
        <v>986</v>
      </c>
      <c r="AW219" s="35">
        <f t="shared" si="83"/>
        <v>348</v>
      </c>
      <c r="AX219" s="6"/>
      <c r="AY219" s="6"/>
      <c r="AZ219" s="35"/>
      <c r="BA219" s="6">
        <v>692</v>
      </c>
      <c r="BB219" s="6"/>
      <c r="BC219" s="35">
        <f t="shared" si="84"/>
        <v>353</v>
      </c>
      <c r="BD219" s="35">
        <v>1040</v>
      </c>
      <c r="BE219" s="35"/>
      <c r="BF219" s="35">
        <f t="shared" si="85"/>
        <v>348</v>
      </c>
      <c r="BG219" s="35">
        <v>1377</v>
      </c>
      <c r="BH219" s="6"/>
      <c r="BI219" s="35">
        <f t="shared" si="86"/>
        <v>337</v>
      </c>
      <c r="BJ219" s="6">
        <v>196</v>
      </c>
      <c r="BK219" s="6">
        <v>1560</v>
      </c>
      <c r="BL219" s="35">
        <f t="shared" si="87"/>
        <v>379</v>
      </c>
      <c r="BM219" s="6">
        <v>578</v>
      </c>
      <c r="BN219" s="6"/>
      <c r="BO219" s="6">
        <f t="shared" si="88"/>
        <v>382</v>
      </c>
      <c r="BP219" s="35">
        <v>943</v>
      </c>
      <c r="BQ219" s="35"/>
      <c r="BR219" s="6">
        <f t="shared" si="89"/>
        <v>365</v>
      </c>
      <c r="BS219" s="35"/>
      <c r="BT219" s="35"/>
      <c r="BU219" s="35"/>
      <c r="BV219" s="35">
        <v>1328</v>
      </c>
      <c r="BW219" s="35"/>
      <c r="BX219" s="6">
        <f t="shared" si="90"/>
        <v>385</v>
      </c>
      <c r="BY219" s="35">
        <v>147</v>
      </c>
      <c r="BZ219" s="35">
        <v>1560</v>
      </c>
      <c r="CA219" s="35">
        <f t="shared" si="91"/>
        <v>379</v>
      </c>
      <c r="CB219" s="35">
        <v>530</v>
      </c>
      <c r="CC219" s="6"/>
      <c r="CD219" s="6">
        <f t="shared" si="92"/>
        <v>383</v>
      </c>
      <c r="CE219" s="6">
        <v>912</v>
      </c>
      <c r="CF219" s="6"/>
      <c r="CG219" s="6">
        <f t="shared" si="93"/>
        <v>382</v>
      </c>
      <c r="CH219" s="6">
        <v>1285</v>
      </c>
      <c r="CI219" s="6"/>
      <c r="CJ219" s="6">
        <f t="shared" si="94"/>
        <v>373</v>
      </c>
      <c r="CK219" s="6">
        <v>87</v>
      </c>
      <c r="CL219" s="6">
        <v>1560</v>
      </c>
      <c r="CM219" s="6">
        <f t="shared" si="95"/>
        <v>362</v>
      </c>
      <c r="CN219" s="6"/>
      <c r="CO219" s="6"/>
      <c r="CP219" s="6"/>
      <c r="CQ219" s="6">
        <v>472</v>
      </c>
      <c r="CR219" s="6"/>
      <c r="CS219" s="6">
        <f t="shared" si="96"/>
        <v>385</v>
      </c>
      <c r="CT219" s="6">
        <v>849</v>
      </c>
      <c r="CU219" s="6"/>
      <c r="CV219" s="6">
        <f t="shared" si="97"/>
        <v>377</v>
      </c>
      <c r="CW219" s="6">
        <v>1225</v>
      </c>
      <c r="CX219" s="6"/>
      <c r="CY219" s="6">
        <f t="shared" si="98"/>
        <v>376</v>
      </c>
      <c r="CZ219" s="6">
        <v>359</v>
      </c>
      <c r="DA219" s="6">
        <v>1248</v>
      </c>
      <c r="DB219" s="6">
        <f t="shared" si="99"/>
        <v>382</v>
      </c>
      <c r="DC219" s="6">
        <v>739</v>
      </c>
      <c r="DD219" s="6"/>
      <c r="DE219" s="6">
        <f t="shared" si="100"/>
        <v>380</v>
      </c>
      <c r="DF219" s="6">
        <v>0</v>
      </c>
      <c r="DG219" s="6">
        <v>963</v>
      </c>
      <c r="DH219" s="6">
        <f t="shared" si="101"/>
        <v>224</v>
      </c>
      <c r="DI219" s="6"/>
      <c r="DJ219" s="10"/>
      <c r="DK219" s="6"/>
      <c r="DL219" s="6">
        <v>361</v>
      </c>
      <c r="DM219" s="10"/>
      <c r="DN219" s="6">
        <f t="shared" si="102"/>
        <v>361</v>
      </c>
      <c r="DO219" s="6">
        <v>709</v>
      </c>
      <c r="DP219" s="10"/>
      <c r="DQ219" s="6">
        <f t="shared" si="103"/>
        <v>348</v>
      </c>
    </row>
    <row r="220" spans="1:121">
      <c r="A220" s="6">
        <v>216</v>
      </c>
      <c r="B220" s="6">
        <v>755</v>
      </c>
      <c r="C220" s="10"/>
      <c r="D220" s="6">
        <v>232</v>
      </c>
      <c r="E220" s="141" t="s">
        <v>75</v>
      </c>
      <c r="F220" s="141" t="s">
        <v>75</v>
      </c>
      <c r="G220" s="141" t="s">
        <v>75</v>
      </c>
      <c r="H220" s="141" t="s">
        <v>75</v>
      </c>
      <c r="I220" s="141" t="s">
        <v>75</v>
      </c>
      <c r="J220" s="141" t="s">
        <v>75</v>
      </c>
      <c r="K220" s="141" t="s">
        <v>75</v>
      </c>
      <c r="L220" s="141" t="s">
        <v>75</v>
      </c>
      <c r="M220" s="141" t="s">
        <v>75</v>
      </c>
      <c r="N220" s="163" t="s">
        <v>75</v>
      </c>
      <c r="O220" s="141" t="s">
        <v>75</v>
      </c>
      <c r="P220" s="141" t="s">
        <v>75</v>
      </c>
      <c r="Q220" s="141" t="s">
        <v>75</v>
      </c>
      <c r="R220" s="141" t="s">
        <v>75</v>
      </c>
      <c r="S220" s="141" t="s">
        <v>75</v>
      </c>
      <c r="T220" s="141" t="s">
        <v>75</v>
      </c>
      <c r="U220" s="141" t="s">
        <v>75</v>
      </c>
      <c r="V220" s="141" t="s">
        <v>75</v>
      </c>
      <c r="W220" s="141" t="s">
        <v>75</v>
      </c>
      <c r="X220" s="141" t="s">
        <v>75</v>
      </c>
      <c r="Y220" s="141" t="s">
        <v>75</v>
      </c>
      <c r="Z220" s="141" t="s">
        <v>75</v>
      </c>
      <c r="AA220" s="141" t="s">
        <v>75</v>
      </c>
      <c r="AB220" s="141" t="s">
        <v>75</v>
      </c>
      <c r="AC220" s="141" t="s">
        <v>75</v>
      </c>
      <c r="AD220" s="141" t="s">
        <v>75</v>
      </c>
      <c r="AE220" s="141" t="s">
        <v>75</v>
      </c>
      <c r="AF220" s="6">
        <v>1028</v>
      </c>
      <c r="AG220" s="6"/>
      <c r="AH220" s="35">
        <f t="shared" si="78"/>
        <v>273</v>
      </c>
      <c r="AI220" s="6">
        <v>179</v>
      </c>
      <c r="AJ220" s="6">
        <v>1100</v>
      </c>
      <c r="AK220" s="35">
        <f t="shared" si="79"/>
        <v>251</v>
      </c>
      <c r="AL220" s="35">
        <v>438</v>
      </c>
      <c r="AM220" s="35"/>
      <c r="AN220" s="35">
        <f t="shared" si="80"/>
        <v>259</v>
      </c>
      <c r="AO220" s="6">
        <v>695</v>
      </c>
      <c r="AP220" s="6"/>
      <c r="AQ220" s="35">
        <f t="shared" si="81"/>
        <v>257</v>
      </c>
      <c r="AR220" s="6">
        <v>957</v>
      </c>
      <c r="AS220" s="6"/>
      <c r="AT220" s="34">
        <f t="shared" si="82"/>
        <v>262</v>
      </c>
      <c r="AU220" s="35">
        <v>105</v>
      </c>
      <c r="AV220" s="35">
        <v>1100</v>
      </c>
      <c r="AW220" s="35">
        <f t="shared" si="83"/>
        <v>248</v>
      </c>
      <c r="AX220" s="6"/>
      <c r="AY220" s="6"/>
      <c r="AZ220" s="35"/>
      <c r="BA220" s="6">
        <v>366</v>
      </c>
      <c r="BB220" s="6"/>
      <c r="BC220" s="35">
        <f t="shared" si="84"/>
        <v>261</v>
      </c>
      <c r="BD220" s="35">
        <v>0</v>
      </c>
      <c r="BE220" s="35">
        <v>600</v>
      </c>
      <c r="BF220" s="35">
        <f t="shared" si="85"/>
        <v>234</v>
      </c>
      <c r="BG220" s="35">
        <v>240</v>
      </c>
      <c r="BH220" s="6"/>
      <c r="BI220" s="35">
        <f t="shared" si="86"/>
        <v>240</v>
      </c>
      <c r="BJ220" s="6">
        <v>501</v>
      </c>
      <c r="BK220" s="35"/>
      <c r="BL220" s="35">
        <f t="shared" si="87"/>
        <v>261</v>
      </c>
      <c r="BM220" s="35">
        <v>766</v>
      </c>
      <c r="BN220" s="35"/>
      <c r="BO220" s="6">
        <f t="shared" si="88"/>
        <v>265</v>
      </c>
      <c r="BP220" s="35">
        <v>1000</v>
      </c>
      <c r="BQ220" s="35"/>
      <c r="BR220" s="6">
        <f t="shared" si="89"/>
        <v>234</v>
      </c>
      <c r="BS220" s="35"/>
      <c r="BT220" s="35"/>
      <c r="BU220" s="35"/>
      <c r="BV220" s="35">
        <v>1000</v>
      </c>
      <c r="BW220" s="35"/>
      <c r="BX220" s="6">
        <f t="shared" si="90"/>
        <v>0</v>
      </c>
      <c r="BY220" s="35">
        <v>1000</v>
      </c>
      <c r="BZ220" s="35"/>
      <c r="CA220" s="35">
        <f t="shared" si="91"/>
        <v>0</v>
      </c>
      <c r="CB220" s="35">
        <v>1000</v>
      </c>
      <c r="CC220" s="6"/>
      <c r="CD220" s="6">
        <f t="shared" si="92"/>
        <v>0</v>
      </c>
      <c r="CE220" s="6">
        <v>1000</v>
      </c>
      <c r="CF220" s="6"/>
      <c r="CG220" s="6">
        <f t="shared" si="93"/>
        <v>0</v>
      </c>
      <c r="CH220" s="6">
        <v>1000</v>
      </c>
      <c r="CI220" s="6"/>
      <c r="CJ220" s="6">
        <f t="shared" si="94"/>
        <v>0</v>
      </c>
      <c r="CK220" s="6">
        <v>1000</v>
      </c>
      <c r="CL220" s="6"/>
      <c r="CM220" s="6">
        <f t="shared" si="95"/>
        <v>0</v>
      </c>
      <c r="CN220" s="6"/>
      <c r="CO220" s="6"/>
      <c r="CP220" s="6"/>
      <c r="CQ220" s="6">
        <v>1000</v>
      </c>
      <c r="CR220" s="6"/>
      <c r="CS220" s="6">
        <f t="shared" si="96"/>
        <v>0</v>
      </c>
      <c r="CT220" s="6">
        <v>1000</v>
      </c>
      <c r="CU220" s="6"/>
      <c r="CV220" s="6">
        <f t="shared" si="97"/>
        <v>0</v>
      </c>
      <c r="CW220" s="6">
        <v>1000</v>
      </c>
      <c r="CX220" s="6"/>
      <c r="CY220" s="6">
        <f t="shared" si="98"/>
        <v>0</v>
      </c>
      <c r="CZ220" s="6">
        <v>1000</v>
      </c>
      <c r="DA220" s="6"/>
      <c r="DB220" s="6">
        <f t="shared" si="99"/>
        <v>0</v>
      </c>
      <c r="DC220" s="6">
        <v>1000</v>
      </c>
      <c r="DD220" s="6"/>
      <c r="DE220" s="6">
        <f t="shared" si="100"/>
        <v>0</v>
      </c>
      <c r="DF220" s="6">
        <v>1000</v>
      </c>
      <c r="DG220" s="6"/>
      <c r="DH220" s="6">
        <f t="shared" si="101"/>
        <v>0</v>
      </c>
      <c r="DI220" s="6"/>
      <c r="DJ220" s="10"/>
      <c r="DK220" s="6"/>
      <c r="DL220" s="6">
        <v>1000</v>
      </c>
      <c r="DM220" s="10"/>
      <c r="DN220" s="6">
        <f t="shared" si="102"/>
        <v>0</v>
      </c>
      <c r="DO220" s="6">
        <v>1000</v>
      </c>
      <c r="DP220" s="10"/>
      <c r="DQ220" s="6">
        <f t="shared" si="103"/>
        <v>0</v>
      </c>
    </row>
    <row r="221" spans="1:121">
      <c r="A221" s="6">
        <v>217</v>
      </c>
      <c r="B221" s="6"/>
      <c r="C221" s="10"/>
      <c r="D221" s="6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6"/>
      <c r="AG221" s="6"/>
      <c r="AH221" s="35"/>
      <c r="AI221" s="6"/>
      <c r="AJ221" s="6"/>
      <c r="AK221" s="35"/>
      <c r="AL221" s="35"/>
      <c r="AM221" s="35"/>
      <c r="AN221" s="35"/>
      <c r="AO221" s="6"/>
      <c r="AP221" s="6"/>
      <c r="AQ221" s="35"/>
      <c r="AR221" s="6"/>
      <c r="AS221" s="6"/>
      <c r="AT221" s="34"/>
      <c r="AU221" s="35"/>
      <c r="AV221" s="35"/>
      <c r="AW221" s="35"/>
      <c r="AX221" s="35"/>
      <c r="AY221" s="35"/>
      <c r="AZ221" s="35"/>
      <c r="BA221" s="6"/>
      <c r="BB221" s="6"/>
      <c r="BC221" s="35"/>
      <c r="BD221" s="35"/>
      <c r="BE221" s="35"/>
      <c r="BF221" s="35"/>
      <c r="BG221" s="35"/>
      <c r="BH221" s="6"/>
      <c r="BI221" s="35"/>
      <c r="BJ221" s="6"/>
      <c r="BK221" s="35"/>
      <c r="BL221" s="35"/>
      <c r="BM221" s="35"/>
      <c r="BN221" s="35"/>
      <c r="BO221" s="6"/>
      <c r="BP221" s="35"/>
      <c r="BQ221" s="35"/>
      <c r="BR221" s="6"/>
      <c r="BS221" s="35"/>
      <c r="BT221" s="35"/>
      <c r="BU221" s="35"/>
      <c r="BV221" s="35"/>
      <c r="BW221" s="35"/>
      <c r="BX221" s="6"/>
      <c r="BY221" s="35"/>
      <c r="BZ221" s="35"/>
      <c r="CA221" s="35"/>
      <c r="CB221" s="35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10"/>
      <c r="DK221" s="6"/>
      <c r="DL221" s="6"/>
      <c r="DM221" s="10"/>
      <c r="DN221" s="6"/>
      <c r="DO221" s="6"/>
      <c r="DP221" s="10"/>
      <c r="DQ221" s="6"/>
    </row>
    <row r="222" spans="1:121">
      <c r="A222" s="6">
        <v>218</v>
      </c>
      <c r="B222" s="6"/>
      <c r="C222" s="10"/>
      <c r="D222" s="6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6"/>
      <c r="AG222" s="6"/>
      <c r="AH222" s="35"/>
      <c r="AI222" s="6"/>
      <c r="AJ222" s="6"/>
      <c r="AK222" s="35"/>
      <c r="AL222" s="35"/>
      <c r="AM222" s="35"/>
      <c r="AN222" s="35"/>
      <c r="AO222" s="6"/>
      <c r="AP222" s="6"/>
      <c r="AQ222" s="35"/>
      <c r="AR222" s="6"/>
      <c r="AS222" s="6"/>
      <c r="AT222" s="34"/>
      <c r="AU222" s="35"/>
      <c r="AV222" s="35"/>
      <c r="AW222" s="35"/>
      <c r="AX222" s="35"/>
      <c r="AY222" s="6"/>
      <c r="AZ222" s="35"/>
      <c r="BA222" s="6"/>
      <c r="BB222" s="6"/>
      <c r="BC222" s="35"/>
      <c r="BD222" s="35"/>
      <c r="BE222" s="35"/>
      <c r="BF222" s="35"/>
      <c r="BG222" s="35"/>
      <c r="BH222" s="6"/>
      <c r="BI222" s="35"/>
      <c r="BJ222" s="6"/>
      <c r="BK222" s="35"/>
      <c r="BL222" s="35"/>
      <c r="BM222" s="35"/>
      <c r="BN222" s="35"/>
      <c r="BO222" s="6"/>
      <c r="BP222" s="35"/>
      <c r="BQ222" s="35"/>
      <c r="BR222" s="6"/>
      <c r="BS222" s="35"/>
      <c r="BT222" s="35"/>
      <c r="BU222" s="35"/>
      <c r="BV222" s="35"/>
      <c r="BW222" s="35"/>
      <c r="BX222" s="6"/>
      <c r="BY222" s="35"/>
      <c r="BZ222" s="35"/>
      <c r="CA222" s="35"/>
      <c r="CB222" s="35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10"/>
      <c r="DK222" s="6"/>
      <c r="DL222" s="6"/>
      <c r="DM222" s="10"/>
      <c r="DN222" s="6"/>
      <c r="DO222" s="6"/>
      <c r="DP222" s="10"/>
      <c r="DQ222" s="6"/>
    </row>
    <row r="223" spans="1:121">
      <c r="A223" s="6">
        <v>219</v>
      </c>
      <c r="B223" s="6"/>
      <c r="C223" s="10"/>
      <c r="D223" s="6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6"/>
      <c r="AG223" s="6"/>
      <c r="AH223" s="35"/>
      <c r="AI223" s="6"/>
      <c r="AJ223" s="6"/>
      <c r="AK223" s="35"/>
      <c r="AL223" s="35"/>
      <c r="AM223" s="35"/>
      <c r="AN223" s="35"/>
      <c r="AO223" s="6"/>
      <c r="AP223" s="6"/>
      <c r="AQ223" s="35"/>
      <c r="AR223" s="6"/>
      <c r="AS223" s="6"/>
      <c r="AT223" s="34"/>
      <c r="AU223" s="35"/>
      <c r="AV223" s="35"/>
      <c r="AW223" s="35"/>
      <c r="AX223" s="6"/>
      <c r="AY223" s="6"/>
      <c r="AZ223" s="35"/>
      <c r="BA223" s="6"/>
      <c r="BB223" s="6"/>
      <c r="BC223" s="35"/>
      <c r="BD223" s="35"/>
      <c r="BE223" s="35"/>
      <c r="BF223" s="35"/>
      <c r="BG223" s="35"/>
      <c r="BH223" s="6"/>
      <c r="BI223" s="35"/>
      <c r="BJ223" s="6"/>
      <c r="BK223" s="35"/>
      <c r="BL223" s="35"/>
      <c r="BM223" s="35"/>
      <c r="BN223" s="35"/>
      <c r="BO223" s="6"/>
      <c r="BP223" s="35"/>
      <c r="BQ223" s="35"/>
      <c r="BR223" s="6"/>
      <c r="BS223" s="35"/>
      <c r="BT223" s="35"/>
      <c r="BU223" s="35"/>
      <c r="BV223" s="35"/>
      <c r="BW223" s="35"/>
      <c r="BX223" s="6"/>
      <c r="BY223" s="35"/>
      <c r="BZ223" s="35"/>
      <c r="CA223" s="35"/>
      <c r="CB223" s="35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10"/>
      <c r="DK223" s="6"/>
      <c r="DL223" s="6"/>
      <c r="DM223" s="10"/>
      <c r="DN223" s="6"/>
      <c r="DO223" s="6"/>
      <c r="DP223" s="10"/>
      <c r="DQ223" s="6"/>
    </row>
    <row r="224" spans="1:121">
      <c r="A224" s="6">
        <v>220</v>
      </c>
      <c r="B224" s="6"/>
      <c r="C224" s="10"/>
      <c r="D224" s="6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  <c r="AE224" s="141"/>
      <c r="AF224" s="6"/>
      <c r="AG224" s="6"/>
      <c r="AH224" s="35"/>
      <c r="AI224" s="6"/>
      <c r="AJ224" s="6"/>
      <c r="AK224" s="35"/>
      <c r="AL224" s="35"/>
      <c r="AM224" s="35"/>
      <c r="AN224" s="35"/>
      <c r="AO224" s="6"/>
      <c r="AP224" s="6"/>
      <c r="AQ224" s="35"/>
      <c r="AR224" s="6"/>
      <c r="AS224" s="6"/>
      <c r="AT224" s="34"/>
      <c r="AU224" s="35"/>
      <c r="AV224" s="35"/>
      <c r="AW224" s="35"/>
      <c r="AX224" s="6"/>
      <c r="AY224" s="6"/>
      <c r="AZ224" s="35"/>
      <c r="BA224" s="6"/>
      <c r="BB224" s="6"/>
      <c r="BC224" s="35"/>
      <c r="BD224" s="35"/>
      <c r="BE224" s="35"/>
      <c r="BF224" s="35"/>
      <c r="BG224" s="35"/>
      <c r="BH224" s="6"/>
      <c r="BI224" s="35"/>
      <c r="BJ224" s="6"/>
      <c r="BK224" s="35"/>
      <c r="BL224" s="35"/>
      <c r="BM224" s="35"/>
      <c r="BN224" s="35"/>
      <c r="BO224" s="6"/>
      <c r="BP224" s="35"/>
      <c r="BQ224" s="35"/>
      <c r="BR224" s="6"/>
      <c r="BS224" s="35"/>
      <c r="BT224" s="35"/>
      <c r="BU224" s="35"/>
      <c r="BV224" s="35"/>
      <c r="BW224" s="35"/>
      <c r="BX224" s="6"/>
      <c r="BY224" s="35"/>
      <c r="BZ224" s="35"/>
      <c r="CA224" s="35"/>
      <c r="CB224" s="35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10"/>
      <c r="DK224" s="6"/>
      <c r="DL224" s="6"/>
      <c r="DM224" s="10"/>
      <c r="DN224" s="6"/>
      <c r="DO224" s="6"/>
      <c r="DP224" s="10"/>
      <c r="DQ224" s="6"/>
    </row>
    <row r="225" spans="1:121">
      <c r="A225" s="6">
        <v>221</v>
      </c>
      <c r="B225" s="6"/>
      <c r="C225" s="10"/>
      <c r="D225" s="6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6"/>
      <c r="AG225" s="6"/>
      <c r="AH225" s="35"/>
      <c r="AI225" s="6"/>
      <c r="AJ225" s="6"/>
      <c r="AK225" s="35"/>
      <c r="AL225" s="35"/>
      <c r="AM225" s="35"/>
      <c r="AN225" s="35"/>
      <c r="AO225" s="6"/>
      <c r="AP225" s="6"/>
      <c r="AQ225" s="35"/>
      <c r="AR225" s="6"/>
      <c r="AS225" s="6"/>
      <c r="AT225" s="34"/>
      <c r="AU225" s="35"/>
      <c r="AV225" s="35"/>
      <c r="AW225" s="35"/>
      <c r="AX225" s="6"/>
      <c r="AY225" s="6"/>
      <c r="AZ225" s="35"/>
      <c r="BA225" s="6"/>
      <c r="BB225" s="6"/>
      <c r="BC225" s="35"/>
      <c r="BD225" s="35"/>
      <c r="BE225" s="35"/>
      <c r="BF225" s="35"/>
      <c r="BG225" s="35"/>
      <c r="BH225" s="6"/>
      <c r="BI225" s="35"/>
      <c r="BJ225" s="6"/>
      <c r="BK225" s="35"/>
      <c r="BL225" s="35"/>
      <c r="BM225" s="35"/>
      <c r="BN225" s="35"/>
      <c r="BO225" s="6"/>
      <c r="BP225" s="35"/>
      <c r="BQ225" s="35"/>
      <c r="BR225" s="6"/>
      <c r="BS225" s="35"/>
      <c r="BT225" s="35"/>
      <c r="BU225" s="35"/>
      <c r="BV225" s="35"/>
      <c r="BW225" s="35"/>
      <c r="BX225" s="6"/>
      <c r="BY225" s="6"/>
      <c r="BZ225" s="35"/>
      <c r="CA225" s="35"/>
      <c r="CB225" s="35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10"/>
      <c r="DK225" s="6"/>
      <c r="DL225" s="6"/>
      <c r="DM225" s="10"/>
      <c r="DN225" s="6"/>
      <c r="DO225" s="6"/>
      <c r="DP225" s="10"/>
      <c r="DQ225" s="6"/>
    </row>
    <row r="226" spans="1:121">
      <c r="A226" s="6">
        <v>222</v>
      </c>
      <c r="B226" s="6"/>
      <c r="C226" s="10"/>
      <c r="D226" s="6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6"/>
      <c r="AG226" s="6"/>
      <c r="AH226" s="35"/>
      <c r="AI226" s="6"/>
      <c r="AJ226" s="6"/>
      <c r="AK226" s="35"/>
      <c r="AL226" s="35"/>
      <c r="AM226" s="35"/>
      <c r="AN226" s="35"/>
      <c r="AO226" s="6"/>
      <c r="AP226" s="6"/>
      <c r="AQ226" s="35"/>
      <c r="AR226" s="6"/>
      <c r="AS226" s="35"/>
      <c r="AT226" s="34"/>
      <c r="AU226" s="35"/>
      <c r="AV226" s="35"/>
      <c r="AW226" s="35"/>
      <c r="AX226" s="6"/>
      <c r="AY226" s="6"/>
      <c r="AZ226" s="35"/>
      <c r="BA226" s="6"/>
      <c r="BB226" s="6"/>
      <c r="BC226" s="35"/>
      <c r="BD226" s="35"/>
      <c r="BE226" s="35"/>
      <c r="BF226" s="35"/>
      <c r="BG226" s="35"/>
      <c r="BH226" s="6"/>
      <c r="BI226" s="35"/>
      <c r="BJ226" s="6"/>
      <c r="BK226" s="35"/>
      <c r="BL226" s="35"/>
      <c r="BM226" s="35"/>
      <c r="BN226" s="35"/>
      <c r="BO226" s="6"/>
      <c r="BP226" s="35"/>
      <c r="BQ226" s="35"/>
      <c r="BR226" s="6"/>
      <c r="BS226" s="35"/>
      <c r="BT226" s="35"/>
      <c r="BU226" s="35"/>
      <c r="BV226" s="35"/>
      <c r="BW226" s="35"/>
      <c r="BX226" s="6"/>
      <c r="BY226" s="6"/>
      <c r="BZ226" s="35"/>
      <c r="CA226" s="35"/>
      <c r="CB226" s="35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10"/>
      <c r="DK226" s="6"/>
      <c r="DL226" s="6"/>
      <c r="DM226" s="10"/>
      <c r="DN226" s="6"/>
      <c r="DO226" s="6"/>
      <c r="DP226" s="10"/>
      <c r="DQ226" s="6"/>
    </row>
    <row r="227" spans="1:121">
      <c r="A227" s="6">
        <v>223</v>
      </c>
      <c r="B227" s="6"/>
      <c r="C227" s="10"/>
      <c r="D227" s="6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6"/>
      <c r="AG227" s="6"/>
      <c r="AH227" s="35"/>
      <c r="AI227" s="6"/>
      <c r="AJ227" s="6"/>
      <c r="AK227" s="35"/>
      <c r="AL227" s="35"/>
      <c r="AM227" s="35"/>
      <c r="AN227" s="35"/>
      <c r="AO227" s="6"/>
      <c r="AP227" s="6"/>
      <c r="AQ227" s="35"/>
      <c r="AR227" s="6"/>
      <c r="AS227" s="6"/>
      <c r="AT227" s="34"/>
      <c r="AU227" s="35"/>
      <c r="AV227" s="35"/>
      <c r="AW227" s="35"/>
      <c r="AX227" s="6"/>
      <c r="AY227" s="6"/>
      <c r="AZ227" s="35"/>
      <c r="BA227" s="6"/>
      <c r="BB227" s="6"/>
      <c r="BC227" s="35"/>
      <c r="BD227" s="35"/>
      <c r="BE227" s="35"/>
      <c r="BF227" s="35"/>
      <c r="BG227" s="35"/>
      <c r="BH227" s="6"/>
      <c r="BI227" s="35"/>
      <c r="BJ227" s="6"/>
      <c r="BK227" s="35"/>
      <c r="BL227" s="35"/>
      <c r="BM227" s="35"/>
      <c r="BN227" s="35"/>
      <c r="BO227" s="6"/>
      <c r="BP227" s="35"/>
      <c r="BQ227" s="35"/>
      <c r="BR227" s="6"/>
      <c r="BS227" s="35"/>
      <c r="BT227" s="35"/>
      <c r="BU227" s="35"/>
      <c r="BV227" s="35"/>
      <c r="BW227" s="35"/>
      <c r="BX227" s="6"/>
      <c r="BY227" s="6"/>
      <c r="BZ227" s="35"/>
      <c r="CA227" s="35"/>
      <c r="CB227" s="35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10"/>
      <c r="DK227" s="6"/>
      <c r="DL227" s="6"/>
      <c r="DM227" s="10"/>
      <c r="DN227" s="6"/>
      <c r="DO227" s="6"/>
      <c r="DP227" s="10"/>
      <c r="DQ227" s="6"/>
    </row>
    <row r="228" spans="1:121">
      <c r="A228" s="6">
        <v>224</v>
      </c>
      <c r="B228" s="6"/>
      <c r="C228" s="10"/>
      <c r="D228" s="6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6"/>
      <c r="AG228" s="6"/>
      <c r="AH228" s="35"/>
      <c r="AI228" s="6"/>
      <c r="AJ228" s="6"/>
      <c r="AK228" s="35"/>
      <c r="AL228" s="35"/>
      <c r="AM228" s="35"/>
      <c r="AN228" s="35"/>
      <c r="AO228" s="6"/>
      <c r="AP228" s="6"/>
      <c r="AQ228" s="35"/>
      <c r="AR228" s="6"/>
      <c r="AS228" s="6"/>
      <c r="AT228" s="34"/>
      <c r="AU228" s="35"/>
      <c r="AV228" s="35"/>
      <c r="AW228" s="35"/>
      <c r="AX228" s="6"/>
      <c r="AY228" s="6"/>
      <c r="AZ228" s="35"/>
      <c r="BA228" s="6"/>
      <c r="BB228" s="6"/>
      <c r="BC228" s="35"/>
      <c r="BD228" s="35"/>
      <c r="BE228" s="35"/>
      <c r="BF228" s="35"/>
      <c r="BG228" s="35"/>
      <c r="BH228" s="6"/>
      <c r="BI228" s="35"/>
      <c r="BJ228" s="6"/>
      <c r="BK228" s="35"/>
      <c r="BL228" s="35"/>
      <c r="BM228" s="35"/>
      <c r="BN228" s="35"/>
      <c r="BO228" s="6"/>
      <c r="BP228" s="35"/>
      <c r="BQ228" s="35"/>
      <c r="BR228" s="6"/>
      <c r="BS228" s="35"/>
      <c r="BT228" s="35"/>
      <c r="BU228" s="35"/>
      <c r="BV228" s="35"/>
      <c r="BW228" s="35"/>
      <c r="BX228" s="6"/>
      <c r="BY228" s="6"/>
      <c r="BZ228" s="35"/>
      <c r="CA228" s="35"/>
      <c r="CB228" s="35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10"/>
      <c r="DK228" s="6"/>
      <c r="DL228" s="6"/>
      <c r="DM228" s="10"/>
      <c r="DN228" s="6"/>
      <c r="DO228" s="6"/>
      <c r="DP228" s="10"/>
      <c r="DQ228" s="6"/>
    </row>
    <row r="229" spans="1:121">
      <c r="A229" s="6">
        <v>225</v>
      </c>
      <c r="B229" s="6"/>
      <c r="C229" s="10"/>
      <c r="D229" s="6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6"/>
      <c r="AG229" s="6"/>
      <c r="AH229" s="35"/>
      <c r="AI229" s="6"/>
      <c r="AJ229" s="6"/>
      <c r="AK229" s="35"/>
      <c r="AL229" s="35"/>
      <c r="AM229" s="35"/>
      <c r="AN229" s="35"/>
      <c r="AO229" s="6"/>
      <c r="AP229" s="6"/>
      <c r="AQ229" s="35"/>
      <c r="AR229" s="6"/>
      <c r="AS229" s="6"/>
      <c r="AT229" s="34"/>
      <c r="AU229" s="35"/>
      <c r="AV229" s="35"/>
      <c r="AW229" s="35"/>
      <c r="AX229" s="6"/>
      <c r="AY229" s="6"/>
      <c r="AZ229" s="35"/>
      <c r="BA229" s="6"/>
      <c r="BB229" s="6"/>
      <c r="BC229" s="35"/>
      <c r="BD229" s="35"/>
      <c r="BE229" s="35"/>
      <c r="BF229" s="35"/>
      <c r="BG229" s="35"/>
      <c r="BH229" s="6"/>
      <c r="BI229" s="35"/>
      <c r="BJ229" s="6"/>
      <c r="BK229" s="35"/>
      <c r="BL229" s="35"/>
      <c r="BM229" s="35"/>
      <c r="BN229" s="35"/>
      <c r="BO229" s="6"/>
      <c r="BP229" s="35"/>
      <c r="BQ229" s="35"/>
      <c r="BR229" s="6"/>
      <c r="BS229" s="35"/>
      <c r="BT229" s="35"/>
      <c r="BU229" s="35"/>
      <c r="BV229" s="35"/>
      <c r="BW229" s="35"/>
      <c r="BX229" s="6"/>
      <c r="BY229" s="6"/>
      <c r="BZ229" s="35"/>
      <c r="CA229" s="35"/>
      <c r="CB229" s="35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10"/>
      <c r="DK229" s="6"/>
      <c r="DL229" s="6"/>
      <c r="DM229" s="10"/>
      <c r="DN229" s="6"/>
      <c r="DO229" s="6"/>
      <c r="DP229" s="10"/>
      <c r="DQ229" s="6"/>
    </row>
    <row r="230" spans="1:121">
      <c r="A230" s="6">
        <v>226</v>
      </c>
      <c r="B230" s="6"/>
      <c r="C230" s="10"/>
      <c r="D230" s="6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  <c r="AE230" s="141"/>
      <c r="AF230" s="6"/>
      <c r="AG230" s="6"/>
      <c r="AH230" s="35"/>
      <c r="AI230" s="6"/>
      <c r="AJ230" s="6"/>
      <c r="AK230" s="35"/>
      <c r="AL230" s="35"/>
      <c r="AM230" s="35"/>
      <c r="AN230" s="35"/>
      <c r="AO230" s="6"/>
      <c r="AP230" s="6"/>
      <c r="AQ230" s="35"/>
      <c r="AR230" s="6"/>
      <c r="AS230" s="6"/>
      <c r="AT230" s="34"/>
      <c r="AU230" s="35"/>
      <c r="AV230" s="35"/>
      <c r="AW230" s="35"/>
      <c r="AX230" s="6"/>
      <c r="AY230" s="6"/>
      <c r="AZ230" s="35"/>
      <c r="BA230" s="6"/>
      <c r="BB230" s="6"/>
      <c r="BC230" s="35"/>
      <c r="BD230" s="35"/>
      <c r="BE230" s="35"/>
      <c r="BF230" s="35"/>
      <c r="BG230" s="35"/>
      <c r="BH230" s="6"/>
      <c r="BI230" s="35"/>
      <c r="BJ230" s="6"/>
      <c r="BK230" s="35"/>
      <c r="BL230" s="35"/>
      <c r="BM230" s="35"/>
      <c r="BN230" s="35"/>
      <c r="BO230" s="6"/>
      <c r="BP230" s="35"/>
      <c r="BQ230" s="35"/>
      <c r="BR230" s="6"/>
      <c r="BS230" s="35"/>
      <c r="BT230" s="35"/>
      <c r="BU230" s="35"/>
      <c r="BV230" s="35"/>
      <c r="BW230" s="35"/>
      <c r="BX230" s="6"/>
      <c r="BY230" s="6"/>
      <c r="BZ230" s="35"/>
      <c r="CA230" s="35"/>
      <c r="CB230" s="35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10"/>
      <c r="DK230" s="6"/>
      <c r="DL230" s="6"/>
      <c r="DM230" s="10"/>
      <c r="DN230" s="6"/>
      <c r="DO230" s="6"/>
      <c r="DP230" s="10"/>
      <c r="DQ230" s="6"/>
    </row>
    <row r="231" spans="1:121">
      <c r="A231" s="151">
        <v>227</v>
      </c>
      <c r="B231" s="6"/>
      <c r="C231" s="10"/>
      <c r="D231" s="6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/>
      <c r="AE231" s="141"/>
      <c r="AF231" s="6"/>
      <c r="AG231" s="6"/>
      <c r="AH231" s="35"/>
      <c r="AI231" s="6"/>
      <c r="AJ231" s="6"/>
      <c r="AK231" s="35"/>
      <c r="AL231" s="35"/>
      <c r="AM231" s="35"/>
      <c r="AN231" s="35"/>
      <c r="AO231" s="6"/>
      <c r="AP231" s="6"/>
      <c r="AQ231" s="35"/>
      <c r="AR231" s="6"/>
      <c r="AS231" s="6"/>
      <c r="AT231" s="34"/>
      <c r="AU231" s="35"/>
      <c r="AV231" s="35"/>
      <c r="AW231" s="35"/>
      <c r="AX231" s="6"/>
      <c r="AY231" s="6"/>
      <c r="AZ231" s="35"/>
      <c r="BA231" s="6"/>
      <c r="BB231" s="6"/>
      <c r="BC231" s="35"/>
      <c r="BD231" s="35"/>
      <c r="BE231" s="35"/>
      <c r="BF231" s="35"/>
      <c r="BG231" s="35"/>
      <c r="BH231" s="6"/>
      <c r="BI231" s="35"/>
      <c r="BJ231" s="6"/>
      <c r="BK231" s="35"/>
      <c r="BL231" s="35"/>
      <c r="BM231" s="35"/>
      <c r="BN231" s="35"/>
      <c r="BO231" s="6"/>
      <c r="BP231" s="35"/>
      <c r="BQ231" s="35"/>
      <c r="BR231" s="6"/>
      <c r="BS231" s="35"/>
      <c r="BT231" s="35"/>
      <c r="BU231" s="35"/>
      <c r="BV231" s="35"/>
      <c r="BW231" s="35"/>
      <c r="BX231" s="6"/>
      <c r="BY231" s="6"/>
      <c r="BZ231" s="35"/>
      <c r="CA231" s="35"/>
      <c r="CB231" s="35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10"/>
      <c r="DK231" s="6"/>
      <c r="DL231" s="6"/>
      <c r="DM231" s="10"/>
      <c r="DN231" s="6"/>
      <c r="DO231" s="6"/>
      <c r="DP231" s="10"/>
      <c r="DQ231" s="6"/>
    </row>
    <row r="232" spans="1:121">
      <c r="A232" s="151">
        <v>228</v>
      </c>
      <c r="B232" s="6"/>
      <c r="C232" s="10"/>
      <c r="D232" s="6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  <c r="AE232" s="141"/>
      <c r="AF232" s="6"/>
      <c r="AG232" s="6"/>
      <c r="AH232" s="35"/>
      <c r="AI232" s="6"/>
      <c r="AJ232" s="6"/>
      <c r="AK232" s="35"/>
      <c r="AL232" s="35"/>
      <c r="AM232" s="35"/>
      <c r="AN232" s="35"/>
      <c r="AO232" s="6"/>
      <c r="AP232" s="6"/>
      <c r="AQ232" s="35"/>
      <c r="AR232" s="6"/>
      <c r="AS232" s="6"/>
      <c r="AT232" s="34"/>
      <c r="AU232" s="35"/>
      <c r="AV232" s="35"/>
      <c r="AW232" s="35"/>
      <c r="AX232" s="6"/>
      <c r="AY232" s="35"/>
      <c r="AZ232" s="35"/>
      <c r="BA232" s="6"/>
      <c r="BB232" s="6"/>
      <c r="BC232" s="35"/>
      <c r="BD232" s="35"/>
      <c r="BE232" s="35"/>
      <c r="BF232" s="35"/>
      <c r="BG232" s="35"/>
      <c r="BH232" s="6"/>
      <c r="BI232" s="35"/>
      <c r="BJ232" s="6"/>
      <c r="BK232" s="35"/>
      <c r="BL232" s="35"/>
      <c r="BM232" s="35"/>
      <c r="BN232" s="35"/>
      <c r="BO232" s="6"/>
      <c r="BP232" s="35"/>
      <c r="BQ232" s="35"/>
      <c r="BR232" s="6"/>
      <c r="BS232" s="35"/>
      <c r="BT232" s="35"/>
      <c r="BU232" s="35"/>
      <c r="BV232" s="35"/>
      <c r="BW232" s="35"/>
      <c r="BX232" s="6"/>
      <c r="BY232" s="6"/>
      <c r="BZ232" s="35"/>
      <c r="CA232" s="35"/>
      <c r="CB232" s="35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10"/>
      <c r="DK232" s="6"/>
      <c r="DL232" s="6"/>
      <c r="DM232" s="10"/>
      <c r="DN232" s="6"/>
      <c r="DO232" s="6"/>
      <c r="DP232" s="10"/>
      <c r="DQ232" s="6"/>
    </row>
    <row r="233" spans="1:121">
      <c r="A233" s="151">
        <v>229</v>
      </c>
      <c r="B233" s="6"/>
      <c r="C233" s="10"/>
      <c r="D233" s="6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6"/>
      <c r="AG233" s="6"/>
      <c r="AH233" s="35"/>
      <c r="AI233" s="6"/>
      <c r="AJ233" s="6"/>
      <c r="AK233" s="35"/>
      <c r="AL233" s="35"/>
      <c r="AM233" s="35"/>
      <c r="AN233" s="35"/>
      <c r="AO233" s="6"/>
      <c r="AP233" s="6"/>
      <c r="AQ233" s="35"/>
      <c r="AR233" s="6"/>
      <c r="AS233" s="6"/>
      <c r="AT233" s="34"/>
      <c r="AU233" s="35"/>
      <c r="AV233" s="35"/>
      <c r="AW233" s="35"/>
      <c r="AX233" s="6"/>
      <c r="AY233" s="6"/>
      <c r="AZ233" s="35"/>
      <c r="BA233" s="6"/>
      <c r="BB233" s="6"/>
      <c r="BC233" s="35"/>
      <c r="BD233" s="35"/>
      <c r="BE233" s="35"/>
      <c r="BF233" s="35"/>
      <c r="BG233" s="35"/>
      <c r="BH233" s="6"/>
      <c r="BI233" s="35"/>
      <c r="BJ233" s="6"/>
      <c r="BK233" s="35"/>
      <c r="BL233" s="35"/>
      <c r="BM233" s="35"/>
      <c r="BN233" s="35"/>
      <c r="BO233" s="6"/>
      <c r="BP233" s="35"/>
      <c r="BQ233" s="35"/>
      <c r="BR233" s="6"/>
      <c r="BS233" s="35"/>
      <c r="BT233" s="35"/>
      <c r="BU233" s="35"/>
      <c r="BV233" s="35"/>
      <c r="BW233" s="35"/>
      <c r="BX233" s="6"/>
      <c r="BY233" s="6"/>
      <c r="BZ233" s="35"/>
      <c r="CA233" s="35"/>
      <c r="CB233" s="35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10"/>
      <c r="DK233" s="6"/>
      <c r="DL233" s="6"/>
      <c r="DM233" s="10"/>
      <c r="DN233" s="6"/>
      <c r="DO233" s="6"/>
      <c r="DP233" s="10"/>
      <c r="DQ233" s="6"/>
    </row>
    <row r="234" spans="1:121">
      <c r="A234" s="151">
        <v>230</v>
      </c>
      <c r="B234" s="6"/>
      <c r="C234" s="10"/>
      <c r="D234" s="6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  <c r="AE234" s="141"/>
      <c r="AF234" s="6"/>
      <c r="AG234" s="6"/>
      <c r="AH234" s="35"/>
      <c r="AI234" s="6"/>
      <c r="AJ234" s="6"/>
      <c r="AK234" s="35"/>
      <c r="AL234" s="35"/>
      <c r="AM234" s="35"/>
      <c r="AN234" s="35"/>
      <c r="AO234" s="6"/>
      <c r="AP234" s="6"/>
      <c r="AQ234" s="35"/>
      <c r="AR234" s="6"/>
      <c r="AS234" s="6"/>
      <c r="AT234" s="34"/>
      <c r="AU234" s="35"/>
      <c r="AV234" s="35"/>
      <c r="AW234" s="35"/>
      <c r="AX234" s="6"/>
      <c r="AY234" s="6"/>
      <c r="AZ234" s="35"/>
      <c r="BA234" s="6"/>
      <c r="BB234" s="6"/>
      <c r="BC234" s="35"/>
      <c r="BD234" s="35"/>
      <c r="BE234" s="35"/>
      <c r="BF234" s="35"/>
      <c r="BG234" s="35"/>
      <c r="BH234" s="6"/>
      <c r="BI234" s="35"/>
      <c r="BJ234" s="6"/>
      <c r="BK234" s="35"/>
      <c r="BL234" s="35"/>
      <c r="BM234" s="35"/>
      <c r="BN234" s="35"/>
      <c r="BO234" s="6"/>
      <c r="BP234" s="35"/>
      <c r="BQ234" s="35"/>
      <c r="BR234" s="6"/>
      <c r="BS234" s="35"/>
      <c r="BT234" s="35"/>
      <c r="BU234" s="35"/>
      <c r="BV234" s="35"/>
      <c r="BW234" s="35"/>
      <c r="BX234" s="6"/>
      <c r="BY234" s="6"/>
      <c r="BZ234" s="35"/>
      <c r="CA234" s="35"/>
      <c r="CB234" s="35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10"/>
      <c r="DK234" s="6"/>
      <c r="DL234" s="6"/>
      <c r="DM234" s="10"/>
      <c r="DN234" s="6"/>
      <c r="DO234" s="6"/>
      <c r="DP234" s="10"/>
      <c r="DQ234" s="6"/>
    </row>
    <row r="235" spans="1:121">
      <c r="A235" s="151">
        <v>231</v>
      </c>
      <c r="B235" s="6"/>
      <c r="C235" s="10"/>
      <c r="D235" s="6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6"/>
      <c r="AG235" s="6"/>
      <c r="AH235" s="35"/>
      <c r="AI235" s="6"/>
      <c r="AJ235" s="6"/>
      <c r="AK235" s="35"/>
      <c r="AL235" s="35"/>
      <c r="AM235" s="35"/>
      <c r="AN235" s="35"/>
      <c r="AO235" s="6"/>
      <c r="AP235" s="6"/>
      <c r="AQ235" s="35"/>
      <c r="AR235" s="6"/>
      <c r="AS235" s="6"/>
      <c r="AT235" s="34"/>
      <c r="AU235" s="35"/>
      <c r="AV235" s="35"/>
      <c r="AW235" s="35"/>
      <c r="AX235" s="6"/>
      <c r="AY235" s="6"/>
      <c r="AZ235" s="35"/>
      <c r="BA235" s="6"/>
      <c r="BB235" s="6"/>
      <c r="BC235" s="35"/>
      <c r="BD235" s="35"/>
      <c r="BE235" s="35"/>
      <c r="BF235" s="35"/>
      <c r="BG235" s="35"/>
      <c r="BH235" s="6"/>
      <c r="BI235" s="35"/>
      <c r="BJ235" s="6"/>
      <c r="BK235" s="35"/>
      <c r="BL235" s="35"/>
      <c r="BM235" s="35"/>
      <c r="BN235" s="35"/>
      <c r="BO235" s="6"/>
      <c r="BP235" s="35"/>
      <c r="BQ235" s="35"/>
      <c r="BR235" s="6"/>
      <c r="BS235" s="35"/>
      <c r="BT235" s="35"/>
      <c r="BU235" s="35"/>
      <c r="BV235" s="35"/>
      <c r="BW235" s="35"/>
      <c r="BX235" s="6"/>
      <c r="BY235" s="6"/>
      <c r="BZ235" s="35"/>
      <c r="CA235" s="35"/>
      <c r="CB235" s="35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10"/>
      <c r="DK235" s="6"/>
      <c r="DL235" s="6"/>
      <c r="DM235" s="10"/>
      <c r="DN235" s="6"/>
      <c r="DO235" s="6"/>
      <c r="DP235" s="10"/>
      <c r="DQ235" s="6"/>
    </row>
    <row r="236" spans="1:121">
      <c r="A236" s="151">
        <v>232</v>
      </c>
      <c r="B236" s="6"/>
      <c r="C236" s="10"/>
      <c r="D236" s="6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6"/>
      <c r="AG236" s="6"/>
      <c r="AH236" s="35"/>
      <c r="AI236" s="6"/>
      <c r="AJ236" s="6"/>
      <c r="AK236" s="35"/>
      <c r="AL236" s="35"/>
      <c r="AM236" s="35"/>
      <c r="AN236" s="35"/>
      <c r="AO236" s="6"/>
      <c r="AP236" s="6"/>
      <c r="AQ236" s="35"/>
      <c r="AR236" s="6"/>
      <c r="AS236" s="6"/>
      <c r="AT236" s="34"/>
      <c r="AU236" s="35"/>
      <c r="AV236" s="35"/>
      <c r="AW236" s="35"/>
      <c r="AX236" s="6"/>
      <c r="AY236" s="35"/>
      <c r="AZ236" s="35"/>
      <c r="BA236" s="6"/>
      <c r="BB236" s="6"/>
      <c r="BC236" s="35"/>
      <c r="BD236" s="35"/>
      <c r="BE236" s="35"/>
      <c r="BF236" s="35"/>
      <c r="BG236" s="35"/>
      <c r="BH236" s="6"/>
      <c r="BI236" s="35"/>
      <c r="BJ236" s="6"/>
      <c r="BK236" s="35"/>
      <c r="BL236" s="35"/>
      <c r="BM236" s="35"/>
      <c r="BN236" s="35"/>
      <c r="BO236" s="6"/>
      <c r="BP236" s="35"/>
      <c r="BQ236" s="35"/>
      <c r="BR236" s="6"/>
      <c r="BS236" s="35"/>
      <c r="BT236" s="35"/>
      <c r="BU236" s="35"/>
      <c r="BV236" s="35"/>
      <c r="BW236" s="35"/>
      <c r="BX236" s="6"/>
      <c r="BY236" s="6"/>
      <c r="BZ236" s="35"/>
      <c r="CA236" s="35"/>
      <c r="CB236" s="35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10"/>
      <c r="DK236" s="6"/>
      <c r="DL236" s="6"/>
      <c r="DM236" s="10"/>
      <c r="DN236" s="6"/>
      <c r="DO236" s="6"/>
      <c r="DP236" s="10"/>
      <c r="DQ236" s="6"/>
    </row>
    <row r="237" spans="1:121">
      <c r="A237" s="151">
        <v>233</v>
      </c>
      <c r="B237" s="6"/>
      <c r="C237" s="10"/>
      <c r="D237" s="6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6"/>
      <c r="AG237" s="6"/>
      <c r="AH237" s="35"/>
      <c r="AI237" s="6"/>
      <c r="AJ237" s="6"/>
      <c r="AK237" s="35"/>
      <c r="AL237" s="35"/>
      <c r="AM237" s="35"/>
      <c r="AN237" s="35"/>
      <c r="AO237" s="6"/>
      <c r="AP237" s="6"/>
      <c r="AQ237" s="35"/>
      <c r="AR237" s="6"/>
      <c r="AS237" s="6"/>
      <c r="AT237" s="34"/>
      <c r="AU237" s="35"/>
      <c r="AV237" s="35"/>
      <c r="AW237" s="35"/>
      <c r="AX237" s="6"/>
      <c r="AY237" s="6"/>
      <c r="AZ237" s="35"/>
      <c r="BA237" s="6"/>
      <c r="BB237" s="6"/>
      <c r="BC237" s="35"/>
      <c r="BD237" s="35"/>
      <c r="BE237" s="35"/>
      <c r="BF237" s="35"/>
      <c r="BG237" s="35"/>
      <c r="BH237" s="6"/>
      <c r="BI237" s="35"/>
      <c r="BJ237" s="6"/>
      <c r="BK237" s="35"/>
      <c r="BL237" s="35"/>
      <c r="BM237" s="35"/>
      <c r="BN237" s="35"/>
      <c r="BO237" s="6"/>
      <c r="BP237" s="35"/>
      <c r="BQ237" s="35"/>
      <c r="BR237" s="6"/>
      <c r="BS237" s="35"/>
      <c r="BT237" s="35"/>
      <c r="BU237" s="35"/>
      <c r="BV237" s="35"/>
      <c r="BW237" s="35"/>
      <c r="BX237" s="6"/>
      <c r="BY237" s="6"/>
      <c r="BZ237" s="35"/>
      <c r="CA237" s="35"/>
      <c r="CB237" s="35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10"/>
      <c r="DK237" s="6"/>
      <c r="DL237" s="6"/>
      <c r="DM237" s="10"/>
      <c r="DN237" s="6"/>
      <c r="DO237" s="6"/>
      <c r="DP237" s="10"/>
      <c r="DQ237" s="6"/>
    </row>
    <row r="238" spans="1:121">
      <c r="A238" s="151">
        <v>234</v>
      </c>
      <c r="B238" s="6"/>
      <c r="C238" s="10"/>
      <c r="D238" s="6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6"/>
      <c r="AG238" s="6"/>
      <c r="AH238" s="35"/>
      <c r="AI238" s="6"/>
      <c r="AJ238" s="6"/>
      <c r="AK238" s="35"/>
      <c r="AL238" s="35"/>
      <c r="AM238" s="35"/>
      <c r="AN238" s="35"/>
      <c r="AO238" s="6"/>
      <c r="AP238" s="6"/>
      <c r="AQ238" s="35"/>
      <c r="AR238" s="6"/>
      <c r="AS238" s="6"/>
      <c r="AT238" s="34"/>
      <c r="AU238" s="35"/>
      <c r="AV238" s="35"/>
      <c r="AW238" s="35"/>
      <c r="AX238" s="35"/>
      <c r="AY238" s="6"/>
      <c r="AZ238" s="35"/>
      <c r="BA238" s="6"/>
      <c r="BB238" s="6"/>
      <c r="BC238" s="35"/>
      <c r="BD238" s="35"/>
      <c r="BE238" s="35"/>
      <c r="BF238" s="35"/>
      <c r="BG238" s="35"/>
      <c r="BH238" s="6"/>
      <c r="BI238" s="35"/>
      <c r="BJ238" s="6"/>
      <c r="BK238" s="35"/>
      <c r="BL238" s="35"/>
      <c r="BM238" s="35"/>
      <c r="BN238" s="35"/>
      <c r="BO238" s="6"/>
      <c r="BP238" s="35"/>
      <c r="BQ238" s="35"/>
      <c r="BR238" s="6"/>
      <c r="BS238" s="35"/>
      <c r="BT238" s="35"/>
      <c r="BU238" s="35"/>
      <c r="BV238" s="35"/>
      <c r="BW238" s="35"/>
      <c r="BX238" s="6"/>
      <c r="BY238" s="6"/>
      <c r="BZ238" s="35"/>
      <c r="CA238" s="35"/>
      <c r="CB238" s="35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10"/>
      <c r="DK238" s="6"/>
      <c r="DL238" s="6"/>
      <c r="DM238" s="10"/>
      <c r="DN238" s="6"/>
      <c r="DO238" s="6"/>
      <c r="DP238" s="10"/>
      <c r="DQ238" s="6"/>
    </row>
    <row r="239" spans="1:121">
      <c r="A239" s="151">
        <v>235</v>
      </c>
      <c r="B239" s="6"/>
      <c r="C239" s="10"/>
      <c r="D239" s="6"/>
      <c r="E239" s="141"/>
      <c r="F239" s="141"/>
      <c r="G239" s="141"/>
      <c r="H239" s="141"/>
      <c r="I239" s="163" t="s">
        <v>72</v>
      </c>
      <c r="J239" s="141" t="s">
        <v>72</v>
      </c>
      <c r="K239" s="141" t="s">
        <v>72</v>
      </c>
      <c r="L239" s="141" t="s">
        <v>72</v>
      </c>
      <c r="M239" s="141" t="s">
        <v>72</v>
      </c>
      <c r="N239" s="141" t="s">
        <v>72</v>
      </c>
      <c r="O239" s="141" t="s">
        <v>72</v>
      </c>
      <c r="P239" s="141" t="s">
        <v>72</v>
      </c>
      <c r="Q239" s="163" t="s">
        <v>72</v>
      </c>
      <c r="R239" s="141" t="s">
        <v>72</v>
      </c>
      <c r="S239" s="141" t="s">
        <v>72</v>
      </c>
      <c r="T239" s="141" t="s">
        <v>72</v>
      </c>
      <c r="U239" s="141" t="s">
        <v>72</v>
      </c>
      <c r="V239" s="141" t="s">
        <v>72</v>
      </c>
      <c r="W239" s="141" t="s">
        <v>72</v>
      </c>
      <c r="X239" s="141" t="s">
        <v>72</v>
      </c>
      <c r="Y239" s="141" t="s">
        <v>72</v>
      </c>
      <c r="Z239" s="141" t="s">
        <v>72</v>
      </c>
      <c r="AA239" s="141" t="s">
        <v>72</v>
      </c>
      <c r="AB239" s="141" t="s">
        <v>72</v>
      </c>
      <c r="AC239" s="141" t="s">
        <v>72</v>
      </c>
      <c r="AD239" s="141" t="s">
        <v>72</v>
      </c>
      <c r="AE239" s="141" t="s">
        <v>72</v>
      </c>
      <c r="AF239" s="6"/>
      <c r="AG239" s="6"/>
      <c r="AH239" s="35"/>
      <c r="AI239" s="6"/>
      <c r="AJ239" s="6"/>
      <c r="AK239" s="35"/>
      <c r="AL239" s="35"/>
      <c r="AM239" s="35"/>
      <c r="AN239" s="35"/>
      <c r="AO239" s="6">
        <v>186</v>
      </c>
      <c r="AP239" s="6"/>
      <c r="AQ239" s="35">
        <f t="shared" si="81"/>
        <v>186</v>
      </c>
      <c r="AR239" s="6">
        <v>415</v>
      </c>
      <c r="AS239" s="6"/>
      <c r="AT239" s="34">
        <f t="shared" si="82"/>
        <v>229</v>
      </c>
      <c r="AU239" s="35">
        <v>636</v>
      </c>
      <c r="AV239" s="35"/>
      <c r="AW239" s="35">
        <f t="shared" si="83"/>
        <v>221</v>
      </c>
      <c r="AX239" s="6"/>
      <c r="AY239" s="6"/>
      <c r="AZ239" s="35"/>
      <c r="BA239" s="6">
        <v>895</v>
      </c>
      <c r="BB239" s="6"/>
      <c r="BC239" s="35">
        <f t="shared" si="84"/>
        <v>259</v>
      </c>
      <c r="BD239" s="35">
        <v>54</v>
      </c>
      <c r="BE239" s="35">
        <v>1100</v>
      </c>
      <c r="BF239" s="35">
        <f t="shared" si="85"/>
        <v>259</v>
      </c>
      <c r="BG239" s="35">
        <v>315</v>
      </c>
      <c r="BH239" s="6"/>
      <c r="BI239" s="35">
        <f t="shared" si="86"/>
        <v>261</v>
      </c>
      <c r="BJ239" s="6">
        <v>575</v>
      </c>
      <c r="BK239" s="6"/>
      <c r="BL239" s="35">
        <f t="shared" si="87"/>
        <v>260</v>
      </c>
      <c r="BM239" s="6">
        <v>835</v>
      </c>
      <c r="BN239" s="6"/>
      <c r="BO239" s="6">
        <f t="shared" si="88"/>
        <v>260</v>
      </c>
      <c r="BP239" s="35">
        <v>151</v>
      </c>
      <c r="BQ239" s="35">
        <v>904</v>
      </c>
      <c r="BR239" s="6">
        <f t="shared" si="89"/>
        <v>220</v>
      </c>
      <c r="BS239" s="35"/>
      <c r="BT239" s="35"/>
      <c r="BU239" s="35"/>
      <c r="BV239" s="35">
        <v>151</v>
      </c>
      <c r="BW239" s="35"/>
      <c r="BX239" s="6">
        <f t="shared" si="90"/>
        <v>0</v>
      </c>
      <c r="BY239" s="35">
        <v>151</v>
      </c>
      <c r="BZ239" s="35"/>
      <c r="CA239" s="35">
        <f t="shared" si="91"/>
        <v>0</v>
      </c>
      <c r="CB239" s="35">
        <v>151</v>
      </c>
      <c r="CC239" s="6"/>
      <c r="CD239" s="6">
        <f t="shared" si="92"/>
        <v>0</v>
      </c>
      <c r="CE239" s="6">
        <v>151</v>
      </c>
      <c r="CF239" s="6"/>
      <c r="CG239" s="6">
        <f t="shared" si="93"/>
        <v>0</v>
      </c>
      <c r="CH239" s="6">
        <v>151</v>
      </c>
      <c r="CI239" s="6"/>
      <c r="CJ239" s="6">
        <f t="shared" si="94"/>
        <v>0</v>
      </c>
      <c r="CK239" s="6">
        <v>151</v>
      </c>
      <c r="CL239" s="6"/>
      <c r="CM239" s="6">
        <f t="shared" si="95"/>
        <v>0</v>
      </c>
      <c r="CN239" s="6"/>
      <c r="CO239" s="6"/>
      <c r="CP239" s="6"/>
      <c r="CQ239" s="6">
        <v>151</v>
      </c>
      <c r="CR239" s="6"/>
      <c r="CS239" s="6">
        <f t="shared" si="96"/>
        <v>0</v>
      </c>
      <c r="CT239" s="6">
        <v>151</v>
      </c>
      <c r="CU239" s="6"/>
      <c r="CV239" s="6">
        <f t="shared" si="97"/>
        <v>0</v>
      </c>
      <c r="CW239" s="6">
        <v>151</v>
      </c>
      <c r="CX239" s="6"/>
      <c r="CY239" s="6">
        <f t="shared" si="98"/>
        <v>0</v>
      </c>
      <c r="CZ239" s="6">
        <v>151</v>
      </c>
      <c r="DA239" s="6"/>
      <c r="DB239" s="6">
        <f t="shared" si="99"/>
        <v>0</v>
      </c>
      <c r="DC239" s="6">
        <v>151</v>
      </c>
      <c r="DD239" s="6"/>
      <c r="DE239" s="6">
        <f t="shared" si="100"/>
        <v>0</v>
      </c>
      <c r="DF239" s="6">
        <v>151</v>
      </c>
      <c r="DG239" s="6"/>
      <c r="DH239" s="6">
        <f t="shared" si="101"/>
        <v>0</v>
      </c>
      <c r="DI239" s="6"/>
      <c r="DJ239" s="10"/>
      <c r="DK239" s="6"/>
      <c r="DL239" s="6">
        <v>151</v>
      </c>
      <c r="DM239" s="10"/>
      <c r="DN239" s="6">
        <f t="shared" si="102"/>
        <v>0</v>
      </c>
      <c r="DO239" s="6">
        <v>151</v>
      </c>
      <c r="DP239" s="10"/>
      <c r="DQ239" s="6">
        <f t="shared" si="103"/>
        <v>0</v>
      </c>
    </row>
    <row r="240" spans="1:121">
      <c r="A240" s="151">
        <v>236</v>
      </c>
      <c r="B240" s="6"/>
      <c r="C240" s="10"/>
      <c r="D240" s="6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63" t="s">
        <v>445</v>
      </c>
      <c r="V240" s="141" t="s">
        <v>445</v>
      </c>
      <c r="W240" s="141" t="s">
        <v>445</v>
      </c>
      <c r="X240" s="141" t="s">
        <v>445</v>
      </c>
      <c r="Y240" s="141" t="s">
        <v>445</v>
      </c>
      <c r="Z240" s="141"/>
      <c r="AA240" s="141"/>
      <c r="AB240" s="141"/>
      <c r="AC240" s="141"/>
      <c r="AD240" s="141"/>
      <c r="AE240" s="141"/>
      <c r="AF240" s="6"/>
      <c r="AG240" s="6"/>
      <c r="AH240" s="35"/>
      <c r="AI240" s="6"/>
      <c r="AJ240" s="6"/>
      <c r="AK240" s="35"/>
      <c r="AL240" s="35"/>
      <c r="AM240" s="35"/>
      <c r="AN240" s="35"/>
      <c r="AO240" s="6"/>
      <c r="AP240" s="6"/>
      <c r="AQ240" s="35"/>
      <c r="AR240" s="6"/>
      <c r="AS240" s="6"/>
      <c r="AT240" s="34"/>
      <c r="AU240" s="35"/>
      <c r="AV240" s="35"/>
      <c r="AW240" s="35"/>
      <c r="AX240" s="6"/>
      <c r="AY240" s="6"/>
      <c r="AZ240" s="35"/>
      <c r="BA240" s="6"/>
      <c r="BB240" s="6"/>
      <c r="BC240" s="35"/>
      <c r="BD240" s="35"/>
      <c r="BE240" s="35"/>
      <c r="BF240" s="35"/>
      <c r="BG240" s="35"/>
      <c r="BH240" s="6"/>
      <c r="BI240" s="35"/>
      <c r="BJ240" s="6"/>
      <c r="BK240" s="6"/>
      <c r="BL240" s="35"/>
      <c r="BM240" s="6"/>
      <c r="BN240" s="6"/>
      <c r="BO240" s="6"/>
      <c r="BP240" s="35"/>
      <c r="BQ240" s="35"/>
      <c r="BR240" s="6"/>
      <c r="BS240" s="35"/>
      <c r="BT240" s="35"/>
      <c r="BU240" s="35"/>
      <c r="BV240" s="35"/>
      <c r="BW240" s="35"/>
      <c r="BX240" s="6"/>
      <c r="BY240" s="35"/>
      <c r="BZ240" s="35"/>
      <c r="CA240" s="35"/>
      <c r="CB240" s="35"/>
      <c r="CC240" s="6"/>
      <c r="CD240" s="6"/>
      <c r="CE240" s="6">
        <v>210</v>
      </c>
      <c r="CF240" s="6"/>
      <c r="CG240" s="6">
        <f t="shared" si="93"/>
        <v>210</v>
      </c>
      <c r="CH240" s="6">
        <v>456</v>
      </c>
      <c r="CI240" s="6"/>
      <c r="CJ240" s="6">
        <f t="shared" si="94"/>
        <v>246</v>
      </c>
      <c r="CK240" s="6">
        <v>700</v>
      </c>
      <c r="CL240" s="6"/>
      <c r="CM240" s="6">
        <f t="shared" si="95"/>
        <v>244</v>
      </c>
      <c r="CN240" s="6"/>
      <c r="CO240" s="6"/>
      <c r="CP240" s="6"/>
      <c r="CQ240" s="6">
        <v>948</v>
      </c>
      <c r="CR240" s="6"/>
      <c r="CS240" s="6">
        <f t="shared" si="96"/>
        <v>248</v>
      </c>
      <c r="CT240" s="6"/>
      <c r="CU240" s="6">
        <v>948</v>
      </c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10"/>
      <c r="DK240" s="6"/>
      <c r="DL240" s="6"/>
      <c r="DM240" s="10"/>
      <c r="DN240" s="6"/>
      <c r="DO240" s="6"/>
      <c r="DP240" s="10"/>
      <c r="DQ240" s="6"/>
    </row>
    <row r="241" spans="1:121">
      <c r="A241" s="151">
        <v>237</v>
      </c>
      <c r="B241" s="6">
        <v>871</v>
      </c>
      <c r="C241" s="10"/>
      <c r="D241" s="6">
        <v>217</v>
      </c>
      <c r="E241" s="141" t="s">
        <v>79</v>
      </c>
      <c r="F241" s="141" t="s">
        <v>79</v>
      </c>
      <c r="G241" s="141" t="s">
        <v>79</v>
      </c>
      <c r="H241" s="141" t="s">
        <v>79</v>
      </c>
      <c r="I241" s="163" t="s">
        <v>72</v>
      </c>
      <c r="J241" s="141" t="s">
        <v>72</v>
      </c>
      <c r="K241" s="141" t="s">
        <v>72</v>
      </c>
      <c r="L241" s="141" t="s">
        <v>72</v>
      </c>
      <c r="M241" s="141" t="s">
        <v>72</v>
      </c>
      <c r="N241" s="141" t="s">
        <v>72</v>
      </c>
      <c r="O241" s="141" t="s">
        <v>72</v>
      </c>
      <c r="P241" s="141" t="s">
        <v>72</v>
      </c>
      <c r="Q241" s="141" t="s">
        <v>72</v>
      </c>
      <c r="R241" s="141" t="s">
        <v>72</v>
      </c>
      <c r="S241" s="141" t="s">
        <v>72</v>
      </c>
      <c r="T241" s="141" t="s">
        <v>72</v>
      </c>
      <c r="U241" s="141" t="s">
        <v>72</v>
      </c>
      <c r="V241" s="141" t="s">
        <v>72</v>
      </c>
      <c r="W241" s="141" t="s">
        <v>72</v>
      </c>
      <c r="X241" s="141" t="s">
        <v>72</v>
      </c>
      <c r="Y241" s="141" t="s">
        <v>72</v>
      </c>
      <c r="Z241" s="141" t="s">
        <v>72</v>
      </c>
      <c r="AA241" s="141" t="s">
        <v>72</v>
      </c>
      <c r="AB241" s="141" t="s">
        <v>72</v>
      </c>
      <c r="AC241" s="141" t="s">
        <v>72</v>
      </c>
      <c r="AD241" s="141" t="s">
        <v>72</v>
      </c>
      <c r="AE241" s="141" t="s">
        <v>72</v>
      </c>
      <c r="AF241" s="6">
        <v>174</v>
      </c>
      <c r="AG241" s="6">
        <v>877</v>
      </c>
      <c r="AH241" s="35">
        <f t="shared" si="78"/>
        <v>180</v>
      </c>
      <c r="AI241" s="6">
        <v>401</v>
      </c>
      <c r="AJ241" s="6"/>
      <c r="AK241" s="35">
        <f t="shared" si="79"/>
        <v>227</v>
      </c>
      <c r="AL241" s="35">
        <v>0</v>
      </c>
      <c r="AM241" s="35">
        <v>403</v>
      </c>
      <c r="AN241" s="35">
        <f t="shared" si="80"/>
        <v>2</v>
      </c>
      <c r="AO241" s="6">
        <v>214</v>
      </c>
      <c r="AP241" s="6"/>
      <c r="AQ241" s="35">
        <f t="shared" si="81"/>
        <v>214</v>
      </c>
      <c r="AR241" s="6">
        <v>453</v>
      </c>
      <c r="AS241" s="6"/>
      <c r="AT241" s="34">
        <f t="shared" si="82"/>
        <v>239</v>
      </c>
      <c r="AU241" s="35">
        <v>94</v>
      </c>
      <c r="AV241" s="35">
        <v>584</v>
      </c>
      <c r="AW241" s="35">
        <f t="shared" si="83"/>
        <v>225</v>
      </c>
      <c r="AX241" s="6"/>
      <c r="AY241" s="6"/>
      <c r="AZ241" s="35"/>
      <c r="BA241" s="6">
        <v>346</v>
      </c>
      <c r="BB241" s="6"/>
      <c r="BC241" s="35">
        <f t="shared" si="84"/>
        <v>252</v>
      </c>
      <c r="BD241" s="35">
        <v>37</v>
      </c>
      <c r="BE241" s="35">
        <v>548</v>
      </c>
      <c r="BF241" s="35">
        <f t="shared" si="85"/>
        <v>239</v>
      </c>
      <c r="BG241" s="35">
        <v>277</v>
      </c>
      <c r="BH241" s="6"/>
      <c r="BI241" s="35">
        <f t="shared" si="86"/>
        <v>240</v>
      </c>
      <c r="BJ241" s="6">
        <v>526</v>
      </c>
      <c r="BK241" s="6"/>
      <c r="BL241" s="35">
        <f t="shared" si="87"/>
        <v>249</v>
      </c>
      <c r="BM241" s="6">
        <v>774</v>
      </c>
      <c r="BN241" s="6"/>
      <c r="BO241" s="6">
        <f t="shared" si="88"/>
        <v>248</v>
      </c>
      <c r="BP241" s="35">
        <v>216</v>
      </c>
      <c r="BQ241" s="35">
        <v>777</v>
      </c>
      <c r="BR241" s="6">
        <f t="shared" si="89"/>
        <v>219</v>
      </c>
      <c r="BS241" s="35"/>
      <c r="BT241" s="35"/>
      <c r="BU241" s="35"/>
      <c r="BV241" s="35">
        <v>216</v>
      </c>
      <c r="BW241" s="35"/>
      <c r="BX241" s="6">
        <f t="shared" si="90"/>
        <v>0</v>
      </c>
      <c r="BY241" s="35">
        <v>216</v>
      </c>
      <c r="BZ241" s="35"/>
      <c r="CA241" s="35">
        <f t="shared" si="91"/>
        <v>0</v>
      </c>
      <c r="CB241" s="35">
        <v>216</v>
      </c>
      <c r="CC241" s="6"/>
      <c r="CD241" s="6">
        <f t="shared" si="92"/>
        <v>0</v>
      </c>
      <c r="CE241" s="6">
        <v>216</v>
      </c>
      <c r="CF241" s="6"/>
      <c r="CG241" s="6">
        <f t="shared" si="93"/>
        <v>0</v>
      </c>
      <c r="CH241" s="6">
        <v>216</v>
      </c>
      <c r="CI241" s="6"/>
      <c r="CJ241" s="6">
        <f t="shared" si="94"/>
        <v>0</v>
      </c>
      <c r="CK241" s="6">
        <v>216</v>
      </c>
      <c r="CL241" s="6"/>
      <c r="CM241" s="6">
        <f t="shared" si="95"/>
        <v>0</v>
      </c>
      <c r="CN241" s="6"/>
      <c r="CO241" s="6"/>
      <c r="CP241" s="6"/>
      <c r="CQ241" s="6">
        <v>216</v>
      </c>
      <c r="CR241" s="6"/>
      <c r="CS241" s="6">
        <f t="shared" si="96"/>
        <v>0</v>
      </c>
      <c r="CT241" s="6">
        <v>216</v>
      </c>
      <c r="CU241" s="6"/>
      <c r="CV241" s="6">
        <f t="shared" si="97"/>
        <v>0</v>
      </c>
      <c r="CW241" s="6">
        <v>216</v>
      </c>
      <c r="CX241" s="6"/>
      <c r="CY241" s="6">
        <f t="shared" si="98"/>
        <v>0</v>
      </c>
      <c r="CZ241" s="6">
        <v>216</v>
      </c>
      <c r="DA241" s="6"/>
      <c r="DB241" s="6">
        <f t="shared" si="99"/>
        <v>0</v>
      </c>
      <c r="DC241" s="6">
        <v>216</v>
      </c>
      <c r="DD241" s="6"/>
      <c r="DE241" s="6">
        <f t="shared" si="100"/>
        <v>0</v>
      </c>
      <c r="DF241" s="6">
        <v>216</v>
      </c>
      <c r="DG241" s="6"/>
      <c r="DH241" s="6">
        <f t="shared" si="101"/>
        <v>0</v>
      </c>
      <c r="DI241" s="6"/>
      <c r="DJ241" s="10"/>
      <c r="DK241" s="6"/>
      <c r="DL241" s="6">
        <v>216</v>
      </c>
      <c r="DM241" s="10"/>
      <c r="DN241" s="6">
        <f t="shared" si="102"/>
        <v>0</v>
      </c>
      <c r="DO241" s="6">
        <v>216</v>
      </c>
      <c r="DP241" s="10"/>
      <c r="DQ241" s="6">
        <f t="shared" si="103"/>
        <v>0</v>
      </c>
    </row>
    <row r="242" spans="1:121">
      <c r="A242" s="151">
        <v>238</v>
      </c>
      <c r="B242" s="6"/>
      <c r="C242" s="10"/>
      <c r="D242" s="6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63" t="s">
        <v>440</v>
      </c>
      <c r="U242" s="141" t="s">
        <v>440</v>
      </c>
      <c r="V242" s="141" t="s">
        <v>440</v>
      </c>
      <c r="W242" s="141" t="s">
        <v>440</v>
      </c>
      <c r="X242" s="332" t="s">
        <v>452</v>
      </c>
      <c r="Y242" s="141" t="s">
        <v>452</v>
      </c>
      <c r="Z242" s="141" t="s">
        <v>452</v>
      </c>
      <c r="AA242" s="141" t="s">
        <v>452</v>
      </c>
      <c r="AB242" s="141" t="s">
        <v>452</v>
      </c>
      <c r="AC242" s="141" t="s">
        <v>452</v>
      </c>
      <c r="AD242" s="141" t="s">
        <v>452</v>
      </c>
      <c r="AE242" s="141"/>
      <c r="AF242" s="6"/>
      <c r="AG242" s="6"/>
      <c r="AH242" s="35"/>
      <c r="AI242" s="6"/>
      <c r="AJ242" s="6"/>
      <c r="AK242" s="35"/>
      <c r="AL242" s="35"/>
      <c r="AM242" s="35"/>
      <c r="AN242" s="35"/>
      <c r="AO242" s="6"/>
      <c r="AP242" s="6"/>
      <c r="AQ242" s="35"/>
      <c r="AR242" s="6"/>
      <c r="AS242" s="6"/>
      <c r="AT242" s="34"/>
      <c r="AU242" s="35"/>
      <c r="AV242" s="35"/>
      <c r="AW242" s="35"/>
      <c r="AX242" s="6"/>
      <c r="AY242" s="6"/>
      <c r="AZ242" s="35"/>
      <c r="BA242" s="6"/>
      <c r="BB242" s="6"/>
      <c r="BC242" s="35"/>
      <c r="BD242" s="35"/>
      <c r="BE242" s="35"/>
      <c r="BF242" s="35"/>
      <c r="BG242" s="35"/>
      <c r="BH242" s="6"/>
      <c r="BI242" s="35"/>
      <c r="BJ242" s="6"/>
      <c r="BK242" s="6"/>
      <c r="BL242" s="35"/>
      <c r="BM242" s="6"/>
      <c r="BN242" s="6"/>
      <c r="BO242" s="6"/>
      <c r="BP242" s="35"/>
      <c r="BQ242" s="35"/>
      <c r="BR242" s="6"/>
      <c r="BS242" s="35"/>
      <c r="BT242" s="35"/>
      <c r="BU242" s="35"/>
      <c r="BV242" s="35"/>
      <c r="BW242" s="35"/>
      <c r="BX242" s="6"/>
      <c r="BY242" s="35"/>
      <c r="BZ242" s="35"/>
      <c r="CA242" s="35"/>
      <c r="CB242" s="35">
        <v>262</v>
      </c>
      <c r="CC242" s="6"/>
      <c r="CD242" s="6">
        <f t="shared" si="92"/>
        <v>262</v>
      </c>
      <c r="CE242" s="6">
        <v>579</v>
      </c>
      <c r="CF242" s="6"/>
      <c r="CG242" s="6">
        <f t="shared" si="93"/>
        <v>317</v>
      </c>
      <c r="CH242" s="6">
        <v>800</v>
      </c>
      <c r="CI242" s="6"/>
      <c r="CJ242" s="6">
        <f t="shared" si="94"/>
        <v>221</v>
      </c>
      <c r="CK242" s="6">
        <v>166</v>
      </c>
      <c r="CL242" s="6">
        <v>800</v>
      </c>
      <c r="CM242" s="6">
        <f t="shared" si="95"/>
        <v>166</v>
      </c>
      <c r="CN242" s="6"/>
      <c r="CO242" s="6"/>
      <c r="CP242" s="6"/>
      <c r="CQ242" s="6">
        <v>528</v>
      </c>
      <c r="CR242" s="6"/>
      <c r="CS242" s="6">
        <f t="shared" si="96"/>
        <v>362</v>
      </c>
      <c r="CT242" s="6">
        <v>334</v>
      </c>
      <c r="CU242" s="6">
        <v>550</v>
      </c>
      <c r="CV242" s="6">
        <f t="shared" si="97"/>
        <v>356</v>
      </c>
      <c r="CW242" s="6">
        <v>2</v>
      </c>
      <c r="CX242" s="6">
        <v>684</v>
      </c>
      <c r="CY242" s="6">
        <f t="shared" si="98"/>
        <v>352</v>
      </c>
      <c r="CZ242" s="6">
        <v>296</v>
      </c>
      <c r="DA242" s="6"/>
      <c r="DB242" s="6">
        <f t="shared" si="99"/>
        <v>294</v>
      </c>
      <c r="DC242" s="6">
        <v>598</v>
      </c>
      <c r="DD242" s="6"/>
      <c r="DE242" s="6">
        <f t="shared" si="100"/>
        <v>302</v>
      </c>
      <c r="DF242" s="6">
        <v>809</v>
      </c>
      <c r="DG242" s="6"/>
      <c r="DH242" s="6">
        <f t="shared" si="101"/>
        <v>211</v>
      </c>
      <c r="DI242" s="6"/>
      <c r="DJ242" s="10"/>
      <c r="DK242" s="6"/>
      <c r="DL242" s="6">
        <v>0</v>
      </c>
      <c r="DM242" s="10">
        <v>895</v>
      </c>
      <c r="DN242" s="6">
        <f t="shared" si="102"/>
        <v>86</v>
      </c>
      <c r="DO242" s="6"/>
      <c r="DP242" s="10"/>
      <c r="DQ242" s="6"/>
    </row>
    <row r="243" spans="1:121">
      <c r="A243" s="151">
        <v>239</v>
      </c>
      <c r="B243" s="6">
        <v>705</v>
      </c>
      <c r="C243" s="10"/>
      <c r="D243" s="6">
        <v>230</v>
      </c>
      <c r="E243" s="141" t="s">
        <v>79</v>
      </c>
      <c r="F243" s="141" t="s">
        <v>79</v>
      </c>
      <c r="G243" s="141" t="s">
        <v>79</v>
      </c>
      <c r="H243" s="163" t="s">
        <v>72</v>
      </c>
      <c r="I243" s="141" t="s">
        <v>72</v>
      </c>
      <c r="J243" s="141" t="s">
        <v>72</v>
      </c>
      <c r="K243" s="141" t="s">
        <v>72</v>
      </c>
      <c r="L243" s="141" t="s">
        <v>72</v>
      </c>
      <c r="M243" s="141" t="s">
        <v>72</v>
      </c>
      <c r="N243" s="141" t="s">
        <v>72</v>
      </c>
      <c r="O243" s="141" t="s">
        <v>72</v>
      </c>
      <c r="P243" s="141" t="s">
        <v>72</v>
      </c>
      <c r="Q243" s="141" t="s">
        <v>72</v>
      </c>
      <c r="R243" s="141" t="s">
        <v>72</v>
      </c>
      <c r="S243" s="141" t="s">
        <v>72</v>
      </c>
      <c r="T243" s="141" t="s">
        <v>72</v>
      </c>
      <c r="U243" s="141" t="s">
        <v>72</v>
      </c>
      <c r="V243" s="141" t="s">
        <v>72</v>
      </c>
      <c r="W243" s="141" t="s">
        <v>72</v>
      </c>
      <c r="X243" s="141" t="s">
        <v>72</v>
      </c>
      <c r="Y243" s="141" t="s">
        <v>72</v>
      </c>
      <c r="Z243" s="141" t="s">
        <v>72</v>
      </c>
      <c r="AA243" s="141" t="s">
        <v>72</v>
      </c>
      <c r="AB243" s="141" t="s">
        <v>72</v>
      </c>
      <c r="AC243" s="141" t="s">
        <v>72</v>
      </c>
      <c r="AD243" s="141" t="s">
        <v>72</v>
      </c>
      <c r="AE243" s="141" t="s">
        <v>72</v>
      </c>
      <c r="AF243" s="6">
        <v>0</v>
      </c>
      <c r="AG243" s="6">
        <v>768</v>
      </c>
      <c r="AH243" s="35">
        <f t="shared" si="78"/>
        <v>63</v>
      </c>
      <c r="AI243" s="6"/>
      <c r="AJ243" s="6"/>
      <c r="AK243" s="35"/>
      <c r="AL243" s="35">
        <v>208</v>
      </c>
      <c r="AM243" s="35"/>
      <c r="AN243" s="35">
        <f t="shared" si="80"/>
        <v>208</v>
      </c>
      <c r="AO243" s="6">
        <v>472</v>
      </c>
      <c r="AP243" s="6"/>
      <c r="AQ243" s="35">
        <f t="shared" si="81"/>
        <v>264</v>
      </c>
      <c r="AR243" s="6">
        <v>730</v>
      </c>
      <c r="AS243" s="6"/>
      <c r="AT243" s="34">
        <f t="shared" si="82"/>
        <v>258</v>
      </c>
      <c r="AU243" s="35">
        <v>981</v>
      </c>
      <c r="AV243" s="35"/>
      <c r="AW243" s="35">
        <f t="shared" si="83"/>
        <v>251</v>
      </c>
      <c r="AX243" s="6"/>
      <c r="AY243" s="6"/>
      <c r="AZ243" s="35"/>
      <c r="BA243" s="6">
        <v>129</v>
      </c>
      <c r="BB243" s="6">
        <v>1100</v>
      </c>
      <c r="BC243" s="35">
        <f t="shared" si="84"/>
        <v>248</v>
      </c>
      <c r="BD243" s="35">
        <v>384</v>
      </c>
      <c r="BE243" s="35"/>
      <c r="BF243" s="35">
        <f t="shared" si="85"/>
        <v>255</v>
      </c>
      <c r="BG243" s="35">
        <v>647</v>
      </c>
      <c r="BH243" s="6"/>
      <c r="BI243" s="35">
        <f t="shared" si="86"/>
        <v>263</v>
      </c>
      <c r="BJ243" s="6">
        <v>908</v>
      </c>
      <c r="BK243" s="6"/>
      <c r="BL243" s="35">
        <f t="shared" si="87"/>
        <v>261</v>
      </c>
      <c r="BM243" s="6">
        <v>70</v>
      </c>
      <c r="BN243" s="6">
        <v>1100</v>
      </c>
      <c r="BO243" s="6">
        <f t="shared" si="88"/>
        <v>262</v>
      </c>
      <c r="BP243" s="35">
        <v>301</v>
      </c>
      <c r="BQ243" s="35"/>
      <c r="BR243" s="6">
        <f t="shared" si="89"/>
        <v>231</v>
      </c>
      <c r="BS243" s="35"/>
      <c r="BT243" s="35"/>
      <c r="BU243" s="35"/>
      <c r="BV243" s="35">
        <v>301</v>
      </c>
      <c r="BW243" s="35"/>
      <c r="BX243" s="6">
        <f t="shared" si="90"/>
        <v>0</v>
      </c>
      <c r="BY243" s="6">
        <v>301</v>
      </c>
      <c r="BZ243" s="35"/>
      <c r="CA243" s="35">
        <f t="shared" si="91"/>
        <v>0</v>
      </c>
      <c r="CB243" s="35">
        <v>301</v>
      </c>
      <c r="CC243" s="6"/>
      <c r="CD243" s="6">
        <f t="shared" si="92"/>
        <v>0</v>
      </c>
      <c r="CE243" s="6">
        <v>301</v>
      </c>
      <c r="CF243" s="6"/>
      <c r="CG243" s="6">
        <f t="shared" si="93"/>
        <v>0</v>
      </c>
      <c r="CH243" s="6">
        <v>301</v>
      </c>
      <c r="CI243" s="6"/>
      <c r="CJ243" s="6">
        <f t="shared" si="94"/>
        <v>0</v>
      </c>
      <c r="CK243" s="6">
        <v>301</v>
      </c>
      <c r="CL243" s="6"/>
      <c r="CM243" s="6">
        <f t="shared" si="95"/>
        <v>0</v>
      </c>
      <c r="CN243" s="6"/>
      <c r="CO243" s="6"/>
      <c r="CP243" s="6"/>
      <c r="CQ243" s="6">
        <v>301</v>
      </c>
      <c r="CR243" s="6"/>
      <c r="CS243" s="6">
        <f t="shared" si="96"/>
        <v>0</v>
      </c>
      <c r="CT243" s="6">
        <v>301</v>
      </c>
      <c r="CU243" s="6"/>
      <c r="CV243" s="6">
        <f t="shared" si="97"/>
        <v>0</v>
      </c>
      <c r="CW243" s="6">
        <v>301</v>
      </c>
      <c r="CX243" s="6"/>
      <c r="CY243" s="6">
        <f t="shared" si="98"/>
        <v>0</v>
      </c>
      <c r="CZ243" s="6">
        <v>301</v>
      </c>
      <c r="DA243" s="6"/>
      <c r="DB243" s="6">
        <f t="shared" si="99"/>
        <v>0</v>
      </c>
      <c r="DC243" s="6">
        <v>301</v>
      </c>
      <c r="DD243" s="6"/>
      <c r="DE243" s="6">
        <f t="shared" si="100"/>
        <v>0</v>
      </c>
      <c r="DF243" s="6">
        <v>301</v>
      </c>
      <c r="DG243" s="6"/>
      <c r="DH243" s="6">
        <f t="shared" si="101"/>
        <v>0</v>
      </c>
      <c r="DI243" s="6"/>
      <c r="DJ243" s="10"/>
      <c r="DK243" s="6"/>
      <c r="DL243" s="6">
        <v>301</v>
      </c>
      <c r="DM243" s="10"/>
      <c r="DN243" s="6">
        <f t="shared" si="102"/>
        <v>0</v>
      </c>
      <c r="DO243" s="6">
        <v>301</v>
      </c>
      <c r="DP243" s="10"/>
      <c r="DQ243" s="6">
        <f t="shared" si="103"/>
        <v>0</v>
      </c>
    </row>
    <row r="244" spans="1:121">
      <c r="A244" s="151">
        <v>240</v>
      </c>
      <c r="B244" s="6"/>
      <c r="C244" s="10"/>
      <c r="D244" s="6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63" t="s">
        <v>434</v>
      </c>
      <c r="T244" s="141" t="s">
        <v>434</v>
      </c>
      <c r="U244" s="141" t="s">
        <v>434</v>
      </c>
      <c r="V244" s="141" t="s">
        <v>434</v>
      </c>
      <c r="W244" s="141" t="s">
        <v>434</v>
      </c>
      <c r="X244" s="332" t="s">
        <v>451</v>
      </c>
      <c r="Y244" s="141" t="s">
        <v>451</v>
      </c>
      <c r="Z244" s="141" t="s">
        <v>451</v>
      </c>
      <c r="AA244" s="141" t="s">
        <v>451</v>
      </c>
      <c r="AB244" s="141" t="s">
        <v>451</v>
      </c>
      <c r="AC244" s="141" t="s">
        <v>451</v>
      </c>
      <c r="AD244" s="141" t="s">
        <v>451</v>
      </c>
      <c r="AE244" s="141" t="s">
        <v>451</v>
      </c>
      <c r="AF244" s="6"/>
      <c r="AG244" s="6"/>
      <c r="AH244" s="35"/>
      <c r="AI244" s="6"/>
      <c r="AJ244" s="6"/>
      <c r="AK244" s="35"/>
      <c r="AL244" s="35"/>
      <c r="AM244" s="35"/>
      <c r="AN244" s="35"/>
      <c r="AO244" s="6"/>
      <c r="AP244" s="6"/>
      <c r="AQ244" s="35"/>
      <c r="AR244" s="6"/>
      <c r="AS244" s="6"/>
      <c r="AT244" s="34"/>
      <c r="AU244" s="35"/>
      <c r="AV244" s="35"/>
      <c r="AW244" s="35"/>
      <c r="AX244" s="6"/>
      <c r="AY244" s="6"/>
      <c r="AZ244" s="35"/>
      <c r="BA244" s="6"/>
      <c r="BB244" s="6"/>
      <c r="BC244" s="35"/>
      <c r="BD244" s="35"/>
      <c r="BE244" s="35"/>
      <c r="BF244" s="35"/>
      <c r="BG244" s="35"/>
      <c r="BH244" s="6"/>
      <c r="BI244" s="35"/>
      <c r="BJ244" s="6"/>
      <c r="BK244" s="6"/>
      <c r="BL244" s="35"/>
      <c r="BM244" s="6"/>
      <c r="BN244" s="6"/>
      <c r="BO244" s="6"/>
      <c r="BP244" s="35"/>
      <c r="BQ244" s="35"/>
      <c r="BR244" s="6"/>
      <c r="BS244" s="35"/>
      <c r="BT244" s="35"/>
      <c r="BU244" s="35"/>
      <c r="BV244" s="35"/>
      <c r="BW244" s="35"/>
      <c r="BX244" s="6"/>
      <c r="BY244" s="6">
        <v>0</v>
      </c>
      <c r="BZ244" s="35"/>
      <c r="CA244" s="35">
        <f t="shared" si="91"/>
        <v>0</v>
      </c>
      <c r="CB244" s="35">
        <v>226</v>
      </c>
      <c r="CC244" s="6"/>
      <c r="CD244" s="6">
        <f t="shared" si="92"/>
        <v>226</v>
      </c>
      <c r="CE244" s="6">
        <v>494</v>
      </c>
      <c r="CF244" s="6"/>
      <c r="CG244" s="6">
        <f t="shared" si="93"/>
        <v>268</v>
      </c>
      <c r="CH244" s="6">
        <v>761</v>
      </c>
      <c r="CI244" s="6"/>
      <c r="CJ244" s="6">
        <f t="shared" si="94"/>
        <v>267</v>
      </c>
      <c r="CK244" s="6">
        <v>0</v>
      </c>
      <c r="CL244" s="6">
        <v>800</v>
      </c>
      <c r="CM244" s="6">
        <f t="shared" si="95"/>
        <v>39</v>
      </c>
      <c r="CN244" s="6"/>
      <c r="CO244" s="6"/>
      <c r="CP244" s="6"/>
      <c r="CQ244" s="6">
        <v>283</v>
      </c>
      <c r="CR244" s="6"/>
      <c r="CS244" s="6">
        <f t="shared" si="96"/>
        <v>283</v>
      </c>
      <c r="CT244" s="6">
        <v>1</v>
      </c>
      <c r="CU244" s="6">
        <v>606</v>
      </c>
      <c r="CV244" s="6">
        <f t="shared" si="97"/>
        <v>324</v>
      </c>
      <c r="CW244" s="6">
        <v>326</v>
      </c>
      <c r="CX244" s="6"/>
      <c r="CY244" s="6">
        <f t="shared" si="98"/>
        <v>325</v>
      </c>
      <c r="CZ244" s="6">
        <v>645</v>
      </c>
      <c r="DA244" s="6"/>
      <c r="DB244" s="6">
        <f t="shared" si="99"/>
        <v>319</v>
      </c>
      <c r="DC244" s="6">
        <v>800</v>
      </c>
      <c r="DD244" s="6"/>
      <c r="DE244" s="6">
        <f t="shared" si="100"/>
        <v>155</v>
      </c>
      <c r="DF244" s="6">
        <v>800</v>
      </c>
      <c r="DG244" s="6"/>
      <c r="DH244" s="6">
        <f t="shared" si="101"/>
        <v>0</v>
      </c>
      <c r="DI244" s="6"/>
      <c r="DJ244" s="10"/>
      <c r="DK244" s="6"/>
      <c r="DL244" s="6">
        <v>0</v>
      </c>
      <c r="DM244" s="10">
        <v>800</v>
      </c>
      <c r="DN244" s="6">
        <f t="shared" si="102"/>
        <v>0</v>
      </c>
      <c r="DO244" s="6">
        <v>0</v>
      </c>
      <c r="DP244" s="10"/>
      <c r="DQ244" s="6">
        <f t="shared" si="103"/>
        <v>0</v>
      </c>
    </row>
    <row r="245" spans="1:121">
      <c r="A245" s="151">
        <v>241</v>
      </c>
      <c r="B245" s="6">
        <v>392</v>
      </c>
      <c r="C245" s="10"/>
      <c r="D245" s="6">
        <v>234</v>
      </c>
      <c r="E245" s="141" t="s">
        <v>79</v>
      </c>
      <c r="F245" s="141" t="s">
        <v>79</v>
      </c>
      <c r="G245" s="141" t="s">
        <v>79</v>
      </c>
      <c r="H245" s="163" t="s">
        <v>72</v>
      </c>
      <c r="I245" s="141" t="s">
        <v>72</v>
      </c>
      <c r="J245" s="141" t="s">
        <v>72</v>
      </c>
      <c r="K245" s="141" t="s">
        <v>72</v>
      </c>
      <c r="L245" s="141" t="s">
        <v>72</v>
      </c>
      <c r="M245" s="141" t="s">
        <v>72</v>
      </c>
      <c r="N245" s="141" t="s">
        <v>72</v>
      </c>
      <c r="O245" s="141" t="s">
        <v>72</v>
      </c>
      <c r="P245" s="141" t="s">
        <v>72</v>
      </c>
      <c r="Q245" s="141" t="s">
        <v>72</v>
      </c>
      <c r="R245" s="141" t="s">
        <v>72</v>
      </c>
      <c r="S245" s="141" t="s">
        <v>72</v>
      </c>
      <c r="T245" s="141" t="s">
        <v>72</v>
      </c>
      <c r="U245" s="141" t="s">
        <v>72</v>
      </c>
      <c r="V245" s="141" t="s">
        <v>72</v>
      </c>
      <c r="W245" s="141" t="s">
        <v>72</v>
      </c>
      <c r="X245" s="141" t="s">
        <v>72</v>
      </c>
      <c r="Y245" s="141" t="s">
        <v>72</v>
      </c>
      <c r="Z245" s="141" t="s">
        <v>72</v>
      </c>
      <c r="AA245" s="141" t="s">
        <v>72</v>
      </c>
      <c r="AB245" s="141" t="s">
        <v>72</v>
      </c>
      <c r="AC245" s="141" t="s">
        <v>72</v>
      </c>
      <c r="AD245" s="141" t="s">
        <v>72</v>
      </c>
      <c r="AE245" s="141" t="s">
        <v>72</v>
      </c>
      <c r="AF245" s="6">
        <v>0</v>
      </c>
      <c r="AG245" s="6">
        <v>538</v>
      </c>
      <c r="AH245" s="35">
        <f t="shared" si="78"/>
        <v>146</v>
      </c>
      <c r="AI245" s="6"/>
      <c r="AJ245" s="6"/>
      <c r="AK245" s="35"/>
      <c r="AL245" s="35">
        <v>199</v>
      </c>
      <c r="AM245" s="35"/>
      <c r="AN245" s="35">
        <f t="shared" si="80"/>
        <v>199</v>
      </c>
      <c r="AO245" s="6">
        <v>444</v>
      </c>
      <c r="AP245" s="6"/>
      <c r="AQ245" s="35">
        <f t="shared" si="81"/>
        <v>245</v>
      </c>
      <c r="AR245" s="6">
        <v>699</v>
      </c>
      <c r="AS245" s="6"/>
      <c r="AT245" s="34">
        <f t="shared" si="82"/>
        <v>255</v>
      </c>
      <c r="AU245" s="35">
        <v>936</v>
      </c>
      <c r="AV245" s="35"/>
      <c r="AW245" s="35">
        <f t="shared" si="83"/>
        <v>237</v>
      </c>
      <c r="AX245" s="6"/>
      <c r="AY245" s="6"/>
      <c r="AZ245" s="35"/>
      <c r="BA245" s="6">
        <v>91</v>
      </c>
      <c r="BB245" s="6">
        <v>1100</v>
      </c>
      <c r="BC245" s="35">
        <f t="shared" si="84"/>
        <v>255</v>
      </c>
      <c r="BD245" s="35">
        <v>347</v>
      </c>
      <c r="BE245" s="35"/>
      <c r="BF245" s="35">
        <f t="shared" si="85"/>
        <v>256</v>
      </c>
      <c r="BG245" s="35">
        <v>226</v>
      </c>
      <c r="BH245" s="6">
        <v>374</v>
      </c>
      <c r="BI245" s="35">
        <f t="shared" si="86"/>
        <v>253</v>
      </c>
      <c r="BJ245" s="6">
        <v>486</v>
      </c>
      <c r="BK245" s="6"/>
      <c r="BL245" s="35">
        <f t="shared" si="87"/>
        <v>260</v>
      </c>
      <c r="BM245" s="6">
        <v>738</v>
      </c>
      <c r="BN245" s="6"/>
      <c r="BO245" s="6">
        <f t="shared" si="88"/>
        <v>252</v>
      </c>
      <c r="BP245" s="35">
        <v>966</v>
      </c>
      <c r="BQ245" s="35"/>
      <c r="BR245" s="6">
        <f t="shared" si="89"/>
        <v>228</v>
      </c>
      <c r="BS245" s="35"/>
      <c r="BT245" s="35"/>
      <c r="BU245" s="35"/>
      <c r="BV245" s="35">
        <v>966</v>
      </c>
      <c r="BW245" s="35"/>
      <c r="BX245" s="6">
        <f t="shared" si="90"/>
        <v>0</v>
      </c>
      <c r="BY245" s="6">
        <v>966</v>
      </c>
      <c r="BZ245" s="35"/>
      <c r="CA245" s="35">
        <f t="shared" si="91"/>
        <v>0</v>
      </c>
      <c r="CB245" s="35">
        <v>966</v>
      </c>
      <c r="CC245" s="6"/>
      <c r="CD245" s="6">
        <f t="shared" si="92"/>
        <v>0</v>
      </c>
      <c r="CE245" s="6">
        <v>966</v>
      </c>
      <c r="CF245" s="6"/>
      <c r="CG245" s="6">
        <f t="shared" si="93"/>
        <v>0</v>
      </c>
      <c r="CH245" s="6">
        <v>966</v>
      </c>
      <c r="CI245" s="6"/>
      <c r="CJ245" s="6">
        <f t="shared" si="94"/>
        <v>0</v>
      </c>
      <c r="CK245" s="6">
        <v>966</v>
      </c>
      <c r="CL245" s="6"/>
      <c r="CM245" s="6">
        <f t="shared" si="95"/>
        <v>0</v>
      </c>
      <c r="CN245" s="6"/>
      <c r="CO245" s="6"/>
      <c r="CP245" s="6"/>
      <c r="CQ245" s="6">
        <v>966</v>
      </c>
      <c r="CR245" s="6"/>
      <c r="CS245" s="6">
        <f t="shared" si="96"/>
        <v>0</v>
      </c>
      <c r="CT245" s="6">
        <v>966</v>
      </c>
      <c r="CU245" s="6"/>
      <c r="CV245" s="6">
        <f t="shared" si="97"/>
        <v>0</v>
      </c>
      <c r="CW245" s="6">
        <v>966</v>
      </c>
      <c r="CX245" s="6"/>
      <c r="CY245" s="6">
        <f t="shared" si="98"/>
        <v>0</v>
      </c>
      <c r="CZ245" s="6">
        <v>966</v>
      </c>
      <c r="DA245" s="6"/>
      <c r="DB245" s="6">
        <f t="shared" si="99"/>
        <v>0</v>
      </c>
      <c r="DC245" s="6">
        <v>966</v>
      </c>
      <c r="DD245" s="6"/>
      <c r="DE245" s="6">
        <f t="shared" si="100"/>
        <v>0</v>
      </c>
      <c r="DF245" s="6">
        <v>966</v>
      </c>
      <c r="DG245" s="6"/>
      <c r="DH245" s="6">
        <f t="shared" si="101"/>
        <v>0</v>
      </c>
      <c r="DI245" s="6"/>
      <c r="DJ245" s="10"/>
      <c r="DK245" s="6"/>
      <c r="DL245" s="6">
        <v>966</v>
      </c>
      <c r="DM245" s="10"/>
      <c r="DN245" s="6">
        <f t="shared" si="102"/>
        <v>0</v>
      </c>
      <c r="DO245" s="6">
        <v>966</v>
      </c>
      <c r="DP245" s="10"/>
      <c r="DQ245" s="6">
        <f t="shared" si="103"/>
        <v>0</v>
      </c>
    </row>
    <row r="246" spans="1:121">
      <c r="A246" s="151">
        <v>242</v>
      </c>
      <c r="B246" s="6">
        <v>728</v>
      </c>
      <c r="C246" s="10"/>
      <c r="D246" s="6">
        <v>246</v>
      </c>
      <c r="E246" s="141" t="s">
        <v>371</v>
      </c>
      <c r="F246" s="141" t="s">
        <v>371</v>
      </c>
      <c r="G246" s="163" t="s">
        <v>372</v>
      </c>
      <c r="H246" s="141" t="s">
        <v>372</v>
      </c>
      <c r="I246" s="141" t="s">
        <v>372</v>
      </c>
      <c r="J246" s="141" t="s">
        <v>372</v>
      </c>
      <c r="K246" s="141" t="s">
        <v>372</v>
      </c>
      <c r="L246" s="141" t="s">
        <v>372</v>
      </c>
      <c r="M246" s="141" t="s">
        <v>372</v>
      </c>
      <c r="N246" s="141" t="s">
        <v>372</v>
      </c>
      <c r="O246" s="141" t="s">
        <v>372</v>
      </c>
      <c r="P246" s="141" t="s">
        <v>372</v>
      </c>
      <c r="Q246" s="141" t="s">
        <v>372</v>
      </c>
      <c r="R246" s="141" t="s">
        <v>372</v>
      </c>
      <c r="S246" s="141" t="s">
        <v>372</v>
      </c>
      <c r="T246" s="141" t="s">
        <v>372</v>
      </c>
      <c r="U246" s="141" t="s">
        <v>372</v>
      </c>
      <c r="V246" s="141" t="s">
        <v>372</v>
      </c>
      <c r="W246" s="141" t="s">
        <v>372</v>
      </c>
      <c r="X246" s="141" t="s">
        <v>372</v>
      </c>
      <c r="Y246" s="141" t="s">
        <v>372</v>
      </c>
      <c r="Z246" s="141" t="s">
        <v>372</v>
      </c>
      <c r="AA246" s="141" t="s">
        <v>372</v>
      </c>
      <c r="AB246" s="141" t="s">
        <v>372</v>
      </c>
      <c r="AC246" s="141" t="s">
        <v>372</v>
      </c>
      <c r="AD246" s="141" t="s">
        <v>372</v>
      </c>
      <c r="AE246" s="141" t="s">
        <v>372</v>
      </c>
      <c r="AF246" s="6">
        <v>0</v>
      </c>
      <c r="AG246" s="6">
        <v>949</v>
      </c>
      <c r="AH246" s="35">
        <f t="shared" si="78"/>
        <v>221</v>
      </c>
      <c r="AI246" s="6">
        <v>243</v>
      </c>
      <c r="AJ246" s="6"/>
      <c r="AK246" s="35">
        <f t="shared" si="79"/>
        <v>243</v>
      </c>
      <c r="AL246" s="35">
        <v>528</v>
      </c>
      <c r="AM246" s="35"/>
      <c r="AN246" s="35">
        <f t="shared" si="80"/>
        <v>285</v>
      </c>
      <c r="AO246" s="6">
        <v>804</v>
      </c>
      <c r="AP246" s="6"/>
      <c r="AQ246" s="35">
        <f t="shared" si="81"/>
        <v>276</v>
      </c>
      <c r="AR246" s="6">
        <v>1082</v>
      </c>
      <c r="AS246" s="6"/>
      <c r="AT246" s="34">
        <f t="shared" si="82"/>
        <v>278</v>
      </c>
      <c r="AU246" s="35">
        <v>252</v>
      </c>
      <c r="AV246" s="35">
        <v>1100</v>
      </c>
      <c r="AW246" s="35">
        <f t="shared" si="83"/>
        <v>270</v>
      </c>
      <c r="AX246" s="6"/>
      <c r="AY246" s="6"/>
      <c r="AZ246" s="35"/>
      <c r="BA246" s="6">
        <v>537</v>
      </c>
      <c r="BB246" s="6"/>
      <c r="BC246" s="35">
        <f t="shared" si="84"/>
        <v>285</v>
      </c>
      <c r="BD246" s="35">
        <v>818</v>
      </c>
      <c r="BE246" s="35"/>
      <c r="BF246" s="35">
        <f t="shared" si="85"/>
        <v>281</v>
      </c>
      <c r="BG246" s="35">
        <v>1098</v>
      </c>
      <c r="BH246" s="6"/>
      <c r="BI246" s="35">
        <f t="shared" si="86"/>
        <v>280</v>
      </c>
      <c r="BJ246" s="6">
        <v>280</v>
      </c>
      <c r="BK246" s="6">
        <v>1100</v>
      </c>
      <c r="BL246" s="35">
        <f t="shared" si="87"/>
        <v>282</v>
      </c>
      <c r="BM246" s="6">
        <v>561</v>
      </c>
      <c r="BN246" s="6"/>
      <c r="BO246" s="6">
        <f t="shared" si="88"/>
        <v>281</v>
      </c>
      <c r="BP246" s="35">
        <v>809</v>
      </c>
      <c r="BQ246" s="35"/>
      <c r="BR246" s="6">
        <f t="shared" si="89"/>
        <v>248</v>
      </c>
      <c r="BS246" s="35"/>
      <c r="BT246" s="35"/>
      <c r="BU246" s="35"/>
      <c r="BV246" s="35">
        <v>809</v>
      </c>
      <c r="BW246" s="35"/>
      <c r="BX246" s="6">
        <f t="shared" si="90"/>
        <v>0</v>
      </c>
      <c r="BY246" s="6">
        <v>809</v>
      </c>
      <c r="BZ246" s="35"/>
      <c r="CA246" s="35">
        <f t="shared" si="91"/>
        <v>0</v>
      </c>
      <c r="CB246" s="35">
        <v>809</v>
      </c>
      <c r="CC246" s="6"/>
      <c r="CD246" s="6">
        <f t="shared" si="92"/>
        <v>0</v>
      </c>
      <c r="CE246" s="6">
        <v>809</v>
      </c>
      <c r="CF246" s="6"/>
      <c r="CG246" s="6">
        <f t="shared" si="93"/>
        <v>0</v>
      </c>
      <c r="CH246" s="6">
        <v>809</v>
      </c>
      <c r="CI246" s="6"/>
      <c r="CJ246" s="6">
        <f t="shared" si="94"/>
        <v>0</v>
      </c>
      <c r="CK246" s="6">
        <v>809</v>
      </c>
      <c r="CL246" s="6"/>
      <c r="CM246" s="6">
        <f t="shared" si="95"/>
        <v>0</v>
      </c>
      <c r="CN246" s="6"/>
      <c r="CO246" s="6"/>
      <c r="CP246" s="6"/>
      <c r="CQ246" s="6">
        <v>809</v>
      </c>
      <c r="CR246" s="6"/>
      <c r="CS246" s="6">
        <f t="shared" si="96"/>
        <v>0</v>
      </c>
      <c r="CT246" s="6">
        <v>809</v>
      </c>
      <c r="CU246" s="6"/>
      <c r="CV246" s="6">
        <f t="shared" si="97"/>
        <v>0</v>
      </c>
      <c r="CW246" s="6">
        <v>809</v>
      </c>
      <c r="CX246" s="6"/>
      <c r="CY246" s="6">
        <f t="shared" si="98"/>
        <v>0</v>
      </c>
      <c r="CZ246" s="6">
        <v>809</v>
      </c>
      <c r="DA246" s="6"/>
      <c r="DB246" s="6">
        <f t="shared" si="99"/>
        <v>0</v>
      </c>
      <c r="DC246" s="6">
        <v>809</v>
      </c>
      <c r="DD246" s="6"/>
      <c r="DE246" s="6">
        <f t="shared" si="100"/>
        <v>0</v>
      </c>
      <c r="DF246" s="6">
        <v>809</v>
      </c>
      <c r="DG246" s="6"/>
      <c r="DH246" s="6">
        <f t="shared" si="101"/>
        <v>0</v>
      </c>
      <c r="DI246" s="6"/>
      <c r="DJ246" s="10"/>
      <c r="DK246" s="6"/>
      <c r="DL246" s="6">
        <v>809</v>
      </c>
      <c r="DM246" s="10"/>
      <c r="DN246" s="6">
        <f t="shared" si="102"/>
        <v>0</v>
      </c>
      <c r="DO246" s="6">
        <v>809</v>
      </c>
      <c r="DP246" s="10"/>
      <c r="DQ246" s="6">
        <f t="shared" si="103"/>
        <v>0</v>
      </c>
    </row>
    <row r="247" spans="1:121">
      <c r="A247" s="151">
        <v>243</v>
      </c>
      <c r="B247" s="6">
        <v>978</v>
      </c>
      <c r="C247" s="10"/>
      <c r="D247" s="6">
        <v>195</v>
      </c>
      <c r="E247" s="141" t="s">
        <v>79</v>
      </c>
      <c r="F247" s="141" t="s">
        <v>79</v>
      </c>
      <c r="G247" s="141" t="s">
        <v>79</v>
      </c>
      <c r="H247" s="163" t="s">
        <v>72</v>
      </c>
      <c r="I247" s="141" t="s">
        <v>72</v>
      </c>
      <c r="J247" s="141" t="s">
        <v>72</v>
      </c>
      <c r="K247" s="141" t="s">
        <v>72</v>
      </c>
      <c r="L247" s="141" t="s">
        <v>72</v>
      </c>
      <c r="M247" s="141" t="s">
        <v>72</v>
      </c>
      <c r="N247" s="141" t="s">
        <v>72</v>
      </c>
      <c r="O247" s="141" t="s">
        <v>72</v>
      </c>
      <c r="P247" s="141" t="s">
        <v>72</v>
      </c>
      <c r="Q247" s="141" t="s">
        <v>72</v>
      </c>
      <c r="R247" s="141" t="s">
        <v>72</v>
      </c>
      <c r="S247" s="141" t="s">
        <v>72</v>
      </c>
      <c r="T247" s="141" t="s">
        <v>72</v>
      </c>
      <c r="U247" s="141" t="s">
        <v>72</v>
      </c>
      <c r="V247" s="141" t="s">
        <v>72</v>
      </c>
      <c r="W247" s="141" t="s">
        <v>72</v>
      </c>
      <c r="X247" s="141" t="s">
        <v>72</v>
      </c>
      <c r="Y247" s="141" t="s">
        <v>72</v>
      </c>
      <c r="Z247" s="141" t="s">
        <v>72</v>
      </c>
      <c r="AA247" s="141" t="s">
        <v>72</v>
      </c>
      <c r="AB247" s="141" t="s">
        <v>72</v>
      </c>
      <c r="AC247" s="141" t="s">
        <v>72</v>
      </c>
      <c r="AD247" s="141" t="s">
        <v>72</v>
      </c>
      <c r="AE247" s="141" t="s">
        <v>72</v>
      </c>
      <c r="AF247" s="6">
        <v>137</v>
      </c>
      <c r="AG247" s="6">
        <v>1079</v>
      </c>
      <c r="AH247" s="35">
        <f t="shared" si="78"/>
        <v>238</v>
      </c>
      <c r="AI247" s="6">
        <v>0</v>
      </c>
      <c r="AJ247" s="6">
        <v>312</v>
      </c>
      <c r="AK247" s="35">
        <f t="shared" si="79"/>
        <v>175</v>
      </c>
      <c r="AL247" s="35">
        <v>187</v>
      </c>
      <c r="AM247" s="35"/>
      <c r="AN247" s="35">
        <f t="shared" si="80"/>
        <v>187</v>
      </c>
      <c r="AO247" s="6">
        <v>426</v>
      </c>
      <c r="AP247" s="6"/>
      <c r="AQ247" s="35">
        <f t="shared" si="81"/>
        <v>239</v>
      </c>
      <c r="AR247" s="6">
        <v>666</v>
      </c>
      <c r="AS247" s="6"/>
      <c r="AT247" s="34">
        <f t="shared" si="82"/>
        <v>240</v>
      </c>
      <c r="AU247" s="35">
        <v>897</v>
      </c>
      <c r="AV247" s="35"/>
      <c r="AW247" s="35">
        <f t="shared" si="83"/>
        <v>231</v>
      </c>
      <c r="AX247" s="6"/>
      <c r="AY247" s="6"/>
      <c r="AZ247" s="35"/>
      <c r="BA247" s="6">
        <v>118</v>
      </c>
      <c r="BB247" s="6">
        <v>1034</v>
      </c>
      <c r="BC247" s="35">
        <f t="shared" si="84"/>
        <v>255</v>
      </c>
      <c r="BD247" s="35">
        <v>375</v>
      </c>
      <c r="BE247" s="35"/>
      <c r="BF247" s="35">
        <f t="shared" si="85"/>
        <v>257</v>
      </c>
      <c r="BG247" s="35">
        <v>634</v>
      </c>
      <c r="BH247" s="6"/>
      <c r="BI247" s="35">
        <f t="shared" si="86"/>
        <v>259</v>
      </c>
      <c r="BJ247" s="6">
        <v>890</v>
      </c>
      <c r="BK247" s="6"/>
      <c r="BL247" s="35">
        <f t="shared" si="87"/>
        <v>256</v>
      </c>
      <c r="BM247" s="6">
        <v>48</v>
      </c>
      <c r="BN247" s="6">
        <v>1100</v>
      </c>
      <c r="BO247" s="6">
        <f t="shared" si="88"/>
        <v>258</v>
      </c>
      <c r="BP247" s="35">
        <v>278</v>
      </c>
      <c r="BQ247" s="35"/>
      <c r="BR247" s="6">
        <f t="shared" si="89"/>
        <v>230</v>
      </c>
      <c r="BS247" s="35"/>
      <c r="BT247" s="35"/>
      <c r="BU247" s="35"/>
      <c r="BV247" s="35">
        <v>278</v>
      </c>
      <c r="BW247" s="35"/>
      <c r="BX247" s="6">
        <f t="shared" si="90"/>
        <v>0</v>
      </c>
      <c r="BY247" s="6">
        <v>278</v>
      </c>
      <c r="BZ247" s="35"/>
      <c r="CA247" s="35">
        <f t="shared" si="91"/>
        <v>0</v>
      </c>
      <c r="CB247" s="35">
        <v>278</v>
      </c>
      <c r="CC247" s="6"/>
      <c r="CD247" s="6">
        <f t="shared" si="92"/>
        <v>0</v>
      </c>
      <c r="CE247" s="6">
        <v>278</v>
      </c>
      <c r="CF247" s="6"/>
      <c r="CG247" s="6">
        <f t="shared" si="93"/>
        <v>0</v>
      </c>
      <c r="CH247" s="6">
        <v>278</v>
      </c>
      <c r="CI247" s="6"/>
      <c r="CJ247" s="6">
        <f t="shared" si="94"/>
        <v>0</v>
      </c>
      <c r="CK247" s="6">
        <v>278</v>
      </c>
      <c r="CL247" s="6"/>
      <c r="CM247" s="6">
        <f t="shared" si="95"/>
        <v>0</v>
      </c>
      <c r="CN247" s="6"/>
      <c r="CO247" s="6"/>
      <c r="CP247" s="6"/>
      <c r="CQ247" s="6">
        <v>278</v>
      </c>
      <c r="CR247" s="6"/>
      <c r="CS247" s="6">
        <f t="shared" si="96"/>
        <v>0</v>
      </c>
      <c r="CT247" s="6">
        <v>278</v>
      </c>
      <c r="CU247" s="6"/>
      <c r="CV247" s="6">
        <f t="shared" si="97"/>
        <v>0</v>
      </c>
      <c r="CW247" s="6">
        <v>278</v>
      </c>
      <c r="CX247" s="6"/>
      <c r="CY247" s="6">
        <f t="shared" si="98"/>
        <v>0</v>
      </c>
      <c r="CZ247" s="6">
        <v>278</v>
      </c>
      <c r="DA247" s="6"/>
      <c r="DB247" s="6">
        <f t="shared" si="99"/>
        <v>0</v>
      </c>
      <c r="DC247" s="6">
        <v>278</v>
      </c>
      <c r="DD247" s="6"/>
      <c r="DE247" s="6">
        <f t="shared" si="100"/>
        <v>0</v>
      </c>
      <c r="DF247" s="6">
        <v>278</v>
      </c>
      <c r="DG247" s="6"/>
      <c r="DH247" s="6">
        <f t="shared" si="101"/>
        <v>0</v>
      </c>
      <c r="DI247" s="6"/>
      <c r="DJ247" s="10"/>
      <c r="DK247" s="6"/>
      <c r="DL247" s="6">
        <v>278</v>
      </c>
      <c r="DM247" s="10"/>
      <c r="DN247" s="6">
        <f t="shared" si="102"/>
        <v>0</v>
      </c>
      <c r="DO247" s="6">
        <v>278</v>
      </c>
      <c r="DP247" s="10"/>
      <c r="DQ247" s="6">
        <f t="shared" si="103"/>
        <v>0</v>
      </c>
    </row>
    <row r="248" spans="1:121">
      <c r="A248" s="151">
        <v>244</v>
      </c>
      <c r="B248" s="6">
        <v>0</v>
      </c>
      <c r="C248" s="10">
        <v>746</v>
      </c>
      <c r="D248" s="6">
        <v>106</v>
      </c>
      <c r="E248" s="141" t="s">
        <v>372</v>
      </c>
      <c r="F248" s="163" t="s">
        <v>372</v>
      </c>
      <c r="G248" s="141" t="s">
        <v>372</v>
      </c>
      <c r="H248" s="141" t="s">
        <v>372</v>
      </c>
      <c r="I248" s="141" t="s">
        <v>372</v>
      </c>
      <c r="J248" s="141" t="s">
        <v>372</v>
      </c>
      <c r="K248" s="141" t="s">
        <v>372</v>
      </c>
      <c r="L248" s="141" t="s">
        <v>372</v>
      </c>
      <c r="M248" s="141" t="s">
        <v>372</v>
      </c>
      <c r="N248" s="141" t="s">
        <v>372</v>
      </c>
      <c r="O248" s="141" t="s">
        <v>372</v>
      </c>
      <c r="P248" s="141" t="s">
        <v>372</v>
      </c>
      <c r="Q248" s="141" t="s">
        <v>372</v>
      </c>
      <c r="R248" s="141" t="s">
        <v>372</v>
      </c>
      <c r="S248" s="141" t="s">
        <v>372</v>
      </c>
      <c r="T248" s="141" t="s">
        <v>372</v>
      </c>
      <c r="U248" s="141" t="s">
        <v>372</v>
      </c>
      <c r="V248" s="141" t="s">
        <v>372</v>
      </c>
      <c r="W248" s="141" t="s">
        <v>372</v>
      </c>
      <c r="X248" s="141" t="s">
        <v>372</v>
      </c>
      <c r="Y248" s="141" t="s">
        <v>372</v>
      </c>
      <c r="Z248" s="141" t="s">
        <v>372</v>
      </c>
      <c r="AA248" s="141" t="s">
        <v>372</v>
      </c>
      <c r="AB248" s="141" t="s">
        <v>372</v>
      </c>
      <c r="AC248" s="141" t="s">
        <v>372</v>
      </c>
      <c r="AD248" s="141" t="s">
        <v>372</v>
      </c>
      <c r="AE248" s="141" t="s">
        <v>372</v>
      </c>
      <c r="AF248" s="6">
        <v>235</v>
      </c>
      <c r="AG248" s="6"/>
      <c r="AH248" s="35">
        <f t="shared" si="78"/>
        <v>235</v>
      </c>
      <c r="AI248" s="6">
        <v>508</v>
      </c>
      <c r="AJ248" s="6"/>
      <c r="AK248" s="35">
        <f t="shared" si="79"/>
        <v>273</v>
      </c>
      <c r="AL248" s="35">
        <v>792</v>
      </c>
      <c r="AM248" s="35"/>
      <c r="AN248" s="35">
        <f t="shared" si="80"/>
        <v>284</v>
      </c>
      <c r="AO248" s="35">
        <v>1073</v>
      </c>
      <c r="AP248" s="6"/>
      <c r="AQ248" s="35">
        <f t="shared" si="81"/>
        <v>281</v>
      </c>
      <c r="AR248" s="6">
        <v>242</v>
      </c>
      <c r="AS248" s="6">
        <v>1100</v>
      </c>
      <c r="AT248" s="34">
        <f t="shared" si="82"/>
        <v>269</v>
      </c>
      <c r="AU248" s="35">
        <v>512</v>
      </c>
      <c r="AV248" s="35"/>
      <c r="AW248" s="35">
        <f t="shared" si="83"/>
        <v>270</v>
      </c>
      <c r="AX248" s="6"/>
      <c r="AY248" s="6"/>
      <c r="AZ248" s="35"/>
      <c r="BA248" s="6">
        <v>796</v>
      </c>
      <c r="BB248" s="6"/>
      <c r="BC248" s="35">
        <f t="shared" si="84"/>
        <v>284</v>
      </c>
      <c r="BD248" s="35">
        <v>1076</v>
      </c>
      <c r="BE248" s="35"/>
      <c r="BF248" s="35">
        <f t="shared" si="85"/>
        <v>280</v>
      </c>
      <c r="BG248" s="35">
        <v>255</v>
      </c>
      <c r="BH248" s="6">
        <v>1100</v>
      </c>
      <c r="BI248" s="35">
        <f t="shared" si="86"/>
        <v>279</v>
      </c>
      <c r="BJ248" s="6">
        <v>534</v>
      </c>
      <c r="BK248" s="6"/>
      <c r="BL248" s="35">
        <f t="shared" si="87"/>
        <v>279</v>
      </c>
      <c r="BM248" s="6">
        <v>814</v>
      </c>
      <c r="BN248" s="35"/>
      <c r="BO248" s="6">
        <f t="shared" si="88"/>
        <v>280</v>
      </c>
      <c r="BP248" s="35">
        <v>1061</v>
      </c>
      <c r="BQ248" s="35"/>
      <c r="BR248" s="6">
        <f t="shared" si="89"/>
        <v>247</v>
      </c>
      <c r="BS248" s="35"/>
      <c r="BT248" s="35"/>
      <c r="BU248" s="35"/>
      <c r="BV248" s="35">
        <v>1061</v>
      </c>
      <c r="BW248" s="35"/>
      <c r="BX248" s="6">
        <f t="shared" si="90"/>
        <v>0</v>
      </c>
      <c r="BY248" s="6">
        <v>1061</v>
      </c>
      <c r="BZ248" s="35"/>
      <c r="CA248" s="35">
        <f t="shared" si="91"/>
        <v>0</v>
      </c>
      <c r="CB248" s="35">
        <v>1061</v>
      </c>
      <c r="CC248" s="6"/>
      <c r="CD248" s="6">
        <f t="shared" si="92"/>
        <v>0</v>
      </c>
      <c r="CE248" s="6">
        <v>1061</v>
      </c>
      <c r="CF248" s="6"/>
      <c r="CG248" s="6">
        <f t="shared" si="93"/>
        <v>0</v>
      </c>
      <c r="CH248" s="6">
        <v>1061</v>
      </c>
      <c r="CI248" s="6"/>
      <c r="CJ248" s="6">
        <f t="shared" si="94"/>
        <v>0</v>
      </c>
      <c r="CK248" s="6">
        <v>1061</v>
      </c>
      <c r="CL248" s="6"/>
      <c r="CM248" s="6">
        <f t="shared" si="95"/>
        <v>0</v>
      </c>
      <c r="CN248" s="6"/>
      <c r="CO248" s="6"/>
      <c r="CP248" s="6"/>
      <c r="CQ248" s="6">
        <v>1061</v>
      </c>
      <c r="CR248" s="6"/>
      <c r="CS248" s="6">
        <f t="shared" si="96"/>
        <v>0</v>
      </c>
      <c r="CT248" s="6">
        <v>1061</v>
      </c>
      <c r="CU248" s="6"/>
      <c r="CV248" s="6">
        <f t="shared" si="97"/>
        <v>0</v>
      </c>
      <c r="CW248" s="6">
        <v>1061</v>
      </c>
      <c r="CX248" s="6"/>
      <c r="CY248" s="6">
        <f t="shared" si="98"/>
        <v>0</v>
      </c>
      <c r="CZ248" s="6">
        <v>1061</v>
      </c>
      <c r="DA248" s="6"/>
      <c r="DB248" s="6">
        <f t="shared" si="99"/>
        <v>0</v>
      </c>
      <c r="DC248" s="6">
        <v>1061</v>
      </c>
      <c r="DD248" s="6"/>
      <c r="DE248" s="6">
        <f t="shared" si="100"/>
        <v>0</v>
      </c>
      <c r="DF248" s="6">
        <v>1061</v>
      </c>
      <c r="DG248" s="6"/>
      <c r="DH248" s="6">
        <f t="shared" si="101"/>
        <v>0</v>
      </c>
      <c r="DI248" s="6"/>
      <c r="DJ248" s="10"/>
      <c r="DK248" s="6"/>
      <c r="DL248" s="6">
        <v>1061</v>
      </c>
      <c r="DM248" s="10"/>
      <c r="DN248" s="6">
        <f t="shared" si="102"/>
        <v>0</v>
      </c>
      <c r="DO248" s="6">
        <v>1061</v>
      </c>
      <c r="DP248" s="10"/>
      <c r="DQ248" s="6">
        <f t="shared" si="103"/>
        <v>0</v>
      </c>
    </row>
    <row r="249" spans="1:121">
      <c r="A249" s="151">
        <v>245</v>
      </c>
      <c r="B249" s="6">
        <v>561</v>
      </c>
      <c r="C249" s="10"/>
      <c r="D249" s="6">
        <v>223</v>
      </c>
      <c r="E249" s="141" t="s">
        <v>75</v>
      </c>
      <c r="F249" s="141" t="s">
        <v>75</v>
      </c>
      <c r="G249" s="141" t="s">
        <v>75</v>
      </c>
      <c r="H249" s="141" t="s">
        <v>75</v>
      </c>
      <c r="I249" s="141" t="s">
        <v>75</v>
      </c>
      <c r="J249" s="141" t="s">
        <v>75</v>
      </c>
      <c r="K249" s="141" t="s">
        <v>75</v>
      </c>
      <c r="L249" s="141" t="s">
        <v>75</v>
      </c>
      <c r="M249" s="141" t="s">
        <v>75</v>
      </c>
      <c r="N249" s="141" t="s">
        <v>75</v>
      </c>
      <c r="O249" s="163" t="s">
        <v>75</v>
      </c>
      <c r="P249" s="141" t="s">
        <v>75</v>
      </c>
      <c r="Q249" s="141" t="s">
        <v>75</v>
      </c>
      <c r="R249" s="141" t="s">
        <v>75</v>
      </c>
      <c r="S249" s="141" t="s">
        <v>75</v>
      </c>
      <c r="T249" s="141" t="s">
        <v>75</v>
      </c>
      <c r="U249" s="141" t="s">
        <v>75</v>
      </c>
      <c r="V249" s="141" t="s">
        <v>75</v>
      </c>
      <c r="W249" s="141" t="s">
        <v>75</v>
      </c>
      <c r="X249" s="141" t="s">
        <v>75</v>
      </c>
      <c r="Y249" s="141" t="s">
        <v>75</v>
      </c>
      <c r="Z249" s="141" t="s">
        <v>75</v>
      </c>
      <c r="AA249" s="141" t="s">
        <v>75</v>
      </c>
      <c r="AB249" s="141" t="s">
        <v>75</v>
      </c>
      <c r="AC249" s="141" t="s">
        <v>75</v>
      </c>
      <c r="AD249" s="141" t="s">
        <v>75</v>
      </c>
      <c r="AE249" s="141" t="s">
        <v>75</v>
      </c>
      <c r="AF249" s="6">
        <v>837</v>
      </c>
      <c r="AG249" s="6"/>
      <c r="AH249" s="35">
        <f t="shared" si="78"/>
        <v>276</v>
      </c>
      <c r="AI249" s="6">
        <v>1094</v>
      </c>
      <c r="AJ249" s="6"/>
      <c r="AK249" s="35">
        <f t="shared" si="79"/>
        <v>257</v>
      </c>
      <c r="AL249" s="35">
        <v>257</v>
      </c>
      <c r="AM249" s="35">
        <v>1100</v>
      </c>
      <c r="AN249" s="35">
        <f t="shared" si="80"/>
        <v>263</v>
      </c>
      <c r="AO249" s="6">
        <v>520</v>
      </c>
      <c r="AP249" s="6"/>
      <c r="AQ249" s="35">
        <f t="shared" si="81"/>
        <v>263</v>
      </c>
      <c r="AR249" s="6">
        <v>781</v>
      </c>
      <c r="AS249" s="6"/>
      <c r="AT249" s="34">
        <f t="shared" si="82"/>
        <v>261</v>
      </c>
      <c r="AU249" s="35">
        <v>1028</v>
      </c>
      <c r="AV249" s="35"/>
      <c r="AW249" s="35">
        <f t="shared" si="83"/>
        <v>247</v>
      </c>
      <c r="AX249" s="6"/>
      <c r="AY249" s="6"/>
      <c r="AZ249" s="35"/>
      <c r="BA249" s="6">
        <v>189</v>
      </c>
      <c r="BB249" s="6">
        <v>1100</v>
      </c>
      <c r="BC249" s="35">
        <f t="shared" si="84"/>
        <v>261</v>
      </c>
      <c r="BD249" s="35">
        <v>455</v>
      </c>
      <c r="BE249" s="35"/>
      <c r="BF249" s="35">
        <f t="shared" si="85"/>
        <v>266</v>
      </c>
      <c r="BG249" s="35">
        <v>0</v>
      </c>
      <c r="BH249" s="6">
        <v>554</v>
      </c>
      <c r="BI249" s="35">
        <f t="shared" si="86"/>
        <v>99</v>
      </c>
      <c r="BJ249" s="6">
        <v>237</v>
      </c>
      <c r="BK249" s="6"/>
      <c r="BL249" s="35">
        <f t="shared" si="87"/>
        <v>237</v>
      </c>
      <c r="BM249" s="6">
        <v>499</v>
      </c>
      <c r="BN249" s="6"/>
      <c r="BO249" s="6">
        <f t="shared" si="88"/>
        <v>262</v>
      </c>
      <c r="BP249" s="35">
        <v>725</v>
      </c>
      <c r="BQ249" s="35"/>
      <c r="BR249" s="6">
        <f t="shared" si="89"/>
        <v>226</v>
      </c>
      <c r="BS249" s="35"/>
      <c r="BT249" s="35"/>
      <c r="BU249" s="35"/>
      <c r="BV249" s="35">
        <v>725</v>
      </c>
      <c r="BW249" s="35"/>
      <c r="BX249" s="6">
        <f t="shared" si="90"/>
        <v>0</v>
      </c>
      <c r="BY249" s="6">
        <v>725</v>
      </c>
      <c r="BZ249" s="35"/>
      <c r="CA249" s="35">
        <f t="shared" si="91"/>
        <v>0</v>
      </c>
      <c r="CB249" s="35">
        <v>725</v>
      </c>
      <c r="CC249" s="6"/>
      <c r="CD249" s="6">
        <f t="shared" si="92"/>
        <v>0</v>
      </c>
      <c r="CE249" s="6">
        <v>725</v>
      </c>
      <c r="CF249" s="6"/>
      <c r="CG249" s="6">
        <f t="shared" si="93"/>
        <v>0</v>
      </c>
      <c r="CH249" s="6">
        <v>725</v>
      </c>
      <c r="CI249" s="6"/>
      <c r="CJ249" s="6">
        <f t="shared" si="94"/>
        <v>0</v>
      </c>
      <c r="CK249" s="6">
        <v>725</v>
      </c>
      <c r="CL249" s="6"/>
      <c r="CM249" s="6">
        <f t="shared" si="95"/>
        <v>0</v>
      </c>
      <c r="CN249" s="6"/>
      <c r="CO249" s="6"/>
      <c r="CP249" s="6"/>
      <c r="CQ249" s="6">
        <v>725</v>
      </c>
      <c r="CR249" s="6"/>
      <c r="CS249" s="6">
        <f t="shared" si="96"/>
        <v>0</v>
      </c>
      <c r="CT249" s="6">
        <v>725</v>
      </c>
      <c r="CU249" s="6"/>
      <c r="CV249" s="6">
        <f t="shared" si="97"/>
        <v>0</v>
      </c>
      <c r="CW249" s="6">
        <v>725</v>
      </c>
      <c r="CX249" s="6"/>
      <c r="CY249" s="6">
        <f t="shared" si="98"/>
        <v>0</v>
      </c>
      <c r="CZ249" s="6">
        <v>725</v>
      </c>
      <c r="DA249" s="6"/>
      <c r="DB249" s="6">
        <f t="shared" si="99"/>
        <v>0</v>
      </c>
      <c r="DC249" s="6">
        <v>725</v>
      </c>
      <c r="DD249" s="6"/>
      <c r="DE249" s="6">
        <f t="shared" si="100"/>
        <v>0</v>
      </c>
      <c r="DF249" s="6">
        <v>725</v>
      </c>
      <c r="DG249" s="6"/>
      <c r="DH249" s="6">
        <f t="shared" si="101"/>
        <v>0</v>
      </c>
      <c r="DI249" s="6"/>
      <c r="DJ249" s="10"/>
      <c r="DK249" s="6"/>
      <c r="DL249" s="6">
        <v>725</v>
      </c>
      <c r="DM249" s="10"/>
      <c r="DN249" s="6">
        <f t="shared" si="102"/>
        <v>0</v>
      </c>
      <c r="DO249" s="6">
        <v>725</v>
      </c>
      <c r="DP249" s="10"/>
      <c r="DQ249" s="6">
        <f t="shared" si="103"/>
        <v>0</v>
      </c>
    </row>
    <row r="250" spans="1:121">
      <c r="A250" s="151">
        <v>246</v>
      </c>
      <c r="B250" s="6">
        <v>905</v>
      </c>
      <c r="C250" s="10"/>
      <c r="D250" s="6">
        <v>246</v>
      </c>
      <c r="E250" s="141" t="s">
        <v>372</v>
      </c>
      <c r="F250" s="163" t="s">
        <v>372</v>
      </c>
      <c r="G250" s="141" t="s">
        <v>372</v>
      </c>
      <c r="H250" s="141" t="s">
        <v>372</v>
      </c>
      <c r="I250" s="141" t="s">
        <v>372</v>
      </c>
      <c r="J250" s="141" t="s">
        <v>372</v>
      </c>
      <c r="K250" s="141" t="s">
        <v>372</v>
      </c>
      <c r="L250" s="141" t="s">
        <v>372</v>
      </c>
      <c r="M250" s="141" t="s">
        <v>372</v>
      </c>
      <c r="N250" s="141" t="s">
        <v>372</v>
      </c>
      <c r="O250" s="141" t="s">
        <v>372</v>
      </c>
      <c r="P250" s="141" t="s">
        <v>372</v>
      </c>
      <c r="Q250" s="141" t="s">
        <v>372</v>
      </c>
      <c r="R250" s="141" t="s">
        <v>372</v>
      </c>
      <c r="S250" s="141" t="s">
        <v>372</v>
      </c>
      <c r="T250" s="141" t="s">
        <v>372</v>
      </c>
      <c r="U250" s="141" t="s">
        <v>372</v>
      </c>
      <c r="V250" s="141" t="s">
        <v>372</v>
      </c>
      <c r="W250" s="141" t="s">
        <v>372</v>
      </c>
      <c r="X250" s="141" t="s">
        <v>372</v>
      </c>
      <c r="Y250" s="141" t="s">
        <v>372</v>
      </c>
      <c r="Z250" s="141" t="s">
        <v>372</v>
      </c>
      <c r="AA250" s="141" t="s">
        <v>372</v>
      </c>
      <c r="AB250" s="141" t="s">
        <v>372</v>
      </c>
      <c r="AC250" s="141" t="s">
        <v>372</v>
      </c>
      <c r="AD250" s="141" t="s">
        <v>372</v>
      </c>
      <c r="AE250" s="141" t="s">
        <v>372</v>
      </c>
      <c r="AF250" s="6">
        <v>176</v>
      </c>
      <c r="AG250" s="6">
        <v>962</v>
      </c>
      <c r="AH250" s="35">
        <f t="shared" si="78"/>
        <v>233</v>
      </c>
      <c r="AI250" s="6">
        <v>434</v>
      </c>
      <c r="AJ250" s="6"/>
      <c r="AK250" s="35">
        <f t="shared" si="79"/>
        <v>258</v>
      </c>
      <c r="AL250" s="35">
        <v>709</v>
      </c>
      <c r="AM250" s="35"/>
      <c r="AN250" s="35">
        <f t="shared" si="80"/>
        <v>275</v>
      </c>
      <c r="AO250" s="6">
        <v>985</v>
      </c>
      <c r="AP250" s="6"/>
      <c r="AQ250" s="35">
        <f t="shared" si="81"/>
        <v>276</v>
      </c>
      <c r="AR250" s="6">
        <v>164</v>
      </c>
      <c r="AS250" s="6">
        <v>1100</v>
      </c>
      <c r="AT250" s="34">
        <f t="shared" si="82"/>
        <v>279</v>
      </c>
      <c r="AU250" s="35">
        <v>420</v>
      </c>
      <c r="AV250" s="35"/>
      <c r="AW250" s="35">
        <f t="shared" si="83"/>
        <v>256</v>
      </c>
      <c r="AX250" s="6"/>
      <c r="AY250" s="6"/>
      <c r="AZ250" s="35"/>
      <c r="BA250" s="6">
        <v>701</v>
      </c>
      <c r="BB250" s="6"/>
      <c r="BC250" s="35">
        <f t="shared" si="84"/>
        <v>281</v>
      </c>
      <c r="BD250" s="35">
        <v>50</v>
      </c>
      <c r="BE250" s="35">
        <v>904</v>
      </c>
      <c r="BF250" s="35">
        <f t="shared" si="85"/>
        <v>253</v>
      </c>
      <c r="BG250" s="35">
        <v>328</v>
      </c>
      <c r="BH250" s="6"/>
      <c r="BI250" s="35">
        <f t="shared" si="86"/>
        <v>278</v>
      </c>
      <c r="BJ250" s="6">
        <v>606</v>
      </c>
      <c r="BK250" s="6"/>
      <c r="BL250" s="35">
        <f t="shared" si="87"/>
        <v>278</v>
      </c>
      <c r="BM250" s="6">
        <v>886</v>
      </c>
      <c r="BN250" s="6"/>
      <c r="BO250" s="6">
        <f t="shared" si="88"/>
        <v>280</v>
      </c>
      <c r="BP250" s="35">
        <v>113</v>
      </c>
      <c r="BQ250" s="35">
        <v>988</v>
      </c>
      <c r="BR250" s="6">
        <f t="shared" si="89"/>
        <v>215</v>
      </c>
      <c r="BS250" s="35"/>
      <c r="BT250" s="35"/>
      <c r="BU250" s="35"/>
      <c r="BV250" s="35">
        <v>113</v>
      </c>
      <c r="BW250" s="35"/>
      <c r="BX250" s="6">
        <f t="shared" si="90"/>
        <v>0</v>
      </c>
      <c r="BY250" s="6">
        <v>113</v>
      </c>
      <c r="BZ250" s="35"/>
      <c r="CA250" s="35">
        <f t="shared" si="91"/>
        <v>0</v>
      </c>
      <c r="CB250" s="6">
        <v>113</v>
      </c>
      <c r="CC250" s="6"/>
      <c r="CD250" s="6">
        <f t="shared" si="92"/>
        <v>0</v>
      </c>
      <c r="CE250" s="6">
        <v>113</v>
      </c>
      <c r="CF250" s="6"/>
      <c r="CG250" s="6">
        <f t="shared" si="93"/>
        <v>0</v>
      </c>
      <c r="CH250" s="6">
        <v>113</v>
      </c>
      <c r="CI250" s="6"/>
      <c r="CJ250" s="6">
        <f t="shared" si="94"/>
        <v>0</v>
      </c>
      <c r="CK250" s="6">
        <v>113</v>
      </c>
      <c r="CL250" s="6"/>
      <c r="CM250" s="6">
        <f t="shared" si="95"/>
        <v>0</v>
      </c>
      <c r="CN250" s="6"/>
      <c r="CO250" s="6"/>
      <c r="CP250" s="6"/>
      <c r="CQ250" s="6">
        <v>113</v>
      </c>
      <c r="CR250" s="6"/>
      <c r="CS250" s="6">
        <f t="shared" si="96"/>
        <v>0</v>
      </c>
      <c r="CT250" s="6">
        <v>113</v>
      </c>
      <c r="CU250" s="6"/>
      <c r="CV250" s="6">
        <f t="shared" si="97"/>
        <v>0</v>
      </c>
      <c r="CW250" s="6">
        <v>113</v>
      </c>
      <c r="CX250" s="6"/>
      <c r="CY250" s="6">
        <f t="shared" si="98"/>
        <v>0</v>
      </c>
      <c r="CZ250" s="6">
        <v>113</v>
      </c>
      <c r="DA250" s="6"/>
      <c r="DB250" s="6">
        <f t="shared" si="99"/>
        <v>0</v>
      </c>
      <c r="DC250" s="6">
        <v>113</v>
      </c>
      <c r="DD250" s="6"/>
      <c r="DE250" s="6">
        <f t="shared" si="100"/>
        <v>0</v>
      </c>
      <c r="DF250" s="6">
        <v>113</v>
      </c>
      <c r="DG250" s="6"/>
      <c r="DH250" s="6">
        <f t="shared" si="101"/>
        <v>0</v>
      </c>
      <c r="DI250" s="6"/>
      <c r="DJ250" s="10"/>
      <c r="DK250" s="6"/>
      <c r="DL250" s="6">
        <v>113</v>
      </c>
      <c r="DM250" s="10"/>
      <c r="DN250" s="6">
        <f t="shared" si="102"/>
        <v>0</v>
      </c>
      <c r="DO250" s="6">
        <v>113</v>
      </c>
      <c r="DP250" s="10"/>
      <c r="DQ250" s="6">
        <f t="shared" si="103"/>
        <v>0</v>
      </c>
    </row>
    <row r="251" spans="1:121">
      <c r="A251" s="151">
        <v>247</v>
      </c>
      <c r="B251" s="6">
        <v>572</v>
      </c>
      <c r="C251" s="10"/>
      <c r="D251" s="6">
        <v>216</v>
      </c>
      <c r="E251" s="141" t="s">
        <v>79</v>
      </c>
      <c r="F251" s="141" t="s">
        <v>79</v>
      </c>
      <c r="G251" s="141" t="s">
        <v>79</v>
      </c>
      <c r="H251" s="163" t="s">
        <v>72</v>
      </c>
      <c r="I251" s="141" t="s">
        <v>72</v>
      </c>
      <c r="J251" s="141" t="s">
        <v>72</v>
      </c>
      <c r="K251" s="141" t="s">
        <v>72</v>
      </c>
      <c r="L251" s="141" t="s">
        <v>72</v>
      </c>
      <c r="M251" s="141" t="s">
        <v>72</v>
      </c>
      <c r="N251" s="141" t="s">
        <v>72</v>
      </c>
      <c r="O251" s="141" t="s">
        <v>72</v>
      </c>
      <c r="P251" s="141" t="s">
        <v>72</v>
      </c>
      <c r="Q251" s="141" t="s">
        <v>72</v>
      </c>
      <c r="R251" s="141" t="s">
        <v>72</v>
      </c>
      <c r="S251" s="141" t="s">
        <v>72</v>
      </c>
      <c r="T251" s="141" t="s">
        <v>72</v>
      </c>
      <c r="U251" s="141" t="s">
        <v>72</v>
      </c>
      <c r="V251" s="141" t="s">
        <v>72</v>
      </c>
      <c r="W251" s="141" t="s">
        <v>72</v>
      </c>
      <c r="X251" s="141" t="s">
        <v>72</v>
      </c>
      <c r="Y251" s="141" t="s">
        <v>72</v>
      </c>
      <c r="Z251" s="141" t="s">
        <v>72</v>
      </c>
      <c r="AA251" s="141" t="s">
        <v>72</v>
      </c>
      <c r="AB251" s="141" t="s">
        <v>72</v>
      </c>
      <c r="AC251" s="141" t="s">
        <v>72</v>
      </c>
      <c r="AD251" s="141" t="s">
        <v>72</v>
      </c>
      <c r="AE251" s="141" t="s">
        <v>72</v>
      </c>
      <c r="AF251" s="6">
        <v>826</v>
      </c>
      <c r="AG251" s="6"/>
      <c r="AH251" s="35">
        <f t="shared" si="78"/>
        <v>254</v>
      </c>
      <c r="AI251" s="6">
        <v>0</v>
      </c>
      <c r="AJ251" s="6">
        <v>846</v>
      </c>
      <c r="AK251" s="35">
        <f t="shared" si="79"/>
        <v>20</v>
      </c>
      <c r="AL251" s="35">
        <v>221</v>
      </c>
      <c r="AM251" s="35"/>
      <c r="AN251" s="35">
        <f t="shared" si="80"/>
        <v>221</v>
      </c>
      <c r="AO251" s="6">
        <v>458</v>
      </c>
      <c r="AP251" s="6"/>
      <c r="AQ251" s="35">
        <f t="shared" si="81"/>
        <v>237</v>
      </c>
      <c r="AR251" s="6">
        <v>695</v>
      </c>
      <c r="AS251" s="6"/>
      <c r="AT251" s="34">
        <f t="shared" si="82"/>
        <v>237</v>
      </c>
      <c r="AU251" s="35">
        <v>925</v>
      </c>
      <c r="AV251" s="35"/>
      <c r="AW251" s="35">
        <f t="shared" si="83"/>
        <v>230</v>
      </c>
      <c r="AX251" s="6"/>
      <c r="AY251" s="6"/>
      <c r="AZ251" s="35"/>
      <c r="BA251" s="6">
        <v>75</v>
      </c>
      <c r="BB251" s="6">
        <v>1100</v>
      </c>
      <c r="BC251" s="35">
        <f t="shared" si="84"/>
        <v>250</v>
      </c>
      <c r="BD251" s="35">
        <v>321</v>
      </c>
      <c r="BE251" s="35"/>
      <c r="BF251" s="35">
        <f t="shared" si="85"/>
        <v>246</v>
      </c>
      <c r="BG251" s="35">
        <v>561</v>
      </c>
      <c r="BH251" s="6"/>
      <c r="BI251" s="35">
        <f t="shared" si="86"/>
        <v>240</v>
      </c>
      <c r="BJ251" s="6">
        <v>810</v>
      </c>
      <c r="BK251" s="6"/>
      <c r="BL251" s="35">
        <f t="shared" si="87"/>
        <v>249</v>
      </c>
      <c r="BM251" s="6">
        <v>1059</v>
      </c>
      <c r="BN251" s="6"/>
      <c r="BO251" s="6">
        <f t="shared" si="88"/>
        <v>249</v>
      </c>
      <c r="BP251" s="35">
        <v>176</v>
      </c>
      <c r="BQ251" s="35">
        <v>1100</v>
      </c>
      <c r="BR251" s="6">
        <f t="shared" si="89"/>
        <v>217</v>
      </c>
      <c r="BS251" s="35"/>
      <c r="BT251" s="35"/>
      <c r="BU251" s="35"/>
      <c r="BV251" s="35">
        <v>176</v>
      </c>
      <c r="BW251" s="35"/>
      <c r="BX251" s="6">
        <f t="shared" si="90"/>
        <v>0</v>
      </c>
      <c r="BY251" s="6">
        <v>176</v>
      </c>
      <c r="BZ251" s="6"/>
      <c r="CA251" s="35">
        <f t="shared" si="91"/>
        <v>0</v>
      </c>
      <c r="CB251" s="6">
        <v>176</v>
      </c>
      <c r="CC251" s="6"/>
      <c r="CD251" s="6">
        <f t="shared" si="92"/>
        <v>0</v>
      </c>
      <c r="CE251" s="6">
        <v>176</v>
      </c>
      <c r="CF251" s="6"/>
      <c r="CG251" s="6">
        <f t="shared" si="93"/>
        <v>0</v>
      </c>
      <c r="CH251" s="6">
        <v>176</v>
      </c>
      <c r="CI251" s="6"/>
      <c r="CJ251" s="6">
        <f t="shared" si="94"/>
        <v>0</v>
      </c>
      <c r="CK251" s="6">
        <v>176</v>
      </c>
      <c r="CL251" s="6"/>
      <c r="CM251" s="6">
        <f t="shared" si="95"/>
        <v>0</v>
      </c>
      <c r="CN251" s="6"/>
      <c r="CO251" s="6"/>
      <c r="CP251" s="6"/>
      <c r="CQ251" s="6">
        <v>176</v>
      </c>
      <c r="CR251" s="6"/>
      <c r="CS251" s="6">
        <f t="shared" si="96"/>
        <v>0</v>
      </c>
      <c r="CT251" s="6">
        <v>176</v>
      </c>
      <c r="CU251" s="6"/>
      <c r="CV251" s="6">
        <f t="shared" si="97"/>
        <v>0</v>
      </c>
      <c r="CW251" s="6">
        <v>176</v>
      </c>
      <c r="CX251" s="6"/>
      <c r="CY251" s="6">
        <f t="shared" si="98"/>
        <v>0</v>
      </c>
      <c r="CZ251" s="6">
        <v>176</v>
      </c>
      <c r="DA251" s="6"/>
      <c r="DB251" s="6">
        <f t="shared" si="99"/>
        <v>0</v>
      </c>
      <c r="DC251" s="6">
        <v>176</v>
      </c>
      <c r="DD251" s="6"/>
      <c r="DE251" s="6">
        <f t="shared" si="100"/>
        <v>0</v>
      </c>
      <c r="DF251" s="6">
        <v>176</v>
      </c>
      <c r="DG251" s="6"/>
      <c r="DH251" s="6">
        <f t="shared" si="101"/>
        <v>0</v>
      </c>
      <c r="DI251" s="6"/>
      <c r="DJ251" s="10"/>
      <c r="DK251" s="6"/>
      <c r="DL251" s="6">
        <v>176</v>
      </c>
      <c r="DM251" s="10"/>
      <c r="DN251" s="6">
        <f t="shared" si="102"/>
        <v>0</v>
      </c>
      <c r="DO251" s="6">
        <v>176</v>
      </c>
      <c r="DP251" s="10"/>
      <c r="DQ251" s="6">
        <f t="shared" si="103"/>
        <v>0</v>
      </c>
    </row>
    <row r="252" spans="1:121">
      <c r="A252" s="151">
        <v>248</v>
      </c>
      <c r="B252" s="6">
        <v>153</v>
      </c>
      <c r="C252" s="10">
        <v>1278</v>
      </c>
      <c r="D252" s="6">
        <v>231</v>
      </c>
      <c r="E252" s="163" t="s">
        <v>388</v>
      </c>
      <c r="F252" s="141" t="s">
        <v>388</v>
      </c>
      <c r="G252" s="141" t="s">
        <v>388</v>
      </c>
      <c r="H252" s="141" t="s">
        <v>388</v>
      </c>
      <c r="I252" s="141" t="s">
        <v>388</v>
      </c>
      <c r="J252" s="141" t="s">
        <v>388</v>
      </c>
      <c r="K252" s="141" t="s">
        <v>388</v>
      </c>
      <c r="L252" s="141" t="s">
        <v>388</v>
      </c>
      <c r="M252" s="141" t="s">
        <v>388</v>
      </c>
      <c r="N252" s="141" t="s">
        <v>388</v>
      </c>
      <c r="O252" s="141" t="s">
        <v>388</v>
      </c>
      <c r="P252" s="141" t="s">
        <v>388</v>
      </c>
      <c r="Q252" s="141" t="s">
        <v>388</v>
      </c>
      <c r="R252" s="141" t="s">
        <v>388</v>
      </c>
      <c r="S252" s="141" t="s">
        <v>388</v>
      </c>
      <c r="T252" s="141" t="s">
        <v>388</v>
      </c>
      <c r="U252" s="141" t="s">
        <v>388</v>
      </c>
      <c r="V252" s="141" t="s">
        <v>388</v>
      </c>
      <c r="W252" s="141" t="s">
        <v>388</v>
      </c>
      <c r="X252" s="141" t="s">
        <v>388</v>
      </c>
      <c r="Y252" s="141" t="s">
        <v>388</v>
      </c>
      <c r="Z252" s="141" t="s">
        <v>388</v>
      </c>
      <c r="AA252" s="141" t="s">
        <v>388</v>
      </c>
      <c r="AB252" s="141" t="s">
        <v>388</v>
      </c>
      <c r="AC252" s="141" t="s">
        <v>388</v>
      </c>
      <c r="AD252" s="141" t="s">
        <v>388</v>
      </c>
      <c r="AE252" s="141" t="s">
        <v>388</v>
      </c>
      <c r="AF252" s="6">
        <v>449</v>
      </c>
      <c r="AG252" s="6"/>
      <c r="AH252" s="35">
        <f t="shared" si="78"/>
        <v>296</v>
      </c>
      <c r="AI252" s="6">
        <v>717</v>
      </c>
      <c r="AJ252" s="6"/>
      <c r="AK252" s="35">
        <f t="shared" si="79"/>
        <v>268</v>
      </c>
      <c r="AL252" s="35">
        <v>1003</v>
      </c>
      <c r="AM252" s="35"/>
      <c r="AN252" s="35">
        <f t="shared" si="80"/>
        <v>286</v>
      </c>
      <c r="AO252" s="6">
        <v>181</v>
      </c>
      <c r="AP252" s="6">
        <v>1100</v>
      </c>
      <c r="AQ252" s="35">
        <f t="shared" si="81"/>
        <v>278</v>
      </c>
      <c r="AR252" s="6">
        <v>465</v>
      </c>
      <c r="AS252" s="6"/>
      <c r="AT252" s="34">
        <f t="shared" si="82"/>
        <v>284</v>
      </c>
      <c r="AU252" s="35">
        <v>734</v>
      </c>
      <c r="AV252" s="35"/>
      <c r="AW252" s="35">
        <f t="shared" si="83"/>
        <v>269</v>
      </c>
      <c r="AX252" s="6"/>
      <c r="AY252" s="6"/>
      <c r="AZ252" s="35"/>
      <c r="BA252" s="6">
        <v>1020</v>
      </c>
      <c r="BB252" s="6"/>
      <c r="BC252" s="35">
        <f t="shared" si="84"/>
        <v>286</v>
      </c>
      <c r="BD252" s="35">
        <v>200</v>
      </c>
      <c r="BE252" s="35">
        <v>1100</v>
      </c>
      <c r="BF252" s="35">
        <f t="shared" si="85"/>
        <v>280</v>
      </c>
      <c r="BG252" s="35">
        <v>482</v>
      </c>
      <c r="BH252" s="6"/>
      <c r="BI252" s="35">
        <f t="shared" si="86"/>
        <v>282</v>
      </c>
      <c r="BJ252" s="6">
        <v>765</v>
      </c>
      <c r="BK252" s="6"/>
      <c r="BL252" s="35">
        <f t="shared" si="87"/>
        <v>283</v>
      </c>
      <c r="BM252" s="6">
        <v>1047</v>
      </c>
      <c r="BN252" s="6"/>
      <c r="BO252" s="6">
        <f t="shared" si="88"/>
        <v>282</v>
      </c>
      <c r="BP252" s="35">
        <v>199</v>
      </c>
      <c r="BQ252" s="35">
        <v>1100</v>
      </c>
      <c r="BR252" s="6">
        <f t="shared" si="89"/>
        <v>252</v>
      </c>
      <c r="BS252" s="35"/>
      <c r="BT252" s="35"/>
      <c r="BU252" s="35"/>
      <c r="BV252" s="35">
        <v>199</v>
      </c>
      <c r="BW252" s="35"/>
      <c r="BX252" s="6">
        <f t="shared" si="90"/>
        <v>0</v>
      </c>
      <c r="BY252" s="6">
        <v>199</v>
      </c>
      <c r="BZ252" s="6"/>
      <c r="CA252" s="35">
        <f t="shared" si="91"/>
        <v>0</v>
      </c>
      <c r="CB252" s="6">
        <v>199</v>
      </c>
      <c r="CC252" s="6"/>
      <c r="CD252" s="6">
        <f t="shared" si="92"/>
        <v>0</v>
      </c>
      <c r="CE252" s="6">
        <v>199</v>
      </c>
      <c r="CF252" s="6"/>
      <c r="CG252" s="6">
        <f t="shared" si="93"/>
        <v>0</v>
      </c>
      <c r="CH252" s="6">
        <v>199</v>
      </c>
      <c r="CI252" s="6"/>
      <c r="CJ252" s="6">
        <f t="shared" si="94"/>
        <v>0</v>
      </c>
      <c r="CK252" s="6">
        <v>199</v>
      </c>
      <c r="CL252" s="6"/>
      <c r="CM252" s="6">
        <f t="shared" si="95"/>
        <v>0</v>
      </c>
      <c r="CN252" s="6"/>
      <c r="CO252" s="6"/>
      <c r="CP252" s="6"/>
      <c r="CQ252" s="6">
        <v>199</v>
      </c>
      <c r="CR252" s="6"/>
      <c r="CS252" s="6">
        <f t="shared" si="96"/>
        <v>0</v>
      </c>
      <c r="CT252" s="6">
        <v>199</v>
      </c>
      <c r="CU252" s="6"/>
      <c r="CV252" s="6">
        <f t="shared" si="97"/>
        <v>0</v>
      </c>
      <c r="CW252" s="6">
        <v>199</v>
      </c>
      <c r="CX252" s="6"/>
      <c r="CY252" s="6">
        <f t="shared" si="98"/>
        <v>0</v>
      </c>
      <c r="CZ252" s="6">
        <v>199</v>
      </c>
      <c r="DA252" s="6"/>
      <c r="DB252" s="6">
        <f t="shared" si="99"/>
        <v>0</v>
      </c>
      <c r="DC252" s="6">
        <v>199</v>
      </c>
      <c r="DD252" s="6"/>
      <c r="DE252" s="6">
        <f t="shared" si="100"/>
        <v>0</v>
      </c>
      <c r="DF252" s="6">
        <v>199</v>
      </c>
      <c r="DG252" s="6"/>
      <c r="DH252" s="6">
        <f t="shared" si="101"/>
        <v>0</v>
      </c>
      <c r="DI252" s="6"/>
      <c r="DJ252" s="10"/>
      <c r="DK252" s="6"/>
      <c r="DL252" s="6">
        <v>199</v>
      </c>
      <c r="DM252" s="10"/>
      <c r="DN252" s="6">
        <f t="shared" si="102"/>
        <v>0</v>
      </c>
      <c r="DO252" s="6">
        <v>199</v>
      </c>
      <c r="DP252" s="10"/>
      <c r="DQ252" s="6">
        <f t="shared" si="103"/>
        <v>0</v>
      </c>
    </row>
    <row r="253" spans="1:121">
      <c r="A253" s="151">
        <v>249</v>
      </c>
      <c r="B253" s="6">
        <v>979</v>
      </c>
      <c r="C253" s="10"/>
      <c r="D253" s="6">
        <v>234</v>
      </c>
      <c r="E253" s="33" t="s">
        <v>75</v>
      </c>
      <c r="F253" s="33" t="s">
        <v>75</v>
      </c>
      <c r="G253" s="33" t="s">
        <v>75</v>
      </c>
      <c r="H253" s="33" t="s">
        <v>75</v>
      </c>
      <c r="I253" s="33" t="s">
        <v>75</v>
      </c>
      <c r="J253" s="33" t="s">
        <v>75</v>
      </c>
      <c r="K253" s="33" t="s">
        <v>75</v>
      </c>
      <c r="L253" s="33" t="s">
        <v>75</v>
      </c>
      <c r="M253" s="33" t="s">
        <v>75</v>
      </c>
      <c r="N253" s="33" t="s">
        <v>75</v>
      </c>
      <c r="O253" s="33" t="s">
        <v>75</v>
      </c>
      <c r="P253" s="33" t="s">
        <v>75</v>
      </c>
      <c r="Q253" s="33" t="s">
        <v>75</v>
      </c>
      <c r="R253" s="33" t="s">
        <v>75</v>
      </c>
      <c r="S253" s="33" t="s">
        <v>75</v>
      </c>
      <c r="T253" s="33" t="s">
        <v>75</v>
      </c>
      <c r="U253" s="33" t="s">
        <v>75</v>
      </c>
      <c r="V253" s="33" t="s">
        <v>75</v>
      </c>
      <c r="W253" s="33" t="s">
        <v>75</v>
      </c>
      <c r="X253" s="33" t="s">
        <v>75</v>
      </c>
      <c r="Y253" s="33" t="s">
        <v>75</v>
      </c>
      <c r="Z253" s="33" t="s">
        <v>75</v>
      </c>
      <c r="AA253" s="33" t="s">
        <v>75</v>
      </c>
      <c r="AB253" s="33" t="s">
        <v>75</v>
      </c>
      <c r="AC253" s="33" t="s">
        <v>75</v>
      </c>
      <c r="AD253" s="33" t="s">
        <v>75</v>
      </c>
      <c r="AE253" s="33" t="s">
        <v>75</v>
      </c>
      <c r="AF253" s="6">
        <v>150</v>
      </c>
      <c r="AG253" s="6">
        <v>1100</v>
      </c>
      <c r="AH253" s="35">
        <f t="shared" si="78"/>
        <v>271</v>
      </c>
      <c r="AI253" s="6">
        <v>392</v>
      </c>
      <c r="AJ253" s="6"/>
      <c r="AK253" s="35">
        <f t="shared" si="79"/>
        <v>242</v>
      </c>
      <c r="AL253" s="35">
        <v>649</v>
      </c>
      <c r="AM253" s="35"/>
      <c r="AN253" s="35">
        <f t="shared" si="80"/>
        <v>257</v>
      </c>
      <c r="AO253" s="6">
        <v>905</v>
      </c>
      <c r="AP253" s="6"/>
      <c r="AQ253" s="35">
        <f t="shared" si="81"/>
        <v>256</v>
      </c>
      <c r="AR253" s="6">
        <v>63</v>
      </c>
      <c r="AS253" s="6">
        <v>1100</v>
      </c>
      <c r="AT253" s="34">
        <f t="shared" si="82"/>
        <v>258</v>
      </c>
      <c r="AU253" s="35">
        <v>309</v>
      </c>
      <c r="AV253" s="35"/>
      <c r="AW253" s="35">
        <f t="shared" si="83"/>
        <v>246</v>
      </c>
      <c r="AX253" s="6"/>
      <c r="AY253" s="6"/>
      <c r="AZ253" s="35"/>
      <c r="BA253" s="6">
        <v>557</v>
      </c>
      <c r="BB253" s="6"/>
      <c r="BC253" s="35">
        <f t="shared" si="84"/>
        <v>248</v>
      </c>
      <c r="BD253" s="35">
        <v>812</v>
      </c>
      <c r="BE253" s="35"/>
      <c r="BF253" s="35">
        <f t="shared" si="85"/>
        <v>255</v>
      </c>
      <c r="BG253" s="35">
        <v>1074</v>
      </c>
      <c r="BH253" s="6"/>
      <c r="BI253" s="35">
        <f t="shared" si="86"/>
        <v>262</v>
      </c>
      <c r="BJ253" s="6">
        <v>234</v>
      </c>
      <c r="BK253" s="6">
        <v>1100</v>
      </c>
      <c r="BL253" s="35">
        <f t="shared" si="87"/>
        <v>260</v>
      </c>
      <c r="BM253" s="6">
        <v>488</v>
      </c>
      <c r="BN253" s="6"/>
      <c r="BO253" s="6">
        <f t="shared" si="88"/>
        <v>254</v>
      </c>
      <c r="BP253" s="35">
        <v>720</v>
      </c>
      <c r="BQ253" s="35"/>
      <c r="BR253" s="6">
        <f t="shared" si="89"/>
        <v>232</v>
      </c>
      <c r="BS253" s="35"/>
      <c r="BT253" s="35"/>
      <c r="BU253" s="35"/>
      <c r="BV253" s="35">
        <v>720</v>
      </c>
      <c r="BW253" s="35"/>
      <c r="BX253" s="6">
        <f t="shared" si="90"/>
        <v>0</v>
      </c>
      <c r="BY253" s="6">
        <v>720</v>
      </c>
      <c r="BZ253" s="6"/>
      <c r="CA253" s="35">
        <f t="shared" si="91"/>
        <v>0</v>
      </c>
      <c r="CB253" s="6">
        <v>720</v>
      </c>
      <c r="CC253" s="6"/>
      <c r="CD253" s="6">
        <f t="shared" si="92"/>
        <v>0</v>
      </c>
      <c r="CE253" s="6">
        <v>720</v>
      </c>
      <c r="CF253" s="6"/>
      <c r="CG253" s="6">
        <f t="shared" si="93"/>
        <v>0</v>
      </c>
      <c r="CH253" s="6">
        <v>720</v>
      </c>
      <c r="CI253" s="6"/>
      <c r="CJ253" s="6">
        <f t="shared" si="94"/>
        <v>0</v>
      </c>
      <c r="CK253" s="6">
        <v>720</v>
      </c>
      <c r="CL253" s="6"/>
      <c r="CM253" s="6">
        <f t="shared" si="95"/>
        <v>0</v>
      </c>
      <c r="CN253" s="6"/>
      <c r="CO253" s="6"/>
      <c r="CP253" s="6"/>
      <c r="CQ253" s="6">
        <v>720</v>
      </c>
      <c r="CR253" s="6"/>
      <c r="CS253" s="6">
        <f t="shared" si="96"/>
        <v>0</v>
      </c>
      <c r="CT253" s="6">
        <v>720</v>
      </c>
      <c r="CU253" s="6"/>
      <c r="CV253" s="6">
        <f t="shared" si="97"/>
        <v>0</v>
      </c>
      <c r="CW253" s="6">
        <v>720</v>
      </c>
      <c r="CX253" s="6"/>
      <c r="CY253" s="6">
        <f t="shared" si="98"/>
        <v>0</v>
      </c>
      <c r="CZ253" s="6">
        <v>720</v>
      </c>
      <c r="DA253" s="6"/>
      <c r="DB253" s="6">
        <f t="shared" si="99"/>
        <v>0</v>
      </c>
      <c r="DC253" s="6">
        <v>720</v>
      </c>
      <c r="DD253" s="6"/>
      <c r="DE253" s="6">
        <f t="shared" si="100"/>
        <v>0</v>
      </c>
      <c r="DF253" s="6">
        <v>720</v>
      </c>
      <c r="DG253" s="6"/>
      <c r="DH253" s="6">
        <f t="shared" si="101"/>
        <v>0</v>
      </c>
      <c r="DI253" s="6"/>
      <c r="DJ253" s="10"/>
      <c r="DK253" s="6"/>
      <c r="DL253" s="6">
        <v>720</v>
      </c>
      <c r="DM253" s="10"/>
      <c r="DN253" s="6">
        <f t="shared" si="102"/>
        <v>0</v>
      </c>
      <c r="DO253" s="6">
        <v>720</v>
      </c>
      <c r="DP253" s="10"/>
      <c r="DQ253" s="6">
        <f t="shared" si="103"/>
        <v>0</v>
      </c>
    </row>
    <row r="254" spans="1:121">
      <c r="A254" s="151">
        <v>250</v>
      </c>
      <c r="B254" s="6">
        <v>980</v>
      </c>
      <c r="C254" s="10"/>
      <c r="D254" s="6">
        <v>235</v>
      </c>
      <c r="E254" s="141" t="s">
        <v>380</v>
      </c>
      <c r="F254" s="141" t="s">
        <v>380</v>
      </c>
      <c r="G254" s="141" t="s">
        <v>380</v>
      </c>
      <c r="H254" s="141" t="s">
        <v>380</v>
      </c>
      <c r="I254" s="141" t="s">
        <v>380</v>
      </c>
      <c r="J254" s="141" t="s">
        <v>380</v>
      </c>
      <c r="K254" s="141" t="s">
        <v>380</v>
      </c>
      <c r="L254" s="141" t="s">
        <v>380</v>
      </c>
      <c r="M254" s="141" t="s">
        <v>380</v>
      </c>
      <c r="N254" s="141" t="s">
        <v>380</v>
      </c>
      <c r="O254" s="141" t="s">
        <v>380</v>
      </c>
      <c r="P254" s="141" t="s">
        <v>380</v>
      </c>
      <c r="Q254" s="141" t="s">
        <v>380</v>
      </c>
      <c r="R254" s="141" t="s">
        <v>380</v>
      </c>
      <c r="S254" s="141" t="s">
        <v>380</v>
      </c>
      <c r="T254" s="141" t="s">
        <v>380</v>
      </c>
      <c r="U254" s="141" t="s">
        <v>380</v>
      </c>
      <c r="V254" s="141" t="s">
        <v>380</v>
      </c>
      <c r="W254" s="141" t="s">
        <v>380</v>
      </c>
      <c r="X254" s="141" t="s">
        <v>380</v>
      </c>
      <c r="Y254" s="141" t="s">
        <v>380</v>
      </c>
      <c r="Z254" s="141" t="s">
        <v>380</v>
      </c>
      <c r="AA254" s="141" t="s">
        <v>380</v>
      </c>
      <c r="AB254" s="141" t="s">
        <v>380</v>
      </c>
      <c r="AC254" s="141" t="s">
        <v>380</v>
      </c>
      <c r="AD254" s="141" t="s">
        <v>380</v>
      </c>
      <c r="AE254" s="141" t="s">
        <v>380</v>
      </c>
      <c r="AF254" s="6">
        <v>158</v>
      </c>
      <c r="AG254" s="6">
        <v>1100</v>
      </c>
      <c r="AH254" s="35">
        <f t="shared" si="78"/>
        <v>278</v>
      </c>
      <c r="AI254" s="6">
        <v>413</v>
      </c>
      <c r="AJ254" s="6"/>
      <c r="AK254" s="35">
        <f t="shared" si="79"/>
        <v>255</v>
      </c>
      <c r="AL254" s="35">
        <v>678</v>
      </c>
      <c r="AM254" s="35"/>
      <c r="AN254" s="35">
        <f t="shared" si="80"/>
        <v>265</v>
      </c>
      <c r="AO254" s="6">
        <v>938</v>
      </c>
      <c r="AP254" s="6"/>
      <c r="AQ254" s="35">
        <f t="shared" si="81"/>
        <v>260</v>
      </c>
      <c r="AR254" s="6">
        <v>100</v>
      </c>
      <c r="AS254" s="6">
        <v>1100</v>
      </c>
      <c r="AT254" s="34">
        <f t="shared" si="82"/>
        <v>262</v>
      </c>
      <c r="AU254" s="35">
        <v>352</v>
      </c>
      <c r="AV254" s="35"/>
      <c r="AW254" s="35">
        <f t="shared" si="83"/>
        <v>252</v>
      </c>
      <c r="AX254" s="6"/>
      <c r="AY254" s="6"/>
      <c r="AZ254" s="35"/>
      <c r="BA254" s="6">
        <v>620</v>
      </c>
      <c r="BB254" s="6"/>
      <c r="BC254" s="35">
        <f t="shared" si="84"/>
        <v>268</v>
      </c>
      <c r="BD254" s="35">
        <v>887</v>
      </c>
      <c r="BE254" s="35"/>
      <c r="BF254" s="35">
        <f t="shared" si="85"/>
        <v>267</v>
      </c>
      <c r="BG254" s="35">
        <v>52</v>
      </c>
      <c r="BH254" s="6">
        <v>1100</v>
      </c>
      <c r="BI254" s="35">
        <f t="shared" si="86"/>
        <v>265</v>
      </c>
      <c r="BJ254" s="6">
        <v>318</v>
      </c>
      <c r="BK254" s="6"/>
      <c r="BL254" s="35">
        <f t="shared" si="87"/>
        <v>266</v>
      </c>
      <c r="BM254" s="6">
        <v>582</v>
      </c>
      <c r="BN254" s="6"/>
      <c r="BO254" s="6">
        <f t="shared" si="88"/>
        <v>264</v>
      </c>
      <c r="BP254" s="35">
        <v>815</v>
      </c>
      <c r="BQ254" s="35"/>
      <c r="BR254" s="6">
        <f t="shared" si="89"/>
        <v>233</v>
      </c>
      <c r="BS254" s="35"/>
      <c r="BT254" s="35"/>
      <c r="BU254" s="35"/>
      <c r="BV254" s="35">
        <v>815</v>
      </c>
      <c r="BW254" s="35"/>
      <c r="BX254" s="6">
        <f t="shared" si="90"/>
        <v>0</v>
      </c>
      <c r="BY254" s="35">
        <v>815</v>
      </c>
      <c r="BZ254" s="6"/>
      <c r="CA254" s="35">
        <f t="shared" si="91"/>
        <v>0</v>
      </c>
      <c r="CB254" s="6">
        <v>815</v>
      </c>
      <c r="CC254" s="6"/>
      <c r="CD254" s="6">
        <f t="shared" si="92"/>
        <v>0</v>
      </c>
      <c r="CE254" s="6">
        <v>815</v>
      </c>
      <c r="CF254" s="6"/>
      <c r="CG254" s="6">
        <f t="shared" si="93"/>
        <v>0</v>
      </c>
      <c r="CH254" s="6">
        <v>815</v>
      </c>
      <c r="CI254" s="6"/>
      <c r="CJ254" s="6">
        <f t="shared" si="94"/>
        <v>0</v>
      </c>
      <c r="CK254" s="6">
        <v>815</v>
      </c>
      <c r="CL254" s="6"/>
      <c r="CM254" s="6">
        <f t="shared" si="95"/>
        <v>0</v>
      </c>
      <c r="CN254" s="6"/>
      <c r="CO254" s="6"/>
      <c r="CP254" s="6"/>
      <c r="CQ254" s="6">
        <v>815</v>
      </c>
      <c r="CR254" s="6"/>
      <c r="CS254" s="6">
        <f t="shared" si="96"/>
        <v>0</v>
      </c>
      <c r="CT254" s="6">
        <v>815</v>
      </c>
      <c r="CU254" s="6"/>
      <c r="CV254" s="6">
        <f t="shared" si="97"/>
        <v>0</v>
      </c>
      <c r="CW254" s="6">
        <v>815</v>
      </c>
      <c r="CX254" s="6"/>
      <c r="CY254" s="6">
        <f t="shared" si="98"/>
        <v>0</v>
      </c>
      <c r="CZ254" s="6">
        <v>815</v>
      </c>
      <c r="DA254" s="6"/>
      <c r="DB254" s="6">
        <f t="shared" si="99"/>
        <v>0</v>
      </c>
      <c r="DC254" s="6">
        <v>815</v>
      </c>
      <c r="DD254" s="6"/>
      <c r="DE254" s="6">
        <f t="shared" si="100"/>
        <v>0</v>
      </c>
      <c r="DF254" s="6">
        <v>815</v>
      </c>
      <c r="DG254" s="6"/>
      <c r="DH254" s="6">
        <f t="shared" si="101"/>
        <v>0</v>
      </c>
      <c r="DI254" s="6"/>
      <c r="DJ254" s="10"/>
      <c r="DK254" s="6"/>
      <c r="DL254" s="6">
        <v>815</v>
      </c>
      <c r="DM254" s="10"/>
      <c r="DN254" s="6">
        <f t="shared" si="102"/>
        <v>0</v>
      </c>
      <c r="DO254" s="6">
        <v>815</v>
      </c>
      <c r="DP254" s="10"/>
      <c r="DQ254" s="6">
        <f t="shared" si="103"/>
        <v>0</v>
      </c>
    </row>
    <row r="255" spans="1:121">
      <c r="A255" s="151">
        <v>251</v>
      </c>
      <c r="B255" s="6">
        <v>993</v>
      </c>
      <c r="C255" s="10"/>
      <c r="D255" s="6">
        <v>216</v>
      </c>
      <c r="E255" s="33" t="s">
        <v>75</v>
      </c>
      <c r="F255" s="33" t="s">
        <v>75</v>
      </c>
      <c r="G255" s="33" t="s">
        <v>75</v>
      </c>
      <c r="H255" s="33" t="s">
        <v>75</v>
      </c>
      <c r="I255" s="33" t="s">
        <v>75</v>
      </c>
      <c r="J255" s="33" t="s">
        <v>75</v>
      </c>
      <c r="K255" s="33" t="s">
        <v>75</v>
      </c>
      <c r="L255" s="33" t="s">
        <v>75</v>
      </c>
      <c r="M255" s="33" t="s">
        <v>75</v>
      </c>
      <c r="N255" s="33" t="s">
        <v>75</v>
      </c>
      <c r="O255" s="33" t="s">
        <v>75</v>
      </c>
      <c r="P255" s="33" t="s">
        <v>75</v>
      </c>
      <c r="Q255" s="33" t="s">
        <v>75</v>
      </c>
      <c r="R255" s="33" t="s">
        <v>75</v>
      </c>
      <c r="S255" s="33" t="s">
        <v>75</v>
      </c>
      <c r="T255" s="33" t="s">
        <v>75</v>
      </c>
      <c r="U255" s="33" t="s">
        <v>75</v>
      </c>
      <c r="V255" s="33" t="s">
        <v>75</v>
      </c>
      <c r="W255" s="33" t="s">
        <v>75</v>
      </c>
      <c r="X255" s="33" t="s">
        <v>75</v>
      </c>
      <c r="Y255" s="33" t="s">
        <v>75</v>
      </c>
      <c r="Z255" s="33" t="s">
        <v>75</v>
      </c>
      <c r="AA255" s="33" t="s">
        <v>75</v>
      </c>
      <c r="AB255" s="33" t="s">
        <v>75</v>
      </c>
      <c r="AC255" s="33" t="s">
        <v>75</v>
      </c>
      <c r="AD255" s="33" t="s">
        <v>75</v>
      </c>
      <c r="AE255" s="33" t="s">
        <v>75</v>
      </c>
      <c r="AF255" s="6">
        <v>159</v>
      </c>
      <c r="AG255" s="6">
        <v>1100</v>
      </c>
      <c r="AH255" s="35">
        <f t="shared" si="78"/>
        <v>266</v>
      </c>
      <c r="AI255" s="6">
        <v>401</v>
      </c>
      <c r="AJ255" s="6"/>
      <c r="AK255" s="35">
        <f t="shared" si="79"/>
        <v>242</v>
      </c>
      <c r="AL255" s="35">
        <v>655</v>
      </c>
      <c r="AM255" s="35"/>
      <c r="AN255" s="35">
        <f t="shared" si="80"/>
        <v>254</v>
      </c>
      <c r="AO255" s="6">
        <v>904</v>
      </c>
      <c r="AP255" s="6"/>
      <c r="AQ255" s="35">
        <f t="shared" si="81"/>
        <v>249</v>
      </c>
      <c r="AR255" s="6">
        <v>57</v>
      </c>
      <c r="AS255" s="6">
        <v>1100</v>
      </c>
      <c r="AT255" s="34">
        <f t="shared" si="82"/>
        <v>253</v>
      </c>
      <c r="AU255" s="35">
        <v>297</v>
      </c>
      <c r="AV255" s="35"/>
      <c r="AW255" s="35">
        <f t="shared" si="83"/>
        <v>240</v>
      </c>
      <c r="AX255" s="6"/>
      <c r="AY255" s="6"/>
      <c r="AZ255" s="35"/>
      <c r="BA255" s="6">
        <v>553</v>
      </c>
      <c r="BB255" s="6"/>
      <c r="BC255" s="35">
        <f t="shared" si="84"/>
        <v>256</v>
      </c>
      <c r="BD255" s="35">
        <v>1</v>
      </c>
      <c r="BE255" s="35">
        <v>815</v>
      </c>
      <c r="BF255" s="35">
        <f t="shared" si="85"/>
        <v>263</v>
      </c>
      <c r="BG255" s="35">
        <v>263</v>
      </c>
      <c r="BH255" s="6"/>
      <c r="BI255" s="35">
        <f t="shared" si="86"/>
        <v>262</v>
      </c>
      <c r="BJ255" s="6">
        <v>552</v>
      </c>
      <c r="BK255" s="6"/>
      <c r="BL255" s="35">
        <f t="shared" si="87"/>
        <v>289</v>
      </c>
      <c r="BM255" s="6">
        <v>778</v>
      </c>
      <c r="BN255" s="6"/>
      <c r="BO255" s="6">
        <f t="shared" si="88"/>
        <v>226</v>
      </c>
      <c r="BP255" s="35">
        <v>1005</v>
      </c>
      <c r="BQ255" s="35"/>
      <c r="BR255" s="6">
        <f t="shared" si="89"/>
        <v>227</v>
      </c>
      <c r="BS255" s="35"/>
      <c r="BT255" s="35"/>
      <c r="BU255" s="35"/>
      <c r="BV255" s="35">
        <v>1005</v>
      </c>
      <c r="BW255" s="35"/>
      <c r="BX255" s="6">
        <f t="shared" si="90"/>
        <v>0</v>
      </c>
      <c r="BY255" s="6">
        <v>1005</v>
      </c>
      <c r="BZ255" s="6"/>
      <c r="CA255" s="35">
        <f t="shared" si="91"/>
        <v>0</v>
      </c>
      <c r="CB255" s="6">
        <v>1005</v>
      </c>
      <c r="CC255" s="6"/>
      <c r="CD255" s="6">
        <f t="shared" si="92"/>
        <v>0</v>
      </c>
      <c r="CE255" s="6">
        <v>1005</v>
      </c>
      <c r="CF255" s="6"/>
      <c r="CG255" s="6">
        <f t="shared" si="93"/>
        <v>0</v>
      </c>
      <c r="CH255" s="6">
        <v>1005</v>
      </c>
      <c r="CI255" s="6"/>
      <c r="CJ255" s="6">
        <f t="shared" si="94"/>
        <v>0</v>
      </c>
      <c r="CK255" s="6">
        <v>1005</v>
      </c>
      <c r="CL255" s="6"/>
      <c r="CM255" s="6">
        <f t="shared" si="95"/>
        <v>0</v>
      </c>
      <c r="CN255" s="6"/>
      <c r="CO255" s="6"/>
      <c r="CP255" s="6"/>
      <c r="CQ255" s="6">
        <v>1005</v>
      </c>
      <c r="CR255" s="6"/>
      <c r="CS255" s="6">
        <f t="shared" si="96"/>
        <v>0</v>
      </c>
      <c r="CT255" s="6">
        <v>1005</v>
      </c>
      <c r="CU255" s="6"/>
      <c r="CV255" s="6">
        <f t="shared" si="97"/>
        <v>0</v>
      </c>
      <c r="CW255" s="6">
        <v>1005</v>
      </c>
      <c r="CX255" s="6"/>
      <c r="CY255" s="6">
        <f t="shared" si="98"/>
        <v>0</v>
      </c>
      <c r="CZ255" s="6">
        <v>1005</v>
      </c>
      <c r="DA255" s="6"/>
      <c r="DB255" s="6">
        <f t="shared" si="99"/>
        <v>0</v>
      </c>
      <c r="DC255" s="6">
        <v>1005</v>
      </c>
      <c r="DD255" s="6"/>
      <c r="DE255" s="6">
        <f t="shared" si="100"/>
        <v>0</v>
      </c>
      <c r="DF255" s="6">
        <v>1005</v>
      </c>
      <c r="DG255" s="6"/>
      <c r="DH255" s="6">
        <f t="shared" si="101"/>
        <v>0</v>
      </c>
      <c r="DI255" s="6"/>
      <c r="DJ255" s="10"/>
      <c r="DK255" s="6"/>
      <c r="DL255" s="6">
        <v>1005</v>
      </c>
      <c r="DM255" s="10"/>
      <c r="DN255" s="6">
        <f t="shared" si="102"/>
        <v>0</v>
      </c>
      <c r="DO255" s="6">
        <v>1005</v>
      </c>
      <c r="DP255" s="10"/>
      <c r="DQ255" s="6">
        <f t="shared" si="103"/>
        <v>0</v>
      </c>
    </row>
    <row r="256" spans="1:121">
      <c r="A256" s="151">
        <v>252</v>
      </c>
      <c r="B256" s="6">
        <v>478</v>
      </c>
      <c r="C256" s="10"/>
      <c r="D256" s="6">
        <v>234</v>
      </c>
      <c r="E256" s="33" t="s">
        <v>75</v>
      </c>
      <c r="F256" s="33" t="s">
        <v>75</v>
      </c>
      <c r="G256" s="33" t="s">
        <v>75</v>
      </c>
      <c r="H256" s="33" t="s">
        <v>75</v>
      </c>
      <c r="I256" s="33" t="s">
        <v>75</v>
      </c>
      <c r="J256" s="33" t="s">
        <v>75</v>
      </c>
      <c r="K256" s="33" t="s">
        <v>75</v>
      </c>
      <c r="L256" s="33" t="s">
        <v>75</v>
      </c>
      <c r="M256" s="33" t="s">
        <v>75</v>
      </c>
      <c r="N256" s="33" t="s">
        <v>75</v>
      </c>
      <c r="O256" s="33" t="s">
        <v>75</v>
      </c>
      <c r="P256" s="33" t="s">
        <v>75</v>
      </c>
      <c r="Q256" s="33" t="s">
        <v>75</v>
      </c>
      <c r="R256" s="33" t="s">
        <v>75</v>
      </c>
      <c r="S256" s="33" t="s">
        <v>75</v>
      </c>
      <c r="T256" s="33" t="s">
        <v>75</v>
      </c>
      <c r="U256" s="33" t="s">
        <v>75</v>
      </c>
      <c r="V256" s="33" t="s">
        <v>75</v>
      </c>
      <c r="W256" s="33" t="s">
        <v>75</v>
      </c>
      <c r="X256" s="33" t="s">
        <v>75</v>
      </c>
      <c r="Y256" s="33" t="s">
        <v>75</v>
      </c>
      <c r="Z256" s="33" t="s">
        <v>75</v>
      </c>
      <c r="AA256" s="33" t="s">
        <v>75</v>
      </c>
      <c r="AB256" s="33" t="s">
        <v>75</v>
      </c>
      <c r="AC256" s="33" t="s">
        <v>75</v>
      </c>
      <c r="AD256" s="33" t="s">
        <v>75</v>
      </c>
      <c r="AE256" s="33" t="s">
        <v>75</v>
      </c>
      <c r="AF256" s="6">
        <v>759</v>
      </c>
      <c r="AG256" s="6"/>
      <c r="AH256" s="35">
        <f t="shared" si="78"/>
        <v>281</v>
      </c>
      <c r="AI256" s="6">
        <v>1011</v>
      </c>
      <c r="AJ256" s="6"/>
      <c r="AK256" s="35">
        <f t="shared" si="79"/>
        <v>252</v>
      </c>
      <c r="AL256" s="35">
        <v>166</v>
      </c>
      <c r="AM256" s="35">
        <v>1100</v>
      </c>
      <c r="AN256" s="35">
        <f t="shared" si="80"/>
        <v>255</v>
      </c>
      <c r="AO256" s="6">
        <v>430</v>
      </c>
      <c r="AP256" s="6"/>
      <c r="AQ256" s="35">
        <f t="shared" si="81"/>
        <v>264</v>
      </c>
      <c r="AR256" s="6">
        <v>695</v>
      </c>
      <c r="AS256" s="6"/>
      <c r="AT256" s="34">
        <f t="shared" si="82"/>
        <v>265</v>
      </c>
      <c r="AU256" s="35">
        <v>948</v>
      </c>
      <c r="AV256" s="35"/>
      <c r="AW256" s="35">
        <f t="shared" si="83"/>
        <v>253</v>
      </c>
      <c r="AX256" s="6"/>
      <c r="AY256" s="6"/>
      <c r="AZ256" s="35"/>
      <c r="BA256" s="6">
        <v>110</v>
      </c>
      <c r="BB256" s="6">
        <v>1100</v>
      </c>
      <c r="BC256" s="35">
        <f t="shared" si="84"/>
        <v>262</v>
      </c>
      <c r="BD256" s="35">
        <v>371</v>
      </c>
      <c r="BE256" s="35"/>
      <c r="BF256" s="35">
        <f t="shared" si="85"/>
        <v>261</v>
      </c>
      <c r="BG256" s="35">
        <v>620</v>
      </c>
      <c r="BH256" s="6"/>
      <c r="BI256" s="35">
        <f t="shared" si="86"/>
        <v>249</v>
      </c>
      <c r="BJ256" s="6">
        <v>884</v>
      </c>
      <c r="BK256" s="6"/>
      <c r="BL256" s="35">
        <f t="shared" si="87"/>
        <v>264</v>
      </c>
      <c r="BM256" s="6">
        <v>47</v>
      </c>
      <c r="BN256" s="6">
        <v>1100</v>
      </c>
      <c r="BO256" s="6">
        <f t="shared" si="88"/>
        <v>263</v>
      </c>
      <c r="BP256" s="35">
        <v>282</v>
      </c>
      <c r="BQ256" s="35"/>
      <c r="BR256" s="6">
        <f t="shared" si="89"/>
        <v>235</v>
      </c>
      <c r="BS256" s="35"/>
      <c r="BT256" s="35"/>
      <c r="BU256" s="35"/>
      <c r="BV256" s="35">
        <v>282</v>
      </c>
      <c r="BW256" s="35"/>
      <c r="BX256" s="6">
        <f t="shared" si="90"/>
        <v>0</v>
      </c>
      <c r="BY256" s="35">
        <v>282</v>
      </c>
      <c r="BZ256" s="6"/>
      <c r="CA256" s="35">
        <f t="shared" si="91"/>
        <v>0</v>
      </c>
      <c r="CB256" s="6">
        <v>282</v>
      </c>
      <c r="CC256" s="6"/>
      <c r="CD256" s="6">
        <f t="shared" si="92"/>
        <v>0</v>
      </c>
      <c r="CE256" s="6">
        <v>282</v>
      </c>
      <c r="CF256" s="6"/>
      <c r="CG256" s="6">
        <f t="shared" si="93"/>
        <v>0</v>
      </c>
      <c r="CH256" s="6">
        <v>282</v>
      </c>
      <c r="CI256" s="6"/>
      <c r="CJ256" s="6">
        <f t="shared" si="94"/>
        <v>0</v>
      </c>
      <c r="CK256" s="6">
        <v>282</v>
      </c>
      <c r="CL256" s="6"/>
      <c r="CM256" s="6">
        <f t="shared" si="95"/>
        <v>0</v>
      </c>
      <c r="CN256" s="6"/>
      <c r="CO256" s="6"/>
      <c r="CP256" s="6"/>
      <c r="CQ256" s="6">
        <v>282</v>
      </c>
      <c r="CR256" s="6"/>
      <c r="CS256" s="6">
        <f t="shared" si="96"/>
        <v>0</v>
      </c>
      <c r="CT256" s="6">
        <v>282</v>
      </c>
      <c r="CU256" s="6"/>
      <c r="CV256" s="6">
        <f t="shared" si="97"/>
        <v>0</v>
      </c>
      <c r="CW256" s="6">
        <v>282</v>
      </c>
      <c r="CX256" s="6"/>
      <c r="CY256" s="6">
        <f t="shared" si="98"/>
        <v>0</v>
      </c>
      <c r="CZ256" s="6">
        <v>282</v>
      </c>
      <c r="DA256" s="6"/>
      <c r="DB256" s="6">
        <f t="shared" si="99"/>
        <v>0</v>
      </c>
      <c r="DC256" s="6">
        <v>282</v>
      </c>
      <c r="DD256" s="6"/>
      <c r="DE256" s="6">
        <f t="shared" si="100"/>
        <v>0</v>
      </c>
      <c r="DF256" s="6">
        <v>282</v>
      </c>
      <c r="DG256" s="6"/>
      <c r="DH256" s="6">
        <f t="shared" si="101"/>
        <v>0</v>
      </c>
      <c r="DI256" s="6"/>
      <c r="DJ256" s="10"/>
      <c r="DK256" s="6"/>
      <c r="DL256" s="6">
        <v>282</v>
      </c>
      <c r="DM256" s="10"/>
      <c r="DN256" s="6">
        <f t="shared" si="102"/>
        <v>0</v>
      </c>
      <c r="DO256" s="6">
        <v>282</v>
      </c>
      <c r="DP256" s="10"/>
      <c r="DQ256" s="6">
        <f t="shared" si="103"/>
        <v>0</v>
      </c>
    </row>
    <row r="257" spans="1:121">
      <c r="A257" s="6">
        <v>253</v>
      </c>
      <c r="B257" s="6"/>
      <c r="C257" s="10"/>
      <c r="D257" s="6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6"/>
      <c r="AG257" s="6"/>
      <c r="AH257" s="35"/>
      <c r="AI257" s="6"/>
      <c r="AJ257" s="6"/>
      <c r="AK257" s="35"/>
      <c r="AL257" s="35"/>
      <c r="AM257" s="35"/>
      <c r="AN257" s="35"/>
      <c r="AO257" s="6"/>
      <c r="AP257" s="6"/>
      <c r="AQ257" s="35"/>
      <c r="AR257" s="6"/>
      <c r="AS257" s="6"/>
      <c r="AT257" s="34"/>
      <c r="AU257" s="35"/>
      <c r="AV257" s="35"/>
      <c r="AW257" s="35"/>
      <c r="AX257" s="6"/>
      <c r="AY257" s="6"/>
      <c r="AZ257" s="35"/>
      <c r="BA257" s="6"/>
      <c r="BB257" s="6"/>
      <c r="BC257" s="35"/>
      <c r="BD257" s="35"/>
      <c r="BE257" s="35"/>
      <c r="BF257" s="35"/>
      <c r="BG257" s="269"/>
      <c r="BH257" s="6"/>
      <c r="BI257" s="35"/>
      <c r="BJ257" s="6"/>
      <c r="BK257" s="6"/>
      <c r="BL257" s="35"/>
      <c r="BM257" s="6"/>
      <c r="BN257" s="6"/>
      <c r="BO257" s="6"/>
      <c r="BP257" s="35"/>
      <c r="BQ257" s="35"/>
      <c r="BR257" s="6"/>
      <c r="BS257" s="35"/>
      <c r="BT257" s="35"/>
      <c r="BU257" s="35"/>
      <c r="BV257" s="35"/>
      <c r="BW257" s="35"/>
      <c r="BX257" s="6"/>
      <c r="BY257" s="6"/>
      <c r="BZ257" s="6"/>
      <c r="CA257" s="35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10"/>
      <c r="DK257" s="6"/>
      <c r="DL257" s="6"/>
      <c r="DM257" s="10"/>
      <c r="DN257" s="6"/>
      <c r="DO257" s="6"/>
      <c r="DP257" s="10"/>
      <c r="DQ257" s="6"/>
    </row>
    <row r="258" spans="1:121">
      <c r="A258" s="6">
        <v>254</v>
      </c>
      <c r="B258" s="6"/>
      <c r="C258" s="10"/>
      <c r="D258" s="6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6"/>
      <c r="AG258" s="6"/>
      <c r="AH258" s="35"/>
      <c r="AI258" s="6"/>
      <c r="AJ258" s="6"/>
      <c r="AK258" s="35"/>
      <c r="AL258" s="35"/>
      <c r="AM258" s="35"/>
      <c r="AN258" s="35"/>
      <c r="AO258" s="6"/>
      <c r="AP258" s="6"/>
      <c r="AQ258" s="35"/>
      <c r="AR258" s="6"/>
      <c r="AS258" s="6"/>
      <c r="AT258" s="34"/>
      <c r="AU258" s="35"/>
      <c r="AV258" s="35"/>
      <c r="AW258" s="35"/>
      <c r="AX258" s="6"/>
      <c r="AY258" s="6"/>
      <c r="AZ258" s="35"/>
      <c r="BA258" s="6"/>
      <c r="BB258" s="6"/>
      <c r="BC258" s="35"/>
      <c r="BD258" s="35"/>
      <c r="BE258" s="35"/>
      <c r="BF258" s="35"/>
      <c r="BG258" s="35"/>
      <c r="BH258" s="6"/>
      <c r="BI258" s="35"/>
      <c r="BJ258" s="6"/>
      <c r="BK258" s="6"/>
      <c r="BL258" s="35"/>
      <c r="BM258" s="6"/>
      <c r="BN258" s="6"/>
      <c r="BO258" s="6"/>
      <c r="BP258" s="35"/>
      <c r="BQ258" s="35"/>
      <c r="BR258" s="6"/>
      <c r="BS258" s="35"/>
      <c r="BT258" s="35"/>
      <c r="BU258" s="35"/>
      <c r="BV258" s="35"/>
      <c r="BW258" s="35"/>
      <c r="BX258" s="6"/>
      <c r="BY258" s="6"/>
      <c r="BZ258" s="6"/>
      <c r="CA258" s="35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10"/>
      <c r="DK258" s="6"/>
      <c r="DL258" s="6"/>
      <c r="DM258" s="10"/>
      <c r="DN258" s="6"/>
      <c r="DO258" s="6"/>
      <c r="DP258" s="10"/>
      <c r="DQ258" s="6"/>
    </row>
    <row r="259" spans="1:121">
      <c r="A259" s="6">
        <v>255</v>
      </c>
      <c r="B259" s="6"/>
      <c r="C259" s="10"/>
      <c r="D259" s="6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6"/>
      <c r="AG259" s="6"/>
      <c r="AH259" s="35"/>
      <c r="AI259" s="6"/>
      <c r="AJ259" s="6"/>
      <c r="AK259" s="35"/>
      <c r="AL259" s="35"/>
      <c r="AM259" s="35"/>
      <c r="AN259" s="35"/>
      <c r="AO259" s="6"/>
      <c r="AP259" s="6"/>
      <c r="AQ259" s="35"/>
      <c r="AR259" s="6"/>
      <c r="AS259" s="6"/>
      <c r="AT259" s="34"/>
      <c r="AU259" s="35"/>
      <c r="AV259" s="35"/>
      <c r="AW259" s="35"/>
      <c r="AX259" s="6"/>
      <c r="AY259" s="6"/>
      <c r="AZ259" s="35"/>
      <c r="BA259" s="6"/>
      <c r="BB259" s="6"/>
      <c r="BC259" s="35"/>
      <c r="BD259" s="35"/>
      <c r="BE259" s="35"/>
      <c r="BF259" s="35"/>
      <c r="BG259" s="35"/>
      <c r="BH259" s="6"/>
      <c r="BI259" s="35"/>
      <c r="BJ259" s="6"/>
      <c r="BK259" s="6"/>
      <c r="BL259" s="35"/>
      <c r="BM259" s="6"/>
      <c r="BN259" s="6"/>
      <c r="BO259" s="6"/>
      <c r="BP259" s="35"/>
      <c r="BQ259" s="35"/>
      <c r="BR259" s="6"/>
      <c r="BS259" s="35"/>
      <c r="BT259" s="35"/>
      <c r="BU259" s="35"/>
      <c r="BV259" s="35"/>
      <c r="BW259" s="35"/>
      <c r="BX259" s="6"/>
      <c r="BY259" s="6"/>
      <c r="BZ259" s="6"/>
      <c r="CA259" s="35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10"/>
      <c r="DK259" s="6"/>
      <c r="DL259" s="6"/>
      <c r="DM259" s="10"/>
      <c r="DN259" s="6"/>
      <c r="DO259" s="6"/>
      <c r="DP259" s="10"/>
      <c r="DQ259" s="6"/>
    </row>
    <row r="260" spans="1:121">
      <c r="A260" s="6">
        <v>256</v>
      </c>
      <c r="B260" s="6"/>
      <c r="C260" s="10"/>
      <c r="D260" s="6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6"/>
      <c r="AG260" s="6"/>
      <c r="AH260" s="35"/>
      <c r="AI260" s="6"/>
      <c r="AJ260" s="6"/>
      <c r="AK260" s="35"/>
      <c r="AL260" s="35"/>
      <c r="AM260" s="35"/>
      <c r="AN260" s="35"/>
      <c r="AO260" s="6"/>
      <c r="AP260" s="6"/>
      <c r="AQ260" s="35"/>
      <c r="AR260" s="6"/>
      <c r="AS260" s="6"/>
      <c r="AT260" s="34"/>
      <c r="AU260" s="35"/>
      <c r="AV260" s="35"/>
      <c r="AW260" s="35"/>
      <c r="AX260" s="6"/>
      <c r="AY260" s="6"/>
      <c r="AZ260" s="35"/>
      <c r="BA260" s="6"/>
      <c r="BB260" s="6"/>
      <c r="BC260" s="35"/>
      <c r="BD260" s="35"/>
      <c r="BE260" s="35"/>
      <c r="BF260" s="35"/>
      <c r="BG260" s="35"/>
      <c r="BH260" s="6"/>
      <c r="BI260" s="35"/>
      <c r="BJ260" s="6"/>
      <c r="BK260" s="6"/>
      <c r="BL260" s="35"/>
      <c r="BM260" s="6"/>
      <c r="BN260" s="6"/>
      <c r="BO260" s="6"/>
      <c r="BP260" s="35"/>
      <c r="BQ260" s="35"/>
      <c r="BR260" s="6"/>
      <c r="BS260" s="35"/>
      <c r="BT260" s="35"/>
      <c r="BU260" s="35"/>
      <c r="BV260" s="35"/>
      <c r="BW260" s="35"/>
      <c r="BX260" s="6"/>
      <c r="BY260" s="6"/>
      <c r="BZ260" s="6"/>
      <c r="CA260" s="35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10"/>
      <c r="DK260" s="6"/>
      <c r="DL260" s="6"/>
      <c r="DM260" s="10"/>
      <c r="DN260" s="6"/>
      <c r="DO260" s="6"/>
      <c r="DP260" s="10"/>
      <c r="DQ260" s="6"/>
    </row>
    <row r="261" spans="1:121">
      <c r="A261" s="6">
        <v>257</v>
      </c>
      <c r="B261" s="6"/>
      <c r="C261" s="10"/>
      <c r="D261" s="6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6"/>
      <c r="AG261" s="6"/>
      <c r="AH261" s="35"/>
      <c r="AI261" s="6"/>
      <c r="AJ261" s="6"/>
      <c r="AK261" s="35"/>
      <c r="AL261" s="35"/>
      <c r="AM261" s="35"/>
      <c r="AN261" s="35"/>
      <c r="AO261" s="6"/>
      <c r="AP261" s="6"/>
      <c r="AQ261" s="35"/>
      <c r="AR261" s="6"/>
      <c r="AS261" s="6"/>
      <c r="AT261" s="34"/>
      <c r="AU261" s="35"/>
      <c r="AV261" s="35"/>
      <c r="AW261" s="35"/>
      <c r="AX261" s="6"/>
      <c r="AY261" s="6"/>
      <c r="AZ261" s="35"/>
      <c r="BA261" s="6"/>
      <c r="BB261" s="6"/>
      <c r="BC261" s="35"/>
      <c r="BD261" s="35"/>
      <c r="BE261" s="35"/>
      <c r="BF261" s="35"/>
      <c r="BG261" s="35"/>
      <c r="BH261" s="6"/>
      <c r="BI261" s="35"/>
      <c r="BJ261" s="6"/>
      <c r="BK261" s="6"/>
      <c r="BL261" s="35"/>
      <c r="BM261" s="6"/>
      <c r="BN261" s="6"/>
      <c r="BO261" s="6"/>
      <c r="BP261" s="35"/>
      <c r="BQ261" s="35"/>
      <c r="BR261" s="6"/>
      <c r="BS261" s="35"/>
      <c r="BT261" s="35"/>
      <c r="BU261" s="35"/>
      <c r="BV261" s="35"/>
      <c r="BW261" s="35"/>
      <c r="BX261" s="6"/>
      <c r="BY261" s="6"/>
      <c r="BZ261" s="6"/>
      <c r="CA261" s="35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10"/>
      <c r="DK261" s="6"/>
      <c r="DL261" s="6"/>
      <c r="DM261" s="10"/>
      <c r="DN261" s="6"/>
      <c r="DO261" s="6"/>
      <c r="DP261" s="10"/>
      <c r="DQ261" s="6"/>
    </row>
    <row r="262" spans="1:121">
      <c r="A262" s="6">
        <v>258</v>
      </c>
      <c r="B262" s="6"/>
      <c r="C262" s="10"/>
      <c r="D262" s="6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6"/>
      <c r="AG262" s="6"/>
      <c r="AH262" s="35"/>
      <c r="AI262" s="6"/>
      <c r="AJ262" s="6"/>
      <c r="AK262" s="35"/>
      <c r="AL262" s="35"/>
      <c r="AM262" s="35"/>
      <c r="AN262" s="35"/>
      <c r="AO262" s="6"/>
      <c r="AP262" s="6"/>
      <c r="AQ262" s="35"/>
      <c r="AR262" s="6"/>
      <c r="AS262" s="6"/>
      <c r="AT262" s="34"/>
      <c r="AU262" s="35"/>
      <c r="AV262" s="35"/>
      <c r="AW262" s="35"/>
      <c r="AX262" s="6"/>
      <c r="AY262" s="6"/>
      <c r="AZ262" s="35"/>
      <c r="BA262" s="6"/>
      <c r="BB262" s="6"/>
      <c r="BC262" s="35"/>
      <c r="BD262" s="35"/>
      <c r="BE262" s="35"/>
      <c r="BF262" s="35"/>
      <c r="BG262" s="35"/>
      <c r="BH262" s="6"/>
      <c r="BI262" s="35"/>
      <c r="BJ262" s="6"/>
      <c r="BK262" s="6"/>
      <c r="BL262" s="35"/>
      <c r="BM262" s="6"/>
      <c r="BN262" s="6"/>
      <c r="BO262" s="6"/>
      <c r="BP262" s="35"/>
      <c r="BQ262" s="35"/>
      <c r="BR262" s="6"/>
      <c r="BS262" s="35"/>
      <c r="BT262" s="35"/>
      <c r="BU262" s="35"/>
      <c r="BV262" s="35"/>
      <c r="BW262" s="35"/>
      <c r="BX262" s="6"/>
      <c r="BY262" s="6"/>
      <c r="BZ262" s="6"/>
      <c r="CA262" s="35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10"/>
      <c r="DK262" s="6"/>
      <c r="DL262" s="6"/>
      <c r="DM262" s="10"/>
      <c r="DN262" s="6"/>
      <c r="DO262" s="6"/>
      <c r="DP262" s="10"/>
      <c r="DQ262" s="6"/>
    </row>
    <row r="263" spans="1:121" ht="14.25" customHeight="1">
      <c r="A263" s="6">
        <v>259</v>
      </c>
      <c r="B263" s="6"/>
      <c r="C263" s="10"/>
      <c r="D263" s="6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6"/>
      <c r="AG263" s="6"/>
      <c r="AH263" s="35"/>
      <c r="AI263" s="6"/>
      <c r="AJ263" s="6"/>
      <c r="AK263" s="35"/>
      <c r="AL263" s="35"/>
      <c r="AM263" s="35"/>
      <c r="AN263" s="35"/>
      <c r="AO263" s="6"/>
      <c r="AP263" s="6"/>
      <c r="AQ263" s="35"/>
      <c r="AR263" s="6"/>
      <c r="AS263" s="6"/>
      <c r="AT263" s="34"/>
      <c r="AU263" s="35"/>
      <c r="AV263" s="35"/>
      <c r="AW263" s="35"/>
      <c r="AX263" s="6"/>
      <c r="AY263" s="6"/>
      <c r="AZ263" s="35"/>
      <c r="BA263" s="6"/>
      <c r="BB263" s="6"/>
      <c r="BC263" s="35"/>
      <c r="BD263" s="35"/>
      <c r="BE263" s="35"/>
      <c r="BF263" s="35"/>
      <c r="BG263" s="35"/>
      <c r="BH263" s="6"/>
      <c r="BI263" s="35"/>
      <c r="BJ263" s="6"/>
      <c r="BK263" s="6"/>
      <c r="BL263" s="35"/>
      <c r="BM263" s="6"/>
      <c r="BN263" s="6"/>
      <c r="BO263" s="6"/>
      <c r="BP263" s="35"/>
      <c r="BQ263" s="35"/>
      <c r="BR263" s="6"/>
      <c r="BS263" s="35"/>
      <c r="BT263" s="35"/>
      <c r="BU263" s="35"/>
      <c r="BV263" s="35"/>
      <c r="BW263" s="35"/>
      <c r="BX263" s="6"/>
      <c r="BY263" s="6"/>
      <c r="BZ263" s="6"/>
      <c r="CA263" s="35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10"/>
      <c r="DK263" s="6"/>
      <c r="DL263" s="6"/>
      <c r="DM263" s="10"/>
      <c r="DN263" s="6"/>
      <c r="DO263" s="6"/>
      <c r="DP263" s="10"/>
      <c r="DQ263" s="6"/>
    </row>
    <row r="264" spans="1:121">
      <c r="A264" s="6">
        <v>260</v>
      </c>
      <c r="B264" s="6"/>
      <c r="C264" s="10"/>
      <c r="D264" s="6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6"/>
      <c r="AG264" s="6"/>
      <c r="AH264" s="35"/>
      <c r="AI264" s="6"/>
      <c r="AJ264" s="6"/>
      <c r="AK264" s="35"/>
      <c r="AL264" s="35"/>
      <c r="AM264" s="35"/>
      <c r="AN264" s="35"/>
      <c r="AO264" s="6"/>
      <c r="AP264" s="6"/>
      <c r="AQ264" s="35"/>
      <c r="AR264" s="6"/>
      <c r="AS264" s="6"/>
      <c r="AT264" s="34"/>
      <c r="AU264" s="35"/>
      <c r="AV264" s="35"/>
      <c r="AW264" s="35"/>
      <c r="AX264" s="6"/>
      <c r="AY264" s="6"/>
      <c r="AZ264" s="35"/>
      <c r="BA264" s="6"/>
      <c r="BB264" s="6"/>
      <c r="BC264" s="35"/>
      <c r="BD264" s="35"/>
      <c r="BE264" s="35"/>
      <c r="BF264" s="35"/>
      <c r="BG264" s="35"/>
      <c r="BH264" s="6"/>
      <c r="BI264" s="35"/>
      <c r="BJ264" s="6"/>
      <c r="BK264" s="6"/>
      <c r="BL264" s="35"/>
      <c r="BM264" s="6"/>
      <c r="BN264" s="6"/>
      <c r="BO264" s="6"/>
      <c r="BP264" s="35"/>
      <c r="BQ264" s="35"/>
      <c r="BR264" s="6"/>
      <c r="BS264" s="35"/>
      <c r="BT264" s="35"/>
      <c r="BU264" s="35"/>
      <c r="BV264" s="35"/>
      <c r="BW264" s="35"/>
      <c r="BX264" s="6"/>
      <c r="BY264" s="6"/>
      <c r="BZ264" s="6"/>
      <c r="CA264" s="35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10"/>
      <c r="DK264" s="6"/>
      <c r="DL264" s="6"/>
      <c r="DM264" s="10"/>
      <c r="DN264" s="6"/>
      <c r="DO264" s="6"/>
      <c r="DP264" s="10"/>
      <c r="DQ264" s="6"/>
    </row>
    <row r="265" spans="1:121">
      <c r="A265" s="6">
        <v>261</v>
      </c>
      <c r="B265" s="6">
        <v>0</v>
      </c>
      <c r="C265" s="10"/>
      <c r="D265" s="6">
        <v>0</v>
      </c>
      <c r="E265" s="141" t="s">
        <v>248</v>
      </c>
      <c r="F265" s="141" t="s">
        <v>248</v>
      </c>
      <c r="G265" s="141" t="s">
        <v>248</v>
      </c>
      <c r="H265" s="141" t="s">
        <v>248</v>
      </c>
      <c r="I265" s="141" t="s">
        <v>248</v>
      </c>
      <c r="J265" s="141" t="s">
        <v>248</v>
      </c>
      <c r="K265" s="141" t="s">
        <v>248</v>
      </c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6">
        <v>0</v>
      </c>
      <c r="AG265" s="6"/>
      <c r="AH265" s="35">
        <f t="shared" ref="AH265:AH307" si="104">AG265+AF265-B265</f>
        <v>0</v>
      </c>
      <c r="AI265" s="6">
        <v>0</v>
      </c>
      <c r="AJ265" s="6"/>
      <c r="AK265" s="35">
        <f t="shared" ref="AK265:AK307" si="105">AJ265+AI265-AF265</f>
        <v>0</v>
      </c>
      <c r="AL265" s="35">
        <v>0</v>
      </c>
      <c r="AM265" s="35"/>
      <c r="AN265" s="35">
        <f t="shared" ref="AN265:AN307" si="106">AM265+AL265-AI265</f>
        <v>0</v>
      </c>
      <c r="AO265" s="6">
        <v>0</v>
      </c>
      <c r="AP265" s="6"/>
      <c r="AQ265" s="35">
        <f>AP265+AO265-AL265</f>
        <v>0</v>
      </c>
      <c r="AR265" s="6">
        <v>0</v>
      </c>
      <c r="AS265" s="6"/>
      <c r="AT265" s="34">
        <f t="shared" ref="AT265:AT307" si="107">AS265+AR265-AO265</f>
        <v>0</v>
      </c>
      <c r="AU265" s="35">
        <v>0</v>
      </c>
      <c r="AV265" s="35"/>
      <c r="AW265" s="35">
        <f t="shared" ref="AW265:AW307" si="108">AV265+AU265-AR265</f>
        <v>0</v>
      </c>
      <c r="AX265" s="6"/>
      <c r="AY265" s="6"/>
      <c r="AZ265" s="35"/>
      <c r="BA265" s="6"/>
      <c r="BB265" s="6"/>
      <c r="BC265" s="35"/>
      <c r="BD265" s="35"/>
      <c r="BE265" s="35"/>
      <c r="BF265" s="35"/>
      <c r="BG265" s="35"/>
      <c r="BH265" s="6"/>
      <c r="BI265" s="35"/>
      <c r="BJ265" s="6"/>
      <c r="BK265" s="6"/>
      <c r="BL265" s="35"/>
      <c r="BM265" s="6"/>
      <c r="BN265" s="6"/>
      <c r="BO265" s="6"/>
      <c r="BP265" s="35"/>
      <c r="BQ265" s="35"/>
      <c r="BR265" s="6"/>
      <c r="BS265" s="35"/>
      <c r="BT265" s="35"/>
      <c r="BU265" s="35"/>
      <c r="BV265" s="35"/>
      <c r="BW265" s="35"/>
      <c r="BX265" s="6"/>
      <c r="BY265" s="6"/>
      <c r="BZ265" s="6"/>
      <c r="CA265" s="35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10"/>
      <c r="DK265" s="6"/>
      <c r="DL265" s="6"/>
      <c r="DM265" s="10"/>
      <c r="DN265" s="6"/>
      <c r="DO265" s="6"/>
      <c r="DP265" s="10"/>
      <c r="DQ265" s="6"/>
    </row>
    <row r="266" spans="1:121">
      <c r="A266" s="6">
        <v>262</v>
      </c>
      <c r="B266" s="6">
        <v>0</v>
      </c>
      <c r="C266" s="10"/>
      <c r="D266" s="6">
        <v>0</v>
      </c>
      <c r="E266" s="141" t="s">
        <v>248</v>
      </c>
      <c r="F266" s="141" t="s">
        <v>248</v>
      </c>
      <c r="G266" s="141" t="s">
        <v>248</v>
      </c>
      <c r="H266" s="141" t="s">
        <v>248</v>
      </c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6">
        <v>0</v>
      </c>
      <c r="AG266" s="6"/>
      <c r="AH266" s="35">
        <f t="shared" si="104"/>
        <v>0</v>
      </c>
      <c r="AI266" s="6">
        <v>0</v>
      </c>
      <c r="AJ266" s="6"/>
      <c r="AK266" s="35">
        <f t="shared" si="105"/>
        <v>0</v>
      </c>
      <c r="AL266" s="35">
        <v>0</v>
      </c>
      <c r="AM266" s="35"/>
      <c r="AN266" s="35">
        <f t="shared" si="106"/>
        <v>0</v>
      </c>
      <c r="AO266" s="6"/>
      <c r="AP266" s="6"/>
      <c r="AQ266" s="35"/>
      <c r="AR266" s="6"/>
      <c r="AS266" s="6"/>
      <c r="AT266" s="34"/>
      <c r="AU266" s="35"/>
      <c r="AV266" s="35"/>
      <c r="AW266" s="35"/>
      <c r="AX266" s="6"/>
      <c r="AY266" s="6"/>
      <c r="AZ266" s="35"/>
      <c r="BA266" s="6"/>
      <c r="BB266" s="6"/>
      <c r="BC266" s="35"/>
      <c r="BD266" s="35"/>
      <c r="BE266" s="35"/>
      <c r="BF266" s="35"/>
      <c r="BG266" s="35"/>
      <c r="BH266" s="6"/>
      <c r="BI266" s="35"/>
      <c r="BJ266" s="6"/>
      <c r="BK266" s="6"/>
      <c r="BL266" s="35"/>
      <c r="BM266" s="6"/>
      <c r="BN266" s="6"/>
      <c r="BO266" s="6"/>
      <c r="BP266" s="35"/>
      <c r="BQ266" s="35"/>
      <c r="BR266" s="6"/>
      <c r="BS266" s="35"/>
      <c r="BT266" s="35"/>
      <c r="BU266" s="35"/>
      <c r="BV266" s="35"/>
      <c r="BW266" s="35"/>
      <c r="BX266" s="6"/>
      <c r="BY266" s="6"/>
      <c r="BZ266" s="6"/>
      <c r="CA266" s="35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10"/>
      <c r="DK266" s="6"/>
      <c r="DL266" s="6"/>
      <c r="DM266" s="10"/>
      <c r="DN266" s="6"/>
      <c r="DO266" s="6"/>
      <c r="DP266" s="10"/>
      <c r="DQ266" s="6"/>
    </row>
    <row r="267" spans="1:121">
      <c r="A267" s="6">
        <v>263</v>
      </c>
      <c r="B267" s="6">
        <v>0</v>
      </c>
      <c r="C267" s="10"/>
      <c r="D267" s="6">
        <v>0</v>
      </c>
      <c r="E267" s="141" t="s">
        <v>248</v>
      </c>
      <c r="F267" s="141" t="s">
        <v>248</v>
      </c>
      <c r="G267" s="141" t="s">
        <v>248</v>
      </c>
      <c r="H267" s="141" t="s">
        <v>248</v>
      </c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6">
        <v>0</v>
      </c>
      <c r="AG267" s="6"/>
      <c r="AH267" s="35">
        <f t="shared" si="104"/>
        <v>0</v>
      </c>
      <c r="AI267" s="6">
        <v>0</v>
      </c>
      <c r="AJ267" s="6"/>
      <c r="AK267" s="35">
        <f t="shared" si="105"/>
        <v>0</v>
      </c>
      <c r="AL267" s="35">
        <v>0</v>
      </c>
      <c r="AM267" s="35"/>
      <c r="AN267" s="35">
        <f t="shared" si="106"/>
        <v>0</v>
      </c>
      <c r="AO267" s="6"/>
      <c r="AP267" s="6"/>
      <c r="AQ267" s="35"/>
      <c r="AR267" s="6"/>
      <c r="AS267" s="6"/>
      <c r="AT267" s="34"/>
      <c r="AU267" s="35"/>
      <c r="AV267" s="35"/>
      <c r="AW267" s="35"/>
      <c r="AX267" s="6"/>
      <c r="AY267" s="6"/>
      <c r="AZ267" s="35"/>
      <c r="BA267" s="6"/>
      <c r="BB267" s="6"/>
      <c r="BC267" s="35"/>
      <c r="BD267" s="35"/>
      <c r="BE267" s="35"/>
      <c r="BF267" s="35"/>
      <c r="BG267" s="35"/>
      <c r="BH267" s="6"/>
      <c r="BI267" s="35"/>
      <c r="BJ267" s="6"/>
      <c r="BK267" s="6"/>
      <c r="BL267" s="35"/>
      <c r="BM267" s="6"/>
      <c r="BN267" s="6"/>
      <c r="BO267" s="6"/>
      <c r="BP267" s="35"/>
      <c r="BQ267" s="35"/>
      <c r="BR267" s="6"/>
      <c r="BS267" s="35"/>
      <c r="BT267" s="35"/>
      <c r="BU267" s="35"/>
      <c r="BV267" s="35"/>
      <c r="BW267" s="35"/>
      <c r="BX267" s="6"/>
      <c r="BY267" s="6"/>
      <c r="BZ267" s="6"/>
      <c r="CA267" s="35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10"/>
      <c r="DK267" s="6"/>
      <c r="DL267" s="6"/>
      <c r="DM267" s="10"/>
      <c r="DN267" s="6"/>
      <c r="DO267" s="6"/>
      <c r="DP267" s="10"/>
      <c r="DQ267" s="6"/>
    </row>
    <row r="268" spans="1:121">
      <c r="A268" s="6">
        <v>264</v>
      </c>
      <c r="B268" s="6">
        <v>0</v>
      </c>
      <c r="C268" s="10"/>
      <c r="D268" s="6">
        <v>0</v>
      </c>
      <c r="E268" s="141" t="s">
        <v>248</v>
      </c>
      <c r="F268" s="141" t="s">
        <v>248</v>
      </c>
      <c r="G268" s="141" t="s">
        <v>248</v>
      </c>
      <c r="H268" s="141" t="s">
        <v>248</v>
      </c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6">
        <v>0</v>
      </c>
      <c r="AG268" s="6"/>
      <c r="AH268" s="35">
        <f t="shared" si="104"/>
        <v>0</v>
      </c>
      <c r="AI268" s="6">
        <v>0</v>
      </c>
      <c r="AJ268" s="6"/>
      <c r="AK268" s="35">
        <f t="shared" si="105"/>
        <v>0</v>
      </c>
      <c r="AL268" s="35">
        <v>0</v>
      </c>
      <c r="AM268" s="35"/>
      <c r="AN268" s="35">
        <f t="shared" si="106"/>
        <v>0</v>
      </c>
      <c r="AO268" s="6"/>
      <c r="AP268" s="6"/>
      <c r="AQ268" s="35"/>
      <c r="AR268" s="6"/>
      <c r="AS268" s="6"/>
      <c r="AT268" s="34"/>
      <c r="AU268" s="35"/>
      <c r="AV268" s="35"/>
      <c r="AW268" s="35"/>
      <c r="AX268" s="6"/>
      <c r="AY268" s="6"/>
      <c r="AZ268" s="35"/>
      <c r="BA268" s="6"/>
      <c r="BB268" s="6"/>
      <c r="BC268" s="35"/>
      <c r="BD268" s="35"/>
      <c r="BE268" s="35"/>
      <c r="BF268" s="35"/>
      <c r="BG268" s="35"/>
      <c r="BH268" s="6"/>
      <c r="BI268" s="35"/>
      <c r="BJ268" s="6"/>
      <c r="BK268" s="6"/>
      <c r="BL268" s="35"/>
      <c r="BM268" s="6"/>
      <c r="BN268" s="6"/>
      <c r="BO268" s="6"/>
      <c r="BP268" s="35"/>
      <c r="BQ268" s="35"/>
      <c r="BR268" s="6"/>
      <c r="BS268" s="35"/>
      <c r="BT268" s="35"/>
      <c r="BU268" s="35"/>
      <c r="BV268" s="35"/>
      <c r="BW268" s="35"/>
      <c r="BX268" s="6"/>
      <c r="BY268" s="6"/>
      <c r="BZ268" s="6"/>
      <c r="CA268" s="35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10"/>
      <c r="DK268" s="6"/>
      <c r="DL268" s="6"/>
      <c r="DM268" s="10"/>
      <c r="DN268" s="6"/>
      <c r="DO268" s="6"/>
      <c r="DP268" s="10"/>
      <c r="DQ268" s="6"/>
    </row>
    <row r="269" spans="1:121">
      <c r="A269" s="6">
        <v>265</v>
      </c>
      <c r="B269" s="6">
        <v>0</v>
      </c>
      <c r="C269" s="10"/>
      <c r="D269" s="6">
        <v>0</v>
      </c>
      <c r="E269" s="141" t="s">
        <v>248</v>
      </c>
      <c r="F269" s="141" t="s">
        <v>248</v>
      </c>
      <c r="G269" s="141" t="s">
        <v>248</v>
      </c>
      <c r="H269" s="141" t="s">
        <v>248</v>
      </c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6">
        <v>0</v>
      </c>
      <c r="AG269" s="6"/>
      <c r="AH269" s="35">
        <f t="shared" si="104"/>
        <v>0</v>
      </c>
      <c r="AI269" s="6">
        <v>0</v>
      </c>
      <c r="AJ269" s="6"/>
      <c r="AK269" s="35">
        <f t="shared" si="105"/>
        <v>0</v>
      </c>
      <c r="AL269" s="35">
        <v>0</v>
      </c>
      <c r="AM269" s="35"/>
      <c r="AN269" s="35">
        <f t="shared" si="106"/>
        <v>0</v>
      </c>
      <c r="AO269" s="6"/>
      <c r="AP269" s="6"/>
      <c r="AQ269" s="35"/>
      <c r="AR269" s="6"/>
      <c r="AS269" s="6"/>
      <c r="AT269" s="34"/>
      <c r="AU269" s="35"/>
      <c r="AV269" s="35"/>
      <c r="AW269" s="35"/>
      <c r="AX269" s="6"/>
      <c r="AY269" s="6"/>
      <c r="AZ269" s="35"/>
      <c r="BA269" s="6"/>
      <c r="BB269" s="6"/>
      <c r="BC269" s="35"/>
      <c r="BD269" s="35"/>
      <c r="BE269" s="35"/>
      <c r="BF269" s="35"/>
      <c r="BG269" s="35"/>
      <c r="BH269" s="6"/>
      <c r="BI269" s="35"/>
      <c r="BJ269" s="6"/>
      <c r="BK269" s="6"/>
      <c r="BL269" s="35"/>
      <c r="BM269" s="6"/>
      <c r="BN269" s="6"/>
      <c r="BO269" s="6"/>
      <c r="BP269" s="35"/>
      <c r="BQ269" s="35"/>
      <c r="BR269" s="6"/>
      <c r="BS269" s="35"/>
      <c r="BT269" s="35"/>
      <c r="BU269" s="35"/>
      <c r="BV269" s="35"/>
      <c r="BW269" s="35"/>
      <c r="BX269" s="6"/>
      <c r="BY269" s="6"/>
      <c r="BZ269" s="6"/>
      <c r="CA269" s="35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10"/>
      <c r="DK269" s="6"/>
      <c r="DL269" s="6"/>
      <c r="DM269" s="10"/>
      <c r="DN269" s="6"/>
      <c r="DO269" s="6"/>
      <c r="DP269" s="10"/>
      <c r="DQ269" s="6"/>
    </row>
    <row r="270" spans="1:121">
      <c r="A270" s="6">
        <v>266</v>
      </c>
      <c r="B270" s="6">
        <v>0</v>
      </c>
      <c r="C270" s="10"/>
      <c r="D270" s="6">
        <v>0</v>
      </c>
      <c r="E270" s="141" t="s">
        <v>248</v>
      </c>
      <c r="F270" s="141" t="s">
        <v>248</v>
      </c>
      <c r="G270" s="141" t="s">
        <v>248</v>
      </c>
      <c r="H270" s="141" t="s">
        <v>248</v>
      </c>
      <c r="I270" s="141" t="s">
        <v>248</v>
      </c>
      <c r="J270" s="141" t="s">
        <v>248</v>
      </c>
      <c r="K270" s="141" t="s">
        <v>248</v>
      </c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6">
        <v>0</v>
      </c>
      <c r="AG270" s="6"/>
      <c r="AH270" s="35">
        <f t="shared" si="104"/>
        <v>0</v>
      </c>
      <c r="AI270" s="6">
        <v>0</v>
      </c>
      <c r="AJ270" s="6"/>
      <c r="AK270" s="35">
        <f t="shared" si="105"/>
        <v>0</v>
      </c>
      <c r="AL270" s="35">
        <v>0</v>
      </c>
      <c r="AM270" s="35"/>
      <c r="AN270" s="35">
        <f t="shared" si="106"/>
        <v>0</v>
      </c>
      <c r="AO270" s="6">
        <v>0</v>
      </c>
      <c r="AP270" s="6"/>
      <c r="AQ270" s="35">
        <f t="shared" ref="AQ270:AQ307" si="109">AP270+AO270-AL270</f>
        <v>0</v>
      </c>
      <c r="AR270" s="6">
        <v>0</v>
      </c>
      <c r="AS270" s="6"/>
      <c r="AT270" s="34">
        <f t="shared" si="107"/>
        <v>0</v>
      </c>
      <c r="AU270" s="35">
        <v>0</v>
      </c>
      <c r="AV270" s="35"/>
      <c r="AW270" s="35">
        <f t="shared" si="108"/>
        <v>0</v>
      </c>
      <c r="AX270" s="6"/>
      <c r="AY270" s="6"/>
      <c r="AZ270" s="35"/>
      <c r="BA270" s="6"/>
      <c r="BB270" s="6"/>
      <c r="BC270" s="35"/>
      <c r="BD270" s="35"/>
      <c r="BE270" s="35"/>
      <c r="BF270" s="35"/>
      <c r="BG270" s="35"/>
      <c r="BH270" s="6"/>
      <c r="BI270" s="35"/>
      <c r="BJ270" s="6"/>
      <c r="BK270" s="6"/>
      <c r="BL270" s="35"/>
      <c r="BM270" s="6"/>
      <c r="BN270" s="6"/>
      <c r="BO270" s="6"/>
      <c r="BP270" s="35"/>
      <c r="BQ270" s="35"/>
      <c r="BR270" s="6"/>
      <c r="BS270" s="35"/>
      <c r="BT270" s="35"/>
      <c r="BU270" s="35"/>
      <c r="BV270" s="35"/>
      <c r="BW270" s="35"/>
      <c r="BX270" s="6"/>
      <c r="BY270" s="6"/>
      <c r="BZ270" s="6"/>
      <c r="CA270" s="35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10"/>
      <c r="DK270" s="6"/>
      <c r="DL270" s="6"/>
      <c r="DM270" s="10"/>
      <c r="DN270" s="6"/>
      <c r="DO270" s="6"/>
      <c r="DP270" s="10"/>
      <c r="DQ270" s="6"/>
    </row>
    <row r="271" spans="1:121">
      <c r="A271" s="6">
        <v>267</v>
      </c>
      <c r="B271" s="6">
        <v>0</v>
      </c>
      <c r="C271" s="10"/>
      <c r="D271" s="6">
        <v>0</v>
      </c>
      <c r="E271" s="141" t="s">
        <v>248</v>
      </c>
      <c r="F271" s="141" t="s">
        <v>248</v>
      </c>
      <c r="G271" s="141" t="s">
        <v>248</v>
      </c>
      <c r="H271" s="141" t="s">
        <v>248</v>
      </c>
      <c r="I271" s="141" t="s">
        <v>248</v>
      </c>
      <c r="J271" s="141" t="s">
        <v>248</v>
      </c>
      <c r="K271" s="141" t="s">
        <v>248</v>
      </c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6">
        <v>0</v>
      </c>
      <c r="AG271" s="6"/>
      <c r="AH271" s="35">
        <f t="shared" si="104"/>
        <v>0</v>
      </c>
      <c r="AI271" s="6">
        <v>0</v>
      </c>
      <c r="AJ271" s="6"/>
      <c r="AK271" s="35">
        <f t="shared" si="105"/>
        <v>0</v>
      </c>
      <c r="AL271" s="35">
        <v>0</v>
      </c>
      <c r="AM271" s="35"/>
      <c r="AN271" s="35">
        <f t="shared" si="106"/>
        <v>0</v>
      </c>
      <c r="AO271" s="6">
        <v>0</v>
      </c>
      <c r="AP271" s="6"/>
      <c r="AQ271" s="35">
        <f t="shared" si="109"/>
        <v>0</v>
      </c>
      <c r="AR271" s="6">
        <v>0</v>
      </c>
      <c r="AS271" s="6"/>
      <c r="AT271" s="34">
        <f t="shared" si="107"/>
        <v>0</v>
      </c>
      <c r="AU271" s="35"/>
      <c r="AV271" s="35"/>
      <c r="AW271" s="35"/>
      <c r="AX271" s="6"/>
      <c r="AY271" s="6"/>
      <c r="AZ271" s="35"/>
      <c r="BA271" s="6"/>
      <c r="BB271" s="6"/>
      <c r="BC271" s="35"/>
      <c r="BD271" s="35"/>
      <c r="BE271" s="35"/>
      <c r="BF271" s="35"/>
      <c r="BG271" s="35"/>
      <c r="BH271" s="6"/>
      <c r="BI271" s="35"/>
      <c r="BJ271" s="6"/>
      <c r="BK271" s="6"/>
      <c r="BL271" s="35"/>
      <c r="BM271" s="6"/>
      <c r="BN271" s="6"/>
      <c r="BO271" s="6"/>
      <c r="BP271" s="35"/>
      <c r="BQ271" s="35"/>
      <c r="BR271" s="6"/>
      <c r="BS271" s="35"/>
      <c r="BT271" s="35"/>
      <c r="BU271" s="35"/>
      <c r="BV271" s="35"/>
      <c r="BW271" s="35"/>
      <c r="BX271" s="6"/>
      <c r="BY271" s="6"/>
      <c r="BZ271" s="6"/>
      <c r="CA271" s="35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10"/>
      <c r="DK271" s="6"/>
      <c r="DL271" s="6"/>
      <c r="DM271" s="10"/>
      <c r="DN271" s="6"/>
      <c r="DO271" s="6"/>
      <c r="DP271" s="10"/>
      <c r="DQ271" s="6"/>
    </row>
    <row r="272" spans="1:121">
      <c r="A272" s="6">
        <v>268</v>
      </c>
      <c r="B272" s="6">
        <v>0</v>
      </c>
      <c r="C272" s="10"/>
      <c r="D272" s="6">
        <v>0</v>
      </c>
      <c r="E272" s="141" t="s">
        <v>248</v>
      </c>
      <c r="F272" s="141" t="s">
        <v>248</v>
      </c>
      <c r="G272" s="141" t="s">
        <v>248</v>
      </c>
      <c r="H272" s="141" t="s">
        <v>248</v>
      </c>
      <c r="I272" s="141" t="s">
        <v>248</v>
      </c>
      <c r="J272" s="141" t="s">
        <v>248</v>
      </c>
      <c r="K272" s="141" t="s">
        <v>248</v>
      </c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6">
        <v>0</v>
      </c>
      <c r="AG272" s="6"/>
      <c r="AH272" s="35">
        <f t="shared" si="104"/>
        <v>0</v>
      </c>
      <c r="AI272" s="6">
        <v>0</v>
      </c>
      <c r="AJ272" s="6"/>
      <c r="AK272" s="35">
        <f t="shared" si="105"/>
        <v>0</v>
      </c>
      <c r="AL272" s="35">
        <v>0</v>
      </c>
      <c r="AM272" s="35"/>
      <c r="AN272" s="35">
        <f t="shared" si="106"/>
        <v>0</v>
      </c>
      <c r="AO272" s="6">
        <v>0</v>
      </c>
      <c r="AP272" s="6"/>
      <c r="AQ272" s="35">
        <f t="shared" si="109"/>
        <v>0</v>
      </c>
      <c r="AR272" s="6">
        <v>0</v>
      </c>
      <c r="AS272" s="6"/>
      <c r="AT272" s="34">
        <f t="shared" si="107"/>
        <v>0</v>
      </c>
      <c r="AU272" s="35">
        <v>0</v>
      </c>
      <c r="AV272" s="35"/>
      <c r="AW272" s="35">
        <f t="shared" si="108"/>
        <v>0</v>
      </c>
      <c r="AX272" s="6"/>
      <c r="AY272" s="6"/>
      <c r="AZ272" s="35"/>
      <c r="BA272" s="6"/>
      <c r="BB272" s="6"/>
      <c r="BC272" s="35"/>
      <c r="BD272" s="35"/>
      <c r="BE272" s="35"/>
      <c r="BF272" s="35"/>
      <c r="BG272" s="35"/>
      <c r="BH272" s="6"/>
      <c r="BI272" s="35"/>
      <c r="BJ272" s="6"/>
      <c r="BK272" s="6"/>
      <c r="BL272" s="35"/>
      <c r="BM272" s="6"/>
      <c r="BN272" s="6"/>
      <c r="BO272" s="6"/>
      <c r="BP272" s="35"/>
      <c r="BQ272" s="35"/>
      <c r="BR272" s="6"/>
      <c r="BS272" s="35"/>
      <c r="BT272" s="35"/>
      <c r="BU272" s="35"/>
      <c r="BV272" s="35"/>
      <c r="BW272" s="35"/>
      <c r="BX272" s="6"/>
      <c r="BY272" s="6"/>
      <c r="BZ272" s="6"/>
      <c r="CA272" s="35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10"/>
      <c r="DK272" s="6"/>
      <c r="DL272" s="6"/>
      <c r="DM272" s="10"/>
      <c r="DN272" s="6"/>
      <c r="DO272" s="6"/>
      <c r="DP272" s="10"/>
      <c r="DQ272" s="6"/>
    </row>
    <row r="273" spans="1:121">
      <c r="A273" s="6">
        <v>269</v>
      </c>
      <c r="B273" s="6">
        <v>334</v>
      </c>
      <c r="C273" s="10"/>
      <c r="D273" s="6">
        <v>0</v>
      </c>
      <c r="E273" s="141" t="s">
        <v>248</v>
      </c>
      <c r="F273" s="141" t="s">
        <v>248</v>
      </c>
      <c r="G273" s="141" t="s">
        <v>248</v>
      </c>
      <c r="H273" s="141" t="s">
        <v>248</v>
      </c>
      <c r="I273" s="141" t="s">
        <v>248</v>
      </c>
      <c r="J273" s="141" t="s">
        <v>248</v>
      </c>
      <c r="K273" s="141" t="s">
        <v>248</v>
      </c>
      <c r="L273" s="141"/>
      <c r="M273" s="141"/>
      <c r="N273" s="141"/>
      <c r="O273" s="163" t="s">
        <v>422</v>
      </c>
      <c r="P273" s="141" t="s">
        <v>422</v>
      </c>
      <c r="Q273" s="141" t="s">
        <v>422</v>
      </c>
      <c r="R273" s="141" t="s">
        <v>422</v>
      </c>
      <c r="S273" s="141" t="s">
        <v>422</v>
      </c>
      <c r="T273" s="141" t="s">
        <v>422</v>
      </c>
      <c r="U273" s="141" t="s">
        <v>422</v>
      </c>
      <c r="V273" s="141" t="s">
        <v>422</v>
      </c>
      <c r="W273" s="141" t="s">
        <v>422</v>
      </c>
      <c r="X273" s="141" t="s">
        <v>422</v>
      </c>
      <c r="Y273" s="141" t="s">
        <v>422</v>
      </c>
      <c r="Z273" s="141" t="s">
        <v>422</v>
      </c>
      <c r="AA273" s="141" t="s">
        <v>422</v>
      </c>
      <c r="AB273" s="141" t="s">
        <v>422</v>
      </c>
      <c r="AC273" s="141" t="s">
        <v>422</v>
      </c>
      <c r="AD273" s="141" t="s">
        <v>422</v>
      </c>
      <c r="AE273" s="141" t="s">
        <v>422</v>
      </c>
      <c r="AF273" s="6">
        <v>334</v>
      </c>
      <c r="AG273" s="6"/>
      <c r="AH273" s="35">
        <f t="shared" si="104"/>
        <v>0</v>
      </c>
      <c r="AI273" s="6">
        <v>334</v>
      </c>
      <c r="AJ273" s="6"/>
      <c r="AK273" s="35">
        <f t="shared" si="105"/>
        <v>0</v>
      </c>
      <c r="AL273" s="35">
        <v>334</v>
      </c>
      <c r="AM273" s="35"/>
      <c r="AN273" s="35">
        <f t="shared" si="106"/>
        <v>0</v>
      </c>
      <c r="AO273" s="6">
        <v>334</v>
      </c>
      <c r="AP273" s="6"/>
      <c r="AQ273" s="35">
        <f t="shared" si="109"/>
        <v>0</v>
      </c>
      <c r="AR273" s="6">
        <v>334</v>
      </c>
      <c r="AS273" s="6"/>
      <c r="AT273" s="34">
        <f t="shared" si="107"/>
        <v>0</v>
      </c>
      <c r="AU273" s="35"/>
      <c r="AV273" s="35">
        <v>334</v>
      </c>
      <c r="AW273" s="35"/>
      <c r="AX273" s="6"/>
      <c r="AY273" s="6"/>
      <c r="AZ273" s="35"/>
      <c r="BA273" s="6"/>
      <c r="BB273" s="6"/>
      <c r="BC273" s="35"/>
      <c r="BD273" s="35"/>
      <c r="BE273" s="35"/>
      <c r="BF273" s="35"/>
      <c r="BG273" s="35"/>
      <c r="BH273" s="6"/>
      <c r="BI273" s="35"/>
      <c r="BJ273" s="6">
        <v>12</v>
      </c>
      <c r="BK273" s="6">
        <v>363</v>
      </c>
      <c r="BL273" s="35">
        <f t="shared" ref="BL273:BL307" si="110">BK273+BJ273-BG273</f>
        <v>375</v>
      </c>
      <c r="BM273" s="6">
        <v>591</v>
      </c>
      <c r="BN273" s="6"/>
      <c r="BO273" s="6">
        <f t="shared" ref="BO273:BO307" si="111">BN273+BM273-BJ273</f>
        <v>579</v>
      </c>
      <c r="BP273" s="35">
        <v>306</v>
      </c>
      <c r="BQ273" s="35">
        <v>800</v>
      </c>
      <c r="BR273" s="6">
        <f t="shared" ref="BR273:BR307" si="112">BQ273+BP273-BM273</f>
        <v>515</v>
      </c>
      <c r="BS273" s="35"/>
      <c r="BT273" s="35"/>
      <c r="BU273" s="35"/>
      <c r="BV273" s="35">
        <v>306</v>
      </c>
      <c r="BW273" s="35"/>
      <c r="BX273" s="6">
        <f t="shared" ref="BX273:BX307" si="113">BW273+BV273-BP273</f>
        <v>0</v>
      </c>
      <c r="BY273" s="6">
        <v>306</v>
      </c>
      <c r="BZ273" s="6"/>
      <c r="CA273" s="35">
        <f t="shared" ref="CA273:CA307" si="114">BZ273+BY273-BV273</f>
        <v>0</v>
      </c>
      <c r="CB273" s="6">
        <v>306</v>
      </c>
      <c r="CC273" s="6"/>
      <c r="CD273" s="6">
        <f t="shared" ref="CD273:CD307" si="115">CC273+CB273-BY273</f>
        <v>0</v>
      </c>
      <c r="CE273" s="6">
        <v>306</v>
      </c>
      <c r="CF273" s="6"/>
      <c r="CG273" s="6">
        <f t="shared" ref="CG273:CG307" si="116">CF273+CE273-CB273</f>
        <v>0</v>
      </c>
      <c r="CH273" s="6">
        <v>306</v>
      </c>
      <c r="CI273" s="6"/>
      <c r="CJ273" s="6">
        <f t="shared" ref="CJ273:CJ307" si="117">CI273+CH273-CE273</f>
        <v>0</v>
      </c>
      <c r="CK273" s="6">
        <v>306</v>
      </c>
      <c r="CL273" s="6"/>
      <c r="CM273" s="6">
        <f t="shared" ref="CM273:CM307" si="118">CL273+CK273-CH273</f>
        <v>0</v>
      </c>
      <c r="CN273" s="6"/>
      <c r="CO273" s="6"/>
      <c r="CP273" s="6"/>
      <c r="CQ273" s="6">
        <v>306</v>
      </c>
      <c r="CR273" s="6"/>
      <c r="CS273" s="6">
        <f t="shared" ref="CS273:CS307" si="119">CR273+CQ273-CK273</f>
        <v>0</v>
      </c>
      <c r="CT273" s="6">
        <v>306</v>
      </c>
      <c r="CU273" s="6"/>
      <c r="CV273" s="6">
        <f t="shared" ref="CV273:CV307" si="120">CU273+CT273-CQ273</f>
        <v>0</v>
      </c>
      <c r="CW273" s="6">
        <v>306</v>
      </c>
      <c r="CX273" s="6"/>
      <c r="CY273" s="6">
        <f t="shared" ref="CY273:CY307" si="121">CX273+CW273-CT273</f>
        <v>0</v>
      </c>
      <c r="CZ273" s="6">
        <v>306</v>
      </c>
      <c r="DA273" s="6"/>
      <c r="DB273" s="6">
        <f t="shared" ref="DB273:DB307" si="122">DA273+CZ273-CW273</f>
        <v>0</v>
      </c>
      <c r="DC273" s="6">
        <v>306</v>
      </c>
      <c r="DD273" s="6"/>
      <c r="DE273" s="6">
        <f t="shared" ref="DE273:DE307" si="123">DD273+DC273-CZ273</f>
        <v>0</v>
      </c>
      <c r="DF273" s="6">
        <v>306</v>
      </c>
      <c r="DG273" s="6"/>
      <c r="DH273" s="6">
        <f t="shared" ref="DH273:DH307" si="124">DG273+DF273-DC273</f>
        <v>0</v>
      </c>
      <c r="DI273" s="6"/>
      <c r="DJ273" s="10"/>
      <c r="DK273" s="6"/>
      <c r="DL273" s="6">
        <v>306</v>
      </c>
      <c r="DM273" s="10"/>
      <c r="DN273" s="6">
        <f t="shared" ref="DN273:DN307" si="125">DM273+DL273-DF273</f>
        <v>0</v>
      </c>
      <c r="DO273" s="6">
        <v>306</v>
      </c>
      <c r="DP273" s="10"/>
      <c r="DQ273" s="6">
        <f t="shared" ref="DQ273:DQ307" si="126">DP273+DO273-DL273</f>
        <v>0</v>
      </c>
    </row>
    <row r="274" spans="1:121">
      <c r="A274" s="6">
        <v>270</v>
      </c>
      <c r="B274" s="6">
        <v>0</v>
      </c>
      <c r="C274" s="10"/>
      <c r="D274" s="6">
        <v>0</v>
      </c>
      <c r="E274" s="141" t="s">
        <v>248</v>
      </c>
      <c r="F274" s="141" t="s">
        <v>248</v>
      </c>
      <c r="G274" s="141" t="s">
        <v>248</v>
      </c>
      <c r="H274" s="141" t="s">
        <v>248</v>
      </c>
      <c r="I274" s="141" t="s">
        <v>248</v>
      </c>
      <c r="J274" s="141" t="s">
        <v>248</v>
      </c>
      <c r="K274" s="141" t="s">
        <v>248</v>
      </c>
      <c r="L274" s="141"/>
      <c r="M274" s="141"/>
      <c r="N274" s="163" t="s">
        <v>422</v>
      </c>
      <c r="O274" s="141" t="s">
        <v>422</v>
      </c>
      <c r="P274" s="141" t="s">
        <v>422</v>
      </c>
      <c r="Q274" s="141" t="s">
        <v>422</v>
      </c>
      <c r="R274" s="141" t="s">
        <v>422</v>
      </c>
      <c r="S274" s="141" t="s">
        <v>422</v>
      </c>
      <c r="T274" s="141" t="s">
        <v>422</v>
      </c>
      <c r="U274" s="141" t="s">
        <v>422</v>
      </c>
      <c r="V274" s="141" t="s">
        <v>422</v>
      </c>
      <c r="W274" s="141" t="s">
        <v>422</v>
      </c>
      <c r="X274" s="141" t="s">
        <v>422</v>
      </c>
      <c r="Y274" s="141" t="s">
        <v>422</v>
      </c>
      <c r="Z274" s="141" t="s">
        <v>422</v>
      </c>
      <c r="AA274" s="141" t="s">
        <v>422</v>
      </c>
      <c r="AB274" s="141" t="s">
        <v>422</v>
      </c>
      <c r="AC274" s="141" t="s">
        <v>422</v>
      </c>
      <c r="AD274" s="141" t="s">
        <v>422</v>
      </c>
      <c r="AE274" s="141" t="s">
        <v>422</v>
      </c>
      <c r="AF274" s="6">
        <v>0</v>
      </c>
      <c r="AG274" s="6"/>
      <c r="AH274" s="35">
        <f t="shared" si="104"/>
        <v>0</v>
      </c>
      <c r="AI274" s="6">
        <v>0</v>
      </c>
      <c r="AJ274" s="6"/>
      <c r="AK274" s="35">
        <f t="shared" si="105"/>
        <v>0</v>
      </c>
      <c r="AL274" s="35">
        <v>0</v>
      </c>
      <c r="AM274" s="35"/>
      <c r="AN274" s="35">
        <f t="shared" si="106"/>
        <v>0</v>
      </c>
      <c r="AO274" s="6">
        <v>0</v>
      </c>
      <c r="AP274" s="6"/>
      <c r="AQ274" s="35">
        <f t="shared" si="109"/>
        <v>0</v>
      </c>
      <c r="AR274" s="6">
        <v>0</v>
      </c>
      <c r="AS274" s="6"/>
      <c r="AT274" s="34">
        <f t="shared" si="107"/>
        <v>0</v>
      </c>
      <c r="AU274" s="35"/>
      <c r="AV274" s="35"/>
      <c r="AW274" s="35"/>
      <c r="AX274" s="6"/>
      <c r="AY274" s="6"/>
      <c r="AZ274" s="35"/>
      <c r="BA274" s="6"/>
      <c r="BB274" s="6"/>
      <c r="BC274" s="35"/>
      <c r="BD274" s="35"/>
      <c r="BE274" s="35"/>
      <c r="BF274" s="35"/>
      <c r="BG274" s="35">
        <v>510</v>
      </c>
      <c r="BH274" s="6"/>
      <c r="BI274" s="35">
        <f t="shared" ref="BI274:BI307" si="127">BH274+BG274-BD274</f>
        <v>510</v>
      </c>
      <c r="BJ274" s="6">
        <v>256</v>
      </c>
      <c r="BK274" s="6">
        <v>800</v>
      </c>
      <c r="BL274" s="35">
        <f t="shared" si="110"/>
        <v>546</v>
      </c>
      <c r="BM274" s="6">
        <v>2</v>
      </c>
      <c r="BN274" s="6">
        <v>800</v>
      </c>
      <c r="BO274" s="6">
        <f t="shared" si="111"/>
        <v>546</v>
      </c>
      <c r="BP274" s="35">
        <v>52</v>
      </c>
      <c r="BQ274" s="35">
        <v>456</v>
      </c>
      <c r="BR274" s="6">
        <f t="shared" si="112"/>
        <v>506</v>
      </c>
      <c r="BS274" s="35"/>
      <c r="BT274" s="35"/>
      <c r="BU274" s="35"/>
      <c r="BV274" s="35">
        <v>52</v>
      </c>
      <c r="BW274" s="35"/>
      <c r="BX274" s="6">
        <f t="shared" si="113"/>
        <v>0</v>
      </c>
      <c r="BY274" s="6">
        <v>52</v>
      </c>
      <c r="BZ274" s="6"/>
      <c r="CA274" s="35">
        <f t="shared" si="114"/>
        <v>0</v>
      </c>
      <c r="CB274" s="6">
        <v>52</v>
      </c>
      <c r="CC274" s="6"/>
      <c r="CD274" s="6">
        <f t="shared" si="115"/>
        <v>0</v>
      </c>
      <c r="CE274" s="6">
        <v>52</v>
      </c>
      <c r="CF274" s="6"/>
      <c r="CG274" s="6">
        <f t="shared" si="116"/>
        <v>0</v>
      </c>
      <c r="CH274" s="6">
        <v>52</v>
      </c>
      <c r="CI274" s="6"/>
      <c r="CJ274" s="6">
        <f t="shared" si="117"/>
        <v>0</v>
      </c>
      <c r="CK274" s="6">
        <v>52</v>
      </c>
      <c r="CL274" s="6"/>
      <c r="CM274" s="6">
        <f t="shared" si="118"/>
        <v>0</v>
      </c>
      <c r="CN274" s="6"/>
      <c r="CO274" s="6"/>
      <c r="CP274" s="6"/>
      <c r="CQ274" s="6">
        <v>52</v>
      </c>
      <c r="CR274" s="6"/>
      <c r="CS274" s="6">
        <f t="shared" si="119"/>
        <v>0</v>
      </c>
      <c r="CT274" s="6">
        <v>52</v>
      </c>
      <c r="CU274" s="6"/>
      <c r="CV274" s="6">
        <f t="shared" si="120"/>
        <v>0</v>
      </c>
      <c r="CW274" s="6">
        <v>52</v>
      </c>
      <c r="CX274" s="6"/>
      <c r="CY274" s="6">
        <f t="shared" si="121"/>
        <v>0</v>
      </c>
      <c r="CZ274" s="6">
        <v>52</v>
      </c>
      <c r="DA274" s="6"/>
      <c r="DB274" s="6">
        <f t="shared" si="122"/>
        <v>0</v>
      </c>
      <c r="DC274" s="6">
        <v>52</v>
      </c>
      <c r="DD274" s="6"/>
      <c r="DE274" s="6">
        <f t="shared" si="123"/>
        <v>0</v>
      </c>
      <c r="DF274" s="6">
        <v>52</v>
      </c>
      <c r="DG274" s="6"/>
      <c r="DH274" s="6">
        <f t="shared" si="124"/>
        <v>0</v>
      </c>
      <c r="DI274" s="6"/>
      <c r="DJ274" s="10"/>
      <c r="DK274" s="6"/>
      <c r="DL274" s="6">
        <v>52</v>
      </c>
      <c r="DM274" s="10"/>
      <c r="DN274" s="6">
        <f t="shared" si="125"/>
        <v>0</v>
      </c>
      <c r="DO274" s="6">
        <v>52</v>
      </c>
      <c r="DP274" s="10"/>
      <c r="DQ274" s="6">
        <f t="shared" si="126"/>
        <v>0</v>
      </c>
    </row>
    <row r="275" spans="1:121">
      <c r="A275" s="6">
        <v>271</v>
      </c>
      <c r="B275" s="6">
        <v>0</v>
      </c>
      <c r="C275" s="10"/>
      <c r="D275" s="6">
        <v>0</v>
      </c>
      <c r="E275" s="141" t="s">
        <v>248</v>
      </c>
      <c r="F275" s="141" t="s">
        <v>248</v>
      </c>
      <c r="G275" s="141" t="s">
        <v>248</v>
      </c>
      <c r="H275" s="141" t="s">
        <v>248</v>
      </c>
      <c r="I275" s="141" t="s">
        <v>248</v>
      </c>
      <c r="J275" s="141" t="s">
        <v>248</v>
      </c>
      <c r="K275" s="141" t="s">
        <v>248</v>
      </c>
      <c r="L275" s="141"/>
      <c r="M275" s="141"/>
      <c r="N275" s="163" t="s">
        <v>422</v>
      </c>
      <c r="O275" s="141" t="s">
        <v>422</v>
      </c>
      <c r="P275" s="141" t="s">
        <v>422</v>
      </c>
      <c r="Q275" s="141" t="s">
        <v>422</v>
      </c>
      <c r="R275" s="141" t="s">
        <v>422</v>
      </c>
      <c r="S275" s="141" t="s">
        <v>422</v>
      </c>
      <c r="T275" s="141" t="s">
        <v>422</v>
      </c>
      <c r="U275" s="141" t="s">
        <v>422</v>
      </c>
      <c r="V275" s="141" t="s">
        <v>422</v>
      </c>
      <c r="W275" s="141" t="s">
        <v>422</v>
      </c>
      <c r="X275" s="141" t="s">
        <v>422</v>
      </c>
      <c r="Y275" s="141" t="s">
        <v>422</v>
      </c>
      <c r="Z275" s="141" t="s">
        <v>422</v>
      </c>
      <c r="AA275" s="141" t="s">
        <v>422</v>
      </c>
      <c r="AB275" s="141" t="s">
        <v>422</v>
      </c>
      <c r="AC275" s="141" t="s">
        <v>422</v>
      </c>
      <c r="AD275" s="141" t="s">
        <v>422</v>
      </c>
      <c r="AE275" s="141" t="s">
        <v>422</v>
      </c>
      <c r="AF275" s="6">
        <v>0</v>
      </c>
      <c r="AG275" s="6"/>
      <c r="AH275" s="35">
        <f t="shared" si="104"/>
        <v>0</v>
      </c>
      <c r="AI275" s="6">
        <v>0</v>
      </c>
      <c r="AJ275" s="6"/>
      <c r="AK275" s="35">
        <f t="shared" si="105"/>
        <v>0</v>
      </c>
      <c r="AL275" s="35">
        <v>0</v>
      </c>
      <c r="AM275" s="35"/>
      <c r="AN275" s="35">
        <f t="shared" si="106"/>
        <v>0</v>
      </c>
      <c r="AO275" s="6">
        <v>0</v>
      </c>
      <c r="AP275" s="6"/>
      <c r="AQ275" s="35">
        <f t="shared" si="109"/>
        <v>0</v>
      </c>
      <c r="AR275" s="6">
        <v>0</v>
      </c>
      <c r="AS275" s="6"/>
      <c r="AT275" s="34">
        <f t="shared" si="107"/>
        <v>0</v>
      </c>
      <c r="AU275" s="35"/>
      <c r="AV275" s="35"/>
      <c r="AW275" s="35"/>
      <c r="AX275" s="6"/>
      <c r="AY275" s="6"/>
      <c r="AZ275" s="35"/>
      <c r="BA275" s="6"/>
      <c r="BB275" s="6"/>
      <c r="BC275" s="35"/>
      <c r="BD275" s="35"/>
      <c r="BE275" s="35"/>
      <c r="BF275" s="35"/>
      <c r="BG275" s="35">
        <v>511</v>
      </c>
      <c r="BH275" s="6"/>
      <c r="BI275" s="35">
        <f t="shared" si="127"/>
        <v>511</v>
      </c>
      <c r="BJ275" s="6">
        <v>254</v>
      </c>
      <c r="BK275" s="6">
        <v>800</v>
      </c>
      <c r="BL275" s="35">
        <f t="shared" si="110"/>
        <v>543</v>
      </c>
      <c r="BM275" s="6">
        <v>15</v>
      </c>
      <c r="BN275" s="6">
        <v>800</v>
      </c>
      <c r="BO275" s="6">
        <f t="shared" si="111"/>
        <v>561</v>
      </c>
      <c r="BP275" s="35">
        <v>498</v>
      </c>
      <c r="BQ275" s="35"/>
      <c r="BR275" s="6">
        <f t="shared" si="112"/>
        <v>483</v>
      </c>
      <c r="BS275" s="35"/>
      <c r="BT275" s="35"/>
      <c r="BU275" s="35"/>
      <c r="BV275" s="35">
        <v>498</v>
      </c>
      <c r="BW275" s="35"/>
      <c r="BX275" s="6">
        <f t="shared" si="113"/>
        <v>0</v>
      </c>
      <c r="BY275" s="6">
        <v>498</v>
      </c>
      <c r="BZ275" s="6"/>
      <c r="CA275" s="35">
        <f t="shared" si="114"/>
        <v>0</v>
      </c>
      <c r="CB275" s="6">
        <v>498</v>
      </c>
      <c r="CC275" s="6"/>
      <c r="CD275" s="6">
        <f t="shared" si="115"/>
        <v>0</v>
      </c>
      <c r="CE275" s="6">
        <v>498</v>
      </c>
      <c r="CF275" s="6"/>
      <c r="CG275" s="6">
        <f t="shared" si="116"/>
        <v>0</v>
      </c>
      <c r="CH275" s="6">
        <v>498</v>
      </c>
      <c r="CI275" s="6"/>
      <c r="CJ275" s="6">
        <f t="shared" si="117"/>
        <v>0</v>
      </c>
      <c r="CK275" s="6">
        <v>498</v>
      </c>
      <c r="CL275" s="6"/>
      <c r="CM275" s="6">
        <f t="shared" si="118"/>
        <v>0</v>
      </c>
      <c r="CN275" s="6"/>
      <c r="CO275" s="6"/>
      <c r="CP275" s="6"/>
      <c r="CQ275" s="6">
        <v>498</v>
      </c>
      <c r="CR275" s="6"/>
      <c r="CS275" s="6">
        <f t="shared" si="119"/>
        <v>0</v>
      </c>
      <c r="CT275" s="6">
        <v>498</v>
      </c>
      <c r="CU275" s="6"/>
      <c r="CV275" s="6">
        <f t="shared" si="120"/>
        <v>0</v>
      </c>
      <c r="CW275" s="6">
        <v>498</v>
      </c>
      <c r="CX275" s="6"/>
      <c r="CY275" s="6">
        <f t="shared" si="121"/>
        <v>0</v>
      </c>
      <c r="CZ275" s="6">
        <v>498</v>
      </c>
      <c r="DA275" s="6"/>
      <c r="DB275" s="6">
        <f t="shared" si="122"/>
        <v>0</v>
      </c>
      <c r="DC275" s="6">
        <v>498</v>
      </c>
      <c r="DD275" s="6"/>
      <c r="DE275" s="6">
        <f t="shared" si="123"/>
        <v>0</v>
      </c>
      <c r="DF275" s="6">
        <v>498</v>
      </c>
      <c r="DG275" s="6"/>
      <c r="DH275" s="6">
        <f t="shared" si="124"/>
        <v>0</v>
      </c>
      <c r="DI275" s="6"/>
      <c r="DJ275" s="10"/>
      <c r="DK275" s="6"/>
      <c r="DL275" s="6">
        <v>498</v>
      </c>
      <c r="DM275" s="10"/>
      <c r="DN275" s="6">
        <f t="shared" si="125"/>
        <v>0</v>
      </c>
      <c r="DO275" s="6">
        <v>498</v>
      </c>
      <c r="DP275" s="10"/>
      <c r="DQ275" s="6">
        <f t="shared" si="126"/>
        <v>0</v>
      </c>
    </row>
    <row r="276" spans="1:121">
      <c r="A276" s="6">
        <v>272</v>
      </c>
      <c r="B276" s="6">
        <v>0</v>
      </c>
      <c r="C276" s="10"/>
      <c r="D276" s="6">
        <v>0</v>
      </c>
      <c r="E276" s="141" t="s">
        <v>248</v>
      </c>
      <c r="F276" s="141" t="s">
        <v>248</v>
      </c>
      <c r="G276" s="141" t="s">
        <v>248</v>
      </c>
      <c r="H276" s="141" t="s">
        <v>248</v>
      </c>
      <c r="I276" s="141" t="s">
        <v>248</v>
      </c>
      <c r="J276" s="141" t="s">
        <v>248</v>
      </c>
      <c r="K276" s="141" t="s">
        <v>248</v>
      </c>
      <c r="L276" s="141"/>
      <c r="M276" s="163" t="s">
        <v>422</v>
      </c>
      <c r="N276" s="141" t="s">
        <v>422</v>
      </c>
      <c r="O276" s="141" t="s">
        <v>422</v>
      </c>
      <c r="P276" s="141" t="s">
        <v>422</v>
      </c>
      <c r="Q276" s="141" t="s">
        <v>422</v>
      </c>
      <c r="R276" s="141" t="s">
        <v>422</v>
      </c>
      <c r="S276" s="141" t="s">
        <v>422</v>
      </c>
      <c r="T276" s="141" t="s">
        <v>422</v>
      </c>
      <c r="U276" s="141" t="s">
        <v>422</v>
      </c>
      <c r="V276" s="141" t="s">
        <v>422</v>
      </c>
      <c r="W276" s="141" t="s">
        <v>422</v>
      </c>
      <c r="X276" s="141" t="s">
        <v>422</v>
      </c>
      <c r="Y276" s="141" t="s">
        <v>422</v>
      </c>
      <c r="Z276" s="141" t="s">
        <v>422</v>
      </c>
      <c r="AA276" s="141" t="s">
        <v>422</v>
      </c>
      <c r="AB276" s="141" t="s">
        <v>422</v>
      </c>
      <c r="AC276" s="141" t="s">
        <v>422</v>
      </c>
      <c r="AD276" s="141" t="s">
        <v>422</v>
      </c>
      <c r="AE276" s="141" t="s">
        <v>422</v>
      </c>
      <c r="AF276" s="6">
        <v>0</v>
      </c>
      <c r="AG276" s="6"/>
      <c r="AH276" s="35">
        <f t="shared" si="104"/>
        <v>0</v>
      </c>
      <c r="AI276" s="6">
        <v>0</v>
      </c>
      <c r="AJ276" s="6"/>
      <c r="AK276" s="35">
        <f t="shared" si="105"/>
        <v>0</v>
      </c>
      <c r="AL276" s="35">
        <v>0</v>
      </c>
      <c r="AM276" s="35"/>
      <c r="AN276" s="35">
        <f t="shared" si="106"/>
        <v>0</v>
      </c>
      <c r="AO276" s="6">
        <v>0</v>
      </c>
      <c r="AP276" s="6"/>
      <c r="AQ276" s="35">
        <f t="shared" si="109"/>
        <v>0</v>
      </c>
      <c r="AR276" s="6">
        <v>0</v>
      </c>
      <c r="AS276" s="6"/>
      <c r="AT276" s="34">
        <f t="shared" si="107"/>
        <v>0</v>
      </c>
      <c r="AU276" s="35"/>
      <c r="AV276" s="35"/>
      <c r="AW276" s="35"/>
      <c r="AX276" s="6"/>
      <c r="AY276" s="6"/>
      <c r="AZ276" s="35"/>
      <c r="BA276" s="6"/>
      <c r="BB276" s="6"/>
      <c r="BC276" s="35"/>
      <c r="BD276" s="35">
        <v>371</v>
      </c>
      <c r="BE276" s="35"/>
      <c r="BF276" s="35">
        <f t="shared" ref="BF276:BF307" si="128">BE276+BD276-BA276</f>
        <v>371</v>
      </c>
      <c r="BG276" s="35">
        <v>103</v>
      </c>
      <c r="BH276" s="6">
        <v>800</v>
      </c>
      <c r="BI276" s="35">
        <f t="shared" si="127"/>
        <v>532</v>
      </c>
      <c r="BJ276" s="6">
        <v>619</v>
      </c>
      <c r="BK276" s="6"/>
      <c r="BL276" s="35">
        <f t="shared" si="110"/>
        <v>516</v>
      </c>
      <c r="BM276" s="6">
        <v>383</v>
      </c>
      <c r="BN276" s="6">
        <v>800</v>
      </c>
      <c r="BO276" s="6">
        <f t="shared" si="111"/>
        <v>564</v>
      </c>
      <c r="BP276" s="35">
        <v>54</v>
      </c>
      <c r="BQ276" s="35">
        <v>800</v>
      </c>
      <c r="BR276" s="6">
        <f t="shared" si="112"/>
        <v>471</v>
      </c>
      <c r="BS276" s="35"/>
      <c r="BT276" s="35"/>
      <c r="BU276" s="35"/>
      <c r="BV276" s="35">
        <v>54</v>
      </c>
      <c r="BW276" s="35"/>
      <c r="BX276" s="6">
        <f t="shared" si="113"/>
        <v>0</v>
      </c>
      <c r="BY276" s="6">
        <v>54</v>
      </c>
      <c r="BZ276" s="6"/>
      <c r="CA276" s="35">
        <f t="shared" si="114"/>
        <v>0</v>
      </c>
      <c r="CB276" s="6">
        <v>54</v>
      </c>
      <c r="CC276" s="6"/>
      <c r="CD276" s="6">
        <f t="shared" si="115"/>
        <v>0</v>
      </c>
      <c r="CE276" s="6">
        <v>54</v>
      </c>
      <c r="CF276" s="6"/>
      <c r="CG276" s="6">
        <f t="shared" si="116"/>
        <v>0</v>
      </c>
      <c r="CH276" s="6">
        <v>54</v>
      </c>
      <c r="CI276" s="6"/>
      <c r="CJ276" s="6">
        <f t="shared" si="117"/>
        <v>0</v>
      </c>
      <c r="CK276" s="6">
        <v>54</v>
      </c>
      <c r="CL276" s="6"/>
      <c r="CM276" s="6">
        <f t="shared" si="118"/>
        <v>0</v>
      </c>
      <c r="CN276" s="6"/>
      <c r="CO276" s="6"/>
      <c r="CP276" s="6"/>
      <c r="CQ276" s="6">
        <v>54</v>
      </c>
      <c r="CR276" s="6"/>
      <c r="CS276" s="6">
        <f t="shared" si="119"/>
        <v>0</v>
      </c>
      <c r="CT276" s="6">
        <v>54</v>
      </c>
      <c r="CU276" s="6"/>
      <c r="CV276" s="6">
        <f t="shared" si="120"/>
        <v>0</v>
      </c>
      <c r="CW276" s="6">
        <v>54</v>
      </c>
      <c r="CX276" s="6"/>
      <c r="CY276" s="6">
        <f t="shared" si="121"/>
        <v>0</v>
      </c>
      <c r="CZ276" s="6">
        <v>54</v>
      </c>
      <c r="DA276" s="6"/>
      <c r="DB276" s="6">
        <f t="shared" si="122"/>
        <v>0</v>
      </c>
      <c r="DC276" s="6">
        <v>54</v>
      </c>
      <c r="DD276" s="6"/>
      <c r="DE276" s="6">
        <f t="shared" si="123"/>
        <v>0</v>
      </c>
      <c r="DF276" s="6">
        <v>54</v>
      </c>
      <c r="DG276" s="6"/>
      <c r="DH276" s="6">
        <f t="shared" si="124"/>
        <v>0</v>
      </c>
      <c r="DI276" s="6"/>
      <c r="DJ276" s="10"/>
      <c r="DK276" s="6"/>
      <c r="DL276" s="6">
        <v>54</v>
      </c>
      <c r="DM276" s="10"/>
      <c r="DN276" s="6">
        <f t="shared" si="125"/>
        <v>0</v>
      </c>
      <c r="DO276" s="6">
        <v>54</v>
      </c>
      <c r="DP276" s="10"/>
      <c r="DQ276" s="6">
        <f t="shared" si="126"/>
        <v>0</v>
      </c>
    </row>
    <row r="277" spans="1:121">
      <c r="A277" s="6">
        <v>273</v>
      </c>
      <c r="B277" s="6">
        <v>335</v>
      </c>
      <c r="C277" s="10"/>
      <c r="D277" s="6">
        <v>0</v>
      </c>
      <c r="E277" s="141" t="s">
        <v>248</v>
      </c>
      <c r="F277" s="141" t="s">
        <v>248</v>
      </c>
      <c r="G277" s="141" t="s">
        <v>248</v>
      </c>
      <c r="H277" s="141" t="s">
        <v>248</v>
      </c>
      <c r="I277" s="141" t="s">
        <v>248</v>
      </c>
      <c r="J277" s="141" t="s">
        <v>248</v>
      </c>
      <c r="K277" s="141" t="s">
        <v>248</v>
      </c>
      <c r="L277" s="163" t="s">
        <v>422</v>
      </c>
      <c r="M277" s="141" t="s">
        <v>422</v>
      </c>
      <c r="N277" s="141" t="s">
        <v>422</v>
      </c>
      <c r="O277" s="141" t="s">
        <v>422</v>
      </c>
      <c r="P277" s="141" t="s">
        <v>422</v>
      </c>
      <c r="Q277" s="141" t="s">
        <v>422</v>
      </c>
      <c r="R277" s="141" t="s">
        <v>422</v>
      </c>
      <c r="S277" s="141" t="s">
        <v>422</v>
      </c>
      <c r="T277" s="141" t="s">
        <v>422</v>
      </c>
      <c r="U277" s="141" t="s">
        <v>422</v>
      </c>
      <c r="V277" s="141" t="s">
        <v>422</v>
      </c>
      <c r="W277" s="141" t="s">
        <v>422</v>
      </c>
      <c r="X277" s="141" t="s">
        <v>422</v>
      </c>
      <c r="Y277" s="141" t="s">
        <v>422</v>
      </c>
      <c r="Z277" s="141" t="s">
        <v>422</v>
      </c>
      <c r="AA277" s="141" t="s">
        <v>422</v>
      </c>
      <c r="AB277" s="141" t="s">
        <v>422</v>
      </c>
      <c r="AC277" s="141" t="s">
        <v>422</v>
      </c>
      <c r="AD277" s="141" t="s">
        <v>422</v>
      </c>
      <c r="AE277" s="141" t="s">
        <v>422</v>
      </c>
      <c r="AF277" s="6">
        <v>335</v>
      </c>
      <c r="AG277" s="6"/>
      <c r="AH277" s="35">
        <f t="shared" si="104"/>
        <v>0</v>
      </c>
      <c r="AI277" s="6">
        <v>335</v>
      </c>
      <c r="AJ277" s="6"/>
      <c r="AK277" s="35">
        <f t="shared" si="105"/>
        <v>0</v>
      </c>
      <c r="AL277" s="35">
        <v>335</v>
      </c>
      <c r="AM277" s="35"/>
      <c r="AN277" s="35">
        <f t="shared" si="106"/>
        <v>0</v>
      </c>
      <c r="AO277" s="6">
        <v>335</v>
      </c>
      <c r="AP277" s="6"/>
      <c r="AQ277" s="35">
        <f t="shared" si="109"/>
        <v>0</v>
      </c>
      <c r="AR277" s="6">
        <v>0</v>
      </c>
      <c r="AS277" s="6">
        <v>335</v>
      </c>
      <c r="AT277" s="34">
        <f t="shared" si="107"/>
        <v>0</v>
      </c>
      <c r="AU277" s="35"/>
      <c r="AV277" s="35"/>
      <c r="AW277" s="35"/>
      <c r="AX277" s="6"/>
      <c r="AY277" s="6"/>
      <c r="AZ277" s="35"/>
      <c r="BA277" s="6">
        <v>17</v>
      </c>
      <c r="BB277" s="6">
        <v>330</v>
      </c>
      <c r="BC277" s="35">
        <f t="shared" ref="BC277:BC307" si="129">BB277+BA277-AU277</f>
        <v>347</v>
      </c>
      <c r="BD277" s="35">
        <v>504</v>
      </c>
      <c r="BE277" s="35"/>
      <c r="BF277" s="35">
        <f t="shared" si="128"/>
        <v>487</v>
      </c>
      <c r="BG277" s="35">
        <v>174</v>
      </c>
      <c r="BH277" s="6">
        <v>800</v>
      </c>
      <c r="BI277" s="35">
        <f t="shared" si="127"/>
        <v>470</v>
      </c>
      <c r="BJ277" s="6">
        <v>683</v>
      </c>
      <c r="BK277" s="6"/>
      <c r="BL277" s="35">
        <f t="shared" si="110"/>
        <v>509</v>
      </c>
      <c r="BM277" s="6">
        <v>444</v>
      </c>
      <c r="BN277" s="6">
        <v>800</v>
      </c>
      <c r="BO277" s="6">
        <f t="shared" si="111"/>
        <v>561</v>
      </c>
      <c r="BP277" s="35">
        <v>141</v>
      </c>
      <c r="BQ277" s="35">
        <v>800</v>
      </c>
      <c r="BR277" s="6">
        <f t="shared" si="112"/>
        <v>497</v>
      </c>
      <c r="BS277" s="35"/>
      <c r="BT277" s="35"/>
      <c r="BU277" s="35"/>
      <c r="BV277" s="35">
        <v>141</v>
      </c>
      <c r="BW277" s="35"/>
      <c r="BX277" s="6">
        <f t="shared" si="113"/>
        <v>0</v>
      </c>
      <c r="BY277" s="6">
        <v>141</v>
      </c>
      <c r="BZ277" s="6"/>
      <c r="CA277" s="35">
        <f t="shared" si="114"/>
        <v>0</v>
      </c>
      <c r="CB277" s="6">
        <v>141</v>
      </c>
      <c r="CC277" s="6"/>
      <c r="CD277" s="6">
        <f t="shared" si="115"/>
        <v>0</v>
      </c>
      <c r="CE277" s="6">
        <v>141</v>
      </c>
      <c r="CF277" s="6"/>
      <c r="CG277" s="6">
        <f t="shared" si="116"/>
        <v>0</v>
      </c>
      <c r="CH277" s="6">
        <v>141</v>
      </c>
      <c r="CI277" s="6"/>
      <c r="CJ277" s="6">
        <f t="shared" si="117"/>
        <v>0</v>
      </c>
      <c r="CK277" s="6">
        <v>141</v>
      </c>
      <c r="CL277" s="6"/>
      <c r="CM277" s="6">
        <f t="shared" si="118"/>
        <v>0</v>
      </c>
      <c r="CN277" s="6"/>
      <c r="CO277" s="6"/>
      <c r="CP277" s="6"/>
      <c r="CQ277" s="6">
        <v>141</v>
      </c>
      <c r="CR277" s="6"/>
      <c r="CS277" s="6">
        <f t="shared" si="119"/>
        <v>0</v>
      </c>
      <c r="CT277" s="6">
        <v>141</v>
      </c>
      <c r="CU277" s="6"/>
      <c r="CV277" s="6">
        <f t="shared" si="120"/>
        <v>0</v>
      </c>
      <c r="CW277" s="6">
        <v>141</v>
      </c>
      <c r="CX277" s="6"/>
      <c r="CY277" s="6">
        <f t="shared" si="121"/>
        <v>0</v>
      </c>
      <c r="CZ277" s="6">
        <v>141</v>
      </c>
      <c r="DA277" s="6"/>
      <c r="DB277" s="6">
        <f t="shared" si="122"/>
        <v>0</v>
      </c>
      <c r="DC277" s="6">
        <v>141</v>
      </c>
      <c r="DD277" s="6"/>
      <c r="DE277" s="6">
        <f t="shared" si="123"/>
        <v>0</v>
      </c>
      <c r="DF277" s="6">
        <v>141</v>
      </c>
      <c r="DG277" s="6"/>
      <c r="DH277" s="6">
        <f t="shared" si="124"/>
        <v>0</v>
      </c>
      <c r="DI277" s="6"/>
      <c r="DJ277" s="10"/>
      <c r="DK277" s="6"/>
      <c r="DL277" s="6">
        <v>141</v>
      </c>
      <c r="DM277" s="10"/>
      <c r="DN277" s="6">
        <f t="shared" si="125"/>
        <v>0</v>
      </c>
      <c r="DO277" s="6">
        <v>141</v>
      </c>
      <c r="DP277" s="10"/>
      <c r="DQ277" s="6">
        <f t="shared" si="126"/>
        <v>0</v>
      </c>
    </row>
    <row r="278" spans="1:121">
      <c r="A278" s="6">
        <v>274</v>
      </c>
      <c r="B278" s="6">
        <v>0</v>
      </c>
      <c r="C278" s="10"/>
      <c r="D278" s="6">
        <v>0</v>
      </c>
      <c r="E278" s="141" t="s">
        <v>248</v>
      </c>
      <c r="F278" s="141" t="s">
        <v>248</v>
      </c>
      <c r="G278" s="141" t="s">
        <v>248</v>
      </c>
      <c r="H278" s="141" t="s">
        <v>248</v>
      </c>
      <c r="I278" s="141" t="s">
        <v>248</v>
      </c>
      <c r="J278" s="141"/>
      <c r="K278" s="141"/>
      <c r="L278" s="141"/>
      <c r="M278" s="163" t="s">
        <v>422</v>
      </c>
      <c r="N278" s="141" t="s">
        <v>422</v>
      </c>
      <c r="O278" s="141" t="s">
        <v>422</v>
      </c>
      <c r="P278" s="141" t="s">
        <v>422</v>
      </c>
      <c r="Q278" s="141" t="s">
        <v>422</v>
      </c>
      <c r="R278" s="141" t="s">
        <v>422</v>
      </c>
      <c r="S278" s="141" t="s">
        <v>422</v>
      </c>
      <c r="T278" s="141" t="s">
        <v>422</v>
      </c>
      <c r="U278" s="141" t="s">
        <v>422</v>
      </c>
      <c r="V278" s="141" t="s">
        <v>422</v>
      </c>
      <c r="W278" s="141" t="s">
        <v>422</v>
      </c>
      <c r="X278" s="141" t="s">
        <v>422</v>
      </c>
      <c r="Y278" s="141" t="s">
        <v>422</v>
      </c>
      <c r="Z278" s="141" t="s">
        <v>422</v>
      </c>
      <c r="AA278" s="141" t="s">
        <v>422</v>
      </c>
      <c r="AB278" s="141" t="s">
        <v>422</v>
      </c>
      <c r="AC278" s="141" t="s">
        <v>422</v>
      </c>
      <c r="AD278" s="141" t="s">
        <v>422</v>
      </c>
      <c r="AE278" s="141" t="s">
        <v>422</v>
      </c>
      <c r="AF278" s="6">
        <v>0</v>
      </c>
      <c r="AG278" s="6"/>
      <c r="AH278" s="35">
        <f t="shared" si="104"/>
        <v>0</v>
      </c>
      <c r="AI278" s="6">
        <v>183</v>
      </c>
      <c r="AJ278" s="6"/>
      <c r="AK278" s="35">
        <f t="shared" si="105"/>
        <v>183</v>
      </c>
      <c r="AL278" s="35">
        <v>393</v>
      </c>
      <c r="AM278" s="35"/>
      <c r="AN278" s="35">
        <f t="shared" si="106"/>
        <v>210</v>
      </c>
      <c r="AO278" s="6">
        <v>0</v>
      </c>
      <c r="AP278" s="6">
        <v>509</v>
      </c>
      <c r="AQ278" s="35">
        <f t="shared" si="109"/>
        <v>116</v>
      </c>
      <c r="AR278" s="6"/>
      <c r="AS278" s="6"/>
      <c r="AT278" s="34"/>
      <c r="AU278" s="35"/>
      <c r="AV278" s="35"/>
      <c r="AW278" s="35"/>
      <c r="AX278" s="6"/>
      <c r="AY278" s="6"/>
      <c r="AZ278" s="35"/>
      <c r="BA278" s="6"/>
      <c r="BB278" s="6"/>
      <c r="BC278" s="35"/>
      <c r="BD278" s="35">
        <v>399</v>
      </c>
      <c r="BE278" s="35"/>
      <c r="BF278" s="35">
        <f t="shared" si="128"/>
        <v>399</v>
      </c>
      <c r="BG278" s="35">
        <v>339</v>
      </c>
      <c r="BH278" s="6">
        <v>528</v>
      </c>
      <c r="BI278" s="35">
        <f t="shared" si="127"/>
        <v>468</v>
      </c>
      <c r="BJ278" s="6">
        <v>71</v>
      </c>
      <c r="BK278" s="6">
        <v>800</v>
      </c>
      <c r="BL278" s="35">
        <f t="shared" si="110"/>
        <v>532</v>
      </c>
      <c r="BM278" s="6">
        <v>636</v>
      </c>
      <c r="BN278" s="6"/>
      <c r="BO278" s="6">
        <f t="shared" si="111"/>
        <v>565</v>
      </c>
      <c r="BP278" s="35">
        <v>344</v>
      </c>
      <c r="BQ278" s="35">
        <v>800</v>
      </c>
      <c r="BR278" s="6">
        <f t="shared" si="112"/>
        <v>508</v>
      </c>
      <c r="BS278" s="35"/>
      <c r="BT278" s="35"/>
      <c r="BU278" s="35"/>
      <c r="BV278" s="35">
        <v>344</v>
      </c>
      <c r="BW278" s="35"/>
      <c r="BX278" s="6">
        <f t="shared" si="113"/>
        <v>0</v>
      </c>
      <c r="BY278" s="6">
        <v>344</v>
      </c>
      <c r="BZ278" s="6"/>
      <c r="CA278" s="35">
        <f t="shared" si="114"/>
        <v>0</v>
      </c>
      <c r="CB278" s="6">
        <v>344</v>
      </c>
      <c r="CC278" s="6"/>
      <c r="CD278" s="6">
        <f t="shared" si="115"/>
        <v>0</v>
      </c>
      <c r="CE278" s="6">
        <v>344</v>
      </c>
      <c r="CF278" s="6"/>
      <c r="CG278" s="6">
        <f t="shared" si="116"/>
        <v>0</v>
      </c>
      <c r="CH278" s="6">
        <v>344</v>
      </c>
      <c r="CI278" s="6"/>
      <c r="CJ278" s="6">
        <f t="shared" si="117"/>
        <v>0</v>
      </c>
      <c r="CK278" s="6">
        <v>344</v>
      </c>
      <c r="CL278" s="6"/>
      <c r="CM278" s="6">
        <f t="shared" si="118"/>
        <v>0</v>
      </c>
      <c r="CN278" s="6"/>
      <c r="CO278" s="6"/>
      <c r="CP278" s="6"/>
      <c r="CQ278" s="6">
        <v>344</v>
      </c>
      <c r="CR278" s="6"/>
      <c r="CS278" s="6">
        <f t="shared" si="119"/>
        <v>0</v>
      </c>
      <c r="CT278" s="6">
        <v>344</v>
      </c>
      <c r="CU278" s="6"/>
      <c r="CV278" s="6">
        <f t="shared" si="120"/>
        <v>0</v>
      </c>
      <c r="CW278" s="6">
        <v>344</v>
      </c>
      <c r="CX278" s="6"/>
      <c r="CY278" s="6">
        <f t="shared" si="121"/>
        <v>0</v>
      </c>
      <c r="CZ278" s="6">
        <v>344</v>
      </c>
      <c r="DA278" s="6"/>
      <c r="DB278" s="6">
        <f t="shared" si="122"/>
        <v>0</v>
      </c>
      <c r="DC278" s="6">
        <v>344</v>
      </c>
      <c r="DD278" s="6"/>
      <c r="DE278" s="6">
        <f t="shared" si="123"/>
        <v>0</v>
      </c>
      <c r="DF278" s="6">
        <v>344</v>
      </c>
      <c r="DG278" s="6"/>
      <c r="DH278" s="6">
        <f t="shared" si="124"/>
        <v>0</v>
      </c>
      <c r="DI278" s="6"/>
      <c r="DJ278" s="10"/>
      <c r="DK278" s="6"/>
      <c r="DL278" s="6">
        <v>344</v>
      </c>
      <c r="DM278" s="10"/>
      <c r="DN278" s="6">
        <f t="shared" si="125"/>
        <v>0</v>
      </c>
      <c r="DO278" s="6">
        <v>344</v>
      </c>
      <c r="DP278" s="10"/>
      <c r="DQ278" s="6">
        <f t="shared" si="126"/>
        <v>0</v>
      </c>
    </row>
    <row r="279" spans="1:121">
      <c r="A279" s="6">
        <v>275</v>
      </c>
      <c r="B279" s="6">
        <v>5</v>
      </c>
      <c r="C279" s="10"/>
      <c r="D279" s="6">
        <v>0</v>
      </c>
      <c r="E279" s="141" t="s">
        <v>248</v>
      </c>
      <c r="F279" s="141" t="s">
        <v>248</v>
      </c>
      <c r="G279" s="141" t="s">
        <v>248</v>
      </c>
      <c r="H279" s="141" t="s">
        <v>248</v>
      </c>
      <c r="I279" s="141" t="s">
        <v>248</v>
      </c>
      <c r="J279" s="141" t="s">
        <v>248</v>
      </c>
      <c r="K279" s="141" t="s">
        <v>248</v>
      </c>
      <c r="L279" s="163" t="s">
        <v>422</v>
      </c>
      <c r="M279" s="141" t="s">
        <v>422</v>
      </c>
      <c r="N279" s="141" t="s">
        <v>422</v>
      </c>
      <c r="O279" s="141" t="s">
        <v>422</v>
      </c>
      <c r="P279" s="141" t="s">
        <v>422</v>
      </c>
      <c r="Q279" s="141" t="s">
        <v>422</v>
      </c>
      <c r="R279" s="141" t="s">
        <v>422</v>
      </c>
      <c r="S279" s="141" t="s">
        <v>422</v>
      </c>
      <c r="T279" s="141" t="s">
        <v>422</v>
      </c>
      <c r="U279" s="141" t="s">
        <v>422</v>
      </c>
      <c r="V279" s="141" t="s">
        <v>422</v>
      </c>
      <c r="W279" s="141" t="s">
        <v>422</v>
      </c>
      <c r="X279" s="141" t="s">
        <v>422</v>
      </c>
      <c r="Y279" s="141" t="s">
        <v>422</v>
      </c>
      <c r="Z279" s="141" t="s">
        <v>422</v>
      </c>
      <c r="AA279" s="141" t="s">
        <v>422</v>
      </c>
      <c r="AB279" s="141" t="s">
        <v>422</v>
      </c>
      <c r="AC279" s="141" t="s">
        <v>422</v>
      </c>
      <c r="AD279" s="141" t="s">
        <v>422</v>
      </c>
      <c r="AE279" s="141" t="s">
        <v>422</v>
      </c>
      <c r="AF279" s="6">
        <v>5</v>
      </c>
      <c r="AG279" s="6"/>
      <c r="AH279" s="35">
        <f t="shared" si="104"/>
        <v>0</v>
      </c>
      <c r="AI279" s="6">
        <v>5</v>
      </c>
      <c r="AJ279" s="6"/>
      <c r="AK279" s="35">
        <f t="shared" si="105"/>
        <v>0</v>
      </c>
      <c r="AL279" s="35">
        <v>5</v>
      </c>
      <c r="AM279" s="35"/>
      <c r="AN279" s="35">
        <f t="shared" si="106"/>
        <v>0</v>
      </c>
      <c r="AO279" s="6">
        <v>5</v>
      </c>
      <c r="AP279" s="6"/>
      <c r="AQ279" s="35">
        <f t="shared" si="109"/>
        <v>0</v>
      </c>
      <c r="AR279" s="6">
        <v>0</v>
      </c>
      <c r="AS279" s="6">
        <v>5</v>
      </c>
      <c r="AT279" s="34">
        <f t="shared" si="107"/>
        <v>0</v>
      </c>
      <c r="AU279" s="35"/>
      <c r="AV279" s="35"/>
      <c r="AW279" s="35"/>
      <c r="AX279" s="6"/>
      <c r="AY279" s="6"/>
      <c r="AZ279" s="35"/>
      <c r="BA279" s="6">
        <v>378</v>
      </c>
      <c r="BB279" s="6"/>
      <c r="BC279" s="35">
        <f t="shared" si="129"/>
        <v>378</v>
      </c>
      <c r="BD279" s="35">
        <v>486</v>
      </c>
      <c r="BE279" s="35">
        <v>446</v>
      </c>
      <c r="BF279" s="35">
        <f t="shared" si="128"/>
        <v>554</v>
      </c>
      <c r="BG279" s="35">
        <v>251</v>
      </c>
      <c r="BH279" s="6">
        <v>800</v>
      </c>
      <c r="BI279" s="35">
        <f t="shared" si="127"/>
        <v>565</v>
      </c>
      <c r="BJ279" s="6">
        <v>4</v>
      </c>
      <c r="BK279" s="6">
        <v>800</v>
      </c>
      <c r="BL279" s="35">
        <f t="shared" si="110"/>
        <v>553</v>
      </c>
      <c r="BM279" s="6">
        <v>569</v>
      </c>
      <c r="BN279" s="6"/>
      <c r="BO279" s="6">
        <f t="shared" si="111"/>
        <v>565</v>
      </c>
      <c r="BP279" s="35">
        <v>270</v>
      </c>
      <c r="BQ279" s="35">
        <v>800</v>
      </c>
      <c r="BR279" s="6">
        <f t="shared" si="112"/>
        <v>501</v>
      </c>
      <c r="BS279" s="35"/>
      <c r="BT279" s="35"/>
      <c r="BU279" s="35"/>
      <c r="BV279" s="35">
        <v>270</v>
      </c>
      <c r="BW279" s="35"/>
      <c r="BX279" s="6">
        <f t="shared" si="113"/>
        <v>0</v>
      </c>
      <c r="BY279" s="6">
        <v>270</v>
      </c>
      <c r="BZ279" s="6"/>
      <c r="CA279" s="35">
        <f t="shared" si="114"/>
        <v>0</v>
      </c>
      <c r="CB279" s="6">
        <v>270</v>
      </c>
      <c r="CC279" s="6"/>
      <c r="CD279" s="6">
        <f t="shared" si="115"/>
        <v>0</v>
      </c>
      <c r="CE279" s="6">
        <v>270</v>
      </c>
      <c r="CF279" s="6"/>
      <c r="CG279" s="6">
        <f t="shared" si="116"/>
        <v>0</v>
      </c>
      <c r="CH279" s="6">
        <v>270</v>
      </c>
      <c r="CI279" s="6"/>
      <c r="CJ279" s="6">
        <f t="shared" si="117"/>
        <v>0</v>
      </c>
      <c r="CK279" s="6">
        <v>270</v>
      </c>
      <c r="CL279" s="6"/>
      <c r="CM279" s="6">
        <f t="shared" si="118"/>
        <v>0</v>
      </c>
      <c r="CN279" s="6"/>
      <c r="CO279" s="6"/>
      <c r="CP279" s="6"/>
      <c r="CQ279" s="6">
        <v>270</v>
      </c>
      <c r="CR279" s="6"/>
      <c r="CS279" s="6">
        <f t="shared" si="119"/>
        <v>0</v>
      </c>
      <c r="CT279" s="6">
        <v>270</v>
      </c>
      <c r="CU279" s="6"/>
      <c r="CV279" s="6">
        <f t="shared" si="120"/>
        <v>0</v>
      </c>
      <c r="CW279" s="6">
        <v>270</v>
      </c>
      <c r="CX279" s="6"/>
      <c r="CY279" s="6">
        <f t="shared" si="121"/>
        <v>0</v>
      </c>
      <c r="CZ279" s="6">
        <v>270</v>
      </c>
      <c r="DA279" s="6"/>
      <c r="DB279" s="6">
        <f t="shared" si="122"/>
        <v>0</v>
      </c>
      <c r="DC279" s="6">
        <v>270</v>
      </c>
      <c r="DD279" s="6"/>
      <c r="DE279" s="6">
        <f t="shared" si="123"/>
        <v>0</v>
      </c>
      <c r="DF279" s="6">
        <v>270</v>
      </c>
      <c r="DG279" s="6"/>
      <c r="DH279" s="6">
        <f t="shared" si="124"/>
        <v>0</v>
      </c>
      <c r="DI279" s="6"/>
      <c r="DJ279" s="10"/>
      <c r="DK279" s="6"/>
      <c r="DL279" s="6">
        <v>270</v>
      </c>
      <c r="DM279" s="10"/>
      <c r="DN279" s="6">
        <f t="shared" si="125"/>
        <v>0</v>
      </c>
      <c r="DO279" s="6">
        <v>270</v>
      </c>
      <c r="DP279" s="10"/>
      <c r="DQ279" s="6">
        <f t="shared" si="126"/>
        <v>0</v>
      </c>
    </row>
    <row r="280" spans="1:121">
      <c r="A280" s="6">
        <v>276</v>
      </c>
      <c r="B280" s="6">
        <v>316</v>
      </c>
      <c r="C280" s="10"/>
      <c r="D280" s="6">
        <v>0</v>
      </c>
      <c r="E280" s="141" t="s">
        <v>248</v>
      </c>
      <c r="F280" s="141" t="s">
        <v>248</v>
      </c>
      <c r="G280" s="141" t="s">
        <v>248</v>
      </c>
      <c r="H280" s="141" t="s">
        <v>248</v>
      </c>
      <c r="I280" s="141" t="s">
        <v>248</v>
      </c>
      <c r="J280" s="163" t="s">
        <v>422</v>
      </c>
      <c r="K280" s="141" t="s">
        <v>422</v>
      </c>
      <c r="L280" s="141" t="s">
        <v>422</v>
      </c>
      <c r="M280" s="141" t="s">
        <v>422</v>
      </c>
      <c r="N280" s="141" t="s">
        <v>422</v>
      </c>
      <c r="O280" s="163" t="s">
        <v>422</v>
      </c>
      <c r="P280" s="141" t="s">
        <v>422</v>
      </c>
      <c r="Q280" s="141" t="s">
        <v>422</v>
      </c>
      <c r="R280" s="141" t="s">
        <v>422</v>
      </c>
      <c r="S280" s="141" t="s">
        <v>422</v>
      </c>
      <c r="T280" s="141" t="s">
        <v>422</v>
      </c>
      <c r="U280" s="141" t="s">
        <v>422</v>
      </c>
      <c r="V280" s="141" t="s">
        <v>422</v>
      </c>
      <c r="W280" s="141" t="s">
        <v>422</v>
      </c>
      <c r="X280" s="141" t="s">
        <v>422</v>
      </c>
      <c r="Y280" s="141" t="s">
        <v>422</v>
      </c>
      <c r="Z280" s="141" t="s">
        <v>422</v>
      </c>
      <c r="AA280" s="141" t="s">
        <v>422</v>
      </c>
      <c r="AB280" s="141" t="s">
        <v>422</v>
      </c>
      <c r="AC280" s="141" t="s">
        <v>422</v>
      </c>
      <c r="AD280" s="141" t="s">
        <v>422</v>
      </c>
      <c r="AE280" s="141" t="s">
        <v>422</v>
      </c>
      <c r="AF280" s="6">
        <v>316</v>
      </c>
      <c r="AG280" s="6"/>
      <c r="AH280" s="35">
        <f t="shared" si="104"/>
        <v>0</v>
      </c>
      <c r="AI280" s="6">
        <v>501</v>
      </c>
      <c r="AJ280" s="6"/>
      <c r="AK280" s="35">
        <f t="shared" si="105"/>
        <v>185</v>
      </c>
      <c r="AL280" s="35">
        <v>699</v>
      </c>
      <c r="AM280" s="35"/>
      <c r="AN280" s="35">
        <f t="shared" si="106"/>
        <v>198</v>
      </c>
      <c r="AO280" s="6">
        <v>0</v>
      </c>
      <c r="AP280" s="6">
        <v>746</v>
      </c>
      <c r="AQ280" s="35">
        <f t="shared" si="109"/>
        <v>47</v>
      </c>
      <c r="AR280" s="6">
        <v>384</v>
      </c>
      <c r="AS280" s="6"/>
      <c r="AT280" s="34">
        <f t="shared" si="107"/>
        <v>384</v>
      </c>
      <c r="AU280" s="35">
        <v>90</v>
      </c>
      <c r="AV280" s="35">
        <v>774</v>
      </c>
      <c r="AW280" s="35">
        <f t="shared" si="108"/>
        <v>480</v>
      </c>
      <c r="AX280" s="6"/>
      <c r="AY280" s="6"/>
      <c r="AZ280" s="35"/>
      <c r="BA280" s="6">
        <v>635</v>
      </c>
      <c r="BB280" s="6"/>
      <c r="BC280" s="35">
        <f t="shared" si="129"/>
        <v>545</v>
      </c>
      <c r="BD280" s="35">
        <v>135</v>
      </c>
      <c r="BE280" s="35">
        <f>800+225</f>
        <v>1025</v>
      </c>
      <c r="BF280" s="35">
        <f t="shared" si="128"/>
        <v>525</v>
      </c>
      <c r="BG280" s="35">
        <v>3</v>
      </c>
      <c r="BH280" s="6">
        <v>163</v>
      </c>
      <c r="BI280" s="35">
        <f t="shared" si="127"/>
        <v>31</v>
      </c>
      <c r="BJ280" s="6">
        <v>508</v>
      </c>
      <c r="BK280" s="6"/>
      <c r="BL280" s="35">
        <f t="shared" si="110"/>
        <v>505</v>
      </c>
      <c r="BM280" s="6">
        <v>399</v>
      </c>
      <c r="BN280" s="6">
        <v>674</v>
      </c>
      <c r="BO280" s="6">
        <f t="shared" si="111"/>
        <v>565</v>
      </c>
      <c r="BP280" s="35">
        <v>104</v>
      </c>
      <c r="BQ280" s="35">
        <v>800</v>
      </c>
      <c r="BR280" s="6">
        <f t="shared" si="112"/>
        <v>505</v>
      </c>
      <c r="BS280" s="35"/>
      <c r="BT280" s="35"/>
      <c r="BU280" s="35"/>
      <c r="BV280" s="35">
        <v>104</v>
      </c>
      <c r="BW280" s="35"/>
      <c r="BX280" s="6">
        <f t="shared" si="113"/>
        <v>0</v>
      </c>
      <c r="BY280" s="6">
        <v>104</v>
      </c>
      <c r="BZ280" s="6"/>
      <c r="CA280" s="35">
        <f t="shared" si="114"/>
        <v>0</v>
      </c>
      <c r="CB280" s="6">
        <v>104</v>
      </c>
      <c r="CC280" s="6"/>
      <c r="CD280" s="6">
        <f t="shared" si="115"/>
        <v>0</v>
      </c>
      <c r="CE280" s="6">
        <v>104</v>
      </c>
      <c r="CF280" s="6"/>
      <c r="CG280" s="6">
        <f t="shared" si="116"/>
        <v>0</v>
      </c>
      <c r="CH280" s="6">
        <v>104</v>
      </c>
      <c r="CI280" s="6"/>
      <c r="CJ280" s="6">
        <f t="shared" si="117"/>
        <v>0</v>
      </c>
      <c r="CK280" s="6">
        <v>104</v>
      </c>
      <c r="CL280" s="6"/>
      <c r="CM280" s="6">
        <f t="shared" si="118"/>
        <v>0</v>
      </c>
      <c r="CN280" s="6"/>
      <c r="CO280" s="6"/>
      <c r="CP280" s="6"/>
      <c r="CQ280" s="6">
        <v>104</v>
      </c>
      <c r="CR280" s="6"/>
      <c r="CS280" s="6">
        <f t="shared" si="119"/>
        <v>0</v>
      </c>
      <c r="CT280" s="6">
        <v>104</v>
      </c>
      <c r="CU280" s="6"/>
      <c r="CV280" s="6">
        <f t="shared" si="120"/>
        <v>0</v>
      </c>
      <c r="CW280" s="6">
        <v>104</v>
      </c>
      <c r="CX280" s="6"/>
      <c r="CY280" s="6">
        <f t="shared" si="121"/>
        <v>0</v>
      </c>
      <c r="CZ280" s="6">
        <v>104</v>
      </c>
      <c r="DA280" s="6"/>
      <c r="DB280" s="6">
        <f t="shared" si="122"/>
        <v>0</v>
      </c>
      <c r="DC280" s="6">
        <v>104</v>
      </c>
      <c r="DD280" s="6"/>
      <c r="DE280" s="6">
        <f t="shared" si="123"/>
        <v>0</v>
      </c>
      <c r="DF280" s="6">
        <v>104</v>
      </c>
      <c r="DG280" s="6"/>
      <c r="DH280" s="6">
        <f t="shared" si="124"/>
        <v>0</v>
      </c>
      <c r="DI280" s="6"/>
      <c r="DJ280" s="10"/>
      <c r="DK280" s="6"/>
      <c r="DL280" s="6">
        <v>104</v>
      </c>
      <c r="DM280" s="10"/>
      <c r="DN280" s="6">
        <f t="shared" si="125"/>
        <v>0</v>
      </c>
      <c r="DO280" s="6">
        <v>104</v>
      </c>
      <c r="DP280" s="10"/>
      <c r="DQ280" s="6">
        <f t="shared" si="126"/>
        <v>0</v>
      </c>
    </row>
    <row r="281" spans="1:121">
      <c r="A281" s="6">
        <v>277</v>
      </c>
      <c r="B281" s="6">
        <v>0</v>
      </c>
      <c r="C281" s="10"/>
      <c r="D281" s="6">
        <v>0</v>
      </c>
      <c r="E281" s="141" t="s">
        <v>248</v>
      </c>
      <c r="F281" s="141" t="s">
        <v>248</v>
      </c>
      <c r="G281" s="141" t="s">
        <v>248</v>
      </c>
      <c r="H281" s="141" t="s">
        <v>248</v>
      </c>
      <c r="I281" s="141" t="s">
        <v>248</v>
      </c>
      <c r="J281" s="163" t="s">
        <v>422</v>
      </c>
      <c r="K281" s="141" t="s">
        <v>422</v>
      </c>
      <c r="L281" s="141" t="s">
        <v>422</v>
      </c>
      <c r="M281" s="141" t="s">
        <v>422</v>
      </c>
      <c r="N281" s="141" t="s">
        <v>422</v>
      </c>
      <c r="O281" s="141" t="s">
        <v>422</v>
      </c>
      <c r="P281" s="141" t="s">
        <v>422</v>
      </c>
      <c r="Q281" s="141" t="s">
        <v>422</v>
      </c>
      <c r="R281" s="163" t="s">
        <v>422</v>
      </c>
      <c r="S281" s="141" t="s">
        <v>422</v>
      </c>
      <c r="T281" s="141" t="s">
        <v>422</v>
      </c>
      <c r="U281" s="141" t="s">
        <v>422</v>
      </c>
      <c r="V281" s="141" t="s">
        <v>422</v>
      </c>
      <c r="W281" s="141" t="s">
        <v>422</v>
      </c>
      <c r="X281" s="141" t="s">
        <v>422</v>
      </c>
      <c r="Y281" s="141" t="s">
        <v>422</v>
      </c>
      <c r="Z281" s="141" t="s">
        <v>422</v>
      </c>
      <c r="AA281" s="141" t="s">
        <v>422</v>
      </c>
      <c r="AB281" s="141" t="s">
        <v>422</v>
      </c>
      <c r="AC281" s="141" t="s">
        <v>422</v>
      </c>
      <c r="AD281" s="141" t="s">
        <v>422</v>
      </c>
      <c r="AE281" s="141" t="s">
        <v>422</v>
      </c>
      <c r="AF281" s="6">
        <v>0</v>
      </c>
      <c r="AG281" s="6"/>
      <c r="AH281" s="35">
        <f t="shared" si="104"/>
        <v>0</v>
      </c>
      <c r="AI281" s="6">
        <v>0</v>
      </c>
      <c r="AJ281" s="6"/>
      <c r="AK281" s="35">
        <f t="shared" si="105"/>
        <v>0</v>
      </c>
      <c r="AL281" s="35">
        <v>0</v>
      </c>
      <c r="AM281" s="35"/>
      <c r="AN281" s="35">
        <f t="shared" si="106"/>
        <v>0</v>
      </c>
      <c r="AO281" s="6">
        <v>0</v>
      </c>
      <c r="AP281" s="6"/>
      <c r="AQ281" s="35">
        <f t="shared" si="109"/>
        <v>0</v>
      </c>
      <c r="AR281" s="6">
        <v>529</v>
      </c>
      <c r="AS281" s="6"/>
      <c r="AT281" s="34">
        <f t="shared" si="107"/>
        <v>529</v>
      </c>
      <c r="AU281" s="35">
        <v>227</v>
      </c>
      <c r="AV281" s="35">
        <v>800</v>
      </c>
      <c r="AW281" s="35">
        <f t="shared" si="108"/>
        <v>498</v>
      </c>
      <c r="AX281" s="6"/>
      <c r="AY281" s="6"/>
      <c r="AZ281" s="35"/>
      <c r="BA281" s="6">
        <v>724</v>
      </c>
      <c r="BB281" s="6"/>
      <c r="BC281" s="35">
        <f t="shared" si="129"/>
        <v>497</v>
      </c>
      <c r="BD281" s="35">
        <v>428</v>
      </c>
      <c r="BE281" s="35">
        <v>800</v>
      </c>
      <c r="BF281" s="35">
        <f t="shared" si="128"/>
        <v>504</v>
      </c>
      <c r="BG281" s="35">
        <v>117</v>
      </c>
      <c r="BH281" s="6">
        <v>800</v>
      </c>
      <c r="BI281" s="35">
        <f t="shared" si="127"/>
        <v>489</v>
      </c>
      <c r="BJ281" s="6">
        <v>380</v>
      </c>
      <c r="BK281" s="6">
        <v>234</v>
      </c>
      <c r="BL281" s="35">
        <f t="shared" si="110"/>
        <v>497</v>
      </c>
      <c r="BM281" s="6">
        <v>144</v>
      </c>
      <c r="BN281" s="6">
        <v>800</v>
      </c>
      <c r="BO281" s="6">
        <f t="shared" si="111"/>
        <v>564</v>
      </c>
      <c r="BP281" s="35">
        <v>0</v>
      </c>
      <c r="BQ281" s="35">
        <v>562</v>
      </c>
      <c r="BR281" s="6">
        <f t="shared" si="112"/>
        <v>418</v>
      </c>
      <c r="BS281" s="35"/>
      <c r="BT281" s="35"/>
      <c r="BU281" s="35"/>
      <c r="BV281" s="35">
        <v>0</v>
      </c>
      <c r="BW281" s="35"/>
      <c r="BX281" s="6">
        <f t="shared" si="113"/>
        <v>0</v>
      </c>
      <c r="BY281" s="6">
        <v>0</v>
      </c>
      <c r="BZ281" s="6"/>
      <c r="CA281" s="35">
        <f t="shared" si="114"/>
        <v>0</v>
      </c>
      <c r="CB281" s="6">
        <v>0</v>
      </c>
      <c r="CC281" s="6"/>
      <c r="CD281" s="6">
        <f t="shared" si="115"/>
        <v>0</v>
      </c>
      <c r="CE281" s="6">
        <v>0</v>
      </c>
      <c r="CF281" s="6"/>
      <c r="CG281" s="6">
        <f t="shared" si="116"/>
        <v>0</v>
      </c>
      <c r="CH281" s="6">
        <v>0</v>
      </c>
      <c r="CI281" s="6"/>
      <c r="CJ281" s="6">
        <f t="shared" si="117"/>
        <v>0</v>
      </c>
      <c r="CK281" s="6">
        <v>0</v>
      </c>
      <c r="CL281" s="6"/>
      <c r="CM281" s="6">
        <f t="shared" si="118"/>
        <v>0</v>
      </c>
      <c r="CN281" s="6"/>
      <c r="CO281" s="6"/>
      <c r="CP281" s="6"/>
      <c r="CQ281" s="6">
        <v>0</v>
      </c>
      <c r="CR281" s="6"/>
      <c r="CS281" s="6">
        <f t="shared" si="119"/>
        <v>0</v>
      </c>
      <c r="CT281" s="6">
        <v>0</v>
      </c>
      <c r="CU281" s="6"/>
      <c r="CV281" s="6">
        <f t="shared" si="120"/>
        <v>0</v>
      </c>
      <c r="CW281" s="6">
        <v>0</v>
      </c>
      <c r="CX281" s="6"/>
      <c r="CY281" s="6">
        <f t="shared" si="121"/>
        <v>0</v>
      </c>
      <c r="CZ281" s="6">
        <v>0</v>
      </c>
      <c r="DA281" s="6"/>
      <c r="DB281" s="6">
        <f t="shared" si="122"/>
        <v>0</v>
      </c>
      <c r="DC281" s="6">
        <v>0</v>
      </c>
      <c r="DD281" s="6"/>
      <c r="DE281" s="6">
        <f t="shared" si="123"/>
        <v>0</v>
      </c>
      <c r="DF281" s="6">
        <v>0</v>
      </c>
      <c r="DG281" s="6"/>
      <c r="DH281" s="6">
        <f t="shared" si="124"/>
        <v>0</v>
      </c>
      <c r="DI281" s="6"/>
      <c r="DJ281" s="10"/>
      <c r="DK281" s="6"/>
      <c r="DL281" s="6">
        <v>0</v>
      </c>
      <c r="DM281" s="10"/>
      <c r="DN281" s="6">
        <f t="shared" si="125"/>
        <v>0</v>
      </c>
      <c r="DO281" s="6">
        <v>0</v>
      </c>
      <c r="DP281" s="10"/>
      <c r="DQ281" s="6">
        <f t="shared" si="126"/>
        <v>0</v>
      </c>
    </row>
    <row r="282" spans="1:121">
      <c r="A282" s="6">
        <v>278</v>
      </c>
      <c r="B282" s="6">
        <v>395</v>
      </c>
      <c r="C282" s="10"/>
      <c r="D282" s="6">
        <v>0</v>
      </c>
      <c r="E282" s="141" t="s">
        <v>248</v>
      </c>
      <c r="F282" s="141" t="s">
        <v>248</v>
      </c>
      <c r="G282" s="141" t="s">
        <v>248</v>
      </c>
      <c r="H282" s="141" t="s">
        <v>248</v>
      </c>
      <c r="I282" s="141" t="s">
        <v>248</v>
      </c>
      <c r="J282" s="163" t="s">
        <v>422</v>
      </c>
      <c r="K282" s="141" t="s">
        <v>422</v>
      </c>
      <c r="L282" s="141" t="s">
        <v>422</v>
      </c>
      <c r="M282" s="141" t="s">
        <v>422</v>
      </c>
      <c r="N282" s="141" t="s">
        <v>422</v>
      </c>
      <c r="O282" s="141" t="s">
        <v>422</v>
      </c>
      <c r="P282" s="141" t="s">
        <v>422</v>
      </c>
      <c r="Q282" s="141" t="s">
        <v>422</v>
      </c>
      <c r="R282" s="163" t="s">
        <v>422</v>
      </c>
      <c r="S282" s="141" t="s">
        <v>422</v>
      </c>
      <c r="T282" s="141" t="s">
        <v>422</v>
      </c>
      <c r="U282" s="141" t="s">
        <v>422</v>
      </c>
      <c r="V282" s="141" t="s">
        <v>422</v>
      </c>
      <c r="W282" s="141" t="s">
        <v>422</v>
      </c>
      <c r="X282" s="141" t="s">
        <v>422</v>
      </c>
      <c r="Y282" s="141" t="s">
        <v>422</v>
      </c>
      <c r="Z282" s="141" t="s">
        <v>422</v>
      </c>
      <c r="AA282" s="141" t="s">
        <v>422</v>
      </c>
      <c r="AB282" s="141" t="s">
        <v>422</v>
      </c>
      <c r="AC282" s="141" t="s">
        <v>422</v>
      </c>
      <c r="AD282" s="141" t="s">
        <v>422</v>
      </c>
      <c r="AE282" s="141" t="s">
        <v>422</v>
      </c>
      <c r="AF282" s="6">
        <v>395</v>
      </c>
      <c r="AG282" s="6"/>
      <c r="AH282" s="35">
        <f t="shared" si="104"/>
        <v>0</v>
      </c>
      <c r="AI282" s="6">
        <v>581</v>
      </c>
      <c r="AJ282" s="6"/>
      <c r="AK282" s="35">
        <f t="shared" si="105"/>
        <v>186</v>
      </c>
      <c r="AL282" s="35">
        <v>0</v>
      </c>
      <c r="AM282" s="35">
        <v>720</v>
      </c>
      <c r="AN282" s="35">
        <f t="shared" si="106"/>
        <v>139</v>
      </c>
      <c r="AO282" s="6">
        <v>0</v>
      </c>
      <c r="AP282" s="6"/>
      <c r="AQ282" s="35">
        <f t="shared" si="109"/>
        <v>0</v>
      </c>
      <c r="AR282" s="6">
        <v>485</v>
      </c>
      <c r="AS282" s="6"/>
      <c r="AT282" s="34">
        <f t="shared" si="107"/>
        <v>485</v>
      </c>
      <c r="AU282" s="35">
        <v>186</v>
      </c>
      <c r="AV282" s="35">
        <v>800</v>
      </c>
      <c r="AW282" s="35">
        <f t="shared" si="108"/>
        <v>501</v>
      </c>
      <c r="AX282" s="6"/>
      <c r="AY282" s="6"/>
      <c r="AZ282" s="35"/>
      <c r="BA282" s="6">
        <v>711</v>
      </c>
      <c r="BB282" s="6"/>
      <c r="BC282" s="35">
        <f t="shared" si="129"/>
        <v>525</v>
      </c>
      <c r="BD282" s="35">
        <v>427</v>
      </c>
      <c r="BE282" s="35">
        <v>800</v>
      </c>
      <c r="BF282" s="35">
        <f t="shared" si="128"/>
        <v>516</v>
      </c>
      <c r="BG282" s="35">
        <v>130</v>
      </c>
      <c r="BH282" s="6">
        <v>800</v>
      </c>
      <c r="BI282" s="35">
        <f t="shared" si="127"/>
        <v>503</v>
      </c>
      <c r="BJ282" s="6">
        <v>658</v>
      </c>
      <c r="BK282" s="6"/>
      <c r="BL282" s="35">
        <f t="shared" si="110"/>
        <v>528</v>
      </c>
      <c r="BM282" s="6">
        <v>422</v>
      </c>
      <c r="BN282" s="6">
        <v>800</v>
      </c>
      <c r="BO282" s="6">
        <f t="shared" si="111"/>
        <v>564</v>
      </c>
      <c r="BP282" s="35">
        <v>0</v>
      </c>
      <c r="BQ282" s="35">
        <v>832</v>
      </c>
      <c r="BR282" s="6">
        <f t="shared" si="112"/>
        <v>410</v>
      </c>
      <c r="BS282" s="35"/>
      <c r="BT282" s="35"/>
      <c r="BU282" s="35"/>
      <c r="BV282" s="35">
        <v>0</v>
      </c>
      <c r="BW282" s="35"/>
      <c r="BX282" s="6">
        <f t="shared" si="113"/>
        <v>0</v>
      </c>
      <c r="BY282" s="6">
        <v>0</v>
      </c>
      <c r="BZ282" s="6"/>
      <c r="CA282" s="35">
        <f t="shared" si="114"/>
        <v>0</v>
      </c>
      <c r="CB282" s="6">
        <v>0</v>
      </c>
      <c r="CC282" s="6"/>
      <c r="CD282" s="6">
        <f t="shared" si="115"/>
        <v>0</v>
      </c>
      <c r="CE282" s="6">
        <v>0</v>
      </c>
      <c r="CF282" s="6"/>
      <c r="CG282" s="6">
        <f t="shared" si="116"/>
        <v>0</v>
      </c>
      <c r="CH282" s="6">
        <v>0</v>
      </c>
      <c r="CI282" s="6"/>
      <c r="CJ282" s="6">
        <f t="shared" si="117"/>
        <v>0</v>
      </c>
      <c r="CK282" s="6">
        <v>0</v>
      </c>
      <c r="CL282" s="6"/>
      <c r="CM282" s="6">
        <f t="shared" si="118"/>
        <v>0</v>
      </c>
      <c r="CN282" s="6"/>
      <c r="CO282" s="6"/>
      <c r="CP282" s="6"/>
      <c r="CQ282" s="6">
        <v>0</v>
      </c>
      <c r="CR282" s="6"/>
      <c r="CS282" s="6">
        <f t="shared" si="119"/>
        <v>0</v>
      </c>
      <c r="CT282" s="6">
        <v>0</v>
      </c>
      <c r="CU282" s="6"/>
      <c r="CV282" s="6">
        <f t="shared" si="120"/>
        <v>0</v>
      </c>
      <c r="CW282" s="6">
        <v>0</v>
      </c>
      <c r="CX282" s="6"/>
      <c r="CY282" s="6">
        <f t="shared" si="121"/>
        <v>0</v>
      </c>
      <c r="CZ282" s="6">
        <v>0</v>
      </c>
      <c r="DA282" s="6"/>
      <c r="DB282" s="6">
        <f t="shared" si="122"/>
        <v>0</v>
      </c>
      <c r="DC282" s="6">
        <v>0</v>
      </c>
      <c r="DD282" s="6"/>
      <c r="DE282" s="6">
        <f t="shared" si="123"/>
        <v>0</v>
      </c>
      <c r="DF282" s="6">
        <v>0</v>
      </c>
      <c r="DG282" s="6"/>
      <c r="DH282" s="6">
        <f t="shared" si="124"/>
        <v>0</v>
      </c>
      <c r="DI282" s="6"/>
      <c r="DJ282" s="10"/>
      <c r="DK282" s="6"/>
      <c r="DL282" s="6">
        <v>0</v>
      </c>
      <c r="DM282" s="10"/>
      <c r="DN282" s="6">
        <f t="shared" si="125"/>
        <v>0</v>
      </c>
      <c r="DO282" s="6">
        <v>0</v>
      </c>
      <c r="DP282" s="10"/>
      <c r="DQ282" s="6">
        <f t="shared" si="126"/>
        <v>0</v>
      </c>
    </row>
    <row r="283" spans="1:121">
      <c r="A283" s="6">
        <v>279</v>
      </c>
      <c r="B283" s="6">
        <v>0</v>
      </c>
      <c r="C283" s="10"/>
      <c r="D283" s="6">
        <v>0</v>
      </c>
      <c r="E283" s="33" t="s">
        <v>248</v>
      </c>
      <c r="F283" s="33" t="s">
        <v>248</v>
      </c>
      <c r="G283" s="148" t="s">
        <v>422</v>
      </c>
      <c r="H283" s="33" t="s">
        <v>422</v>
      </c>
      <c r="I283" s="33" t="s">
        <v>422</v>
      </c>
      <c r="J283" s="33" t="s">
        <v>422</v>
      </c>
      <c r="K283" s="33" t="s">
        <v>422</v>
      </c>
      <c r="L283" s="33" t="s">
        <v>422</v>
      </c>
      <c r="M283" s="33" t="s">
        <v>422</v>
      </c>
      <c r="N283" s="33" t="s">
        <v>422</v>
      </c>
      <c r="O283" s="148" t="s">
        <v>422</v>
      </c>
      <c r="P283" s="33" t="s">
        <v>422</v>
      </c>
      <c r="Q283" s="33" t="s">
        <v>422</v>
      </c>
      <c r="R283" s="33" t="s">
        <v>422</v>
      </c>
      <c r="S283" s="33" t="s">
        <v>422</v>
      </c>
      <c r="T283" s="33" t="s">
        <v>422</v>
      </c>
      <c r="U283" s="33" t="s">
        <v>422</v>
      </c>
      <c r="V283" s="33" t="s">
        <v>422</v>
      </c>
      <c r="W283" s="33" t="s">
        <v>422</v>
      </c>
      <c r="X283" s="33" t="s">
        <v>422</v>
      </c>
      <c r="Y283" s="33" t="s">
        <v>422</v>
      </c>
      <c r="Z283" s="33" t="s">
        <v>422</v>
      </c>
      <c r="AA283" s="33" t="s">
        <v>422</v>
      </c>
      <c r="AB283" s="33" t="s">
        <v>422</v>
      </c>
      <c r="AC283" s="33" t="s">
        <v>422</v>
      </c>
      <c r="AD283" s="33" t="s">
        <v>422</v>
      </c>
      <c r="AE283" s="33" t="s">
        <v>422</v>
      </c>
      <c r="AF283" s="6">
        <v>0</v>
      </c>
      <c r="AG283" s="6"/>
      <c r="AH283" s="35">
        <f t="shared" si="104"/>
        <v>0</v>
      </c>
      <c r="AI283" s="6">
        <v>367</v>
      </c>
      <c r="AJ283" s="6"/>
      <c r="AK283" s="35">
        <f t="shared" si="105"/>
        <v>367</v>
      </c>
      <c r="AL283" s="35">
        <v>71</v>
      </c>
      <c r="AM283" s="35">
        <v>800</v>
      </c>
      <c r="AN283" s="35">
        <f t="shared" si="106"/>
        <v>504</v>
      </c>
      <c r="AO283" s="6">
        <v>574</v>
      </c>
      <c r="AP283" s="6"/>
      <c r="AQ283" s="35">
        <f t="shared" si="109"/>
        <v>503</v>
      </c>
      <c r="AR283" s="6">
        <v>291</v>
      </c>
      <c r="AS283" s="34">
        <v>800</v>
      </c>
      <c r="AT283" s="34">
        <f t="shared" si="107"/>
        <v>517</v>
      </c>
      <c r="AU283" s="35">
        <v>768</v>
      </c>
      <c r="AV283" s="35"/>
      <c r="AW283" s="35">
        <f t="shared" si="108"/>
        <v>477</v>
      </c>
      <c r="AX283" s="6"/>
      <c r="AY283" s="6"/>
      <c r="AZ283" s="35"/>
      <c r="BA283" s="6">
        <v>494</v>
      </c>
      <c r="BB283" s="6">
        <v>800</v>
      </c>
      <c r="BC283" s="35">
        <f t="shared" si="129"/>
        <v>526</v>
      </c>
      <c r="BD283" s="35">
        <v>184</v>
      </c>
      <c r="BE283" s="6">
        <v>800</v>
      </c>
      <c r="BF283" s="35">
        <f t="shared" si="128"/>
        <v>490</v>
      </c>
      <c r="BG283" s="35">
        <v>703</v>
      </c>
      <c r="BH283" s="6"/>
      <c r="BI283" s="35">
        <f t="shared" si="127"/>
        <v>519</v>
      </c>
      <c r="BJ283" s="6">
        <v>400</v>
      </c>
      <c r="BK283" s="6">
        <v>789</v>
      </c>
      <c r="BL283" s="35">
        <f t="shared" si="110"/>
        <v>486</v>
      </c>
      <c r="BM283" s="6">
        <v>161</v>
      </c>
      <c r="BN283" s="6">
        <v>800</v>
      </c>
      <c r="BO283" s="6">
        <f t="shared" si="111"/>
        <v>561</v>
      </c>
      <c r="BP283" s="35">
        <v>659</v>
      </c>
      <c r="BQ283" s="35"/>
      <c r="BR283" s="6">
        <f t="shared" si="112"/>
        <v>498</v>
      </c>
      <c r="BS283" s="35"/>
      <c r="BT283" s="35"/>
      <c r="BU283" s="35"/>
      <c r="BV283" s="35">
        <v>659</v>
      </c>
      <c r="BW283" s="35"/>
      <c r="BX283" s="6">
        <f t="shared" si="113"/>
        <v>0</v>
      </c>
      <c r="BY283" s="6">
        <v>659</v>
      </c>
      <c r="BZ283" s="6"/>
      <c r="CA283" s="35">
        <f t="shared" si="114"/>
        <v>0</v>
      </c>
      <c r="CB283" s="6">
        <v>659</v>
      </c>
      <c r="CC283" s="6"/>
      <c r="CD283" s="6">
        <f t="shared" si="115"/>
        <v>0</v>
      </c>
      <c r="CE283" s="6">
        <v>659</v>
      </c>
      <c r="CF283" s="6"/>
      <c r="CG283" s="6">
        <f t="shared" si="116"/>
        <v>0</v>
      </c>
      <c r="CH283" s="6">
        <v>659</v>
      </c>
      <c r="CI283" s="6"/>
      <c r="CJ283" s="6">
        <f t="shared" si="117"/>
        <v>0</v>
      </c>
      <c r="CK283" s="6">
        <v>659</v>
      </c>
      <c r="CL283" s="6"/>
      <c r="CM283" s="6">
        <f t="shared" si="118"/>
        <v>0</v>
      </c>
      <c r="CN283" s="6"/>
      <c r="CO283" s="6"/>
      <c r="CP283" s="6"/>
      <c r="CQ283" s="6">
        <v>659</v>
      </c>
      <c r="CR283" s="6"/>
      <c r="CS283" s="6">
        <f t="shared" si="119"/>
        <v>0</v>
      </c>
      <c r="CT283" s="6">
        <v>659</v>
      </c>
      <c r="CU283" s="6"/>
      <c r="CV283" s="6">
        <f t="shared" si="120"/>
        <v>0</v>
      </c>
      <c r="CW283" s="6">
        <v>659</v>
      </c>
      <c r="CX283" s="6"/>
      <c r="CY283" s="6">
        <f t="shared" si="121"/>
        <v>0</v>
      </c>
      <c r="CZ283" s="6">
        <v>659</v>
      </c>
      <c r="DA283" s="6"/>
      <c r="DB283" s="6">
        <f t="shared" si="122"/>
        <v>0</v>
      </c>
      <c r="DC283" s="6">
        <v>659</v>
      </c>
      <c r="DD283" s="6"/>
      <c r="DE283" s="6">
        <f t="shared" si="123"/>
        <v>0</v>
      </c>
      <c r="DF283" s="6">
        <v>659</v>
      </c>
      <c r="DG283" s="6"/>
      <c r="DH283" s="6">
        <f t="shared" si="124"/>
        <v>0</v>
      </c>
      <c r="DI283" s="6"/>
      <c r="DJ283" s="10"/>
      <c r="DK283" s="6"/>
      <c r="DL283" s="6">
        <v>659</v>
      </c>
      <c r="DM283" s="10"/>
      <c r="DN283" s="6">
        <f t="shared" si="125"/>
        <v>0</v>
      </c>
      <c r="DO283" s="6">
        <v>659</v>
      </c>
      <c r="DP283" s="10"/>
      <c r="DQ283" s="6">
        <f t="shared" si="126"/>
        <v>0</v>
      </c>
    </row>
    <row r="284" spans="1:121">
      <c r="A284" s="6">
        <v>280</v>
      </c>
      <c r="B284" s="6">
        <v>0</v>
      </c>
      <c r="C284" s="10"/>
      <c r="D284" s="6">
        <v>0</v>
      </c>
      <c r="E284" s="141" t="s">
        <v>248</v>
      </c>
      <c r="F284" s="141" t="s">
        <v>248</v>
      </c>
      <c r="G284" s="141" t="s">
        <v>248</v>
      </c>
      <c r="H284" s="141" t="s">
        <v>248</v>
      </c>
      <c r="I284" s="141" t="s">
        <v>248</v>
      </c>
      <c r="J284" s="141" t="s">
        <v>248</v>
      </c>
      <c r="K284" s="141" t="s">
        <v>248</v>
      </c>
      <c r="L284" s="163" t="s">
        <v>422</v>
      </c>
      <c r="M284" s="141" t="s">
        <v>422</v>
      </c>
      <c r="N284" s="141" t="s">
        <v>422</v>
      </c>
      <c r="O284" s="141" t="s">
        <v>422</v>
      </c>
      <c r="P284" s="141" t="s">
        <v>422</v>
      </c>
      <c r="Q284" s="141" t="s">
        <v>422</v>
      </c>
      <c r="R284" s="141" t="s">
        <v>422</v>
      </c>
      <c r="S284" s="141" t="s">
        <v>422</v>
      </c>
      <c r="T284" s="141" t="s">
        <v>422</v>
      </c>
      <c r="U284" s="141" t="s">
        <v>422</v>
      </c>
      <c r="V284" s="141" t="s">
        <v>422</v>
      </c>
      <c r="W284" s="141" t="s">
        <v>422</v>
      </c>
      <c r="X284" s="141" t="s">
        <v>422</v>
      </c>
      <c r="Y284" s="141" t="s">
        <v>422</v>
      </c>
      <c r="Z284" s="141" t="s">
        <v>422</v>
      </c>
      <c r="AA284" s="141" t="s">
        <v>422</v>
      </c>
      <c r="AB284" s="141" t="s">
        <v>422</v>
      </c>
      <c r="AC284" s="141" t="s">
        <v>422</v>
      </c>
      <c r="AD284" s="141" t="s">
        <v>422</v>
      </c>
      <c r="AE284" s="141" t="s">
        <v>422</v>
      </c>
      <c r="AF284" s="6">
        <v>0</v>
      </c>
      <c r="AG284" s="6"/>
      <c r="AH284" s="35">
        <f t="shared" si="104"/>
        <v>0</v>
      </c>
      <c r="AI284" s="6">
        <v>0</v>
      </c>
      <c r="AJ284" s="6"/>
      <c r="AK284" s="35">
        <f t="shared" si="105"/>
        <v>0</v>
      </c>
      <c r="AL284" s="35">
        <v>0</v>
      </c>
      <c r="AM284" s="35"/>
      <c r="AN284" s="35">
        <f t="shared" si="106"/>
        <v>0</v>
      </c>
      <c r="AO284" s="6">
        <v>0</v>
      </c>
      <c r="AP284" s="6"/>
      <c r="AQ284" s="35">
        <f t="shared" si="109"/>
        <v>0</v>
      </c>
      <c r="AR284" s="6">
        <v>0</v>
      </c>
      <c r="AS284" s="34"/>
      <c r="AT284" s="34">
        <f t="shared" si="107"/>
        <v>0</v>
      </c>
      <c r="AU284" s="35">
        <v>0</v>
      </c>
      <c r="AV284" s="35"/>
      <c r="AW284" s="35">
        <f t="shared" si="108"/>
        <v>0</v>
      </c>
      <c r="AX284" s="6"/>
      <c r="AY284" s="6"/>
      <c r="AZ284" s="35"/>
      <c r="BA284" s="6">
        <v>341</v>
      </c>
      <c r="BB284" s="6"/>
      <c r="BC284" s="35">
        <f t="shared" si="129"/>
        <v>341</v>
      </c>
      <c r="BD284" s="35">
        <v>745</v>
      </c>
      <c r="BE284" s="6"/>
      <c r="BF284" s="35">
        <f t="shared" si="128"/>
        <v>404</v>
      </c>
      <c r="BG284" s="35">
        <v>461</v>
      </c>
      <c r="BH284" s="6">
        <v>800</v>
      </c>
      <c r="BI284" s="35">
        <f t="shared" si="127"/>
        <v>516</v>
      </c>
      <c r="BJ284" s="6">
        <v>195</v>
      </c>
      <c r="BK284" s="6">
        <v>800</v>
      </c>
      <c r="BL284" s="35">
        <f t="shared" si="110"/>
        <v>534</v>
      </c>
      <c r="BM284" s="6">
        <v>759</v>
      </c>
      <c r="BN284" s="6"/>
      <c r="BO284" s="6">
        <f t="shared" si="111"/>
        <v>564</v>
      </c>
      <c r="BP284" s="35">
        <v>455</v>
      </c>
      <c r="BQ284" s="35">
        <v>800</v>
      </c>
      <c r="BR284" s="6">
        <f t="shared" si="112"/>
        <v>496</v>
      </c>
      <c r="BS284" s="35"/>
      <c r="BT284" s="35"/>
      <c r="BU284" s="35"/>
      <c r="BV284" s="35">
        <v>455</v>
      </c>
      <c r="BW284" s="35"/>
      <c r="BX284" s="6">
        <f t="shared" si="113"/>
        <v>0</v>
      </c>
      <c r="BY284" s="6">
        <v>455</v>
      </c>
      <c r="BZ284" s="6"/>
      <c r="CA284" s="35">
        <f t="shared" si="114"/>
        <v>0</v>
      </c>
      <c r="CB284" s="6">
        <v>455</v>
      </c>
      <c r="CC284" s="6"/>
      <c r="CD284" s="6">
        <f t="shared" si="115"/>
        <v>0</v>
      </c>
      <c r="CE284" s="6">
        <v>455</v>
      </c>
      <c r="CF284" s="6"/>
      <c r="CG284" s="6">
        <f t="shared" si="116"/>
        <v>0</v>
      </c>
      <c r="CH284" s="6">
        <v>455</v>
      </c>
      <c r="CI284" s="6"/>
      <c r="CJ284" s="6">
        <f t="shared" si="117"/>
        <v>0</v>
      </c>
      <c r="CK284" s="6">
        <v>455</v>
      </c>
      <c r="CL284" s="6"/>
      <c r="CM284" s="6">
        <f t="shared" si="118"/>
        <v>0</v>
      </c>
      <c r="CN284" s="6"/>
      <c r="CO284" s="6"/>
      <c r="CP284" s="6"/>
      <c r="CQ284" s="6">
        <v>455</v>
      </c>
      <c r="CR284" s="6"/>
      <c r="CS284" s="6">
        <f t="shared" si="119"/>
        <v>0</v>
      </c>
      <c r="CT284" s="6">
        <v>455</v>
      </c>
      <c r="CU284" s="6"/>
      <c r="CV284" s="6">
        <f t="shared" si="120"/>
        <v>0</v>
      </c>
      <c r="CW284" s="6">
        <v>455</v>
      </c>
      <c r="CX284" s="6"/>
      <c r="CY284" s="6">
        <f t="shared" si="121"/>
        <v>0</v>
      </c>
      <c r="CZ284" s="6">
        <v>455</v>
      </c>
      <c r="DA284" s="6"/>
      <c r="DB284" s="6">
        <f t="shared" si="122"/>
        <v>0</v>
      </c>
      <c r="DC284" s="6">
        <v>455</v>
      </c>
      <c r="DD284" s="6"/>
      <c r="DE284" s="6">
        <f t="shared" si="123"/>
        <v>0</v>
      </c>
      <c r="DF284" s="6">
        <v>455</v>
      </c>
      <c r="DG284" s="6"/>
      <c r="DH284" s="6">
        <f t="shared" si="124"/>
        <v>0</v>
      </c>
      <c r="DI284" s="6"/>
      <c r="DJ284" s="10"/>
      <c r="DK284" s="6"/>
      <c r="DL284" s="6">
        <v>455</v>
      </c>
      <c r="DM284" s="10"/>
      <c r="DN284" s="6">
        <f t="shared" si="125"/>
        <v>0</v>
      </c>
      <c r="DO284" s="6">
        <v>455</v>
      </c>
      <c r="DP284" s="10"/>
      <c r="DQ284" s="6">
        <f t="shared" si="126"/>
        <v>0</v>
      </c>
    </row>
    <row r="285" spans="1:121">
      <c r="A285" s="6">
        <v>281</v>
      </c>
      <c r="B285" s="6">
        <v>0</v>
      </c>
      <c r="C285" s="10"/>
      <c r="D285" s="6">
        <v>0</v>
      </c>
      <c r="E285" s="33" t="s">
        <v>248</v>
      </c>
      <c r="F285" s="33" t="s">
        <v>248</v>
      </c>
      <c r="G285" s="33" t="s">
        <v>248</v>
      </c>
      <c r="H285" s="33" t="s">
        <v>248</v>
      </c>
      <c r="I285" s="148" t="s">
        <v>422</v>
      </c>
      <c r="J285" s="33" t="s">
        <v>422</v>
      </c>
      <c r="K285" s="33" t="s">
        <v>422</v>
      </c>
      <c r="L285" s="33" t="s">
        <v>422</v>
      </c>
      <c r="M285" s="33" t="s">
        <v>422</v>
      </c>
      <c r="N285" s="33" t="s">
        <v>422</v>
      </c>
      <c r="O285" s="33" t="s">
        <v>422</v>
      </c>
      <c r="P285" s="33" t="s">
        <v>422</v>
      </c>
      <c r="Q285" s="148" t="s">
        <v>422</v>
      </c>
      <c r="R285" s="33" t="s">
        <v>422</v>
      </c>
      <c r="S285" s="33" t="s">
        <v>422</v>
      </c>
      <c r="T285" s="33" t="s">
        <v>422</v>
      </c>
      <c r="U285" s="33" t="s">
        <v>422</v>
      </c>
      <c r="V285" s="33" t="s">
        <v>422</v>
      </c>
      <c r="W285" s="33" t="s">
        <v>422</v>
      </c>
      <c r="X285" s="33" t="s">
        <v>422</v>
      </c>
      <c r="Y285" s="33" t="s">
        <v>422</v>
      </c>
      <c r="Z285" s="33" t="s">
        <v>422</v>
      </c>
      <c r="AA285" s="33" t="s">
        <v>422</v>
      </c>
      <c r="AB285" s="33" t="s">
        <v>422</v>
      </c>
      <c r="AC285" s="33" t="s">
        <v>422</v>
      </c>
      <c r="AD285" s="33" t="s">
        <v>422</v>
      </c>
      <c r="AE285" s="33" t="s">
        <v>422</v>
      </c>
      <c r="AF285" s="6">
        <v>0</v>
      </c>
      <c r="AG285" s="6"/>
      <c r="AH285" s="35">
        <f t="shared" si="104"/>
        <v>0</v>
      </c>
      <c r="AI285" s="6">
        <v>0</v>
      </c>
      <c r="AJ285" s="6"/>
      <c r="AK285" s="35">
        <f t="shared" si="105"/>
        <v>0</v>
      </c>
      <c r="AL285" s="35">
        <v>0</v>
      </c>
      <c r="AM285" s="35"/>
      <c r="AN285" s="35">
        <f t="shared" si="106"/>
        <v>0</v>
      </c>
      <c r="AO285" s="6">
        <v>337</v>
      </c>
      <c r="AP285" s="6"/>
      <c r="AQ285" s="35">
        <f t="shared" si="109"/>
        <v>337</v>
      </c>
      <c r="AR285" s="6">
        <v>44</v>
      </c>
      <c r="AS285" s="34">
        <v>800</v>
      </c>
      <c r="AT285" s="34">
        <f t="shared" si="107"/>
        <v>507</v>
      </c>
      <c r="AU285" s="35">
        <v>539</v>
      </c>
      <c r="AV285" s="35"/>
      <c r="AW285" s="35">
        <f t="shared" si="108"/>
        <v>495</v>
      </c>
      <c r="AX285" s="6"/>
      <c r="AY285" s="6"/>
      <c r="AZ285" s="35"/>
      <c r="BA285" s="6">
        <v>256</v>
      </c>
      <c r="BB285" s="6">
        <v>800</v>
      </c>
      <c r="BC285" s="35">
        <f t="shared" si="129"/>
        <v>517</v>
      </c>
      <c r="BD285" s="35">
        <v>768</v>
      </c>
      <c r="BE285" s="6"/>
      <c r="BF285" s="35">
        <f t="shared" si="128"/>
        <v>512</v>
      </c>
      <c r="BG285" s="35">
        <v>485</v>
      </c>
      <c r="BH285" s="6">
        <v>800</v>
      </c>
      <c r="BI285" s="35">
        <f t="shared" si="127"/>
        <v>517</v>
      </c>
      <c r="BJ285" s="6">
        <v>402</v>
      </c>
      <c r="BK285" s="6">
        <v>583</v>
      </c>
      <c r="BL285" s="35">
        <f t="shared" si="110"/>
        <v>500</v>
      </c>
      <c r="BM285" s="6">
        <v>973</v>
      </c>
      <c r="BN285" s="6"/>
      <c r="BO285" s="6">
        <f t="shared" si="111"/>
        <v>571</v>
      </c>
      <c r="BP285" s="35">
        <v>460</v>
      </c>
      <c r="BQ285" s="35">
        <v>998</v>
      </c>
      <c r="BR285" s="6">
        <f t="shared" si="112"/>
        <v>485</v>
      </c>
      <c r="BS285" s="35"/>
      <c r="BT285" s="35"/>
      <c r="BU285" s="35"/>
      <c r="BV285" s="35">
        <v>460</v>
      </c>
      <c r="BW285" s="35"/>
      <c r="BX285" s="6">
        <f t="shared" si="113"/>
        <v>0</v>
      </c>
      <c r="BY285" s="6">
        <v>460</v>
      </c>
      <c r="BZ285" s="6"/>
      <c r="CA285" s="35">
        <f t="shared" si="114"/>
        <v>0</v>
      </c>
      <c r="CB285" s="6">
        <v>460</v>
      </c>
      <c r="CC285" s="6"/>
      <c r="CD285" s="6">
        <f t="shared" si="115"/>
        <v>0</v>
      </c>
      <c r="CE285" s="6">
        <v>460</v>
      </c>
      <c r="CF285" s="6"/>
      <c r="CG285" s="6">
        <f t="shared" si="116"/>
        <v>0</v>
      </c>
      <c r="CH285" s="6">
        <v>460</v>
      </c>
      <c r="CI285" s="6"/>
      <c r="CJ285" s="6">
        <f t="shared" si="117"/>
        <v>0</v>
      </c>
      <c r="CK285" s="6">
        <v>460</v>
      </c>
      <c r="CL285" s="6"/>
      <c r="CM285" s="6">
        <f t="shared" si="118"/>
        <v>0</v>
      </c>
      <c r="CN285" s="6"/>
      <c r="CO285" s="6"/>
      <c r="CP285" s="6"/>
      <c r="CQ285" s="6">
        <v>460</v>
      </c>
      <c r="CR285" s="6"/>
      <c r="CS285" s="6">
        <f t="shared" si="119"/>
        <v>0</v>
      </c>
      <c r="CT285" s="6">
        <v>460</v>
      </c>
      <c r="CU285" s="6"/>
      <c r="CV285" s="6">
        <f t="shared" si="120"/>
        <v>0</v>
      </c>
      <c r="CW285" s="6">
        <v>460</v>
      </c>
      <c r="CX285" s="6"/>
      <c r="CY285" s="6">
        <f t="shared" si="121"/>
        <v>0</v>
      </c>
      <c r="CZ285" s="6">
        <v>460</v>
      </c>
      <c r="DA285" s="6"/>
      <c r="DB285" s="6">
        <f t="shared" si="122"/>
        <v>0</v>
      </c>
      <c r="DC285" s="6">
        <v>460</v>
      </c>
      <c r="DD285" s="6"/>
      <c r="DE285" s="6">
        <f t="shared" si="123"/>
        <v>0</v>
      </c>
      <c r="DF285" s="6">
        <v>460</v>
      </c>
      <c r="DG285" s="6"/>
      <c r="DH285" s="6">
        <f t="shared" si="124"/>
        <v>0</v>
      </c>
      <c r="DI285" s="6"/>
      <c r="DJ285" s="10"/>
      <c r="DK285" s="6"/>
      <c r="DL285" s="6">
        <v>460</v>
      </c>
      <c r="DM285" s="10"/>
      <c r="DN285" s="6">
        <f t="shared" si="125"/>
        <v>0</v>
      </c>
      <c r="DO285" s="6">
        <v>460</v>
      </c>
      <c r="DP285" s="10"/>
      <c r="DQ285" s="6">
        <f t="shared" si="126"/>
        <v>0</v>
      </c>
    </row>
    <row r="286" spans="1:121">
      <c r="A286" s="6">
        <v>282</v>
      </c>
      <c r="B286" s="6">
        <v>0</v>
      </c>
      <c r="C286" s="10"/>
      <c r="D286" s="6">
        <v>0</v>
      </c>
      <c r="E286" s="33" t="s">
        <v>248</v>
      </c>
      <c r="F286" s="33" t="s">
        <v>248</v>
      </c>
      <c r="G286" s="33" t="s">
        <v>248</v>
      </c>
      <c r="H286" s="33" t="s">
        <v>248</v>
      </c>
      <c r="I286" s="148" t="s">
        <v>422</v>
      </c>
      <c r="J286" s="33" t="s">
        <v>422</v>
      </c>
      <c r="K286" s="33" t="s">
        <v>422</v>
      </c>
      <c r="L286" s="33" t="s">
        <v>422</v>
      </c>
      <c r="M286" s="33" t="s">
        <v>422</v>
      </c>
      <c r="N286" s="33" t="s">
        <v>422</v>
      </c>
      <c r="O286" s="33" t="s">
        <v>422</v>
      </c>
      <c r="P286" s="33" t="s">
        <v>422</v>
      </c>
      <c r="Q286" s="148" t="s">
        <v>422</v>
      </c>
      <c r="R286" s="33" t="s">
        <v>422</v>
      </c>
      <c r="S286" s="33" t="s">
        <v>422</v>
      </c>
      <c r="T286" s="33" t="s">
        <v>422</v>
      </c>
      <c r="U286" s="33" t="s">
        <v>422</v>
      </c>
      <c r="V286" s="33" t="s">
        <v>422</v>
      </c>
      <c r="W286" s="33" t="s">
        <v>422</v>
      </c>
      <c r="X286" s="33" t="s">
        <v>422</v>
      </c>
      <c r="Y286" s="33" t="s">
        <v>422</v>
      </c>
      <c r="Z286" s="33" t="s">
        <v>422</v>
      </c>
      <c r="AA286" s="33" t="s">
        <v>422</v>
      </c>
      <c r="AB286" s="33" t="s">
        <v>422</v>
      </c>
      <c r="AC286" s="33" t="s">
        <v>422</v>
      </c>
      <c r="AD286" s="33" t="s">
        <v>422</v>
      </c>
      <c r="AE286" s="33" t="s">
        <v>422</v>
      </c>
      <c r="AF286" s="6">
        <v>0</v>
      </c>
      <c r="AG286" s="6"/>
      <c r="AH286" s="35">
        <f t="shared" si="104"/>
        <v>0</v>
      </c>
      <c r="AI286" s="6">
        <v>180</v>
      </c>
      <c r="AJ286" s="6"/>
      <c r="AK286" s="35">
        <f t="shared" si="105"/>
        <v>180</v>
      </c>
      <c r="AL286" s="35">
        <v>0</v>
      </c>
      <c r="AM286" s="35">
        <v>229</v>
      </c>
      <c r="AN286" s="35">
        <f t="shared" si="106"/>
        <v>49</v>
      </c>
      <c r="AO286" s="6">
        <v>318</v>
      </c>
      <c r="AP286" s="6"/>
      <c r="AQ286" s="35">
        <f t="shared" si="109"/>
        <v>318</v>
      </c>
      <c r="AR286" s="6">
        <v>40</v>
      </c>
      <c r="AS286" s="34">
        <v>800</v>
      </c>
      <c r="AT286" s="34">
        <f t="shared" si="107"/>
        <v>522</v>
      </c>
      <c r="AU286" s="35">
        <v>522</v>
      </c>
      <c r="AV286" s="35"/>
      <c r="AW286" s="35">
        <f t="shared" si="108"/>
        <v>482</v>
      </c>
      <c r="AX286" s="6"/>
      <c r="AY286" s="6"/>
      <c r="AZ286" s="35"/>
      <c r="BA286" s="6">
        <v>221</v>
      </c>
      <c r="BB286" s="6">
        <v>800</v>
      </c>
      <c r="BC286" s="35">
        <f t="shared" si="129"/>
        <v>499</v>
      </c>
      <c r="BD286" s="35">
        <v>730</v>
      </c>
      <c r="BE286" s="6"/>
      <c r="BF286" s="35">
        <f t="shared" si="128"/>
        <v>509</v>
      </c>
      <c r="BG286" s="35">
        <v>442</v>
      </c>
      <c r="BH286" s="6">
        <v>800</v>
      </c>
      <c r="BI286" s="35">
        <f t="shared" si="127"/>
        <v>512</v>
      </c>
      <c r="BJ286" s="6">
        <v>153</v>
      </c>
      <c r="BK286" s="6">
        <v>800</v>
      </c>
      <c r="BL286" s="35">
        <f t="shared" si="110"/>
        <v>511</v>
      </c>
      <c r="BM286" s="6">
        <v>714</v>
      </c>
      <c r="BN286" s="6"/>
      <c r="BO286" s="6">
        <f t="shared" si="111"/>
        <v>561</v>
      </c>
      <c r="BP286" s="35">
        <v>375</v>
      </c>
      <c r="BQ286" s="35">
        <v>800</v>
      </c>
      <c r="BR286" s="6">
        <f t="shared" si="112"/>
        <v>461</v>
      </c>
      <c r="BS286" s="35"/>
      <c r="BT286" s="35"/>
      <c r="BU286" s="35"/>
      <c r="BV286" s="35">
        <v>375</v>
      </c>
      <c r="BW286" s="35"/>
      <c r="BX286" s="6">
        <f t="shared" si="113"/>
        <v>0</v>
      </c>
      <c r="BY286" s="6">
        <v>375</v>
      </c>
      <c r="BZ286" s="6"/>
      <c r="CA286" s="35">
        <f t="shared" si="114"/>
        <v>0</v>
      </c>
      <c r="CB286" s="6">
        <v>375</v>
      </c>
      <c r="CC286" s="6"/>
      <c r="CD286" s="6">
        <f t="shared" si="115"/>
        <v>0</v>
      </c>
      <c r="CE286" s="6">
        <v>375</v>
      </c>
      <c r="CF286" s="6"/>
      <c r="CG286" s="6">
        <f t="shared" si="116"/>
        <v>0</v>
      </c>
      <c r="CH286" s="6">
        <v>375</v>
      </c>
      <c r="CI286" s="6"/>
      <c r="CJ286" s="6">
        <f t="shared" si="117"/>
        <v>0</v>
      </c>
      <c r="CK286" s="6">
        <v>375</v>
      </c>
      <c r="CL286" s="6"/>
      <c r="CM286" s="6">
        <f t="shared" si="118"/>
        <v>0</v>
      </c>
      <c r="CN286" s="6"/>
      <c r="CO286" s="6"/>
      <c r="CP286" s="6"/>
      <c r="CQ286" s="6">
        <v>375</v>
      </c>
      <c r="CR286" s="6"/>
      <c r="CS286" s="6">
        <f t="shared" si="119"/>
        <v>0</v>
      </c>
      <c r="CT286" s="6">
        <v>375</v>
      </c>
      <c r="CU286" s="6"/>
      <c r="CV286" s="6">
        <f t="shared" si="120"/>
        <v>0</v>
      </c>
      <c r="CW286" s="6">
        <v>375</v>
      </c>
      <c r="CX286" s="6"/>
      <c r="CY286" s="6">
        <f t="shared" si="121"/>
        <v>0</v>
      </c>
      <c r="CZ286" s="6">
        <v>375</v>
      </c>
      <c r="DA286" s="6"/>
      <c r="DB286" s="6">
        <f t="shared" si="122"/>
        <v>0</v>
      </c>
      <c r="DC286" s="6">
        <v>375</v>
      </c>
      <c r="DD286" s="6"/>
      <c r="DE286" s="6">
        <f t="shared" si="123"/>
        <v>0</v>
      </c>
      <c r="DF286" s="6">
        <v>375</v>
      </c>
      <c r="DG286" s="6"/>
      <c r="DH286" s="6">
        <f t="shared" si="124"/>
        <v>0</v>
      </c>
      <c r="DI286" s="6"/>
      <c r="DJ286" s="10"/>
      <c r="DK286" s="6"/>
      <c r="DL286" s="6">
        <v>375</v>
      </c>
      <c r="DM286" s="10"/>
      <c r="DN286" s="6">
        <f t="shared" si="125"/>
        <v>0</v>
      </c>
      <c r="DO286" s="6">
        <v>375</v>
      </c>
      <c r="DP286" s="10"/>
      <c r="DQ286" s="6">
        <f t="shared" si="126"/>
        <v>0</v>
      </c>
    </row>
    <row r="287" spans="1:121">
      <c r="A287" s="6">
        <v>283</v>
      </c>
      <c r="B287" s="6">
        <v>0</v>
      </c>
      <c r="C287" s="10"/>
      <c r="D287" s="6">
        <v>0</v>
      </c>
      <c r="E287" s="33" t="s">
        <v>248</v>
      </c>
      <c r="F287" s="33" t="s">
        <v>248</v>
      </c>
      <c r="G287" s="33" t="s">
        <v>248</v>
      </c>
      <c r="H287" s="148" t="s">
        <v>422</v>
      </c>
      <c r="I287" s="33" t="s">
        <v>422</v>
      </c>
      <c r="J287" s="33" t="s">
        <v>422</v>
      </c>
      <c r="K287" s="33" t="s">
        <v>422</v>
      </c>
      <c r="L287" s="33" t="s">
        <v>422</v>
      </c>
      <c r="M287" s="33" t="s">
        <v>422</v>
      </c>
      <c r="N287" s="33" t="s">
        <v>422</v>
      </c>
      <c r="O287" s="33" t="s">
        <v>422</v>
      </c>
      <c r="P287" s="148" t="s">
        <v>422</v>
      </c>
      <c r="Q287" s="33" t="s">
        <v>422</v>
      </c>
      <c r="R287" s="33" t="s">
        <v>422</v>
      </c>
      <c r="S287" s="33" t="s">
        <v>422</v>
      </c>
      <c r="T287" s="33" t="s">
        <v>422</v>
      </c>
      <c r="U287" s="33" t="s">
        <v>422</v>
      </c>
      <c r="V287" s="33" t="s">
        <v>422</v>
      </c>
      <c r="W287" s="33" t="s">
        <v>422</v>
      </c>
      <c r="X287" s="33" t="s">
        <v>422</v>
      </c>
      <c r="Y287" s="33" t="s">
        <v>422</v>
      </c>
      <c r="Z287" s="33" t="s">
        <v>422</v>
      </c>
      <c r="AA287" s="33" t="s">
        <v>422</v>
      </c>
      <c r="AB287" s="33" t="s">
        <v>422</v>
      </c>
      <c r="AC287" s="33" t="s">
        <v>422</v>
      </c>
      <c r="AD287" s="33" t="s">
        <v>422</v>
      </c>
      <c r="AE287" s="33" t="s">
        <v>422</v>
      </c>
      <c r="AF287" s="6">
        <v>0</v>
      </c>
      <c r="AG287" s="6"/>
      <c r="AH287" s="35">
        <f t="shared" si="104"/>
        <v>0</v>
      </c>
      <c r="AI287" s="6">
        <v>0</v>
      </c>
      <c r="AJ287" s="6"/>
      <c r="AK287" s="35">
        <f t="shared" si="105"/>
        <v>0</v>
      </c>
      <c r="AL287" s="35">
        <v>337</v>
      </c>
      <c r="AM287" s="35"/>
      <c r="AN287" s="35">
        <f t="shared" si="106"/>
        <v>337</v>
      </c>
      <c r="AO287" s="6">
        <v>31</v>
      </c>
      <c r="AP287" s="6">
        <v>800</v>
      </c>
      <c r="AQ287" s="35">
        <f t="shared" si="109"/>
        <v>494</v>
      </c>
      <c r="AR287" s="6">
        <v>542</v>
      </c>
      <c r="AS287" s="34"/>
      <c r="AT287" s="34">
        <f t="shared" si="107"/>
        <v>511</v>
      </c>
      <c r="AU287" s="35">
        <v>219</v>
      </c>
      <c r="AV287" s="35">
        <v>800</v>
      </c>
      <c r="AW287" s="35">
        <f t="shared" si="108"/>
        <v>477</v>
      </c>
      <c r="AX287" s="6"/>
      <c r="AY287" s="6"/>
      <c r="AZ287" s="35"/>
      <c r="BA287" s="6">
        <v>733</v>
      </c>
      <c r="BB287" s="6"/>
      <c r="BC287" s="35">
        <f t="shared" si="129"/>
        <v>514</v>
      </c>
      <c r="BD287" s="35">
        <v>449</v>
      </c>
      <c r="BE287" s="6">
        <v>800</v>
      </c>
      <c r="BF287" s="35">
        <f t="shared" si="128"/>
        <v>516</v>
      </c>
      <c r="BG287" s="35">
        <v>155</v>
      </c>
      <c r="BH287" s="6">
        <v>801</v>
      </c>
      <c r="BI287" s="35">
        <f t="shared" si="127"/>
        <v>507</v>
      </c>
      <c r="BJ287" s="6">
        <v>680</v>
      </c>
      <c r="BK287" s="6"/>
      <c r="BL287" s="35">
        <f t="shared" si="110"/>
        <v>525</v>
      </c>
      <c r="BM287" s="6">
        <v>415</v>
      </c>
      <c r="BN287" s="6">
        <v>800</v>
      </c>
      <c r="BO287" s="6">
        <f t="shared" si="111"/>
        <v>535</v>
      </c>
      <c r="BP287" s="35">
        <v>108</v>
      </c>
      <c r="BQ287" s="35">
        <v>800</v>
      </c>
      <c r="BR287" s="6">
        <f t="shared" si="112"/>
        <v>493</v>
      </c>
      <c r="BS287" s="35"/>
      <c r="BT287" s="35"/>
      <c r="BU287" s="35"/>
      <c r="BV287" s="35">
        <v>108</v>
      </c>
      <c r="BW287" s="35"/>
      <c r="BX287" s="6">
        <f t="shared" si="113"/>
        <v>0</v>
      </c>
      <c r="BY287" s="6">
        <v>108</v>
      </c>
      <c r="BZ287" s="6"/>
      <c r="CA287" s="35">
        <f t="shared" si="114"/>
        <v>0</v>
      </c>
      <c r="CB287" s="6">
        <v>108</v>
      </c>
      <c r="CC287" s="6"/>
      <c r="CD287" s="6">
        <f t="shared" si="115"/>
        <v>0</v>
      </c>
      <c r="CE287" s="6">
        <v>108</v>
      </c>
      <c r="CF287" s="6"/>
      <c r="CG287" s="6">
        <f t="shared" si="116"/>
        <v>0</v>
      </c>
      <c r="CH287" s="6">
        <v>108</v>
      </c>
      <c r="CI287" s="6"/>
      <c r="CJ287" s="6">
        <f t="shared" si="117"/>
        <v>0</v>
      </c>
      <c r="CK287" s="6">
        <v>108</v>
      </c>
      <c r="CL287" s="6"/>
      <c r="CM287" s="6">
        <f t="shared" si="118"/>
        <v>0</v>
      </c>
      <c r="CN287" s="6"/>
      <c r="CO287" s="6"/>
      <c r="CP287" s="6"/>
      <c r="CQ287" s="6">
        <v>108</v>
      </c>
      <c r="CR287" s="6"/>
      <c r="CS287" s="6">
        <f t="shared" si="119"/>
        <v>0</v>
      </c>
      <c r="CT287" s="6">
        <v>108</v>
      </c>
      <c r="CU287" s="6"/>
      <c r="CV287" s="6">
        <f t="shared" si="120"/>
        <v>0</v>
      </c>
      <c r="CW287" s="6">
        <v>108</v>
      </c>
      <c r="CX287" s="6"/>
      <c r="CY287" s="6">
        <f t="shared" si="121"/>
        <v>0</v>
      </c>
      <c r="CZ287" s="6">
        <v>108</v>
      </c>
      <c r="DA287" s="6"/>
      <c r="DB287" s="6">
        <f t="shared" si="122"/>
        <v>0</v>
      </c>
      <c r="DC287" s="6">
        <v>108</v>
      </c>
      <c r="DD287" s="6"/>
      <c r="DE287" s="6">
        <f t="shared" si="123"/>
        <v>0</v>
      </c>
      <c r="DF287" s="6">
        <v>108</v>
      </c>
      <c r="DG287" s="6"/>
      <c r="DH287" s="6">
        <f t="shared" si="124"/>
        <v>0</v>
      </c>
      <c r="DI287" s="6"/>
      <c r="DJ287" s="10"/>
      <c r="DK287" s="6"/>
      <c r="DL287" s="6">
        <v>108</v>
      </c>
      <c r="DM287" s="10"/>
      <c r="DN287" s="6">
        <f t="shared" si="125"/>
        <v>0</v>
      </c>
      <c r="DO287" s="6">
        <v>108</v>
      </c>
      <c r="DP287" s="10"/>
      <c r="DQ287" s="6">
        <f t="shared" si="126"/>
        <v>0</v>
      </c>
    </row>
    <row r="288" spans="1:121">
      <c r="A288" s="6">
        <v>284</v>
      </c>
      <c r="B288" s="6">
        <v>0</v>
      </c>
      <c r="C288" s="10"/>
      <c r="D288" s="6">
        <v>0</v>
      </c>
      <c r="E288" s="33" t="s">
        <v>248</v>
      </c>
      <c r="F288" s="33" t="s">
        <v>248</v>
      </c>
      <c r="G288" s="33" t="s">
        <v>248</v>
      </c>
      <c r="H288" s="148" t="s">
        <v>422</v>
      </c>
      <c r="I288" s="33" t="s">
        <v>422</v>
      </c>
      <c r="J288" s="33" t="s">
        <v>422</v>
      </c>
      <c r="K288" s="33" t="s">
        <v>422</v>
      </c>
      <c r="L288" s="33" t="s">
        <v>422</v>
      </c>
      <c r="M288" s="33" t="s">
        <v>422</v>
      </c>
      <c r="N288" s="33" t="s">
        <v>422</v>
      </c>
      <c r="O288" s="33" t="s">
        <v>422</v>
      </c>
      <c r="P288" s="148" t="s">
        <v>422</v>
      </c>
      <c r="Q288" s="33" t="s">
        <v>422</v>
      </c>
      <c r="R288" s="33" t="s">
        <v>422</v>
      </c>
      <c r="S288" s="33" t="s">
        <v>422</v>
      </c>
      <c r="T288" s="33" t="s">
        <v>422</v>
      </c>
      <c r="U288" s="33" t="s">
        <v>422</v>
      </c>
      <c r="V288" s="33" t="s">
        <v>422</v>
      </c>
      <c r="W288" s="33" t="s">
        <v>422</v>
      </c>
      <c r="X288" s="33" t="s">
        <v>422</v>
      </c>
      <c r="Y288" s="33" t="s">
        <v>422</v>
      </c>
      <c r="Z288" s="33" t="s">
        <v>422</v>
      </c>
      <c r="AA288" s="33" t="s">
        <v>422</v>
      </c>
      <c r="AB288" s="33" t="s">
        <v>422</v>
      </c>
      <c r="AC288" s="33" t="s">
        <v>422</v>
      </c>
      <c r="AD288" s="33" t="s">
        <v>422</v>
      </c>
      <c r="AE288" s="33" t="s">
        <v>422</v>
      </c>
      <c r="AF288" s="6">
        <v>0</v>
      </c>
      <c r="AG288" s="6"/>
      <c r="AH288" s="35">
        <f t="shared" si="104"/>
        <v>0</v>
      </c>
      <c r="AI288" s="6">
        <v>184</v>
      </c>
      <c r="AJ288" s="6"/>
      <c r="AK288" s="35">
        <f t="shared" si="105"/>
        <v>184</v>
      </c>
      <c r="AL288" s="35">
        <v>337</v>
      </c>
      <c r="AM288" s="35"/>
      <c r="AN288" s="35">
        <f t="shared" si="106"/>
        <v>153</v>
      </c>
      <c r="AO288" s="6">
        <v>57</v>
      </c>
      <c r="AP288" s="6">
        <v>800</v>
      </c>
      <c r="AQ288" s="35">
        <f t="shared" si="109"/>
        <v>520</v>
      </c>
      <c r="AR288" s="6">
        <v>592</v>
      </c>
      <c r="AS288" s="34"/>
      <c r="AT288" s="34">
        <f t="shared" si="107"/>
        <v>535</v>
      </c>
      <c r="AU288" s="35">
        <v>293</v>
      </c>
      <c r="AV288" s="35">
        <v>800</v>
      </c>
      <c r="AW288" s="35">
        <f t="shared" si="108"/>
        <v>501</v>
      </c>
      <c r="AX288" s="6"/>
      <c r="AY288" s="6"/>
      <c r="AZ288" s="35"/>
      <c r="BA288" s="6">
        <v>6</v>
      </c>
      <c r="BB288" s="6">
        <v>800</v>
      </c>
      <c r="BC288" s="35">
        <f t="shared" si="129"/>
        <v>513</v>
      </c>
      <c r="BD288" s="35">
        <v>510</v>
      </c>
      <c r="BE288" s="6"/>
      <c r="BF288" s="35">
        <f t="shared" si="128"/>
        <v>504</v>
      </c>
      <c r="BG288" s="35">
        <v>244</v>
      </c>
      <c r="BH288" s="6">
        <v>800</v>
      </c>
      <c r="BI288" s="35">
        <f t="shared" si="127"/>
        <v>534</v>
      </c>
      <c r="BJ288" s="6">
        <v>770</v>
      </c>
      <c r="BK288" s="6"/>
      <c r="BL288" s="35">
        <f t="shared" si="110"/>
        <v>526</v>
      </c>
      <c r="BM288" s="6">
        <v>450</v>
      </c>
      <c r="BN288" s="6">
        <v>800</v>
      </c>
      <c r="BO288" s="6">
        <f t="shared" si="111"/>
        <v>480</v>
      </c>
      <c r="BP288" s="35">
        <v>154</v>
      </c>
      <c r="BQ288" s="35">
        <v>800</v>
      </c>
      <c r="BR288" s="6">
        <f t="shared" si="112"/>
        <v>504</v>
      </c>
      <c r="BS288" s="35"/>
      <c r="BT288" s="35"/>
      <c r="BU288" s="35"/>
      <c r="BV288" s="35">
        <v>154</v>
      </c>
      <c r="BW288" s="35"/>
      <c r="BX288" s="6">
        <f t="shared" si="113"/>
        <v>0</v>
      </c>
      <c r="BY288" s="6">
        <v>154</v>
      </c>
      <c r="BZ288" s="6"/>
      <c r="CA288" s="35">
        <f t="shared" si="114"/>
        <v>0</v>
      </c>
      <c r="CB288" s="6">
        <v>154</v>
      </c>
      <c r="CC288" s="6"/>
      <c r="CD288" s="6">
        <f t="shared" si="115"/>
        <v>0</v>
      </c>
      <c r="CE288" s="6">
        <v>154</v>
      </c>
      <c r="CF288" s="6"/>
      <c r="CG288" s="6">
        <f t="shared" si="116"/>
        <v>0</v>
      </c>
      <c r="CH288" s="6">
        <v>154</v>
      </c>
      <c r="CI288" s="6"/>
      <c r="CJ288" s="6">
        <f t="shared" si="117"/>
        <v>0</v>
      </c>
      <c r="CK288" s="6">
        <v>154</v>
      </c>
      <c r="CL288" s="6"/>
      <c r="CM288" s="6">
        <f t="shared" si="118"/>
        <v>0</v>
      </c>
      <c r="CN288" s="6"/>
      <c r="CO288" s="6"/>
      <c r="CP288" s="6"/>
      <c r="CQ288" s="6">
        <v>154</v>
      </c>
      <c r="CR288" s="6"/>
      <c r="CS288" s="6">
        <f t="shared" si="119"/>
        <v>0</v>
      </c>
      <c r="CT288" s="6">
        <v>154</v>
      </c>
      <c r="CU288" s="6"/>
      <c r="CV288" s="6">
        <f t="shared" si="120"/>
        <v>0</v>
      </c>
      <c r="CW288" s="6">
        <v>154</v>
      </c>
      <c r="CX288" s="6"/>
      <c r="CY288" s="6">
        <f t="shared" si="121"/>
        <v>0</v>
      </c>
      <c r="CZ288" s="6">
        <v>154</v>
      </c>
      <c r="DA288" s="6"/>
      <c r="DB288" s="6">
        <f t="shared" si="122"/>
        <v>0</v>
      </c>
      <c r="DC288" s="6">
        <v>154</v>
      </c>
      <c r="DD288" s="6"/>
      <c r="DE288" s="6">
        <f t="shared" si="123"/>
        <v>0</v>
      </c>
      <c r="DF288" s="6">
        <v>154</v>
      </c>
      <c r="DG288" s="6"/>
      <c r="DH288" s="6">
        <f t="shared" si="124"/>
        <v>0</v>
      </c>
      <c r="DI288" s="6"/>
      <c r="DJ288" s="10"/>
      <c r="DK288" s="6"/>
      <c r="DL288" s="6">
        <v>154</v>
      </c>
      <c r="DM288" s="10"/>
      <c r="DN288" s="6">
        <f t="shared" si="125"/>
        <v>0</v>
      </c>
      <c r="DO288" s="6">
        <v>154</v>
      </c>
      <c r="DP288" s="10"/>
      <c r="DQ288" s="6">
        <f t="shared" si="126"/>
        <v>0</v>
      </c>
    </row>
    <row r="289" spans="1:121">
      <c r="A289" s="6">
        <v>285</v>
      </c>
      <c r="B289" s="6">
        <v>318</v>
      </c>
      <c r="C289" s="10"/>
      <c r="D289" s="6">
        <v>0</v>
      </c>
      <c r="E289" s="33" t="s">
        <v>248</v>
      </c>
      <c r="F289" s="33" t="s">
        <v>248</v>
      </c>
      <c r="G289" s="33" t="s">
        <v>248</v>
      </c>
      <c r="H289" s="148" t="s">
        <v>422</v>
      </c>
      <c r="I289" s="33" t="s">
        <v>422</v>
      </c>
      <c r="J289" s="33" t="s">
        <v>422</v>
      </c>
      <c r="K289" s="33" t="s">
        <v>422</v>
      </c>
      <c r="L289" s="33" t="s">
        <v>422</v>
      </c>
      <c r="M289" s="33" t="s">
        <v>422</v>
      </c>
      <c r="N289" s="33" t="s">
        <v>422</v>
      </c>
      <c r="O289" s="33" t="s">
        <v>422</v>
      </c>
      <c r="P289" s="148" t="s">
        <v>422</v>
      </c>
      <c r="Q289" s="33" t="s">
        <v>422</v>
      </c>
      <c r="R289" s="33" t="s">
        <v>422</v>
      </c>
      <c r="S289" s="33" t="s">
        <v>422</v>
      </c>
      <c r="T289" s="33" t="s">
        <v>422</v>
      </c>
      <c r="U289" s="33" t="s">
        <v>422</v>
      </c>
      <c r="V289" s="33" t="s">
        <v>422</v>
      </c>
      <c r="W289" s="33" t="s">
        <v>422</v>
      </c>
      <c r="X289" s="33" t="s">
        <v>422</v>
      </c>
      <c r="Y289" s="33" t="s">
        <v>422</v>
      </c>
      <c r="Z289" s="33" t="s">
        <v>422</v>
      </c>
      <c r="AA289" s="33" t="s">
        <v>422</v>
      </c>
      <c r="AB289" s="33" t="s">
        <v>422</v>
      </c>
      <c r="AC289" s="33" t="s">
        <v>422</v>
      </c>
      <c r="AD289" s="33" t="s">
        <v>422</v>
      </c>
      <c r="AE289" s="33" t="s">
        <v>422</v>
      </c>
      <c r="AF289" s="6">
        <v>318</v>
      </c>
      <c r="AG289" s="6"/>
      <c r="AH289" s="35">
        <f t="shared" si="104"/>
        <v>0</v>
      </c>
      <c r="AI289" s="6">
        <v>318</v>
      </c>
      <c r="AJ289" s="6"/>
      <c r="AK289" s="35">
        <f t="shared" si="105"/>
        <v>0</v>
      </c>
      <c r="AL289" s="35">
        <v>372</v>
      </c>
      <c r="AM289" s="35">
        <v>318</v>
      </c>
      <c r="AN289" s="35">
        <f t="shared" si="106"/>
        <v>372</v>
      </c>
      <c r="AO289" s="6">
        <v>93</v>
      </c>
      <c r="AP289" s="6">
        <v>800</v>
      </c>
      <c r="AQ289" s="35">
        <f t="shared" si="109"/>
        <v>521</v>
      </c>
      <c r="AR289" s="6">
        <v>613</v>
      </c>
      <c r="AS289" s="34"/>
      <c r="AT289" s="34">
        <f t="shared" si="107"/>
        <v>520</v>
      </c>
      <c r="AU289" s="35">
        <v>310</v>
      </c>
      <c r="AV289" s="35">
        <v>800</v>
      </c>
      <c r="AW289" s="35">
        <f t="shared" si="108"/>
        <v>497</v>
      </c>
      <c r="AX289" s="6"/>
      <c r="AY289" s="6"/>
      <c r="AZ289" s="35"/>
      <c r="BA289" s="6">
        <v>38</v>
      </c>
      <c r="BB289" s="6">
        <v>800</v>
      </c>
      <c r="BC289" s="35">
        <f t="shared" si="129"/>
        <v>528</v>
      </c>
      <c r="BD289" s="35">
        <v>557</v>
      </c>
      <c r="BE289" s="6"/>
      <c r="BF289" s="35">
        <f t="shared" si="128"/>
        <v>519</v>
      </c>
      <c r="BG289" s="35">
        <v>277</v>
      </c>
      <c r="BH289" s="6">
        <v>800</v>
      </c>
      <c r="BI289" s="35">
        <f t="shared" si="127"/>
        <v>520</v>
      </c>
      <c r="BJ289" s="6">
        <v>0</v>
      </c>
      <c r="BK289" s="6">
        <v>800</v>
      </c>
      <c r="BL289" s="35">
        <f t="shared" si="110"/>
        <v>523</v>
      </c>
      <c r="BM289" s="6">
        <v>518</v>
      </c>
      <c r="BN289" s="6"/>
      <c r="BO289" s="6">
        <f t="shared" si="111"/>
        <v>518</v>
      </c>
      <c r="BP289" s="35">
        <v>214</v>
      </c>
      <c r="BQ289" s="35">
        <v>800</v>
      </c>
      <c r="BR289" s="6">
        <f t="shared" si="112"/>
        <v>496</v>
      </c>
      <c r="BS289" s="35"/>
      <c r="BT289" s="35"/>
      <c r="BU289" s="35"/>
      <c r="BV289" s="35">
        <v>214</v>
      </c>
      <c r="BW289" s="35"/>
      <c r="BX289" s="6">
        <f t="shared" si="113"/>
        <v>0</v>
      </c>
      <c r="BY289" s="6">
        <v>214</v>
      </c>
      <c r="BZ289" s="6"/>
      <c r="CA289" s="35">
        <f t="shared" si="114"/>
        <v>0</v>
      </c>
      <c r="CB289" s="6">
        <v>214</v>
      </c>
      <c r="CC289" s="6"/>
      <c r="CD289" s="6">
        <f t="shared" si="115"/>
        <v>0</v>
      </c>
      <c r="CE289" s="6">
        <v>214</v>
      </c>
      <c r="CF289" s="6"/>
      <c r="CG289" s="6">
        <f t="shared" si="116"/>
        <v>0</v>
      </c>
      <c r="CH289" s="6">
        <v>214</v>
      </c>
      <c r="CI289" s="6"/>
      <c r="CJ289" s="6">
        <f t="shared" si="117"/>
        <v>0</v>
      </c>
      <c r="CK289" s="6">
        <v>214</v>
      </c>
      <c r="CL289" s="6"/>
      <c r="CM289" s="6">
        <f t="shared" si="118"/>
        <v>0</v>
      </c>
      <c r="CN289" s="6"/>
      <c r="CO289" s="6"/>
      <c r="CP289" s="6"/>
      <c r="CQ289" s="6">
        <v>214</v>
      </c>
      <c r="CR289" s="6"/>
      <c r="CS289" s="6">
        <f t="shared" si="119"/>
        <v>0</v>
      </c>
      <c r="CT289" s="6">
        <v>214</v>
      </c>
      <c r="CU289" s="6"/>
      <c r="CV289" s="6">
        <f t="shared" si="120"/>
        <v>0</v>
      </c>
      <c r="CW289" s="6">
        <v>214</v>
      </c>
      <c r="CX289" s="6"/>
      <c r="CY289" s="6">
        <f t="shared" si="121"/>
        <v>0</v>
      </c>
      <c r="CZ289" s="6">
        <v>214</v>
      </c>
      <c r="DA289" s="6"/>
      <c r="DB289" s="6">
        <f t="shared" si="122"/>
        <v>0</v>
      </c>
      <c r="DC289" s="6">
        <v>214</v>
      </c>
      <c r="DD289" s="6"/>
      <c r="DE289" s="6">
        <f t="shared" si="123"/>
        <v>0</v>
      </c>
      <c r="DF289" s="6">
        <v>214</v>
      </c>
      <c r="DG289" s="6"/>
      <c r="DH289" s="6">
        <f t="shared" si="124"/>
        <v>0</v>
      </c>
      <c r="DI289" s="6"/>
      <c r="DJ289" s="10"/>
      <c r="DK289" s="6"/>
      <c r="DL289" s="6">
        <v>214</v>
      </c>
      <c r="DM289" s="10"/>
      <c r="DN289" s="6">
        <f t="shared" si="125"/>
        <v>0</v>
      </c>
      <c r="DO289" s="6">
        <v>214</v>
      </c>
      <c r="DP289" s="10"/>
      <c r="DQ289" s="6">
        <f t="shared" si="126"/>
        <v>0</v>
      </c>
    </row>
    <row r="290" spans="1:121">
      <c r="A290" s="6">
        <v>286</v>
      </c>
      <c r="B290" s="6">
        <v>0</v>
      </c>
      <c r="C290" s="10"/>
      <c r="D290" s="6">
        <v>0</v>
      </c>
      <c r="E290" s="33" t="s">
        <v>248</v>
      </c>
      <c r="F290" s="33" t="s">
        <v>248</v>
      </c>
      <c r="G290" s="33" t="s">
        <v>248</v>
      </c>
      <c r="H290" s="148" t="s">
        <v>422</v>
      </c>
      <c r="I290" s="33" t="s">
        <v>422</v>
      </c>
      <c r="J290" s="33" t="s">
        <v>422</v>
      </c>
      <c r="K290" s="33" t="s">
        <v>422</v>
      </c>
      <c r="L290" s="33" t="s">
        <v>422</v>
      </c>
      <c r="M290" s="33" t="s">
        <v>422</v>
      </c>
      <c r="N290" s="33" t="s">
        <v>422</v>
      </c>
      <c r="O290" s="33" t="s">
        <v>422</v>
      </c>
      <c r="P290" s="148" t="s">
        <v>422</v>
      </c>
      <c r="Q290" s="33" t="s">
        <v>422</v>
      </c>
      <c r="R290" s="33" t="s">
        <v>422</v>
      </c>
      <c r="S290" s="33" t="s">
        <v>422</v>
      </c>
      <c r="T290" s="33" t="s">
        <v>422</v>
      </c>
      <c r="U290" s="33" t="s">
        <v>422</v>
      </c>
      <c r="V290" s="33" t="s">
        <v>422</v>
      </c>
      <c r="W290" s="33" t="s">
        <v>422</v>
      </c>
      <c r="X290" s="33" t="s">
        <v>422</v>
      </c>
      <c r="Y290" s="33" t="s">
        <v>422</v>
      </c>
      <c r="Z290" s="33" t="s">
        <v>422</v>
      </c>
      <c r="AA290" s="33" t="s">
        <v>422</v>
      </c>
      <c r="AB290" s="33" t="s">
        <v>422</v>
      </c>
      <c r="AC290" s="33" t="s">
        <v>422</v>
      </c>
      <c r="AD290" s="33" t="s">
        <v>422</v>
      </c>
      <c r="AE290" s="33" t="s">
        <v>422</v>
      </c>
      <c r="AF290" s="6">
        <v>0</v>
      </c>
      <c r="AG290" s="6"/>
      <c r="AH290" s="35">
        <f t="shared" si="104"/>
        <v>0</v>
      </c>
      <c r="AI290" s="6">
        <v>0</v>
      </c>
      <c r="AJ290" s="6"/>
      <c r="AK290" s="35">
        <f t="shared" si="105"/>
        <v>0</v>
      </c>
      <c r="AL290" s="35">
        <v>371</v>
      </c>
      <c r="AM290" s="35"/>
      <c r="AN290" s="35">
        <f t="shared" si="106"/>
        <v>371</v>
      </c>
      <c r="AO290" s="6">
        <v>76</v>
      </c>
      <c r="AP290" s="6">
        <v>800</v>
      </c>
      <c r="AQ290" s="35">
        <f t="shared" si="109"/>
        <v>505</v>
      </c>
      <c r="AR290" s="6">
        <v>591</v>
      </c>
      <c r="AS290" s="34"/>
      <c r="AT290" s="34">
        <f t="shared" si="107"/>
        <v>515</v>
      </c>
      <c r="AU290" s="35">
        <v>293</v>
      </c>
      <c r="AV290" s="35">
        <v>800</v>
      </c>
      <c r="AW290" s="35">
        <f t="shared" si="108"/>
        <v>502</v>
      </c>
      <c r="AX290" s="6"/>
      <c r="AY290" s="6"/>
      <c r="AZ290" s="35"/>
      <c r="BA290" s="6">
        <v>20</v>
      </c>
      <c r="BB290" s="6">
        <v>800</v>
      </c>
      <c r="BC290" s="35">
        <f t="shared" si="129"/>
        <v>527</v>
      </c>
      <c r="BD290" s="35">
        <v>539</v>
      </c>
      <c r="BE290" s="6"/>
      <c r="BF290" s="35">
        <f t="shared" si="128"/>
        <v>519</v>
      </c>
      <c r="BG290" s="35">
        <v>260</v>
      </c>
      <c r="BH290" s="6">
        <v>800</v>
      </c>
      <c r="BI290" s="35">
        <f t="shared" si="127"/>
        <v>521</v>
      </c>
      <c r="BJ290" s="6">
        <v>0</v>
      </c>
      <c r="BK290" s="6">
        <v>765</v>
      </c>
      <c r="BL290" s="35">
        <f t="shared" si="110"/>
        <v>505</v>
      </c>
      <c r="BM290" s="6">
        <v>524</v>
      </c>
      <c r="BN290" s="6"/>
      <c r="BO290" s="6">
        <f t="shared" si="111"/>
        <v>524</v>
      </c>
      <c r="BP290" s="35">
        <v>227</v>
      </c>
      <c r="BQ290" s="35">
        <v>800</v>
      </c>
      <c r="BR290" s="6">
        <f t="shared" si="112"/>
        <v>503</v>
      </c>
      <c r="BS290" s="35"/>
      <c r="BT290" s="35"/>
      <c r="BU290" s="35"/>
      <c r="BV290" s="35">
        <v>227</v>
      </c>
      <c r="BW290" s="35"/>
      <c r="BX290" s="6">
        <f t="shared" si="113"/>
        <v>0</v>
      </c>
      <c r="BY290" s="6">
        <v>227</v>
      </c>
      <c r="BZ290" s="6"/>
      <c r="CA290" s="35">
        <f t="shared" si="114"/>
        <v>0</v>
      </c>
      <c r="CB290" s="6">
        <v>227</v>
      </c>
      <c r="CC290" s="6"/>
      <c r="CD290" s="6">
        <f t="shared" si="115"/>
        <v>0</v>
      </c>
      <c r="CE290" s="6">
        <v>227</v>
      </c>
      <c r="CF290" s="6"/>
      <c r="CG290" s="6">
        <f t="shared" si="116"/>
        <v>0</v>
      </c>
      <c r="CH290" s="6">
        <v>227</v>
      </c>
      <c r="CI290" s="6"/>
      <c r="CJ290" s="6">
        <f t="shared" si="117"/>
        <v>0</v>
      </c>
      <c r="CK290" s="6">
        <v>227</v>
      </c>
      <c r="CL290" s="6"/>
      <c r="CM290" s="6">
        <f t="shared" si="118"/>
        <v>0</v>
      </c>
      <c r="CN290" s="6"/>
      <c r="CO290" s="6"/>
      <c r="CP290" s="6"/>
      <c r="CQ290" s="6">
        <v>227</v>
      </c>
      <c r="CR290" s="6"/>
      <c r="CS290" s="6">
        <f t="shared" si="119"/>
        <v>0</v>
      </c>
      <c r="CT290" s="6">
        <v>227</v>
      </c>
      <c r="CU290" s="6"/>
      <c r="CV290" s="6">
        <f t="shared" si="120"/>
        <v>0</v>
      </c>
      <c r="CW290" s="6">
        <v>227</v>
      </c>
      <c r="CX290" s="6"/>
      <c r="CY290" s="6">
        <f t="shared" si="121"/>
        <v>0</v>
      </c>
      <c r="CZ290" s="6">
        <v>227</v>
      </c>
      <c r="DA290" s="6"/>
      <c r="DB290" s="6">
        <f t="shared" si="122"/>
        <v>0</v>
      </c>
      <c r="DC290" s="6">
        <v>227</v>
      </c>
      <c r="DD290" s="6"/>
      <c r="DE290" s="6">
        <f t="shared" si="123"/>
        <v>0</v>
      </c>
      <c r="DF290" s="6">
        <v>227</v>
      </c>
      <c r="DG290" s="6"/>
      <c r="DH290" s="6">
        <f t="shared" si="124"/>
        <v>0</v>
      </c>
      <c r="DI290" s="6"/>
      <c r="DJ290" s="10"/>
      <c r="DK290" s="6"/>
      <c r="DL290" s="6">
        <v>227</v>
      </c>
      <c r="DM290" s="10"/>
      <c r="DN290" s="6">
        <f t="shared" si="125"/>
        <v>0</v>
      </c>
      <c r="DO290" s="6">
        <v>227</v>
      </c>
      <c r="DP290" s="10"/>
      <c r="DQ290" s="6">
        <f t="shared" si="126"/>
        <v>0</v>
      </c>
    </row>
    <row r="291" spans="1:121">
      <c r="A291" s="6">
        <v>287</v>
      </c>
      <c r="B291" s="6">
        <v>0</v>
      </c>
      <c r="C291" s="10"/>
      <c r="D291" s="6">
        <v>0</v>
      </c>
      <c r="E291" s="33" t="s">
        <v>248</v>
      </c>
      <c r="F291" s="33" t="s">
        <v>248</v>
      </c>
      <c r="G291" s="148" t="s">
        <v>422</v>
      </c>
      <c r="H291" s="33" t="s">
        <v>422</v>
      </c>
      <c r="I291" s="33" t="s">
        <v>422</v>
      </c>
      <c r="J291" s="33" t="s">
        <v>422</v>
      </c>
      <c r="K291" s="33" t="s">
        <v>422</v>
      </c>
      <c r="L291" s="33" t="s">
        <v>422</v>
      </c>
      <c r="M291" s="33" t="s">
        <v>422</v>
      </c>
      <c r="N291" s="33" t="s">
        <v>422</v>
      </c>
      <c r="O291" s="148" t="s">
        <v>422</v>
      </c>
      <c r="P291" s="33" t="s">
        <v>422</v>
      </c>
      <c r="Q291" s="33" t="s">
        <v>422</v>
      </c>
      <c r="R291" s="33" t="s">
        <v>422</v>
      </c>
      <c r="S291" s="33" t="s">
        <v>422</v>
      </c>
      <c r="T291" s="33" t="s">
        <v>422</v>
      </c>
      <c r="U291" s="33" t="s">
        <v>422</v>
      </c>
      <c r="V291" s="33" t="s">
        <v>422</v>
      </c>
      <c r="W291" s="33" t="s">
        <v>422</v>
      </c>
      <c r="X291" s="33" t="s">
        <v>422</v>
      </c>
      <c r="Y291" s="33" t="s">
        <v>422</v>
      </c>
      <c r="Z291" s="33" t="s">
        <v>422</v>
      </c>
      <c r="AA291" s="33" t="s">
        <v>422</v>
      </c>
      <c r="AB291" s="33" t="s">
        <v>422</v>
      </c>
      <c r="AC291" s="33" t="s">
        <v>422</v>
      </c>
      <c r="AD291" s="33" t="s">
        <v>422</v>
      </c>
      <c r="AE291" s="33" t="s">
        <v>422</v>
      </c>
      <c r="AF291" s="6">
        <v>0</v>
      </c>
      <c r="AG291" s="6"/>
      <c r="AH291" s="35">
        <f t="shared" si="104"/>
        <v>0</v>
      </c>
      <c r="AI291" s="6">
        <v>348</v>
      </c>
      <c r="AJ291" s="6"/>
      <c r="AK291" s="35">
        <f t="shared" si="105"/>
        <v>348</v>
      </c>
      <c r="AL291" s="35">
        <v>256</v>
      </c>
      <c r="AM291" s="35">
        <v>637</v>
      </c>
      <c r="AN291" s="35">
        <f t="shared" si="106"/>
        <v>545</v>
      </c>
      <c r="AO291" s="6">
        <v>10</v>
      </c>
      <c r="AP291" s="6">
        <v>800</v>
      </c>
      <c r="AQ291" s="35">
        <f t="shared" si="109"/>
        <v>554</v>
      </c>
      <c r="AR291" s="6">
        <v>575</v>
      </c>
      <c r="AS291" s="34"/>
      <c r="AT291" s="34">
        <f t="shared" si="107"/>
        <v>565</v>
      </c>
      <c r="AU291" s="35">
        <v>302</v>
      </c>
      <c r="AV291" s="35">
        <v>800</v>
      </c>
      <c r="AW291" s="35">
        <f t="shared" si="108"/>
        <v>527</v>
      </c>
      <c r="AX291" s="6"/>
      <c r="AY291" s="6"/>
      <c r="AZ291" s="35"/>
      <c r="BA291" s="6">
        <v>68</v>
      </c>
      <c r="BB291" s="6">
        <v>800</v>
      </c>
      <c r="BC291" s="35">
        <f t="shared" si="129"/>
        <v>566</v>
      </c>
      <c r="BD291" s="35">
        <v>610</v>
      </c>
      <c r="BE291" s="6"/>
      <c r="BF291" s="35">
        <f t="shared" si="128"/>
        <v>542</v>
      </c>
      <c r="BG291" s="35">
        <v>0</v>
      </c>
      <c r="BH291" s="6">
        <v>963</v>
      </c>
      <c r="BI291" s="35">
        <f t="shared" si="127"/>
        <v>353</v>
      </c>
      <c r="BJ291" s="6">
        <v>475</v>
      </c>
      <c r="BK291" s="6"/>
      <c r="BL291" s="35">
        <f t="shared" si="110"/>
        <v>475</v>
      </c>
      <c r="BM291" s="6">
        <v>217</v>
      </c>
      <c r="BN291" s="6">
        <v>800</v>
      </c>
      <c r="BO291" s="6">
        <f t="shared" si="111"/>
        <v>542</v>
      </c>
      <c r="BP291" s="35">
        <v>709</v>
      </c>
      <c r="BQ291" s="35"/>
      <c r="BR291" s="6">
        <f t="shared" si="112"/>
        <v>492</v>
      </c>
      <c r="BS291" s="35"/>
      <c r="BT291" s="35"/>
      <c r="BU291" s="35"/>
      <c r="BV291" s="35">
        <v>709</v>
      </c>
      <c r="BW291" s="35"/>
      <c r="BX291" s="6">
        <f t="shared" si="113"/>
        <v>0</v>
      </c>
      <c r="BY291" s="6">
        <v>709</v>
      </c>
      <c r="BZ291" s="6"/>
      <c r="CA291" s="35">
        <f t="shared" si="114"/>
        <v>0</v>
      </c>
      <c r="CB291" s="6">
        <v>709</v>
      </c>
      <c r="CC291" s="6"/>
      <c r="CD291" s="6">
        <f t="shared" si="115"/>
        <v>0</v>
      </c>
      <c r="CE291" s="6">
        <v>709</v>
      </c>
      <c r="CF291" s="6"/>
      <c r="CG291" s="6">
        <f t="shared" si="116"/>
        <v>0</v>
      </c>
      <c r="CH291" s="6">
        <v>709</v>
      </c>
      <c r="CI291" s="6"/>
      <c r="CJ291" s="6">
        <f t="shared" si="117"/>
        <v>0</v>
      </c>
      <c r="CK291" s="6">
        <v>709</v>
      </c>
      <c r="CL291" s="6"/>
      <c r="CM291" s="6">
        <f t="shared" si="118"/>
        <v>0</v>
      </c>
      <c r="CN291" s="6"/>
      <c r="CO291" s="6"/>
      <c r="CP291" s="6"/>
      <c r="CQ291" s="6">
        <v>709</v>
      </c>
      <c r="CR291" s="6"/>
      <c r="CS291" s="6">
        <f t="shared" si="119"/>
        <v>0</v>
      </c>
      <c r="CT291" s="6">
        <v>709</v>
      </c>
      <c r="CU291" s="6"/>
      <c r="CV291" s="6">
        <f t="shared" si="120"/>
        <v>0</v>
      </c>
      <c r="CW291" s="6">
        <v>709</v>
      </c>
      <c r="CX291" s="6"/>
      <c r="CY291" s="6">
        <f t="shared" si="121"/>
        <v>0</v>
      </c>
      <c r="CZ291" s="6">
        <v>709</v>
      </c>
      <c r="DA291" s="6"/>
      <c r="DB291" s="6">
        <f t="shared" si="122"/>
        <v>0</v>
      </c>
      <c r="DC291" s="6">
        <v>709</v>
      </c>
      <c r="DD291" s="6"/>
      <c r="DE291" s="6">
        <f t="shared" si="123"/>
        <v>0</v>
      </c>
      <c r="DF291" s="6">
        <v>709</v>
      </c>
      <c r="DG291" s="6"/>
      <c r="DH291" s="6">
        <f t="shared" si="124"/>
        <v>0</v>
      </c>
      <c r="DI291" s="6"/>
      <c r="DJ291" s="10"/>
      <c r="DK291" s="6"/>
      <c r="DL291" s="6">
        <v>709</v>
      </c>
      <c r="DM291" s="10"/>
      <c r="DN291" s="6">
        <f t="shared" si="125"/>
        <v>0</v>
      </c>
      <c r="DO291" s="6">
        <v>709</v>
      </c>
      <c r="DP291" s="10"/>
      <c r="DQ291" s="6">
        <f t="shared" si="126"/>
        <v>0</v>
      </c>
    </row>
    <row r="292" spans="1:121">
      <c r="A292" s="6">
        <v>288</v>
      </c>
      <c r="B292" s="6">
        <v>0</v>
      </c>
      <c r="C292" s="10"/>
      <c r="D292" s="6">
        <v>0</v>
      </c>
      <c r="E292" s="33" t="s">
        <v>248</v>
      </c>
      <c r="F292" s="33" t="s">
        <v>248</v>
      </c>
      <c r="G292" s="148" t="s">
        <v>422</v>
      </c>
      <c r="H292" s="33" t="s">
        <v>422</v>
      </c>
      <c r="I292" s="33" t="s">
        <v>422</v>
      </c>
      <c r="J292" s="33" t="s">
        <v>422</v>
      </c>
      <c r="K292" s="33" t="s">
        <v>422</v>
      </c>
      <c r="L292" s="33" t="s">
        <v>422</v>
      </c>
      <c r="M292" s="33" t="s">
        <v>422</v>
      </c>
      <c r="N292" s="33" t="s">
        <v>422</v>
      </c>
      <c r="O292" s="148" t="s">
        <v>422</v>
      </c>
      <c r="P292" s="33" t="s">
        <v>422</v>
      </c>
      <c r="Q292" s="33" t="s">
        <v>422</v>
      </c>
      <c r="R292" s="33" t="s">
        <v>422</v>
      </c>
      <c r="S292" s="33" t="s">
        <v>422</v>
      </c>
      <c r="T292" s="33" t="s">
        <v>422</v>
      </c>
      <c r="U292" s="33" t="s">
        <v>422</v>
      </c>
      <c r="V292" s="33" t="s">
        <v>422</v>
      </c>
      <c r="W292" s="33" t="s">
        <v>422</v>
      </c>
      <c r="X292" s="33" t="s">
        <v>422</v>
      </c>
      <c r="Y292" s="33" t="s">
        <v>422</v>
      </c>
      <c r="Z292" s="33" t="s">
        <v>422</v>
      </c>
      <c r="AA292" s="33" t="s">
        <v>422</v>
      </c>
      <c r="AB292" s="33" t="s">
        <v>422</v>
      </c>
      <c r="AC292" s="33" t="s">
        <v>422</v>
      </c>
      <c r="AD292" s="33" t="s">
        <v>422</v>
      </c>
      <c r="AE292" s="33" t="s">
        <v>422</v>
      </c>
      <c r="AF292" s="6">
        <v>0</v>
      </c>
      <c r="AG292" s="6"/>
      <c r="AH292" s="35">
        <f t="shared" si="104"/>
        <v>0</v>
      </c>
      <c r="AI292" s="6">
        <v>300</v>
      </c>
      <c r="AJ292" s="6"/>
      <c r="AK292" s="35">
        <f t="shared" si="105"/>
        <v>300</v>
      </c>
      <c r="AL292" s="35">
        <v>797</v>
      </c>
      <c r="AM292" s="35"/>
      <c r="AN292" s="35">
        <f t="shared" si="106"/>
        <v>497</v>
      </c>
      <c r="AO292" s="6">
        <v>507</v>
      </c>
      <c r="AP292" s="6">
        <v>800</v>
      </c>
      <c r="AQ292" s="35">
        <f t="shared" si="109"/>
        <v>510</v>
      </c>
      <c r="AR292" s="6">
        <v>500</v>
      </c>
      <c r="AS292" s="34">
        <v>536</v>
      </c>
      <c r="AT292" s="34">
        <f t="shared" si="107"/>
        <v>529</v>
      </c>
      <c r="AU292" s="35">
        <v>183</v>
      </c>
      <c r="AV292" s="35">
        <v>800</v>
      </c>
      <c r="AW292" s="35">
        <f t="shared" si="108"/>
        <v>483</v>
      </c>
      <c r="AX292" s="6"/>
      <c r="AY292" s="6"/>
      <c r="AZ292" s="35"/>
      <c r="BA292" s="6">
        <v>715</v>
      </c>
      <c r="BB292" s="6"/>
      <c r="BC292" s="35">
        <f t="shared" si="129"/>
        <v>532</v>
      </c>
      <c r="BD292" s="35">
        <v>447</v>
      </c>
      <c r="BE292" s="6">
        <v>800</v>
      </c>
      <c r="BF292" s="35">
        <f t="shared" si="128"/>
        <v>532</v>
      </c>
      <c r="BG292" s="35">
        <v>970</v>
      </c>
      <c r="BH292" s="6"/>
      <c r="BI292" s="35">
        <f t="shared" si="127"/>
        <v>523</v>
      </c>
      <c r="BJ292" s="6">
        <v>419</v>
      </c>
      <c r="BK292" s="6">
        <v>992</v>
      </c>
      <c r="BL292" s="35">
        <f t="shared" si="110"/>
        <v>441</v>
      </c>
      <c r="BM292" s="6">
        <v>177</v>
      </c>
      <c r="BN292" s="6">
        <v>800</v>
      </c>
      <c r="BO292" s="6">
        <f t="shared" si="111"/>
        <v>558</v>
      </c>
      <c r="BP292" s="35">
        <v>659</v>
      </c>
      <c r="BQ292" s="35"/>
      <c r="BR292" s="6">
        <f t="shared" si="112"/>
        <v>482</v>
      </c>
      <c r="BS292" s="35"/>
      <c r="BT292" s="35"/>
      <c r="BU292" s="35"/>
      <c r="BV292" s="35">
        <v>659</v>
      </c>
      <c r="BW292" s="35"/>
      <c r="BX292" s="6">
        <f t="shared" si="113"/>
        <v>0</v>
      </c>
      <c r="BY292" s="6">
        <v>659</v>
      </c>
      <c r="BZ292" s="6"/>
      <c r="CA292" s="35">
        <f t="shared" si="114"/>
        <v>0</v>
      </c>
      <c r="CB292" s="6">
        <v>659</v>
      </c>
      <c r="CC292" s="6"/>
      <c r="CD292" s="6">
        <f t="shared" si="115"/>
        <v>0</v>
      </c>
      <c r="CE292" s="6">
        <v>659</v>
      </c>
      <c r="CF292" s="6"/>
      <c r="CG292" s="6">
        <f t="shared" si="116"/>
        <v>0</v>
      </c>
      <c r="CH292" s="6">
        <v>659</v>
      </c>
      <c r="CI292" s="6"/>
      <c r="CJ292" s="6">
        <f t="shared" si="117"/>
        <v>0</v>
      </c>
      <c r="CK292" s="6">
        <v>659</v>
      </c>
      <c r="CL292" s="6"/>
      <c r="CM292" s="6">
        <f t="shared" si="118"/>
        <v>0</v>
      </c>
      <c r="CN292" s="6"/>
      <c r="CO292" s="6"/>
      <c r="CP292" s="6"/>
      <c r="CQ292" s="6">
        <v>659</v>
      </c>
      <c r="CR292" s="6"/>
      <c r="CS292" s="6">
        <f t="shared" si="119"/>
        <v>0</v>
      </c>
      <c r="CT292" s="6">
        <v>659</v>
      </c>
      <c r="CU292" s="6"/>
      <c r="CV292" s="6">
        <f t="shared" si="120"/>
        <v>0</v>
      </c>
      <c r="CW292" s="6">
        <v>659</v>
      </c>
      <c r="CX292" s="6"/>
      <c r="CY292" s="6">
        <f t="shared" si="121"/>
        <v>0</v>
      </c>
      <c r="CZ292" s="6">
        <v>659</v>
      </c>
      <c r="DA292" s="6"/>
      <c r="DB292" s="6">
        <f t="shared" si="122"/>
        <v>0</v>
      </c>
      <c r="DC292" s="6">
        <v>659</v>
      </c>
      <c r="DD292" s="6"/>
      <c r="DE292" s="6">
        <f t="shared" si="123"/>
        <v>0</v>
      </c>
      <c r="DF292" s="6">
        <v>659</v>
      </c>
      <c r="DG292" s="6"/>
      <c r="DH292" s="6">
        <f t="shared" si="124"/>
        <v>0</v>
      </c>
      <c r="DI292" s="6"/>
      <c r="DJ292" s="10"/>
      <c r="DK292" s="6"/>
      <c r="DL292" s="6">
        <v>659</v>
      </c>
      <c r="DM292" s="10"/>
      <c r="DN292" s="6">
        <f t="shared" si="125"/>
        <v>0</v>
      </c>
      <c r="DO292" s="6">
        <v>659</v>
      </c>
      <c r="DP292" s="10"/>
      <c r="DQ292" s="6">
        <f t="shared" si="126"/>
        <v>0</v>
      </c>
    </row>
    <row r="293" spans="1:121">
      <c r="A293" s="6">
        <v>319</v>
      </c>
      <c r="B293" s="6">
        <v>144</v>
      </c>
      <c r="C293" s="10">
        <v>800</v>
      </c>
      <c r="D293" s="6">
        <v>386</v>
      </c>
      <c r="E293" s="33" t="s">
        <v>108</v>
      </c>
      <c r="F293" s="33" t="s">
        <v>108</v>
      </c>
      <c r="G293" s="33" t="s">
        <v>108</v>
      </c>
      <c r="H293" s="33" t="s">
        <v>108</v>
      </c>
      <c r="I293" s="33" t="s">
        <v>108</v>
      </c>
      <c r="J293" s="33" t="s">
        <v>108</v>
      </c>
      <c r="K293" s="33" t="s">
        <v>108</v>
      </c>
      <c r="L293" s="33" t="s">
        <v>108</v>
      </c>
      <c r="M293" s="33" t="s">
        <v>108</v>
      </c>
      <c r="N293" s="33" t="s">
        <v>108</v>
      </c>
      <c r="O293" s="33" t="s">
        <v>108</v>
      </c>
      <c r="P293" s="33" t="s">
        <v>108</v>
      </c>
      <c r="Q293" s="33" t="s">
        <v>108</v>
      </c>
      <c r="R293" s="33" t="s">
        <v>108</v>
      </c>
      <c r="S293" s="33" t="s">
        <v>108</v>
      </c>
      <c r="T293" s="33" t="s">
        <v>108</v>
      </c>
      <c r="U293" s="33" t="s">
        <v>108</v>
      </c>
      <c r="V293" s="33" t="s">
        <v>108</v>
      </c>
      <c r="W293" s="33" t="s">
        <v>108</v>
      </c>
      <c r="X293" s="33" t="s">
        <v>108</v>
      </c>
      <c r="Y293" s="33" t="s">
        <v>108</v>
      </c>
      <c r="Z293" s="33" t="s">
        <v>108</v>
      </c>
      <c r="AA293" s="33" t="s">
        <v>108</v>
      </c>
      <c r="AB293" s="33" t="s">
        <v>108</v>
      </c>
      <c r="AC293" s="33" t="s">
        <v>108</v>
      </c>
      <c r="AD293" s="33" t="s">
        <v>108</v>
      </c>
      <c r="AE293" s="33" t="s">
        <v>108</v>
      </c>
      <c r="AF293" s="6">
        <v>293</v>
      </c>
      <c r="AG293" s="6"/>
      <c r="AH293" s="35">
        <f t="shared" si="104"/>
        <v>149</v>
      </c>
      <c r="AI293" s="6">
        <v>745</v>
      </c>
      <c r="AJ293" s="6"/>
      <c r="AK293" s="35">
        <f t="shared" si="105"/>
        <v>452</v>
      </c>
      <c r="AL293" s="35">
        <v>388</v>
      </c>
      <c r="AM293" s="35">
        <v>800</v>
      </c>
      <c r="AN293" s="35">
        <f t="shared" si="106"/>
        <v>443</v>
      </c>
      <c r="AO293" s="6">
        <v>18</v>
      </c>
      <c r="AP293" s="6">
        <v>800</v>
      </c>
      <c r="AQ293" s="35">
        <f t="shared" si="109"/>
        <v>430</v>
      </c>
      <c r="AR293" s="6">
        <v>449</v>
      </c>
      <c r="AS293" s="34"/>
      <c r="AT293" s="34">
        <f t="shared" si="107"/>
        <v>431</v>
      </c>
      <c r="AU293" s="35">
        <v>293</v>
      </c>
      <c r="AV293" s="35">
        <v>559</v>
      </c>
      <c r="AW293" s="35">
        <f t="shared" si="108"/>
        <v>403</v>
      </c>
      <c r="AX293" s="6"/>
      <c r="AY293" s="6"/>
      <c r="AZ293" s="35"/>
      <c r="BA293" s="6">
        <v>729</v>
      </c>
      <c r="BB293" s="6"/>
      <c r="BC293" s="35">
        <f t="shared" si="129"/>
        <v>436</v>
      </c>
      <c r="BD293" s="35">
        <v>345</v>
      </c>
      <c r="BE293" s="6">
        <v>800</v>
      </c>
      <c r="BF293" s="35">
        <f t="shared" si="128"/>
        <v>416</v>
      </c>
      <c r="BG293" s="35">
        <v>766</v>
      </c>
      <c r="BH293" s="6"/>
      <c r="BI293" s="35">
        <f t="shared" si="127"/>
        <v>421</v>
      </c>
      <c r="BJ293" s="6">
        <v>388</v>
      </c>
      <c r="BK293" s="6">
        <v>800</v>
      </c>
      <c r="BL293" s="35">
        <f t="shared" si="110"/>
        <v>422</v>
      </c>
      <c r="BM293" s="6">
        <v>7</v>
      </c>
      <c r="BN293" s="6">
        <v>800</v>
      </c>
      <c r="BO293" s="6">
        <f t="shared" si="111"/>
        <v>419</v>
      </c>
      <c r="BP293" s="35">
        <v>382</v>
      </c>
      <c r="BQ293" s="35"/>
      <c r="BR293" s="6">
        <f t="shared" si="112"/>
        <v>375</v>
      </c>
      <c r="BS293" s="35"/>
      <c r="BT293" s="35"/>
      <c r="BU293" s="35"/>
      <c r="BV293" s="35">
        <v>382</v>
      </c>
      <c r="BW293" s="35"/>
      <c r="BX293" s="6">
        <f t="shared" si="113"/>
        <v>0</v>
      </c>
      <c r="BY293" s="6">
        <v>382</v>
      </c>
      <c r="BZ293" s="6"/>
      <c r="CA293" s="35">
        <f t="shared" si="114"/>
        <v>0</v>
      </c>
      <c r="CB293" s="6">
        <v>382</v>
      </c>
      <c r="CC293" s="6"/>
      <c r="CD293" s="6">
        <f t="shared" si="115"/>
        <v>0</v>
      </c>
      <c r="CE293" s="6">
        <v>382</v>
      </c>
      <c r="CF293" s="6"/>
      <c r="CG293" s="6">
        <f t="shared" si="116"/>
        <v>0</v>
      </c>
      <c r="CH293" s="6">
        <v>382</v>
      </c>
      <c r="CI293" s="6"/>
      <c r="CJ293" s="6">
        <f t="shared" si="117"/>
        <v>0</v>
      </c>
      <c r="CK293" s="6">
        <v>382</v>
      </c>
      <c r="CL293" s="6"/>
      <c r="CM293" s="6">
        <f t="shared" si="118"/>
        <v>0</v>
      </c>
      <c r="CN293" s="6"/>
      <c r="CO293" s="6"/>
      <c r="CP293" s="6"/>
      <c r="CQ293" s="6">
        <v>382</v>
      </c>
      <c r="CR293" s="6"/>
      <c r="CS293" s="6">
        <f t="shared" si="119"/>
        <v>0</v>
      </c>
      <c r="CT293" s="6">
        <v>382</v>
      </c>
      <c r="CU293" s="6"/>
      <c r="CV293" s="6">
        <f t="shared" si="120"/>
        <v>0</v>
      </c>
      <c r="CW293" s="6">
        <v>382</v>
      </c>
      <c r="CX293" s="6"/>
      <c r="CY293" s="6">
        <f t="shared" si="121"/>
        <v>0</v>
      </c>
      <c r="CZ293" s="6">
        <v>382</v>
      </c>
      <c r="DA293" s="6"/>
      <c r="DB293" s="6">
        <f t="shared" si="122"/>
        <v>0</v>
      </c>
      <c r="DC293" s="6">
        <v>382</v>
      </c>
      <c r="DD293" s="6"/>
      <c r="DE293" s="6">
        <f t="shared" si="123"/>
        <v>0</v>
      </c>
      <c r="DF293" s="6">
        <v>382</v>
      </c>
      <c r="DG293" s="6"/>
      <c r="DH293" s="6">
        <f t="shared" si="124"/>
        <v>0</v>
      </c>
      <c r="DI293" s="6"/>
      <c r="DJ293" s="10"/>
      <c r="DK293" s="6"/>
      <c r="DL293" s="6">
        <v>382</v>
      </c>
      <c r="DM293" s="10"/>
      <c r="DN293" s="6">
        <f t="shared" si="125"/>
        <v>0</v>
      </c>
      <c r="DO293" s="6">
        <v>382</v>
      </c>
      <c r="DP293" s="10"/>
      <c r="DQ293" s="6">
        <f t="shared" si="126"/>
        <v>0</v>
      </c>
    </row>
    <row r="294" spans="1:121">
      <c r="A294" s="6">
        <v>320</v>
      </c>
      <c r="B294" s="6">
        <v>538</v>
      </c>
      <c r="C294" s="10"/>
      <c r="D294" s="6">
        <v>380</v>
      </c>
      <c r="E294" s="33" t="s">
        <v>108</v>
      </c>
      <c r="F294" s="33" t="s">
        <v>108</v>
      </c>
      <c r="G294" s="33" t="s">
        <v>108</v>
      </c>
      <c r="H294" s="33" t="s">
        <v>108</v>
      </c>
      <c r="I294" s="33" t="s">
        <v>108</v>
      </c>
      <c r="J294" s="33" t="s">
        <v>108</v>
      </c>
      <c r="K294" s="33" t="s">
        <v>108</v>
      </c>
      <c r="L294" s="33" t="s">
        <v>108</v>
      </c>
      <c r="M294" s="33" t="s">
        <v>108</v>
      </c>
      <c r="N294" s="33" t="s">
        <v>108</v>
      </c>
      <c r="O294" s="33" t="s">
        <v>108</v>
      </c>
      <c r="P294" s="33" t="s">
        <v>108</v>
      </c>
      <c r="Q294" s="33" t="s">
        <v>108</v>
      </c>
      <c r="R294" s="33" t="s">
        <v>108</v>
      </c>
      <c r="S294" s="33" t="s">
        <v>108</v>
      </c>
      <c r="T294" s="33" t="s">
        <v>108</v>
      </c>
      <c r="U294" s="33" t="s">
        <v>108</v>
      </c>
      <c r="V294" s="33" t="s">
        <v>108</v>
      </c>
      <c r="W294" s="33" t="s">
        <v>108</v>
      </c>
      <c r="X294" s="33" t="s">
        <v>108</v>
      </c>
      <c r="Y294" s="33" t="s">
        <v>108</v>
      </c>
      <c r="Z294" s="33" t="s">
        <v>108</v>
      </c>
      <c r="AA294" s="33" t="s">
        <v>108</v>
      </c>
      <c r="AB294" s="33" t="s">
        <v>108</v>
      </c>
      <c r="AC294" s="33" t="s">
        <v>108</v>
      </c>
      <c r="AD294" s="33" t="s">
        <v>108</v>
      </c>
      <c r="AE294" s="33" t="s">
        <v>108</v>
      </c>
      <c r="AF294" s="6">
        <v>674</v>
      </c>
      <c r="AG294" s="6"/>
      <c r="AH294" s="35">
        <f t="shared" si="104"/>
        <v>136</v>
      </c>
      <c r="AI294" s="6">
        <v>272</v>
      </c>
      <c r="AJ294" s="6">
        <v>800</v>
      </c>
      <c r="AK294" s="35">
        <f t="shared" si="105"/>
        <v>398</v>
      </c>
      <c r="AL294" s="35">
        <v>695</v>
      </c>
      <c r="AM294" s="35"/>
      <c r="AN294" s="35">
        <f t="shared" si="106"/>
        <v>423</v>
      </c>
      <c r="AO294" s="6">
        <v>301</v>
      </c>
      <c r="AP294" s="6">
        <v>800</v>
      </c>
      <c r="AQ294" s="35">
        <f t="shared" si="109"/>
        <v>406</v>
      </c>
      <c r="AR294" s="6">
        <v>712</v>
      </c>
      <c r="AS294" s="34"/>
      <c r="AT294" s="34">
        <f t="shared" si="107"/>
        <v>411</v>
      </c>
      <c r="AU294" s="35">
        <v>316</v>
      </c>
      <c r="AV294" s="35">
        <v>800</v>
      </c>
      <c r="AW294" s="35">
        <f t="shared" si="108"/>
        <v>404</v>
      </c>
      <c r="AX294" s="6"/>
      <c r="AY294" s="6"/>
      <c r="AZ294" s="35"/>
      <c r="BA294" s="6">
        <v>729</v>
      </c>
      <c r="BB294" s="6"/>
      <c r="BC294" s="35">
        <f t="shared" si="129"/>
        <v>413</v>
      </c>
      <c r="BD294" s="35">
        <v>353</v>
      </c>
      <c r="BE294" s="6">
        <v>800</v>
      </c>
      <c r="BF294" s="35">
        <f t="shared" si="128"/>
        <v>424</v>
      </c>
      <c r="BG294" s="35">
        <v>766</v>
      </c>
      <c r="BH294" s="6"/>
      <c r="BI294" s="35">
        <f t="shared" si="127"/>
        <v>413</v>
      </c>
      <c r="BJ294" s="6">
        <v>340</v>
      </c>
      <c r="BK294" s="6">
        <v>800</v>
      </c>
      <c r="BL294" s="35">
        <f t="shared" si="110"/>
        <v>374</v>
      </c>
      <c r="BM294" s="6">
        <v>763</v>
      </c>
      <c r="BN294" s="6"/>
      <c r="BO294" s="6">
        <f t="shared" si="111"/>
        <v>423</v>
      </c>
      <c r="BP294" s="35">
        <v>336</v>
      </c>
      <c r="BQ294" s="35">
        <v>800</v>
      </c>
      <c r="BR294" s="6">
        <f t="shared" si="112"/>
        <v>373</v>
      </c>
      <c r="BS294" s="35"/>
      <c r="BT294" s="35"/>
      <c r="BU294" s="35"/>
      <c r="BV294" s="35">
        <v>336</v>
      </c>
      <c r="BW294" s="35"/>
      <c r="BX294" s="6">
        <f t="shared" si="113"/>
        <v>0</v>
      </c>
      <c r="BY294" s="6">
        <v>336</v>
      </c>
      <c r="BZ294" s="6"/>
      <c r="CA294" s="35">
        <f t="shared" si="114"/>
        <v>0</v>
      </c>
      <c r="CB294" s="6">
        <v>336</v>
      </c>
      <c r="CC294" s="6"/>
      <c r="CD294" s="6">
        <f t="shared" si="115"/>
        <v>0</v>
      </c>
      <c r="CE294" s="6">
        <v>336</v>
      </c>
      <c r="CF294" s="6"/>
      <c r="CG294" s="6">
        <f t="shared" si="116"/>
        <v>0</v>
      </c>
      <c r="CH294" s="6">
        <v>336</v>
      </c>
      <c r="CI294" s="6"/>
      <c r="CJ294" s="6">
        <f t="shared" si="117"/>
        <v>0</v>
      </c>
      <c r="CK294" s="6">
        <v>336</v>
      </c>
      <c r="CL294" s="6"/>
      <c r="CM294" s="6">
        <f t="shared" si="118"/>
        <v>0</v>
      </c>
      <c r="CN294" s="6"/>
      <c r="CO294" s="6"/>
      <c r="CP294" s="6"/>
      <c r="CQ294" s="6">
        <v>336</v>
      </c>
      <c r="CR294" s="6"/>
      <c r="CS294" s="6">
        <f t="shared" si="119"/>
        <v>0</v>
      </c>
      <c r="CT294" s="6">
        <v>336</v>
      </c>
      <c r="CU294" s="6"/>
      <c r="CV294" s="6">
        <f t="shared" si="120"/>
        <v>0</v>
      </c>
      <c r="CW294" s="6">
        <v>336</v>
      </c>
      <c r="CX294" s="6"/>
      <c r="CY294" s="6">
        <f t="shared" si="121"/>
        <v>0</v>
      </c>
      <c r="CZ294" s="6">
        <v>336</v>
      </c>
      <c r="DA294" s="6"/>
      <c r="DB294" s="6">
        <f t="shared" si="122"/>
        <v>0</v>
      </c>
      <c r="DC294" s="6">
        <v>336</v>
      </c>
      <c r="DD294" s="6"/>
      <c r="DE294" s="6">
        <f t="shared" si="123"/>
        <v>0</v>
      </c>
      <c r="DF294" s="6">
        <v>336</v>
      </c>
      <c r="DG294" s="6"/>
      <c r="DH294" s="6">
        <f t="shared" si="124"/>
        <v>0</v>
      </c>
      <c r="DI294" s="6"/>
      <c r="DJ294" s="10"/>
      <c r="DK294" s="6"/>
      <c r="DL294" s="6">
        <v>336</v>
      </c>
      <c r="DM294" s="10"/>
      <c r="DN294" s="6">
        <f t="shared" si="125"/>
        <v>0</v>
      </c>
      <c r="DO294" s="6">
        <v>336</v>
      </c>
      <c r="DP294" s="10"/>
      <c r="DQ294" s="6">
        <f t="shared" si="126"/>
        <v>0</v>
      </c>
    </row>
    <row r="295" spans="1:121">
      <c r="A295" s="6">
        <v>321</v>
      </c>
      <c r="B295" s="6">
        <v>419</v>
      </c>
      <c r="C295" s="10"/>
      <c r="D295" s="6">
        <v>0</v>
      </c>
      <c r="E295" s="33" t="s">
        <v>248</v>
      </c>
      <c r="F295" s="33" t="s">
        <v>248</v>
      </c>
      <c r="G295" s="33" t="s">
        <v>248</v>
      </c>
      <c r="H295" s="33" t="s">
        <v>248</v>
      </c>
      <c r="I295" s="33" t="s">
        <v>248</v>
      </c>
      <c r="J295" s="33" t="s">
        <v>248</v>
      </c>
      <c r="K295" s="33" t="s">
        <v>248</v>
      </c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6">
        <v>568</v>
      </c>
      <c r="AG295" s="6"/>
      <c r="AH295" s="35">
        <f t="shared" si="104"/>
        <v>149</v>
      </c>
      <c r="AI295" s="6">
        <v>568</v>
      </c>
      <c r="AJ295" s="6"/>
      <c r="AK295" s="35">
        <f t="shared" si="105"/>
        <v>0</v>
      </c>
      <c r="AL295" s="35">
        <v>568</v>
      </c>
      <c r="AM295" s="35"/>
      <c r="AN295" s="35">
        <f t="shared" si="106"/>
        <v>0</v>
      </c>
      <c r="AO295" s="6">
        <v>568</v>
      </c>
      <c r="AP295" s="6"/>
      <c r="AQ295" s="35">
        <f t="shared" si="109"/>
        <v>0</v>
      </c>
      <c r="AR295" s="6">
        <v>568</v>
      </c>
      <c r="AS295" s="34"/>
      <c r="AT295" s="34">
        <f t="shared" si="107"/>
        <v>0</v>
      </c>
      <c r="AU295" s="35">
        <v>568</v>
      </c>
      <c r="AV295" s="35"/>
      <c r="AW295" s="35">
        <f t="shared" si="108"/>
        <v>0</v>
      </c>
      <c r="AX295" s="6"/>
      <c r="AY295" s="6"/>
      <c r="AZ295" s="35"/>
      <c r="BA295" s="6"/>
      <c r="BB295" s="6">
        <v>568</v>
      </c>
      <c r="BC295" s="35"/>
      <c r="BD295" s="35"/>
      <c r="BE295" s="6"/>
      <c r="BF295" s="35"/>
      <c r="BG295" s="35"/>
      <c r="BH295" s="6"/>
      <c r="BI295" s="35"/>
      <c r="BJ295" s="6"/>
      <c r="BK295" s="6"/>
      <c r="BL295" s="35"/>
      <c r="BM295" s="6"/>
      <c r="BN295" s="6"/>
      <c r="BO295" s="6"/>
      <c r="BP295" s="35"/>
      <c r="BQ295" s="35"/>
      <c r="BR295" s="6"/>
      <c r="BS295" s="35"/>
      <c r="BT295" s="35"/>
      <c r="BU295" s="35"/>
      <c r="BV295" s="35"/>
      <c r="BW295" s="35"/>
      <c r="BX295" s="6"/>
      <c r="BY295" s="6"/>
      <c r="BZ295" s="6"/>
      <c r="CA295" s="35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10"/>
      <c r="DK295" s="6"/>
      <c r="DL295" s="6"/>
      <c r="DM295" s="10"/>
      <c r="DN295" s="6"/>
      <c r="DO295" s="6"/>
      <c r="DP295" s="10"/>
      <c r="DQ295" s="6"/>
    </row>
    <row r="296" spans="1:121">
      <c r="A296" s="6">
        <v>322</v>
      </c>
      <c r="B296" s="6">
        <v>0</v>
      </c>
      <c r="C296" s="10"/>
      <c r="D296" s="6">
        <v>0</v>
      </c>
      <c r="E296" s="33" t="s">
        <v>248</v>
      </c>
      <c r="F296" s="33" t="s">
        <v>248</v>
      </c>
      <c r="G296" s="33" t="s">
        <v>248</v>
      </c>
      <c r="H296" s="33" t="s">
        <v>248</v>
      </c>
      <c r="I296" s="33" t="s">
        <v>248</v>
      </c>
      <c r="J296" s="33" t="s">
        <v>248</v>
      </c>
      <c r="K296" s="33" t="s">
        <v>248</v>
      </c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6">
        <v>0</v>
      </c>
      <c r="AG296" s="6"/>
      <c r="AH296" s="35">
        <f t="shared" si="104"/>
        <v>0</v>
      </c>
      <c r="AI296" s="6">
        <v>0</v>
      </c>
      <c r="AJ296" s="6"/>
      <c r="AK296" s="35">
        <f t="shared" si="105"/>
        <v>0</v>
      </c>
      <c r="AL296" s="35">
        <v>0</v>
      </c>
      <c r="AM296" s="35"/>
      <c r="AN296" s="35">
        <f t="shared" si="106"/>
        <v>0</v>
      </c>
      <c r="AO296" s="6">
        <v>0</v>
      </c>
      <c r="AP296" s="6"/>
      <c r="AQ296" s="35">
        <f t="shared" si="109"/>
        <v>0</v>
      </c>
      <c r="AR296" s="6">
        <v>0</v>
      </c>
      <c r="AS296" s="34"/>
      <c r="AT296" s="34">
        <f t="shared" si="107"/>
        <v>0</v>
      </c>
      <c r="AU296" s="35"/>
      <c r="AV296" s="35"/>
      <c r="AW296" s="35"/>
      <c r="AX296" s="6"/>
      <c r="AY296" s="6"/>
      <c r="AZ296" s="35"/>
      <c r="BA296" s="6"/>
      <c r="BB296" s="6"/>
      <c r="BC296" s="35"/>
      <c r="BD296" s="35"/>
      <c r="BE296" s="6"/>
      <c r="BF296" s="35"/>
      <c r="BG296" s="35"/>
      <c r="BH296" s="6"/>
      <c r="BI296" s="35"/>
      <c r="BJ296" s="6"/>
      <c r="BK296" s="6"/>
      <c r="BL296" s="35"/>
      <c r="BM296" s="6"/>
      <c r="BN296" s="6"/>
      <c r="BO296" s="6"/>
      <c r="BP296" s="35"/>
      <c r="BQ296" s="35"/>
      <c r="BR296" s="6"/>
      <c r="BS296" s="35"/>
      <c r="BT296" s="35"/>
      <c r="BU296" s="35"/>
      <c r="BV296" s="35"/>
      <c r="BW296" s="35"/>
      <c r="BX296" s="6"/>
      <c r="BY296" s="6"/>
      <c r="BZ296" s="6"/>
      <c r="CA296" s="35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10"/>
      <c r="DK296" s="6"/>
      <c r="DL296" s="6"/>
      <c r="DM296" s="10"/>
      <c r="DN296" s="6"/>
      <c r="DO296" s="6"/>
      <c r="DP296" s="10"/>
      <c r="DQ296" s="6"/>
    </row>
    <row r="297" spans="1:121">
      <c r="A297" s="6">
        <v>323</v>
      </c>
      <c r="B297" s="6">
        <v>0</v>
      </c>
      <c r="C297" s="10"/>
      <c r="D297" s="6">
        <v>0</v>
      </c>
      <c r="E297" s="33" t="s">
        <v>248</v>
      </c>
      <c r="F297" s="33" t="s">
        <v>248</v>
      </c>
      <c r="G297" s="33" t="s">
        <v>248</v>
      </c>
      <c r="H297" s="33" t="s">
        <v>248</v>
      </c>
      <c r="I297" s="33" t="s">
        <v>248</v>
      </c>
      <c r="J297" s="33" t="s">
        <v>248</v>
      </c>
      <c r="K297" s="148" t="s">
        <v>428</v>
      </c>
      <c r="L297" s="33" t="s">
        <v>428</v>
      </c>
      <c r="M297" s="33" t="s">
        <v>428</v>
      </c>
      <c r="N297" s="33" t="s">
        <v>428</v>
      </c>
      <c r="O297" s="33" t="s">
        <v>428</v>
      </c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6">
        <v>0</v>
      </c>
      <c r="AG297" s="6"/>
      <c r="AH297" s="35">
        <f t="shared" si="104"/>
        <v>0</v>
      </c>
      <c r="AI297" s="6">
        <v>0</v>
      </c>
      <c r="AJ297" s="6"/>
      <c r="AK297" s="35">
        <f t="shared" si="105"/>
        <v>0</v>
      </c>
      <c r="AL297" s="35">
        <v>0</v>
      </c>
      <c r="AM297" s="35"/>
      <c r="AN297" s="35">
        <f t="shared" si="106"/>
        <v>0</v>
      </c>
      <c r="AO297" s="6">
        <v>0</v>
      </c>
      <c r="AP297" s="6"/>
      <c r="AQ297" s="35">
        <f t="shared" si="109"/>
        <v>0</v>
      </c>
      <c r="AR297" s="6">
        <v>0</v>
      </c>
      <c r="AS297" s="34"/>
      <c r="AT297" s="34">
        <f t="shared" si="107"/>
        <v>0</v>
      </c>
      <c r="AU297" s="35">
        <v>0</v>
      </c>
      <c r="AV297" s="35"/>
      <c r="AW297" s="35">
        <f t="shared" si="108"/>
        <v>0</v>
      </c>
      <c r="AX297" s="6"/>
      <c r="AY297" s="6"/>
      <c r="AZ297" s="35"/>
      <c r="BA297" s="6">
        <v>254</v>
      </c>
      <c r="BB297" s="6"/>
      <c r="BC297" s="35">
        <f t="shared" si="129"/>
        <v>254</v>
      </c>
      <c r="BD297" s="35">
        <v>502</v>
      </c>
      <c r="BE297" s="6"/>
      <c r="BF297" s="35">
        <f t="shared" si="128"/>
        <v>248</v>
      </c>
      <c r="BG297" s="35">
        <v>174</v>
      </c>
      <c r="BH297" s="6">
        <v>564</v>
      </c>
      <c r="BI297" s="35">
        <f t="shared" si="127"/>
        <v>236</v>
      </c>
      <c r="BJ297" s="6">
        <v>0</v>
      </c>
      <c r="BK297" s="6">
        <v>355</v>
      </c>
      <c r="BL297" s="35">
        <f t="shared" si="110"/>
        <v>181</v>
      </c>
      <c r="BM297" s="6"/>
      <c r="BN297" s="6"/>
      <c r="BO297" s="6"/>
      <c r="BP297" s="35"/>
      <c r="BQ297" s="35"/>
      <c r="BR297" s="6"/>
      <c r="BS297" s="35"/>
      <c r="BT297" s="35"/>
      <c r="BU297" s="35"/>
      <c r="BV297" s="35"/>
      <c r="BW297" s="35"/>
      <c r="BX297" s="6"/>
      <c r="BY297" s="6"/>
      <c r="BZ297" s="6"/>
      <c r="CA297" s="35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10"/>
      <c r="DK297" s="6"/>
      <c r="DL297" s="6"/>
      <c r="DM297" s="10"/>
      <c r="DN297" s="6"/>
      <c r="DO297" s="6"/>
      <c r="DP297" s="10"/>
      <c r="DQ297" s="6"/>
    </row>
    <row r="298" spans="1:121">
      <c r="A298" s="6">
        <v>324</v>
      </c>
      <c r="B298" s="6">
        <v>0</v>
      </c>
      <c r="C298" s="10"/>
      <c r="D298" s="6">
        <v>0</v>
      </c>
      <c r="E298" s="33" t="s">
        <v>248</v>
      </c>
      <c r="F298" s="33" t="s">
        <v>248</v>
      </c>
      <c r="G298" s="33" t="s">
        <v>248</v>
      </c>
      <c r="H298" s="33" t="s">
        <v>248</v>
      </c>
      <c r="I298" s="33" t="s">
        <v>248</v>
      </c>
      <c r="J298" s="33" t="s">
        <v>248</v>
      </c>
      <c r="K298" s="33" t="s">
        <v>248</v>
      </c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6">
        <v>0</v>
      </c>
      <c r="AG298" s="6"/>
      <c r="AH298" s="35">
        <f t="shared" si="104"/>
        <v>0</v>
      </c>
      <c r="AI298" s="6">
        <v>0</v>
      </c>
      <c r="AJ298" s="6"/>
      <c r="AK298" s="35">
        <f t="shared" si="105"/>
        <v>0</v>
      </c>
      <c r="AL298" s="35">
        <v>0</v>
      </c>
      <c r="AM298" s="35"/>
      <c r="AN298" s="35">
        <f t="shared" si="106"/>
        <v>0</v>
      </c>
      <c r="AO298" s="6">
        <v>0</v>
      </c>
      <c r="AP298" s="6"/>
      <c r="AQ298" s="35">
        <f t="shared" si="109"/>
        <v>0</v>
      </c>
      <c r="AR298" s="6">
        <v>0</v>
      </c>
      <c r="AS298" s="34"/>
      <c r="AT298" s="34">
        <f t="shared" si="107"/>
        <v>0</v>
      </c>
      <c r="AU298" s="35">
        <v>0</v>
      </c>
      <c r="AV298" s="35"/>
      <c r="AW298" s="35">
        <f t="shared" si="108"/>
        <v>0</v>
      </c>
      <c r="AX298" s="6"/>
      <c r="AY298" s="6"/>
      <c r="AZ298" s="35"/>
      <c r="BA298" s="6"/>
      <c r="BB298" s="6"/>
      <c r="BC298" s="35"/>
      <c r="BD298" s="35"/>
      <c r="BE298" s="6"/>
      <c r="BF298" s="35"/>
      <c r="BG298" s="35"/>
      <c r="BH298" s="6"/>
      <c r="BI298" s="35"/>
      <c r="BJ298" s="6"/>
      <c r="BK298" s="6"/>
      <c r="BL298" s="35"/>
      <c r="BM298" s="6"/>
      <c r="BN298" s="6"/>
      <c r="BO298" s="6"/>
      <c r="BP298" s="35"/>
      <c r="BQ298" s="35"/>
      <c r="BR298" s="6"/>
      <c r="BS298" s="35"/>
      <c r="BT298" s="35"/>
      <c r="BU298" s="35"/>
      <c r="BV298" s="35"/>
      <c r="BW298" s="35"/>
      <c r="BX298" s="6"/>
      <c r="BY298" s="6"/>
      <c r="BZ298" s="6"/>
      <c r="CA298" s="35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10"/>
      <c r="DK298" s="6"/>
      <c r="DL298" s="6"/>
      <c r="DM298" s="10"/>
      <c r="DN298" s="6"/>
      <c r="DO298" s="6"/>
      <c r="DP298" s="10"/>
      <c r="DQ298" s="6"/>
    </row>
    <row r="299" spans="1:121">
      <c r="A299" s="6">
        <v>326</v>
      </c>
      <c r="B299" s="6"/>
      <c r="C299" s="10"/>
      <c r="D299" s="6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6"/>
      <c r="AG299" s="6"/>
      <c r="AH299" s="35"/>
      <c r="AI299" s="6"/>
      <c r="AJ299" s="6"/>
      <c r="AK299" s="35"/>
      <c r="AL299" s="35"/>
      <c r="AM299" s="35"/>
      <c r="AN299" s="35"/>
      <c r="AO299" s="6"/>
      <c r="AP299" s="6"/>
      <c r="AQ299" s="35"/>
      <c r="AR299" s="6"/>
      <c r="AS299" s="34"/>
      <c r="AT299" s="34"/>
      <c r="AU299" s="35"/>
      <c r="AV299" s="35"/>
      <c r="AW299" s="35"/>
      <c r="AX299" s="6"/>
      <c r="AY299" s="6"/>
      <c r="AZ299" s="35"/>
      <c r="BA299" s="6"/>
      <c r="BB299" s="6"/>
      <c r="BC299" s="35"/>
      <c r="BD299" s="35"/>
      <c r="BE299" s="6"/>
      <c r="BF299" s="35"/>
      <c r="BG299" s="35"/>
      <c r="BH299" s="6"/>
      <c r="BI299" s="35"/>
      <c r="BJ299" s="6"/>
      <c r="BK299" s="6"/>
      <c r="BL299" s="35"/>
      <c r="BM299" s="6"/>
      <c r="BN299" s="6"/>
      <c r="BO299" s="6"/>
      <c r="BP299" s="35"/>
      <c r="BQ299" s="35"/>
      <c r="BR299" s="6"/>
      <c r="BS299" s="35"/>
      <c r="BT299" s="35"/>
      <c r="BU299" s="35"/>
      <c r="BV299" s="35"/>
      <c r="BW299" s="35"/>
      <c r="BX299" s="6"/>
      <c r="BY299" s="6"/>
      <c r="BZ299" s="6"/>
      <c r="CA299" s="35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10"/>
      <c r="DK299" s="6"/>
      <c r="DL299" s="6"/>
      <c r="DM299" s="10"/>
      <c r="DN299" s="6"/>
      <c r="DO299" s="6"/>
      <c r="DP299" s="10"/>
      <c r="DQ299" s="6"/>
    </row>
    <row r="300" spans="1:121">
      <c r="A300" s="6">
        <v>361</v>
      </c>
      <c r="B300" s="6">
        <v>47</v>
      </c>
      <c r="C300" s="10"/>
      <c r="D300" s="6">
        <v>0</v>
      </c>
      <c r="E300" s="33" t="s">
        <v>110</v>
      </c>
      <c r="F300" s="33" t="s">
        <v>110</v>
      </c>
      <c r="G300" s="33" t="s">
        <v>110</v>
      </c>
      <c r="H300" s="33" t="s">
        <v>110</v>
      </c>
      <c r="I300" s="33" t="s">
        <v>110</v>
      </c>
      <c r="J300" s="33" t="s">
        <v>110</v>
      </c>
      <c r="K300" s="33" t="s">
        <v>110</v>
      </c>
      <c r="L300" s="33" t="s">
        <v>110</v>
      </c>
      <c r="M300" s="33" t="s">
        <v>110</v>
      </c>
      <c r="N300" s="33" t="s">
        <v>110</v>
      </c>
      <c r="O300" s="33" t="s">
        <v>110</v>
      </c>
      <c r="P300" s="33" t="s">
        <v>110</v>
      </c>
      <c r="Q300" s="33" t="s">
        <v>110</v>
      </c>
      <c r="R300" s="33" t="s">
        <v>110</v>
      </c>
      <c r="S300" s="33" t="s">
        <v>110</v>
      </c>
      <c r="T300" s="33" t="s">
        <v>110</v>
      </c>
      <c r="U300" s="33" t="s">
        <v>110</v>
      </c>
      <c r="V300" s="33" t="s">
        <v>110</v>
      </c>
      <c r="W300" s="33" t="s">
        <v>110</v>
      </c>
      <c r="X300" s="33" t="s">
        <v>110</v>
      </c>
      <c r="Y300" s="33" t="s">
        <v>110</v>
      </c>
      <c r="Z300" s="33" t="s">
        <v>110</v>
      </c>
      <c r="AA300" s="33" t="s">
        <v>110</v>
      </c>
      <c r="AB300" s="33" t="s">
        <v>110</v>
      </c>
      <c r="AC300" s="33" t="s">
        <v>110</v>
      </c>
      <c r="AD300" s="33" t="s">
        <v>110</v>
      </c>
      <c r="AE300" s="33" t="s">
        <v>110</v>
      </c>
      <c r="AF300" s="6">
        <v>47</v>
      </c>
      <c r="AG300" s="6"/>
      <c r="AH300" s="35">
        <f t="shared" si="104"/>
        <v>0</v>
      </c>
      <c r="AI300" s="6">
        <v>47</v>
      </c>
      <c r="AJ300" s="6"/>
      <c r="AK300" s="35">
        <f t="shared" si="105"/>
        <v>0</v>
      </c>
      <c r="AL300" s="35">
        <v>47</v>
      </c>
      <c r="AM300" s="35"/>
      <c r="AN300" s="35">
        <f t="shared" si="106"/>
        <v>0</v>
      </c>
      <c r="AO300" s="6">
        <v>47</v>
      </c>
      <c r="AP300" s="6"/>
      <c r="AQ300" s="35">
        <f t="shared" si="109"/>
        <v>0</v>
      </c>
      <c r="AR300" s="6">
        <v>47</v>
      </c>
      <c r="AS300" s="34"/>
      <c r="AT300" s="34">
        <f t="shared" si="107"/>
        <v>0</v>
      </c>
      <c r="AU300" s="35">
        <v>47</v>
      </c>
      <c r="AV300" s="35"/>
      <c r="AW300" s="35">
        <f t="shared" si="108"/>
        <v>0</v>
      </c>
      <c r="AX300" s="6"/>
      <c r="AY300" s="6"/>
      <c r="AZ300" s="35"/>
      <c r="BA300" s="6">
        <v>47</v>
      </c>
      <c r="BB300" s="6"/>
      <c r="BC300" s="35">
        <f t="shared" si="129"/>
        <v>0</v>
      </c>
      <c r="BD300" s="35">
        <v>47</v>
      </c>
      <c r="BE300" s="6"/>
      <c r="BF300" s="35">
        <f t="shared" si="128"/>
        <v>0</v>
      </c>
      <c r="BG300" s="35">
        <v>47</v>
      </c>
      <c r="BH300" s="6"/>
      <c r="BI300" s="35">
        <f t="shared" si="127"/>
        <v>0</v>
      </c>
      <c r="BJ300" s="6">
        <v>47</v>
      </c>
      <c r="BK300" s="6"/>
      <c r="BL300" s="35">
        <f t="shared" si="110"/>
        <v>0</v>
      </c>
      <c r="BM300" s="6">
        <v>47</v>
      </c>
      <c r="BN300" s="6"/>
      <c r="BO300" s="6">
        <f t="shared" si="111"/>
        <v>0</v>
      </c>
      <c r="BP300" s="35">
        <v>47</v>
      </c>
      <c r="BQ300" s="35"/>
      <c r="BR300" s="6">
        <f t="shared" si="112"/>
        <v>0</v>
      </c>
      <c r="BS300" s="35"/>
      <c r="BT300" s="35"/>
      <c r="BU300" s="35"/>
      <c r="BV300" s="35">
        <v>47</v>
      </c>
      <c r="BW300" s="35"/>
      <c r="BX300" s="6">
        <f t="shared" si="113"/>
        <v>0</v>
      </c>
      <c r="BY300" s="6">
        <v>47</v>
      </c>
      <c r="BZ300" s="6"/>
      <c r="CA300" s="35">
        <f t="shared" si="114"/>
        <v>0</v>
      </c>
      <c r="CB300" s="6">
        <v>47</v>
      </c>
      <c r="CC300" s="6"/>
      <c r="CD300" s="6">
        <f t="shared" si="115"/>
        <v>0</v>
      </c>
      <c r="CE300" s="6">
        <v>47</v>
      </c>
      <c r="CF300" s="6"/>
      <c r="CG300" s="6">
        <f t="shared" si="116"/>
        <v>0</v>
      </c>
      <c r="CH300" s="6">
        <v>47</v>
      </c>
      <c r="CI300" s="6"/>
      <c r="CJ300" s="6">
        <f t="shared" si="117"/>
        <v>0</v>
      </c>
      <c r="CK300" s="6">
        <v>47</v>
      </c>
      <c r="CL300" s="6"/>
      <c r="CM300" s="6">
        <f t="shared" si="118"/>
        <v>0</v>
      </c>
      <c r="CN300" s="6"/>
      <c r="CO300" s="6"/>
      <c r="CP300" s="6"/>
      <c r="CQ300" s="6">
        <v>47</v>
      </c>
      <c r="CR300" s="6"/>
      <c r="CS300" s="6">
        <f t="shared" si="119"/>
        <v>0</v>
      </c>
      <c r="CT300" s="6">
        <v>47</v>
      </c>
      <c r="CU300" s="6"/>
      <c r="CV300" s="6">
        <f t="shared" si="120"/>
        <v>0</v>
      </c>
      <c r="CW300" s="6">
        <v>47</v>
      </c>
      <c r="CX300" s="6"/>
      <c r="CY300" s="6">
        <f t="shared" si="121"/>
        <v>0</v>
      </c>
      <c r="CZ300" s="6">
        <v>47</v>
      </c>
      <c r="DA300" s="6"/>
      <c r="DB300" s="6">
        <f t="shared" si="122"/>
        <v>0</v>
      </c>
      <c r="DC300" s="6">
        <v>47</v>
      </c>
      <c r="DD300" s="6"/>
      <c r="DE300" s="6">
        <f t="shared" si="123"/>
        <v>0</v>
      </c>
      <c r="DF300" s="6">
        <v>47</v>
      </c>
      <c r="DG300" s="6"/>
      <c r="DH300" s="6">
        <f t="shared" si="124"/>
        <v>0</v>
      </c>
      <c r="DI300" s="6"/>
      <c r="DJ300" s="10"/>
      <c r="DK300" s="6"/>
      <c r="DL300" s="6">
        <v>47</v>
      </c>
      <c r="DM300" s="10"/>
      <c r="DN300" s="6">
        <f t="shared" si="125"/>
        <v>0</v>
      </c>
      <c r="DO300" s="6">
        <v>47</v>
      </c>
      <c r="DP300" s="10"/>
      <c r="DQ300" s="6">
        <f t="shared" si="126"/>
        <v>0</v>
      </c>
    </row>
    <row r="301" spans="1:121">
      <c r="A301" s="6">
        <v>362</v>
      </c>
      <c r="B301" s="6">
        <v>34</v>
      </c>
      <c r="C301" s="10"/>
      <c r="D301" s="6">
        <v>0</v>
      </c>
      <c r="E301" s="33" t="s">
        <v>111</v>
      </c>
      <c r="F301" s="33" t="s">
        <v>111</v>
      </c>
      <c r="G301" s="33" t="s">
        <v>111</v>
      </c>
      <c r="H301" s="33" t="s">
        <v>111</v>
      </c>
      <c r="I301" s="33" t="s">
        <v>111</v>
      </c>
      <c r="J301" s="33" t="s">
        <v>111</v>
      </c>
      <c r="K301" s="33" t="s">
        <v>111</v>
      </c>
      <c r="L301" s="33" t="s">
        <v>111</v>
      </c>
      <c r="M301" s="33" t="s">
        <v>111</v>
      </c>
      <c r="N301" s="33" t="s">
        <v>111</v>
      </c>
      <c r="O301" s="33" t="s">
        <v>111</v>
      </c>
      <c r="P301" s="33" t="s">
        <v>111</v>
      </c>
      <c r="Q301" s="33" t="s">
        <v>111</v>
      </c>
      <c r="R301" s="33" t="s">
        <v>111</v>
      </c>
      <c r="S301" s="33" t="s">
        <v>111</v>
      </c>
      <c r="T301" s="33" t="s">
        <v>111</v>
      </c>
      <c r="U301" s="33" t="s">
        <v>111</v>
      </c>
      <c r="V301" s="33" t="s">
        <v>111</v>
      </c>
      <c r="W301" s="33" t="s">
        <v>111</v>
      </c>
      <c r="X301" s="33" t="s">
        <v>111</v>
      </c>
      <c r="Y301" s="33" t="s">
        <v>111</v>
      </c>
      <c r="Z301" s="33" t="s">
        <v>111</v>
      </c>
      <c r="AA301" s="33" t="s">
        <v>111</v>
      </c>
      <c r="AB301" s="33" t="s">
        <v>111</v>
      </c>
      <c r="AC301" s="33" t="s">
        <v>111</v>
      </c>
      <c r="AD301" s="33" t="s">
        <v>111</v>
      </c>
      <c r="AE301" s="33" t="s">
        <v>111</v>
      </c>
      <c r="AF301" s="6">
        <v>34</v>
      </c>
      <c r="AG301" s="6"/>
      <c r="AH301" s="35">
        <f t="shared" si="104"/>
        <v>0</v>
      </c>
      <c r="AI301" s="6">
        <v>34</v>
      </c>
      <c r="AJ301" s="6"/>
      <c r="AK301" s="35">
        <f t="shared" si="105"/>
        <v>0</v>
      </c>
      <c r="AL301" s="35">
        <v>34</v>
      </c>
      <c r="AM301" s="35"/>
      <c r="AN301" s="35">
        <f t="shared" si="106"/>
        <v>0</v>
      </c>
      <c r="AO301" s="6">
        <v>34</v>
      </c>
      <c r="AP301" s="6"/>
      <c r="AQ301" s="35">
        <f t="shared" si="109"/>
        <v>0</v>
      </c>
      <c r="AR301" s="6">
        <v>34</v>
      </c>
      <c r="AS301" s="34"/>
      <c r="AT301" s="34">
        <f t="shared" si="107"/>
        <v>0</v>
      </c>
      <c r="AU301" s="35">
        <v>34</v>
      </c>
      <c r="AV301" s="35"/>
      <c r="AW301" s="35">
        <f t="shared" si="108"/>
        <v>0</v>
      </c>
      <c r="AX301" s="6"/>
      <c r="AY301" s="6"/>
      <c r="AZ301" s="35"/>
      <c r="BA301" s="6">
        <v>34</v>
      </c>
      <c r="BB301" s="6"/>
      <c r="BC301" s="35">
        <f t="shared" si="129"/>
        <v>0</v>
      </c>
      <c r="BD301" s="35">
        <v>34</v>
      </c>
      <c r="BE301" s="6"/>
      <c r="BF301" s="35">
        <f t="shared" si="128"/>
        <v>0</v>
      </c>
      <c r="BG301" s="35">
        <v>34</v>
      </c>
      <c r="BH301" s="6"/>
      <c r="BI301" s="35">
        <f t="shared" si="127"/>
        <v>0</v>
      </c>
      <c r="BJ301" s="6">
        <v>34</v>
      </c>
      <c r="BK301" s="6"/>
      <c r="BL301" s="35">
        <f t="shared" si="110"/>
        <v>0</v>
      </c>
      <c r="BM301" s="6">
        <v>34</v>
      </c>
      <c r="BN301" s="6"/>
      <c r="BO301" s="6">
        <f t="shared" si="111"/>
        <v>0</v>
      </c>
      <c r="BP301" s="35">
        <v>34</v>
      </c>
      <c r="BQ301" s="35"/>
      <c r="BR301" s="6">
        <f t="shared" si="112"/>
        <v>0</v>
      </c>
      <c r="BS301" s="35"/>
      <c r="BT301" s="35"/>
      <c r="BU301" s="35"/>
      <c r="BV301" s="35">
        <v>34</v>
      </c>
      <c r="BW301" s="35"/>
      <c r="BX301" s="6">
        <f t="shared" si="113"/>
        <v>0</v>
      </c>
      <c r="BY301" s="6">
        <v>34</v>
      </c>
      <c r="BZ301" s="6"/>
      <c r="CA301" s="35">
        <f t="shared" si="114"/>
        <v>0</v>
      </c>
      <c r="CB301" s="6">
        <v>34</v>
      </c>
      <c r="CC301" s="6"/>
      <c r="CD301" s="6">
        <f t="shared" si="115"/>
        <v>0</v>
      </c>
      <c r="CE301" s="6">
        <v>34</v>
      </c>
      <c r="CF301" s="6"/>
      <c r="CG301" s="6">
        <f t="shared" si="116"/>
        <v>0</v>
      </c>
      <c r="CH301" s="6">
        <v>34</v>
      </c>
      <c r="CI301" s="6"/>
      <c r="CJ301" s="6">
        <f t="shared" si="117"/>
        <v>0</v>
      </c>
      <c r="CK301" s="6">
        <v>34</v>
      </c>
      <c r="CL301" s="6"/>
      <c r="CM301" s="6">
        <f t="shared" si="118"/>
        <v>0</v>
      </c>
      <c r="CN301" s="6"/>
      <c r="CO301" s="6"/>
      <c r="CP301" s="6"/>
      <c r="CQ301" s="6">
        <v>34</v>
      </c>
      <c r="CR301" s="6"/>
      <c r="CS301" s="6">
        <f t="shared" si="119"/>
        <v>0</v>
      </c>
      <c r="CT301" s="6">
        <v>34</v>
      </c>
      <c r="CU301" s="6"/>
      <c r="CV301" s="6">
        <f t="shared" si="120"/>
        <v>0</v>
      </c>
      <c r="CW301" s="6">
        <v>34</v>
      </c>
      <c r="CX301" s="6"/>
      <c r="CY301" s="6">
        <f t="shared" si="121"/>
        <v>0</v>
      </c>
      <c r="CZ301" s="6">
        <v>34</v>
      </c>
      <c r="DA301" s="6"/>
      <c r="DB301" s="6">
        <f t="shared" si="122"/>
        <v>0</v>
      </c>
      <c r="DC301" s="6">
        <v>34</v>
      </c>
      <c r="DD301" s="6"/>
      <c r="DE301" s="6">
        <f t="shared" si="123"/>
        <v>0</v>
      </c>
      <c r="DF301" s="6">
        <v>34</v>
      </c>
      <c r="DG301" s="6"/>
      <c r="DH301" s="6">
        <f t="shared" si="124"/>
        <v>0</v>
      </c>
      <c r="DI301" s="6"/>
      <c r="DJ301" s="10"/>
      <c r="DK301" s="6"/>
      <c r="DL301" s="6">
        <v>34</v>
      </c>
      <c r="DM301" s="10"/>
      <c r="DN301" s="6">
        <f t="shared" si="125"/>
        <v>0</v>
      </c>
      <c r="DO301" s="6">
        <v>34</v>
      </c>
      <c r="DP301" s="10"/>
      <c r="DQ301" s="6">
        <f t="shared" si="126"/>
        <v>0</v>
      </c>
    </row>
    <row r="302" spans="1:121">
      <c r="A302" s="6">
        <v>363</v>
      </c>
      <c r="B302" s="6">
        <v>531</v>
      </c>
      <c r="C302" s="10"/>
      <c r="D302" s="6">
        <v>259</v>
      </c>
      <c r="E302" s="33" t="s">
        <v>382</v>
      </c>
      <c r="F302" s="33" t="s">
        <v>382</v>
      </c>
      <c r="G302" s="33" t="s">
        <v>382</v>
      </c>
      <c r="H302" s="33" t="s">
        <v>382</v>
      </c>
      <c r="I302" s="33" t="s">
        <v>382</v>
      </c>
      <c r="J302" s="33" t="s">
        <v>382</v>
      </c>
      <c r="K302" s="148" t="s">
        <v>427</v>
      </c>
      <c r="L302" s="33" t="s">
        <v>427</v>
      </c>
      <c r="M302" s="33" t="s">
        <v>427</v>
      </c>
      <c r="N302" s="33" t="s">
        <v>427</v>
      </c>
      <c r="O302" s="33" t="s">
        <v>427</v>
      </c>
      <c r="P302" s="33" t="s">
        <v>427</v>
      </c>
      <c r="Q302" s="33" t="s">
        <v>427</v>
      </c>
      <c r="R302" s="33" t="s">
        <v>427</v>
      </c>
      <c r="S302" s="33"/>
      <c r="T302" s="148" t="s">
        <v>439</v>
      </c>
      <c r="U302" s="33" t="s">
        <v>439</v>
      </c>
      <c r="V302" s="33" t="s">
        <v>439</v>
      </c>
      <c r="W302" s="33" t="s">
        <v>439</v>
      </c>
      <c r="X302" s="33" t="s">
        <v>439</v>
      </c>
      <c r="Y302" s="33" t="s">
        <v>439</v>
      </c>
      <c r="Z302" s="33" t="s">
        <v>439</v>
      </c>
      <c r="AA302" s="33" t="s">
        <v>439</v>
      </c>
      <c r="AB302" s="33" t="s">
        <v>439</v>
      </c>
      <c r="AC302" s="33" t="s">
        <v>439</v>
      </c>
      <c r="AD302" s="33" t="s">
        <v>439</v>
      </c>
      <c r="AE302" s="33"/>
      <c r="AF302" s="6">
        <v>0</v>
      </c>
      <c r="AG302" s="6">
        <v>607</v>
      </c>
      <c r="AH302" s="35">
        <f t="shared" si="104"/>
        <v>76</v>
      </c>
      <c r="AI302" s="6">
        <v>0</v>
      </c>
      <c r="AJ302" s="6"/>
      <c r="AK302" s="35">
        <f t="shared" si="105"/>
        <v>0</v>
      </c>
      <c r="AL302" s="35">
        <v>0</v>
      </c>
      <c r="AM302" s="35"/>
      <c r="AN302" s="35">
        <f t="shared" si="106"/>
        <v>0</v>
      </c>
      <c r="AO302" s="6">
        <v>0</v>
      </c>
      <c r="AP302" s="6"/>
      <c r="AQ302" s="35">
        <f t="shared" si="109"/>
        <v>0</v>
      </c>
      <c r="AR302" s="6">
        <v>0</v>
      </c>
      <c r="AS302" s="34"/>
      <c r="AT302" s="34">
        <f t="shared" si="107"/>
        <v>0</v>
      </c>
      <c r="AU302" s="35">
        <v>184</v>
      </c>
      <c r="AV302" s="35"/>
      <c r="AW302" s="35">
        <f t="shared" si="108"/>
        <v>184</v>
      </c>
      <c r="AX302" s="6"/>
      <c r="AY302" s="6"/>
      <c r="AZ302" s="35"/>
      <c r="BA302" s="6">
        <v>468</v>
      </c>
      <c r="BB302" s="6"/>
      <c r="BC302" s="35">
        <f t="shared" si="129"/>
        <v>284</v>
      </c>
      <c r="BD302" s="35">
        <v>744</v>
      </c>
      <c r="BE302" s="6"/>
      <c r="BF302" s="35">
        <f t="shared" si="128"/>
        <v>276</v>
      </c>
      <c r="BG302" s="35">
        <v>165</v>
      </c>
      <c r="BH302" s="6">
        <v>810</v>
      </c>
      <c r="BI302" s="35">
        <f t="shared" si="127"/>
        <v>231</v>
      </c>
      <c r="BJ302" s="6">
        <v>446</v>
      </c>
      <c r="BK302" s="6"/>
      <c r="BL302" s="35">
        <f t="shared" si="110"/>
        <v>281</v>
      </c>
      <c r="BM302" s="6">
        <v>1</v>
      </c>
      <c r="BN302" s="6">
        <v>722</v>
      </c>
      <c r="BO302" s="6">
        <f t="shared" si="111"/>
        <v>277</v>
      </c>
      <c r="BP302" s="35">
        <v>249</v>
      </c>
      <c r="BQ302" s="35"/>
      <c r="BR302" s="6">
        <f t="shared" si="112"/>
        <v>248</v>
      </c>
      <c r="BS302" s="35"/>
      <c r="BT302" s="35"/>
      <c r="BU302" s="35"/>
      <c r="BV302" s="35">
        <v>0</v>
      </c>
      <c r="BW302" s="35">
        <f>256+97</f>
        <v>353</v>
      </c>
      <c r="BX302" s="6">
        <f t="shared" si="113"/>
        <v>104</v>
      </c>
      <c r="BY302" s="6"/>
      <c r="BZ302" s="6"/>
      <c r="CA302" s="35"/>
      <c r="CB302" s="6">
        <v>168</v>
      </c>
      <c r="CC302" s="6"/>
      <c r="CD302" s="6">
        <f t="shared" si="115"/>
        <v>168</v>
      </c>
      <c r="CE302" s="6">
        <v>1</v>
      </c>
      <c r="CF302" s="6">
        <v>418</v>
      </c>
      <c r="CG302" s="6">
        <f t="shared" si="116"/>
        <v>251</v>
      </c>
      <c r="CH302" s="6">
        <v>253</v>
      </c>
      <c r="CI302" s="6"/>
      <c r="CJ302" s="6">
        <f t="shared" si="117"/>
        <v>252</v>
      </c>
      <c r="CK302" s="6">
        <v>1</v>
      </c>
      <c r="CL302" s="6">
        <v>489</v>
      </c>
      <c r="CM302" s="6">
        <f t="shared" si="118"/>
        <v>237</v>
      </c>
      <c r="CN302" s="6"/>
      <c r="CO302" s="6"/>
      <c r="CP302" s="6"/>
      <c r="CQ302" s="6">
        <v>249</v>
      </c>
      <c r="CR302" s="6"/>
      <c r="CS302" s="6">
        <f t="shared" si="119"/>
        <v>248</v>
      </c>
      <c r="CT302" s="6">
        <v>499</v>
      </c>
      <c r="CU302" s="6"/>
      <c r="CV302" s="6">
        <f t="shared" si="120"/>
        <v>250</v>
      </c>
      <c r="CW302" s="6">
        <v>228</v>
      </c>
      <c r="CX302" s="6">
        <v>506</v>
      </c>
      <c r="CY302" s="6">
        <f t="shared" si="121"/>
        <v>235</v>
      </c>
      <c r="CZ302" s="6">
        <v>454</v>
      </c>
      <c r="DA302" s="6"/>
      <c r="DB302" s="6">
        <f t="shared" si="122"/>
        <v>226</v>
      </c>
      <c r="DC302" s="6">
        <v>454</v>
      </c>
      <c r="DD302" s="6"/>
      <c r="DE302" s="6">
        <f t="shared" si="123"/>
        <v>0</v>
      </c>
      <c r="DF302" s="6">
        <v>454</v>
      </c>
      <c r="DG302" s="6"/>
      <c r="DH302" s="6">
        <f t="shared" si="124"/>
        <v>0</v>
      </c>
      <c r="DI302" s="6"/>
      <c r="DJ302" s="10"/>
      <c r="DK302" s="6"/>
      <c r="DL302" s="6"/>
      <c r="DM302" s="10">
        <v>454</v>
      </c>
      <c r="DN302" s="6"/>
      <c r="DO302" s="6"/>
      <c r="DP302" s="10"/>
      <c r="DQ302" s="6"/>
    </row>
    <row r="303" spans="1:121">
      <c r="A303" s="6">
        <v>364</v>
      </c>
      <c r="B303" s="6"/>
      <c r="C303" s="10"/>
      <c r="D303" s="6"/>
      <c r="E303" s="33"/>
      <c r="F303" s="33"/>
      <c r="G303" s="33"/>
      <c r="H303" s="33"/>
      <c r="I303" s="33"/>
      <c r="J303" s="33"/>
      <c r="K303" s="148"/>
      <c r="L303" s="33"/>
      <c r="M303" s="33"/>
      <c r="N303" s="33"/>
      <c r="O303" s="33"/>
      <c r="P303" s="33"/>
      <c r="Q303" s="33"/>
      <c r="R303" s="33"/>
      <c r="S303" s="33"/>
      <c r="T303" s="148"/>
      <c r="U303" s="33"/>
      <c r="V303" s="33"/>
      <c r="W303" s="33"/>
      <c r="X303" s="33"/>
      <c r="Y303" s="33"/>
      <c r="Z303" s="148" t="s">
        <v>456</v>
      </c>
      <c r="AA303" s="33" t="s">
        <v>456</v>
      </c>
      <c r="AB303" s="33" t="s">
        <v>456</v>
      </c>
      <c r="AC303" s="33" t="s">
        <v>456</v>
      </c>
      <c r="AD303" s="33" t="s">
        <v>456</v>
      </c>
      <c r="AE303" s="33" t="s">
        <v>456</v>
      </c>
      <c r="AF303" s="6"/>
      <c r="AG303" s="6"/>
      <c r="AH303" s="35"/>
      <c r="AI303" s="6"/>
      <c r="AJ303" s="6"/>
      <c r="AK303" s="35"/>
      <c r="AL303" s="35"/>
      <c r="AM303" s="35"/>
      <c r="AN303" s="35"/>
      <c r="AO303" s="6"/>
      <c r="AP303" s="6"/>
      <c r="AQ303" s="35"/>
      <c r="AR303" s="6"/>
      <c r="AS303" s="34"/>
      <c r="AT303" s="34"/>
      <c r="AU303" s="35"/>
      <c r="AV303" s="35"/>
      <c r="AW303" s="35"/>
      <c r="AX303" s="6"/>
      <c r="AY303" s="6"/>
      <c r="AZ303" s="35"/>
      <c r="BA303" s="6"/>
      <c r="BB303" s="6"/>
      <c r="BC303" s="35"/>
      <c r="BD303" s="35"/>
      <c r="BE303" s="6"/>
      <c r="BF303" s="35"/>
      <c r="BG303" s="35"/>
      <c r="BH303" s="6"/>
      <c r="BI303" s="35"/>
      <c r="BJ303" s="6"/>
      <c r="BK303" s="6"/>
      <c r="BL303" s="35"/>
      <c r="BM303" s="6"/>
      <c r="BN303" s="6"/>
      <c r="BO303" s="6"/>
      <c r="BP303" s="35"/>
      <c r="BQ303" s="35"/>
      <c r="BR303" s="6"/>
      <c r="BS303" s="35"/>
      <c r="BT303" s="35"/>
      <c r="BU303" s="35"/>
      <c r="BV303" s="35"/>
      <c r="BW303" s="35"/>
      <c r="BX303" s="6"/>
      <c r="BY303" s="6"/>
      <c r="BZ303" s="6"/>
      <c r="CA303" s="35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>
        <v>0</v>
      </c>
      <c r="CX303" s="6"/>
      <c r="CY303" s="6">
        <f t="shared" si="121"/>
        <v>0</v>
      </c>
      <c r="CZ303" s="6">
        <v>177</v>
      </c>
      <c r="DA303" s="6"/>
      <c r="DB303" s="6">
        <f t="shared" si="122"/>
        <v>177</v>
      </c>
      <c r="DC303" s="6">
        <v>390</v>
      </c>
      <c r="DD303" s="6"/>
      <c r="DE303" s="6">
        <f t="shared" si="123"/>
        <v>213</v>
      </c>
      <c r="DF303" s="6">
        <v>596</v>
      </c>
      <c r="DG303" s="6"/>
      <c r="DH303" s="6">
        <f t="shared" si="124"/>
        <v>206</v>
      </c>
      <c r="DI303" s="6"/>
      <c r="DJ303" s="10"/>
      <c r="DK303" s="6"/>
      <c r="DL303" s="6">
        <v>818</v>
      </c>
      <c r="DM303" s="10"/>
      <c r="DN303" s="6">
        <f t="shared" si="125"/>
        <v>222</v>
      </c>
      <c r="DO303" s="6">
        <v>185</v>
      </c>
      <c r="DP303" s="10">
        <v>843</v>
      </c>
      <c r="DQ303" s="6">
        <f t="shared" si="126"/>
        <v>210</v>
      </c>
    </row>
    <row r="304" spans="1:121">
      <c r="A304" s="6" t="s">
        <v>293</v>
      </c>
      <c r="B304" s="6">
        <v>0</v>
      </c>
      <c r="C304" s="10"/>
      <c r="D304" s="6">
        <v>0</v>
      </c>
      <c r="E304" s="33" t="s">
        <v>246</v>
      </c>
      <c r="F304" s="33" t="s">
        <v>246</v>
      </c>
      <c r="G304" s="33" t="s">
        <v>246</v>
      </c>
      <c r="H304" s="33" t="s">
        <v>246</v>
      </c>
      <c r="I304" s="33" t="s">
        <v>246</v>
      </c>
      <c r="J304" s="33" t="s">
        <v>246</v>
      </c>
      <c r="K304" s="33" t="s">
        <v>246</v>
      </c>
      <c r="L304" s="33" t="s">
        <v>246</v>
      </c>
      <c r="M304" s="33" t="s">
        <v>246</v>
      </c>
      <c r="N304" s="33" t="s">
        <v>246</v>
      </c>
      <c r="O304" s="33" t="s">
        <v>246</v>
      </c>
      <c r="P304" s="33" t="s">
        <v>246</v>
      </c>
      <c r="Q304" s="33" t="s">
        <v>246</v>
      </c>
      <c r="R304" s="33" t="s">
        <v>246</v>
      </c>
      <c r="S304" s="33"/>
      <c r="T304" s="33"/>
      <c r="U304" s="148" t="s">
        <v>446</v>
      </c>
      <c r="V304" s="33" t="s">
        <v>446</v>
      </c>
      <c r="W304" s="33" t="s">
        <v>446</v>
      </c>
      <c r="X304" s="33" t="s">
        <v>446</v>
      </c>
      <c r="Y304" s="33" t="s">
        <v>446</v>
      </c>
      <c r="Z304" s="33" t="s">
        <v>446</v>
      </c>
      <c r="AA304" s="33" t="s">
        <v>446</v>
      </c>
      <c r="AB304" s="33" t="s">
        <v>446</v>
      </c>
      <c r="AC304" s="33" t="s">
        <v>446</v>
      </c>
      <c r="AD304" s="33" t="s">
        <v>446</v>
      </c>
      <c r="AE304" s="33" t="s">
        <v>446</v>
      </c>
      <c r="AF304" s="6">
        <v>0</v>
      </c>
      <c r="AG304" s="6"/>
      <c r="AH304" s="35">
        <f t="shared" si="104"/>
        <v>0</v>
      </c>
      <c r="AI304" s="6">
        <v>0</v>
      </c>
      <c r="AJ304" s="6"/>
      <c r="AK304" s="35">
        <f t="shared" si="105"/>
        <v>0</v>
      </c>
      <c r="AL304" s="35">
        <v>0</v>
      </c>
      <c r="AM304" s="35"/>
      <c r="AN304" s="35">
        <f t="shared" si="106"/>
        <v>0</v>
      </c>
      <c r="AO304" s="6">
        <v>0</v>
      </c>
      <c r="AP304" s="6"/>
      <c r="AQ304" s="35">
        <f t="shared" si="109"/>
        <v>0</v>
      </c>
      <c r="AR304" s="6">
        <v>178</v>
      </c>
      <c r="AS304" s="34"/>
      <c r="AT304" s="34">
        <f t="shared" si="107"/>
        <v>178</v>
      </c>
      <c r="AU304" s="35">
        <v>375</v>
      </c>
      <c r="AV304" s="35"/>
      <c r="AW304" s="35">
        <f t="shared" si="108"/>
        <v>197</v>
      </c>
      <c r="AX304" s="6"/>
      <c r="AY304" s="6"/>
      <c r="AZ304" s="35"/>
      <c r="BA304" s="6">
        <v>592</v>
      </c>
      <c r="BB304" s="6"/>
      <c r="BC304" s="35">
        <f t="shared" si="129"/>
        <v>217</v>
      </c>
      <c r="BD304" s="35">
        <v>824</v>
      </c>
      <c r="BE304" s="6"/>
      <c r="BF304" s="35">
        <f t="shared" si="128"/>
        <v>232</v>
      </c>
      <c r="BG304" s="35">
        <v>1042</v>
      </c>
      <c r="BH304" s="6"/>
      <c r="BI304" s="35">
        <f t="shared" si="127"/>
        <v>218</v>
      </c>
      <c r="BJ304" s="6">
        <v>1274</v>
      </c>
      <c r="BK304" s="6"/>
      <c r="BL304" s="35">
        <f t="shared" si="110"/>
        <v>232</v>
      </c>
      <c r="BM304" s="6">
        <v>1507</v>
      </c>
      <c r="BN304" s="6"/>
      <c r="BO304" s="6">
        <f t="shared" si="111"/>
        <v>233</v>
      </c>
      <c r="BP304" s="35">
        <v>1534</v>
      </c>
      <c r="BQ304" s="35"/>
      <c r="BR304" s="6">
        <f t="shared" si="112"/>
        <v>27</v>
      </c>
      <c r="BS304" s="35"/>
      <c r="BT304" s="35"/>
      <c r="BU304" s="35"/>
      <c r="BV304" s="35">
        <v>0</v>
      </c>
      <c r="BW304" s="35">
        <v>1534</v>
      </c>
      <c r="BX304" s="6">
        <f t="shared" si="113"/>
        <v>0</v>
      </c>
      <c r="BY304" s="6"/>
      <c r="BZ304" s="6"/>
      <c r="CA304" s="35"/>
      <c r="CB304" s="6"/>
      <c r="CC304" s="6"/>
      <c r="CD304" s="6"/>
      <c r="CE304" s="6">
        <v>185</v>
      </c>
      <c r="CF304" s="6"/>
      <c r="CG304" s="6">
        <f t="shared" si="116"/>
        <v>185</v>
      </c>
      <c r="CH304" s="6">
        <v>492</v>
      </c>
      <c r="CI304" s="6"/>
      <c r="CJ304" s="6">
        <f t="shared" si="117"/>
        <v>307</v>
      </c>
      <c r="CK304" s="6">
        <v>221</v>
      </c>
      <c r="CL304" s="6">
        <v>553</v>
      </c>
      <c r="CM304" s="6">
        <f t="shared" si="118"/>
        <v>282</v>
      </c>
      <c r="CN304" s="6"/>
      <c r="CO304" s="6"/>
      <c r="CP304" s="6"/>
      <c r="CQ304" s="6">
        <v>518</v>
      </c>
      <c r="CR304" s="6"/>
      <c r="CS304" s="6">
        <f t="shared" si="119"/>
        <v>297</v>
      </c>
      <c r="CT304" s="6">
        <v>800</v>
      </c>
      <c r="CU304" s="6"/>
      <c r="CV304" s="6">
        <f t="shared" si="120"/>
        <v>282</v>
      </c>
      <c r="CW304" s="6">
        <v>268</v>
      </c>
      <c r="CX304" s="6">
        <v>800</v>
      </c>
      <c r="CY304" s="6">
        <f t="shared" si="121"/>
        <v>268</v>
      </c>
      <c r="CZ304" s="6">
        <v>569</v>
      </c>
      <c r="DA304" s="6"/>
      <c r="DB304" s="6">
        <f t="shared" si="122"/>
        <v>301</v>
      </c>
      <c r="DC304" s="6">
        <v>800</v>
      </c>
      <c r="DD304" s="6"/>
      <c r="DE304" s="6">
        <f t="shared" si="123"/>
        <v>231</v>
      </c>
      <c r="DF304" s="6">
        <v>800</v>
      </c>
      <c r="DG304" s="6"/>
      <c r="DH304" s="6">
        <f>DG304+DF304-DC304</f>
        <v>0</v>
      </c>
      <c r="DI304" s="6"/>
      <c r="DJ304" s="10"/>
      <c r="DK304" s="6"/>
      <c r="DL304" s="6">
        <v>0</v>
      </c>
      <c r="DM304" s="10">
        <v>800</v>
      </c>
      <c r="DN304" s="6">
        <f t="shared" si="125"/>
        <v>0</v>
      </c>
      <c r="DO304" s="6">
        <v>245</v>
      </c>
      <c r="DP304" s="10"/>
      <c r="DQ304" s="6">
        <f t="shared" si="126"/>
        <v>245</v>
      </c>
    </row>
    <row r="305" spans="1:123">
      <c r="A305" s="6" t="s">
        <v>294</v>
      </c>
      <c r="B305" s="6">
        <v>0</v>
      </c>
      <c r="C305" s="10"/>
      <c r="D305" s="6">
        <v>0</v>
      </c>
      <c r="E305" s="33" t="s">
        <v>246</v>
      </c>
      <c r="F305" s="33" t="s">
        <v>246</v>
      </c>
      <c r="G305" s="33" t="s">
        <v>246</v>
      </c>
      <c r="H305" s="33" t="s">
        <v>246</v>
      </c>
      <c r="I305" s="33" t="s">
        <v>246</v>
      </c>
      <c r="J305" s="33" t="s">
        <v>246</v>
      </c>
      <c r="K305" s="33" t="s">
        <v>246</v>
      </c>
      <c r="L305" s="33" t="s">
        <v>246</v>
      </c>
      <c r="M305" s="33" t="s">
        <v>246</v>
      </c>
      <c r="N305" s="33" t="s">
        <v>246</v>
      </c>
      <c r="O305" s="33" t="s">
        <v>246</v>
      </c>
      <c r="P305" s="33" t="s">
        <v>246</v>
      </c>
      <c r="Q305" s="33" t="s">
        <v>246</v>
      </c>
      <c r="R305" s="33" t="s">
        <v>246</v>
      </c>
      <c r="S305" s="33" t="s">
        <v>246</v>
      </c>
      <c r="T305" s="33" t="s">
        <v>246</v>
      </c>
      <c r="U305" s="33" t="s">
        <v>246</v>
      </c>
      <c r="V305" s="33" t="s">
        <v>246</v>
      </c>
      <c r="W305" s="33" t="s">
        <v>246</v>
      </c>
      <c r="X305" s="33" t="s">
        <v>246</v>
      </c>
      <c r="Y305" s="33" t="s">
        <v>246</v>
      </c>
      <c r="Z305" s="33" t="s">
        <v>246</v>
      </c>
      <c r="AA305" s="33" t="s">
        <v>246</v>
      </c>
      <c r="AB305" s="33" t="s">
        <v>246</v>
      </c>
      <c r="AC305" s="33" t="s">
        <v>246</v>
      </c>
      <c r="AD305" s="33" t="s">
        <v>246</v>
      </c>
      <c r="AE305" s="33" t="s">
        <v>246</v>
      </c>
      <c r="AF305" s="6">
        <v>0</v>
      </c>
      <c r="AG305" s="6"/>
      <c r="AH305" s="35">
        <f t="shared" si="104"/>
        <v>0</v>
      </c>
      <c r="AI305" s="6">
        <v>0</v>
      </c>
      <c r="AJ305" s="6"/>
      <c r="AK305" s="35">
        <f t="shared" si="105"/>
        <v>0</v>
      </c>
      <c r="AL305" s="35">
        <v>0</v>
      </c>
      <c r="AM305" s="35"/>
      <c r="AN305" s="35">
        <f t="shared" si="106"/>
        <v>0</v>
      </c>
      <c r="AO305" s="6">
        <v>0</v>
      </c>
      <c r="AP305" s="6"/>
      <c r="AQ305" s="35">
        <f t="shared" si="109"/>
        <v>0</v>
      </c>
      <c r="AR305" s="6">
        <v>209</v>
      </c>
      <c r="AS305" s="34"/>
      <c r="AT305" s="34">
        <f t="shared" si="107"/>
        <v>209</v>
      </c>
      <c r="AU305" s="35">
        <v>427</v>
      </c>
      <c r="AV305" s="35"/>
      <c r="AW305" s="35">
        <f t="shared" si="108"/>
        <v>218</v>
      </c>
      <c r="AX305" s="6"/>
      <c r="AY305" s="6"/>
      <c r="AZ305" s="35"/>
      <c r="BA305" s="6">
        <v>672</v>
      </c>
      <c r="BB305" s="6"/>
      <c r="BC305" s="35">
        <f t="shared" si="129"/>
        <v>245</v>
      </c>
      <c r="BD305" s="35">
        <v>904</v>
      </c>
      <c r="BE305" s="6"/>
      <c r="BF305" s="35">
        <f t="shared" si="128"/>
        <v>232</v>
      </c>
      <c r="BG305" s="35">
        <v>1142</v>
      </c>
      <c r="BH305" s="6"/>
      <c r="BI305" s="35">
        <f t="shared" si="127"/>
        <v>238</v>
      </c>
      <c r="BJ305" s="6">
        <v>1386</v>
      </c>
      <c r="BK305" s="6"/>
      <c r="BL305" s="35">
        <f t="shared" si="110"/>
        <v>244</v>
      </c>
      <c r="BM305" s="6">
        <v>1618</v>
      </c>
      <c r="BN305" s="6"/>
      <c r="BO305" s="6">
        <f t="shared" si="111"/>
        <v>232</v>
      </c>
      <c r="BP305" s="35">
        <v>1838</v>
      </c>
      <c r="BQ305" s="35"/>
      <c r="BR305" s="6">
        <f t="shared" si="112"/>
        <v>220</v>
      </c>
      <c r="BS305" s="35"/>
      <c r="BT305" s="35"/>
      <c r="BU305" s="35"/>
      <c r="BV305" s="35">
        <v>1838</v>
      </c>
      <c r="BW305" s="35"/>
      <c r="BX305" s="6">
        <f t="shared" si="113"/>
        <v>0</v>
      </c>
      <c r="BY305" s="6">
        <v>1838</v>
      </c>
      <c r="BZ305" s="6"/>
      <c r="CA305" s="35">
        <f t="shared" si="114"/>
        <v>0</v>
      </c>
      <c r="CB305" s="6">
        <v>1838</v>
      </c>
      <c r="CC305" s="6"/>
      <c r="CD305" s="6">
        <f t="shared" si="115"/>
        <v>0</v>
      </c>
      <c r="CE305" s="6">
        <v>1838</v>
      </c>
      <c r="CF305" s="6"/>
      <c r="CG305" s="6">
        <f t="shared" si="116"/>
        <v>0</v>
      </c>
      <c r="CH305" s="6">
        <v>1838</v>
      </c>
      <c r="CI305" s="6"/>
      <c r="CJ305" s="6">
        <f t="shared" si="117"/>
        <v>0</v>
      </c>
      <c r="CK305" s="6">
        <v>1838</v>
      </c>
      <c r="CL305" s="6"/>
      <c r="CM305" s="6">
        <f t="shared" si="118"/>
        <v>0</v>
      </c>
      <c r="CN305" s="6"/>
      <c r="CO305" s="6"/>
      <c r="CP305" s="6"/>
      <c r="CQ305" s="6">
        <v>1838</v>
      </c>
      <c r="CR305" s="6"/>
      <c r="CS305" s="6">
        <f t="shared" si="119"/>
        <v>0</v>
      </c>
      <c r="CT305" s="6">
        <v>1838</v>
      </c>
      <c r="CU305" s="6"/>
      <c r="CV305" s="6">
        <f t="shared" si="120"/>
        <v>0</v>
      </c>
      <c r="CW305" s="6">
        <v>1838</v>
      </c>
      <c r="CX305" s="6"/>
      <c r="CY305" s="6">
        <f t="shared" si="121"/>
        <v>0</v>
      </c>
      <c r="CZ305" s="6">
        <v>1838</v>
      </c>
      <c r="DA305" s="6"/>
      <c r="DB305" s="6">
        <f t="shared" si="122"/>
        <v>0</v>
      </c>
      <c r="DC305" s="6">
        <v>1838</v>
      </c>
      <c r="DD305" s="6"/>
      <c r="DE305" s="6">
        <f t="shared" si="123"/>
        <v>0</v>
      </c>
      <c r="DF305" s="6">
        <v>1838</v>
      </c>
      <c r="DG305" s="6"/>
      <c r="DH305" s="6">
        <f>DG305+DF305-DC305</f>
        <v>0</v>
      </c>
      <c r="DI305" s="6"/>
      <c r="DJ305" s="10"/>
      <c r="DK305" s="6"/>
      <c r="DL305" s="6">
        <v>1838</v>
      </c>
      <c r="DM305" s="10"/>
      <c r="DN305" s="6">
        <f t="shared" si="125"/>
        <v>0</v>
      </c>
      <c r="DO305" s="6">
        <v>1838</v>
      </c>
      <c r="DP305" s="10"/>
      <c r="DQ305" s="6">
        <f t="shared" si="126"/>
        <v>0</v>
      </c>
    </row>
    <row r="306" spans="1:123">
      <c r="A306" s="6" t="s">
        <v>321</v>
      </c>
      <c r="B306" s="6">
        <v>986</v>
      </c>
      <c r="C306" s="10"/>
      <c r="D306" s="6">
        <v>82</v>
      </c>
      <c r="E306" s="33" t="s">
        <v>246</v>
      </c>
      <c r="F306" s="33" t="s">
        <v>246</v>
      </c>
      <c r="G306" s="33" t="s">
        <v>246</v>
      </c>
      <c r="H306" s="33" t="s">
        <v>246</v>
      </c>
      <c r="I306" s="33" t="s">
        <v>246</v>
      </c>
      <c r="J306" s="33" t="s">
        <v>246</v>
      </c>
      <c r="K306" s="33" t="s">
        <v>246</v>
      </c>
      <c r="L306" s="33" t="s">
        <v>246</v>
      </c>
      <c r="M306" s="33" t="s">
        <v>246</v>
      </c>
      <c r="N306" s="33" t="s">
        <v>246</v>
      </c>
      <c r="O306" s="33" t="s">
        <v>246</v>
      </c>
      <c r="P306" s="33" t="s">
        <v>246</v>
      </c>
      <c r="Q306" s="33" t="s">
        <v>246</v>
      </c>
      <c r="R306" s="33" t="s">
        <v>246</v>
      </c>
      <c r="S306" s="33" t="s">
        <v>246</v>
      </c>
      <c r="T306" s="33" t="s">
        <v>246</v>
      </c>
      <c r="U306" s="33" t="s">
        <v>246</v>
      </c>
      <c r="V306" s="33" t="s">
        <v>246</v>
      </c>
      <c r="W306" s="33" t="s">
        <v>246</v>
      </c>
      <c r="X306" s="33" t="s">
        <v>246</v>
      </c>
      <c r="Y306" s="33" t="s">
        <v>246</v>
      </c>
      <c r="Z306" s="33" t="s">
        <v>246</v>
      </c>
      <c r="AA306" s="33" t="s">
        <v>246</v>
      </c>
      <c r="AB306" s="33" t="s">
        <v>246</v>
      </c>
      <c r="AC306" s="33" t="s">
        <v>246</v>
      </c>
      <c r="AD306" s="33" t="s">
        <v>246</v>
      </c>
      <c r="AE306" s="33" t="s">
        <v>246</v>
      </c>
      <c r="AF306" s="6">
        <f>774+459</f>
        <v>1233</v>
      </c>
      <c r="AG306" s="6"/>
      <c r="AH306" s="35">
        <f t="shared" si="104"/>
        <v>247</v>
      </c>
      <c r="AI306" s="6">
        <f>1021+459</f>
        <v>1480</v>
      </c>
      <c r="AJ306" s="6"/>
      <c r="AK306" s="35">
        <f t="shared" si="105"/>
        <v>247</v>
      </c>
      <c r="AL306" s="35">
        <f>1288+459</f>
        <v>1747</v>
      </c>
      <c r="AM306" s="35"/>
      <c r="AN306" s="35">
        <f t="shared" si="106"/>
        <v>267</v>
      </c>
      <c r="AO306" s="6">
        <f>1475+459</f>
        <v>1934</v>
      </c>
      <c r="AP306" s="6"/>
      <c r="AQ306" s="35">
        <f t="shared" si="109"/>
        <v>187</v>
      </c>
      <c r="AR306" s="6">
        <f>1498+459</f>
        <v>1957</v>
      </c>
      <c r="AS306" s="34"/>
      <c r="AT306" s="34">
        <f t="shared" si="107"/>
        <v>23</v>
      </c>
      <c r="AU306" s="35">
        <f>1498+459</f>
        <v>1957</v>
      </c>
      <c r="AV306" s="35"/>
      <c r="AW306" s="35">
        <f t="shared" si="108"/>
        <v>0</v>
      </c>
      <c r="AX306" s="6"/>
      <c r="AY306" s="6"/>
      <c r="AZ306" s="35"/>
      <c r="BA306" s="6">
        <f>1498+459</f>
        <v>1957</v>
      </c>
      <c r="BB306" s="6"/>
      <c r="BC306" s="35">
        <f t="shared" si="129"/>
        <v>0</v>
      </c>
      <c r="BD306" s="35">
        <f>1498+459</f>
        <v>1957</v>
      </c>
      <c r="BE306" s="6"/>
      <c r="BF306" s="35">
        <f t="shared" si="128"/>
        <v>0</v>
      </c>
      <c r="BG306" s="35">
        <f>1498+459</f>
        <v>1957</v>
      </c>
      <c r="BH306" s="6"/>
      <c r="BI306" s="35">
        <f t="shared" si="127"/>
        <v>0</v>
      </c>
      <c r="BJ306" s="6">
        <f>1498+459</f>
        <v>1957</v>
      </c>
      <c r="BK306" s="6"/>
      <c r="BL306" s="35">
        <f t="shared" si="110"/>
        <v>0</v>
      </c>
      <c r="BM306" s="6">
        <f>1498+459</f>
        <v>1957</v>
      </c>
      <c r="BN306" s="6"/>
      <c r="BO306" s="6">
        <f t="shared" si="111"/>
        <v>0</v>
      </c>
      <c r="BP306" s="35">
        <f>1498+459</f>
        <v>1957</v>
      </c>
      <c r="BQ306" s="35"/>
      <c r="BR306" s="6">
        <f t="shared" si="112"/>
        <v>0</v>
      </c>
      <c r="BS306" s="35"/>
      <c r="BT306" s="35"/>
      <c r="BU306" s="35"/>
      <c r="BV306" s="35">
        <f>1498+459</f>
        <v>1957</v>
      </c>
      <c r="BW306" s="35"/>
      <c r="BX306" s="6">
        <f t="shared" si="113"/>
        <v>0</v>
      </c>
      <c r="BY306" s="6">
        <f>1498+459</f>
        <v>1957</v>
      </c>
      <c r="BZ306" s="6"/>
      <c r="CA306" s="35">
        <f t="shared" si="114"/>
        <v>0</v>
      </c>
      <c r="CB306" s="6">
        <f>1498+459</f>
        <v>1957</v>
      </c>
      <c r="CC306" s="6"/>
      <c r="CD306" s="6">
        <f t="shared" si="115"/>
        <v>0</v>
      </c>
      <c r="CE306" s="6">
        <f>1498+459</f>
        <v>1957</v>
      </c>
      <c r="CF306" s="6"/>
      <c r="CG306" s="6">
        <f t="shared" si="116"/>
        <v>0</v>
      </c>
      <c r="CH306" s="6">
        <f>1498+459</f>
        <v>1957</v>
      </c>
      <c r="CI306" s="6"/>
      <c r="CJ306" s="6">
        <f t="shared" si="117"/>
        <v>0</v>
      </c>
      <c r="CK306" s="6">
        <f>1498+459</f>
        <v>1957</v>
      </c>
      <c r="CL306" s="6"/>
      <c r="CM306" s="6">
        <f t="shared" si="118"/>
        <v>0</v>
      </c>
      <c r="CN306" s="6"/>
      <c r="CO306" s="6"/>
      <c r="CP306" s="6"/>
      <c r="CQ306" s="6">
        <f>1498+459</f>
        <v>1957</v>
      </c>
      <c r="CR306" s="6"/>
      <c r="CS306" s="6">
        <f t="shared" si="119"/>
        <v>0</v>
      </c>
      <c r="CT306" s="6">
        <f>1498+459</f>
        <v>1957</v>
      </c>
      <c r="CU306" s="6"/>
      <c r="CV306" s="6">
        <f t="shared" si="120"/>
        <v>0</v>
      </c>
      <c r="CW306" s="6">
        <f>1498+459</f>
        <v>1957</v>
      </c>
      <c r="CX306" s="6"/>
      <c r="CY306" s="6">
        <f t="shared" si="121"/>
        <v>0</v>
      </c>
      <c r="CZ306" s="6">
        <f>1498+459</f>
        <v>1957</v>
      </c>
      <c r="DA306" s="6"/>
      <c r="DB306" s="6">
        <f t="shared" si="122"/>
        <v>0</v>
      </c>
      <c r="DC306" s="6">
        <f>1498+459</f>
        <v>1957</v>
      </c>
      <c r="DD306" s="6"/>
      <c r="DE306" s="6">
        <f t="shared" si="123"/>
        <v>0</v>
      </c>
      <c r="DF306" s="6">
        <f>1498+459</f>
        <v>1957</v>
      </c>
      <c r="DG306" s="6"/>
      <c r="DH306" s="6">
        <f t="shared" si="124"/>
        <v>0</v>
      </c>
      <c r="DI306" s="6"/>
      <c r="DJ306" s="10"/>
      <c r="DK306" s="6"/>
      <c r="DL306" s="6">
        <f>1498+459</f>
        <v>1957</v>
      </c>
      <c r="DM306" s="10"/>
      <c r="DN306" s="6">
        <f t="shared" si="125"/>
        <v>0</v>
      </c>
      <c r="DO306" s="6">
        <f>1498+459</f>
        <v>1957</v>
      </c>
      <c r="DP306" s="10"/>
      <c r="DQ306" s="6">
        <f t="shared" si="126"/>
        <v>0</v>
      </c>
    </row>
    <row r="307" spans="1:123">
      <c r="A307" s="6" t="s">
        <v>322</v>
      </c>
      <c r="B307" s="6">
        <v>2041</v>
      </c>
      <c r="C307" s="10"/>
      <c r="D307" s="6">
        <v>209</v>
      </c>
      <c r="E307" s="33" t="s">
        <v>246</v>
      </c>
      <c r="F307" s="33" t="s">
        <v>246</v>
      </c>
      <c r="G307" s="33" t="s">
        <v>246</v>
      </c>
      <c r="H307" s="33" t="s">
        <v>246</v>
      </c>
      <c r="I307" s="33" t="s">
        <v>246</v>
      </c>
      <c r="J307" s="33" t="s">
        <v>246</v>
      </c>
      <c r="K307" s="33" t="s">
        <v>246</v>
      </c>
      <c r="L307" s="33" t="s">
        <v>246</v>
      </c>
      <c r="M307" s="33" t="s">
        <v>246</v>
      </c>
      <c r="N307" s="33" t="s">
        <v>246</v>
      </c>
      <c r="O307" s="33" t="s">
        <v>246</v>
      </c>
      <c r="P307" s="33" t="s">
        <v>246</v>
      </c>
      <c r="Q307" s="33" t="s">
        <v>246</v>
      </c>
      <c r="R307" s="33" t="s">
        <v>246</v>
      </c>
      <c r="S307" s="33" t="s">
        <v>246</v>
      </c>
      <c r="T307" s="33" t="s">
        <v>246</v>
      </c>
      <c r="U307" s="33" t="s">
        <v>246</v>
      </c>
      <c r="V307" s="33" t="s">
        <v>246</v>
      </c>
      <c r="W307" s="33" t="s">
        <v>246</v>
      </c>
      <c r="X307" s="33" t="s">
        <v>246</v>
      </c>
      <c r="Y307" s="33" t="s">
        <v>246</v>
      </c>
      <c r="Z307" s="33" t="s">
        <v>246</v>
      </c>
      <c r="AA307" s="33" t="s">
        <v>246</v>
      </c>
      <c r="AB307" s="33" t="s">
        <v>246</v>
      </c>
      <c r="AC307" s="33" t="s">
        <v>246</v>
      </c>
      <c r="AD307" s="33" t="s">
        <v>246</v>
      </c>
      <c r="AE307" s="33" t="s">
        <v>246</v>
      </c>
      <c r="AF307" s="6">
        <v>2263</v>
      </c>
      <c r="AG307" s="6"/>
      <c r="AH307" s="35">
        <f t="shared" si="104"/>
        <v>222</v>
      </c>
      <c r="AI307" s="6">
        <v>2489</v>
      </c>
      <c r="AJ307" s="6"/>
      <c r="AK307" s="35">
        <f t="shared" si="105"/>
        <v>226</v>
      </c>
      <c r="AL307" s="35">
        <v>2557</v>
      </c>
      <c r="AM307" s="35"/>
      <c r="AN307" s="35">
        <f t="shared" si="106"/>
        <v>68</v>
      </c>
      <c r="AO307" s="6">
        <v>2557</v>
      </c>
      <c r="AP307" s="6"/>
      <c r="AQ307" s="35">
        <f t="shared" si="109"/>
        <v>0</v>
      </c>
      <c r="AR307" s="6">
        <v>2557</v>
      </c>
      <c r="AS307" s="34"/>
      <c r="AT307" s="34">
        <f t="shared" si="107"/>
        <v>0</v>
      </c>
      <c r="AU307" s="35">
        <v>2557</v>
      </c>
      <c r="AV307" s="35"/>
      <c r="AW307" s="35">
        <f t="shared" si="108"/>
        <v>0</v>
      </c>
      <c r="AX307" s="6"/>
      <c r="AY307" s="6"/>
      <c r="AZ307" s="35"/>
      <c r="BA307" s="6">
        <v>2557</v>
      </c>
      <c r="BB307" s="6"/>
      <c r="BC307" s="35">
        <f t="shared" si="129"/>
        <v>0</v>
      </c>
      <c r="BD307" s="35">
        <v>2557</v>
      </c>
      <c r="BE307" s="6"/>
      <c r="BF307" s="35">
        <f t="shared" si="128"/>
        <v>0</v>
      </c>
      <c r="BG307" s="35">
        <v>2557</v>
      </c>
      <c r="BH307" s="6"/>
      <c r="BI307" s="35">
        <f t="shared" si="127"/>
        <v>0</v>
      </c>
      <c r="BJ307" s="6">
        <v>2557</v>
      </c>
      <c r="BK307" s="6"/>
      <c r="BL307" s="35">
        <f t="shared" si="110"/>
        <v>0</v>
      </c>
      <c r="BM307" s="6">
        <v>2557</v>
      </c>
      <c r="BN307" s="6"/>
      <c r="BO307" s="6">
        <f t="shared" si="111"/>
        <v>0</v>
      </c>
      <c r="BP307" s="35">
        <v>2557</v>
      </c>
      <c r="BQ307" s="35"/>
      <c r="BR307" s="6">
        <f t="shared" si="112"/>
        <v>0</v>
      </c>
      <c r="BS307" s="35"/>
      <c r="BT307" s="35"/>
      <c r="BU307" s="35"/>
      <c r="BV307" s="35">
        <v>2557</v>
      </c>
      <c r="BW307" s="35"/>
      <c r="BX307" s="6">
        <f t="shared" si="113"/>
        <v>0</v>
      </c>
      <c r="BY307" s="6">
        <v>2557</v>
      </c>
      <c r="BZ307" s="6"/>
      <c r="CA307" s="35">
        <f t="shared" si="114"/>
        <v>0</v>
      </c>
      <c r="CB307" s="6">
        <v>2557</v>
      </c>
      <c r="CC307" s="6"/>
      <c r="CD307" s="6">
        <f t="shared" si="115"/>
        <v>0</v>
      </c>
      <c r="CE307" s="6">
        <v>2557</v>
      </c>
      <c r="CF307" s="6"/>
      <c r="CG307" s="6">
        <f t="shared" si="116"/>
        <v>0</v>
      </c>
      <c r="CH307" s="6">
        <v>2557</v>
      </c>
      <c r="CI307" s="6"/>
      <c r="CJ307" s="6">
        <f t="shared" si="117"/>
        <v>0</v>
      </c>
      <c r="CK307" s="6">
        <v>2557</v>
      </c>
      <c r="CL307" s="6"/>
      <c r="CM307" s="6">
        <f t="shared" si="118"/>
        <v>0</v>
      </c>
      <c r="CN307" s="6"/>
      <c r="CO307" s="6"/>
      <c r="CP307" s="6"/>
      <c r="CQ307" s="6">
        <v>2557</v>
      </c>
      <c r="CR307" s="6"/>
      <c r="CS307" s="6">
        <f t="shared" si="119"/>
        <v>0</v>
      </c>
      <c r="CT307" s="6">
        <v>2557</v>
      </c>
      <c r="CU307" s="6"/>
      <c r="CV307" s="6">
        <f t="shared" si="120"/>
        <v>0</v>
      </c>
      <c r="CW307" s="6">
        <v>2557</v>
      </c>
      <c r="CX307" s="6"/>
      <c r="CY307" s="6">
        <f t="shared" si="121"/>
        <v>0</v>
      </c>
      <c r="CZ307" s="6">
        <v>2557</v>
      </c>
      <c r="DA307" s="6"/>
      <c r="DB307" s="6">
        <f t="shared" si="122"/>
        <v>0</v>
      </c>
      <c r="DC307" s="6">
        <v>2557</v>
      </c>
      <c r="DD307" s="6"/>
      <c r="DE307" s="6">
        <f t="shared" si="123"/>
        <v>0</v>
      </c>
      <c r="DF307" s="6">
        <v>2557</v>
      </c>
      <c r="DG307" s="6"/>
      <c r="DH307" s="6">
        <f t="shared" si="124"/>
        <v>0</v>
      </c>
      <c r="DI307" s="6"/>
      <c r="DJ307" s="10"/>
      <c r="DK307" s="6"/>
      <c r="DL307" s="6">
        <v>2557</v>
      </c>
      <c r="DM307" s="10"/>
      <c r="DN307" s="6">
        <f t="shared" si="125"/>
        <v>0</v>
      </c>
      <c r="DO307" s="6">
        <v>2557</v>
      </c>
      <c r="DP307" s="10"/>
      <c r="DQ307" s="6">
        <f t="shared" si="126"/>
        <v>0</v>
      </c>
    </row>
    <row r="308" spans="1:123">
      <c r="A308" s="6" t="s">
        <v>1</v>
      </c>
      <c r="B308" s="35"/>
      <c r="C308" s="35">
        <f>SUM(C5:C307)</f>
        <v>76562</v>
      </c>
      <c r="D308" s="35">
        <f>SUM(D5:D307)</f>
        <v>74714</v>
      </c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  <c r="AA308" s="142"/>
      <c r="AB308" s="142"/>
      <c r="AC308" s="142"/>
      <c r="AD308" s="142"/>
      <c r="AE308" s="142"/>
      <c r="AF308" s="35"/>
      <c r="AG308" s="35">
        <f t="shared" ref="AG308:AN308" si="130">SUBTOTAL(9,AG4:AG307)</f>
        <v>96446</v>
      </c>
      <c r="AH308" s="35">
        <f t="shared" si="130"/>
        <v>87314</v>
      </c>
      <c r="AI308" s="35"/>
      <c r="AJ308" s="35">
        <f t="shared" si="130"/>
        <v>84755</v>
      </c>
      <c r="AK308" s="35">
        <f t="shared" si="130"/>
        <v>82411</v>
      </c>
      <c r="AL308" s="35"/>
      <c r="AM308" s="35">
        <f t="shared" si="130"/>
        <v>71153</v>
      </c>
      <c r="AN308" s="35">
        <f t="shared" si="130"/>
        <v>85993</v>
      </c>
      <c r="AO308" s="35"/>
      <c r="AP308" s="35">
        <f>SUBTOTAL(9,AP5:AP307)</f>
        <v>83550</v>
      </c>
      <c r="AQ308" s="35">
        <f>SUBTOTAL(9,AQ5:AQ307)</f>
        <v>86360</v>
      </c>
      <c r="AR308" s="35"/>
      <c r="AS308" s="35">
        <f>SUBTOTAL(9,AS5:AS307)</f>
        <v>89963</v>
      </c>
      <c r="AT308" s="35">
        <f>SUBTOTAL(9,AT5:AT307)</f>
        <v>89074</v>
      </c>
      <c r="AU308" s="35"/>
      <c r="AV308" s="35">
        <f>SUBTOTAL(9,AV5:AV307)</f>
        <v>90568</v>
      </c>
      <c r="AW308" s="35">
        <f>SUBTOTAL(9,AW5:AW307)</f>
        <v>84323</v>
      </c>
      <c r="AX308" s="35"/>
      <c r="AY308" s="35">
        <f>SUBTOTAL(9,AY5:AY307)</f>
        <v>0</v>
      </c>
      <c r="AZ308" s="35">
        <f>SUBTOTAL(9,AZ5:AZ307)</f>
        <v>0</v>
      </c>
      <c r="BA308" s="35"/>
      <c r="BB308" s="35">
        <f>SUBTOTAL(9,BB5:BB307)</f>
        <v>89348</v>
      </c>
      <c r="BC308" s="35">
        <f>SUBTOTAL(9,BC5:BC307)</f>
        <v>91636</v>
      </c>
      <c r="BD308" s="35"/>
      <c r="BE308" s="35">
        <f>SUBTOTAL(9,BE5:BE307)</f>
        <v>88815</v>
      </c>
      <c r="BF308" s="35">
        <f>SUBTOTAL(9,BF5:BF307)</f>
        <v>92215</v>
      </c>
      <c r="BG308" s="35"/>
      <c r="BH308" s="35">
        <f>SUBTOTAL(9,BH5:BH307)</f>
        <v>80147</v>
      </c>
      <c r="BI308" s="35">
        <f>SUBTOTAL(9,BI5:BI307)</f>
        <v>93110</v>
      </c>
      <c r="BJ308" s="35"/>
      <c r="BK308" s="35">
        <f>SUBTOTAL(9,BK5:BK307)</f>
        <v>92155</v>
      </c>
      <c r="BL308" s="35">
        <f>SUBTOTAL(9,BL5:BL307)</f>
        <v>94519</v>
      </c>
      <c r="BM308" s="35"/>
      <c r="BN308" s="35">
        <f t="shared" ref="BN308:BU308" si="131">SUBTOTAL(9,BN5:BN307)</f>
        <v>97484</v>
      </c>
      <c r="BO308" s="35">
        <f t="shared" si="131"/>
        <v>95028</v>
      </c>
      <c r="BP308" s="35"/>
      <c r="BQ308" s="35">
        <f t="shared" si="131"/>
        <v>93605</v>
      </c>
      <c r="BR308" s="35">
        <f t="shared" si="131"/>
        <v>88083</v>
      </c>
      <c r="BS308" s="35">
        <f t="shared" si="131"/>
        <v>0</v>
      </c>
      <c r="BT308" s="35">
        <f t="shared" si="131"/>
        <v>0</v>
      </c>
      <c r="BU308" s="35">
        <f t="shared" si="131"/>
        <v>0</v>
      </c>
      <c r="BV308" s="35"/>
      <c r="BW308" s="35">
        <f>SUBTOTAL(9,BW5:BW307)</f>
        <v>61912</v>
      </c>
      <c r="BX308" s="35">
        <f>SUBTOTAL(9,BX5:BX307)</f>
        <v>68673</v>
      </c>
      <c r="BY308" s="35"/>
      <c r="BZ308" s="35">
        <f t="shared" ref="BZ308:DQ308" si="132">SUBTOTAL(9,BZ5:BZ307)</f>
        <v>75984</v>
      </c>
      <c r="CA308" s="35">
        <f t="shared" si="132"/>
        <v>65504</v>
      </c>
      <c r="CB308" s="35"/>
      <c r="CC308" s="35">
        <f t="shared" si="132"/>
        <v>84462</v>
      </c>
      <c r="CD308" s="35">
        <f t="shared" si="132"/>
        <v>63767</v>
      </c>
      <c r="CE308" s="35"/>
      <c r="CF308" s="35">
        <f>SUBTOTAL(9,CF5:CF307)</f>
        <v>60493</v>
      </c>
      <c r="CG308" s="35">
        <f t="shared" si="132"/>
        <v>58542</v>
      </c>
      <c r="CH308" s="35"/>
      <c r="CI308" s="35">
        <f t="shared" si="132"/>
        <v>58802</v>
      </c>
      <c r="CJ308" s="35">
        <f t="shared" si="132"/>
        <v>55965</v>
      </c>
      <c r="CK308" s="35"/>
      <c r="CL308" s="35">
        <f>SUBTOTAL(9,CL5:CL307)</f>
        <v>66470</v>
      </c>
      <c r="CM308" s="35">
        <f>SUBTOTAL(9,CM5:CM307)</f>
        <v>55503</v>
      </c>
      <c r="CN308" s="35"/>
      <c r="CO308" s="35">
        <f t="shared" si="132"/>
        <v>0</v>
      </c>
      <c r="CP308" s="35">
        <f t="shared" si="132"/>
        <v>0</v>
      </c>
      <c r="CQ308" s="35"/>
      <c r="CR308" s="35">
        <f t="shared" si="132"/>
        <v>50126</v>
      </c>
      <c r="CS308" s="35">
        <f t="shared" si="132"/>
        <v>72140</v>
      </c>
      <c r="CT308" s="35"/>
      <c r="CU308" s="35">
        <f>SUBTOTAL(9,CU5:CU307)</f>
        <v>62977</v>
      </c>
      <c r="CV308" s="35">
        <f>SUBTOTAL(9,CV5:CV307)</f>
        <v>71428</v>
      </c>
      <c r="CW308" s="35"/>
      <c r="CX308" s="35">
        <f t="shared" si="132"/>
        <v>63407</v>
      </c>
      <c r="CY308" s="35">
        <f t="shared" si="132"/>
        <v>73517</v>
      </c>
      <c r="CZ308" s="35"/>
      <c r="DA308" s="35">
        <f>SUBTOTAL(9,DA5:DA307)</f>
        <v>65855</v>
      </c>
      <c r="DB308" s="35">
        <f>SUBTOTAL(9,DB5:DB307)</f>
        <v>73690</v>
      </c>
      <c r="DC308" s="35"/>
      <c r="DD308" s="35">
        <f t="shared" si="132"/>
        <v>101816</v>
      </c>
      <c r="DE308" s="35">
        <f t="shared" si="132"/>
        <v>75784</v>
      </c>
      <c r="DF308" s="35"/>
      <c r="DG308" s="35">
        <f t="shared" si="132"/>
        <v>57538</v>
      </c>
      <c r="DH308" s="35">
        <f t="shared" si="132"/>
        <v>73247</v>
      </c>
      <c r="DI308" s="35">
        <f t="shared" si="132"/>
        <v>0</v>
      </c>
      <c r="DJ308" s="35">
        <f t="shared" si="132"/>
        <v>0</v>
      </c>
      <c r="DK308" s="35">
        <f t="shared" si="132"/>
        <v>0</v>
      </c>
      <c r="DL308" s="35"/>
      <c r="DM308" s="35">
        <f t="shared" si="132"/>
        <v>78686</v>
      </c>
      <c r="DN308" s="35">
        <f t="shared" si="132"/>
        <v>77680</v>
      </c>
      <c r="DO308" s="35"/>
      <c r="DP308" s="35">
        <f t="shared" si="132"/>
        <v>59261</v>
      </c>
      <c r="DQ308" s="35">
        <f t="shared" si="132"/>
        <v>72230</v>
      </c>
    </row>
    <row r="309" spans="1:123">
      <c r="A309" s="5"/>
      <c r="B309" s="29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R309" s="29"/>
      <c r="BD309" s="29"/>
      <c r="BF309" s="29"/>
      <c r="BG309" s="29"/>
      <c r="BJ309" s="29"/>
      <c r="BK309" s="29"/>
      <c r="BL309" s="29"/>
      <c r="BV309" s="29"/>
      <c r="BW309" s="29"/>
      <c r="BX309" s="29"/>
      <c r="BY309" s="29"/>
      <c r="BZ309" s="29"/>
      <c r="CA309" s="29"/>
      <c r="CC309" s="29"/>
      <c r="CD309" s="29"/>
      <c r="CE309" s="29"/>
      <c r="CF309" s="29"/>
      <c r="CG309" s="29"/>
      <c r="CI309" s="29"/>
      <c r="CJ309" s="29"/>
      <c r="CM309" s="29"/>
      <c r="CO309" s="29"/>
      <c r="CP309" s="29"/>
      <c r="CR309" s="29"/>
      <c r="CS309" s="29"/>
      <c r="CU309" s="29"/>
      <c r="CV309" s="29"/>
      <c r="DA309" s="29"/>
      <c r="DB309" s="29"/>
    </row>
    <row r="310" spans="1:123">
      <c r="A310" s="5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N310" s="29"/>
      <c r="BI310" s="29"/>
      <c r="BJ310" s="29"/>
      <c r="BO310" s="29"/>
      <c r="BW310" s="29"/>
      <c r="BX310" s="29"/>
      <c r="BZ310" s="29"/>
      <c r="CA310" s="29"/>
      <c r="CC310" s="29"/>
      <c r="CD310" s="29"/>
      <c r="CF310" s="29"/>
      <c r="CG310" s="29"/>
      <c r="CJ310" s="29"/>
      <c r="CP310" s="29"/>
    </row>
    <row r="311" spans="1:123">
      <c r="B311" s="9"/>
      <c r="AF311" s="9" t="s">
        <v>389</v>
      </c>
      <c r="AI311" s="9" t="s">
        <v>390</v>
      </c>
      <c r="AL311" s="9" t="s">
        <v>391</v>
      </c>
      <c r="AO311" s="9" t="s">
        <v>392</v>
      </c>
      <c r="AR311" s="9" t="s">
        <v>393</v>
      </c>
      <c r="AU311" s="9" t="s">
        <v>394</v>
      </c>
      <c r="AX311" s="4" t="s">
        <v>395</v>
      </c>
      <c r="BA311" s="9" t="s">
        <v>396</v>
      </c>
      <c r="BD311" s="9" t="s">
        <v>397</v>
      </c>
      <c r="BG311" s="9" t="s">
        <v>398</v>
      </c>
      <c r="BJ311" s="9" t="s">
        <v>399</v>
      </c>
      <c r="BM311" s="9" t="s">
        <v>400</v>
      </c>
      <c r="BP311" s="9" t="s">
        <v>401</v>
      </c>
      <c r="BS311" s="9" t="s">
        <v>402</v>
      </c>
      <c r="BV311" s="9" t="s">
        <v>403</v>
      </c>
      <c r="BY311" s="9" t="s">
        <v>404</v>
      </c>
      <c r="CB311" s="9" t="s">
        <v>405</v>
      </c>
      <c r="CE311" s="9" t="s">
        <v>406</v>
      </c>
      <c r="CH311" s="9" t="s">
        <v>407</v>
      </c>
      <c r="CK311" s="9" t="s">
        <v>408</v>
      </c>
      <c r="CN311" s="9" t="s">
        <v>409</v>
      </c>
      <c r="CQ311" s="9" t="s">
        <v>410</v>
      </c>
      <c r="CT311" s="9" t="s">
        <v>411</v>
      </c>
      <c r="CW311" s="9" t="s">
        <v>412</v>
      </c>
      <c r="CZ311" s="9" t="s">
        <v>413</v>
      </c>
      <c r="DC311" s="9" t="s">
        <v>414</v>
      </c>
      <c r="DF311" s="4" t="s">
        <v>415</v>
      </c>
      <c r="DH311" s="9"/>
      <c r="DI311" s="4" t="s">
        <v>416</v>
      </c>
      <c r="DK311" s="9"/>
      <c r="DL311" s="4" t="s">
        <v>417</v>
      </c>
      <c r="DN311" s="9"/>
      <c r="DO311" s="4" t="s">
        <v>418</v>
      </c>
      <c r="DQ311" s="9"/>
    </row>
    <row r="312" spans="1:123" s="4" customFormat="1">
      <c r="A312" s="23"/>
      <c r="B312" s="24"/>
      <c r="C312" s="24"/>
      <c r="D312" s="2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  <c r="AE312" s="144"/>
      <c r="AF312" s="24" t="s">
        <v>41</v>
      </c>
      <c r="AG312" s="24" t="s">
        <v>4</v>
      </c>
      <c r="AH312" s="24" t="s">
        <v>2</v>
      </c>
      <c r="AI312" s="24" t="s">
        <v>41</v>
      </c>
      <c r="AJ312" s="24" t="s">
        <v>4</v>
      </c>
      <c r="AK312" s="24" t="s">
        <v>2</v>
      </c>
      <c r="AL312" s="24" t="s">
        <v>41</v>
      </c>
      <c r="AM312" s="24" t="s">
        <v>4</v>
      </c>
      <c r="AN312" s="24" t="s">
        <v>2</v>
      </c>
      <c r="AO312" s="24" t="s">
        <v>41</v>
      </c>
      <c r="AP312" s="24" t="s">
        <v>4</v>
      </c>
      <c r="AQ312" s="24" t="s">
        <v>2</v>
      </c>
      <c r="AR312" s="24" t="s">
        <v>41</v>
      </c>
      <c r="AS312" s="24" t="s">
        <v>4</v>
      </c>
      <c r="AT312" s="24" t="s">
        <v>2</v>
      </c>
      <c r="AU312" s="24" t="s">
        <v>41</v>
      </c>
      <c r="AV312" s="24" t="s">
        <v>4</v>
      </c>
      <c r="AW312" s="24" t="s">
        <v>2</v>
      </c>
      <c r="AX312" s="24" t="s">
        <v>41</v>
      </c>
      <c r="AY312" s="24" t="s">
        <v>4</v>
      </c>
      <c r="AZ312" s="24" t="s">
        <v>2</v>
      </c>
      <c r="BA312" s="24" t="s">
        <v>41</v>
      </c>
      <c r="BB312" s="24" t="s">
        <v>4</v>
      </c>
      <c r="BC312" s="24" t="s">
        <v>2</v>
      </c>
      <c r="BD312" s="24" t="s">
        <v>41</v>
      </c>
      <c r="BE312" s="24" t="s">
        <v>4</v>
      </c>
      <c r="BF312" s="24" t="s">
        <v>2</v>
      </c>
      <c r="BG312" s="24" t="s">
        <v>41</v>
      </c>
      <c r="BH312" s="24" t="s">
        <v>4</v>
      </c>
      <c r="BI312" s="24" t="s">
        <v>2</v>
      </c>
      <c r="BJ312" s="24" t="s">
        <v>41</v>
      </c>
      <c r="BK312" s="24" t="s">
        <v>4</v>
      </c>
      <c r="BL312" s="24" t="s">
        <v>2</v>
      </c>
      <c r="BM312" s="24" t="s">
        <v>41</v>
      </c>
      <c r="BN312" s="24" t="s">
        <v>4</v>
      </c>
      <c r="BO312" s="24" t="s">
        <v>2</v>
      </c>
      <c r="BP312" s="24" t="s">
        <v>41</v>
      </c>
      <c r="BQ312" s="24" t="s">
        <v>4</v>
      </c>
      <c r="BR312" s="24" t="s">
        <v>2</v>
      </c>
      <c r="BS312" s="24" t="s">
        <v>41</v>
      </c>
      <c r="BT312" s="24" t="s">
        <v>4</v>
      </c>
      <c r="BU312" s="24" t="s">
        <v>2</v>
      </c>
      <c r="BV312" s="24" t="s">
        <v>41</v>
      </c>
      <c r="BW312" s="24" t="s">
        <v>4</v>
      </c>
      <c r="BX312" s="24" t="s">
        <v>2</v>
      </c>
      <c r="BY312" s="24" t="s">
        <v>41</v>
      </c>
      <c r="BZ312" s="24" t="s">
        <v>4</v>
      </c>
      <c r="CA312" s="24" t="s">
        <v>2</v>
      </c>
      <c r="CB312" s="24" t="s">
        <v>41</v>
      </c>
      <c r="CC312" s="24" t="s">
        <v>4</v>
      </c>
      <c r="CD312" s="24" t="s">
        <v>2</v>
      </c>
      <c r="CE312" s="24" t="s">
        <v>41</v>
      </c>
      <c r="CF312" s="24" t="s">
        <v>4</v>
      </c>
      <c r="CG312" s="24" t="s">
        <v>2</v>
      </c>
      <c r="CH312" s="24" t="s">
        <v>41</v>
      </c>
      <c r="CI312" s="24" t="s">
        <v>4</v>
      </c>
      <c r="CJ312" s="24" t="s">
        <v>2</v>
      </c>
      <c r="CK312" s="24" t="s">
        <v>41</v>
      </c>
      <c r="CL312" s="24" t="s">
        <v>4</v>
      </c>
      <c r="CM312" s="24" t="s">
        <v>2</v>
      </c>
      <c r="CN312" s="24" t="s">
        <v>41</v>
      </c>
      <c r="CO312" s="24" t="s">
        <v>4</v>
      </c>
      <c r="CP312" s="24" t="s">
        <v>2</v>
      </c>
      <c r="CQ312" s="24" t="s">
        <v>41</v>
      </c>
      <c r="CR312" s="24" t="s">
        <v>4</v>
      </c>
      <c r="CS312" s="24" t="s">
        <v>2</v>
      </c>
      <c r="CT312" s="24" t="s">
        <v>41</v>
      </c>
      <c r="CU312" s="24" t="s">
        <v>4</v>
      </c>
      <c r="CV312" s="24" t="s">
        <v>2</v>
      </c>
      <c r="CW312" s="24" t="s">
        <v>41</v>
      </c>
      <c r="CX312" s="24" t="s">
        <v>4</v>
      </c>
      <c r="CY312" s="24" t="s">
        <v>2</v>
      </c>
      <c r="CZ312" s="24" t="s">
        <v>41</v>
      </c>
      <c r="DA312" s="24" t="s">
        <v>4</v>
      </c>
      <c r="DB312" s="24" t="s">
        <v>2</v>
      </c>
      <c r="DC312" s="24" t="s">
        <v>41</v>
      </c>
      <c r="DD312" s="24" t="s">
        <v>4</v>
      </c>
      <c r="DE312" s="24" t="s">
        <v>2</v>
      </c>
      <c r="DF312" s="24" t="s">
        <v>41</v>
      </c>
      <c r="DG312" s="24" t="s">
        <v>4</v>
      </c>
      <c r="DH312" s="24" t="s">
        <v>2</v>
      </c>
      <c r="DI312" s="24" t="s">
        <v>41</v>
      </c>
      <c r="DJ312" s="24" t="s">
        <v>4</v>
      </c>
      <c r="DK312" s="24" t="s">
        <v>2</v>
      </c>
      <c r="DL312" s="24" t="s">
        <v>41</v>
      </c>
      <c r="DM312" s="24" t="s">
        <v>4</v>
      </c>
      <c r="DN312" s="24" t="s">
        <v>2</v>
      </c>
      <c r="DO312" s="24" t="s">
        <v>41</v>
      </c>
      <c r="DP312" s="24" t="s">
        <v>4</v>
      </c>
      <c r="DQ312" s="24" t="s">
        <v>2</v>
      </c>
    </row>
    <row r="313" spans="1:123" s="4" customFormat="1" ht="16.5" customHeight="1">
      <c r="A313" s="73" t="s">
        <v>143</v>
      </c>
      <c r="B313" s="25"/>
      <c r="C313" s="25"/>
      <c r="D313" s="2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  <c r="AB313" s="145"/>
      <c r="AC313" s="145"/>
      <c r="AD313" s="145"/>
      <c r="AE313" s="145"/>
      <c r="AF313" s="25">
        <v>92</v>
      </c>
      <c r="AG313" s="25">
        <v>50680</v>
      </c>
      <c r="AH313" s="25">
        <v>36211</v>
      </c>
      <c r="AI313" s="25">
        <v>97</v>
      </c>
      <c r="AJ313" s="25">
        <v>29540</v>
      </c>
      <c r="AK313" s="25">
        <v>35058</v>
      </c>
      <c r="AL313" s="25">
        <v>101</v>
      </c>
      <c r="AM313" s="25">
        <v>29014</v>
      </c>
      <c r="AN313" s="25">
        <v>37018</v>
      </c>
      <c r="AO313" s="25">
        <v>104</v>
      </c>
      <c r="AP313" s="25">
        <v>25679</v>
      </c>
      <c r="AQ313" s="25">
        <v>37576</v>
      </c>
      <c r="AR313" s="25">
        <v>104</v>
      </c>
      <c r="AS313" s="25">
        <v>41457</v>
      </c>
      <c r="AT313" s="25">
        <v>38353</v>
      </c>
      <c r="AU313" s="25">
        <v>108</v>
      </c>
      <c r="AV313" s="25">
        <v>44789</v>
      </c>
      <c r="AW313" s="25">
        <v>37380</v>
      </c>
      <c r="AX313" s="25"/>
      <c r="AY313" s="25"/>
      <c r="AZ313" s="25"/>
      <c r="BA313" s="25">
        <v>115</v>
      </c>
      <c r="BB313" s="25">
        <v>30835</v>
      </c>
      <c r="BC313" s="25">
        <v>42506</v>
      </c>
      <c r="BD313" s="25">
        <v>123</v>
      </c>
      <c r="BE313" s="25">
        <v>35776</v>
      </c>
      <c r="BF313" s="25">
        <v>45337</v>
      </c>
      <c r="BG313" s="25">
        <v>130</v>
      </c>
      <c r="BH313" s="25">
        <v>37841</v>
      </c>
      <c r="BI313" s="25">
        <v>48173</v>
      </c>
      <c r="BJ313" s="25">
        <v>134</v>
      </c>
      <c r="BK313" s="25">
        <v>51557</v>
      </c>
      <c r="BL313" s="25">
        <v>50196</v>
      </c>
      <c r="BM313" s="25">
        <v>135</v>
      </c>
      <c r="BN313" s="25">
        <v>50455</v>
      </c>
      <c r="BO313" s="25">
        <v>50839</v>
      </c>
      <c r="BP313" s="25">
        <v>135</v>
      </c>
      <c r="BQ313" s="25">
        <v>45675</v>
      </c>
      <c r="BR313" s="25">
        <v>48268</v>
      </c>
      <c r="BS313" s="25"/>
      <c r="BT313" s="25"/>
      <c r="BU313" s="25"/>
      <c r="BV313" s="25">
        <v>136</v>
      </c>
      <c r="BW313" s="25">
        <v>44943</v>
      </c>
      <c r="BX313" s="25">
        <v>51602</v>
      </c>
      <c r="BY313" s="25">
        <v>139</v>
      </c>
      <c r="BZ313" s="25">
        <v>61840</v>
      </c>
      <c r="CA313" s="25">
        <v>52007</v>
      </c>
      <c r="CB313" s="25">
        <v>140</v>
      </c>
      <c r="CC313" s="25">
        <v>53539</v>
      </c>
      <c r="CD313" s="25">
        <v>53268</v>
      </c>
      <c r="CE313" s="91">
        <v>140</v>
      </c>
      <c r="CF313" s="91">
        <v>44864</v>
      </c>
      <c r="CG313" s="91">
        <v>53276</v>
      </c>
      <c r="CH313" s="25">
        <v>140</v>
      </c>
      <c r="CI313" s="25">
        <v>50889</v>
      </c>
      <c r="CJ313" s="25">
        <v>53262</v>
      </c>
      <c r="CK313" s="25">
        <v>140</v>
      </c>
      <c r="CL313" s="25">
        <v>62103</v>
      </c>
      <c r="CM313" s="25">
        <v>51858</v>
      </c>
      <c r="CN313" s="25"/>
      <c r="CO313" s="25"/>
      <c r="CP313" s="25"/>
      <c r="CQ313" s="25">
        <v>140</v>
      </c>
      <c r="CR313" s="25">
        <v>49574</v>
      </c>
      <c r="CS313" s="25">
        <v>53303</v>
      </c>
      <c r="CT313" s="25">
        <v>146</v>
      </c>
      <c r="CU313" s="25">
        <v>55967</v>
      </c>
      <c r="CV313" s="25">
        <v>53950</v>
      </c>
      <c r="CW313" s="25">
        <v>150</v>
      </c>
      <c r="CX313" s="25">
        <v>54922</v>
      </c>
      <c r="CY313" s="25">
        <v>56050</v>
      </c>
      <c r="CZ313" s="25">
        <v>149</v>
      </c>
      <c r="DA313" s="25">
        <v>47989</v>
      </c>
      <c r="DB313" s="25">
        <v>56171</v>
      </c>
      <c r="DC313" s="25">
        <v>149</v>
      </c>
      <c r="DD313" s="25">
        <v>57056</v>
      </c>
      <c r="DE313" s="25">
        <v>55674</v>
      </c>
      <c r="DF313" s="25">
        <v>149</v>
      </c>
      <c r="DG313" s="25">
        <v>46266</v>
      </c>
      <c r="DH313" s="25">
        <v>53252</v>
      </c>
      <c r="DI313" s="25"/>
      <c r="DJ313" s="25"/>
      <c r="DK313" s="25"/>
      <c r="DL313" s="25">
        <v>149</v>
      </c>
      <c r="DM313" s="25">
        <v>66095</v>
      </c>
      <c r="DN313" s="25">
        <v>56013</v>
      </c>
      <c r="DO313" s="25">
        <v>150</v>
      </c>
      <c r="DP313" s="25">
        <v>50709</v>
      </c>
      <c r="DQ313" s="25">
        <v>52703</v>
      </c>
    </row>
    <row r="314" spans="1:123" s="28" customFormat="1">
      <c r="A314" s="74" t="s">
        <v>312</v>
      </c>
      <c r="B314" s="27"/>
      <c r="C314" s="27"/>
      <c r="D314" s="27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  <c r="AE314" s="146"/>
      <c r="AF314" s="27">
        <v>76</v>
      </c>
      <c r="AG314" s="27">
        <v>20502</v>
      </c>
      <c r="AH314" s="27">
        <v>31054</v>
      </c>
      <c r="AI314" s="27">
        <v>72</v>
      </c>
      <c r="AJ314" s="27">
        <v>35892</v>
      </c>
      <c r="AK314" s="27">
        <v>26928</v>
      </c>
      <c r="AL314" s="27">
        <v>72</v>
      </c>
      <c r="AM314" s="27">
        <v>23250</v>
      </c>
      <c r="AN314" s="27">
        <v>27366</v>
      </c>
      <c r="AO314" s="27">
        <v>72</v>
      </c>
      <c r="AP314" s="27">
        <v>36134</v>
      </c>
      <c r="AQ314" s="27">
        <v>26977</v>
      </c>
      <c r="AR314" s="27">
        <v>72</v>
      </c>
      <c r="AS314" s="27">
        <v>23353</v>
      </c>
      <c r="AT314" s="27">
        <v>26821</v>
      </c>
      <c r="AU314" s="27">
        <v>68</v>
      </c>
      <c r="AV314" s="27">
        <f>1343+27147</f>
        <v>28490</v>
      </c>
      <c r="AW314" s="27">
        <f>30+23803</f>
        <v>23833</v>
      </c>
      <c r="AX314" s="27"/>
      <c r="AY314" s="27"/>
      <c r="AZ314" s="27"/>
      <c r="BA314" s="27">
        <v>64</v>
      </c>
      <c r="BB314" s="27">
        <v>28654</v>
      </c>
      <c r="BC314" s="27">
        <v>23807</v>
      </c>
      <c r="BD314" s="76">
        <v>60</v>
      </c>
      <c r="BE314" s="76">
        <v>26001</v>
      </c>
      <c r="BF314" s="76">
        <v>22170</v>
      </c>
      <c r="BG314" s="27">
        <v>55</v>
      </c>
      <c r="BH314" s="27">
        <v>12963</v>
      </c>
      <c r="BI314" s="27">
        <v>20739</v>
      </c>
      <c r="BJ314" s="27">
        <v>53</v>
      </c>
      <c r="BK314" s="27">
        <f>3218+22507</f>
        <v>25725</v>
      </c>
      <c r="BL314" s="27">
        <f>210+18895</f>
        <v>19105</v>
      </c>
      <c r="BM314" s="27">
        <v>52</v>
      </c>
      <c r="BN314" s="27">
        <v>22797</v>
      </c>
      <c r="BO314" s="27">
        <v>18732</v>
      </c>
      <c r="BP314" s="27">
        <v>52</v>
      </c>
      <c r="BQ314" s="27">
        <v>17202</v>
      </c>
      <c r="BR314" s="27">
        <v>18032</v>
      </c>
      <c r="BS314" s="27"/>
      <c r="BT314" s="27"/>
      <c r="BU314" s="27"/>
      <c r="BV314" s="27">
        <v>51</v>
      </c>
      <c r="BW314" s="27">
        <v>14314</v>
      </c>
      <c r="BX314" s="27">
        <v>16330</v>
      </c>
      <c r="BY314" s="27">
        <v>48</v>
      </c>
      <c r="BZ314" s="27">
        <f>3350+9729</f>
        <v>13079</v>
      </c>
      <c r="CA314" s="27">
        <f>135+13041</f>
        <v>13176</v>
      </c>
      <c r="CB314" s="27">
        <v>47</v>
      </c>
      <c r="CC314" s="27">
        <v>30923</v>
      </c>
      <c r="CD314" s="27">
        <v>9843</v>
      </c>
      <c r="CE314" s="27">
        <v>47</v>
      </c>
      <c r="CF314" s="27">
        <v>15211</v>
      </c>
      <c r="CG314" s="27">
        <v>4035</v>
      </c>
      <c r="CH314" s="27">
        <v>47</v>
      </c>
      <c r="CI314" s="27">
        <v>7913</v>
      </c>
      <c r="CJ314" s="27">
        <v>1137</v>
      </c>
      <c r="CK314" s="27">
        <v>46</v>
      </c>
      <c r="CL314" s="27">
        <v>1725</v>
      </c>
      <c r="CM314" s="27">
        <v>1860</v>
      </c>
      <c r="CN314" s="179"/>
      <c r="CO314" s="27"/>
      <c r="CP314" s="27"/>
      <c r="CQ314" s="27">
        <v>45</v>
      </c>
      <c r="CR314" s="27">
        <v>552</v>
      </c>
      <c r="CS314" s="27">
        <v>16265</v>
      </c>
      <c r="CT314" s="25">
        <v>44</v>
      </c>
      <c r="CU314" s="27">
        <v>2742</v>
      </c>
      <c r="CV314" s="25">
        <v>15096</v>
      </c>
      <c r="CW314" s="27">
        <v>40</v>
      </c>
      <c r="CX314" s="27">
        <f>1954+3537</f>
        <v>5491</v>
      </c>
      <c r="CY314" s="27">
        <f>122+14978</f>
        <v>15100</v>
      </c>
      <c r="CZ314" s="27">
        <v>41</v>
      </c>
      <c r="DA314" s="27">
        <v>17866</v>
      </c>
      <c r="DB314" s="27">
        <v>15371</v>
      </c>
      <c r="DC314" s="27">
        <v>40</v>
      </c>
      <c r="DD314" s="27">
        <v>34735</v>
      </c>
      <c r="DE314" s="27">
        <v>15263</v>
      </c>
      <c r="DF314" s="27">
        <v>40</v>
      </c>
      <c r="DG314" s="27">
        <v>6869</v>
      </c>
      <c r="DH314" s="27">
        <v>14455</v>
      </c>
      <c r="DI314" s="27"/>
      <c r="DJ314" s="27"/>
      <c r="DK314" s="27"/>
      <c r="DL314" s="27">
        <v>40</v>
      </c>
      <c r="DM314" s="27">
        <v>6240</v>
      </c>
      <c r="DN314" s="27">
        <v>15451</v>
      </c>
      <c r="DO314" s="27">
        <v>40</v>
      </c>
      <c r="DP314" s="27">
        <v>5252</v>
      </c>
      <c r="DQ314" s="27">
        <v>13595</v>
      </c>
    </row>
    <row r="315" spans="1:123" s="4" customFormat="1">
      <c r="A315" s="74" t="s">
        <v>323</v>
      </c>
      <c r="B315" s="25"/>
      <c r="C315" s="25"/>
      <c r="D315" s="25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  <c r="AE315" s="146"/>
      <c r="AF315" s="69">
        <v>14</v>
      </c>
      <c r="AG315" s="69">
        <v>4267</v>
      </c>
      <c r="AH315" s="69">
        <v>4896</v>
      </c>
      <c r="AI315" s="69">
        <v>14</v>
      </c>
      <c r="AJ315" s="69">
        <v>7896</v>
      </c>
      <c r="AK315" s="69">
        <v>4670</v>
      </c>
      <c r="AL315" s="68">
        <v>14</v>
      </c>
      <c r="AM315" s="68">
        <v>453</v>
      </c>
      <c r="AN315" s="68">
        <v>4795</v>
      </c>
      <c r="AO315" s="70">
        <v>14</v>
      </c>
      <c r="AP315" s="70">
        <v>5537</v>
      </c>
      <c r="AQ315" s="70">
        <v>4577</v>
      </c>
      <c r="AR315" s="70">
        <v>14</v>
      </c>
      <c r="AS315" s="25">
        <v>8567</v>
      </c>
      <c r="AT315" s="25">
        <v>4504</v>
      </c>
      <c r="AU315" s="71">
        <v>13</v>
      </c>
      <c r="AV315" s="71">
        <v>1200</v>
      </c>
      <c r="AW315" s="71">
        <v>4211</v>
      </c>
      <c r="AX315" s="72"/>
      <c r="AY315" s="72"/>
      <c r="AZ315" s="72"/>
      <c r="BA315" s="75">
        <v>10</v>
      </c>
      <c r="BB315" s="75">
        <f>2766+2400</f>
        <v>5166</v>
      </c>
      <c r="BC315" s="174">
        <f>223+3431</f>
        <v>3654</v>
      </c>
      <c r="BD315" s="76">
        <v>8</v>
      </c>
      <c r="BE315" s="76">
        <v>3189</v>
      </c>
      <c r="BF315" s="76">
        <v>2722</v>
      </c>
      <c r="BG315" s="25">
        <v>8</v>
      </c>
      <c r="BH315" s="25">
        <v>5676</v>
      </c>
      <c r="BI315" s="25">
        <v>2697</v>
      </c>
      <c r="BJ315" s="25">
        <v>8</v>
      </c>
      <c r="BK315" s="25"/>
      <c r="BL315" s="25">
        <v>2724</v>
      </c>
      <c r="BM315" s="25">
        <v>8</v>
      </c>
      <c r="BN315" s="25">
        <v>2546</v>
      </c>
      <c r="BO315" s="25">
        <v>2636</v>
      </c>
      <c r="BP315" s="25">
        <v>8</v>
      </c>
      <c r="BQ315" s="25">
        <v>6991</v>
      </c>
      <c r="BR315" s="25">
        <v>2205</v>
      </c>
      <c r="BS315" s="25"/>
      <c r="BT315" s="25"/>
      <c r="BU315" s="25"/>
      <c r="BV315" s="25">
        <v>8</v>
      </c>
      <c r="BW315" s="25"/>
      <c r="BX315" s="25"/>
      <c r="BY315" s="25">
        <v>8</v>
      </c>
      <c r="BZ315" s="25"/>
      <c r="CA315" s="25"/>
      <c r="CB315" s="25">
        <v>8</v>
      </c>
      <c r="CC315" s="25"/>
      <c r="CD315" s="25"/>
      <c r="CE315" s="25">
        <v>8</v>
      </c>
      <c r="CF315" s="25"/>
      <c r="CG315" s="25"/>
      <c r="CH315" s="25">
        <v>8</v>
      </c>
      <c r="CI315" s="25"/>
      <c r="CJ315" s="25"/>
      <c r="CK315" s="25">
        <v>8</v>
      </c>
      <c r="CL315" s="25"/>
      <c r="CM315" s="25"/>
      <c r="CN315" s="25"/>
      <c r="CO315" s="25"/>
      <c r="CP315" s="25"/>
      <c r="CQ315" s="25">
        <v>8</v>
      </c>
      <c r="CR315" s="25"/>
      <c r="CS315" s="25">
        <v>308</v>
      </c>
      <c r="CT315" s="25">
        <v>8</v>
      </c>
      <c r="CU315" s="25"/>
      <c r="CV315" s="25">
        <v>344</v>
      </c>
      <c r="CW315" s="25">
        <v>8</v>
      </c>
      <c r="CX315" s="25">
        <v>1004</v>
      </c>
      <c r="CY315" s="25">
        <v>352</v>
      </c>
      <c r="CZ315" s="25">
        <v>8</v>
      </c>
      <c r="DA315" s="25"/>
      <c r="DB315" s="25"/>
      <c r="DC315" s="25">
        <v>8</v>
      </c>
      <c r="DD315" s="25"/>
      <c r="DE315" s="25">
        <v>1283</v>
      </c>
      <c r="DF315" s="25">
        <v>5</v>
      </c>
      <c r="DG315" s="25">
        <f>314+1715</f>
        <v>2029</v>
      </c>
      <c r="DH315" s="25">
        <v>1596</v>
      </c>
      <c r="DI315" s="25"/>
      <c r="DJ315" s="25"/>
      <c r="DK315" s="25"/>
      <c r="DL315" s="25">
        <v>5</v>
      </c>
      <c r="DM315" s="25">
        <v>1429</v>
      </c>
      <c r="DN315" s="25">
        <v>1620</v>
      </c>
      <c r="DO315" s="25">
        <v>4</v>
      </c>
      <c r="DP315" s="25"/>
      <c r="DQ315" s="25">
        <v>1284</v>
      </c>
      <c r="DR315" s="29"/>
      <c r="DS315" s="29"/>
    </row>
    <row r="316" spans="1:123" s="4" customFormat="1">
      <c r="A316" s="74" t="s">
        <v>431</v>
      </c>
      <c r="B316" s="25"/>
      <c r="C316" s="25"/>
      <c r="D316" s="25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69"/>
      <c r="AG316" s="69"/>
      <c r="AH316" s="69"/>
      <c r="AI316" s="69"/>
      <c r="AJ316" s="69"/>
      <c r="AK316" s="69"/>
      <c r="AL316" s="68"/>
      <c r="AM316" s="68"/>
      <c r="AN316" s="68"/>
      <c r="AO316" s="70"/>
      <c r="AP316" s="70"/>
      <c r="AQ316" s="70"/>
      <c r="AR316" s="70"/>
      <c r="AS316" s="25"/>
      <c r="AT316" s="25"/>
      <c r="AU316" s="71">
        <v>1</v>
      </c>
      <c r="AV316" s="71"/>
      <c r="AW316" s="71">
        <v>313</v>
      </c>
      <c r="AX316" s="72"/>
      <c r="AY316" s="72"/>
      <c r="AZ316" s="72"/>
      <c r="BA316" s="75">
        <v>1</v>
      </c>
      <c r="BB316" s="75"/>
      <c r="BC316" s="174">
        <v>341</v>
      </c>
      <c r="BD316" s="76"/>
      <c r="BE316" s="76">
        <v>666</v>
      </c>
      <c r="BF316" s="76">
        <v>12</v>
      </c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5"/>
      <c r="DN316" s="25"/>
      <c r="DO316" s="25"/>
      <c r="DP316" s="25"/>
      <c r="DQ316" s="25"/>
      <c r="DR316" s="29"/>
      <c r="DS316" s="29"/>
    </row>
    <row r="317" spans="1:123" s="4" customFormat="1">
      <c r="A317" s="74" t="s">
        <v>151</v>
      </c>
      <c r="B317" s="25"/>
      <c r="C317" s="25"/>
      <c r="D317" s="25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  <c r="AE317" s="146"/>
      <c r="AF317" s="25">
        <v>10</v>
      </c>
      <c r="AG317" s="25">
        <v>3300</v>
      </c>
      <c r="AH317" s="25">
        <v>2730</v>
      </c>
      <c r="AI317" s="25">
        <v>9</v>
      </c>
      <c r="AJ317" s="25">
        <v>1656</v>
      </c>
      <c r="AK317" s="25">
        <v>2305</v>
      </c>
      <c r="AL317" s="68">
        <v>9</v>
      </c>
      <c r="AM317" s="68">
        <v>4405</v>
      </c>
      <c r="AN317" s="68">
        <v>2346</v>
      </c>
      <c r="AO317" s="70">
        <v>9</v>
      </c>
      <c r="AP317" s="99">
        <v>1100</v>
      </c>
      <c r="AQ317" s="70">
        <v>2333</v>
      </c>
      <c r="AR317" s="70">
        <v>9</v>
      </c>
      <c r="AS317" s="25">
        <v>3300</v>
      </c>
      <c r="AT317" s="25">
        <v>2351</v>
      </c>
      <c r="AU317" s="71">
        <v>9</v>
      </c>
      <c r="AV317" s="71">
        <v>1100</v>
      </c>
      <c r="AW317" s="71">
        <v>2234</v>
      </c>
      <c r="AX317" s="72"/>
      <c r="AY317" s="72"/>
      <c r="AZ317" s="72"/>
      <c r="BA317" s="75">
        <v>9</v>
      </c>
      <c r="BB317" s="75">
        <v>4264</v>
      </c>
      <c r="BC317" s="75">
        <v>2356</v>
      </c>
      <c r="BD317" s="76">
        <v>11</v>
      </c>
      <c r="BE317" s="76">
        <v>2256</v>
      </c>
      <c r="BF317" s="76">
        <v>2835</v>
      </c>
      <c r="BG317" s="106">
        <v>11</v>
      </c>
      <c r="BH317" s="106">
        <v>1654</v>
      </c>
      <c r="BI317" s="106">
        <v>2698</v>
      </c>
      <c r="BJ317" s="25">
        <v>11</v>
      </c>
      <c r="BK317" s="25">
        <v>1692</v>
      </c>
      <c r="BL317" s="25">
        <v>2896</v>
      </c>
      <c r="BM317" s="25">
        <v>11</v>
      </c>
      <c r="BN317" s="25">
        <v>3040</v>
      </c>
      <c r="BO317" s="25">
        <v>2776</v>
      </c>
      <c r="BP317" s="25">
        <v>11</v>
      </c>
      <c r="BQ317" s="25">
        <v>2403</v>
      </c>
      <c r="BR317" s="25">
        <v>2562</v>
      </c>
      <c r="BS317" s="25"/>
      <c r="BT317" s="25"/>
      <c r="BU317" s="56"/>
      <c r="BV317" s="25">
        <v>11</v>
      </c>
      <c r="BW317" s="25"/>
      <c r="BX317" s="25"/>
      <c r="BY317" s="25">
        <v>11</v>
      </c>
      <c r="BZ317" s="25"/>
      <c r="CA317" s="25"/>
      <c r="CB317" s="25">
        <v>11</v>
      </c>
      <c r="CC317" s="25"/>
      <c r="CD317" s="25"/>
      <c r="CE317" s="91">
        <v>11</v>
      </c>
      <c r="CF317" s="91"/>
      <c r="CG317" s="91"/>
      <c r="CH317" s="25">
        <v>11</v>
      </c>
      <c r="CI317" s="25"/>
      <c r="CJ317" s="25"/>
      <c r="CK317" s="25">
        <v>11</v>
      </c>
      <c r="CL317" s="25"/>
      <c r="CM317" s="25"/>
      <c r="CN317" s="25"/>
      <c r="CO317" s="25"/>
      <c r="CP317" s="25"/>
      <c r="CQ317" s="25">
        <v>11</v>
      </c>
      <c r="CR317" s="25"/>
      <c r="CS317" s="25"/>
      <c r="CT317" s="25">
        <v>11</v>
      </c>
      <c r="CU317" s="25"/>
      <c r="CV317" s="25"/>
      <c r="CW317" s="25">
        <v>11</v>
      </c>
      <c r="CX317" s="25"/>
      <c r="CY317" s="25"/>
      <c r="CZ317" s="25">
        <v>11</v>
      </c>
      <c r="DA317" s="25"/>
      <c r="DB317" s="25"/>
      <c r="DC317" s="25">
        <v>11</v>
      </c>
      <c r="DD317" s="25"/>
      <c r="DE317" s="25"/>
      <c r="DF317" s="25">
        <v>11</v>
      </c>
      <c r="DG317" s="25"/>
      <c r="DH317" s="25"/>
      <c r="DI317" s="25"/>
      <c r="DJ317" s="25"/>
      <c r="DK317" s="25"/>
      <c r="DL317" s="25">
        <v>11</v>
      </c>
      <c r="DM317" s="25"/>
      <c r="DN317" s="25"/>
      <c r="DO317" s="25">
        <v>11</v>
      </c>
      <c r="DP317" s="25"/>
      <c r="DQ317" s="25"/>
    </row>
    <row r="318" spans="1:123" s="4" customFormat="1">
      <c r="A318" s="74" t="s">
        <v>302</v>
      </c>
      <c r="B318" s="25"/>
      <c r="C318" s="25"/>
      <c r="D318" s="25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  <c r="AE318" s="146"/>
      <c r="AF318" s="25">
        <v>2</v>
      </c>
      <c r="AG318" s="25"/>
      <c r="AH318" s="25">
        <v>555</v>
      </c>
      <c r="AI318" s="25">
        <v>2</v>
      </c>
      <c r="AJ318" s="25">
        <v>1976</v>
      </c>
      <c r="AK318" s="25">
        <v>491</v>
      </c>
      <c r="AL318" s="68">
        <v>2</v>
      </c>
      <c r="AM318" s="68"/>
      <c r="AN318" s="68">
        <v>538</v>
      </c>
      <c r="AO318" s="70">
        <v>2</v>
      </c>
      <c r="AP318" s="99"/>
      <c r="AQ318" s="70">
        <v>523</v>
      </c>
      <c r="AR318" s="70">
        <v>2</v>
      </c>
      <c r="AS318" s="25"/>
      <c r="AT318" s="25">
        <v>525</v>
      </c>
      <c r="AU318" s="71">
        <v>2</v>
      </c>
      <c r="AV318" s="71">
        <v>2128</v>
      </c>
      <c r="AW318" s="71">
        <v>499</v>
      </c>
      <c r="AX318" s="72"/>
      <c r="AY318" s="72"/>
      <c r="AZ318" s="72"/>
      <c r="BA318" s="75">
        <v>2</v>
      </c>
      <c r="BB318" s="75">
        <v>726</v>
      </c>
      <c r="BC318" s="75">
        <v>381</v>
      </c>
      <c r="BD318" s="76"/>
      <c r="BE318" s="76"/>
      <c r="BF318" s="76"/>
      <c r="BG318" s="106"/>
      <c r="BH318" s="106"/>
      <c r="BI318" s="106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56"/>
      <c r="BV318" s="25"/>
      <c r="BW318" s="25"/>
      <c r="BX318" s="25"/>
      <c r="BY318" s="25"/>
      <c r="BZ318" s="25"/>
      <c r="CA318" s="25"/>
      <c r="CB318" s="25"/>
      <c r="CC318" s="25"/>
      <c r="CD318" s="25"/>
      <c r="CE318" s="91"/>
      <c r="CF318" s="91"/>
      <c r="CG318" s="91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/>
      <c r="DD318" s="25"/>
      <c r="DE318" s="25"/>
      <c r="DF318" s="25"/>
      <c r="DG318" s="25"/>
      <c r="DH318" s="25"/>
      <c r="DI318" s="25"/>
      <c r="DJ318" s="25"/>
      <c r="DK318" s="25"/>
      <c r="DL318" s="25"/>
      <c r="DM318" s="25"/>
      <c r="DN318" s="25"/>
      <c r="DO318" s="25"/>
      <c r="DP318" s="25"/>
      <c r="DQ318" s="25"/>
    </row>
    <row r="319" spans="1:123" s="4" customFormat="1">
      <c r="A319" s="74" t="s">
        <v>152</v>
      </c>
      <c r="B319" s="25"/>
      <c r="C319" s="25"/>
      <c r="D319" s="25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  <c r="AE319" s="146"/>
      <c r="AF319" s="25">
        <v>9</v>
      </c>
      <c r="AG319" s="25">
        <v>2210</v>
      </c>
      <c r="AH319" s="25">
        <v>2270</v>
      </c>
      <c r="AI319" s="25">
        <v>9</v>
      </c>
      <c r="AJ319" s="25">
        <v>3300</v>
      </c>
      <c r="AK319" s="25">
        <v>2092</v>
      </c>
      <c r="AL319" s="68">
        <v>9</v>
      </c>
      <c r="AM319" s="68">
        <v>3892</v>
      </c>
      <c r="AN319" s="68">
        <v>2020</v>
      </c>
      <c r="AO319" s="70">
        <v>8</v>
      </c>
      <c r="AP319" s="70">
        <v>1408</v>
      </c>
      <c r="AQ319" s="70">
        <v>1734</v>
      </c>
      <c r="AR319" s="70">
        <v>8</v>
      </c>
      <c r="AS319" s="25"/>
      <c r="AT319" s="25">
        <v>1924</v>
      </c>
      <c r="AU319" s="71">
        <v>8</v>
      </c>
      <c r="AV319" s="71">
        <v>584</v>
      </c>
      <c r="AW319" s="71">
        <v>1850</v>
      </c>
      <c r="AX319" s="86"/>
      <c r="AY319" s="86"/>
      <c r="AZ319" s="86"/>
      <c r="BA319" s="75">
        <v>8</v>
      </c>
      <c r="BB319" s="75">
        <v>5434</v>
      </c>
      <c r="BC319" s="75">
        <v>2029</v>
      </c>
      <c r="BD319" s="76">
        <v>8</v>
      </c>
      <c r="BE319" s="76">
        <v>1648</v>
      </c>
      <c r="BF319" s="76">
        <v>2011</v>
      </c>
      <c r="BG319" s="106">
        <v>8</v>
      </c>
      <c r="BH319" s="106">
        <v>1474</v>
      </c>
      <c r="BI319" s="106">
        <v>2016</v>
      </c>
      <c r="BJ319" s="88">
        <v>8</v>
      </c>
      <c r="BK319" s="88"/>
      <c r="BL319" s="88">
        <v>2034</v>
      </c>
      <c r="BM319" s="25">
        <v>8</v>
      </c>
      <c r="BN319" s="25">
        <v>3300</v>
      </c>
      <c r="BO319" s="25">
        <v>2035</v>
      </c>
      <c r="BP319" s="25">
        <v>8</v>
      </c>
      <c r="BQ319" s="25">
        <v>3482</v>
      </c>
      <c r="BR319" s="25">
        <v>1780</v>
      </c>
      <c r="BS319" s="25"/>
      <c r="BT319" s="25"/>
      <c r="BU319" s="56"/>
      <c r="BV319" s="25">
        <v>8</v>
      </c>
      <c r="BW319" s="25"/>
      <c r="BX319" s="25"/>
      <c r="BY319" s="25">
        <v>8</v>
      </c>
      <c r="BZ319" s="25"/>
      <c r="CA319" s="25"/>
      <c r="CB319" s="25">
        <v>8</v>
      </c>
      <c r="CC319" s="25"/>
      <c r="CD319" s="25"/>
      <c r="CE319" s="91">
        <v>8</v>
      </c>
      <c r="CF319" s="91"/>
      <c r="CG319" s="91"/>
      <c r="CH319" s="25">
        <v>8</v>
      </c>
      <c r="CI319" s="25"/>
      <c r="CJ319" s="25"/>
      <c r="CK319" s="25">
        <v>8</v>
      </c>
      <c r="CL319" s="25"/>
      <c r="CM319" s="25"/>
      <c r="CN319" s="25"/>
      <c r="CO319" s="25"/>
      <c r="CP319" s="25"/>
      <c r="CQ319" s="313">
        <v>8</v>
      </c>
      <c r="CR319" s="25"/>
      <c r="CS319" s="25"/>
      <c r="CT319" s="149">
        <v>8</v>
      </c>
      <c r="CU319" s="149"/>
      <c r="CV319" s="149"/>
      <c r="CW319" s="25">
        <v>8</v>
      </c>
      <c r="CX319" s="25"/>
      <c r="CY319" s="25"/>
      <c r="CZ319" s="25">
        <v>8</v>
      </c>
      <c r="DA319" s="25"/>
      <c r="DB319" s="25"/>
      <c r="DC319" s="25">
        <v>8</v>
      </c>
      <c r="DD319" s="25"/>
      <c r="DE319" s="25"/>
      <c r="DF319" s="25">
        <v>8</v>
      </c>
      <c r="DG319" s="25"/>
      <c r="DH319" s="25"/>
      <c r="DI319" s="25"/>
      <c r="DJ319" s="25"/>
      <c r="DK319" s="25"/>
      <c r="DL319" s="25">
        <v>8</v>
      </c>
      <c r="DM319" s="25"/>
      <c r="DN319" s="25"/>
      <c r="DO319" s="25">
        <v>8</v>
      </c>
      <c r="DP319" s="25"/>
      <c r="DQ319" s="25"/>
    </row>
    <row r="320" spans="1:123" s="205" customFormat="1">
      <c r="A320" s="209" t="s">
        <v>153</v>
      </c>
      <c r="B320" s="202"/>
      <c r="C320" s="202"/>
      <c r="D320" s="202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  <c r="AE320" s="146"/>
      <c r="AF320" s="202">
        <v>5</v>
      </c>
      <c r="AG320" s="202">
        <v>3262</v>
      </c>
      <c r="AH320" s="202">
        <v>881</v>
      </c>
      <c r="AI320" s="202">
        <v>3</v>
      </c>
      <c r="AJ320" s="202">
        <v>1158</v>
      </c>
      <c r="AK320" s="202">
        <v>422</v>
      </c>
      <c r="AL320" s="202"/>
      <c r="AM320" s="202">
        <v>403</v>
      </c>
      <c r="AN320" s="202">
        <v>2</v>
      </c>
      <c r="AO320" s="202"/>
      <c r="AP320" s="202"/>
      <c r="AQ320" s="202"/>
      <c r="AR320" s="202"/>
      <c r="AS320" s="202"/>
      <c r="AT320" s="202"/>
      <c r="AU320" s="202"/>
      <c r="AV320" s="202"/>
      <c r="AW320" s="202"/>
      <c r="AX320" s="202"/>
      <c r="AY320" s="202"/>
      <c r="AZ320" s="202"/>
      <c r="BA320" s="202"/>
      <c r="BB320" s="202"/>
      <c r="BC320" s="202"/>
      <c r="BD320" s="202"/>
      <c r="BE320" s="202"/>
      <c r="BF320" s="202"/>
      <c r="BG320" s="202"/>
      <c r="BH320" s="202"/>
      <c r="BI320" s="202"/>
      <c r="BJ320" s="202"/>
      <c r="BK320" s="202"/>
      <c r="BL320" s="202"/>
      <c r="BM320" s="202"/>
      <c r="BN320" s="202"/>
      <c r="BO320" s="202"/>
      <c r="BP320" s="202"/>
      <c r="BQ320" s="202"/>
      <c r="BR320" s="202"/>
      <c r="BS320" s="202"/>
      <c r="BT320" s="202"/>
      <c r="BU320" s="203"/>
      <c r="BV320" s="202"/>
      <c r="BW320" s="202"/>
      <c r="BX320" s="202"/>
      <c r="BY320" s="202"/>
      <c r="BZ320" s="202"/>
      <c r="CA320" s="202"/>
      <c r="CB320" s="202"/>
      <c r="CC320" s="202"/>
      <c r="CD320" s="202"/>
      <c r="CE320" s="202"/>
      <c r="CF320" s="202"/>
      <c r="CG320" s="202"/>
      <c r="CH320" s="202"/>
      <c r="CI320" s="202"/>
      <c r="CJ320" s="202"/>
      <c r="CK320" s="202"/>
      <c r="CL320" s="202"/>
      <c r="CM320" s="202"/>
      <c r="CN320" s="202"/>
      <c r="CO320" s="202"/>
      <c r="CP320" s="202"/>
      <c r="CQ320" s="314"/>
      <c r="CR320" s="202"/>
      <c r="CS320" s="202"/>
      <c r="CT320" s="204"/>
      <c r="CU320" s="202"/>
      <c r="CV320" s="204"/>
      <c r="CW320" s="202"/>
      <c r="CX320" s="202"/>
      <c r="CY320" s="202"/>
      <c r="CZ320" s="202"/>
      <c r="DA320" s="202"/>
      <c r="DB320" s="202"/>
      <c r="DC320" s="202"/>
      <c r="DD320" s="202"/>
      <c r="DE320" s="202"/>
      <c r="DF320" s="202"/>
      <c r="DG320" s="202"/>
      <c r="DH320" s="202"/>
      <c r="DI320" s="202"/>
      <c r="DJ320" s="202"/>
      <c r="DK320" s="202"/>
      <c r="DL320" s="202"/>
      <c r="DM320" s="202"/>
      <c r="DN320" s="202"/>
      <c r="DO320" s="202"/>
      <c r="DP320" s="202"/>
      <c r="DQ320" s="202"/>
    </row>
    <row r="321" spans="1:121" s="205" customFormat="1">
      <c r="A321" s="329" t="s">
        <v>447</v>
      </c>
      <c r="B321" s="202"/>
      <c r="C321" s="202"/>
      <c r="D321" s="202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  <c r="AB321" s="145"/>
      <c r="AC321" s="145"/>
      <c r="AD321" s="145"/>
      <c r="AE321" s="145"/>
      <c r="AF321" s="202"/>
      <c r="AG321" s="202"/>
      <c r="AH321" s="202"/>
      <c r="AI321" s="202"/>
      <c r="AJ321" s="202"/>
      <c r="AK321" s="202"/>
      <c r="AL321" s="202"/>
      <c r="AM321" s="202"/>
      <c r="AN321" s="202"/>
      <c r="AO321" s="202"/>
      <c r="AP321" s="202"/>
      <c r="AQ321" s="202"/>
      <c r="AR321" s="202"/>
      <c r="AS321" s="202"/>
      <c r="AT321" s="202"/>
      <c r="AU321" s="202"/>
      <c r="AV321" s="202"/>
      <c r="AW321" s="202"/>
      <c r="AX321" s="202"/>
      <c r="AY321" s="202"/>
      <c r="AZ321" s="202"/>
      <c r="BA321" s="202"/>
      <c r="BB321" s="202"/>
      <c r="BC321" s="202"/>
      <c r="BD321" s="202"/>
      <c r="BE321" s="202"/>
      <c r="BF321" s="202"/>
      <c r="BG321" s="202"/>
      <c r="BH321" s="202"/>
      <c r="BI321" s="202"/>
      <c r="BJ321" s="202"/>
      <c r="BK321" s="202"/>
      <c r="BL321" s="202"/>
      <c r="BM321" s="202"/>
      <c r="BN321" s="202"/>
      <c r="BO321" s="202"/>
      <c r="BP321" s="202"/>
      <c r="BQ321" s="202"/>
      <c r="BR321" s="202"/>
      <c r="BS321" s="202"/>
      <c r="BT321" s="202"/>
      <c r="BU321" s="203"/>
      <c r="BV321" s="202"/>
      <c r="BW321" s="202"/>
      <c r="BX321" s="202"/>
      <c r="BY321" s="202"/>
      <c r="BZ321" s="202"/>
      <c r="CA321" s="202"/>
      <c r="CB321" s="202"/>
      <c r="CC321" s="202"/>
      <c r="CD321" s="202"/>
      <c r="CE321" s="202">
        <v>1</v>
      </c>
      <c r="CF321" s="202"/>
      <c r="CG321" s="202">
        <v>210</v>
      </c>
      <c r="CH321" s="202">
        <v>1</v>
      </c>
      <c r="CI321" s="202"/>
      <c r="CJ321" s="202">
        <v>246</v>
      </c>
      <c r="CK321" s="202">
        <v>1</v>
      </c>
      <c r="CL321" s="202"/>
      <c r="CM321" s="202">
        <v>244</v>
      </c>
      <c r="CN321" s="202"/>
      <c r="CO321" s="202"/>
      <c r="CP321" s="202"/>
      <c r="CQ321" s="314">
        <v>1</v>
      </c>
      <c r="CR321" s="202"/>
      <c r="CS321" s="202">
        <v>248</v>
      </c>
      <c r="CT321" s="202"/>
      <c r="CU321" s="202">
        <v>948</v>
      </c>
      <c r="CV321" s="202"/>
      <c r="CW321" s="202"/>
      <c r="CX321" s="202"/>
      <c r="CY321" s="202"/>
      <c r="CZ321" s="202"/>
      <c r="DA321" s="202"/>
      <c r="DB321" s="202"/>
      <c r="DC321" s="202"/>
      <c r="DD321" s="202"/>
      <c r="DE321" s="202"/>
      <c r="DF321" s="202"/>
      <c r="DG321" s="202"/>
      <c r="DH321" s="202"/>
      <c r="DI321" s="202"/>
      <c r="DJ321" s="202"/>
      <c r="DK321" s="202"/>
      <c r="DL321" s="202"/>
      <c r="DM321" s="202"/>
      <c r="DN321" s="202"/>
      <c r="DO321" s="202"/>
      <c r="DP321" s="202"/>
      <c r="DQ321" s="202"/>
    </row>
    <row r="322" spans="1:121" s="205" customFormat="1">
      <c r="A322" s="74" t="s">
        <v>373</v>
      </c>
      <c r="B322" s="202"/>
      <c r="C322" s="202"/>
      <c r="D322" s="202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  <c r="AB322" s="145"/>
      <c r="AC322" s="145"/>
      <c r="AD322" s="145"/>
      <c r="AE322" s="145"/>
      <c r="AF322" s="202">
        <v>1</v>
      </c>
      <c r="AG322" s="202">
        <v>949</v>
      </c>
      <c r="AH322" s="202">
        <v>221</v>
      </c>
      <c r="AI322" s="202"/>
      <c r="AJ322" s="202"/>
      <c r="AK322" s="202"/>
      <c r="AL322" s="202"/>
      <c r="AM322" s="202"/>
      <c r="AN322" s="202"/>
      <c r="AO322" s="202"/>
      <c r="AP322" s="202"/>
      <c r="AQ322" s="202"/>
      <c r="AR322" s="202"/>
      <c r="AS322" s="202"/>
      <c r="AT322" s="202"/>
      <c r="AU322" s="202"/>
      <c r="AV322" s="202"/>
      <c r="AW322" s="202"/>
      <c r="AX322" s="202"/>
      <c r="AY322" s="202"/>
      <c r="AZ322" s="202"/>
      <c r="BA322" s="202"/>
      <c r="BB322" s="202"/>
      <c r="BC322" s="202"/>
      <c r="BD322" s="202"/>
      <c r="BE322" s="202"/>
      <c r="BF322" s="202"/>
      <c r="BG322" s="202"/>
      <c r="BH322" s="202"/>
      <c r="BI322" s="202"/>
      <c r="BJ322" s="202"/>
      <c r="BK322" s="202"/>
      <c r="BL322" s="202"/>
      <c r="BM322" s="202"/>
      <c r="BN322" s="202"/>
      <c r="BO322" s="202"/>
      <c r="BP322" s="202"/>
      <c r="BQ322" s="202"/>
      <c r="BR322" s="202"/>
      <c r="BS322" s="202"/>
      <c r="BT322" s="202"/>
      <c r="BU322" s="203"/>
      <c r="BV322" s="202"/>
      <c r="BW322" s="202"/>
      <c r="BX322" s="202"/>
      <c r="BY322" s="202"/>
      <c r="BZ322" s="202"/>
      <c r="CA322" s="202"/>
      <c r="CB322" s="202"/>
      <c r="CC322" s="202"/>
      <c r="CD322" s="202"/>
      <c r="CE322" s="202"/>
      <c r="CF322" s="202"/>
      <c r="CG322" s="202"/>
      <c r="CH322" s="202"/>
      <c r="CI322" s="202"/>
      <c r="CJ322" s="202"/>
      <c r="CK322" s="202"/>
      <c r="CL322" s="202"/>
      <c r="CM322" s="202"/>
      <c r="CN322" s="202"/>
      <c r="CO322" s="202"/>
      <c r="CP322" s="202"/>
      <c r="CQ322" s="202"/>
      <c r="CR322" s="202"/>
      <c r="CS322" s="202"/>
      <c r="CT322" s="202"/>
      <c r="CU322" s="202"/>
      <c r="CV322" s="202"/>
      <c r="CW322" s="202"/>
      <c r="CX322" s="202"/>
      <c r="CY322" s="202"/>
      <c r="CZ322" s="202"/>
      <c r="DA322" s="202"/>
      <c r="DB322" s="202"/>
      <c r="DC322" s="202"/>
      <c r="DD322" s="202"/>
      <c r="DE322" s="202"/>
      <c r="DF322" s="202"/>
      <c r="DG322" s="202"/>
      <c r="DH322" s="202"/>
      <c r="DI322" s="202"/>
      <c r="DJ322" s="202"/>
      <c r="DK322" s="202"/>
      <c r="DL322" s="202"/>
      <c r="DM322" s="202"/>
      <c r="DN322" s="202"/>
      <c r="DO322" s="202"/>
      <c r="DP322" s="202"/>
      <c r="DQ322" s="202"/>
    </row>
    <row r="323" spans="1:121" s="205" customFormat="1">
      <c r="A323" s="74" t="s">
        <v>374</v>
      </c>
      <c r="B323" s="202"/>
      <c r="C323" s="202"/>
      <c r="D323" s="202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  <c r="AB323" s="145"/>
      <c r="AC323" s="145"/>
      <c r="AD323" s="145"/>
      <c r="AE323" s="145"/>
      <c r="AF323" s="202">
        <v>3</v>
      </c>
      <c r="AG323" s="202">
        <v>962</v>
      </c>
      <c r="AH323" s="202">
        <v>764</v>
      </c>
      <c r="AI323" s="202">
        <v>4</v>
      </c>
      <c r="AJ323" s="202"/>
      <c r="AK323" s="202">
        <v>1042</v>
      </c>
      <c r="AL323" s="202">
        <v>4</v>
      </c>
      <c r="AM323" s="202"/>
      <c r="AN323" s="202">
        <v>1130</v>
      </c>
      <c r="AO323" s="202">
        <v>4</v>
      </c>
      <c r="AP323" s="202">
        <v>1100</v>
      </c>
      <c r="AQ323" s="202">
        <v>1111</v>
      </c>
      <c r="AR323" s="202">
        <v>4</v>
      </c>
      <c r="AS323" s="202">
        <v>2200</v>
      </c>
      <c r="AT323" s="202">
        <v>1110</v>
      </c>
      <c r="AU323" s="202">
        <v>4</v>
      </c>
      <c r="AV323" s="202">
        <v>1100</v>
      </c>
      <c r="AW323" s="202">
        <v>1065</v>
      </c>
      <c r="AX323" s="202"/>
      <c r="AY323" s="202"/>
      <c r="AZ323" s="202"/>
      <c r="BA323" s="202">
        <v>4</v>
      </c>
      <c r="BB323" s="202"/>
      <c r="BC323" s="202">
        <v>1136</v>
      </c>
      <c r="BD323" s="202">
        <v>4</v>
      </c>
      <c r="BE323" s="202">
        <v>2004</v>
      </c>
      <c r="BF323" s="202">
        <v>1094</v>
      </c>
      <c r="BG323" s="202">
        <v>4</v>
      </c>
      <c r="BH323" s="202">
        <v>1100</v>
      </c>
      <c r="BI323" s="202">
        <v>1119</v>
      </c>
      <c r="BJ323" s="202">
        <v>4</v>
      </c>
      <c r="BK323" s="202">
        <v>1100</v>
      </c>
      <c r="BL323" s="202">
        <v>1122</v>
      </c>
      <c r="BM323" s="202">
        <v>4</v>
      </c>
      <c r="BN323" s="202"/>
      <c r="BO323" s="202">
        <v>1123</v>
      </c>
      <c r="BP323" s="202">
        <v>4</v>
      </c>
      <c r="BQ323" s="202">
        <v>2088</v>
      </c>
      <c r="BR323" s="202">
        <v>962</v>
      </c>
      <c r="BS323" s="202"/>
      <c r="BT323" s="202"/>
      <c r="BU323" s="203"/>
      <c r="BV323" s="202">
        <v>4</v>
      </c>
      <c r="BW323" s="202"/>
      <c r="BX323" s="202"/>
      <c r="BY323" s="202">
        <v>4</v>
      </c>
      <c r="BZ323" s="202"/>
      <c r="CA323" s="202"/>
      <c r="CB323" s="202">
        <v>4</v>
      </c>
      <c r="CC323" s="202"/>
      <c r="CD323" s="202"/>
      <c r="CE323" s="202">
        <v>4</v>
      </c>
      <c r="CF323" s="202"/>
      <c r="CG323" s="202"/>
      <c r="CH323" s="202">
        <v>4</v>
      </c>
      <c r="CI323" s="202"/>
      <c r="CJ323" s="202"/>
      <c r="CK323" s="202">
        <v>4</v>
      </c>
      <c r="CL323" s="202"/>
      <c r="CM323" s="202"/>
      <c r="CN323" s="202"/>
      <c r="CO323" s="202"/>
      <c r="CP323" s="202"/>
      <c r="CQ323" s="202">
        <v>4</v>
      </c>
      <c r="CR323" s="202"/>
      <c r="CS323" s="202"/>
      <c r="CT323" s="202">
        <v>4</v>
      </c>
      <c r="CU323" s="202"/>
      <c r="CV323" s="202"/>
      <c r="CW323" s="202">
        <v>4</v>
      </c>
      <c r="CX323" s="202"/>
      <c r="CY323" s="202"/>
      <c r="CZ323" s="202">
        <v>4</v>
      </c>
      <c r="DA323" s="202"/>
      <c r="DB323" s="202"/>
      <c r="DC323" s="202">
        <v>4</v>
      </c>
      <c r="DD323" s="202"/>
      <c r="DE323" s="202"/>
      <c r="DF323" s="202">
        <v>4</v>
      </c>
      <c r="DG323" s="202"/>
      <c r="DH323" s="202"/>
      <c r="DI323" s="202"/>
      <c r="DJ323" s="202"/>
      <c r="DK323" s="202"/>
      <c r="DL323" s="202">
        <v>4</v>
      </c>
      <c r="DM323" s="202"/>
      <c r="DN323" s="202"/>
      <c r="DO323" s="202">
        <v>4</v>
      </c>
      <c r="DP323" s="202"/>
      <c r="DQ323" s="202"/>
    </row>
    <row r="324" spans="1:121" s="316" customFormat="1" ht="15" customHeight="1">
      <c r="A324" s="315" t="s">
        <v>154</v>
      </c>
      <c r="B324" s="42"/>
      <c r="C324" s="42"/>
      <c r="D324" s="42"/>
      <c r="E324" s="314"/>
      <c r="F324" s="314"/>
      <c r="G324" s="314"/>
      <c r="H324" s="314"/>
      <c r="I324" s="314"/>
      <c r="J324" s="314"/>
      <c r="K324" s="314"/>
      <c r="L324" s="314"/>
      <c r="M324" s="314"/>
      <c r="N324" s="314"/>
      <c r="O324" s="314"/>
      <c r="P324" s="314"/>
      <c r="Q324" s="314"/>
      <c r="R324" s="314"/>
      <c r="S324" s="314"/>
      <c r="T324" s="314"/>
      <c r="U324" s="314"/>
      <c r="V324" s="314"/>
      <c r="W324" s="314"/>
      <c r="X324" s="314"/>
      <c r="Y324" s="314"/>
      <c r="Z324" s="314"/>
      <c r="AA324" s="314"/>
      <c r="AB324" s="314"/>
      <c r="AC324" s="314"/>
      <c r="AD324" s="314"/>
      <c r="AE324" s="314"/>
      <c r="AF324" s="97">
        <v>2</v>
      </c>
      <c r="AG324" s="97">
        <v>2336</v>
      </c>
      <c r="AH324" s="97">
        <v>744</v>
      </c>
      <c r="AI324" s="97">
        <v>2</v>
      </c>
      <c r="AJ324" s="97"/>
      <c r="AK324" s="97">
        <v>590</v>
      </c>
      <c r="AL324" s="98">
        <v>2</v>
      </c>
      <c r="AM324" s="98">
        <v>1029</v>
      </c>
      <c r="AN324" s="98">
        <v>580</v>
      </c>
      <c r="AO324" s="95">
        <v>2</v>
      </c>
      <c r="AP324" s="214"/>
      <c r="AQ324" s="214">
        <v>599</v>
      </c>
      <c r="AR324" s="101">
        <v>2</v>
      </c>
      <c r="AS324" s="101">
        <v>1500</v>
      </c>
      <c r="AT324" s="101">
        <v>591</v>
      </c>
      <c r="AU324" s="165">
        <v>2</v>
      </c>
      <c r="AV324" s="165"/>
      <c r="AW324" s="165">
        <v>566</v>
      </c>
      <c r="AX324" s="166"/>
      <c r="AY324" s="166"/>
      <c r="AZ324" s="166"/>
      <c r="BA324" s="104">
        <v>2</v>
      </c>
      <c r="BB324" s="104"/>
      <c r="BC324" s="104">
        <v>600</v>
      </c>
      <c r="BD324" s="105">
        <v>2</v>
      </c>
      <c r="BE324" s="105">
        <v>1450</v>
      </c>
      <c r="BF324" s="105">
        <v>490</v>
      </c>
      <c r="BG324" s="172">
        <v>1</v>
      </c>
      <c r="BH324" s="172">
        <v>1267</v>
      </c>
      <c r="BI324" s="172">
        <v>186</v>
      </c>
      <c r="BJ324" s="108"/>
      <c r="BK324" s="108"/>
      <c r="BL324" s="108"/>
      <c r="BM324" s="110"/>
      <c r="BN324" s="110"/>
      <c r="BO324" s="110"/>
      <c r="BP324" s="175"/>
      <c r="BQ324" s="175"/>
      <c r="BR324" s="175"/>
      <c r="BS324" s="52"/>
      <c r="BT324" s="52"/>
      <c r="BU324" s="52"/>
      <c r="BV324" s="54"/>
      <c r="BW324" s="54"/>
      <c r="BX324" s="54"/>
      <c r="BY324" s="55"/>
      <c r="BZ324" s="55"/>
      <c r="CA324" s="55"/>
      <c r="CB324" s="55"/>
      <c r="CC324" s="55"/>
      <c r="CD324" s="55"/>
      <c r="CE324" s="124"/>
      <c r="CF324" s="124"/>
      <c r="CG324" s="124"/>
      <c r="CH324" s="178"/>
      <c r="CI324" s="178"/>
      <c r="CJ324" s="178"/>
      <c r="CK324" s="57"/>
      <c r="CL324" s="57"/>
      <c r="CM324" s="57"/>
      <c r="CN324" s="58"/>
      <c r="CO324" s="58"/>
      <c r="CP324" s="58"/>
      <c r="CQ324" s="60"/>
      <c r="CR324" s="60"/>
      <c r="CS324" s="60"/>
      <c r="CT324" s="314"/>
      <c r="CU324" s="314"/>
      <c r="CV324" s="314"/>
      <c r="CW324" s="314"/>
      <c r="CX324" s="314"/>
      <c r="CY324" s="314"/>
      <c r="CZ324" s="314"/>
      <c r="DA324" s="314"/>
      <c r="DB324" s="314"/>
      <c r="DC324" s="314"/>
      <c r="DD324" s="314"/>
      <c r="DE324" s="314"/>
      <c r="DF324" s="314"/>
      <c r="DG324" s="314"/>
      <c r="DH324" s="314"/>
      <c r="DI324" s="314"/>
      <c r="DJ324" s="314"/>
      <c r="DK324" s="314"/>
      <c r="DL324" s="314"/>
      <c r="DM324" s="314"/>
      <c r="DN324" s="314"/>
      <c r="DO324" s="314"/>
      <c r="DP324" s="314"/>
      <c r="DQ324" s="314"/>
    </row>
    <row r="325" spans="1:121" s="316" customFormat="1" ht="14.25" customHeight="1">
      <c r="A325" s="315" t="s">
        <v>461</v>
      </c>
      <c r="B325" s="42"/>
      <c r="C325" s="42"/>
      <c r="D325" s="42"/>
      <c r="E325" s="314"/>
      <c r="F325" s="314"/>
      <c r="G325" s="314"/>
      <c r="H325" s="314"/>
      <c r="I325" s="314"/>
      <c r="J325" s="314"/>
      <c r="K325" s="314"/>
      <c r="L325" s="314"/>
      <c r="M325" s="314"/>
      <c r="N325" s="314"/>
      <c r="O325" s="314"/>
      <c r="P325" s="314"/>
      <c r="Q325" s="314"/>
      <c r="R325" s="314"/>
      <c r="S325" s="314"/>
      <c r="T325" s="314"/>
      <c r="U325" s="314"/>
      <c r="V325" s="314"/>
      <c r="W325" s="314"/>
      <c r="X325" s="314"/>
      <c r="Y325" s="314"/>
      <c r="Z325" s="314"/>
      <c r="AA325" s="314"/>
      <c r="AB325" s="314"/>
      <c r="AC325" s="314"/>
      <c r="AD325" s="314"/>
      <c r="AE325" s="314"/>
      <c r="AF325" s="97"/>
      <c r="AG325" s="97"/>
      <c r="AH325" s="97"/>
      <c r="AI325" s="97"/>
      <c r="AJ325" s="97"/>
      <c r="AK325" s="97"/>
      <c r="AL325" s="98"/>
      <c r="AM325" s="98"/>
      <c r="AN325" s="98"/>
      <c r="AO325" s="95"/>
      <c r="AP325" s="214"/>
      <c r="AQ325" s="214"/>
      <c r="AR325" s="101"/>
      <c r="AS325" s="101"/>
      <c r="AT325" s="101"/>
      <c r="AU325" s="165"/>
      <c r="AV325" s="165"/>
      <c r="AW325" s="165"/>
      <c r="AX325" s="166"/>
      <c r="AY325" s="166"/>
      <c r="AZ325" s="166"/>
      <c r="BA325" s="104"/>
      <c r="BB325" s="104"/>
      <c r="BC325" s="104"/>
      <c r="BD325" s="105"/>
      <c r="BE325" s="105"/>
      <c r="BF325" s="105"/>
      <c r="BG325" s="172"/>
      <c r="BH325" s="172"/>
      <c r="BI325" s="172"/>
      <c r="BJ325" s="108"/>
      <c r="BK325" s="108"/>
      <c r="BL325" s="108"/>
      <c r="BM325" s="110"/>
      <c r="BN325" s="110"/>
      <c r="BO325" s="110"/>
      <c r="BP325" s="175"/>
      <c r="BQ325" s="175"/>
      <c r="BR325" s="175"/>
      <c r="BS325" s="52"/>
      <c r="BT325" s="52"/>
      <c r="BU325" s="52"/>
      <c r="BV325" s="54"/>
      <c r="BW325" s="54"/>
      <c r="BX325" s="54"/>
      <c r="BY325" s="55"/>
      <c r="BZ325" s="55"/>
      <c r="CA325" s="55"/>
      <c r="CB325" s="55"/>
      <c r="CC325" s="55"/>
      <c r="CD325" s="55"/>
      <c r="CE325" s="124"/>
      <c r="CF325" s="124"/>
      <c r="CG325" s="124"/>
      <c r="CH325" s="178"/>
      <c r="CI325" s="178"/>
      <c r="CJ325" s="178"/>
      <c r="CK325" s="57"/>
      <c r="CL325" s="57"/>
      <c r="CM325" s="57"/>
      <c r="CN325" s="58"/>
      <c r="CO325" s="58"/>
      <c r="CP325" s="58"/>
      <c r="CQ325" s="60"/>
      <c r="CR325" s="60"/>
      <c r="CS325" s="60"/>
      <c r="CT325" s="314"/>
      <c r="CU325" s="314"/>
      <c r="CV325" s="314"/>
      <c r="CW325" s="314"/>
      <c r="CX325" s="314"/>
      <c r="CY325" s="314"/>
      <c r="CZ325" s="314"/>
      <c r="DA325" s="314"/>
      <c r="DB325" s="314"/>
      <c r="DC325" s="314"/>
      <c r="DD325" s="314"/>
      <c r="DE325" s="314"/>
      <c r="DF325" s="314">
        <v>3</v>
      </c>
      <c r="DG325" s="314"/>
      <c r="DH325" s="314">
        <v>711</v>
      </c>
      <c r="DI325" s="314"/>
      <c r="DJ325" s="314"/>
      <c r="DK325" s="314"/>
      <c r="DL325" s="314">
        <v>6</v>
      </c>
      <c r="DM325" s="314"/>
      <c r="DN325" s="314">
        <v>1651</v>
      </c>
      <c r="DO325" s="314">
        <v>6</v>
      </c>
      <c r="DP325" s="314"/>
      <c r="DQ325" s="314">
        <v>1661</v>
      </c>
    </row>
    <row r="326" spans="1:121" s="316" customFormat="1" ht="15" customHeight="1">
      <c r="A326" s="315" t="s">
        <v>455</v>
      </c>
      <c r="B326" s="42"/>
      <c r="C326" s="42"/>
      <c r="D326" s="42"/>
      <c r="E326" s="314"/>
      <c r="F326" s="314"/>
      <c r="G326" s="314"/>
      <c r="H326" s="314"/>
      <c r="I326" s="314"/>
      <c r="J326" s="314"/>
      <c r="K326" s="314"/>
      <c r="L326" s="314"/>
      <c r="M326" s="314"/>
      <c r="N326" s="314"/>
      <c r="O326" s="314"/>
      <c r="P326" s="314"/>
      <c r="Q326" s="314"/>
      <c r="R326" s="314"/>
      <c r="S326" s="314"/>
      <c r="T326" s="314"/>
      <c r="U326" s="314"/>
      <c r="V326" s="314"/>
      <c r="W326" s="314"/>
      <c r="X326" s="314"/>
      <c r="Y326" s="314"/>
      <c r="Z326" s="314"/>
      <c r="AA326" s="314"/>
      <c r="AB326" s="314"/>
      <c r="AC326" s="314"/>
      <c r="AD326" s="314"/>
      <c r="AE326" s="314"/>
      <c r="AF326" s="97"/>
      <c r="AG326" s="97"/>
      <c r="AH326" s="97"/>
      <c r="AI326" s="97"/>
      <c r="AJ326" s="97"/>
      <c r="AK326" s="97"/>
      <c r="AL326" s="98"/>
      <c r="AM326" s="98"/>
      <c r="AN326" s="98"/>
      <c r="AO326" s="95"/>
      <c r="AP326" s="214"/>
      <c r="AQ326" s="214"/>
      <c r="AR326" s="101"/>
      <c r="AS326" s="101"/>
      <c r="AT326" s="101"/>
      <c r="AU326" s="165"/>
      <c r="AV326" s="165"/>
      <c r="AW326" s="165"/>
      <c r="AX326" s="166"/>
      <c r="AY326" s="166"/>
      <c r="AZ326" s="166"/>
      <c r="BA326" s="104"/>
      <c r="BB326" s="104"/>
      <c r="BC326" s="104"/>
      <c r="BD326" s="105"/>
      <c r="BE326" s="105"/>
      <c r="BF326" s="105"/>
      <c r="BG326" s="172"/>
      <c r="BH326" s="172"/>
      <c r="BI326" s="172"/>
      <c r="BJ326" s="108"/>
      <c r="BK326" s="108"/>
      <c r="BL326" s="108"/>
      <c r="BM326" s="110"/>
      <c r="BN326" s="110"/>
      <c r="BO326" s="110"/>
      <c r="BP326" s="175"/>
      <c r="BQ326" s="175"/>
      <c r="BR326" s="175"/>
      <c r="BS326" s="52"/>
      <c r="BT326" s="52"/>
      <c r="BU326" s="52"/>
      <c r="BV326" s="54"/>
      <c r="BW326" s="54"/>
      <c r="BX326" s="54"/>
      <c r="BY326" s="55"/>
      <c r="BZ326" s="55"/>
      <c r="CA326" s="55"/>
      <c r="CB326" s="55"/>
      <c r="CC326" s="55"/>
      <c r="CD326" s="55"/>
      <c r="CE326" s="124"/>
      <c r="CF326" s="124"/>
      <c r="CG326" s="124"/>
      <c r="CH326" s="178"/>
      <c r="CI326" s="178"/>
      <c r="CJ326" s="178"/>
      <c r="CK326" s="57"/>
      <c r="CL326" s="57"/>
      <c r="CM326" s="57"/>
      <c r="CN326" s="58"/>
      <c r="CO326" s="58"/>
      <c r="CP326" s="58"/>
      <c r="CQ326" s="60"/>
      <c r="CR326" s="60"/>
      <c r="CS326" s="60"/>
      <c r="CT326" s="314"/>
      <c r="CU326" s="314"/>
      <c r="CV326" s="314"/>
      <c r="CW326" s="314">
        <v>1</v>
      </c>
      <c r="CX326" s="314"/>
      <c r="CY326" s="314"/>
      <c r="CZ326" s="314">
        <v>1</v>
      </c>
      <c r="DA326" s="314"/>
      <c r="DB326" s="314">
        <v>177</v>
      </c>
      <c r="DC326" s="314">
        <v>1</v>
      </c>
      <c r="DD326" s="314"/>
      <c r="DE326" s="314">
        <v>213</v>
      </c>
      <c r="DF326" s="314">
        <v>1</v>
      </c>
      <c r="DG326" s="314"/>
      <c r="DH326" s="314">
        <v>206</v>
      </c>
      <c r="DI326" s="314"/>
      <c r="DJ326" s="314"/>
      <c r="DK326" s="314"/>
      <c r="DL326" s="314">
        <v>1</v>
      </c>
      <c r="DM326" s="314"/>
      <c r="DN326" s="314">
        <v>222</v>
      </c>
      <c r="DO326" s="314">
        <v>1</v>
      </c>
      <c r="DP326" s="314">
        <v>843</v>
      </c>
      <c r="DQ326" s="314">
        <v>210</v>
      </c>
    </row>
    <row r="327" spans="1:121" s="16" customFormat="1" ht="15" customHeight="1">
      <c r="A327" s="90" t="s">
        <v>368</v>
      </c>
      <c r="B327" s="42"/>
      <c r="C327" s="42"/>
      <c r="D327" s="42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  <c r="AB327" s="145"/>
      <c r="AC327" s="145"/>
      <c r="AD327" s="145"/>
      <c r="AE327" s="145"/>
      <c r="AF327" s="97">
        <v>4</v>
      </c>
      <c r="AG327" s="97"/>
      <c r="AH327" s="97">
        <v>469</v>
      </c>
      <c r="AI327" s="97">
        <v>4</v>
      </c>
      <c r="AJ327" s="97"/>
      <c r="AK327" s="97">
        <v>473</v>
      </c>
      <c r="AL327" s="98">
        <v>4</v>
      </c>
      <c r="AM327" s="98"/>
      <c r="AN327" s="98">
        <v>335</v>
      </c>
      <c r="AO327" s="95">
        <v>4</v>
      </c>
      <c r="AP327" s="214"/>
      <c r="AQ327" s="214">
        <v>187</v>
      </c>
      <c r="AR327" s="101">
        <v>4</v>
      </c>
      <c r="AS327" s="101"/>
      <c r="AT327" s="101">
        <v>410</v>
      </c>
      <c r="AU327" s="165">
        <v>4</v>
      </c>
      <c r="AV327" s="165"/>
      <c r="AW327" s="165">
        <v>415</v>
      </c>
      <c r="AX327" s="166"/>
      <c r="AY327" s="166"/>
      <c r="AZ327" s="166"/>
      <c r="BA327" s="104">
        <v>4</v>
      </c>
      <c r="BB327" s="104"/>
      <c r="BC327" s="104">
        <v>462</v>
      </c>
      <c r="BD327" s="105">
        <v>4</v>
      </c>
      <c r="BE327" s="105"/>
      <c r="BF327" s="105">
        <v>464</v>
      </c>
      <c r="BG327" s="172">
        <v>4</v>
      </c>
      <c r="BH327" s="172"/>
      <c r="BI327" s="172">
        <v>456</v>
      </c>
      <c r="BJ327" s="108">
        <v>4</v>
      </c>
      <c r="BK327" s="108"/>
      <c r="BL327" s="108">
        <v>476</v>
      </c>
      <c r="BM327" s="110">
        <v>4</v>
      </c>
      <c r="BN327" s="110"/>
      <c r="BO327" s="110">
        <v>465</v>
      </c>
      <c r="BP327" s="175">
        <v>4</v>
      </c>
      <c r="BQ327" s="175"/>
      <c r="BR327" s="175">
        <v>247</v>
      </c>
      <c r="BS327" s="52"/>
      <c r="BT327" s="52"/>
      <c r="BU327" s="52"/>
      <c r="BV327" s="54">
        <v>4</v>
      </c>
      <c r="BW327" s="54">
        <v>1534</v>
      </c>
      <c r="BX327" s="54"/>
      <c r="BY327" s="55">
        <v>3</v>
      </c>
      <c r="BZ327" s="55"/>
      <c r="CA327" s="55"/>
      <c r="CB327" s="55">
        <v>3</v>
      </c>
      <c r="CC327" s="55"/>
      <c r="CD327" s="55"/>
      <c r="CE327" s="124">
        <v>3</v>
      </c>
      <c r="CF327" s="124"/>
      <c r="CG327" s="124"/>
      <c r="CH327" s="178">
        <v>3</v>
      </c>
      <c r="CI327" s="178"/>
      <c r="CJ327" s="178"/>
      <c r="CK327" s="57">
        <v>3</v>
      </c>
      <c r="CL327" s="57"/>
      <c r="CM327" s="57"/>
      <c r="CN327" s="58"/>
      <c r="CO327" s="58"/>
      <c r="CP327" s="58"/>
      <c r="CQ327" s="60">
        <v>3</v>
      </c>
      <c r="CR327" s="60"/>
      <c r="CS327" s="60"/>
      <c r="CT327" s="150">
        <v>3</v>
      </c>
      <c r="CU327" s="150"/>
      <c r="CV327" s="150"/>
      <c r="CW327" s="62">
        <v>3</v>
      </c>
      <c r="CX327" s="62"/>
      <c r="CY327" s="62"/>
      <c r="CZ327" s="95">
        <v>3</v>
      </c>
      <c r="DA327" s="95"/>
      <c r="DB327" s="95"/>
      <c r="DC327" s="95">
        <v>3</v>
      </c>
      <c r="DD327" s="95"/>
      <c r="DE327" s="95"/>
      <c r="DF327" s="95">
        <v>3</v>
      </c>
      <c r="DG327" s="95"/>
      <c r="DH327" s="95"/>
      <c r="DI327" s="42"/>
      <c r="DJ327" s="42"/>
      <c r="DK327" s="42"/>
      <c r="DL327" s="42">
        <v>3</v>
      </c>
      <c r="DM327" s="42"/>
      <c r="DN327" s="42"/>
      <c r="DO327" s="42">
        <v>3</v>
      </c>
      <c r="DP327" s="42"/>
      <c r="DQ327" s="42"/>
    </row>
    <row r="328" spans="1:121" s="16" customFormat="1" ht="15" customHeight="1">
      <c r="A328" s="90" t="s">
        <v>383</v>
      </c>
      <c r="B328" s="42"/>
      <c r="C328" s="42"/>
      <c r="D328" s="42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  <c r="AB328" s="145"/>
      <c r="AC328" s="145"/>
      <c r="AD328" s="145"/>
      <c r="AE328" s="145"/>
      <c r="AF328" s="97">
        <v>1</v>
      </c>
      <c r="AG328" s="97">
        <v>607</v>
      </c>
      <c r="AH328" s="97">
        <v>76</v>
      </c>
      <c r="AI328" s="97"/>
      <c r="AJ328" s="97"/>
      <c r="AK328" s="97"/>
      <c r="AL328" s="98"/>
      <c r="AM328" s="98"/>
      <c r="AN328" s="98"/>
      <c r="AO328" s="95"/>
      <c r="AP328" s="214"/>
      <c r="AQ328" s="214"/>
      <c r="AR328" s="101"/>
      <c r="AS328" s="101"/>
      <c r="AT328" s="101"/>
      <c r="AU328" s="165"/>
      <c r="AV328" s="165"/>
      <c r="AW328" s="165"/>
      <c r="AX328" s="166"/>
      <c r="AY328" s="166"/>
      <c r="AZ328" s="166"/>
      <c r="BA328" s="104"/>
      <c r="BB328" s="104"/>
      <c r="BC328" s="104"/>
      <c r="BD328" s="105"/>
      <c r="BE328" s="105"/>
      <c r="BF328" s="105"/>
      <c r="BG328" s="172"/>
      <c r="BH328" s="172"/>
      <c r="BI328" s="172"/>
      <c r="BJ328" s="108"/>
      <c r="BK328" s="108"/>
      <c r="BL328" s="108"/>
      <c r="BM328" s="110"/>
      <c r="BN328" s="110"/>
      <c r="BO328" s="110"/>
      <c r="BP328" s="175"/>
      <c r="BQ328" s="175"/>
      <c r="BR328" s="175"/>
      <c r="BS328" s="52"/>
      <c r="BT328" s="52"/>
      <c r="BU328" s="52"/>
      <c r="BV328" s="54"/>
      <c r="BW328" s="54"/>
      <c r="BX328" s="54"/>
      <c r="BY328" s="55"/>
      <c r="BZ328" s="55"/>
      <c r="CA328" s="55"/>
      <c r="CB328" s="55"/>
      <c r="CC328" s="55"/>
      <c r="CD328" s="55"/>
      <c r="CE328" s="124"/>
      <c r="CF328" s="124"/>
      <c r="CG328" s="124"/>
      <c r="CH328" s="178"/>
      <c r="CI328" s="178"/>
      <c r="CJ328" s="178"/>
      <c r="CK328" s="57"/>
      <c r="CL328" s="57"/>
      <c r="CM328" s="57"/>
      <c r="CN328" s="58"/>
      <c r="CO328" s="58"/>
      <c r="CP328" s="58"/>
      <c r="CQ328" s="60"/>
      <c r="CR328" s="60"/>
      <c r="CS328" s="60"/>
      <c r="CT328" s="150"/>
      <c r="CU328" s="150"/>
      <c r="CV328" s="150"/>
      <c r="CW328" s="62"/>
      <c r="CX328" s="62"/>
      <c r="CY328" s="62"/>
      <c r="CZ328" s="95"/>
      <c r="DA328" s="95"/>
      <c r="DB328" s="95"/>
      <c r="DC328" s="95"/>
      <c r="DD328" s="95"/>
      <c r="DE328" s="95"/>
      <c r="DF328" s="95"/>
      <c r="DG328" s="95"/>
      <c r="DH328" s="95"/>
      <c r="DI328" s="42"/>
      <c r="DJ328" s="42"/>
      <c r="DK328" s="42"/>
      <c r="DL328" s="42"/>
      <c r="DM328" s="42"/>
      <c r="DN328" s="42"/>
      <c r="DO328" s="42"/>
      <c r="DP328" s="42"/>
      <c r="DQ328" s="42"/>
    </row>
    <row r="329" spans="1:121" s="16" customFormat="1" ht="15" customHeight="1">
      <c r="A329" s="90" t="s">
        <v>430</v>
      </c>
      <c r="B329" s="42"/>
      <c r="C329" s="42"/>
      <c r="D329" s="42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  <c r="AB329" s="145"/>
      <c r="AC329" s="145"/>
      <c r="AD329" s="145"/>
      <c r="AE329" s="145"/>
      <c r="AF329" s="97"/>
      <c r="AG329" s="97"/>
      <c r="AH329" s="97"/>
      <c r="AI329" s="97"/>
      <c r="AJ329" s="97"/>
      <c r="AK329" s="97"/>
      <c r="AL329" s="98"/>
      <c r="AM329" s="98"/>
      <c r="AN329" s="98"/>
      <c r="AO329" s="95"/>
      <c r="AP329" s="214"/>
      <c r="AQ329" s="214"/>
      <c r="AR329" s="101"/>
      <c r="AS329" s="101"/>
      <c r="AT329" s="101"/>
      <c r="AU329" s="165">
        <v>1</v>
      </c>
      <c r="AV329" s="165"/>
      <c r="AW329" s="165">
        <v>184</v>
      </c>
      <c r="AX329" s="166"/>
      <c r="AY329" s="166"/>
      <c r="AZ329" s="166"/>
      <c r="BA329" s="104">
        <v>1</v>
      </c>
      <c r="BB329" s="104"/>
      <c r="BC329" s="104">
        <v>284</v>
      </c>
      <c r="BD329" s="105">
        <v>1</v>
      </c>
      <c r="BE329" s="105"/>
      <c r="BF329" s="105">
        <v>276</v>
      </c>
      <c r="BG329" s="172">
        <v>1</v>
      </c>
      <c r="BH329" s="172">
        <v>810</v>
      </c>
      <c r="BI329" s="172">
        <v>231</v>
      </c>
      <c r="BJ329" s="108">
        <v>1</v>
      </c>
      <c r="BK329" s="108"/>
      <c r="BL329" s="108">
        <v>281</v>
      </c>
      <c r="BM329" s="110">
        <v>1</v>
      </c>
      <c r="BN329" s="110">
        <v>722</v>
      </c>
      <c r="BO329" s="110">
        <v>277</v>
      </c>
      <c r="BP329" s="175">
        <v>1</v>
      </c>
      <c r="BQ329" s="175"/>
      <c r="BR329" s="175">
        <v>248</v>
      </c>
      <c r="BS329" s="52"/>
      <c r="BT329" s="52"/>
      <c r="BU329" s="52"/>
      <c r="BV329" s="54">
        <v>1</v>
      </c>
      <c r="BW329" s="54">
        <v>353</v>
      </c>
      <c r="BX329" s="54">
        <v>104</v>
      </c>
      <c r="BY329" s="55"/>
      <c r="BZ329" s="55"/>
      <c r="CA329" s="55"/>
      <c r="CB329" s="55">
        <v>1</v>
      </c>
      <c r="CC329" s="55"/>
      <c r="CD329" s="55">
        <v>168</v>
      </c>
      <c r="CE329" s="124">
        <v>1</v>
      </c>
      <c r="CF329" s="124">
        <v>418</v>
      </c>
      <c r="CG329" s="124">
        <v>251</v>
      </c>
      <c r="CH329" s="178">
        <v>1</v>
      </c>
      <c r="CI329" s="178"/>
      <c r="CJ329" s="178">
        <v>252</v>
      </c>
      <c r="CK329" s="57">
        <v>1</v>
      </c>
      <c r="CL329" s="57">
        <v>489</v>
      </c>
      <c r="CM329" s="57">
        <v>237</v>
      </c>
      <c r="CN329" s="58"/>
      <c r="CO329" s="58"/>
      <c r="CP329" s="58"/>
      <c r="CQ329" s="60">
        <v>1</v>
      </c>
      <c r="CR329" s="60"/>
      <c r="CS329" s="60">
        <v>248</v>
      </c>
      <c r="CT329" s="150">
        <v>1</v>
      </c>
      <c r="CU329" s="150"/>
      <c r="CV329" s="150">
        <v>250</v>
      </c>
      <c r="CW329" s="62">
        <v>1</v>
      </c>
      <c r="CX329" s="62">
        <v>506</v>
      </c>
      <c r="CY329" s="62">
        <v>235</v>
      </c>
      <c r="CZ329" s="95">
        <v>1</v>
      </c>
      <c r="DA329" s="95"/>
      <c r="DB329" s="95">
        <v>226</v>
      </c>
      <c r="DC329" s="95">
        <v>1</v>
      </c>
      <c r="DD329" s="95"/>
      <c r="DE329" s="95"/>
      <c r="DF329" s="95">
        <v>1</v>
      </c>
      <c r="DG329" s="95"/>
      <c r="DH329" s="95"/>
      <c r="DI329" s="42"/>
      <c r="DJ329" s="42"/>
      <c r="DK329" s="42"/>
      <c r="DL329" s="42"/>
      <c r="DM329" s="42">
        <v>454</v>
      </c>
      <c r="DN329" s="42"/>
      <c r="DO329" s="42"/>
      <c r="DP329" s="42"/>
      <c r="DQ329" s="42"/>
    </row>
    <row r="330" spans="1:121" s="16" customFormat="1" ht="15" customHeight="1">
      <c r="A330" s="90" t="s">
        <v>448</v>
      </c>
      <c r="B330" s="42"/>
      <c r="C330" s="42"/>
      <c r="D330" s="42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  <c r="AB330" s="145"/>
      <c r="AC330" s="145"/>
      <c r="AD330" s="145"/>
      <c r="AE330" s="145"/>
      <c r="AF330" s="97"/>
      <c r="AG330" s="97"/>
      <c r="AH330" s="97"/>
      <c r="AI330" s="97"/>
      <c r="AJ330" s="97"/>
      <c r="AK330" s="97"/>
      <c r="AL330" s="98"/>
      <c r="AM330" s="98"/>
      <c r="AN330" s="98"/>
      <c r="AO330" s="95"/>
      <c r="AP330" s="214"/>
      <c r="AQ330" s="214"/>
      <c r="AR330" s="101"/>
      <c r="AS330" s="101"/>
      <c r="AT330" s="101"/>
      <c r="AU330" s="165"/>
      <c r="AV330" s="165"/>
      <c r="AW330" s="165"/>
      <c r="AX330" s="166"/>
      <c r="AY330" s="166"/>
      <c r="AZ330" s="166"/>
      <c r="BA330" s="104"/>
      <c r="BB330" s="104"/>
      <c r="BC330" s="104"/>
      <c r="BD330" s="105"/>
      <c r="BE330" s="105"/>
      <c r="BF330" s="105"/>
      <c r="BG330" s="172"/>
      <c r="BH330" s="172"/>
      <c r="BI330" s="172"/>
      <c r="BJ330" s="108"/>
      <c r="BK330" s="108"/>
      <c r="BL330" s="108"/>
      <c r="BM330" s="110"/>
      <c r="BN330" s="110"/>
      <c r="BO330" s="110"/>
      <c r="BP330" s="175"/>
      <c r="BQ330" s="175"/>
      <c r="BR330" s="175"/>
      <c r="BS330" s="52"/>
      <c r="BT330" s="52"/>
      <c r="BU330" s="52"/>
      <c r="BV330" s="54"/>
      <c r="BW330" s="54"/>
      <c r="BX330" s="54"/>
      <c r="BY330" s="55"/>
      <c r="BZ330" s="55"/>
      <c r="CA330" s="55"/>
      <c r="CB330" s="55"/>
      <c r="CC330" s="55"/>
      <c r="CD330" s="55"/>
      <c r="CE330" s="124">
        <v>1</v>
      </c>
      <c r="CF330" s="124"/>
      <c r="CG330" s="124">
        <v>185</v>
      </c>
      <c r="CH330" s="178">
        <v>1</v>
      </c>
      <c r="CI330" s="178"/>
      <c r="CJ330" s="178">
        <v>307</v>
      </c>
      <c r="CK330" s="57">
        <v>1</v>
      </c>
      <c r="CL330" s="57">
        <v>553</v>
      </c>
      <c r="CM330" s="57">
        <v>282</v>
      </c>
      <c r="CN330" s="58"/>
      <c r="CO330" s="58"/>
      <c r="CP330" s="58"/>
      <c r="CQ330" s="60">
        <v>1</v>
      </c>
      <c r="CR330" s="60"/>
      <c r="CS330" s="60">
        <v>297</v>
      </c>
      <c r="CT330" s="150">
        <v>1</v>
      </c>
      <c r="CU330" s="150"/>
      <c r="CV330" s="150">
        <v>282</v>
      </c>
      <c r="CW330" s="62">
        <v>1</v>
      </c>
      <c r="CX330" s="62">
        <v>800</v>
      </c>
      <c r="CY330" s="62">
        <v>268</v>
      </c>
      <c r="CZ330" s="95">
        <v>1</v>
      </c>
      <c r="DA330" s="95"/>
      <c r="DB330" s="95">
        <v>301</v>
      </c>
      <c r="DC330" s="95">
        <v>1</v>
      </c>
      <c r="DD330" s="95"/>
      <c r="DE330" s="95">
        <v>231</v>
      </c>
      <c r="DF330" s="95">
        <v>1</v>
      </c>
      <c r="DG330" s="95"/>
      <c r="DH330" s="95"/>
      <c r="DI330" s="42"/>
      <c r="DJ330" s="42"/>
      <c r="DK330" s="42"/>
      <c r="DL330" s="42">
        <v>1</v>
      </c>
      <c r="DM330" s="42">
        <v>800</v>
      </c>
      <c r="DN330" s="42"/>
      <c r="DO330" s="42">
        <v>1</v>
      </c>
      <c r="DP330" s="42"/>
      <c r="DQ330" s="42">
        <v>245</v>
      </c>
    </row>
    <row r="331" spans="1:121" s="16" customFormat="1" ht="15" customHeight="1">
      <c r="A331" s="90" t="s">
        <v>449</v>
      </c>
      <c r="B331" s="42"/>
      <c r="C331" s="42"/>
      <c r="D331" s="42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  <c r="AB331" s="145"/>
      <c r="AC331" s="145"/>
      <c r="AD331" s="145"/>
      <c r="AE331" s="145"/>
      <c r="AF331" s="97"/>
      <c r="AG331" s="97"/>
      <c r="AH331" s="97"/>
      <c r="AI331" s="97"/>
      <c r="AJ331" s="97"/>
      <c r="AK331" s="97"/>
      <c r="AL331" s="98"/>
      <c r="AM331" s="98"/>
      <c r="AN331" s="98"/>
      <c r="AO331" s="95"/>
      <c r="AP331" s="320"/>
      <c r="AQ331" s="320"/>
      <c r="AR331" s="101"/>
      <c r="AS331" s="101"/>
      <c r="AT331" s="101"/>
      <c r="AU331" s="165"/>
      <c r="AV331" s="165"/>
      <c r="AW331" s="165"/>
      <c r="AX331" s="166"/>
      <c r="AY331" s="166"/>
      <c r="AZ331" s="166"/>
      <c r="BA331" s="104"/>
      <c r="BB331" s="104"/>
      <c r="BC331" s="104"/>
      <c r="BD331" s="105"/>
      <c r="BE331" s="105"/>
      <c r="BF331" s="105"/>
      <c r="BG331" s="105"/>
      <c r="BH331" s="172"/>
      <c r="BI331" s="172"/>
      <c r="BJ331" s="108"/>
      <c r="BK331" s="108"/>
      <c r="BL331" s="108"/>
      <c r="BM331" s="110"/>
      <c r="BN331" s="110"/>
      <c r="BO331" s="110"/>
      <c r="BP331" s="175"/>
      <c r="BQ331" s="175"/>
      <c r="BR331" s="175"/>
      <c r="BS331" s="52"/>
      <c r="BT331" s="52"/>
      <c r="BU331" s="52"/>
      <c r="BV331" s="54"/>
      <c r="BW331" s="54"/>
      <c r="BX331" s="54"/>
      <c r="BY331" s="55"/>
      <c r="BZ331" s="55"/>
      <c r="CA331" s="55"/>
      <c r="CB331" s="55"/>
      <c r="CC331" s="55"/>
      <c r="CD331" s="55"/>
      <c r="CE331" s="124"/>
      <c r="CF331" s="124"/>
      <c r="CG331" s="124"/>
      <c r="CH331" s="178"/>
      <c r="CI331" s="178"/>
      <c r="CJ331" s="178"/>
      <c r="CK331" s="57">
        <v>1</v>
      </c>
      <c r="CL331" s="57"/>
      <c r="CM331" s="57"/>
      <c r="CN331" s="58"/>
      <c r="CO331" s="58"/>
      <c r="CP331" s="58"/>
      <c r="CQ331" s="60">
        <v>1</v>
      </c>
      <c r="CR331" s="60"/>
      <c r="CS331" s="60">
        <v>283</v>
      </c>
      <c r="CT331" s="150">
        <v>1</v>
      </c>
      <c r="CU331" s="150">
        <v>606</v>
      </c>
      <c r="CV331" s="150">
        <v>324</v>
      </c>
      <c r="CW331" s="62">
        <v>1</v>
      </c>
      <c r="CX331" s="62"/>
      <c r="CY331" s="62">
        <v>325</v>
      </c>
      <c r="CZ331" s="95">
        <v>1</v>
      </c>
      <c r="DA331" s="95"/>
      <c r="DB331" s="95">
        <v>319</v>
      </c>
      <c r="DC331" s="95">
        <v>1</v>
      </c>
      <c r="DD331" s="95"/>
      <c r="DE331" s="95">
        <v>155</v>
      </c>
      <c r="DF331" s="95">
        <v>1</v>
      </c>
      <c r="DG331" s="95"/>
      <c r="DH331" s="95"/>
      <c r="DI331" s="42"/>
      <c r="DJ331" s="42"/>
      <c r="DK331" s="42"/>
      <c r="DL331" s="42">
        <v>1</v>
      </c>
      <c r="DM331" s="42">
        <v>800</v>
      </c>
      <c r="DN331" s="42"/>
      <c r="DO331" s="42">
        <v>1</v>
      </c>
      <c r="DP331" s="42"/>
      <c r="DQ331" s="42"/>
    </row>
    <row r="332" spans="1:121" s="16" customFormat="1" ht="15" customHeight="1">
      <c r="A332" s="90" t="s">
        <v>450</v>
      </c>
      <c r="B332" s="42"/>
      <c r="C332" s="42"/>
      <c r="D332" s="42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  <c r="AB332" s="145"/>
      <c r="AC332" s="145"/>
      <c r="AD332" s="145"/>
      <c r="AE332" s="145"/>
      <c r="AF332" s="97"/>
      <c r="AG332" s="97"/>
      <c r="AH332" s="97"/>
      <c r="AI332" s="97"/>
      <c r="AJ332" s="97"/>
      <c r="AK332" s="97"/>
      <c r="AL332" s="98"/>
      <c r="AM332" s="98"/>
      <c r="AN332" s="98"/>
      <c r="AO332" s="95"/>
      <c r="AP332" s="320"/>
      <c r="AQ332" s="320"/>
      <c r="AR332" s="101"/>
      <c r="AS332" s="101"/>
      <c r="AT332" s="101"/>
      <c r="AU332" s="165"/>
      <c r="AV332" s="165"/>
      <c r="AW332" s="165"/>
      <c r="AX332" s="166"/>
      <c r="AY332" s="166"/>
      <c r="AZ332" s="166"/>
      <c r="BA332" s="104"/>
      <c r="BB332" s="104"/>
      <c r="BC332" s="104"/>
      <c r="BD332" s="105"/>
      <c r="BE332" s="105"/>
      <c r="BF332" s="105"/>
      <c r="BG332" s="105"/>
      <c r="BH332" s="172"/>
      <c r="BI332" s="172"/>
      <c r="BJ332" s="108"/>
      <c r="BK332" s="108"/>
      <c r="BL332" s="108"/>
      <c r="BM332" s="110"/>
      <c r="BN332" s="110"/>
      <c r="BO332" s="110"/>
      <c r="BP332" s="175"/>
      <c r="BQ332" s="175"/>
      <c r="BR332" s="175"/>
      <c r="BS332" s="52"/>
      <c r="BT332" s="52"/>
      <c r="BU332" s="52"/>
      <c r="BV332" s="54"/>
      <c r="BW332" s="54"/>
      <c r="BX332" s="54"/>
      <c r="BY332" s="55"/>
      <c r="BZ332" s="55"/>
      <c r="CA332" s="55"/>
      <c r="CB332" s="55"/>
      <c r="CC332" s="55"/>
      <c r="CD332" s="55"/>
      <c r="CE332" s="124"/>
      <c r="CF332" s="124"/>
      <c r="CG332" s="124"/>
      <c r="CH332" s="178"/>
      <c r="CI332" s="178"/>
      <c r="CJ332" s="178"/>
      <c r="CK332" s="57">
        <v>1</v>
      </c>
      <c r="CL332" s="57"/>
      <c r="CM332" s="57">
        <v>166</v>
      </c>
      <c r="CN332" s="58"/>
      <c r="CO332" s="58"/>
      <c r="CP332" s="58"/>
      <c r="CQ332" s="60">
        <v>1</v>
      </c>
      <c r="CR332" s="60"/>
      <c r="CS332" s="60">
        <v>362</v>
      </c>
      <c r="CT332" s="150">
        <v>1</v>
      </c>
      <c r="CU332" s="150">
        <v>550</v>
      </c>
      <c r="CV332" s="150">
        <v>356</v>
      </c>
      <c r="CW332" s="62">
        <v>1</v>
      </c>
      <c r="CX332" s="62">
        <v>684</v>
      </c>
      <c r="CY332" s="62">
        <v>352</v>
      </c>
      <c r="CZ332" s="95">
        <v>1</v>
      </c>
      <c r="DA332" s="95"/>
      <c r="DB332" s="95">
        <v>294</v>
      </c>
      <c r="DC332" s="95">
        <v>1</v>
      </c>
      <c r="DD332" s="95"/>
      <c r="DE332" s="95">
        <v>302</v>
      </c>
      <c r="DF332" s="95">
        <v>1</v>
      </c>
      <c r="DG332" s="95"/>
      <c r="DH332" s="95">
        <v>211</v>
      </c>
      <c r="DI332" s="42"/>
      <c r="DJ332" s="42"/>
      <c r="DK332" s="42"/>
      <c r="DL332" s="42">
        <v>1</v>
      </c>
      <c r="DM332" s="42">
        <v>895</v>
      </c>
      <c r="DN332" s="42">
        <v>86</v>
      </c>
      <c r="DO332" s="42"/>
      <c r="DP332" s="42"/>
      <c r="DQ332" s="42"/>
    </row>
    <row r="333" spans="1:121" s="16" customFormat="1" ht="15" customHeight="1">
      <c r="A333" s="90" t="s">
        <v>369</v>
      </c>
      <c r="B333" s="42"/>
      <c r="C333" s="42"/>
      <c r="D333" s="42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  <c r="AB333" s="145"/>
      <c r="AC333" s="145"/>
      <c r="AD333" s="145"/>
      <c r="AE333" s="145"/>
      <c r="AF333" s="97">
        <v>8</v>
      </c>
      <c r="AG333" s="97">
        <v>3205</v>
      </c>
      <c r="AH333" s="97">
        <v>3261</v>
      </c>
      <c r="AI333" s="97">
        <v>8</v>
      </c>
      <c r="AJ333" s="97">
        <v>1000</v>
      </c>
      <c r="AK333" s="97">
        <v>3093</v>
      </c>
      <c r="AL333" s="98">
        <v>8</v>
      </c>
      <c r="AM333" s="98">
        <v>3595</v>
      </c>
      <c r="AN333" s="98">
        <v>3043</v>
      </c>
      <c r="AO333" s="95">
        <v>8</v>
      </c>
      <c r="AP333" s="285">
        <v>2999</v>
      </c>
      <c r="AQ333" s="285">
        <v>2906</v>
      </c>
      <c r="AR333" s="101">
        <v>8</v>
      </c>
      <c r="AS333" s="101">
        <v>4724</v>
      </c>
      <c r="AT333" s="101">
        <v>3101</v>
      </c>
      <c r="AU333" s="165">
        <v>8</v>
      </c>
      <c r="AV333" s="165">
        <v>1308</v>
      </c>
      <c r="AW333" s="165">
        <v>2722</v>
      </c>
      <c r="AX333" s="166"/>
      <c r="AY333" s="166"/>
      <c r="AZ333" s="166"/>
      <c r="BA333" s="104">
        <v>8</v>
      </c>
      <c r="BB333" s="104">
        <v>3641</v>
      </c>
      <c r="BC333" s="104">
        <v>3026</v>
      </c>
      <c r="BD333" s="105">
        <v>7</v>
      </c>
      <c r="BE333" s="105">
        <v>2741</v>
      </c>
      <c r="BF333" s="105">
        <v>2720</v>
      </c>
      <c r="BG333" s="105">
        <v>6</v>
      </c>
      <c r="BH333" s="172">
        <v>3743</v>
      </c>
      <c r="BI333" s="172">
        <v>2053</v>
      </c>
      <c r="BJ333" s="108">
        <v>5</v>
      </c>
      <c r="BK333" s="108"/>
      <c r="BL333" s="108">
        <v>1967</v>
      </c>
      <c r="BM333" s="110">
        <v>5</v>
      </c>
      <c r="BN333" s="110">
        <v>3040</v>
      </c>
      <c r="BO333" s="110">
        <v>1878</v>
      </c>
      <c r="BP333" s="175">
        <v>4</v>
      </c>
      <c r="BQ333" s="175">
        <v>2516</v>
      </c>
      <c r="BR333" s="175">
        <v>1289</v>
      </c>
      <c r="BS333" s="52"/>
      <c r="BT333" s="52"/>
      <c r="BU333" s="52"/>
      <c r="BV333" s="54">
        <v>3</v>
      </c>
      <c r="BW333" s="54">
        <v>768</v>
      </c>
      <c r="BX333" s="54">
        <v>530</v>
      </c>
      <c r="BY333" s="55">
        <v>2</v>
      </c>
      <c r="BZ333" s="55">
        <v>1065</v>
      </c>
      <c r="CA333" s="55">
        <v>321</v>
      </c>
      <c r="CB333" s="55">
        <v>1</v>
      </c>
      <c r="CC333" s="55"/>
      <c r="CD333" s="55"/>
      <c r="CE333" s="124">
        <v>1</v>
      </c>
      <c r="CF333" s="124"/>
      <c r="CG333" s="124"/>
      <c r="CH333" s="178">
        <v>1</v>
      </c>
      <c r="CI333" s="178"/>
      <c r="CJ333" s="178"/>
      <c r="CK333" s="57">
        <v>1</v>
      </c>
      <c r="CL333" s="57"/>
      <c r="CM333" s="57"/>
      <c r="CN333" s="58"/>
      <c r="CO333" s="58"/>
      <c r="CP333" s="58"/>
      <c r="CQ333" s="60">
        <v>1</v>
      </c>
      <c r="CR333" s="60"/>
      <c r="CS333" s="60"/>
      <c r="CT333" s="150">
        <v>1</v>
      </c>
      <c r="CU333" s="150"/>
      <c r="CV333" s="150"/>
      <c r="CW333" s="62">
        <v>1</v>
      </c>
      <c r="CX333" s="62"/>
      <c r="CY333" s="62"/>
      <c r="CZ333" s="95">
        <v>1</v>
      </c>
      <c r="DA333" s="95"/>
      <c r="DB333" s="95"/>
      <c r="DC333" s="95">
        <v>2</v>
      </c>
      <c r="DD333" s="95"/>
      <c r="DE333" s="95">
        <v>809</v>
      </c>
      <c r="DF333" s="95">
        <v>2</v>
      </c>
      <c r="DG333" s="95"/>
      <c r="DH333" s="95">
        <v>752</v>
      </c>
      <c r="DI333" s="42"/>
      <c r="DJ333" s="42"/>
      <c r="DK333" s="42"/>
      <c r="DL333" s="42">
        <v>2</v>
      </c>
      <c r="DM333" s="42">
        <v>1000</v>
      </c>
      <c r="DN333" s="42">
        <v>809</v>
      </c>
      <c r="DO333" s="42">
        <v>2</v>
      </c>
      <c r="DP333" s="42">
        <v>1255</v>
      </c>
      <c r="DQ333" s="42">
        <v>759</v>
      </c>
    </row>
    <row r="334" spans="1:121" s="16" customFormat="1" ht="15" customHeight="1">
      <c r="A334" s="90" t="s">
        <v>377</v>
      </c>
      <c r="B334" s="42"/>
      <c r="C334" s="42"/>
      <c r="D334" s="42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  <c r="AB334" s="145"/>
      <c r="AC334" s="145"/>
      <c r="AD334" s="145"/>
      <c r="AE334" s="145"/>
      <c r="AF334" s="97"/>
      <c r="AG334" s="97"/>
      <c r="AH334" s="97"/>
      <c r="AI334" s="97"/>
      <c r="AJ334" s="97"/>
      <c r="AK334" s="97"/>
      <c r="AL334" s="98"/>
      <c r="AM334" s="98"/>
      <c r="AN334" s="98"/>
      <c r="AO334" s="95"/>
      <c r="AP334" s="285"/>
      <c r="AQ334" s="285"/>
      <c r="AR334" s="101"/>
      <c r="AS334" s="101"/>
      <c r="AT334" s="101"/>
      <c r="AU334" s="165"/>
      <c r="AV334" s="165"/>
      <c r="AW334" s="165"/>
      <c r="AX334" s="166"/>
      <c r="AY334" s="166"/>
      <c r="AZ334" s="166"/>
      <c r="BA334" s="104"/>
      <c r="BB334" s="104"/>
      <c r="BC334" s="104"/>
      <c r="BD334" s="105"/>
      <c r="BE334" s="105"/>
      <c r="BF334" s="105"/>
      <c r="BG334" s="105"/>
      <c r="BH334" s="172"/>
      <c r="BI334" s="172"/>
      <c r="BJ334" s="108"/>
      <c r="BK334" s="108"/>
      <c r="BL334" s="108"/>
      <c r="BM334" s="110"/>
      <c r="BN334" s="110"/>
      <c r="BO334" s="110"/>
      <c r="BP334" s="175"/>
      <c r="BQ334" s="175"/>
      <c r="BR334" s="175"/>
      <c r="BS334" s="52"/>
      <c r="BT334" s="52"/>
      <c r="BU334" s="52"/>
      <c r="BV334" s="54"/>
      <c r="BW334" s="54"/>
      <c r="BX334" s="54"/>
      <c r="BY334" s="55"/>
      <c r="BZ334" s="55"/>
      <c r="CA334" s="55"/>
      <c r="CB334" s="55"/>
      <c r="CC334" s="55"/>
      <c r="CD334" s="55"/>
      <c r="CE334" s="124"/>
      <c r="CF334" s="124"/>
      <c r="CG334" s="124"/>
      <c r="CH334" s="178">
        <v>1</v>
      </c>
      <c r="CI334" s="178"/>
      <c r="CJ334" s="178">
        <v>273</v>
      </c>
      <c r="CK334" s="57">
        <v>2</v>
      </c>
      <c r="CL334" s="57"/>
      <c r="CM334" s="57">
        <v>817</v>
      </c>
      <c r="CN334" s="58"/>
      <c r="CO334" s="58"/>
      <c r="CP334" s="58"/>
      <c r="CQ334" s="60">
        <v>2</v>
      </c>
      <c r="CR334" s="60"/>
      <c r="CS334" s="60">
        <v>826</v>
      </c>
      <c r="CT334" s="150">
        <v>2</v>
      </c>
      <c r="CU334" s="150">
        <v>2164</v>
      </c>
      <c r="CV334" s="150">
        <v>826</v>
      </c>
      <c r="CW334" s="62">
        <v>2</v>
      </c>
      <c r="CX334" s="62"/>
      <c r="CY334" s="62">
        <v>835</v>
      </c>
      <c r="CZ334" s="95">
        <v>2</v>
      </c>
      <c r="DA334" s="95"/>
      <c r="DB334" s="95">
        <v>831</v>
      </c>
      <c r="DC334" s="95">
        <v>2</v>
      </c>
      <c r="DD334" s="95">
        <v>2400</v>
      </c>
      <c r="DE334" s="95">
        <v>818</v>
      </c>
      <c r="DF334" s="95">
        <v>2</v>
      </c>
      <c r="DG334" s="95">
        <v>654</v>
      </c>
      <c r="DH334" s="95">
        <v>775</v>
      </c>
      <c r="DI334" s="42"/>
      <c r="DJ334" s="42"/>
      <c r="DK334" s="42"/>
      <c r="DL334" s="42">
        <v>2</v>
      </c>
      <c r="DM334" s="42">
        <v>305</v>
      </c>
      <c r="DN334" s="42">
        <v>728</v>
      </c>
      <c r="DO334" s="42">
        <v>2</v>
      </c>
      <c r="DP334" s="42">
        <v>1202</v>
      </c>
      <c r="DQ334" s="42">
        <v>760</v>
      </c>
    </row>
    <row r="335" spans="1:121" s="16" customFormat="1" ht="15" customHeight="1">
      <c r="A335" s="90" t="s">
        <v>378</v>
      </c>
      <c r="B335" s="42"/>
      <c r="C335" s="42"/>
      <c r="D335" s="42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  <c r="AB335" s="145"/>
      <c r="AC335" s="145"/>
      <c r="AD335" s="145"/>
      <c r="AE335" s="145"/>
      <c r="AF335" s="97">
        <v>2</v>
      </c>
      <c r="AG335" s="97">
        <v>713</v>
      </c>
      <c r="AH335" s="97">
        <v>709</v>
      </c>
      <c r="AI335" s="97">
        <v>2</v>
      </c>
      <c r="AJ335" s="97"/>
      <c r="AK335" s="97">
        <v>539</v>
      </c>
      <c r="AL335" s="98">
        <v>2</v>
      </c>
      <c r="AM335" s="98">
        <v>1000</v>
      </c>
      <c r="AN335" s="98">
        <v>600</v>
      </c>
      <c r="AO335" s="95">
        <v>2</v>
      </c>
      <c r="AP335" s="285"/>
      <c r="AQ335" s="285">
        <v>604</v>
      </c>
      <c r="AR335" s="101">
        <v>2</v>
      </c>
      <c r="AS335" s="101">
        <v>1000</v>
      </c>
      <c r="AT335" s="101">
        <v>609</v>
      </c>
      <c r="AU335" s="165">
        <v>2</v>
      </c>
      <c r="AV335" s="165">
        <v>1002</v>
      </c>
      <c r="AW335" s="165">
        <v>572</v>
      </c>
      <c r="AX335" s="166"/>
      <c r="AY335" s="166"/>
      <c r="AZ335" s="166"/>
      <c r="BA335" s="104">
        <v>2</v>
      </c>
      <c r="BB335" s="104"/>
      <c r="BC335" s="104">
        <v>615</v>
      </c>
      <c r="BD335" s="105">
        <v>2</v>
      </c>
      <c r="BE335" s="105">
        <v>1000</v>
      </c>
      <c r="BF335" s="105">
        <v>606</v>
      </c>
      <c r="BG335" s="105">
        <v>2</v>
      </c>
      <c r="BH335" s="172">
        <v>1000</v>
      </c>
      <c r="BI335" s="172">
        <v>599</v>
      </c>
      <c r="BJ335" s="108">
        <v>2</v>
      </c>
      <c r="BK335" s="108"/>
      <c r="BL335" s="108">
        <v>607</v>
      </c>
      <c r="BM335" s="110">
        <v>2</v>
      </c>
      <c r="BN335" s="110">
        <v>1000</v>
      </c>
      <c r="BO335" s="110">
        <v>609</v>
      </c>
      <c r="BP335" s="175">
        <v>2</v>
      </c>
      <c r="BQ335" s="175"/>
      <c r="BR335" s="175">
        <v>581</v>
      </c>
      <c r="BS335" s="52"/>
      <c r="BT335" s="52"/>
      <c r="BU335" s="52"/>
      <c r="BV335" s="54">
        <v>2</v>
      </c>
      <c r="BW335" s="54"/>
      <c r="BX335" s="54">
        <v>9</v>
      </c>
      <c r="BY335" s="55">
        <v>2</v>
      </c>
      <c r="BZ335" s="55"/>
      <c r="CA335" s="55"/>
      <c r="CB335" s="55">
        <v>2</v>
      </c>
      <c r="CC335" s="55"/>
      <c r="CD335" s="55"/>
      <c r="CE335" s="124">
        <v>2</v>
      </c>
      <c r="CF335" s="124"/>
      <c r="CG335" s="124"/>
      <c r="CH335" s="178">
        <v>2</v>
      </c>
      <c r="CI335" s="178"/>
      <c r="CJ335" s="178"/>
      <c r="CK335" s="57">
        <v>2</v>
      </c>
      <c r="CL335" s="57"/>
      <c r="CM335" s="57"/>
      <c r="CN335" s="58"/>
      <c r="CO335" s="58"/>
      <c r="CP335" s="58"/>
      <c r="CQ335" s="60">
        <v>2</v>
      </c>
      <c r="CR335" s="60"/>
      <c r="CS335" s="60"/>
      <c r="CT335" s="150">
        <v>2</v>
      </c>
      <c r="CU335" s="150"/>
      <c r="CV335" s="150"/>
      <c r="CW335" s="62">
        <v>2</v>
      </c>
      <c r="CX335" s="62"/>
      <c r="CY335" s="62"/>
      <c r="CZ335" s="95">
        <v>2</v>
      </c>
      <c r="DA335" s="95"/>
      <c r="DB335" s="95"/>
      <c r="DC335" s="95">
        <v>2</v>
      </c>
      <c r="DD335" s="95"/>
      <c r="DE335" s="95"/>
      <c r="DF335" s="95"/>
      <c r="DG335" s="95">
        <v>1301</v>
      </c>
      <c r="DH335" s="95"/>
      <c r="DI335" s="42"/>
      <c r="DJ335" s="42"/>
      <c r="DK335" s="42"/>
      <c r="DL335" s="42"/>
      <c r="DM335" s="42"/>
      <c r="DN335" s="42"/>
      <c r="DO335" s="42"/>
      <c r="DP335" s="42"/>
      <c r="DQ335" s="42"/>
    </row>
    <row r="336" spans="1:121" s="16" customFormat="1" ht="15" customHeight="1">
      <c r="A336" s="90" t="s">
        <v>379</v>
      </c>
      <c r="B336" s="42"/>
      <c r="C336" s="42"/>
      <c r="D336" s="42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  <c r="AB336" s="145"/>
      <c r="AC336" s="145"/>
      <c r="AD336" s="145"/>
      <c r="AE336" s="145"/>
      <c r="AF336" s="97">
        <v>32</v>
      </c>
      <c r="AG336" s="97"/>
      <c r="AH336" s="97">
        <v>149</v>
      </c>
      <c r="AI336" s="97">
        <v>29</v>
      </c>
      <c r="AJ336" s="97"/>
      <c r="AK336" s="97">
        <v>918</v>
      </c>
      <c r="AL336" s="98">
        <v>25</v>
      </c>
      <c r="AM336" s="98">
        <v>1267</v>
      </c>
      <c r="AN336" s="98">
        <v>596</v>
      </c>
      <c r="AO336" s="95">
        <v>19</v>
      </c>
      <c r="AP336" s="285">
        <v>1255</v>
      </c>
      <c r="AQ336" s="285">
        <v>163</v>
      </c>
      <c r="AR336" s="101">
        <v>15</v>
      </c>
      <c r="AS336" s="101">
        <v>340</v>
      </c>
      <c r="AT336" s="101"/>
      <c r="AU336" s="165"/>
      <c r="AV336" s="165">
        <v>334</v>
      </c>
      <c r="AW336" s="165"/>
      <c r="AX336" s="166"/>
      <c r="AY336" s="166"/>
      <c r="AZ336" s="166"/>
      <c r="BA336" s="104"/>
      <c r="BB336" s="104">
        <v>568</v>
      </c>
      <c r="BC336" s="104"/>
      <c r="BD336" s="105"/>
      <c r="BE336" s="105"/>
      <c r="BF336" s="105"/>
      <c r="BG336" s="105"/>
      <c r="BH336" s="172"/>
      <c r="BI336" s="172"/>
      <c r="BJ336" s="108"/>
      <c r="BK336" s="108"/>
      <c r="BL336" s="108"/>
      <c r="BM336" s="110"/>
      <c r="BN336" s="110"/>
      <c r="BO336" s="110"/>
      <c r="BP336" s="175"/>
      <c r="BQ336" s="175"/>
      <c r="BR336" s="175"/>
      <c r="BS336" s="52"/>
      <c r="BT336" s="52"/>
      <c r="BU336" s="52"/>
      <c r="BV336" s="54"/>
      <c r="BW336" s="54"/>
      <c r="BX336" s="54"/>
      <c r="BY336" s="55"/>
      <c r="BZ336" s="55"/>
      <c r="CA336" s="55"/>
      <c r="CB336" s="55"/>
      <c r="CC336" s="55"/>
      <c r="CD336" s="55"/>
      <c r="CE336" s="124"/>
      <c r="CF336" s="124"/>
      <c r="CG336" s="124"/>
      <c r="CH336" s="178"/>
      <c r="CI336" s="178"/>
      <c r="CJ336" s="178"/>
      <c r="CK336" s="57"/>
      <c r="CL336" s="57"/>
      <c r="CM336" s="57"/>
      <c r="CN336" s="58"/>
      <c r="CO336" s="58"/>
      <c r="CP336" s="58"/>
      <c r="CQ336" s="60"/>
      <c r="CR336" s="60"/>
      <c r="CS336" s="60"/>
      <c r="CT336" s="150"/>
      <c r="CU336" s="150"/>
      <c r="CV336" s="150"/>
      <c r="CW336" s="62"/>
      <c r="CX336" s="62"/>
      <c r="CY336" s="62"/>
      <c r="CZ336" s="95"/>
      <c r="DA336" s="95"/>
      <c r="DB336" s="95"/>
      <c r="DC336" s="95"/>
      <c r="DD336" s="95"/>
      <c r="DE336" s="95"/>
      <c r="DF336" s="95"/>
      <c r="DG336" s="95"/>
      <c r="DH336" s="95"/>
      <c r="DI336" s="42"/>
      <c r="DJ336" s="42"/>
      <c r="DK336" s="42"/>
      <c r="DL336" s="42"/>
      <c r="DM336" s="42"/>
      <c r="DN336" s="42"/>
      <c r="DO336" s="42"/>
      <c r="DP336" s="42"/>
      <c r="DQ336" s="42"/>
    </row>
    <row r="337" spans="1:121" s="16" customFormat="1" ht="15" customHeight="1">
      <c r="A337" s="90" t="s">
        <v>423</v>
      </c>
      <c r="B337" s="42"/>
      <c r="C337" s="42"/>
      <c r="D337" s="42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  <c r="AB337" s="145"/>
      <c r="AC337" s="145"/>
      <c r="AD337" s="145"/>
      <c r="AE337" s="145"/>
      <c r="AF337" s="97"/>
      <c r="AG337" s="97"/>
      <c r="AH337" s="97"/>
      <c r="AI337" s="97">
        <v>3</v>
      </c>
      <c r="AJ337" s="97"/>
      <c r="AK337" s="97">
        <v>1015</v>
      </c>
      <c r="AL337" s="98">
        <v>7</v>
      </c>
      <c r="AM337" s="98">
        <v>1437</v>
      </c>
      <c r="AN337" s="98">
        <v>2779</v>
      </c>
      <c r="AO337" s="95">
        <v>9</v>
      </c>
      <c r="AP337" s="285">
        <v>4800</v>
      </c>
      <c r="AQ337" s="285">
        <v>4262</v>
      </c>
      <c r="AR337" s="101">
        <v>12</v>
      </c>
      <c r="AS337" s="101">
        <v>2936</v>
      </c>
      <c r="AT337" s="101">
        <v>6119</v>
      </c>
      <c r="AU337" s="165">
        <v>12</v>
      </c>
      <c r="AV337" s="165">
        <v>7174</v>
      </c>
      <c r="AW337" s="165">
        <v>5920</v>
      </c>
      <c r="AX337" s="166"/>
      <c r="AY337" s="166"/>
      <c r="AZ337" s="166"/>
      <c r="BA337" s="104">
        <v>15</v>
      </c>
      <c r="BB337" s="104">
        <v>5930</v>
      </c>
      <c r="BC337" s="104">
        <v>7355</v>
      </c>
      <c r="BD337" s="105">
        <v>17</v>
      </c>
      <c r="BE337" s="105">
        <v>5471</v>
      </c>
      <c r="BF337" s="105">
        <v>8403</v>
      </c>
      <c r="BG337" s="105">
        <v>19</v>
      </c>
      <c r="BH337" s="172">
        <v>11255</v>
      </c>
      <c r="BI337" s="172">
        <v>9101</v>
      </c>
      <c r="BJ337" s="108">
        <v>20</v>
      </c>
      <c r="BK337" s="108">
        <v>9326</v>
      </c>
      <c r="BL337" s="108">
        <v>10130</v>
      </c>
      <c r="BM337" s="110">
        <v>20</v>
      </c>
      <c r="BN337" s="110">
        <v>9474</v>
      </c>
      <c r="BO337" s="110">
        <v>11048</v>
      </c>
      <c r="BP337" s="175">
        <v>20</v>
      </c>
      <c r="BQ337" s="175">
        <v>12448</v>
      </c>
      <c r="BR337" s="175">
        <v>9724</v>
      </c>
      <c r="BS337" s="52"/>
      <c r="BT337" s="52"/>
      <c r="BU337" s="52"/>
      <c r="BV337" s="54">
        <v>20</v>
      </c>
      <c r="BW337" s="54"/>
      <c r="BX337" s="54"/>
      <c r="BY337" s="55">
        <v>20</v>
      </c>
      <c r="BZ337" s="55"/>
      <c r="CA337" s="55"/>
      <c r="CB337" s="55">
        <v>20</v>
      </c>
      <c r="CC337" s="55"/>
      <c r="CD337" s="55"/>
      <c r="CE337" s="124">
        <v>20</v>
      </c>
      <c r="CF337" s="124"/>
      <c r="CG337" s="124"/>
      <c r="CH337" s="178">
        <v>20</v>
      </c>
      <c r="CI337" s="178"/>
      <c r="CJ337" s="178"/>
      <c r="CK337" s="57">
        <v>20</v>
      </c>
      <c r="CL337" s="57"/>
      <c r="CM337" s="57"/>
      <c r="CN337" s="58"/>
      <c r="CO337" s="58"/>
      <c r="CP337" s="58"/>
      <c r="CQ337" s="60">
        <v>20</v>
      </c>
      <c r="CR337" s="60"/>
      <c r="CS337" s="60"/>
      <c r="CT337" s="150">
        <v>20</v>
      </c>
      <c r="CU337" s="150"/>
      <c r="CV337" s="150"/>
      <c r="CW337" s="62">
        <v>20</v>
      </c>
      <c r="CX337" s="62"/>
      <c r="CY337" s="62"/>
      <c r="CZ337" s="95">
        <v>20</v>
      </c>
      <c r="DA337" s="95"/>
      <c r="DB337" s="95"/>
      <c r="DC337" s="95">
        <v>20</v>
      </c>
      <c r="DD337" s="95"/>
      <c r="DE337" s="95"/>
      <c r="DF337" s="95">
        <v>20</v>
      </c>
      <c r="DG337" s="95"/>
      <c r="DH337" s="95"/>
      <c r="DI337" s="42"/>
      <c r="DJ337" s="42"/>
      <c r="DK337" s="42"/>
      <c r="DL337" s="42">
        <v>20</v>
      </c>
      <c r="DM337" s="42"/>
      <c r="DN337" s="42"/>
      <c r="DO337" s="42">
        <v>20</v>
      </c>
      <c r="DP337" s="42"/>
      <c r="DQ337" s="42"/>
    </row>
    <row r="338" spans="1:121" s="16" customFormat="1" ht="15" customHeight="1">
      <c r="A338" s="90" t="s">
        <v>158</v>
      </c>
      <c r="B338" s="42"/>
      <c r="C338" s="42"/>
      <c r="D338" s="42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  <c r="AB338" s="145"/>
      <c r="AC338" s="145"/>
      <c r="AD338" s="145"/>
      <c r="AE338" s="145"/>
      <c r="AF338" s="97">
        <v>5</v>
      </c>
      <c r="AG338" s="97">
        <v>2753</v>
      </c>
      <c r="AH338" s="97">
        <v>1499</v>
      </c>
      <c r="AI338" s="97">
        <v>5</v>
      </c>
      <c r="AJ338" s="97">
        <v>1092</v>
      </c>
      <c r="AK338" s="97">
        <v>1439</v>
      </c>
      <c r="AL338" s="98">
        <v>5</v>
      </c>
      <c r="AM338" s="98"/>
      <c r="AN338" s="98">
        <v>1470</v>
      </c>
      <c r="AO338" s="95">
        <v>5</v>
      </c>
      <c r="AP338" s="285">
        <v>1565</v>
      </c>
      <c r="AQ338" s="285">
        <v>1475</v>
      </c>
      <c r="AR338" s="101">
        <v>5</v>
      </c>
      <c r="AS338" s="101"/>
      <c r="AT338" s="101">
        <v>1480</v>
      </c>
      <c r="AU338" s="165">
        <v>5</v>
      </c>
      <c r="AV338" s="165"/>
      <c r="AW338" s="165">
        <v>1372</v>
      </c>
      <c r="AX338" s="166"/>
      <c r="AY338" s="166"/>
      <c r="AZ338" s="166"/>
      <c r="BA338" s="104">
        <v>5</v>
      </c>
      <c r="BB338" s="104">
        <v>3330</v>
      </c>
      <c r="BC338" s="104">
        <v>1464</v>
      </c>
      <c r="BD338" s="105">
        <v>5</v>
      </c>
      <c r="BE338" s="105">
        <v>5013</v>
      </c>
      <c r="BF338" s="105">
        <v>1476</v>
      </c>
      <c r="BG338" s="105">
        <v>5</v>
      </c>
      <c r="BH338" s="172"/>
      <c r="BI338" s="172">
        <v>1465</v>
      </c>
      <c r="BJ338" s="108">
        <v>5</v>
      </c>
      <c r="BK338" s="108"/>
      <c r="BL338" s="108">
        <v>1491</v>
      </c>
      <c r="BM338" s="110">
        <v>5</v>
      </c>
      <c r="BN338" s="110"/>
      <c r="BO338" s="110">
        <v>1486</v>
      </c>
      <c r="BP338" s="175">
        <v>5</v>
      </c>
      <c r="BQ338" s="175"/>
      <c r="BR338" s="175">
        <v>1437</v>
      </c>
      <c r="BS338" s="52"/>
      <c r="BT338" s="52"/>
      <c r="BU338" s="52"/>
      <c r="BV338" s="54">
        <v>5</v>
      </c>
      <c r="BW338" s="54"/>
      <c r="BX338" s="54">
        <v>98</v>
      </c>
      <c r="BY338" s="55">
        <v>5</v>
      </c>
      <c r="BZ338" s="55"/>
      <c r="CA338" s="55"/>
      <c r="CB338" s="55">
        <v>5</v>
      </c>
      <c r="CC338" s="55"/>
      <c r="CD338" s="55"/>
      <c r="CE338" s="124">
        <v>5</v>
      </c>
      <c r="CF338" s="124"/>
      <c r="CG338" s="124"/>
      <c r="CH338" s="178">
        <v>5</v>
      </c>
      <c r="CI338" s="178"/>
      <c r="CJ338" s="178"/>
      <c r="CK338" s="57">
        <v>5</v>
      </c>
      <c r="CL338" s="57"/>
      <c r="CM338" s="57"/>
      <c r="CN338" s="58"/>
      <c r="CO338" s="58"/>
      <c r="CP338" s="58"/>
      <c r="CQ338" s="60">
        <v>5</v>
      </c>
      <c r="CR338" s="60"/>
      <c r="CS338" s="60"/>
      <c r="CT338" s="150">
        <v>5</v>
      </c>
      <c r="CU338" s="150"/>
      <c r="CV338" s="150"/>
      <c r="CW338" s="62">
        <v>5</v>
      </c>
      <c r="CX338" s="62"/>
      <c r="CY338" s="62"/>
      <c r="CZ338" s="95">
        <v>5</v>
      </c>
      <c r="DA338" s="95"/>
      <c r="DB338" s="95"/>
      <c r="DC338" s="95">
        <v>5</v>
      </c>
      <c r="DD338" s="95">
        <v>7625</v>
      </c>
      <c r="DE338" s="95">
        <v>1036</v>
      </c>
      <c r="DF338" s="95">
        <v>5</v>
      </c>
      <c r="DG338" s="95">
        <v>419</v>
      </c>
      <c r="DH338" s="95">
        <v>1289</v>
      </c>
      <c r="DI338" s="42"/>
      <c r="DJ338" s="42"/>
      <c r="DK338" s="42"/>
      <c r="DL338" s="42">
        <v>4</v>
      </c>
      <c r="DM338" s="42">
        <v>668</v>
      </c>
      <c r="DN338" s="42">
        <v>1100</v>
      </c>
      <c r="DO338" s="42">
        <v>4</v>
      </c>
      <c r="DP338" s="42"/>
      <c r="DQ338" s="42">
        <v>1013</v>
      </c>
    </row>
    <row r="339" spans="1:121" s="16" customFormat="1" ht="15" customHeight="1">
      <c r="A339" s="90" t="s">
        <v>161</v>
      </c>
      <c r="B339" s="42"/>
      <c r="C339" s="42"/>
      <c r="D339" s="42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  <c r="AB339" s="145"/>
      <c r="AC339" s="145"/>
      <c r="AD339" s="145"/>
      <c r="AE339" s="145"/>
      <c r="AF339" s="97">
        <v>1</v>
      </c>
      <c r="AG339" s="97"/>
      <c r="AH339" s="97"/>
      <c r="AI339" s="97">
        <v>1</v>
      </c>
      <c r="AJ339" s="97"/>
      <c r="AK339" s="97"/>
      <c r="AL339" s="98">
        <v>1</v>
      </c>
      <c r="AM339" s="98"/>
      <c r="AN339" s="98"/>
      <c r="AO339" s="95">
        <v>1</v>
      </c>
      <c r="AP339" s="40"/>
      <c r="AQ339" s="40"/>
      <c r="AR339" s="101">
        <v>1</v>
      </c>
      <c r="AS339" s="101"/>
      <c r="AT339" s="101"/>
      <c r="AU339" s="165">
        <v>1</v>
      </c>
      <c r="AV339" s="165"/>
      <c r="AW339" s="165"/>
      <c r="AX339" s="166"/>
      <c r="AY339" s="166"/>
      <c r="AZ339" s="166"/>
      <c r="BA339" s="104">
        <v>1</v>
      </c>
      <c r="BB339" s="104"/>
      <c r="BC339" s="104"/>
      <c r="BD339" s="105">
        <v>1</v>
      </c>
      <c r="BE339" s="105"/>
      <c r="BF339" s="105"/>
      <c r="BG339" s="105">
        <v>1</v>
      </c>
      <c r="BH339" s="172"/>
      <c r="BI339" s="172"/>
      <c r="BJ339" s="108">
        <v>1</v>
      </c>
      <c r="BK339" s="108"/>
      <c r="BL339" s="108"/>
      <c r="BM339" s="110">
        <v>1</v>
      </c>
      <c r="BN339" s="110"/>
      <c r="BO339" s="110"/>
      <c r="BP339" s="175">
        <v>1</v>
      </c>
      <c r="BQ339" s="175"/>
      <c r="BR339" s="175"/>
      <c r="BS339" s="52"/>
      <c r="BT339" s="52"/>
      <c r="BU339" s="52"/>
      <c r="BV339" s="54">
        <v>1</v>
      </c>
      <c r="BW339" s="54"/>
      <c r="BX339" s="54"/>
      <c r="BY339" s="55">
        <v>1</v>
      </c>
      <c r="BZ339" s="55"/>
      <c r="CA339" s="55"/>
      <c r="CB339" s="55">
        <v>1</v>
      </c>
      <c r="CC339" s="55"/>
      <c r="CD339" s="55"/>
      <c r="CE339" s="124">
        <v>1</v>
      </c>
      <c r="CF339" s="124"/>
      <c r="CG339" s="124"/>
      <c r="CH339" s="178">
        <v>1</v>
      </c>
      <c r="CI339" s="178"/>
      <c r="CJ339" s="178"/>
      <c r="CK339" s="57">
        <v>1</v>
      </c>
      <c r="CL339" s="57"/>
      <c r="CM339" s="57"/>
      <c r="CN339" s="58"/>
      <c r="CO339" s="58"/>
      <c r="CP339" s="58"/>
      <c r="CQ339" s="60">
        <v>1</v>
      </c>
      <c r="CR339" s="60"/>
      <c r="CS339" s="60"/>
      <c r="CT339" s="150">
        <v>1</v>
      </c>
      <c r="CU339" s="150"/>
      <c r="CV339" s="150"/>
      <c r="CW339" s="62">
        <v>1</v>
      </c>
      <c r="CX339" s="62"/>
      <c r="CY339" s="62"/>
      <c r="CZ339" s="95">
        <v>1</v>
      </c>
      <c r="DA339" s="95"/>
      <c r="DB339" s="95"/>
      <c r="DC339" s="95">
        <v>1</v>
      </c>
      <c r="DD339" s="95"/>
      <c r="DE339" s="95"/>
      <c r="DF339" s="95">
        <v>1</v>
      </c>
      <c r="DG339" s="95"/>
      <c r="DH339" s="95"/>
      <c r="DI339" s="42"/>
      <c r="DJ339" s="42"/>
      <c r="DK339" s="42"/>
      <c r="DL339" s="42">
        <v>1</v>
      </c>
      <c r="DM339" s="42"/>
      <c r="DN339" s="42"/>
      <c r="DO339" s="42">
        <v>1</v>
      </c>
      <c r="DP339" s="42"/>
      <c r="DQ339" s="42"/>
    </row>
    <row r="340" spans="1:121" s="16" customFormat="1" ht="15" customHeight="1">
      <c r="A340" s="90" t="s">
        <v>163</v>
      </c>
      <c r="B340" s="42"/>
      <c r="C340" s="42"/>
      <c r="D340" s="42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  <c r="AB340" s="145"/>
      <c r="AC340" s="145"/>
      <c r="AD340" s="145"/>
      <c r="AE340" s="145"/>
      <c r="AF340" s="97">
        <v>2</v>
      </c>
      <c r="AG340" s="97"/>
      <c r="AH340" s="97">
        <v>285</v>
      </c>
      <c r="AI340" s="97">
        <v>2</v>
      </c>
      <c r="AJ340" s="97">
        <v>800</v>
      </c>
      <c r="AK340" s="97">
        <v>850</v>
      </c>
      <c r="AL340" s="98">
        <v>2</v>
      </c>
      <c r="AM340" s="98">
        <v>800</v>
      </c>
      <c r="AN340" s="98">
        <v>866</v>
      </c>
      <c r="AO340" s="95">
        <v>2</v>
      </c>
      <c r="AP340" s="320">
        <v>1600</v>
      </c>
      <c r="AQ340" s="320">
        <v>836</v>
      </c>
      <c r="AR340" s="101">
        <v>2</v>
      </c>
      <c r="AS340" s="101"/>
      <c r="AT340" s="101">
        <v>842</v>
      </c>
      <c r="AU340" s="165">
        <v>2</v>
      </c>
      <c r="AV340" s="165">
        <v>1359</v>
      </c>
      <c r="AW340" s="165">
        <v>807</v>
      </c>
      <c r="AX340" s="166"/>
      <c r="AY340" s="166"/>
      <c r="AZ340" s="166"/>
      <c r="BA340" s="104">
        <v>2</v>
      </c>
      <c r="BB340" s="104"/>
      <c r="BC340" s="104">
        <v>849</v>
      </c>
      <c r="BD340" s="105">
        <v>2</v>
      </c>
      <c r="BE340" s="105">
        <v>1600</v>
      </c>
      <c r="BF340" s="105">
        <v>840</v>
      </c>
      <c r="BG340" s="105">
        <v>2</v>
      </c>
      <c r="BH340" s="172"/>
      <c r="BI340" s="172">
        <v>834</v>
      </c>
      <c r="BJ340" s="108">
        <v>2</v>
      </c>
      <c r="BK340" s="108">
        <v>1600</v>
      </c>
      <c r="BL340" s="108">
        <v>796</v>
      </c>
      <c r="BM340" s="110">
        <v>2</v>
      </c>
      <c r="BN340" s="110">
        <v>800</v>
      </c>
      <c r="BO340" s="110">
        <v>842</v>
      </c>
      <c r="BP340" s="175">
        <v>2</v>
      </c>
      <c r="BQ340" s="175">
        <v>800</v>
      </c>
      <c r="BR340" s="175">
        <v>748</v>
      </c>
      <c r="BS340" s="52"/>
      <c r="BT340" s="52"/>
      <c r="BU340" s="52"/>
      <c r="BV340" s="54">
        <v>2</v>
      </c>
      <c r="BW340" s="54"/>
      <c r="BX340" s="54"/>
      <c r="BY340" s="55">
        <v>2</v>
      </c>
      <c r="BZ340" s="55"/>
      <c r="CA340" s="55"/>
      <c r="CB340" s="55">
        <v>2</v>
      </c>
      <c r="CC340" s="55"/>
      <c r="CD340" s="55"/>
      <c r="CE340" s="124">
        <v>2</v>
      </c>
      <c r="CF340" s="124"/>
      <c r="CG340" s="124"/>
      <c r="CH340" s="178">
        <v>2</v>
      </c>
      <c r="CI340" s="178"/>
      <c r="CJ340" s="178"/>
      <c r="CK340" s="57">
        <v>2</v>
      </c>
      <c r="CL340" s="57"/>
      <c r="CM340" s="57"/>
      <c r="CN340" s="58"/>
      <c r="CO340" s="58"/>
      <c r="CP340" s="58"/>
      <c r="CQ340" s="60">
        <v>2</v>
      </c>
      <c r="CR340" s="60"/>
      <c r="CS340" s="60"/>
      <c r="CT340" s="150">
        <v>2</v>
      </c>
      <c r="CU340" s="150"/>
      <c r="CV340" s="150"/>
      <c r="CW340" s="62">
        <v>2</v>
      </c>
      <c r="CX340" s="62"/>
      <c r="CY340" s="62"/>
      <c r="CZ340" s="95">
        <v>2</v>
      </c>
      <c r="DA340" s="95"/>
      <c r="DB340" s="95"/>
      <c r="DC340" s="95">
        <v>2</v>
      </c>
      <c r="DD340" s="95"/>
      <c r="DE340" s="95"/>
      <c r="DF340" s="95">
        <v>2</v>
      </c>
      <c r="DG340" s="95"/>
      <c r="DH340" s="95"/>
      <c r="DI340" s="42"/>
      <c r="DJ340" s="42"/>
      <c r="DK340" s="42"/>
      <c r="DL340" s="42">
        <v>2</v>
      </c>
      <c r="DM340" s="42"/>
      <c r="DN340" s="42"/>
      <c r="DO340" s="42">
        <v>2</v>
      </c>
      <c r="DP340" s="42"/>
      <c r="DQ340" s="42"/>
    </row>
    <row r="341" spans="1:121" s="16" customFormat="1" ht="15" customHeight="1">
      <c r="A341" s="90" t="s">
        <v>164</v>
      </c>
      <c r="B341" s="42"/>
      <c r="C341" s="42"/>
      <c r="D341" s="42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  <c r="AB341" s="145"/>
      <c r="AC341" s="145"/>
      <c r="AD341" s="145"/>
      <c r="AE341" s="145"/>
      <c r="AF341" s="97">
        <v>1</v>
      </c>
      <c r="AG341" s="97"/>
      <c r="AH341" s="97"/>
      <c r="AI341" s="97">
        <v>1</v>
      </c>
      <c r="AJ341" s="97"/>
      <c r="AK341" s="97"/>
      <c r="AL341" s="98">
        <v>1</v>
      </c>
      <c r="AM341" s="98"/>
      <c r="AN341" s="98"/>
      <c r="AO341" s="95">
        <v>1</v>
      </c>
      <c r="AP341" s="40"/>
      <c r="AQ341" s="40"/>
      <c r="AR341" s="101">
        <v>1</v>
      </c>
      <c r="AS341" s="101"/>
      <c r="AT341" s="101"/>
      <c r="AU341" s="165">
        <v>1</v>
      </c>
      <c r="AV341" s="165"/>
      <c r="AW341" s="165"/>
      <c r="AX341" s="166"/>
      <c r="AY341" s="166"/>
      <c r="AZ341" s="166"/>
      <c r="BA341" s="104">
        <v>1</v>
      </c>
      <c r="BB341" s="104"/>
      <c r="BC341" s="104"/>
      <c r="BD341" s="105">
        <v>1</v>
      </c>
      <c r="BE341" s="105"/>
      <c r="BF341" s="105"/>
      <c r="BG341" s="105">
        <v>1</v>
      </c>
      <c r="BH341" s="172"/>
      <c r="BI341" s="172"/>
      <c r="BJ341" s="108">
        <v>1</v>
      </c>
      <c r="BK341" s="108"/>
      <c r="BL341" s="108"/>
      <c r="BM341" s="110">
        <v>1</v>
      </c>
      <c r="BN341" s="110"/>
      <c r="BO341" s="110"/>
      <c r="BP341" s="175">
        <v>1</v>
      </c>
      <c r="BQ341" s="175"/>
      <c r="BR341" s="175"/>
      <c r="BS341" s="52"/>
      <c r="BT341" s="52"/>
      <c r="BU341" s="52"/>
      <c r="BV341" s="54">
        <v>1</v>
      </c>
      <c r="BW341" s="54"/>
      <c r="BX341" s="54"/>
      <c r="BY341" s="55">
        <v>1</v>
      </c>
      <c r="BZ341" s="55"/>
      <c r="CA341" s="55"/>
      <c r="CB341" s="55">
        <v>1</v>
      </c>
      <c r="CC341" s="55"/>
      <c r="CD341" s="55"/>
      <c r="CE341" s="124">
        <v>1</v>
      </c>
      <c r="CF341" s="124"/>
      <c r="CG341" s="124"/>
      <c r="CH341" s="178">
        <v>1</v>
      </c>
      <c r="CI341" s="178"/>
      <c r="CJ341" s="178"/>
      <c r="CK341" s="57">
        <v>1</v>
      </c>
      <c r="CL341" s="57"/>
      <c r="CM341" s="57"/>
      <c r="CN341" s="58"/>
      <c r="CO341" s="58"/>
      <c r="CP341" s="58"/>
      <c r="CQ341" s="60">
        <v>1</v>
      </c>
      <c r="CR341" s="60"/>
      <c r="CS341" s="60"/>
      <c r="CT341" s="150">
        <v>1</v>
      </c>
      <c r="CU341" s="150"/>
      <c r="CV341" s="150"/>
      <c r="CW341" s="62">
        <v>1</v>
      </c>
      <c r="CX341" s="62"/>
      <c r="CY341" s="62"/>
      <c r="CZ341" s="95">
        <v>1</v>
      </c>
      <c r="DA341" s="95"/>
      <c r="DB341" s="95"/>
      <c r="DC341" s="95">
        <v>1</v>
      </c>
      <c r="DD341" s="95"/>
      <c r="DE341" s="95"/>
      <c r="DF341" s="95">
        <v>1</v>
      </c>
      <c r="DG341" s="95"/>
      <c r="DH341" s="95"/>
      <c r="DI341" s="42"/>
      <c r="DJ341" s="42"/>
      <c r="DK341" s="42"/>
      <c r="DL341" s="42">
        <v>1</v>
      </c>
      <c r="DM341" s="42"/>
      <c r="DN341" s="42"/>
      <c r="DO341" s="42">
        <v>1</v>
      </c>
      <c r="DP341" s="42"/>
      <c r="DQ341" s="42"/>
    </row>
    <row r="342" spans="1:121" s="16" customFormat="1" ht="15" customHeight="1">
      <c r="A342" s="90" t="s">
        <v>429</v>
      </c>
      <c r="B342" s="42"/>
      <c r="C342" s="42"/>
      <c r="D342" s="42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  <c r="AC342" s="145"/>
      <c r="AD342" s="145"/>
      <c r="AE342" s="145"/>
      <c r="AF342" s="97"/>
      <c r="AG342" s="97"/>
      <c r="AH342" s="97"/>
      <c r="AI342" s="97"/>
      <c r="AJ342" s="97"/>
      <c r="AK342" s="97"/>
      <c r="AL342" s="98"/>
      <c r="AM342" s="98"/>
      <c r="AN342" s="98"/>
      <c r="AO342" s="95"/>
      <c r="AP342" s="40"/>
      <c r="AQ342" s="40"/>
      <c r="AR342" s="101"/>
      <c r="AS342" s="101"/>
      <c r="AT342" s="101"/>
      <c r="AU342" s="165">
        <v>1</v>
      </c>
      <c r="AV342" s="165"/>
      <c r="AW342" s="165"/>
      <c r="AX342" s="166"/>
      <c r="AY342" s="166"/>
      <c r="AZ342" s="166"/>
      <c r="BA342" s="104">
        <v>1</v>
      </c>
      <c r="BB342" s="104"/>
      <c r="BC342" s="104">
        <v>254</v>
      </c>
      <c r="BD342" s="105">
        <v>1</v>
      </c>
      <c r="BE342" s="105"/>
      <c r="BF342" s="105">
        <v>248</v>
      </c>
      <c r="BG342" s="105">
        <v>1</v>
      </c>
      <c r="BH342" s="172">
        <v>564</v>
      </c>
      <c r="BI342" s="172">
        <v>236</v>
      </c>
      <c r="BJ342" s="108">
        <v>1</v>
      </c>
      <c r="BK342" s="108">
        <v>355</v>
      </c>
      <c r="BL342" s="108">
        <v>181</v>
      </c>
      <c r="BM342" s="110"/>
      <c r="BN342" s="110"/>
      <c r="BO342" s="110"/>
      <c r="BP342" s="175"/>
      <c r="BQ342" s="175"/>
      <c r="BR342" s="175"/>
      <c r="BS342" s="52"/>
      <c r="BT342" s="52"/>
      <c r="BU342" s="52"/>
      <c r="BV342" s="54"/>
      <c r="BW342" s="54"/>
      <c r="BX342" s="54"/>
      <c r="BY342" s="55"/>
      <c r="BZ342" s="55"/>
      <c r="CA342" s="55"/>
      <c r="CB342" s="55"/>
      <c r="CC342" s="55"/>
      <c r="CD342" s="55"/>
      <c r="CE342" s="124"/>
      <c r="CF342" s="124"/>
      <c r="CG342" s="124"/>
      <c r="CH342" s="178"/>
      <c r="CI342" s="178"/>
      <c r="CJ342" s="178"/>
      <c r="CK342" s="57"/>
      <c r="CL342" s="57"/>
      <c r="CM342" s="57"/>
      <c r="CN342" s="58"/>
      <c r="CO342" s="58"/>
      <c r="CP342" s="58"/>
      <c r="CQ342" s="60"/>
      <c r="CR342" s="60"/>
      <c r="CS342" s="60"/>
      <c r="CT342" s="150"/>
      <c r="CU342" s="150"/>
      <c r="CV342" s="150"/>
      <c r="CW342" s="62"/>
      <c r="CX342" s="62"/>
      <c r="CY342" s="62"/>
      <c r="CZ342" s="95"/>
      <c r="DA342" s="95"/>
      <c r="DB342" s="95"/>
      <c r="DC342" s="95"/>
      <c r="DD342" s="95"/>
      <c r="DE342" s="95"/>
      <c r="DF342" s="95"/>
      <c r="DG342" s="95"/>
      <c r="DH342" s="95"/>
      <c r="DI342" s="42"/>
      <c r="DJ342" s="42"/>
      <c r="DK342" s="42"/>
      <c r="DL342" s="42"/>
      <c r="DM342" s="42"/>
      <c r="DN342" s="42"/>
      <c r="DO342" s="42"/>
      <c r="DP342" s="42"/>
      <c r="DQ342" s="42"/>
    </row>
    <row r="343" spans="1:121" s="16" customFormat="1" ht="15" customHeight="1">
      <c r="A343" s="90" t="s">
        <v>165</v>
      </c>
      <c r="B343" s="42"/>
      <c r="C343" s="42"/>
      <c r="D343" s="42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  <c r="AC343" s="145"/>
      <c r="AD343" s="145"/>
      <c r="AE343" s="145"/>
      <c r="AF343" s="97">
        <v>1</v>
      </c>
      <c r="AG343" s="97">
        <v>700</v>
      </c>
      <c r="AH343" s="97">
        <v>540</v>
      </c>
      <c r="AI343" s="97">
        <v>1</v>
      </c>
      <c r="AJ343" s="97">
        <v>445</v>
      </c>
      <c r="AK343" s="97">
        <v>486</v>
      </c>
      <c r="AL343" s="98">
        <v>1</v>
      </c>
      <c r="AM343" s="98">
        <v>608</v>
      </c>
      <c r="AN343" s="98">
        <v>509</v>
      </c>
      <c r="AO343" s="95">
        <v>1</v>
      </c>
      <c r="AP343" s="320">
        <v>373</v>
      </c>
      <c r="AQ343" s="320">
        <v>497</v>
      </c>
      <c r="AR343" s="101">
        <v>1</v>
      </c>
      <c r="AS343" s="101">
        <v>586</v>
      </c>
      <c r="AT343" s="101">
        <v>334</v>
      </c>
      <c r="AU343" s="165">
        <v>1</v>
      </c>
      <c r="AV343" s="165"/>
      <c r="AW343" s="165">
        <v>380</v>
      </c>
      <c r="AX343" s="166"/>
      <c r="AY343" s="166"/>
      <c r="AZ343" s="166"/>
      <c r="BA343" s="104">
        <v>1</v>
      </c>
      <c r="BB343" s="104">
        <v>800</v>
      </c>
      <c r="BC343" s="104">
        <v>517</v>
      </c>
      <c r="BD343" s="105">
        <v>1</v>
      </c>
      <c r="BE343" s="105"/>
      <c r="BF343" s="105">
        <v>511</v>
      </c>
      <c r="BG343" s="105">
        <v>1</v>
      </c>
      <c r="BH343" s="172">
        <v>800</v>
      </c>
      <c r="BI343" s="172">
        <v>507</v>
      </c>
      <c r="BJ343" s="108">
        <v>1</v>
      </c>
      <c r="BK343" s="108">
        <v>800</v>
      </c>
      <c r="BL343" s="108">
        <v>513</v>
      </c>
      <c r="BM343" s="110">
        <v>1</v>
      </c>
      <c r="BN343" s="110">
        <v>310</v>
      </c>
      <c r="BO343" s="110">
        <v>282</v>
      </c>
      <c r="BP343" s="175"/>
      <c r="BQ343" s="175"/>
      <c r="BR343" s="175"/>
      <c r="BS343" s="52"/>
      <c r="BT343" s="52"/>
      <c r="BU343" s="52"/>
      <c r="BV343" s="54"/>
      <c r="BW343" s="54"/>
      <c r="BX343" s="54"/>
      <c r="BY343" s="55"/>
      <c r="BZ343" s="55"/>
      <c r="CA343" s="55"/>
      <c r="CB343" s="55"/>
      <c r="CC343" s="55"/>
      <c r="CD343" s="55"/>
      <c r="CE343" s="124"/>
      <c r="CF343" s="124"/>
      <c r="CG343" s="124"/>
      <c r="CH343" s="178"/>
      <c r="CI343" s="178"/>
      <c r="CJ343" s="178"/>
      <c r="CK343" s="57"/>
      <c r="CL343" s="57"/>
      <c r="CM343" s="57"/>
      <c r="CN343" s="58"/>
      <c r="CO343" s="58"/>
      <c r="CP343" s="58"/>
      <c r="CQ343" s="60"/>
      <c r="CR343" s="60"/>
      <c r="CS343" s="60"/>
      <c r="CT343" s="150"/>
      <c r="CU343" s="150"/>
      <c r="CV343" s="150"/>
      <c r="CW343" s="62"/>
      <c r="CX343" s="62"/>
      <c r="CY343" s="62"/>
      <c r="CZ343" s="95"/>
      <c r="DA343" s="95"/>
      <c r="DB343" s="95"/>
      <c r="DC343" s="95"/>
      <c r="DD343" s="95"/>
      <c r="DE343" s="95"/>
      <c r="DF343" s="95"/>
      <c r="DG343" s="95"/>
      <c r="DH343" s="95"/>
      <c r="DI343" s="42"/>
      <c r="DJ343" s="42"/>
      <c r="DK343" s="42"/>
      <c r="DL343" s="42"/>
      <c r="DM343" s="42"/>
      <c r="DN343" s="42"/>
      <c r="DO343" s="42"/>
      <c r="DP343" s="42"/>
      <c r="DQ343" s="42"/>
    </row>
    <row r="344" spans="1:121" s="16" customFormat="1" ht="15" customHeight="1">
      <c r="A344" s="90" t="s">
        <v>441</v>
      </c>
      <c r="B344" s="42"/>
      <c r="C344" s="42"/>
      <c r="D344" s="42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  <c r="AB344" s="145"/>
      <c r="AC344" s="145"/>
      <c r="AD344" s="145"/>
      <c r="AE344" s="145"/>
      <c r="AF344" s="97"/>
      <c r="AG344" s="97"/>
      <c r="AH344" s="97"/>
      <c r="AI344" s="97"/>
      <c r="AJ344" s="97"/>
      <c r="AK344" s="97"/>
      <c r="AL344" s="98"/>
      <c r="AM344" s="98"/>
      <c r="AN344" s="98"/>
      <c r="AO344" s="95"/>
      <c r="AP344" s="320"/>
      <c r="AQ344" s="320"/>
      <c r="AR344" s="101"/>
      <c r="AS344" s="101"/>
      <c r="AT344" s="101"/>
      <c r="AU344" s="165"/>
      <c r="AV344" s="165"/>
      <c r="AW344" s="165"/>
      <c r="AX344" s="166"/>
      <c r="AY344" s="166"/>
      <c r="AZ344" s="166"/>
      <c r="BA344" s="104"/>
      <c r="BB344" s="104"/>
      <c r="BC344" s="104"/>
      <c r="BD344" s="105"/>
      <c r="BE344" s="105"/>
      <c r="BF344" s="105"/>
      <c r="BG344" s="105"/>
      <c r="BH344" s="172"/>
      <c r="BI344" s="172"/>
      <c r="BJ344" s="108"/>
      <c r="BK344" s="108"/>
      <c r="BL344" s="108"/>
      <c r="BM344" s="110"/>
      <c r="BN344" s="110"/>
      <c r="BO344" s="110"/>
      <c r="BP344" s="175"/>
      <c r="BQ344" s="175"/>
      <c r="BR344" s="175"/>
      <c r="BS344" s="52"/>
      <c r="BT344" s="52"/>
      <c r="BU344" s="52"/>
      <c r="BV344" s="54"/>
      <c r="BW344" s="54"/>
      <c r="BX344" s="54"/>
      <c r="BY344" s="55">
        <v>1</v>
      </c>
      <c r="BZ344" s="55"/>
      <c r="CA344" s="55"/>
      <c r="CB344" s="55">
        <v>1</v>
      </c>
      <c r="CC344" s="55"/>
      <c r="CD344" s="55">
        <v>226</v>
      </c>
      <c r="CE344" s="124">
        <v>1</v>
      </c>
      <c r="CF344" s="124"/>
      <c r="CG344" s="124">
        <v>268</v>
      </c>
      <c r="CH344" s="178">
        <v>1</v>
      </c>
      <c r="CI344" s="178"/>
      <c r="CJ344" s="178">
        <v>267</v>
      </c>
      <c r="CK344" s="57"/>
      <c r="CL344" s="57">
        <v>800</v>
      </c>
      <c r="CM344" s="57">
        <v>39</v>
      </c>
      <c r="CN344" s="58"/>
      <c r="CO344" s="58"/>
      <c r="CP344" s="58"/>
      <c r="CQ344" s="60"/>
      <c r="CR344" s="60"/>
      <c r="CS344" s="60"/>
      <c r="CT344" s="150"/>
      <c r="CU344" s="150"/>
      <c r="CV344" s="150"/>
      <c r="CW344" s="62"/>
      <c r="CX344" s="62"/>
      <c r="CY344" s="62"/>
      <c r="CZ344" s="95"/>
      <c r="DA344" s="95"/>
      <c r="DB344" s="95"/>
      <c r="DC344" s="95"/>
      <c r="DD344" s="95"/>
      <c r="DE344" s="95"/>
      <c r="DF344" s="95"/>
      <c r="DG344" s="95"/>
      <c r="DH344" s="95"/>
      <c r="DI344" s="42"/>
      <c r="DJ344" s="42"/>
      <c r="DK344" s="42"/>
      <c r="DL344" s="42"/>
      <c r="DM344" s="42"/>
      <c r="DN344" s="42"/>
      <c r="DO344" s="42"/>
      <c r="DP344" s="42"/>
      <c r="DQ344" s="42"/>
    </row>
    <row r="345" spans="1:121" s="16" customFormat="1" ht="15" customHeight="1">
      <c r="A345" s="90" t="s">
        <v>442</v>
      </c>
      <c r="B345" s="42"/>
      <c r="C345" s="42"/>
      <c r="D345" s="42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  <c r="AC345" s="145"/>
      <c r="AD345" s="145"/>
      <c r="AE345" s="145"/>
      <c r="AF345" s="97"/>
      <c r="AG345" s="97"/>
      <c r="AH345" s="97"/>
      <c r="AI345" s="97"/>
      <c r="AJ345" s="97"/>
      <c r="AK345" s="97"/>
      <c r="AL345" s="98"/>
      <c r="AM345" s="98"/>
      <c r="AN345" s="98"/>
      <c r="AO345" s="95"/>
      <c r="AP345" s="320"/>
      <c r="AQ345" s="320"/>
      <c r="AR345" s="101"/>
      <c r="AS345" s="101"/>
      <c r="AT345" s="101"/>
      <c r="AU345" s="165"/>
      <c r="AV345" s="165"/>
      <c r="AW345" s="165"/>
      <c r="AX345" s="166"/>
      <c r="AY345" s="166"/>
      <c r="AZ345" s="166"/>
      <c r="BA345" s="104"/>
      <c r="BB345" s="104"/>
      <c r="BC345" s="104"/>
      <c r="BD345" s="105"/>
      <c r="BE345" s="105"/>
      <c r="BF345" s="105"/>
      <c r="BG345" s="105"/>
      <c r="BH345" s="172"/>
      <c r="BI345" s="172"/>
      <c r="BJ345" s="108"/>
      <c r="BK345" s="108"/>
      <c r="BL345" s="108"/>
      <c r="BM345" s="110"/>
      <c r="BN345" s="110"/>
      <c r="BO345" s="110"/>
      <c r="BP345" s="175"/>
      <c r="BQ345" s="175"/>
      <c r="BR345" s="175"/>
      <c r="BS345" s="52"/>
      <c r="BT345" s="52"/>
      <c r="BU345" s="52"/>
      <c r="BV345" s="54"/>
      <c r="BW345" s="54"/>
      <c r="BX345" s="54"/>
      <c r="BY345" s="55"/>
      <c r="BZ345" s="55"/>
      <c r="CA345" s="55"/>
      <c r="CB345" s="55">
        <v>1</v>
      </c>
      <c r="CC345" s="55"/>
      <c r="CD345" s="55">
        <v>262</v>
      </c>
      <c r="CE345" s="124">
        <v>1</v>
      </c>
      <c r="CF345" s="124"/>
      <c r="CG345" s="124">
        <v>317</v>
      </c>
      <c r="CH345" s="178">
        <v>1</v>
      </c>
      <c r="CI345" s="178"/>
      <c r="CJ345" s="178">
        <v>221</v>
      </c>
      <c r="CK345" s="57"/>
      <c r="CL345" s="57">
        <v>800</v>
      </c>
      <c r="CM345" s="57"/>
      <c r="CN345" s="58"/>
      <c r="CO345" s="58"/>
      <c r="CP345" s="58"/>
      <c r="CQ345" s="60"/>
      <c r="CR345" s="60"/>
      <c r="CS345" s="60"/>
      <c r="CT345" s="150"/>
      <c r="CU345" s="150"/>
      <c r="CV345" s="150"/>
      <c r="CW345" s="62"/>
      <c r="CX345" s="62"/>
      <c r="CY345" s="62"/>
      <c r="CZ345" s="95"/>
      <c r="DA345" s="95"/>
      <c r="DB345" s="95"/>
      <c r="DC345" s="95"/>
      <c r="DD345" s="95"/>
      <c r="DE345" s="95"/>
      <c r="DF345" s="95"/>
      <c r="DG345" s="95"/>
      <c r="DH345" s="95"/>
      <c r="DI345" s="42"/>
      <c r="DJ345" s="42"/>
      <c r="DK345" s="42"/>
      <c r="DL345" s="42"/>
      <c r="DM345" s="42"/>
      <c r="DN345" s="42"/>
      <c r="DO345" s="42"/>
      <c r="DP345" s="42"/>
      <c r="DQ345" s="42"/>
    </row>
    <row r="346" spans="1:121" s="22" customFormat="1" ht="15.75">
      <c r="A346" s="94" t="s">
        <v>70</v>
      </c>
      <c r="B346" s="26"/>
      <c r="C346" s="26"/>
      <c r="D346" s="26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26">
        <f t="shared" ref="AF346:BK346" si="133">SUM(AF313:AF345)</f>
        <v>271</v>
      </c>
      <c r="AG346" s="26">
        <f t="shared" si="133"/>
        <v>96446</v>
      </c>
      <c r="AH346" s="26">
        <f t="shared" si="133"/>
        <v>87314</v>
      </c>
      <c r="AI346" s="26">
        <f t="shared" si="133"/>
        <v>268</v>
      </c>
      <c r="AJ346" s="26">
        <f t="shared" si="133"/>
        <v>84755</v>
      </c>
      <c r="AK346" s="26">
        <f t="shared" si="133"/>
        <v>82411</v>
      </c>
      <c r="AL346" s="26">
        <f t="shared" si="133"/>
        <v>269</v>
      </c>
      <c r="AM346" s="26">
        <f t="shared" si="133"/>
        <v>71153</v>
      </c>
      <c r="AN346" s="26">
        <f t="shared" si="133"/>
        <v>85993</v>
      </c>
      <c r="AO346" s="26">
        <f t="shared" si="133"/>
        <v>267</v>
      </c>
      <c r="AP346" s="26">
        <f t="shared" si="133"/>
        <v>83550</v>
      </c>
      <c r="AQ346" s="26">
        <f t="shared" si="133"/>
        <v>86360</v>
      </c>
      <c r="AR346" s="26">
        <f t="shared" si="133"/>
        <v>266</v>
      </c>
      <c r="AS346" s="26">
        <f t="shared" si="133"/>
        <v>89963</v>
      </c>
      <c r="AT346" s="26">
        <f t="shared" si="133"/>
        <v>89074</v>
      </c>
      <c r="AU346" s="26">
        <f t="shared" si="133"/>
        <v>253</v>
      </c>
      <c r="AV346" s="26">
        <f t="shared" si="133"/>
        <v>90568</v>
      </c>
      <c r="AW346" s="26">
        <f t="shared" si="133"/>
        <v>84323</v>
      </c>
      <c r="AX346" s="26">
        <f t="shared" si="133"/>
        <v>0</v>
      </c>
      <c r="AY346" s="26">
        <f t="shared" si="133"/>
        <v>0</v>
      </c>
      <c r="AZ346" s="26">
        <f t="shared" si="133"/>
        <v>0</v>
      </c>
      <c r="BA346" s="26">
        <f t="shared" si="133"/>
        <v>256</v>
      </c>
      <c r="BB346" s="26">
        <f t="shared" si="133"/>
        <v>89348</v>
      </c>
      <c r="BC346" s="26">
        <f t="shared" si="133"/>
        <v>91636</v>
      </c>
      <c r="BD346" s="26">
        <f t="shared" si="133"/>
        <v>258</v>
      </c>
      <c r="BE346" s="26">
        <f t="shared" si="133"/>
        <v>88815</v>
      </c>
      <c r="BF346" s="26">
        <f t="shared" si="133"/>
        <v>92215</v>
      </c>
      <c r="BG346" s="26">
        <f t="shared" si="133"/>
        <v>260</v>
      </c>
      <c r="BH346" s="26">
        <f t="shared" si="133"/>
        <v>80147</v>
      </c>
      <c r="BI346" s="26">
        <f t="shared" si="133"/>
        <v>93110</v>
      </c>
      <c r="BJ346" s="26">
        <f t="shared" si="133"/>
        <v>261</v>
      </c>
      <c r="BK346" s="26">
        <f t="shared" si="133"/>
        <v>92155</v>
      </c>
      <c r="BL346" s="26">
        <f t="shared" ref="BL346:CP346" si="134">SUM(BL313:BL345)</f>
        <v>94519</v>
      </c>
      <c r="BM346" s="26">
        <f t="shared" si="134"/>
        <v>260</v>
      </c>
      <c r="BN346" s="26">
        <f t="shared" si="134"/>
        <v>97484</v>
      </c>
      <c r="BO346" s="26">
        <f t="shared" si="134"/>
        <v>95028</v>
      </c>
      <c r="BP346" s="26">
        <f t="shared" si="134"/>
        <v>258</v>
      </c>
      <c r="BQ346" s="26">
        <f t="shared" si="134"/>
        <v>93605</v>
      </c>
      <c r="BR346" s="26">
        <f t="shared" si="134"/>
        <v>88083</v>
      </c>
      <c r="BS346" s="26">
        <f t="shared" si="134"/>
        <v>0</v>
      </c>
      <c r="BT346" s="26">
        <f t="shared" si="134"/>
        <v>0</v>
      </c>
      <c r="BU346" s="26">
        <f t="shared" si="134"/>
        <v>0</v>
      </c>
      <c r="BV346" s="26">
        <f t="shared" si="134"/>
        <v>257</v>
      </c>
      <c r="BW346" s="26">
        <f t="shared" si="134"/>
        <v>61912</v>
      </c>
      <c r="BX346" s="26">
        <f t="shared" si="134"/>
        <v>68673</v>
      </c>
      <c r="BY346" s="26">
        <f t="shared" si="134"/>
        <v>255</v>
      </c>
      <c r="BZ346" s="26">
        <f t="shared" si="134"/>
        <v>75984</v>
      </c>
      <c r="CA346" s="26">
        <f t="shared" si="134"/>
        <v>65504</v>
      </c>
      <c r="CB346" s="26">
        <f t="shared" si="134"/>
        <v>256</v>
      </c>
      <c r="CC346" s="26">
        <f t="shared" si="134"/>
        <v>84462</v>
      </c>
      <c r="CD346" s="26">
        <f t="shared" si="134"/>
        <v>63767</v>
      </c>
      <c r="CE346" s="26">
        <f t="shared" si="134"/>
        <v>258</v>
      </c>
      <c r="CF346" s="26">
        <f t="shared" si="134"/>
        <v>60493</v>
      </c>
      <c r="CG346" s="26">
        <f t="shared" si="134"/>
        <v>58542</v>
      </c>
      <c r="CH346" s="26">
        <f t="shared" si="134"/>
        <v>259</v>
      </c>
      <c r="CI346" s="26">
        <f t="shared" si="134"/>
        <v>58802</v>
      </c>
      <c r="CJ346" s="26">
        <f t="shared" si="134"/>
        <v>55965</v>
      </c>
      <c r="CK346" s="26">
        <f t="shared" si="134"/>
        <v>259</v>
      </c>
      <c r="CL346" s="26">
        <f t="shared" si="134"/>
        <v>66470</v>
      </c>
      <c r="CM346" s="26">
        <f t="shared" si="134"/>
        <v>55503</v>
      </c>
      <c r="CN346" s="26">
        <f t="shared" si="134"/>
        <v>0</v>
      </c>
      <c r="CO346" s="26">
        <f t="shared" si="134"/>
        <v>0</v>
      </c>
      <c r="CP346" s="26">
        <f t="shared" si="134"/>
        <v>0</v>
      </c>
      <c r="CQ346" s="26">
        <f>SUM(CQ313:CQ345)</f>
        <v>258</v>
      </c>
      <c r="CR346" s="26">
        <f t="shared" ref="CR346:DQ346" si="135">SUM(CR313:CR345)</f>
        <v>50126</v>
      </c>
      <c r="CS346" s="26">
        <f t="shared" si="135"/>
        <v>72140</v>
      </c>
      <c r="CT346" s="26">
        <f t="shared" si="135"/>
        <v>262</v>
      </c>
      <c r="CU346" s="26">
        <f t="shared" si="135"/>
        <v>62977</v>
      </c>
      <c r="CV346" s="26">
        <f t="shared" si="135"/>
        <v>71428</v>
      </c>
      <c r="CW346" s="26">
        <f t="shared" si="135"/>
        <v>263</v>
      </c>
      <c r="CX346" s="26">
        <f t="shared" si="135"/>
        <v>63407</v>
      </c>
      <c r="CY346" s="26">
        <f t="shared" si="135"/>
        <v>73517</v>
      </c>
      <c r="CZ346" s="26">
        <f t="shared" si="135"/>
        <v>263</v>
      </c>
      <c r="DA346" s="26">
        <f t="shared" si="135"/>
        <v>65855</v>
      </c>
      <c r="DB346" s="26">
        <f t="shared" si="135"/>
        <v>73690</v>
      </c>
      <c r="DC346" s="26">
        <f t="shared" si="135"/>
        <v>263</v>
      </c>
      <c r="DD346" s="26">
        <f t="shared" si="135"/>
        <v>101816</v>
      </c>
      <c r="DE346" s="26">
        <f t="shared" si="135"/>
        <v>75784</v>
      </c>
      <c r="DF346" s="26">
        <f t="shared" si="135"/>
        <v>261</v>
      </c>
      <c r="DG346" s="26">
        <f t="shared" si="135"/>
        <v>57538</v>
      </c>
      <c r="DH346" s="26">
        <f t="shared" si="135"/>
        <v>73247</v>
      </c>
      <c r="DI346" s="26">
        <f t="shared" si="135"/>
        <v>0</v>
      </c>
      <c r="DJ346" s="26">
        <f t="shared" si="135"/>
        <v>0</v>
      </c>
      <c r="DK346" s="26">
        <f t="shared" si="135"/>
        <v>0</v>
      </c>
      <c r="DL346" s="26">
        <f t="shared" si="135"/>
        <v>262</v>
      </c>
      <c r="DM346" s="26">
        <f t="shared" si="135"/>
        <v>78686</v>
      </c>
      <c r="DN346" s="26">
        <f t="shared" si="135"/>
        <v>77680</v>
      </c>
      <c r="DO346" s="26">
        <f>SUM(DO313:DO345)</f>
        <v>261</v>
      </c>
      <c r="DP346" s="26">
        <f t="shared" si="135"/>
        <v>59261</v>
      </c>
      <c r="DQ346" s="26">
        <f t="shared" si="135"/>
        <v>72230</v>
      </c>
    </row>
    <row r="347" spans="1:121">
      <c r="AH347" s="29"/>
      <c r="AK347" s="29"/>
      <c r="AM347" s="29"/>
      <c r="AN347" s="29"/>
      <c r="AP347" s="29"/>
      <c r="AQ347" s="29"/>
      <c r="AT347" s="29"/>
      <c r="AZ347" s="29"/>
      <c r="BB347" s="29"/>
      <c r="BC347" s="29"/>
      <c r="BK347" s="29"/>
      <c r="BR347" s="29"/>
      <c r="BZ347" s="29"/>
      <c r="CA347" s="29"/>
      <c r="CF347" s="29"/>
      <c r="CG347" s="29"/>
      <c r="CM347" s="29"/>
      <c r="CS347" s="29"/>
      <c r="DE347" s="29"/>
      <c r="DG347" s="29"/>
      <c r="DH347" s="29"/>
    </row>
  </sheetData>
  <autoFilter ref="A3:DQ307" xr:uid="{00000000-0009-0000-0000-00000B000000}"/>
  <pageMargins left="0.7" right="0.7" top="0.75" bottom="0.75" header="0.3" footer="0.3"/>
  <pageSetup paperSize="9" scale="4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D857"/>
  <sheetViews>
    <sheetView zoomScale="90" zoomScaleNormal="90" workbookViewId="0">
      <pane xSplit="3" ySplit="3" topLeftCell="D777" activePane="bottomRight" state="frozen"/>
      <selection activeCell="E290" sqref="E290"/>
      <selection pane="topRight" activeCell="E290" sqref="E290"/>
      <selection pane="bottomLeft" activeCell="E290" sqref="E290"/>
      <selection pane="bottomRight" activeCell="J785" sqref="J785:J838"/>
    </sheetView>
  </sheetViews>
  <sheetFormatPr defaultRowHeight="15"/>
  <cols>
    <col min="1" max="1" width="11.7109375" style="15" customWidth="1"/>
    <col min="2" max="2" width="18.5703125" style="1" customWidth="1"/>
    <col min="3" max="3" width="48.7109375" style="79" customWidth="1"/>
    <col min="4" max="4" width="20.42578125" style="1" customWidth="1"/>
    <col min="5" max="5" width="13.28515625" style="1" customWidth="1"/>
    <col min="6" max="6" width="8.28515625" style="1" customWidth="1"/>
    <col min="7" max="7" width="14.85546875" style="1" customWidth="1"/>
    <col min="8" max="8" width="14.5703125" style="1" customWidth="1"/>
    <col min="9" max="9" width="11.140625" style="1" customWidth="1"/>
    <col min="10" max="11" width="14" style="1" customWidth="1"/>
    <col min="12" max="12" width="9" style="1" customWidth="1"/>
    <col min="13" max="13" width="12.140625" style="1" customWidth="1"/>
    <col min="14" max="14" width="9" style="1" customWidth="1"/>
    <col min="15" max="15" width="15.140625" style="13" customWidth="1"/>
    <col min="16" max="16" width="15.42578125" style="13" customWidth="1"/>
    <col min="17" max="17" width="9.85546875" style="1" customWidth="1"/>
    <col min="18" max="18" width="12.85546875" style="13" customWidth="1"/>
    <col min="19" max="19" width="13.7109375" style="13" customWidth="1"/>
    <col min="20" max="20" width="14.7109375" style="13" customWidth="1"/>
    <col min="21" max="21" width="10.5703125" style="13" customWidth="1"/>
    <col min="22" max="22" width="16" style="13" customWidth="1"/>
    <col min="23" max="23" width="19" style="1" customWidth="1"/>
    <col min="24" max="24" width="9.140625" style="1" customWidth="1"/>
    <col min="25" max="25" width="22.42578125" style="1" customWidth="1"/>
    <col min="26" max="26" width="10.7109375" style="1" customWidth="1"/>
    <col min="27" max="27" width="16.140625" style="1" customWidth="1"/>
    <col min="28" max="28" width="16.85546875" style="1" customWidth="1"/>
    <col min="29" max="30" width="9.140625" style="1"/>
    <col min="31" max="31" width="10.7109375" style="1" bestFit="1" customWidth="1"/>
    <col min="32" max="16384" width="9.140625" style="1"/>
  </cols>
  <sheetData>
    <row r="2" spans="1:25" ht="31.5" customHeight="1">
      <c r="A2" s="468" t="s">
        <v>38</v>
      </c>
      <c r="B2" s="465" t="s">
        <v>43</v>
      </c>
      <c r="C2" s="469" t="s">
        <v>62</v>
      </c>
      <c r="D2" s="465" t="s">
        <v>36</v>
      </c>
      <c r="E2" s="465" t="s">
        <v>39</v>
      </c>
      <c r="F2" s="469" t="s">
        <v>90</v>
      </c>
      <c r="G2" s="459" t="s">
        <v>49</v>
      </c>
      <c r="H2" s="459" t="s">
        <v>50</v>
      </c>
      <c r="I2" s="459" t="s">
        <v>51</v>
      </c>
      <c r="J2" s="459" t="s">
        <v>52</v>
      </c>
      <c r="K2" s="459" t="s">
        <v>81</v>
      </c>
      <c r="L2" s="459" t="s">
        <v>82</v>
      </c>
      <c r="M2" s="459" t="s">
        <v>83</v>
      </c>
      <c r="N2" s="459" t="s">
        <v>84</v>
      </c>
      <c r="O2" s="466" t="s">
        <v>86</v>
      </c>
      <c r="P2" s="466" t="s">
        <v>87</v>
      </c>
      <c r="Q2" s="465" t="s">
        <v>41</v>
      </c>
      <c r="R2" s="467" t="s">
        <v>46</v>
      </c>
      <c r="S2" s="467"/>
      <c r="T2" s="456" t="s">
        <v>76</v>
      </c>
      <c r="U2" s="456" t="s">
        <v>77</v>
      </c>
      <c r="V2" s="456" t="s">
        <v>78</v>
      </c>
      <c r="W2" s="469" t="s">
        <v>23</v>
      </c>
    </row>
    <row r="3" spans="1:25" ht="21" customHeight="1" thickBot="1">
      <c r="A3" s="468"/>
      <c r="B3" s="465"/>
      <c r="C3" s="461"/>
      <c r="D3" s="465"/>
      <c r="E3" s="465"/>
      <c r="F3" s="470"/>
      <c r="G3" s="461"/>
      <c r="H3" s="461"/>
      <c r="I3" s="492"/>
      <c r="J3" s="488"/>
      <c r="K3" s="492"/>
      <c r="L3" s="460"/>
      <c r="M3" s="460"/>
      <c r="N3" s="460"/>
      <c r="O3" s="467"/>
      <c r="P3" s="467"/>
      <c r="Q3" s="465"/>
      <c r="R3" s="17" t="s">
        <v>26</v>
      </c>
      <c r="S3" s="17" t="s">
        <v>27</v>
      </c>
      <c r="T3" s="458"/>
      <c r="U3" s="457"/>
      <c r="V3" s="458"/>
      <c r="W3" s="488"/>
    </row>
    <row r="4" spans="1:25" ht="15" customHeight="1">
      <c r="A4" s="426">
        <v>46174</v>
      </c>
      <c r="B4" s="429" t="s">
        <v>44</v>
      </c>
      <c r="C4" s="432" t="s">
        <v>240</v>
      </c>
      <c r="D4" s="19" t="s">
        <v>37</v>
      </c>
      <c r="E4" s="19" t="s">
        <v>25</v>
      </c>
      <c r="F4" s="39" t="s">
        <v>40</v>
      </c>
      <c r="G4" s="41">
        <v>12095.82</v>
      </c>
      <c r="H4" s="32">
        <v>2880</v>
      </c>
      <c r="I4" s="32"/>
      <c r="J4" s="32"/>
      <c r="K4" s="20">
        <v>80000</v>
      </c>
      <c r="L4" s="20">
        <v>10</v>
      </c>
      <c r="M4" s="20">
        <v>168000</v>
      </c>
      <c r="N4" s="84">
        <v>21</v>
      </c>
      <c r="O4" s="32">
        <f>June!AG313</f>
        <v>50680</v>
      </c>
      <c r="P4" s="32">
        <f>June!AH313</f>
        <v>36211</v>
      </c>
      <c r="Q4" s="32">
        <f>June!AF313</f>
        <v>92</v>
      </c>
      <c r="R4" s="435">
        <f>June!AG346</f>
        <v>96446</v>
      </c>
      <c r="S4" s="435">
        <f>June!AH346</f>
        <v>87314</v>
      </c>
      <c r="T4" s="20">
        <v>43829</v>
      </c>
      <c r="U4" s="20"/>
      <c r="V4" s="20">
        <f>O4-T4-U4+250533</f>
        <v>257384</v>
      </c>
      <c r="W4" s="77"/>
      <c r="X4" s="36"/>
    </row>
    <row r="5" spans="1:25" ht="15" customHeight="1">
      <c r="A5" s="427"/>
      <c r="B5" s="431"/>
      <c r="C5" s="434"/>
      <c r="D5" s="113" t="s">
        <v>307</v>
      </c>
      <c r="E5" s="113" t="s">
        <v>24</v>
      </c>
      <c r="F5" s="118" t="s">
        <v>40</v>
      </c>
      <c r="G5" s="170"/>
      <c r="H5" s="135">
        <v>1822.5</v>
      </c>
      <c r="I5" s="125"/>
      <c r="J5" s="125"/>
      <c r="K5" s="127">
        <v>8000</v>
      </c>
      <c r="L5" s="127">
        <v>1</v>
      </c>
      <c r="M5" s="216">
        <v>168000</v>
      </c>
      <c r="N5" s="238">
        <v>21</v>
      </c>
      <c r="O5" s="126">
        <f>June!AG314</f>
        <v>20502</v>
      </c>
      <c r="P5" s="125">
        <f>June!AH314</f>
        <v>31054</v>
      </c>
      <c r="Q5" s="125">
        <f>June!AF314</f>
        <v>76</v>
      </c>
      <c r="R5" s="436"/>
      <c r="S5" s="436"/>
      <c r="T5" s="127">
        <v>8495</v>
      </c>
      <c r="U5" s="127">
        <v>18</v>
      </c>
      <c r="V5" s="127">
        <f>+O5-T5-U5+22008</f>
        <v>33997</v>
      </c>
      <c r="W5" s="46"/>
      <c r="X5" s="67"/>
    </row>
    <row r="6" spans="1:25" ht="15" customHeight="1">
      <c r="A6" s="427"/>
      <c r="B6" s="442" t="s">
        <v>45</v>
      </c>
      <c r="C6" s="448" t="s">
        <v>59</v>
      </c>
      <c r="D6" s="118" t="s">
        <v>75</v>
      </c>
      <c r="E6" s="438" t="s">
        <v>25</v>
      </c>
      <c r="F6" s="131" t="s">
        <v>57</v>
      </c>
      <c r="G6" s="87"/>
      <c r="H6" s="152"/>
      <c r="I6" s="126"/>
      <c r="J6" s="2"/>
      <c r="K6" s="127"/>
      <c r="L6" s="18"/>
      <c r="M6" s="18">
        <v>20720</v>
      </c>
      <c r="N6" s="80">
        <v>4</v>
      </c>
      <c r="O6" s="126">
        <f>June!AG317</f>
        <v>3300</v>
      </c>
      <c r="P6" s="126">
        <f>June!AH317</f>
        <v>2730</v>
      </c>
      <c r="Q6" s="2">
        <f>June!AF317</f>
        <v>10</v>
      </c>
      <c r="R6" s="436"/>
      <c r="S6" s="436"/>
      <c r="T6" s="18">
        <v>6607</v>
      </c>
      <c r="U6" s="18"/>
      <c r="V6" s="127">
        <f>+O6-T6-U6+10350</f>
        <v>7043</v>
      </c>
      <c r="W6" s="46"/>
      <c r="Y6" s="13"/>
    </row>
    <row r="7" spans="1:25" ht="15" customHeight="1">
      <c r="A7" s="427"/>
      <c r="B7" s="439"/>
      <c r="C7" s="440"/>
      <c r="D7" s="118" t="s">
        <v>291</v>
      </c>
      <c r="E7" s="430"/>
      <c r="F7" s="131" t="s">
        <v>57</v>
      </c>
      <c r="G7" s="87"/>
      <c r="H7" s="152"/>
      <c r="I7" s="126"/>
      <c r="J7" s="2"/>
      <c r="K7" s="127"/>
      <c r="L7" s="18"/>
      <c r="M7" s="18"/>
      <c r="N7" s="80"/>
      <c r="O7" s="126"/>
      <c r="P7" s="126">
        <f>June!AH318</f>
        <v>555</v>
      </c>
      <c r="Q7" s="2">
        <f>June!AF318</f>
        <v>2</v>
      </c>
      <c r="R7" s="436"/>
      <c r="S7" s="436"/>
      <c r="T7" s="18"/>
      <c r="U7" s="18"/>
      <c r="V7" s="127">
        <f>+O7-T7-U7+5721</f>
        <v>5721</v>
      </c>
      <c r="W7" s="46"/>
      <c r="Y7" s="13"/>
    </row>
    <row r="8" spans="1:25">
      <c r="A8" s="427"/>
      <c r="B8" s="439"/>
      <c r="C8" s="440"/>
      <c r="D8" s="118" t="s">
        <v>72</v>
      </c>
      <c r="E8" s="155" t="s">
        <v>24</v>
      </c>
      <c r="F8" s="131" t="s">
        <v>57</v>
      </c>
      <c r="G8" s="224"/>
      <c r="H8" s="152"/>
      <c r="I8" s="126"/>
      <c r="J8" s="126"/>
      <c r="K8" s="127"/>
      <c r="L8" s="18"/>
      <c r="M8" s="18">
        <v>40000</v>
      </c>
      <c r="N8" s="80">
        <v>8</v>
      </c>
      <c r="O8" s="126">
        <f>June!AG319</f>
        <v>2210</v>
      </c>
      <c r="P8" s="126">
        <f>June!AH319</f>
        <v>2270</v>
      </c>
      <c r="Q8" s="126">
        <f>June!AF319</f>
        <v>9</v>
      </c>
      <c r="R8" s="436"/>
      <c r="S8" s="436"/>
      <c r="T8" s="18"/>
      <c r="U8" s="18"/>
      <c r="V8" s="127">
        <f>+O8-T8-U8+3323</f>
        <v>5533</v>
      </c>
      <c r="W8" s="46"/>
      <c r="Y8" s="13"/>
    </row>
    <row r="9" spans="1:25" ht="14.25" customHeight="1">
      <c r="A9" s="427"/>
      <c r="B9" s="439"/>
      <c r="C9" s="440"/>
      <c r="D9" s="115" t="s">
        <v>79</v>
      </c>
      <c r="E9" s="424" t="s">
        <v>65</v>
      </c>
      <c r="F9" s="131" t="s">
        <v>57</v>
      </c>
      <c r="G9" s="224"/>
      <c r="H9" s="126"/>
      <c r="I9" s="126"/>
      <c r="J9" s="126"/>
      <c r="K9" s="18"/>
      <c r="L9" s="18"/>
      <c r="M9" s="18"/>
      <c r="N9" s="80"/>
      <c r="O9" s="126">
        <f>June!AG320</f>
        <v>3262</v>
      </c>
      <c r="P9" s="126">
        <f>June!AH320</f>
        <v>881</v>
      </c>
      <c r="Q9" s="126">
        <f>June!AF320</f>
        <v>5</v>
      </c>
      <c r="R9" s="436"/>
      <c r="S9" s="436"/>
      <c r="T9" s="18"/>
      <c r="U9" s="18"/>
      <c r="V9" s="127">
        <f>+O9-T9-U9+5438</f>
        <v>8700</v>
      </c>
      <c r="W9" s="45"/>
      <c r="X9" s="36"/>
    </row>
    <row r="10" spans="1:25" ht="14.25" customHeight="1">
      <c r="A10" s="427"/>
      <c r="B10" s="439"/>
      <c r="C10" s="449"/>
      <c r="D10" s="115" t="s">
        <v>80</v>
      </c>
      <c r="E10" s="425"/>
      <c r="F10" s="131"/>
      <c r="G10" s="224"/>
      <c r="H10" s="37">
        <v>372.8</v>
      </c>
      <c r="I10" s="126"/>
      <c r="J10" s="126"/>
      <c r="K10" s="18"/>
      <c r="L10" s="18"/>
      <c r="M10" s="18"/>
      <c r="N10" s="80"/>
      <c r="O10" s="126"/>
      <c r="P10" s="126"/>
      <c r="Q10" s="126"/>
      <c r="R10" s="436"/>
      <c r="S10" s="436"/>
      <c r="T10" s="18"/>
      <c r="U10" s="18"/>
      <c r="V10" s="127"/>
      <c r="W10" s="45"/>
      <c r="X10" s="67"/>
    </row>
    <row r="11" spans="1:25" ht="14.25" customHeight="1">
      <c r="A11" s="427"/>
      <c r="B11" s="439"/>
      <c r="C11" s="448" t="s">
        <v>299</v>
      </c>
      <c r="D11" s="115" t="s">
        <v>296</v>
      </c>
      <c r="E11" s="424" t="s">
        <v>25</v>
      </c>
      <c r="F11" s="131" t="s">
        <v>298</v>
      </c>
      <c r="G11" s="224"/>
      <c r="H11" s="37"/>
      <c r="I11" s="126"/>
      <c r="J11" s="126"/>
      <c r="K11" s="18"/>
      <c r="L11" s="18"/>
      <c r="M11" s="18"/>
      <c r="N11" s="80"/>
      <c r="O11" s="126">
        <f>June!AG322</f>
        <v>949</v>
      </c>
      <c r="P11" s="126">
        <f>June!AH322</f>
        <v>221</v>
      </c>
      <c r="Q11" s="126">
        <f>June!AF322</f>
        <v>1</v>
      </c>
      <c r="R11" s="436"/>
      <c r="S11" s="436"/>
      <c r="T11" s="18"/>
      <c r="U11" s="18"/>
      <c r="V11" s="127">
        <f>+O11-T11-U11+7326</f>
        <v>8275</v>
      </c>
      <c r="W11" s="45"/>
      <c r="X11" s="67"/>
    </row>
    <row r="12" spans="1:25" ht="14.25" customHeight="1">
      <c r="A12" s="427"/>
      <c r="B12" s="443"/>
      <c r="C12" s="449"/>
      <c r="D12" s="115" t="s">
        <v>75</v>
      </c>
      <c r="E12" s="425"/>
      <c r="F12" s="131" t="s">
        <v>298</v>
      </c>
      <c r="G12" s="229">
        <v>652.08000000000004</v>
      </c>
      <c r="H12" s="37"/>
      <c r="I12" s="126"/>
      <c r="J12" s="126"/>
      <c r="K12" s="18">
        <v>10000</v>
      </c>
      <c r="L12" s="18">
        <v>2</v>
      </c>
      <c r="M12" s="18">
        <v>15000</v>
      </c>
      <c r="N12" s="80">
        <v>3</v>
      </c>
      <c r="O12" s="126">
        <f>June!AG323</f>
        <v>962</v>
      </c>
      <c r="P12" s="126">
        <f>June!AH323</f>
        <v>764</v>
      </c>
      <c r="Q12" s="126">
        <f>June!AF323</f>
        <v>3</v>
      </c>
      <c r="R12" s="436"/>
      <c r="S12" s="436"/>
      <c r="T12" s="18"/>
      <c r="U12" s="18"/>
      <c r="V12" s="127">
        <f>+O12-T12-U12+2941</f>
        <v>3903</v>
      </c>
      <c r="W12" s="45"/>
      <c r="X12" s="67"/>
    </row>
    <row r="13" spans="1:25" ht="14.25" customHeight="1">
      <c r="A13" s="427"/>
      <c r="B13" s="439" t="s">
        <v>53</v>
      </c>
      <c r="C13" s="445" t="s">
        <v>60</v>
      </c>
      <c r="D13" s="43" t="s">
        <v>320</v>
      </c>
      <c r="E13" s="441" t="s">
        <v>66</v>
      </c>
      <c r="F13" s="118" t="s">
        <v>54</v>
      </c>
      <c r="G13" s="224"/>
      <c r="H13" s="37"/>
      <c r="I13" s="126"/>
      <c r="J13" s="126"/>
      <c r="K13" s="18"/>
      <c r="L13" s="18"/>
      <c r="M13" s="18">
        <v>12000</v>
      </c>
      <c r="N13" s="80">
        <v>2</v>
      </c>
      <c r="O13" s="126">
        <f>June!AG315</f>
        <v>4267</v>
      </c>
      <c r="P13" s="126">
        <f>June!AH315</f>
        <v>4896</v>
      </c>
      <c r="Q13" s="126">
        <f>June!AF315</f>
        <v>14</v>
      </c>
      <c r="R13" s="436"/>
      <c r="S13" s="436"/>
      <c r="T13" s="18"/>
      <c r="U13" s="18"/>
      <c r="V13" s="127">
        <f>+O13-T13-U13+3864</f>
        <v>8131</v>
      </c>
      <c r="W13" s="45"/>
      <c r="X13" s="67"/>
    </row>
    <row r="14" spans="1:25" ht="14.25" customHeight="1">
      <c r="A14" s="427"/>
      <c r="B14" s="439"/>
      <c r="C14" s="445"/>
      <c r="D14" s="43" t="s">
        <v>387</v>
      </c>
      <c r="E14" s="425"/>
      <c r="F14" s="118" t="s">
        <v>54</v>
      </c>
      <c r="G14" s="229">
        <v>2473.66</v>
      </c>
      <c r="H14" s="182"/>
      <c r="I14" s="125"/>
      <c r="J14" s="125"/>
      <c r="K14" s="127"/>
      <c r="L14" s="127"/>
      <c r="M14" s="127">
        <v>70800</v>
      </c>
      <c r="N14" s="171">
        <v>12</v>
      </c>
      <c r="O14" s="125"/>
      <c r="P14" s="125"/>
      <c r="Q14" s="125"/>
      <c r="R14" s="436"/>
      <c r="S14" s="436"/>
      <c r="T14" s="18"/>
      <c r="U14" s="18"/>
      <c r="V14" s="127">
        <f>+O14-T14-U14</f>
        <v>0</v>
      </c>
      <c r="W14" s="45"/>
      <c r="X14" s="67"/>
    </row>
    <row r="15" spans="1:25" ht="14.25" customHeight="1">
      <c r="A15" s="427"/>
      <c r="B15" s="443"/>
      <c r="C15" s="446"/>
      <c r="D15" s="43" t="s">
        <v>199</v>
      </c>
      <c r="E15" s="114" t="s">
        <v>25</v>
      </c>
      <c r="F15" s="118" t="s">
        <v>54</v>
      </c>
      <c r="G15" s="224"/>
      <c r="H15" s="135"/>
      <c r="I15" s="158"/>
      <c r="J15" s="158"/>
      <c r="K15" s="128"/>
      <c r="L15" s="128"/>
      <c r="M15" s="128"/>
      <c r="N15" s="164"/>
      <c r="O15" s="158"/>
      <c r="P15" s="158"/>
      <c r="Q15" s="158"/>
      <c r="R15" s="436"/>
      <c r="S15" s="436"/>
      <c r="T15" s="18"/>
      <c r="U15" s="18"/>
      <c r="V15" s="127">
        <f>+O15-T15-U15+68</f>
        <v>68</v>
      </c>
      <c r="W15" s="45"/>
      <c r="X15" s="67"/>
    </row>
    <row r="16" spans="1:25" ht="15.75" customHeight="1">
      <c r="A16" s="427"/>
      <c r="B16" s="442" t="s">
        <v>55</v>
      </c>
      <c r="C16" s="444" t="s">
        <v>133</v>
      </c>
      <c r="D16" s="48" t="s">
        <v>56</v>
      </c>
      <c r="E16" s="424" t="s">
        <v>25</v>
      </c>
      <c r="F16" s="118" t="s">
        <v>67</v>
      </c>
      <c r="G16" s="226"/>
      <c r="H16" s="126"/>
      <c r="I16" s="126"/>
      <c r="J16" s="2"/>
      <c r="K16" s="18"/>
      <c r="L16" s="18"/>
      <c r="M16" s="18"/>
      <c r="N16" s="18"/>
      <c r="O16" s="126">
        <f>June!AG343</f>
        <v>700</v>
      </c>
      <c r="P16" s="126">
        <f>June!AH343</f>
        <v>540</v>
      </c>
      <c r="Q16" s="126">
        <f>June!AF343</f>
        <v>1</v>
      </c>
      <c r="R16" s="436"/>
      <c r="S16" s="436"/>
      <c r="T16" s="18">
        <v>1148</v>
      </c>
      <c r="U16" s="18"/>
      <c r="V16" s="127">
        <f>+O16-T16-U16+3548</f>
        <v>3100</v>
      </c>
      <c r="W16" s="45"/>
      <c r="X16" s="67"/>
    </row>
    <row r="17" spans="1:24" ht="15.75" customHeight="1">
      <c r="A17" s="427"/>
      <c r="B17" s="443"/>
      <c r="C17" s="446"/>
      <c r="D17" s="48" t="s">
        <v>68</v>
      </c>
      <c r="E17" s="441"/>
      <c r="F17" s="155"/>
      <c r="G17" s="226"/>
      <c r="H17" s="126">
        <v>180</v>
      </c>
      <c r="I17" s="126"/>
      <c r="J17" s="2"/>
      <c r="K17" s="18"/>
      <c r="L17" s="18"/>
      <c r="M17" s="18"/>
      <c r="N17" s="18"/>
      <c r="O17" s="126"/>
      <c r="P17" s="126"/>
      <c r="Q17" s="126"/>
      <c r="R17" s="436"/>
      <c r="S17" s="436"/>
      <c r="T17" s="18"/>
      <c r="U17" s="18"/>
      <c r="V17" s="127"/>
      <c r="W17" s="45"/>
      <c r="X17" s="67"/>
    </row>
    <row r="18" spans="1:24" ht="15" customHeight="1">
      <c r="A18" s="427"/>
      <c r="B18" s="122" t="s">
        <v>122</v>
      </c>
      <c r="C18" s="180" t="s">
        <v>123</v>
      </c>
      <c r="D18" s="48" t="s">
        <v>56</v>
      </c>
      <c r="E18" s="441"/>
      <c r="F18" s="155" t="s">
        <v>64</v>
      </c>
      <c r="G18" s="119"/>
      <c r="H18" s="126"/>
      <c r="I18" s="126"/>
      <c r="J18" s="2"/>
      <c r="K18" s="18"/>
      <c r="L18" s="18"/>
      <c r="M18" s="18">
        <v>64000</v>
      </c>
      <c r="N18" s="18">
        <v>2</v>
      </c>
      <c r="O18" s="126"/>
      <c r="P18" s="126"/>
      <c r="Q18" s="126"/>
      <c r="R18" s="436"/>
      <c r="S18" s="436"/>
      <c r="T18" s="18"/>
      <c r="U18" s="18"/>
      <c r="V18" s="127">
        <f>+O18-T18-U18+18121</f>
        <v>18121</v>
      </c>
      <c r="W18" s="45"/>
      <c r="X18" s="67"/>
    </row>
    <row r="19" spans="1:24" ht="14.25" customHeight="1">
      <c r="A19" s="427"/>
      <c r="B19" s="137" t="s">
        <v>58</v>
      </c>
      <c r="C19" s="157" t="s">
        <v>243</v>
      </c>
      <c r="D19" s="48" t="s">
        <v>56</v>
      </c>
      <c r="E19" s="441"/>
      <c r="F19" s="118" t="s">
        <v>64</v>
      </c>
      <c r="G19" s="225"/>
      <c r="H19" s="126"/>
      <c r="I19" s="126"/>
      <c r="J19" s="126"/>
      <c r="K19" s="18"/>
      <c r="L19" s="18"/>
      <c r="M19" s="18"/>
      <c r="N19" s="80"/>
      <c r="O19" s="126"/>
      <c r="P19" s="126"/>
      <c r="Q19" s="126"/>
      <c r="R19" s="436"/>
      <c r="S19" s="436"/>
      <c r="T19" s="18"/>
      <c r="U19" s="18"/>
      <c r="V19" s="127">
        <f>+O19-T19-U19+8144</f>
        <v>8144</v>
      </c>
      <c r="W19" s="45"/>
      <c r="X19" s="67"/>
    </row>
    <row r="20" spans="1:24" ht="14.25" customHeight="1">
      <c r="A20" s="427"/>
      <c r="B20" s="122" t="s">
        <v>61</v>
      </c>
      <c r="C20" s="180" t="s">
        <v>137</v>
      </c>
      <c r="D20" s="48" t="s">
        <v>56</v>
      </c>
      <c r="E20" s="441"/>
      <c r="F20" s="118" t="s">
        <v>67</v>
      </c>
      <c r="G20" s="225"/>
      <c r="H20" s="126"/>
      <c r="I20" s="126"/>
      <c r="J20" s="126"/>
      <c r="K20" s="18"/>
      <c r="L20" s="18"/>
      <c r="M20" s="18"/>
      <c r="N20" s="80"/>
      <c r="O20" s="126"/>
      <c r="P20" s="126"/>
      <c r="Q20" s="126"/>
      <c r="R20" s="436"/>
      <c r="S20" s="436"/>
      <c r="T20" s="18"/>
      <c r="U20" s="18"/>
      <c r="V20" s="127">
        <f>O20-T20-U20+5844</f>
        <v>5844</v>
      </c>
      <c r="W20" s="45"/>
      <c r="X20" s="67"/>
    </row>
    <row r="21" spans="1:24" ht="14.25" customHeight="1">
      <c r="A21" s="427"/>
      <c r="B21" s="122" t="s">
        <v>125</v>
      </c>
      <c r="C21" s="180" t="s">
        <v>88</v>
      </c>
      <c r="D21" s="48" t="s">
        <v>124</v>
      </c>
      <c r="E21" s="441"/>
      <c r="F21" s="118" t="s">
        <v>64</v>
      </c>
      <c r="G21" s="225"/>
      <c r="H21" s="126"/>
      <c r="I21" s="126"/>
      <c r="J21" s="126"/>
      <c r="K21" s="18"/>
      <c r="L21" s="18"/>
      <c r="M21" s="18">
        <v>51200</v>
      </c>
      <c r="N21" s="80">
        <v>7</v>
      </c>
      <c r="O21" s="126"/>
      <c r="P21" s="126"/>
      <c r="Q21" s="126"/>
      <c r="R21" s="436"/>
      <c r="S21" s="436"/>
      <c r="T21" s="18"/>
      <c r="U21" s="18"/>
      <c r="V21" s="127">
        <f>O21-T21-U21+23615</f>
        <v>23615</v>
      </c>
      <c r="W21" s="45"/>
      <c r="X21" s="67"/>
    </row>
    <row r="22" spans="1:24" ht="14.25" customHeight="1">
      <c r="A22" s="427"/>
      <c r="B22" s="137" t="s">
        <v>47</v>
      </c>
      <c r="C22" s="157" t="s">
        <v>100</v>
      </c>
      <c r="D22" s="48" t="s">
        <v>99</v>
      </c>
      <c r="E22" s="441"/>
      <c r="F22" s="118" t="s">
        <v>71</v>
      </c>
      <c r="G22" s="225"/>
      <c r="H22" s="126"/>
      <c r="I22" s="126"/>
      <c r="J22" s="126"/>
      <c r="K22" s="18"/>
      <c r="L22" s="18"/>
      <c r="M22" s="18"/>
      <c r="N22" s="80"/>
      <c r="O22" s="126">
        <f>June!AG324</f>
        <v>2336</v>
      </c>
      <c r="P22" s="126">
        <f>June!AH324</f>
        <v>744</v>
      </c>
      <c r="Q22" s="126">
        <f>June!AF324</f>
        <v>2</v>
      </c>
      <c r="R22" s="436"/>
      <c r="S22" s="436"/>
      <c r="T22" s="18"/>
      <c r="U22" s="18"/>
      <c r="V22" s="127">
        <f>O22-T22-U22+47971</f>
        <v>50307</v>
      </c>
      <c r="W22" s="45"/>
      <c r="X22" s="67"/>
    </row>
    <row r="23" spans="1:24" ht="15" customHeight="1">
      <c r="A23" s="427"/>
      <c r="B23" s="122" t="s">
        <v>196</v>
      </c>
      <c r="C23" s="180" t="s">
        <v>63</v>
      </c>
      <c r="D23" s="48" t="s">
        <v>135</v>
      </c>
      <c r="E23" s="441"/>
      <c r="F23" s="118" t="s">
        <v>64</v>
      </c>
      <c r="G23" s="226"/>
      <c r="H23" s="126"/>
      <c r="I23" s="126"/>
      <c r="J23" s="2"/>
      <c r="K23" s="18"/>
      <c r="L23" s="18"/>
      <c r="M23" s="18"/>
      <c r="N23" s="18"/>
      <c r="O23" s="126">
        <f>June!AG338</f>
        <v>2753</v>
      </c>
      <c r="P23" s="126">
        <f>June!AH338</f>
        <v>1499</v>
      </c>
      <c r="Q23" s="126">
        <f>June!AF338</f>
        <v>5</v>
      </c>
      <c r="R23" s="436"/>
      <c r="S23" s="436"/>
      <c r="T23" s="18"/>
      <c r="U23" s="18"/>
      <c r="V23" s="127">
        <f>O23-T23-U23+27659</f>
        <v>30412</v>
      </c>
      <c r="W23" s="45"/>
      <c r="X23" s="67"/>
    </row>
    <row r="24" spans="1:24" ht="15" customHeight="1">
      <c r="A24" s="427"/>
      <c r="B24" s="122" t="s">
        <v>363</v>
      </c>
      <c r="C24" s="180" t="s">
        <v>325</v>
      </c>
      <c r="D24" s="48" t="s">
        <v>328</v>
      </c>
      <c r="E24" s="441"/>
      <c r="F24" s="118" t="s">
        <v>48</v>
      </c>
      <c r="G24" s="226"/>
      <c r="H24" s="126"/>
      <c r="I24" s="126"/>
      <c r="J24" s="2"/>
      <c r="K24" s="18"/>
      <c r="L24" s="18"/>
      <c r="M24" s="18"/>
      <c r="N24" s="18"/>
      <c r="O24" s="126">
        <f>June!AG335</f>
        <v>713</v>
      </c>
      <c r="P24" s="126">
        <f>June!AH335</f>
        <v>709</v>
      </c>
      <c r="Q24" s="126">
        <f>June!AF335</f>
        <v>2</v>
      </c>
      <c r="R24" s="436"/>
      <c r="S24" s="436"/>
      <c r="T24" s="18"/>
      <c r="U24" s="18"/>
      <c r="V24" s="127">
        <f>O24-T24-U24+8438</f>
        <v>9151</v>
      </c>
      <c r="W24" s="45"/>
      <c r="X24" s="67"/>
    </row>
    <row r="25" spans="1:24" ht="15" customHeight="1">
      <c r="A25" s="427"/>
      <c r="B25" s="122" t="s">
        <v>253</v>
      </c>
      <c r="C25" s="180" t="s">
        <v>365</v>
      </c>
      <c r="D25" s="48" t="s">
        <v>246</v>
      </c>
      <c r="E25" s="441"/>
      <c r="F25" s="118" t="s">
        <v>247</v>
      </c>
      <c r="G25" s="226"/>
      <c r="H25" s="126"/>
      <c r="I25" s="126"/>
      <c r="J25" s="2"/>
      <c r="K25" s="18"/>
      <c r="L25" s="18"/>
      <c r="M25" s="18"/>
      <c r="N25" s="18"/>
      <c r="O25" s="126"/>
      <c r="P25" s="126">
        <f>June!AH327</f>
        <v>469</v>
      </c>
      <c r="Q25" s="126">
        <f>June!AF327</f>
        <v>4</v>
      </c>
      <c r="R25" s="436"/>
      <c r="S25" s="436"/>
      <c r="T25" s="18"/>
      <c r="U25" s="18"/>
      <c r="V25" s="127">
        <f>O25-T25-U25+17227</f>
        <v>17227</v>
      </c>
      <c r="W25" s="45"/>
      <c r="X25" s="67"/>
    </row>
    <row r="26" spans="1:24" ht="15" customHeight="1">
      <c r="A26" s="427"/>
      <c r="B26" s="122" t="s">
        <v>366</v>
      </c>
      <c r="C26" s="180" t="s">
        <v>367</v>
      </c>
      <c r="D26" s="48" t="s">
        <v>132</v>
      </c>
      <c r="E26" s="441"/>
      <c r="F26" s="118" t="s">
        <v>64</v>
      </c>
      <c r="G26" s="119"/>
      <c r="H26" s="126"/>
      <c r="I26" s="126"/>
      <c r="J26" s="2"/>
      <c r="K26" s="18"/>
      <c r="L26" s="18"/>
      <c r="M26" s="18"/>
      <c r="N26" s="18"/>
      <c r="O26" s="126"/>
      <c r="P26" s="126"/>
      <c r="Q26" s="126"/>
      <c r="R26" s="436"/>
      <c r="S26" s="436"/>
      <c r="T26" s="18"/>
      <c r="U26" s="18"/>
      <c r="V26" s="18">
        <f>O26-T26-U26+0</f>
        <v>0</v>
      </c>
      <c r="W26" s="45"/>
      <c r="X26" s="67"/>
    </row>
    <row r="27" spans="1:24" ht="15" customHeight="1">
      <c r="A27" s="427"/>
      <c r="B27" s="122" t="s">
        <v>101</v>
      </c>
      <c r="C27" s="180" t="s">
        <v>327</v>
      </c>
      <c r="D27" s="48" t="s">
        <v>102</v>
      </c>
      <c r="E27" s="441"/>
      <c r="F27" s="118" t="s">
        <v>64</v>
      </c>
      <c r="G27" s="119"/>
      <c r="H27" s="126"/>
      <c r="I27" s="126"/>
      <c r="J27" s="2"/>
      <c r="K27" s="18"/>
      <c r="L27" s="18"/>
      <c r="M27" s="18">
        <v>14000</v>
      </c>
      <c r="N27" s="18">
        <v>2</v>
      </c>
      <c r="O27" s="126">
        <f>June!AG333</f>
        <v>3205</v>
      </c>
      <c r="P27" s="126">
        <f>June!AH333</f>
        <v>3261</v>
      </c>
      <c r="Q27" s="126">
        <f>June!AF333</f>
        <v>8</v>
      </c>
      <c r="R27" s="436"/>
      <c r="S27" s="436"/>
      <c r="T27" s="18"/>
      <c r="U27" s="18"/>
      <c r="V27" s="18">
        <f>O27-T27-U27+4900</f>
        <v>8105</v>
      </c>
      <c r="W27" s="45"/>
      <c r="X27" s="67"/>
    </row>
    <row r="28" spans="1:24" s="4" customFormat="1" ht="15" customHeight="1">
      <c r="A28" s="427"/>
      <c r="B28" s="122" t="s">
        <v>375</v>
      </c>
      <c r="C28" s="157" t="s">
        <v>376</v>
      </c>
      <c r="D28" s="48" t="s">
        <v>248</v>
      </c>
      <c r="E28" s="441"/>
      <c r="F28" s="48" t="s">
        <v>64</v>
      </c>
      <c r="G28" s="122"/>
      <c r="H28" s="34"/>
      <c r="I28" s="34"/>
      <c r="J28" s="6"/>
      <c r="K28" s="211"/>
      <c r="L28" s="211"/>
      <c r="M28" s="211">
        <v>114300</v>
      </c>
      <c r="N28" s="211">
        <v>28</v>
      </c>
      <c r="O28" s="34"/>
      <c r="P28" s="34">
        <f>June!AH336</f>
        <v>149</v>
      </c>
      <c r="Q28" s="34">
        <f>June!AF336</f>
        <v>32</v>
      </c>
      <c r="R28" s="436"/>
      <c r="S28" s="436"/>
      <c r="T28" s="211"/>
      <c r="U28" s="211"/>
      <c r="V28" s="211">
        <f>O28-T28-U28+76937</f>
        <v>76937</v>
      </c>
      <c r="W28" s="260"/>
      <c r="X28" s="67"/>
    </row>
    <row r="29" spans="1:24" s="4" customFormat="1" ht="15" customHeight="1">
      <c r="A29" s="427"/>
      <c r="B29" s="122" t="s">
        <v>289</v>
      </c>
      <c r="C29" s="180" t="s">
        <v>290</v>
      </c>
      <c r="D29" s="48" t="s">
        <v>75</v>
      </c>
      <c r="E29" s="441"/>
      <c r="F29" s="48" t="s">
        <v>381</v>
      </c>
      <c r="G29" s="122"/>
      <c r="H29" s="34"/>
      <c r="I29" s="34"/>
      <c r="J29" s="6"/>
      <c r="K29" s="211"/>
      <c r="L29" s="211"/>
      <c r="M29" s="211"/>
      <c r="N29" s="211"/>
      <c r="O29" s="34">
        <f>June!AG328</f>
        <v>607</v>
      </c>
      <c r="P29" s="34">
        <f>June!AH328</f>
        <v>76</v>
      </c>
      <c r="Q29" s="34">
        <f>June!AF328</f>
        <v>1</v>
      </c>
      <c r="R29" s="436"/>
      <c r="S29" s="436"/>
      <c r="T29" s="211"/>
      <c r="U29" s="211"/>
      <c r="V29" s="211">
        <f>O29-T29-U29+0</f>
        <v>607</v>
      </c>
      <c r="W29" s="260"/>
      <c r="X29" s="67"/>
    </row>
    <row r="30" spans="1:24" ht="15" customHeight="1">
      <c r="A30" s="427"/>
      <c r="B30" s="122" t="s">
        <v>103</v>
      </c>
      <c r="C30" s="157" t="s">
        <v>197</v>
      </c>
      <c r="D30" s="48" t="s">
        <v>104</v>
      </c>
      <c r="E30" s="441"/>
      <c r="F30" s="118" t="s">
        <v>105</v>
      </c>
      <c r="G30" s="119"/>
      <c r="H30" s="126"/>
      <c r="I30" s="126"/>
      <c r="J30" s="2"/>
      <c r="K30" s="18"/>
      <c r="L30" s="18"/>
      <c r="M30" s="18"/>
      <c r="N30" s="18"/>
      <c r="O30" s="126"/>
      <c r="P30" s="126"/>
      <c r="Q30" s="126">
        <f>June!AF339</f>
        <v>1</v>
      </c>
      <c r="R30" s="436"/>
      <c r="S30" s="436"/>
      <c r="T30" s="18"/>
      <c r="U30" s="18"/>
      <c r="V30" s="18"/>
      <c r="W30" s="45"/>
      <c r="X30" s="67"/>
    </row>
    <row r="31" spans="1:24" ht="15" customHeight="1">
      <c r="A31" s="427"/>
      <c r="B31" s="137" t="s">
        <v>112</v>
      </c>
      <c r="C31" s="157" t="s">
        <v>197</v>
      </c>
      <c r="D31" s="48" t="s">
        <v>104</v>
      </c>
      <c r="E31" s="441"/>
      <c r="F31" s="118" t="s">
        <v>113</v>
      </c>
      <c r="G31" s="119"/>
      <c r="H31" s="126"/>
      <c r="I31" s="126"/>
      <c r="J31" s="2"/>
      <c r="K31" s="18"/>
      <c r="L31" s="18"/>
      <c r="M31" s="18"/>
      <c r="N31" s="18"/>
      <c r="O31" s="126"/>
      <c r="P31" s="126"/>
      <c r="Q31" s="126">
        <f>June!AF341</f>
        <v>1</v>
      </c>
      <c r="R31" s="436"/>
      <c r="S31" s="436"/>
      <c r="T31" s="18"/>
      <c r="U31" s="18"/>
      <c r="V31" s="18"/>
      <c r="W31" s="45"/>
      <c r="X31" s="67"/>
    </row>
    <row r="32" spans="1:24" ht="15" customHeight="1" thickBot="1">
      <c r="A32" s="428"/>
      <c r="B32" s="44" t="s">
        <v>107</v>
      </c>
      <c r="C32" s="181" t="s">
        <v>386</v>
      </c>
      <c r="D32" s="61" t="s">
        <v>108</v>
      </c>
      <c r="E32" s="447"/>
      <c r="F32" s="133" t="s">
        <v>48</v>
      </c>
      <c r="G32" s="132"/>
      <c r="H32" s="109"/>
      <c r="I32" s="134"/>
      <c r="J32" s="129"/>
      <c r="K32" s="130"/>
      <c r="L32" s="130"/>
      <c r="M32" s="130">
        <v>13000</v>
      </c>
      <c r="N32" s="130">
        <v>2</v>
      </c>
      <c r="O32" s="134"/>
      <c r="P32" s="134">
        <f>June!AH340</f>
        <v>285</v>
      </c>
      <c r="Q32" s="134">
        <f>June!AF340</f>
        <v>2</v>
      </c>
      <c r="R32" s="437"/>
      <c r="S32" s="437"/>
      <c r="T32" s="130"/>
      <c r="U32" s="130"/>
      <c r="V32" s="128">
        <f>O32-T32-U32+2597</f>
        <v>2597</v>
      </c>
      <c r="W32" s="85"/>
      <c r="X32" s="67"/>
    </row>
    <row r="33" spans="1:25" ht="15" customHeight="1">
      <c r="A33" s="426">
        <v>46175</v>
      </c>
      <c r="B33" s="429" t="s">
        <v>44</v>
      </c>
      <c r="C33" s="432" t="s">
        <v>240</v>
      </c>
      <c r="D33" s="19" t="s">
        <v>37</v>
      </c>
      <c r="E33" s="19" t="s">
        <v>25</v>
      </c>
      <c r="F33" s="39" t="s">
        <v>40</v>
      </c>
      <c r="G33" s="41"/>
      <c r="H33" s="32">
        <v>1712</v>
      </c>
      <c r="I33" s="32"/>
      <c r="J33" s="32"/>
      <c r="K33" s="20">
        <v>80000</v>
      </c>
      <c r="L33" s="20">
        <v>10</v>
      </c>
      <c r="M33" s="322">
        <v>88000</v>
      </c>
      <c r="N33" s="323">
        <v>11</v>
      </c>
      <c r="O33" s="32">
        <f>June!AJ313</f>
        <v>29540</v>
      </c>
      <c r="P33" s="32">
        <f>June!AK313</f>
        <v>35058</v>
      </c>
      <c r="Q33" s="32">
        <f>June!AI313</f>
        <v>97</v>
      </c>
      <c r="R33" s="435">
        <f>June!AJ346</f>
        <v>84755</v>
      </c>
      <c r="S33" s="435">
        <f>June!AK346</f>
        <v>82411</v>
      </c>
      <c r="T33" s="20">
        <v>64166</v>
      </c>
      <c r="U33" s="20">
        <v>69</v>
      </c>
      <c r="V33" s="20">
        <f>O33-T33-U33+V4</f>
        <v>222689</v>
      </c>
      <c r="W33" s="77"/>
      <c r="X33" s="36"/>
    </row>
    <row r="34" spans="1:25" ht="15" customHeight="1">
      <c r="A34" s="427"/>
      <c r="B34" s="431"/>
      <c r="C34" s="434"/>
      <c r="D34" s="113" t="s">
        <v>307</v>
      </c>
      <c r="E34" s="113" t="s">
        <v>24</v>
      </c>
      <c r="F34" s="118" t="s">
        <v>40</v>
      </c>
      <c r="G34" s="170"/>
      <c r="H34" s="135">
        <v>862.5</v>
      </c>
      <c r="I34" s="125"/>
      <c r="J34" s="125"/>
      <c r="K34" s="127"/>
      <c r="L34" s="127"/>
      <c r="M34" s="324">
        <v>168000</v>
      </c>
      <c r="N34" s="325">
        <v>21</v>
      </c>
      <c r="O34" s="126">
        <f>June!AJ314</f>
        <v>35892</v>
      </c>
      <c r="P34" s="125">
        <f>June!AK314</f>
        <v>26928</v>
      </c>
      <c r="Q34" s="125">
        <f>June!AI314</f>
        <v>72</v>
      </c>
      <c r="R34" s="436"/>
      <c r="S34" s="436"/>
      <c r="T34" s="127"/>
      <c r="U34" s="127"/>
      <c r="V34" s="127">
        <f>O34-T34-U34+V5</f>
        <v>69889</v>
      </c>
      <c r="W34" s="46"/>
      <c r="X34" s="67"/>
    </row>
    <row r="35" spans="1:25" ht="15" customHeight="1">
      <c r="A35" s="427"/>
      <c r="B35" s="442" t="s">
        <v>45</v>
      </c>
      <c r="C35" s="448" t="s">
        <v>59</v>
      </c>
      <c r="D35" s="118" t="s">
        <v>75</v>
      </c>
      <c r="E35" s="438" t="s">
        <v>25</v>
      </c>
      <c r="F35" s="131" t="s">
        <v>57</v>
      </c>
      <c r="G35" s="87">
        <v>2213.0100000000002</v>
      </c>
      <c r="H35" s="152"/>
      <c r="I35" s="126"/>
      <c r="J35" s="2"/>
      <c r="K35" s="127"/>
      <c r="L35" s="18"/>
      <c r="M35" s="18">
        <v>49220</v>
      </c>
      <c r="N35" s="80">
        <v>10</v>
      </c>
      <c r="O35" s="126">
        <f>June!AJ317</f>
        <v>1656</v>
      </c>
      <c r="P35" s="126">
        <f>June!AK317</f>
        <v>2305</v>
      </c>
      <c r="Q35" s="2">
        <f>June!AI317</f>
        <v>9</v>
      </c>
      <c r="R35" s="436"/>
      <c r="S35" s="436"/>
      <c r="T35" s="18"/>
      <c r="U35" s="18"/>
      <c r="V35" s="127">
        <f>O35-T35-U35+V6</f>
        <v>8699</v>
      </c>
      <c r="W35" s="46"/>
      <c r="Y35" s="13"/>
    </row>
    <row r="36" spans="1:25" ht="15" customHeight="1">
      <c r="A36" s="427"/>
      <c r="B36" s="439"/>
      <c r="C36" s="440"/>
      <c r="D36" s="118" t="s">
        <v>291</v>
      </c>
      <c r="E36" s="430"/>
      <c r="F36" s="131" t="s">
        <v>57</v>
      </c>
      <c r="G36" s="87"/>
      <c r="H36" s="152"/>
      <c r="I36" s="126"/>
      <c r="J36" s="2"/>
      <c r="K36" s="127"/>
      <c r="L36" s="18"/>
      <c r="M36" s="18"/>
      <c r="N36" s="80"/>
      <c r="O36" s="126">
        <f>June!AJ318</f>
        <v>1976</v>
      </c>
      <c r="P36" s="126">
        <f>June!AK318</f>
        <v>491</v>
      </c>
      <c r="Q36" s="2">
        <f>June!AI318</f>
        <v>2</v>
      </c>
      <c r="R36" s="436"/>
      <c r="S36" s="436"/>
      <c r="T36" s="18"/>
      <c r="U36" s="18"/>
      <c r="V36" s="127">
        <f>O36-T36-U36+V7</f>
        <v>7697</v>
      </c>
      <c r="W36" s="46"/>
      <c r="Y36" s="13"/>
    </row>
    <row r="37" spans="1:25" ht="15" customHeight="1">
      <c r="A37" s="427"/>
      <c r="B37" s="439"/>
      <c r="C37" s="440"/>
      <c r="D37" s="118" t="s">
        <v>94</v>
      </c>
      <c r="E37" s="431"/>
      <c r="F37" s="131"/>
      <c r="G37" s="87"/>
      <c r="H37" s="152">
        <f>486+648</f>
        <v>1134</v>
      </c>
      <c r="I37" s="126"/>
      <c r="J37" s="2"/>
      <c r="K37" s="127"/>
      <c r="L37" s="18"/>
      <c r="M37" s="18"/>
      <c r="N37" s="80"/>
      <c r="O37" s="126"/>
      <c r="P37" s="126"/>
      <c r="Q37" s="2"/>
      <c r="R37" s="436"/>
      <c r="S37" s="436"/>
      <c r="T37" s="18"/>
      <c r="U37" s="18"/>
      <c r="V37" s="127"/>
      <c r="W37" s="46"/>
      <c r="Y37" s="13"/>
    </row>
    <row r="38" spans="1:25">
      <c r="A38" s="427"/>
      <c r="B38" s="439"/>
      <c r="C38" s="440"/>
      <c r="D38" s="118" t="s">
        <v>72</v>
      </c>
      <c r="E38" s="155" t="s">
        <v>24</v>
      </c>
      <c r="F38" s="131" t="s">
        <v>57</v>
      </c>
      <c r="G38" s="224"/>
      <c r="H38" s="152"/>
      <c r="I38" s="126"/>
      <c r="J38" s="126"/>
      <c r="K38" s="127"/>
      <c r="L38" s="18"/>
      <c r="M38" s="18"/>
      <c r="N38" s="80"/>
      <c r="O38" s="126">
        <f>June!AJ319</f>
        <v>3300</v>
      </c>
      <c r="P38" s="126">
        <f>June!AK319</f>
        <v>2092</v>
      </c>
      <c r="Q38" s="126">
        <f>June!AI319</f>
        <v>9</v>
      </c>
      <c r="R38" s="436"/>
      <c r="S38" s="436"/>
      <c r="T38" s="18"/>
      <c r="U38" s="18"/>
      <c r="V38" s="127">
        <f>O38-T38-U38+V8</f>
        <v>8833</v>
      </c>
      <c r="W38" s="46"/>
      <c r="Y38" s="13"/>
    </row>
    <row r="39" spans="1:25" ht="14.25" customHeight="1">
      <c r="A39" s="427"/>
      <c r="B39" s="439"/>
      <c r="C39" s="440"/>
      <c r="D39" s="115" t="s">
        <v>79</v>
      </c>
      <c r="E39" s="155" t="s">
        <v>65</v>
      </c>
      <c r="F39" s="131" t="s">
        <v>57</v>
      </c>
      <c r="G39" s="224"/>
      <c r="H39" s="126"/>
      <c r="I39" s="126"/>
      <c r="J39" s="126"/>
      <c r="K39" s="18"/>
      <c r="L39" s="18"/>
      <c r="M39" s="18"/>
      <c r="N39" s="80"/>
      <c r="O39" s="126">
        <f>June!AJ320</f>
        <v>1158</v>
      </c>
      <c r="P39" s="126">
        <f>June!AK320</f>
        <v>422</v>
      </c>
      <c r="Q39" s="126">
        <f>June!AI320</f>
        <v>3</v>
      </c>
      <c r="R39" s="436"/>
      <c r="S39" s="436"/>
      <c r="T39" s="18"/>
      <c r="U39" s="18"/>
      <c r="V39" s="127">
        <f>O39-T39-U39+V9</f>
        <v>9858</v>
      </c>
      <c r="W39" s="45"/>
      <c r="X39" s="36"/>
    </row>
    <row r="40" spans="1:25" ht="14.25" customHeight="1">
      <c r="A40" s="427"/>
      <c r="B40" s="439"/>
      <c r="C40" s="448" t="s">
        <v>299</v>
      </c>
      <c r="D40" s="115" t="s">
        <v>296</v>
      </c>
      <c r="E40" s="424" t="s">
        <v>25</v>
      </c>
      <c r="F40" s="131" t="s">
        <v>298</v>
      </c>
      <c r="G40" s="224"/>
      <c r="H40" s="37"/>
      <c r="I40" s="126"/>
      <c r="J40" s="126"/>
      <c r="K40" s="18"/>
      <c r="L40" s="18"/>
      <c r="M40" s="18"/>
      <c r="N40" s="80"/>
      <c r="O40" s="126"/>
      <c r="P40" s="126"/>
      <c r="Q40" s="126"/>
      <c r="R40" s="436"/>
      <c r="S40" s="436"/>
      <c r="T40" s="18"/>
      <c r="U40" s="18"/>
      <c r="V40" s="127">
        <f>O40-T40-U40+V11</f>
        <v>8275</v>
      </c>
      <c r="W40" s="45"/>
      <c r="X40" s="67"/>
    </row>
    <row r="41" spans="1:25" ht="14.25" customHeight="1">
      <c r="A41" s="427"/>
      <c r="B41" s="443"/>
      <c r="C41" s="449"/>
      <c r="D41" s="115" t="s">
        <v>75</v>
      </c>
      <c r="E41" s="425"/>
      <c r="F41" s="131" t="s">
        <v>298</v>
      </c>
      <c r="G41" s="224"/>
      <c r="H41" s="37"/>
      <c r="I41" s="126"/>
      <c r="J41" s="126"/>
      <c r="K41" s="18">
        <v>5000</v>
      </c>
      <c r="L41" s="18">
        <v>1</v>
      </c>
      <c r="M41" s="18">
        <v>10000</v>
      </c>
      <c r="N41" s="80">
        <v>2</v>
      </c>
      <c r="O41" s="126"/>
      <c r="P41" s="126">
        <f>June!AK323</f>
        <v>1042</v>
      </c>
      <c r="Q41" s="126">
        <f>June!AI323</f>
        <v>4</v>
      </c>
      <c r="R41" s="436"/>
      <c r="S41" s="436"/>
      <c r="T41" s="18"/>
      <c r="U41" s="18"/>
      <c r="V41" s="127">
        <f>O41-T41-U41+V12</f>
        <v>3903</v>
      </c>
      <c r="W41" s="45"/>
      <c r="X41" s="67"/>
    </row>
    <row r="42" spans="1:25" ht="14.25" customHeight="1">
      <c r="A42" s="427"/>
      <c r="B42" s="439" t="s">
        <v>53</v>
      </c>
      <c r="C42" s="445" t="s">
        <v>60</v>
      </c>
      <c r="D42" s="43" t="s">
        <v>320</v>
      </c>
      <c r="E42" s="441" t="s">
        <v>66</v>
      </c>
      <c r="F42" s="118" t="s">
        <v>54</v>
      </c>
      <c r="G42" s="224"/>
      <c r="H42" s="37"/>
      <c r="I42" s="126"/>
      <c r="J42" s="126"/>
      <c r="K42" s="18"/>
      <c r="L42" s="18"/>
      <c r="M42" s="18">
        <v>12000</v>
      </c>
      <c r="N42" s="80">
        <v>2</v>
      </c>
      <c r="O42" s="126">
        <f>June!AJ315</f>
        <v>7896</v>
      </c>
      <c r="P42" s="126">
        <f>June!AK315</f>
        <v>4670</v>
      </c>
      <c r="Q42" s="126">
        <f>June!AI315</f>
        <v>14</v>
      </c>
      <c r="R42" s="436"/>
      <c r="S42" s="436"/>
      <c r="T42" s="18"/>
      <c r="U42" s="18"/>
      <c r="V42" s="127">
        <f>O42-T42-U42+V13</f>
        <v>16027</v>
      </c>
      <c r="W42" s="45"/>
      <c r="X42" s="67"/>
    </row>
    <row r="43" spans="1:25" ht="14.25" customHeight="1">
      <c r="A43" s="427"/>
      <c r="B43" s="439"/>
      <c r="C43" s="445"/>
      <c r="D43" s="43" t="s">
        <v>387</v>
      </c>
      <c r="E43" s="425"/>
      <c r="F43" s="118" t="s">
        <v>54</v>
      </c>
      <c r="G43" s="229"/>
      <c r="H43" s="182"/>
      <c r="I43" s="125"/>
      <c r="J43" s="125"/>
      <c r="K43" s="127"/>
      <c r="L43" s="127"/>
      <c r="M43" s="127">
        <v>70800</v>
      </c>
      <c r="N43" s="171">
        <v>12</v>
      </c>
      <c r="O43" s="125"/>
      <c r="P43" s="125"/>
      <c r="Q43" s="125"/>
      <c r="R43" s="436"/>
      <c r="S43" s="436"/>
      <c r="T43" s="18"/>
      <c r="U43" s="18"/>
      <c r="V43" s="127"/>
      <c r="W43" s="45"/>
      <c r="X43" s="67"/>
    </row>
    <row r="44" spans="1:25" ht="14.25" customHeight="1">
      <c r="A44" s="427"/>
      <c r="B44" s="443"/>
      <c r="C44" s="446"/>
      <c r="D44" s="43" t="s">
        <v>199</v>
      </c>
      <c r="E44" s="114" t="s">
        <v>25</v>
      </c>
      <c r="F44" s="118" t="s">
        <v>54</v>
      </c>
      <c r="G44" s="224"/>
      <c r="H44" s="135"/>
      <c r="I44" s="158"/>
      <c r="J44" s="158"/>
      <c r="K44" s="128"/>
      <c r="L44" s="128"/>
      <c r="M44" s="128"/>
      <c r="N44" s="164"/>
      <c r="O44" s="158"/>
      <c r="P44" s="158"/>
      <c r="Q44" s="158"/>
      <c r="R44" s="436"/>
      <c r="S44" s="436"/>
      <c r="T44" s="18"/>
      <c r="U44" s="18"/>
      <c r="V44" s="127">
        <f>O44-T44-U44+V15</f>
        <v>68</v>
      </c>
      <c r="W44" s="45"/>
      <c r="X44" s="67"/>
    </row>
    <row r="45" spans="1:25" ht="15.75" customHeight="1">
      <c r="A45" s="427"/>
      <c r="B45" s="122" t="s">
        <v>55</v>
      </c>
      <c r="C45" s="180" t="s">
        <v>133</v>
      </c>
      <c r="D45" s="48" t="s">
        <v>56</v>
      </c>
      <c r="E45" s="424" t="s">
        <v>25</v>
      </c>
      <c r="F45" s="118" t="s">
        <v>67</v>
      </c>
      <c r="G45" s="226"/>
      <c r="H45" s="126"/>
      <c r="I45" s="126"/>
      <c r="J45" s="2"/>
      <c r="K45" s="18"/>
      <c r="L45" s="18"/>
      <c r="M45" s="18"/>
      <c r="N45" s="18"/>
      <c r="O45" s="126">
        <f>June!AJ343</f>
        <v>445</v>
      </c>
      <c r="P45" s="126">
        <f>June!AK343</f>
        <v>486</v>
      </c>
      <c r="Q45" s="126">
        <f>June!AI343</f>
        <v>1</v>
      </c>
      <c r="R45" s="436"/>
      <c r="S45" s="436"/>
      <c r="T45" s="18"/>
      <c r="U45" s="18"/>
      <c r="V45" s="127">
        <f>O45-T45-U45+V16</f>
        <v>3545</v>
      </c>
      <c r="W45" s="45"/>
      <c r="X45" s="67"/>
    </row>
    <row r="46" spans="1:25" ht="15" customHeight="1">
      <c r="A46" s="427"/>
      <c r="B46" s="122" t="s">
        <v>122</v>
      </c>
      <c r="C46" s="180" t="s">
        <v>123</v>
      </c>
      <c r="D46" s="48" t="s">
        <v>56</v>
      </c>
      <c r="E46" s="441"/>
      <c r="F46" s="155" t="s">
        <v>64</v>
      </c>
      <c r="G46" s="119"/>
      <c r="H46" s="126"/>
      <c r="I46" s="126"/>
      <c r="J46" s="2"/>
      <c r="K46" s="18"/>
      <c r="L46" s="18"/>
      <c r="M46" s="18">
        <v>6400</v>
      </c>
      <c r="N46" s="18">
        <v>2</v>
      </c>
      <c r="O46" s="126"/>
      <c r="P46" s="126"/>
      <c r="Q46" s="126"/>
      <c r="R46" s="436"/>
      <c r="S46" s="436"/>
      <c r="T46" s="18"/>
      <c r="U46" s="18"/>
      <c r="V46" s="127">
        <f t="shared" ref="V46:V53" si="0">O46-T46-U46+V18</f>
        <v>18121</v>
      </c>
      <c r="W46" s="45"/>
      <c r="X46" s="67"/>
    </row>
    <row r="47" spans="1:25" ht="14.25" customHeight="1">
      <c r="A47" s="427"/>
      <c r="B47" s="137" t="s">
        <v>58</v>
      </c>
      <c r="C47" s="157" t="s">
        <v>243</v>
      </c>
      <c r="D47" s="48" t="s">
        <v>56</v>
      </c>
      <c r="E47" s="441"/>
      <c r="F47" s="118" t="s">
        <v>64</v>
      </c>
      <c r="G47" s="225"/>
      <c r="H47" s="126"/>
      <c r="I47" s="126"/>
      <c r="J47" s="126"/>
      <c r="K47" s="18"/>
      <c r="L47" s="18"/>
      <c r="M47" s="18"/>
      <c r="N47" s="80"/>
      <c r="O47" s="126"/>
      <c r="P47" s="126"/>
      <c r="Q47" s="126"/>
      <c r="R47" s="436"/>
      <c r="S47" s="436"/>
      <c r="T47" s="18"/>
      <c r="U47" s="18"/>
      <c r="V47" s="127">
        <f t="shared" si="0"/>
        <v>8144</v>
      </c>
      <c r="W47" s="45"/>
      <c r="X47" s="67"/>
    </row>
    <row r="48" spans="1:25" ht="14.25" customHeight="1">
      <c r="A48" s="427"/>
      <c r="B48" s="122" t="s">
        <v>61</v>
      </c>
      <c r="C48" s="180" t="s">
        <v>137</v>
      </c>
      <c r="D48" s="48" t="s">
        <v>56</v>
      </c>
      <c r="E48" s="441"/>
      <c r="F48" s="118" t="s">
        <v>67</v>
      </c>
      <c r="G48" s="225"/>
      <c r="H48" s="126"/>
      <c r="I48" s="126"/>
      <c r="J48" s="126"/>
      <c r="K48" s="18"/>
      <c r="L48" s="18"/>
      <c r="M48" s="18"/>
      <c r="N48" s="80"/>
      <c r="O48" s="126"/>
      <c r="P48" s="126"/>
      <c r="Q48" s="126"/>
      <c r="R48" s="436"/>
      <c r="S48" s="436"/>
      <c r="T48" s="18"/>
      <c r="U48" s="18"/>
      <c r="V48" s="127">
        <f t="shared" si="0"/>
        <v>5844</v>
      </c>
      <c r="W48" s="45"/>
      <c r="X48" s="67"/>
    </row>
    <row r="49" spans="1:25" ht="14.25" customHeight="1">
      <c r="A49" s="427"/>
      <c r="B49" s="122" t="s">
        <v>125</v>
      </c>
      <c r="C49" s="180" t="s">
        <v>88</v>
      </c>
      <c r="D49" s="48" t="s">
        <v>124</v>
      </c>
      <c r="E49" s="441"/>
      <c r="F49" s="118" t="s">
        <v>64</v>
      </c>
      <c r="G49" s="225"/>
      <c r="H49" s="126"/>
      <c r="I49" s="126"/>
      <c r="J49" s="126"/>
      <c r="K49" s="18"/>
      <c r="L49" s="18"/>
      <c r="M49" s="18">
        <v>51200</v>
      </c>
      <c r="N49" s="80">
        <v>7</v>
      </c>
      <c r="O49" s="126"/>
      <c r="P49" s="126"/>
      <c r="Q49" s="126"/>
      <c r="R49" s="436"/>
      <c r="S49" s="436"/>
      <c r="T49" s="18"/>
      <c r="U49" s="18"/>
      <c r="V49" s="127">
        <f t="shared" si="0"/>
        <v>23615</v>
      </c>
      <c r="W49" s="45"/>
      <c r="X49" s="67"/>
    </row>
    <row r="50" spans="1:25" ht="14.25" customHeight="1">
      <c r="A50" s="427"/>
      <c r="B50" s="137" t="s">
        <v>47</v>
      </c>
      <c r="C50" s="157" t="s">
        <v>100</v>
      </c>
      <c r="D50" s="48" t="s">
        <v>99</v>
      </c>
      <c r="E50" s="441"/>
      <c r="F50" s="118" t="s">
        <v>71</v>
      </c>
      <c r="G50" s="225"/>
      <c r="H50" s="126"/>
      <c r="I50" s="126"/>
      <c r="J50" s="126"/>
      <c r="K50" s="18"/>
      <c r="L50" s="18"/>
      <c r="M50" s="18"/>
      <c r="N50" s="80"/>
      <c r="O50" s="126"/>
      <c r="P50" s="126">
        <f>June!AK324</f>
        <v>590</v>
      </c>
      <c r="Q50" s="126">
        <f>June!AI324</f>
        <v>2</v>
      </c>
      <c r="R50" s="436"/>
      <c r="S50" s="436"/>
      <c r="T50" s="18"/>
      <c r="U50" s="18"/>
      <c r="V50" s="127">
        <f t="shared" si="0"/>
        <v>50307</v>
      </c>
      <c r="W50" s="45"/>
      <c r="X50" s="67"/>
    </row>
    <row r="51" spans="1:25" ht="15" customHeight="1">
      <c r="A51" s="427"/>
      <c r="B51" s="122" t="s">
        <v>196</v>
      </c>
      <c r="C51" s="180" t="s">
        <v>63</v>
      </c>
      <c r="D51" s="48" t="s">
        <v>135</v>
      </c>
      <c r="E51" s="441"/>
      <c r="F51" s="118" t="s">
        <v>64</v>
      </c>
      <c r="G51" s="226"/>
      <c r="H51" s="126"/>
      <c r="I51" s="126"/>
      <c r="J51" s="2"/>
      <c r="K51" s="18"/>
      <c r="L51" s="18"/>
      <c r="M51" s="18"/>
      <c r="N51" s="18"/>
      <c r="O51" s="126">
        <f>June!AJ338</f>
        <v>1092</v>
      </c>
      <c r="P51" s="126">
        <f>June!AK338</f>
        <v>1439</v>
      </c>
      <c r="Q51" s="126">
        <f>June!AI338</f>
        <v>5</v>
      </c>
      <c r="R51" s="436"/>
      <c r="S51" s="436"/>
      <c r="T51" s="18"/>
      <c r="U51" s="18"/>
      <c r="V51" s="127">
        <f t="shared" si="0"/>
        <v>31504</v>
      </c>
      <c r="W51" s="45"/>
      <c r="X51" s="67"/>
    </row>
    <row r="52" spans="1:25" ht="15" customHeight="1">
      <c r="A52" s="427"/>
      <c r="B52" s="122" t="s">
        <v>363</v>
      </c>
      <c r="C52" s="180" t="s">
        <v>325</v>
      </c>
      <c r="D52" s="48" t="s">
        <v>328</v>
      </c>
      <c r="E52" s="441"/>
      <c r="F52" s="118" t="s">
        <v>48</v>
      </c>
      <c r="G52" s="226"/>
      <c r="H52" s="126">
        <v>288</v>
      </c>
      <c r="I52" s="126"/>
      <c r="J52" s="2"/>
      <c r="K52" s="18"/>
      <c r="L52" s="18"/>
      <c r="M52" s="18"/>
      <c r="N52" s="18"/>
      <c r="O52" s="126"/>
      <c r="P52" s="126">
        <f>June!AK335</f>
        <v>539</v>
      </c>
      <c r="Q52" s="126">
        <f>June!AI335</f>
        <v>2</v>
      </c>
      <c r="R52" s="436"/>
      <c r="S52" s="436"/>
      <c r="T52" s="18"/>
      <c r="U52" s="18"/>
      <c r="V52" s="127">
        <f t="shared" si="0"/>
        <v>9151</v>
      </c>
      <c r="W52" s="45"/>
      <c r="X52" s="67"/>
    </row>
    <row r="53" spans="1:25" ht="15" customHeight="1">
      <c r="A53" s="427"/>
      <c r="B53" s="122" t="s">
        <v>253</v>
      </c>
      <c r="C53" s="180" t="s">
        <v>365</v>
      </c>
      <c r="D53" s="48" t="s">
        <v>246</v>
      </c>
      <c r="E53" s="441"/>
      <c r="F53" s="118" t="s">
        <v>247</v>
      </c>
      <c r="G53" s="226"/>
      <c r="H53" s="126"/>
      <c r="I53" s="126"/>
      <c r="J53" s="2"/>
      <c r="K53" s="18"/>
      <c r="L53" s="18"/>
      <c r="M53" s="18"/>
      <c r="N53" s="18"/>
      <c r="O53" s="126"/>
      <c r="P53" s="126">
        <f>June!AK327</f>
        <v>473</v>
      </c>
      <c r="Q53" s="126">
        <f>June!AI327</f>
        <v>4</v>
      </c>
      <c r="R53" s="436"/>
      <c r="S53" s="436"/>
      <c r="T53" s="18"/>
      <c r="U53" s="18"/>
      <c r="V53" s="127">
        <f t="shared" si="0"/>
        <v>17227</v>
      </c>
      <c r="W53" s="45"/>
      <c r="X53" s="67"/>
    </row>
    <row r="54" spans="1:25" ht="15" customHeight="1">
      <c r="A54" s="427"/>
      <c r="B54" s="122" t="s">
        <v>101</v>
      </c>
      <c r="C54" s="180" t="s">
        <v>327</v>
      </c>
      <c r="D54" s="48" t="s">
        <v>102</v>
      </c>
      <c r="E54" s="441"/>
      <c r="F54" s="118" t="s">
        <v>64</v>
      </c>
      <c r="G54" s="119"/>
      <c r="H54" s="37">
        <v>535.5</v>
      </c>
      <c r="I54" s="126"/>
      <c r="J54" s="2"/>
      <c r="K54" s="18"/>
      <c r="L54" s="18"/>
      <c r="M54" s="18">
        <v>14000</v>
      </c>
      <c r="N54" s="18">
        <v>2</v>
      </c>
      <c r="O54" s="126">
        <f>June!AJ333</f>
        <v>1000</v>
      </c>
      <c r="P54" s="126">
        <f>June!AK333</f>
        <v>3093</v>
      </c>
      <c r="Q54" s="126">
        <f>June!AI333</f>
        <v>8</v>
      </c>
      <c r="R54" s="436"/>
      <c r="S54" s="436"/>
      <c r="T54" s="18">
        <v>6194</v>
      </c>
      <c r="U54" s="18">
        <v>6</v>
      </c>
      <c r="V54" s="18">
        <f>O54-T54-U54+V27</f>
        <v>2905</v>
      </c>
      <c r="W54" s="45"/>
      <c r="X54" s="67"/>
    </row>
    <row r="55" spans="1:25" s="4" customFormat="1" ht="14.25" customHeight="1">
      <c r="A55" s="427"/>
      <c r="B55" s="122" t="s">
        <v>375</v>
      </c>
      <c r="C55" s="157" t="s">
        <v>376</v>
      </c>
      <c r="D55" s="48" t="s">
        <v>248</v>
      </c>
      <c r="E55" s="441"/>
      <c r="F55" s="48" t="s">
        <v>64</v>
      </c>
      <c r="G55" s="122"/>
      <c r="H55" s="34"/>
      <c r="I55" s="34"/>
      <c r="J55" s="6"/>
      <c r="K55" s="211"/>
      <c r="L55" s="211"/>
      <c r="M55" s="211">
        <v>40500</v>
      </c>
      <c r="N55" s="211">
        <v>10</v>
      </c>
      <c r="O55" s="34"/>
      <c r="P55" s="34">
        <f>June!AK336</f>
        <v>918</v>
      </c>
      <c r="Q55" s="34">
        <f>June!AI336</f>
        <v>29</v>
      </c>
      <c r="R55" s="436"/>
      <c r="S55" s="436"/>
      <c r="T55" s="211">
        <v>800</v>
      </c>
      <c r="U55" s="211"/>
      <c r="V55" s="211">
        <f>O55-T55-U55+V28</f>
        <v>76137</v>
      </c>
      <c r="W55" s="260"/>
      <c r="X55" s="67"/>
    </row>
    <row r="56" spans="1:25" s="4" customFormat="1" ht="15" customHeight="1">
      <c r="A56" s="427"/>
      <c r="B56" s="122" t="s">
        <v>421</v>
      </c>
      <c r="C56" s="157" t="s">
        <v>420</v>
      </c>
      <c r="D56" s="48" t="s">
        <v>248</v>
      </c>
      <c r="E56" s="441"/>
      <c r="F56" s="48" t="s">
        <v>64</v>
      </c>
      <c r="G56" s="122"/>
      <c r="H56" s="34"/>
      <c r="I56" s="34"/>
      <c r="J56" s="6"/>
      <c r="K56" s="211">
        <v>12300</v>
      </c>
      <c r="L56" s="211">
        <v>3</v>
      </c>
      <c r="M56" s="211"/>
      <c r="N56" s="211"/>
      <c r="O56" s="34"/>
      <c r="P56" s="34">
        <f>June!AK337</f>
        <v>1015</v>
      </c>
      <c r="Q56" s="34">
        <f>June!AI337</f>
        <v>3</v>
      </c>
      <c r="R56" s="436"/>
      <c r="S56" s="436"/>
      <c r="T56" s="211"/>
      <c r="U56" s="211"/>
      <c r="V56" s="211"/>
      <c r="W56" s="260"/>
      <c r="X56" s="67"/>
    </row>
    <row r="57" spans="1:25" s="4" customFormat="1" ht="15" customHeight="1">
      <c r="A57" s="427"/>
      <c r="B57" s="122" t="s">
        <v>289</v>
      </c>
      <c r="C57" s="180" t="s">
        <v>290</v>
      </c>
      <c r="D57" s="48" t="s">
        <v>75</v>
      </c>
      <c r="E57" s="441"/>
      <c r="F57" s="48" t="s">
        <v>381</v>
      </c>
      <c r="G57" s="122"/>
      <c r="H57" s="34"/>
      <c r="I57" s="34"/>
      <c r="J57" s="6"/>
      <c r="K57" s="211"/>
      <c r="L57" s="211"/>
      <c r="M57" s="211"/>
      <c r="N57" s="211"/>
      <c r="O57" s="34"/>
      <c r="P57" s="34"/>
      <c r="Q57" s="34">
        <f>June!AI328</f>
        <v>0</v>
      </c>
      <c r="R57" s="436"/>
      <c r="S57" s="436"/>
      <c r="T57" s="211">
        <v>607</v>
      </c>
      <c r="U57" s="211"/>
      <c r="V57" s="211">
        <f>O57-T57-U57+V29</f>
        <v>0</v>
      </c>
      <c r="W57" s="260"/>
      <c r="X57" s="67"/>
    </row>
    <row r="58" spans="1:25" ht="15" customHeight="1">
      <c r="A58" s="427"/>
      <c r="B58" s="122" t="s">
        <v>103</v>
      </c>
      <c r="C58" s="157" t="s">
        <v>197</v>
      </c>
      <c r="D58" s="48" t="s">
        <v>104</v>
      </c>
      <c r="E58" s="441"/>
      <c r="F58" s="118" t="s">
        <v>105</v>
      </c>
      <c r="G58" s="119"/>
      <c r="H58" s="126"/>
      <c r="I58" s="126"/>
      <c r="J58" s="2"/>
      <c r="K58" s="18"/>
      <c r="L58" s="18"/>
      <c r="M58" s="18"/>
      <c r="N58" s="18"/>
      <c r="O58" s="126"/>
      <c r="P58" s="126"/>
      <c r="Q58" s="126">
        <f>June!AI339</f>
        <v>1</v>
      </c>
      <c r="R58" s="436"/>
      <c r="S58" s="436"/>
      <c r="T58" s="18"/>
      <c r="U58" s="18"/>
      <c r="V58" s="18"/>
      <c r="W58" s="45"/>
      <c r="X58" s="67"/>
    </row>
    <row r="59" spans="1:25" ht="15" customHeight="1">
      <c r="A59" s="427"/>
      <c r="B59" s="137" t="s">
        <v>112</v>
      </c>
      <c r="C59" s="157" t="s">
        <v>197</v>
      </c>
      <c r="D59" s="48" t="s">
        <v>104</v>
      </c>
      <c r="E59" s="441"/>
      <c r="F59" s="118" t="s">
        <v>113</v>
      </c>
      <c r="G59" s="119"/>
      <c r="H59" s="126"/>
      <c r="I59" s="126"/>
      <c r="J59" s="2"/>
      <c r="K59" s="18"/>
      <c r="L59" s="18"/>
      <c r="M59" s="18"/>
      <c r="N59" s="18"/>
      <c r="O59" s="126"/>
      <c r="P59" s="126"/>
      <c r="Q59" s="126">
        <f>June!AI341</f>
        <v>1</v>
      </c>
      <c r="R59" s="436"/>
      <c r="S59" s="436"/>
      <c r="T59" s="18"/>
      <c r="U59" s="18"/>
      <c r="V59" s="18"/>
      <c r="W59" s="45"/>
      <c r="X59" s="67"/>
    </row>
    <row r="60" spans="1:25" ht="15" customHeight="1" thickBot="1">
      <c r="A60" s="428"/>
      <c r="B60" s="44" t="s">
        <v>107</v>
      </c>
      <c r="C60" s="181" t="s">
        <v>386</v>
      </c>
      <c r="D60" s="61" t="s">
        <v>108</v>
      </c>
      <c r="E60" s="447"/>
      <c r="F60" s="133" t="s">
        <v>48</v>
      </c>
      <c r="G60" s="132"/>
      <c r="H60" s="134">
        <v>462</v>
      </c>
      <c r="I60" s="134"/>
      <c r="J60" s="129"/>
      <c r="K60" s="130"/>
      <c r="L60" s="130"/>
      <c r="M60" s="130">
        <v>13000</v>
      </c>
      <c r="N60" s="130">
        <v>2</v>
      </c>
      <c r="O60" s="134">
        <f>June!AJ340</f>
        <v>800</v>
      </c>
      <c r="P60" s="134">
        <f>June!AK340</f>
        <v>850</v>
      </c>
      <c r="Q60" s="134">
        <f>June!AI340</f>
        <v>2</v>
      </c>
      <c r="R60" s="437"/>
      <c r="S60" s="437"/>
      <c r="T60" s="130"/>
      <c r="U60" s="130"/>
      <c r="V60" s="128">
        <f>O60-T60-U60+V32</f>
        <v>3397</v>
      </c>
      <c r="W60" s="85"/>
      <c r="X60" s="67"/>
    </row>
    <row r="61" spans="1:25" ht="15" customHeight="1">
      <c r="A61" s="426">
        <v>46176</v>
      </c>
      <c r="B61" s="429" t="s">
        <v>44</v>
      </c>
      <c r="C61" s="432" t="s">
        <v>240</v>
      </c>
      <c r="D61" s="19" t="s">
        <v>37</v>
      </c>
      <c r="E61" s="19" t="s">
        <v>25</v>
      </c>
      <c r="F61" s="39" t="s">
        <v>40</v>
      </c>
      <c r="G61" s="41">
        <v>2749.05</v>
      </c>
      <c r="H61" s="32">
        <f>4608+1152</f>
        <v>5760</v>
      </c>
      <c r="I61" s="32"/>
      <c r="J61" s="32"/>
      <c r="K61" s="20">
        <v>64000</v>
      </c>
      <c r="L61" s="20">
        <v>8</v>
      </c>
      <c r="M61" s="20">
        <v>64000</v>
      </c>
      <c r="N61" s="84">
        <v>8</v>
      </c>
      <c r="O61" s="32">
        <f>June!AM313</f>
        <v>29014</v>
      </c>
      <c r="P61" s="32">
        <f>June!AN313</f>
        <v>37018</v>
      </c>
      <c r="Q61" s="32">
        <f>June!AL313</f>
        <v>101</v>
      </c>
      <c r="R61" s="435">
        <f>June!AM346</f>
        <v>71153</v>
      </c>
      <c r="S61" s="435">
        <f>June!AN346</f>
        <v>85993</v>
      </c>
      <c r="T61" s="20">
        <v>44379</v>
      </c>
      <c r="U61" s="20">
        <v>30</v>
      </c>
      <c r="V61" s="20">
        <f>O61-T61-U61+V33</f>
        <v>207294</v>
      </c>
      <c r="W61" s="77"/>
      <c r="X61" s="36"/>
    </row>
    <row r="62" spans="1:25" ht="15" customHeight="1">
      <c r="A62" s="427"/>
      <c r="B62" s="431"/>
      <c r="C62" s="434"/>
      <c r="D62" s="113" t="s">
        <v>307</v>
      </c>
      <c r="E62" s="113" t="s">
        <v>24</v>
      </c>
      <c r="F62" s="118" t="s">
        <v>40</v>
      </c>
      <c r="G62" s="170"/>
      <c r="H62" s="158">
        <v>4860</v>
      </c>
      <c r="I62" s="125"/>
      <c r="J62" s="125"/>
      <c r="K62" s="127"/>
      <c r="L62" s="127"/>
      <c r="M62" s="216">
        <v>168000</v>
      </c>
      <c r="N62" s="238">
        <v>21</v>
      </c>
      <c r="O62" s="126">
        <f>June!AM314</f>
        <v>23250</v>
      </c>
      <c r="P62" s="125">
        <f>June!AN314</f>
        <v>27366</v>
      </c>
      <c r="Q62" s="125">
        <f>June!AL314</f>
        <v>72</v>
      </c>
      <c r="R62" s="436"/>
      <c r="S62" s="436"/>
      <c r="T62" s="127">
        <v>9745</v>
      </c>
      <c r="U62" s="127">
        <v>26</v>
      </c>
      <c r="V62" s="127">
        <f>O62-T62-U62+V34</f>
        <v>83368</v>
      </c>
      <c r="W62" s="46"/>
      <c r="X62" s="67"/>
    </row>
    <row r="63" spans="1:25" ht="15" customHeight="1">
      <c r="A63" s="427"/>
      <c r="B63" s="442" t="s">
        <v>45</v>
      </c>
      <c r="C63" s="448" t="s">
        <v>59</v>
      </c>
      <c r="D63" s="118" t="s">
        <v>75</v>
      </c>
      <c r="E63" s="438" t="s">
        <v>25</v>
      </c>
      <c r="F63" s="131" t="s">
        <v>57</v>
      </c>
      <c r="G63" s="87"/>
      <c r="H63" s="152"/>
      <c r="I63" s="126"/>
      <c r="J63" s="2"/>
      <c r="K63" s="127"/>
      <c r="L63" s="18"/>
      <c r="M63" s="18">
        <v>49220</v>
      </c>
      <c r="N63" s="80">
        <v>10</v>
      </c>
      <c r="O63" s="126">
        <f>June!AM317</f>
        <v>4405</v>
      </c>
      <c r="P63" s="126">
        <f>June!AN317</f>
        <v>2346</v>
      </c>
      <c r="Q63" s="2">
        <f>June!AL317</f>
        <v>9</v>
      </c>
      <c r="R63" s="436"/>
      <c r="S63" s="436"/>
      <c r="T63" s="18">
        <v>4632</v>
      </c>
      <c r="U63" s="18"/>
      <c r="V63" s="127">
        <f>O63-T63-U63+V35</f>
        <v>8472</v>
      </c>
      <c r="W63" s="46"/>
      <c r="Y63" s="13"/>
    </row>
    <row r="64" spans="1:25" ht="15" customHeight="1">
      <c r="A64" s="427"/>
      <c r="B64" s="439"/>
      <c r="C64" s="440"/>
      <c r="D64" s="118" t="s">
        <v>291</v>
      </c>
      <c r="E64" s="430"/>
      <c r="F64" s="131" t="s">
        <v>57</v>
      </c>
      <c r="G64" s="87"/>
      <c r="H64" s="152"/>
      <c r="I64" s="126"/>
      <c r="J64" s="2"/>
      <c r="K64" s="127"/>
      <c r="L64" s="18"/>
      <c r="M64" s="18"/>
      <c r="N64" s="80"/>
      <c r="O64" s="126"/>
      <c r="P64" s="126">
        <f>June!AN318</f>
        <v>538</v>
      </c>
      <c r="Q64" s="2">
        <f>June!AL318</f>
        <v>2</v>
      </c>
      <c r="R64" s="436"/>
      <c r="S64" s="436"/>
      <c r="T64" s="18">
        <v>5721</v>
      </c>
      <c r="U64" s="18"/>
      <c r="V64" s="127">
        <f>O64-T64-U64+V36</f>
        <v>1976</v>
      </c>
      <c r="W64" s="46"/>
      <c r="Y64" s="13"/>
    </row>
    <row r="65" spans="1:25">
      <c r="A65" s="427"/>
      <c r="B65" s="439"/>
      <c r="C65" s="440"/>
      <c r="D65" s="118" t="s">
        <v>72</v>
      </c>
      <c r="E65" s="424" t="s">
        <v>24</v>
      </c>
      <c r="F65" s="131" t="s">
        <v>57</v>
      </c>
      <c r="G65" s="224"/>
      <c r="H65" s="152"/>
      <c r="I65" s="126"/>
      <c r="J65" s="126"/>
      <c r="K65" s="127"/>
      <c r="L65" s="18"/>
      <c r="M65" s="18">
        <v>40000</v>
      </c>
      <c r="N65" s="80">
        <v>8</v>
      </c>
      <c r="O65" s="126">
        <f>June!AM319</f>
        <v>3892</v>
      </c>
      <c r="P65" s="126">
        <f>June!AN319</f>
        <v>2020</v>
      </c>
      <c r="Q65" s="126">
        <f>June!AL319</f>
        <v>9</v>
      </c>
      <c r="R65" s="436"/>
      <c r="S65" s="436"/>
      <c r="T65" s="18">
        <v>785</v>
      </c>
      <c r="U65" s="18"/>
      <c r="V65" s="127">
        <f>O65-T65-U65+V38</f>
        <v>11940</v>
      </c>
      <c r="W65" s="46"/>
      <c r="Y65" s="13"/>
    </row>
    <row r="66" spans="1:25">
      <c r="A66" s="427"/>
      <c r="B66" s="439"/>
      <c r="C66" s="440"/>
      <c r="D66" s="115" t="s">
        <v>73</v>
      </c>
      <c r="E66" s="425"/>
      <c r="F66" s="131"/>
      <c r="G66" s="224"/>
      <c r="H66" s="152">
        <f>1320+726</f>
        <v>2046</v>
      </c>
      <c r="I66" s="126"/>
      <c r="J66" s="126"/>
      <c r="K66" s="127"/>
      <c r="L66" s="18"/>
      <c r="M66" s="18"/>
      <c r="N66" s="80"/>
      <c r="O66" s="126"/>
      <c r="P66" s="126"/>
      <c r="Q66" s="126"/>
      <c r="R66" s="436"/>
      <c r="S66" s="436"/>
      <c r="T66" s="18"/>
      <c r="U66" s="18"/>
      <c r="V66" s="127"/>
      <c r="W66" s="46"/>
      <c r="Y66" s="13"/>
    </row>
    <row r="67" spans="1:25" ht="14.25" customHeight="1">
      <c r="A67" s="427"/>
      <c r="B67" s="439"/>
      <c r="C67" s="440"/>
      <c r="D67" s="115" t="s">
        <v>79</v>
      </c>
      <c r="E67" s="155" t="s">
        <v>65</v>
      </c>
      <c r="F67" s="131" t="s">
        <v>57</v>
      </c>
      <c r="G67" s="224"/>
      <c r="H67" s="126"/>
      <c r="I67" s="126"/>
      <c r="J67" s="126"/>
      <c r="K67" s="18"/>
      <c r="L67" s="18"/>
      <c r="M67" s="18"/>
      <c r="N67" s="80"/>
      <c r="O67" s="126">
        <f>June!AM320</f>
        <v>403</v>
      </c>
      <c r="P67" s="126">
        <f>June!AN320</f>
        <v>2</v>
      </c>
      <c r="Q67" s="126"/>
      <c r="R67" s="436"/>
      <c r="S67" s="436"/>
      <c r="T67" s="18">
        <v>50</v>
      </c>
      <c r="U67" s="18"/>
      <c r="V67" s="127">
        <f>O67-T67-U67+V39</f>
        <v>10211</v>
      </c>
      <c r="W67" s="45"/>
      <c r="X67" s="36"/>
    </row>
    <row r="68" spans="1:25" ht="14.25" customHeight="1">
      <c r="A68" s="427"/>
      <c r="B68" s="439"/>
      <c r="C68" s="448" t="s">
        <v>299</v>
      </c>
      <c r="D68" s="115" t="s">
        <v>296</v>
      </c>
      <c r="E68" s="424" t="s">
        <v>25</v>
      </c>
      <c r="F68" s="131" t="s">
        <v>298</v>
      </c>
      <c r="G68" s="224"/>
      <c r="H68" s="37"/>
      <c r="I68" s="126"/>
      <c r="J68" s="126"/>
      <c r="K68" s="18"/>
      <c r="L68" s="18"/>
      <c r="M68" s="18"/>
      <c r="N68" s="80"/>
      <c r="O68" s="126"/>
      <c r="P68" s="126"/>
      <c r="Q68" s="126"/>
      <c r="R68" s="436"/>
      <c r="S68" s="436"/>
      <c r="T68" s="18"/>
      <c r="U68" s="18"/>
      <c r="V68" s="127">
        <f>O68-T68-U68+V40</f>
        <v>8275</v>
      </c>
      <c r="W68" s="45"/>
      <c r="X68" s="67"/>
    </row>
    <row r="69" spans="1:25" ht="14.25" customHeight="1">
      <c r="A69" s="427"/>
      <c r="B69" s="443"/>
      <c r="C69" s="449"/>
      <c r="D69" s="115" t="s">
        <v>75</v>
      </c>
      <c r="E69" s="425"/>
      <c r="F69" s="131" t="s">
        <v>298</v>
      </c>
      <c r="G69" s="224"/>
      <c r="H69" s="37"/>
      <c r="I69" s="126"/>
      <c r="J69" s="126"/>
      <c r="K69" s="18"/>
      <c r="L69" s="18"/>
      <c r="M69" s="18">
        <v>10000</v>
      </c>
      <c r="N69" s="80">
        <v>2</v>
      </c>
      <c r="O69" s="126"/>
      <c r="P69" s="126">
        <f>June!AN323</f>
        <v>1130</v>
      </c>
      <c r="Q69" s="126">
        <f>June!AL323</f>
        <v>4</v>
      </c>
      <c r="R69" s="436"/>
      <c r="S69" s="436"/>
      <c r="T69" s="18"/>
      <c r="U69" s="18"/>
      <c r="V69" s="127">
        <f>O69-T69-U69+V41</f>
        <v>3903</v>
      </c>
      <c r="W69" s="45"/>
      <c r="X69" s="67"/>
    </row>
    <row r="70" spans="1:25" ht="14.25" customHeight="1">
      <c r="A70" s="427"/>
      <c r="B70" s="442" t="s">
        <v>53</v>
      </c>
      <c r="C70" s="444" t="s">
        <v>60</v>
      </c>
      <c r="D70" s="43" t="s">
        <v>320</v>
      </c>
      <c r="E70" s="441" t="s">
        <v>66</v>
      </c>
      <c r="F70" s="118" t="s">
        <v>54</v>
      </c>
      <c r="G70" s="224"/>
      <c r="H70" s="37"/>
      <c r="I70" s="126"/>
      <c r="J70" s="126"/>
      <c r="K70" s="18"/>
      <c r="L70" s="18"/>
      <c r="M70" s="18">
        <v>12000</v>
      </c>
      <c r="N70" s="80">
        <v>2</v>
      </c>
      <c r="O70" s="126">
        <f>June!AM315</f>
        <v>453</v>
      </c>
      <c r="P70" s="126">
        <f>June!AN315</f>
        <v>4795</v>
      </c>
      <c r="Q70" s="126">
        <f>June!AL315</f>
        <v>14</v>
      </c>
      <c r="R70" s="436"/>
      <c r="S70" s="436"/>
      <c r="T70" s="18"/>
      <c r="U70" s="18"/>
      <c r="V70" s="127">
        <f>O70-T70-U70+V42</f>
        <v>16480</v>
      </c>
      <c r="W70" s="45"/>
      <c r="X70" s="67"/>
    </row>
    <row r="71" spans="1:25" ht="14.25" customHeight="1">
      <c r="A71" s="427"/>
      <c r="B71" s="439"/>
      <c r="C71" s="445"/>
      <c r="D71" s="43" t="s">
        <v>387</v>
      </c>
      <c r="E71" s="425"/>
      <c r="F71" s="118" t="s">
        <v>54</v>
      </c>
      <c r="G71" s="229"/>
      <c r="H71" s="182"/>
      <c r="I71" s="125"/>
      <c r="J71" s="125"/>
      <c r="K71" s="127"/>
      <c r="L71" s="127"/>
      <c r="M71" s="127">
        <v>70800</v>
      </c>
      <c r="N71" s="171">
        <v>12</v>
      </c>
      <c r="O71" s="125"/>
      <c r="P71" s="125"/>
      <c r="Q71" s="125"/>
      <c r="R71" s="436"/>
      <c r="S71" s="436"/>
      <c r="T71" s="18"/>
      <c r="U71" s="18"/>
      <c r="V71" s="127"/>
      <c r="W71" s="45"/>
      <c r="X71" s="67"/>
    </row>
    <row r="72" spans="1:25" ht="14.25" customHeight="1">
      <c r="A72" s="427"/>
      <c r="B72" s="439"/>
      <c r="C72" s="445"/>
      <c r="D72" s="43" t="s">
        <v>199</v>
      </c>
      <c r="E72" s="118" t="s">
        <v>25</v>
      </c>
      <c r="F72" s="118" t="s">
        <v>54</v>
      </c>
      <c r="G72" s="224"/>
      <c r="H72" s="37"/>
      <c r="I72" s="126"/>
      <c r="J72" s="126"/>
      <c r="K72" s="18"/>
      <c r="L72" s="18"/>
      <c r="M72" s="18"/>
      <c r="N72" s="80"/>
      <c r="O72" s="126"/>
      <c r="P72" s="126"/>
      <c r="Q72" s="126"/>
      <c r="R72" s="436"/>
      <c r="S72" s="436"/>
      <c r="T72" s="18"/>
      <c r="U72" s="18"/>
      <c r="V72" s="127">
        <f>O72-T72-U72+V44</f>
        <v>68</v>
      </c>
      <c r="W72" s="45"/>
      <c r="X72" s="67"/>
    </row>
    <row r="73" spans="1:25" ht="14.25" customHeight="1">
      <c r="A73" s="427"/>
      <c r="B73" s="443"/>
      <c r="C73" s="446"/>
      <c r="D73" s="43" t="s">
        <v>324</v>
      </c>
      <c r="E73" s="155" t="s">
        <v>65</v>
      </c>
      <c r="F73" s="118"/>
      <c r="G73" s="224"/>
      <c r="H73" s="158">
        <v>612</v>
      </c>
      <c r="I73" s="158"/>
      <c r="J73" s="158"/>
      <c r="K73" s="128"/>
      <c r="L73" s="128"/>
      <c r="M73" s="128"/>
      <c r="N73" s="164"/>
      <c r="O73" s="158"/>
      <c r="P73" s="158"/>
      <c r="Q73" s="158"/>
      <c r="R73" s="436"/>
      <c r="S73" s="436"/>
      <c r="T73" s="18"/>
      <c r="U73" s="18"/>
      <c r="V73" s="127"/>
      <c r="W73" s="45"/>
      <c r="X73" s="67"/>
    </row>
    <row r="74" spans="1:25" ht="15.75" customHeight="1">
      <c r="A74" s="427"/>
      <c r="B74" s="122" t="s">
        <v>55</v>
      </c>
      <c r="C74" s="180" t="s">
        <v>133</v>
      </c>
      <c r="D74" s="48" t="s">
        <v>56</v>
      </c>
      <c r="E74" s="424" t="s">
        <v>25</v>
      </c>
      <c r="F74" s="118" t="s">
        <v>67</v>
      </c>
      <c r="G74" s="226"/>
      <c r="H74" s="126"/>
      <c r="I74" s="126"/>
      <c r="J74" s="2"/>
      <c r="K74" s="18"/>
      <c r="L74" s="18"/>
      <c r="M74" s="18"/>
      <c r="N74" s="18"/>
      <c r="O74" s="126">
        <f>June!AM343</f>
        <v>608</v>
      </c>
      <c r="P74" s="126">
        <f>June!AN343</f>
        <v>509</v>
      </c>
      <c r="Q74" s="126">
        <f>June!AL343</f>
        <v>1</v>
      </c>
      <c r="R74" s="436"/>
      <c r="S74" s="436"/>
      <c r="T74" s="18"/>
      <c r="U74" s="18"/>
      <c r="V74" s="127">
        <f>O74-T74-U74+V45</f>
        <v>4153</v>
      </c>
      <c r="W74" s="45"/>
      <c r="X74" s="67"/>
    </row>
    <row r="75" spans="1:25" ht="15" customHeight="1">
      <c r="A75" s="427"/>
      <c r="B75" s="122" t="s">
        <v>122</v>
      </c>
      <c r="C75" s="180" t="s">
        <v>123</v>
      </c>
      <c r="D75" s="48" t="s">
        <v>56</v>
      </c>
      <c r="E75" s="441"/>
      <c r="F75" s="155" t="s">
        <v>64</v>
      </c>
      <c r="G75" s="119"/>
      <c r="H75" s="126"/>
      <c r="I75" s="126"/>
      <c r="J75" s="2"/>
      <c r="K75" s="18"/>
      <c r="L75" s="18"/>
      <c r="M75" s="18">
        <v>6400</v>
      </c>
      <c r="N75" s="18">
        <v>2</v>
      </c>
      <c r="O75" s="126"/>
      <c r="P75" s="126"/>
      <c r="Q75" s="126"/>
      <c r="R75" s="436"/>
      <c r="S75" s="436"/>
      <c r="T75" s="18"/>
      <c r="U75" s="18"/>
      <c r="V75" s="127">
        <f t="shared" ref="V75:V85" si="1">O75-T75-U75+V46</f>
        <v>18121</v>
      </c>
      <c r="W75" s="45"/>
      <c r="X75" s="67"/>
    </row>
    <row r="76" spans="1:25" ht="14.25" customHeight="1">
      <c r="A76" s="427"/>
      <c r="B76" s="137" t="s">
        <v>58</v>
      </c>
      <c r="C76" s="157" t="s">
        <v>243</v>
      </c>
      <c r="D76" s="48" t="s">
        <v>56</v>
      </c>
      <c r="E76" s="441"/>
      <c r="F76" s="118" t="s">
        <v>64</v>
      </c>
      <c r="G76" s="225"/>
      <c r="H76" s="126"/>
      <c r="I76" s="126"/>
      <c r="J76" s="126"/>
      <c r="K76" s="18"/>
      <c r="L76" s="18"/>
      <c r="M76" s="18"/>
      <c r="N76" s="80"/>
      <c r="O76" s="126"/>
      <c r="P76" s="126"/>
      <c r="Q76" s="126"/>
      <c r="R76" s="436"/>
      <c r="S76" s="436"/>
      <c r="T76" s="18"/>
      <c r="U76" s="18"/>
      <c r="V76" s="127">
        <f t="shared" si="1"/>
        <v>8144</v>
      </c>
      <c r="W76" s="45"/>
      <c r="X76" s="67"/>
    </row>
    <row r="77" spans="1:25" ht="14.25" customHeight="1">
      <c r="A77" s="427"/>
      <c r="B77" s="122" t="s">
        <v>61</v>
      </c>
      <c r="C77" s="180" t="s">
        <v>137</v>
      </c>
      <c r="D77" s="48" t="s">
        <v>56</v>
      </c>
      <c r="E77" s="441"/>
      <c r="F77" s="118" t="s">
        <v>67</v>
      </c>
      <c r="G77" s="225"/>
      <c r="H77" s="126"/>
      <c r="I77" s="126"/>
      <c r="J77" s="126"/>
      <c r="K77" s="18"/>
      <c r="L77" s="18"/>
      <c r="M77" s="18"/>
      <c r="N77" s="80"/>
      <c r="O77" s="126"/>
      <c r="P77" s="126"/>
      <c r="Q77" s="126"/>
      <c r="R77" s="436"/>
      <c r="S77" s="436"/>
      <c r="T77" s="18"/>
      <c r="U77" s="18"/>
      <c r="V77" s="127">
        <f t="shared" si="1"/>
        <v>5844</v>
      </c>
      <c r="W77" s="45"/>
      <c r="X77" s="67"/>
    </row>
    <row r="78" spans="1:25" ht="14.25" customHeight="1">
      <c r="A78" s="427"/>
      <c r="B78" s="122" t="s">
        <v>125</v>
      </c>
      <c r="C78" s="180" t="s">
        <v>88</v>
      </c>
      <c r="D78" s="48" t="s">
        <v>124</v>
      </c>
      <c r="E78" s="441"/>
      <c r="F78" s="118" t="s">
        <v>64</v>
      </c>
      <c r="G78" s="225"/>
      <c r="H78" s="126"/>
      <c r="I78" s="126"/>
      <c r="J78" s="126"/>
      <c r="K78" s="18"/>
      <c r="L78" s="18"/>
      <c r="M78" s="18">
        <v>51200</v>
      </c>
      <c r="N78" s="80">
        <v>7</v>
      </c>
      <c r="O78" s="126"/>
      <c r="P78" s="126"/>
      <c r="Q78" s="126"/>
      <c r="R78" s="436"/>
      <c r="S78" s="436"/>
      <c r="T78" s="18"/>
      <c r="U78" s="18"/>
      <c r="V78" s="127">
        <f t="shared" si="1"/>
        <v>23615</v>
      </c>
      <c r="W78" s="45"/>
      <c r="X78" s="67"/>
    </row>
    <row r="79" spans="1:25" ht="14.25" customHeight="1">
      <c r="A79" s="427"/>
      <c r="B79" s="137" t="s">
        <v>47</v>
      </c>
      <c r="C79" s="157" t="s">
        <v>100</v>
      </c>
      <c r="D79" s="48" t="s">
        <v>99</v>
      </c>
      <c r="E79" s="441"/>
      <c r="F79" s="118" t="s">
        <v>71</v>
      </c>
      <c r="G79" s="225"/>
      <c r="H79" s="126"/>
      <c r="I79" s="126"/>
      <c r="J79" s="126"/>
      <c r="K79" s="18"/>
      <c r="L79" s="18"/>
      <c r="M79" s="18"/>
      <c r="N79" s="80"/>
      <c r="O79" s="126">
        <f>June!AM324</f>
        <v>1029</v>
      </c>
      <c r="P79" s="126">
        <f>June!AN324</f>
        <v>580</v>
      </c>
      <c r="Q79" s="126">
        <f>June!AL324</f>
        <v>2</v>
      </c>
      <c r="R79" s="436"/>
      <c r="S79" s="436"/>
      <c r="T79" s="18"/>
      <c r="U79" s="18"/>
      <c r="V79" s="127">
        <f t="shared" si="1"/>
        <v>51336</v>
      </c>
      <c r="W79" s="45"/>
      <c r="X79" s="67"/>
    </row>
    <row r="80" spans="1:25" ht="15" customHeight="1">
      <c r="A80" s="427"/>
      <c r="B80" s="122" t="s">
        <v>196</v>
      </c>
      <c r="C80" s="180" t="s">
        <v>63</v>
      </c>
      <c r="D80" s="48" t="s">
        <v>135</v>
      </c>
      <c r="E80" s="441"/>
      <c r="F80" s="118" t="s">
        <v>64</v>
      </c>
      <c r="G80" s="226"/>
      <c r="H80" s="37">
        <v>535.5</v>
      </c>
      <c r="I80" s="126"/>
      <c r="J80" s="2"/>
      <c r="K80" s="18"/>
      <c r="L80" s="18"/>
      <c r="M80" s="18"/>
      <c r="N80" s="18"/>
      <c r="O80" s="126"/>
      <c r="P80" s="126">
        <f>June!AN338</f>
        <v>1470</v>
      </c>
      <c r="Q80" s="126">
        <f>June!AL338</f>
        <v>5</v>
      </c>
      <c r="R80" s="436"/>
      <c r="S80" s="436"/>
      <c r="T80" s="18"/>
      <c r="U80" s="18"/>
      <c r="V80" s="127">
        <f t="shared" si="1"/>
        <v>31504</v>
      </c>
      <c r="W80" s="45"/>
      <c r="X80" s="67"/>
    </row>
    <row r="81" spans="1:25" ht="15" customHeight="1">
      <c r="A81" s="427"/>
      <c r="B81" s="122" t="s">
        <v>363</v>
      </c>
      <c r="C81" s="180" t="s">
        <v>325</v>
      </c>
      <c r="D81" s="48" t="s">
        <v>328</v>
      </c>
      <c r="E81" s="441"/>
      <c r="F81" s="118" t="s">
        <v>48</v>
      </c>
      <c r="G81" s="226"/>
      <c r="H81" s="126"/>
      <c r="I81" s="126"/>
      <c r="J81" s="2"/>
      <c r="K81" s="18"/>
      <c r="L81" s="18"/>
      <c r="M81" s="18"/>
      <c r="N81" s="18"/>
      <c r="O81" s="126">
        <f>June!AM335</f>
        <v>1000</v>
      </c>
      <c r="P81" s="126">
        <f>June!AN335</f>
        <v>600</v>
      </c>
      <c r="Q81" s="126">
        <f>June!AL335</f>
        <v>2</v>
      </c>
      <c r="R81" s="436"/>
      <c r="S81" s="436"/>
      <c r="T81" s="18"/>
      <c r="U81" s="18"/>
      <c r="V81" s="127">
        <f t="shared" si="1"/>
        <v>10151</v>
      </c>
      <c r="W81" s="45"/>
      <c r="X81" s="67"/>
    </row>
    <row r="82" spans="1:25" ht="15" customHeight="1">
      <c r="A82" s="427"/>
      <c r="B82" s="122" t="s">
        <v>253</v>
      </c>
      <c r="C82" s="180" t="s">
        <v>365</v>
      </c>
      <c r="D82" s="48" t="s">
        <v>246</v>
      </c>
      <c r="E82" s="441"/>
      <c r="F82" s="118" t="s">
        <v>247</v>
      </c>
      <c r="G82" s="226"/>
      <c r="H82" s="126"/>
      <c r="I82" s="126"/>
      <c r="J82" s="2"/>
      <c r="K82" s="18"/>
      <c r="L82" s="18"/>
      <c r="M82" s="18"/>
      <c r="N82" s="18"/>
      <c r="O82" s="126"/>
      <c r="P82" s="126">
        <f>June!AN327</f>
        <v>335</v>
      </c>
      <c r="Q82" s="126">
        <f>June!AL327</f>
        <v>4</v>
      </c>
      <c r="R82" s="436"/>
      <c r="S82" s="436"/>
      <c r="T82" s="18"/>
      <c r="U82" s="18"/>
      <c r="V82" s="127">
        <f t="shared" si="1"/>
        <v>17227</v>
      </c>
      <c r="W82" s="45"/>
      <c r="X82" s="67"/>
    </row>
    <row r="83" spans="1:25" ht="15" customHeight="1">
      <c r="A83" s="427"/>
      <c r="B83" s="122" t="s">
        <v>101</v>
      </c>
      <c r="C83" s="180" t="s">
        <v>327</v>
      </c>
      <c r="D83" s="48" t="s">
        <v>102</v>
      </c>
      <c r="E83" s="441"/>
      <c r="F83" s="118" t="s">
        <v>64</v>
      </c>
      <c r="G83" s="119"/>
      <c r="H83" s="126"/>
      <c r="I83" s="126"/>
      <c r="J83" s="2"/>
      <c r="K83" s="18"/>
      <c r="L83" s="18"/>
      <c r="M83" s="18">
        <v>14000</v>
      </c>
      <c r="N83" s="18">
        <v>2</v>
      </c>
      <c r="O83" s="126">
        <f>June!AM333</f>
        <v>3595</v>
      </c>
      <c r="P83" s="126">
        <f>June!AN333</f>
        <v>3043</v>
      </c>
      <c r="Q83" s="126">
        <f>June!AL333</f>
        <v>8</v>
      </c>
      <c r="R83" s="436"/>
      <c r="S83" s="436"/>
      <c r="T83" s="18"/>
      <c r="U83" s="18"/>
      <c r="V83" s="18">
        <f t="shared" si="1"/>
        <v>6500</v>
      </c>
      <c r="W83" s="45"/>
      <c r="X83" s="67"/>
    </row>
    <row r="84" spans="1:25" s="4" customFormat="1" ht="15" customHeight="1">
      <c r="A84" s="427"/>
      <c r="B84" s="122" t="s">
        <v>375</v>
      </c>
      <c r="C84" s="157" t="s">
        <v>376</v>
      </c>
      <c r="D84" s="48" t="s">
        <v>248</v>
      </c>
      <c r="E84" s="441"/>
      <c r="F84" s="48" t="s">
        <v>64</v>
      </c>
      <c r="G84" s="122"/>
      <c r="H84" s="34"/>
      <c r="I84" s="34"/>
      <c r="J84" s="6"/>
      <c r="K84" s="211"/>
      <c r="L84" s="211"/>
      <c r="M84" s="211"/>
      <c r="N84" s="211"/>
      <c r="O84" s="34">
        <f>June!AM336</f>
        <v>1267</v>
      </c>
      <c r="P84" s="34">
        <f>June!AN336</f>
        <v>596</v>
      </c>
      <c r="Q84" s="34">
        <f>June!AL336</f>
        <v>25</v>
      </c>
      <c r="R84" s="436"/>
      <c r="S84" s="436"/>
      <c r="T84" s="211">
        <v>1600</v>
      </c>
      <c r="U84" s="211"/>
      <c r="V84" s="211">
        <f t="shared" si="1"/>
        <v>75804</v>
      </c>
      <c r="W84" s="260"/>
      <c r="X84" s="67"/>
    </row>
    <row r="85" spans="1:25" s="4" customFormat="1" ht="15" customHeight="1">
      <c r="A85" s="427"/>
      <c r="B85" s="122" t="s">
        <v>421</v>
      </c>
      <c r="C85" s="157" t="s">
        <v>420</v>
      </c>
      <c r="D85" s="48" t="s">
        <v>248</v>
      </c>
      <c r="E85" s="441"/>
      <c r="F85" s="48" t="s">
        <v>64</v>
      </c>
      <c r="G85" s="37">
        <v>2690.1</v>
      </c>
      <c r="H85" s="34"/>
      <c r="I85" s="34"/>
      <c r="J85" s="6"/>
      <c r="K85" s="211">
        <v>16400</v>
      </c>
      <c r="L85" s="211">
        <v>4</v>
      </c>
      <c r="M85" s="211"/>
      <c r="N85" s="211"/>
      <c r="O85" s="34">
        <f>June!AM337</f>
        <v>1437</v>
      </c>
      <c r="P85" s="34">
        <f>June!AN337</f>
        <v>2779</v>
      </c>
      <c r="Q85" s="34">
        <f>June!AL337</f>
        <v>7</v>
      </c>
      <c r="R85" s="436"/>
      <c r="S85" s="436"/>
      <c r="T85" s="211"/>
      <c r="U85" s="211"/>
      <c r="V85" s="211">
        <f t="shared" si="1"/>
        <v>1437</v>
      </c>
      <c r="W85" s="260"/>
      <c r="X85" s="67"/>
    </row>
    <row r="86" spans="1:25" s="4" customFormat="1" ht="15" customHeight="1">
      <c r="A86" s="427"/>
      <c r="B86" s="122" t="s">
        <v>289</v>
      </c>
      <c r="C86" s="180" t="s">
        <v>290</v>
      </c>
      <c r="D86" s="48" t="s">
        <v>75</v>
      </c>
      <c r="E86" s="441"/>
      <c r="F86" s="48" t="s">
        <v>381</v>
      </c>
      <c r="G86" s="122"/>
      <c r="H86" s="34"/>
      <c r="I86" s="34"/>
      <c r="J86" s="6"/>
      <c r="K86" s="211"/>
      <c r="L86" s="211"/>
      <c r="M86" s="211"/>
      <c r="N86" s="211"/>
      <c r="O86" s="34"/>
      <c r="P86" s="34"/>
      <c r="Q86" s="34">
        <f>June!AL328</f>
        <v>0</v>
      </c>
      <c r="R86" s="436"/>
      <c r="S86" s="436"/>
      <c r="T86" s="211"/>
      <c r="U86" s="211"/>
      <c r="V86" s="211"/>
      <c r="W86" s="260"/>
      <c r="X86" s="67"/>
    </row>
    <row r="87" spans="1:25" ht="15" customHeight="1">
      <c r="A87" s="427"/>
      <c r="B87" s="122" t="s">
        <v>103</v>
      </c>
      <c r="C87" s="157" t="s">
        <v>197</v>
      </c>
      <c r="D87" s="48" t="s">
        <v>104</v>
      </c>
      <c r="E87" s="441"/>
      <c r="F87" s="118" t="s">
        <v>105</v>
      </c>
      <c r="G87" s="119"/>
      <c r="H87" s="126"/>
      <c r="I87" s="126"/>
      <c r="J87" s="2"/>
      <c r="K87" s="18"/>
      <c r="L87" s="18"/>
      <c r="M87" s="18"/>
      <c r="N87" s="18"/>
      <c r="O87" s="126"/>
      <c r="P87" s="126"/>
      <c r="Q87" s="126">
        <f>June!AL339</f>
        <v>1</v>
      </c>
      <c r="R87" s="436"/>
      <c r="S87" s="436"/>
      <c r="T87" s="18"/>
      <c r="U87" s="18"/>
      <c r="V87" s="18"/>
      <c r="W87" s="45"/>
      <c r="X87" s="67"/>
    </row>
    <row r="88" spans="1:25" ht="15" customHeight="1">
      <c r="A88" s="427"/>
      <c r="B88" s="137" t="s">
        <v>112</v>
      </c>
      <c r="C88" s="157" t="s">
        <v>197</v>
      </c>
      <c r="D88" s="48" t="s">
        <v>104</v>
      </c>
      <c r="E88" s="441"/>
      <c r="F88" s="118" t="s">
        <v>113</v>
      </c>
      <c r="G88" s="119"/>
      <c r="H88" s="126"/>
      <c r="I88" s="126"/>
      <c r="J88" s="2"/>
      <c r="K88" s="18"/>
      <c r="L88" s="18"/>
      <c r="M88" s="18"/>
      <c r="N88" s="18"/>
      <c r="O88" s="126"/>
      <c r="P88" s="126"/>
      <c r="Q88" s="126">
        <f>June!AL341</f>
        <v>1</v>
      </c>
      <c r="R88" s="436"/>
      <c r="S88" s="436"/>
      <c r="T88" s="18"/>
      <c r="U88" s="18"/>
      <c r="V88" s="18"/>
      <c r="W88" s="45"/>
      <c r="X88" s="67"/>
    </row>
    <row r="89" spans="1:25" ht="15" customHeight="1" thickBot="1">
      <c r="A89" s="428"/>
      <c r="B89" s="44" t="s">
        <v>107</v>
      </c>
      <c r="C89" s="181" t="s">
        <v>386</v>
      </c>
      <c r="D89" s="61" t="s">
        <v>108</v>
      </c>
      <c r="E89" s="447"/>
      <c r="F89" s="133" t="s">
        <v>48</v>
      </c>
      <c r="G89" s="132"/>
      <c r="H89" s="109"/>
      <c r="I89" s="134"/>
      <c r="J89" s="129"/>
      <c r="K89" s="130"/>
      <c r="L89" s="130"/>
      <c r="M89" s="130">
        <v>13000</v>
      </c>
      <c r="N89" s="130">
        <v>2</v>
      </c>
      <c r="O89" s="134">
        <f>June!AM340</f>
        <v>800</v>
      </c>
      <c r="P89" s="134">
        <f>June!AN340</f>
        <v>866</v>
      </c>
      <c r="Q89" s="134">
        <f>June!AL340</f>
        <v>2</v>
      </c>
      <c r="R89" s="437"/>
      <c r="S89" s="437"/>
      <c r="T89" s="130"/>
      <c r="U89" s="130"/>
      <c r="V89" s="128">
        <f t="shared" ref="V89:V94" si="2">O89-T89-U89+V60</f>
        <v>4197</v>
      </c>
      <c r="W89" s="85"/>
      <c r="X89" s="67"/>
    </row>
    <row r="90" spans="1:25" ht="15" customHeight="1">
      <c r="A90" s="426">
        <v>46177</v>
      </c>
      <c r="B90" s="429" t="s">
        <v>44</v>
      </c>
      <c r="C90" s="432" t="s">
        <v>240</v>
      </c>
      <c r="D90" s="19" t="s">
        <v>37</v>
      </c>
      <c r="E90" s="19" t="s">
        <v>25</v>
      </c>
      <c r="F90" s="39" t="s">
        <v>40</v>
      </c>
      <c r="G90" s="168">
        <v>5498.1</v>
      </c>
      <c r="H90" s="32"/>
      <c r="I90" s="32"/>
      <c r="J90" s="32"/>
      <c r="K90" s="20">
        <v>80000</v>
      </c>
      <c r="L90" s="20">
        <v>10</v>
      </c>
      <c r="M90" s="20">
        <v>64000</v>
      </c>
      <c r="N90" s="84">
        <v>8</v>
      </c>
      <c r="O90" s="32">
        <f>June!AP313</f>
        <v>25679</v>
      </c>
      <c r="P90" s="32">
        <f>June!AQ313</f>
        <v>37576</v>
      </c>
      <c r="Q90" s="32">
        <f>June!AO313</f>
        <v>104</v>
      </c>
      <c r="R90" s="435">
        <f>June!AP346</f>
        <v>83550</v>
      </c>
      <c r="S90" s="435">
        <f>June!AQ346</f>
        <v>86360</v>
      </c>
      <c r="T90" s="20">
        <v>58271</v>
      </c>
      <c r="U90" s="20">
        <v>64</v>
      </c>
      <c r="V90" s="20">
        <f t="shared" si="2"/>
        <v>174638</v>
      </c>
      <c r="W90" s="77"/>
      <c r="X90" s="36"/>
    </row>
    <row r="91" spans="1:25" ht="15" customHeight="1">
      <c r="A91" s="427"/>
      <c r="B91" s="431"/>
      <c r="C91" s="434"/>
      <c r="D91" s="113" t="s">
        <v>307</v>
      </c>
      <c r="E91" s="113" t="s">
        <v>24</v>
      </c>
      <c r="F91" s="118" t="s">
        <v>40</v>
      </c>
      <c r="G91" s="170"/>
      <c r="H91" s="135"/>
      <c r="I91" s="125"/>
      <c r="J91" s="125"/>
      <c r="K91" s="127"/>
      <c r="L91" s="127"/>
      <c r="M91" s="216">
        <v>168000</v>
      </c>
      <c r="N91" s="238">
        <v>21</v>
      </c>
      <c r="O91" s="126">
        <f>June!AP314</f>
        <v>36134</v>
      </c>
      <c r="P91" s="125">
        <f>June!AQ314</f>
        <v>26977</v>
      </c>
      <c r="Q91" s="125">
        <f>June!AO314</f>
        <v>72</v>
      </c>
      <c r="R91" s="436"/>
      <c r="S91" s="436"/>
      <c r="T91" s="127"/>
      <c r="U91" s="127"/>
      <c r="V91" s="127">
        <f t="shared" si="2"/>
        <v>119502</v>
      </c>
      <c r="W91" s="46"/>
      <c r="X91" s="67"/>
    </row>
    <row r="92" spans="1:25" ht="15" customHeight="1">
      <c r="A92" s="427"/>
      <c r="B92" s="442" t="s">
        <v>45</v>
      </c>
      <c r="C92" s="448" t="s">
        <v>59</v>
      </c>
      <c r="D92" s="118" t="s">
        <v>75</v>
      </c>
      <c r="E92" s="438" t="s">
        <v>25</v>
      </c>
      <c r="F92" s="131" t="s">
        <v>57</v>
      </c>
      <c r="G92" s="87"/>
      <c r="H92" s="152"/>
      <c r="I92" s="126"/>
      <c r="J92" s="2"/>
      <c r="K92" s="127"/>
      <c r="L92" s="18"/>
      <c r="M92" s="18">
        <v>49220</v>
      </c>
      <c r="N92" s="80">
        <v>10</v>
      </c>
      <c r="O92" s="126">
        <f>June!AP317</f>
        <v>1100</v>
      </c>
      <c r="P92" s="126">
        <f>June!AQ317</f>
        <v>2333</v>
      </c>
      <c r="Q92" s="2">
        <f>June!AO317</f>
        <v>9</v>
      </c>
      <c r="R92" s="436"/>
      <c r="S92" s="436"/>
      <c r="T92" s="18">
        <v>3856</v>
      </c>
      <c r="U92" s="18"/>
      <c r="V92" s="127">
        <f t="shared" si="2"/>
        <v>5716</v>
      </c>
      <c r="W92" s="46"/>
      <c r="Y92" s="13"/>
    </row>
    <row r="93" spans="1:25" ht="15" customHeight="1">
      <c r="A93" s="427"/>
      <c r="B93" s="439"/>
      <c r="C93" s="440"/>
      <c r="D93" s="118" t="s">
        <v>291</v>
      </c>
      <c r="E93" s="430"/>
      <c r="F93" s="131" t="s">
        <v>57</v>
      </c>
      <c r="G93" s="87"/>
      <c r="H93" s="152"/>
      <c r="I93" s="126"/>
      <c r="J93" s="2"/>
      <c r="K93" s="127"/>
      <c r="L93" s="18"/>
      <c r="M93" s="18"/>
      <c r="N93" s="80"/>
      <c r="O93" s="126"/>
      <c r="P93" s="126">
        <f>June!AQ318</f>
        <v>523</v>
      </c>
      <c r="Q93" s="2">
        <f>June!AO318</f>
        <v>2</v>
      </c>
      <c r="R93" s="436"/>
      <c r="S93" s="436"/>
      <c r="T93" s="18"/>
      <c r="U93" s="18"/>
      <c r="V93" s="127">
        <f t="shared" si="2"/>
        <v>1976</v>
      </c>
      <c r="W93" s="46"/>
      <c r="Y93" s="13"/>
    </row>
    <row r="94" spans="1:25">
      <c r="A94" s="427"/>
      <c r="B94" s="439"/>
      <c r="C94" s="440"/>
      <c r="D94" s="118" t="s">
        <v>72</v>
      </c>
      <c r="E94" s="155" t="s">
        <v>24</v>
      </c>
      <c r="F94" s="131" t="s">
        <v>57</v>
      </c>
      <c r="G94" s="224"/>
      <c r="H94" s="152"/>
      <c r="I94" s="126"/>
      <c r="J94" s="126"/>
      <c r="K94" s="127"/>
      <c r="L94" s="18"/>
      <c r="M94" s="18">
        <v>40000</v>
      </c>
      <c r="N94" s="80">
        <v>8</v>
      </c>
      <c r="O94" s="126">
        <f>June!AP319</f>
        <v>1408</v>
      </c>
      <c r="P94" s="126">
        <f>June!AQ319</f>
        <v>1734</v>
      </c>
      <c r="Q94" s="126">
        <f>June!AO319</f>
        <v>8</v>
      </c>
      <c r="R94" s="436"/>
      <c r="S94" s="436"/>
      <c r="T94" s="18"/>
      <c r="U94" s="18"/>
      <c r="V94" s="127">
        <f t="shared" si="2"/>
        <v>13348</v>
      </c>
      <c r="W94" s="46"/>
      <c r="Y94" s="13"/>
    </row>
    <row r="95" spans="1:25" ht="14.25" customHeight="1">
      <c r="A95" s="427"/>
      <c r="B95" s="439"/>
      <c r="C95" s="440"/>
      <c r="D95" s="115" t="s">
        <v>79</v>
      </c>
      <c r="E95" s="155" t="s">
        <v>65</v>
      </c>
      <c r="F95" s="131" t="s">
        <v>57</v>
      </c>
      <c r="G95" s="224"/>
      <c r="H95" s="126"/>
      <c r="I95" s="126"/>
      <c r="J95" s="126"/>
      <c r="K95" s="18"/>
      <c r="L95" s="18"/>
      <c r="M95" s="18"/>
      <c r="N95" s="80"/>
      <c r="O95" s="126"/>
      <c r="P95" s="126"/>
      <c r="Q95" s="126"/>
      <c r="R95" s="436"/>
      <c r="S95" s="436"/>
      <c r="T95" s="18"/>
      <c r="U95" s="18"/>
      <c r="V95" s="127">
        <f>O95-T95-U95+V67</f>
        <v>10211</v>
      </c>
      <c r="W95" s="45"/>
      <c r="X95" s="36"/>
    </row>
    <row r="96" spans="1:25" ht="14.25" customHeight="1">
      <c r="A96" s="427"/>
      <c r="B96" s="439"/>
      <c r="C96" s="448" t="s">
        <v>299</v>
      </c>
      <c r="D96" s="115" t="s">
        <v>296</v>
      </c>
      <c r="E96" s="424" t="s">
        <v>25</v>
      </c>
      <c r="F96" s="131" t="s">
        <v>298</v>
      </c>
      <c r="G96" s="224"/>
      <c r="H96" s="37"/>
      <c r="I96" s="126"/>
      <c r="J96" s="126"/>
      <c r="K96" s="18"/>
      <c r="L96" s="18"/>
      <c r="M96" s="18"/>
      <c r="N96" s="80"/>
      <c r="O96" s="126"/>
      <c r="P96" s="126"/>
      <c r="Q96" s="126"/>
      <c r="R96" s="436"/>
      <c r="S96" s="436"/>
      <c r="T96" s="18">
        <v>3300</v>
      </c>
      <c r="U96" s="18"/>
      <c r="V96" s="127">
        <f>O96-T96-U96+V68</f>
        <v>4975</v>
      </c>
      <c r="W96" s="45"/>
      <c r="X96" s="67"/>
    </row>
    <row r="97" spans="1:24" ht="14.25" customHeight="1">
      <c r="A97" s="427"/>
      <c r="B97" s="443"/>
      <c r="C97" s="449"/>
      <c r="D97" s="115" t="s">
        <v>75</v>
      </c>
      <c r="E97" s="425"/>
      <c r="F97" s="131" t="s">
        <v>298</v>
      </c>
      <c r="G97" s="224"/>
      <c r="H97" s="37"/>
      <c r="I97" s="126"/>
      <c r="J97" s="126"/>
      <c r="K97" s="18"/>
      <c r="L97" s="18"/>
      <c r="M97" s="18">
        <v>10000</v>
      </c>
      <c r="N97" s="80">
        <v>2</v>
      </c>
      <c r="O97" s="126">
        <f>June!AP323</f>
        <v>1100</v>
      </c>
      <c r="P97" s="126">
        <f>June!AQ323</f>
        <v>1111</v>
      </c>
      <c r="Q97" s="126">
        <f>June!AO323</f>
        <v>4</v>
      </c>
      <c r="R97" s="436"/>
      <c r="S97" s="436"/>
      <c r="T97" s="18"/>
      <c r="U97" s="18"/>
      <c r="V97" s="127">
        <f>O97-T97-U97+V69</f>
        <v>5003</v>
      </c>
      <c r="W97" s="45"/>
      <c r="X97" s="67"/>
    </row>
    <row r="98" spans="1:24" ht="14.25" customHeight="1">
      <c r="A98" s="427"/>
      <c r="B98" s="439" t="s">
        <v>53</v>
      </c>
      <c r="C98" s="445" t="s">
        <v>60</v>
      </c>
      <c r="D98" s="43" t="s">
        <v>320</v>
      </c>
      <c r="E98" s="441" t="s">
        <v>66</v>
      </c>
      <c r="F98" s="118" t="s">
        <v>54</v>
      </c>
      <c r="G98" s="224"/>
      <c r="H98" s="37"/>
      <c r="I98" s="126"/>
      <c r="J98" s="126"/>
      <c r="K98" s="18">
        <v>6000</v>
      </c>
      <c r="L98" s="18">
        <v>1</v>
      </c>
      <c r="M98" s="18">
        <v>6000</v>
      </c>
      <c r="N98" s="80">
        <v>1</v>
      </c>
      <c r="O98" s="126">
        <f>June!AP315</f>
        <v>5537</v>
      </c>
      <c r="P98" s="126">
        <f>June!AQ315</f>
        <v>4577</v>
      </c>
      <c r="Q98" s="126">
        <f>June!AO315</f>
        <v>14</v>
      </c>
      <c r="R98" s="436"/>
      <c r="S98" s="436"/>
      <c r="T98" s="18"/>
      <c r="U98" s="18"/>
      <c r="V98" s="127">
        <f>O98-T98-U98+V70</f>
        <v>22017</v>
      </c>
      <c r="W98" s="45"/>
      <c r="X98" s="67"/>
    </row>
    <row r="99" spans="1:24" ht="14.25" customHeight="1">
      <c r="A99" s="427"/>
      <c r="B99" s="439"/>
      <c r="C99" s="445"/>
      <c r="D99" s="43" t="s">
        <v>387</v>
      </c>
      <c r="E99" s="425"/>
      <c r="F99" s="118" t="s">
        <v>54</v>
      </c>
      <c r="G99" s="229"/>
      <c r="H99" s="182"/>
      <c r="I99" s="125"/>
      <c r="J99" s="125"/>
      <c r="K99" s="127"/>
      <c r="L99" s="127"/>
      <c r="M99" s="127">
        <v>70800</v>
      </c>
      <c r="N99" s="171">
        <v>12</v>
      </c>
      <c r="O99" s="125"/>
      <c r="P99" s="125"/>
      <c r="Q99" s="125"/>
      <c r="R99" s="436"/>
      <c r="S99" s="436"/>
      <c r="T99" s="18"/>
      <c r="U99" s="18"/>
      <c r="V99" s="127"/>
      <c r="W99" s="45"/>
      <c r="X99" s="67"/>
    </row>
    <row r="100" spans="1:24" ht="14.25" customHeight="1">
      <c r="A100" s="427"/>
      <c r="B100" s="443"/>
      <c r="C100" s="446"/>
      <c r="D100" s="43" t="s">
        <v>199</v>
      </c>
      <c r="E100" s="114" t="s">
        <v>25</v>
      </c>
      <c r="F100" s="118" t="s">
        <v>54</v>
      </c>
      <c r="G100" s="224"/>
      <c r="H100" s="135"/>
      <c r="I100" s="158"/>
      <c r="J100" s="158"/>
      <c r="K100" s="128"/>
      <c r="L100" s="128"/>
      <c r="M100" s="128"/>
      <c r="N100" s="164"/>
      <c r="O100" s="158"/>
      <c r="P100" s="158"/>
      <c r="Q100" s="158"/>
      <c r="R100" s="436"/>
      <c r="S100" s="436"/>
      <c r="T100" s="18"/>
      <c r="U100" s="18"/>
      <c r="V100" s="127">
        <f>O100-T100-U100+V72</f>
        <v>68</v>
      </c>
      <c r="W100" s="45"/>
      <c r="X100" s="67"/>
    </row>
    <row r="101" spans="1:24" ht="15.75" customHeight="1">
      <c r="A101" s="427"/>
      <c r="B101" s="122" t="s">
        <v>55</v>
      </c>
      <c r="C101" s="180" t="s">
        <v>133</v>
      </c>
      <c r="D101" s="48" t="s">
        <v>56</v>
      </c>
      <c r="E101" s="424" t="s">
        <v>25</v>
      </c>
      <c r="F101" s="118" t="s">
        <v>67</v>
      </c>
      <c r="G101" s="226"/>
      <c r="H101" s="126"/>
      <c r="I101" s="126"/>
      <c r="J101" s="2"/>
      <c r="K101" s="18"/>
      <c r="L101" s="18"/>
      <c r="M101" s="18"/>
      <c r="N101" s="18"/>
      <c r="O101" s="126">
        <f>June!AP343</f>
        <v>373</v>
      </c>
      <c r="P101" s="126">
        <f>June!AQ343</f>
        <v>497</v>
      </c>
      <c r="Q101" s="126">
        <f>June!AO343</f>
        <v>1</v>
      </c>
      <c r="R101" s="436"/>
      <c r="S101" s="436"/>
      <c r="T101" s="18"/>
      <c r="U101" s="18"/>
      <c r="V101" s="127">
        <f>O101-T101-U101+V74</f>
        <v>4526</v>
      </c>
      <c r="W101" s="45"/>
      <c r="X101" s="67"/>
    </row>
    <row r="102" spans="1:24" ht="15" customHeight="1">
      <c r="A102" s="427"/>
      <c r="B102" s="122" t="s">
        <v>122</v>
      </c>
      <c r="C102" s="180" t="s">
        <v>123</v>
      </c>
      <c r="D102" s="48" t="s">
        <v>56</v>
      </c>
      <c r="E102" s="441"/>
      <c r="F102" s="155" t="s">
        <v>64</v>
      </c>
      <c r="G102" s="119"/>
      <c r="H102" s="126"/>
      <c r="I102" s="126"/>
      <c r="J102" s="2"/>
      <c r="K102" s="18"/>
      <c r="L102" s="18"/>
      <c r="M102" s="18">
        <v>64000</v>
      </c>
      <c r="N102" s="18">
        <v>2</v>
      </c>
      <c r="O102" s="126"/>
      <c r="P102" s="126"/>
      <c r="Q102" s="126"/>
      <c r="R102" s="436"/>
      <c r="S102" s="436"/>
      <c r="T102" s="18"/>
      <c r="U102" s="18"/>
      <c r="V102" s="127">
        <f t="shared" ref="V102:V112" si="3">O102-T102-U102+V75</f>
        <v>18121</v>
      </c>
      <c r="W102" s="45"/>
      <c r="X102" s="67"/>
    </row>
    <row r="103" spans="1:24" ht="14.25" customHeight="1">
      <c r="A103" s="427"/>
      <c r="B103" s="137" t="s">
        <v>58</v>
      </c>
      <c r="C103" s="157" t="s">
        <v>243</v>
      </c>
      <c r="D103" s="48" t="s">
        <v>56</v>
      </c>
      <c r="E103" s="441"/>
      <c r="F103" s="118" t="s">
        <v>64</v>
      </c>
      <c r="G103" s="225"/>
      <c r="H103" s="126"/>
      <c r="I103" s="126"/>
      <c r="J103" s="126"/>
      <c r="K103" s="18"/>
      <c r="L103" s="18"/>
      <c r="M103" s="18"/>
      <c r="N103" s="80"/>
      <c r="O103" s="126"/>
      <c r="P103" s="126"/>
      <c r="Q103" s="126"/>
      <c r="R103" s="436"/>
      <c r="S103" s="436"/>
      <c r="T103" s="18"/>
      <c r="U103" s="18"/>
      <c r="V103" s="127">
        <f t="shared" si="3"/>
        <v>8144</v>
      </c>
      <c r="W103" s="45"/>
      <c r="X103" s="67"/>
    </row>
    <row r="104" spans="1:24" ht="14.25" customHeight="1">
      <c r="A104" s="427"/>
      <c r="B104" s="122" t="s">
        <v>61</v>
      </c>
      <c r="C104" s="180" t="s">
        <v>137</v>
      </c>
      <c r="D104" s="48" t="s">
        <v>56</v>
      </c>
      <c r="E104" s="441"/>
      <c r="F104" s="118" t="s">
        <v>67</v>
      </c>
      <c r="G104" s="225"/>
      <c r="H104" s="126"/>
      <c r="I104" s="126"/>
      <c r="J104" s="126"/>
      <c r="K104" s="18"/>
      <c r="L104" s="18"/>
      <c r="M104" s="18"/>
      <c r="N104" s="80"/>
      <c r="O104" s="126"/>
      <c r="P104" s="126"/>
      <c r="Q104" s="126"/>
      <c r="R104" s="436"/>
      <c r="S104" s="436"/>
      <c r="T104" s="18"/>
      <c r="U104" s="18"/>
      <c r="V104" s="127">
        <f t="shared" si="3"/>
        <v>5844</v>
      </c>
      <c r="W104" s="45"/>
      <c r="X104" s="67"/>
    </row>
    <row r="105" spans="1:24" ht="14.25" customHeight="1">
      <c r="A105" s="427"/>
      <c r="B105" s="122" t="s">
        <v>125</v>
      </c>
      <c r="C105" s="180" t="s">
        <v>88</v>
      </c>
      <c r="D105" s="48" t="s">
        <v>124</v>
      </c>
      <c r="E105" s="441"/>
      <c r="F105" s="118" t="s">
        <v>64</v>
      </c>
      <c r="G105" s="225"/>
      <c r="H105" s="126"/>
      <c r="I105" s="126"/>
      <c r="J105" s="126"/>
      <c r="K105" s="18"/>
      <c r="L105" s="18"/>
      <c r="M105" s="18">
        <v>51200</v>
      </c>
      <c r="N105" s="80">
        <v>7</v>
      </c>
      <c r="O105" s="126"/>
      <c r="P105" s="126"/>
      <c r="Q105" s="126"/>
      <c r="R105" s="436"/>
      <c r="S105" s="436"/>
      <c r="T105" s="18"/>
      <c r="U105" s="18"/>
      <c r="V105" s="127">
        <f t="shared" si="3"/>
        <v>23615</v>
      </c>
      <c r="W105" s="45"/>
      <c r="X105" s="67"/>
    </row>
    <row r="106" spans="1:24" ht="14.25" customHeight="1">
      <c r="A106" s="427"/>
      <c r="B106" s="137" t="s">
        <v>47</v>
      </c>
      <c r="C106" s="157" t="s">
        <v>100</v>
      </c>
      <c r="D106" s="48" t="s">
        <v>99</v>
      </c>
      <c r="E106" s="441"/>
      <c r="F106" s="118" t="s">
        <v>71</v>
      </c>
      <c r="G106" s="225"/>
      <c r="H106" s="126"/>
      <c r="I106" s="126"/>
      <c r="J106" s="126"/>
      <c r="K106" s="18"/>
      <c r="L106" s="18"/>
      <c r="M106" s="18"/>
      <c r="N106" s="80"/>
      <c r="O106" s="126"/>
      <c r="P106" s="126">
        <f>June!AQ324</f>
        <v>599</v>
      </c>
      <c r="Q106" s="126">
        <f>June!AO324</f>
        <v>2</v>
      </c>
      <c r="R106" s="436"/>
      <c r="S106" s="436"/>
      <c r="T106" s="18"/>
      <c r="U106" s="18"/>
      <c r="V106" s="127">
        <f t="shared" si="3"/>
        <v>51336</v>
      </c>
      <c r="W106" s="45"/>
      <c r="X106" s="67"/>
    </row>
    <row r="107" spans="1:24" ht="15" customHeight="1">
      <c r="A107" s="427"/>
      <c r="B107" s="122" t="s">
        <v>196</v>
      </c>
      <c r="C107" s="180" t="s">
        <v>63</v>
      </c>
      <c r="D107" s="48" t="s">
        <v>135</v>
      </c>
      <c r="E107" s="441"/>
      <c r="F107" s="118" t="s">
        <v>64</v>
      </c>
      <c r="G107" s="226"/>
      <c r="H107" s="126"/>
      <c r="I107" s="126"/>
      <c r="J107" s="2"/>
      <c r="K107" s="18"/>
      <c r="L107" s="18"/>
      <c r="M107" s="18"/>
      <c r="N107" s="18"/>
      <c r="O107" s="126">
        <f>June!AP338</f>
        <v>1565</v>
      </c>
      <c r="P107" s="126">
        <f>June!AQ338</f>
        <v>1475</v>
      </c>
      <c r="Q107" s="126">
        <f>June!AO338</f>
        <v>5</v>
      </c>
      <c r="R107" s="436"/>
      <c r="S107" s="436"/>
      <c r="T107" s="18"/>
      <c r="U107" s="18"/>
      <c r="V107" s="127">
        <f t="shared" si="3"/>
        <v>33069</v>
      </c>
      <c r="W107" s="45"/>
      <c r="X107" s="67"/>
    </row>
    <row r="108" spans="1:24" ht="15" customHeight="1">
      <c r="A108" s="427"/>
      <c r="B108" s="122" t="s">
        <v>363</v>
      </c>
      <c r="C108" s="180" t="s">
        <v>325</v>
      </c>
      <c r="D108" s="48" t="s">
        <v>328</v>
      </c>
      <c r="E108" s="441"/>
      <c r="F108" s="118" t="s">
        <v>48</v>
      </c>
      <c r="G108" s="226"/>
      <c r="H108" s="126"/>
      <c r="I108" s="126"/>
      <c r="J108" s="2"/>
      <c r="K108" s="18"/>
      <c r="L108" s="18"/>
      <c r="M108" s="18"/>
      <c r="N108" s="18"/>
      <c r="O108" s="126"/>
      <c r="P108" s="126">
        <f>June!AQ335</f>
        <v>604</v>
      </c>
      <c r="Q108" s="126">
        <f>June!AO335</f>
        <v>2</v>
      </c>
      <c r="R108" s="436"/>
      <c r="S108" s="436"/>
      <c r="T108" s="18"/>
      <c r="U108" s="18"/>
      <c r="V108" s="127">
        <f t="shared" si="3"/>
        <v>10151</v>
      </c>
      <c r="W108" s="45"/>
      <c r="X108" s="67"/>
    </row>
    <row r="109" spans="1:24" ht="15" customHeight="1">
      <c r="A109" s="427"/>
      <c r="B109" s="122" t="s">
        <v>253</v>
      </c>
      <c r="C109" s="180" t="s">
        <v>365</v>
      </c>
      <c r="D109" s="48" t="s">
        <v>246</v>
      </c>
      <c r="E109" s="441"/>
      <c r="F109" s="118" t="s">
        <v>247</v>
      </c>
      <c r="G109" s="226"/>
      <c r="H109" s="126"/>
      <c r="I109" s="126"/>
      <c r="J109" s="2"/>
      <c r="K109" s="18"/>
      <c r="L109" s="18"/>
      <c r="M109" s="18"/>
      <c r="N109" s="18"/>
      <c r="O109" s="126"/>
      <c r="P109" s="126">
        <f>June!AQ327</f>
        <v>187</v>
      </c>
      <c r="Q109" s="126">
        <f>June!AO327</f>
        <v>4</v>
      </c>
      <c r="R109" s="436"/>
      <c r="S109" s="436"/>
      <c r="T109" s="18"/>
      <c r="U109" s="18"/>
      <c r="V109" s="127">
        <f t="shared" si="3"/>
        <v>17227</v>
      </c>
      <c r="W109" s="45"/>
      <c r="X109" s="67"/>
    </row>
    <row r="110" spans="1:24" ht="15" customHeight="1">
      <c r="A110" s="427"/>
      <c r="B110" s="122" t="s">
        <v>101</v>
      </c>
      <c r="C110" s="180" t="s">
        <v>327</v>
      </c>
      <c r="D110" s="48" t="s">
        <v>102</v>
      </c>
      <c r="E110" s="441"/>
      <c r="F110" s="118" t="s">
        <v>64</v>
      </c>
      <c r="G110" s="119"/>
      <c r="H110" s="126"/>
      <c r="I110" s="126"/>
      <c r="J110" s="2"/>
      <c r="K110" s="18"/>
      <c r="L110" s="18"/>
      <c r="M110" s="18">
        <v>14000</v>
      </c>
      <c r="N110" s="18">
        <v>2</v>
      </c>
      <c r="O110" s="126">
        <f>June!AP333</f>
        <v>2999</v>
      </c>
      <c r="P110" s="126">
        <f>June!AQ333</f>
        <v>2906</v>
      </c>
      <c r="Q110" s="126">
        <f>June!AO333</f>
        <v>8</v>
      </c>
      <c r="R110" s="436"/>
      <c r="S110" s="436"/>
      <c r="T110" s="18">
        <v>5127</v>
      </c>
      <c r="U110" s="18"/>
      <c r="V110" s="18">
        <f t="shared" si="3"/>
        <v>4372</v>
      </c>
      <c r="W110" s="45"/>
      <c r="X110" s="67"/>
    </row>
    <row r="111" spans="1:24" s="4" customFormat="1" ht="15" customHeight="1">
      <c r="A111" s="427"/>
      <c r="B111" s="122" t="s">
        <v>375</v>
      </c>
      <c r="C111" s="157" t="s">
        <v>376</v>
      </c>
      <c r="D111" s="48" t="s">
        <v>248</v>
      </c>
      <c r="E111" s="441"/>
      <c r="F111" s="48" t="s">
        <v>64</v>
      </c>
      <c r="G111" s="122"/>
      <c r="H111" s="34"/>
      <c r="I111" s="34"/>
      <c r="J111" s="6"/>
      <c r="K111" s="211"/>
      <c r="L111" s="211"/>
      <c r="M111" s="211"/>
      <c r="N111" s="211"/>
      <c r="O111" s="34">
        <f>June!AP336</f>
        <v>1255</v>
      </c>
      <c r="P111" s="34">
        <f>June!AQ336</f>
        <v>163</v>
      </c>
      <c r="Q111" s="34">
        <f>June!AO336</f>
        <v>19</v>
      </c>
      <c r="R111" s="436"/>
      <c r="S111" s="436"/>
      <c r="T111" s="211"/>
      <c r="U111" s="211"/>
      <c r="V111" s="211">
        <f t="shared" si="3"/>
        <v>77059</v>
      </c>
      <c r="W111" s="260"/>
      <c r="X111" s="67"/>
    </row>
    <row r="112" spans="1:24" s="4" customFormat="1" ht="15" customHeight="1">
      <c r="A112" s="427"/>
      <c r="B112" s="122" t="s">
        <v>421</v>
      </c>
      <c r="C112" s="157" t="s">
        <v>420</v>
      </c>
      <c r="D112" s="48" t="s">
        <v>248</v>
      </c>
      <c r="E112" s="441"/>
      <c r="F112" s="48" t="s">
        <v>64</v>
      </c>
      <c r="G112" s="37">
        <v>1537.2</v>
      </c>
      <c r="H112" s="34"/>
      <c r="I112" s="34"/>
      <c r="J112" s="6"/>
      <c r="K112" s="211">
        <v>8200</v>
      </c>
      <c r="L112" s="211">
        <v>2</v>
      </c>
      <c r="M112" s="211">
        <v>8200</v>
      </c>
      <c r="N112" s="211">
        <v>2</v>
      </c>
      <c r="O112" s="34">
        <f>June!AP337</f>
        <v>4800</v>
      </c>
      <c r="P112" s="34">
        <f>June!AQ337</f>
        <v>4262</v>
      </c>
      <c r="Q112" s="34">
        <f>June!AO337</f>
        <v>9</v>
      </c>
      <c r="R112" s="436"/>
      <c r="S112" s="436"/>
      <c r="T112" s="211"/>
      <c r="U112" s="211"/>
      <c r="V112" s="211">
        <f t="shared" si="3"/>
        <v>6237</v>
      </c>
      <c r="W112" s="260"/>
      <c r="X112" s="67"/>
    </row>
    <row r="113" spans="1:25" s="4" customFormat="1" ht="15" customHeight="1">
      <c r="A113" s="427"/>
      <c r="B113" s="122" t="s">
        <v>289</v>
      </c>
      <c r="C113" s="180" t="s">
        <v>290</v>
      </c>
      <c r="D113" s="48" t="s">
        <v>75</v>
      </c>
      <c r="E113" s="441"/>
      <c r="F113" s="48" t="s">
        <v>381</v>
      </c>
      <c r="G113" s="122"/>
      <c r="H113" s="34"/>
      <c r="I113" s="34"/>
      <c r="J113" s="6"/>
      <c r="K113" s="211"/>
      <c r="L113" s="211"/>
      <c r="M113" s="211"/>
      <c r="N113" s="211"/>
      <c r="O113" s="34"/>
      <c r="P113" s="34"/>
      <c r="Q113" s="34">
        <f>June!AO328</f>
        <v>0</v>
      </c>
      <c r="R113" s="436"/>
      <c r="S113" s="436"/>
      <c r="T113" s="211"/>
      <c r="U113" s="211"/>
      <c r="V113" s="211"/>
      <c r="W113" s="260"/>
      <c r="X113" s="67"/>
    </row>
    <row r="114" spans="1:25" ht="15" customHeight="1">
      <c r="A114" s="427"/>
      <c r="B114" s="122" t="s">
        <v>103</v>
      </c>
      <c r="C114" s="157" t="s">
        <v>197</v>
      </c>
      <c r="D114" s="48" t="s">
        <v>104</v>
      </c>
      <c r="E114" s="441"/>
      <c r="F114" s="118" t="s">
        <v>105</v>
      </c>
      <c r="G114" s="119"/>
      <c r="H114" s="126"/>
      <c r="I114" s="126"/>
      <c r="J114" s="2"/>
      <c r="K114" s="18"/>
      <c r="L114" s="18"/>
      <c r="M114" s="18"/>
      <c r="N114" s="18"/>
      <c r="O114" s="126"/>
      <c r="P114" s="126"/>
      <c r="Q114" s="126">
        <f>June!AO339</f>
        <v>1</v>
      </c>
      <c r="R114" s="436"/>
      <c r="S114" s="436"/>
      <c r="T114" s="18"/>
      <c r="U114" s="18"/>
      <c r="V114" s="18"/>
      <c r="W114" s="45"/>
      <c r="X114" s="67"/>
    </row>
    <row r="115" spans="1:25" ht="15" customHeight="1">
      <c r="A115" s="427"/>
      <c r="B115" s="137" t="s">
        <v>112</v>
      </c>
      <c r="C115" s="157" t="s">
        <v>197</v>
      </c>
      <c r="D115" s="48" t="s">
        <v>104</v>
      </c>
      <c r="E115" s="441"/>
      <c r="F115" s="118" t="s">
        <v>113</v>
      </c>
      <c r="G115" s="119"/>
      <c r="H115" s="126"/>
      <c r="I115" s="126"/>
      <c r="J115" s="2"/>
      <c r="K115" s="18"/>
      <c r="L115" s="18"/>
      <c r="M115" s="18"/>
      <c r="N115" s="18"/>
      <c r="O115" s="126"/>
      <c r="P115" s="126"/>
      <c r="Q115" s="126">
        <f>June!AO341</f>
        <v>1</v>
      </c>
      <c r="R115" s="436"/>
      <c r="S115" s="436"/>
      <c r="T115" s="18"/>
      <c r="U115" s="18"/>
      <c r="V115" s="18"/>
      <c r="W115" s="45"/>
      <c r="X115" s="67"/>
    </row>
    <row r="116" spans="1:25" ht="15" customHeight="1" thickBot="1">
      <c r="A116" s="428"/>
      <c r="B116" s="44" t="s">
        <v>107</v>
      </c>
      <c r="C116" s="181" t="s">
        <v>386</v>
      </c>
      <c r="D116" s="61" t="s">
        <v>108</v>
      </c>
      <c r="E116" s="447"/>
      <c r="F116" s="133" t="s">
        <v>48</v>
      </c>
      <c r="G116" s="132"/>
      <c r="H116" s="109"/>
      <c r="I116" s="134"/>
      <c r="J116" s="129"/>
      <c r="K116" s="130"/>
      <c r="L116" s="130"/>
      <c r="M116" s="130">
        <v>13000</v>
      </c>
      <c r="N116" s="130">
        <v>2</v>
      </c>
      <c r="O116" s="134">
        <f>June!AP340</f>
        <v>1600</v>
      </c>
      <c r="P116" s="134">
        <f>June!AQ340</f>
        <v>836</v>
      </c>
      <c r="Q116" s="134">
        <f>June!AO340</f>
        <v>2</v>
      </c>
      <c r="R116" s="437"/>
      <c r="S116" s="437"/>
      <c r="T116" s="130"/>
      <c r="U116" s="130"/>
      <c r="V116" s="128">
        <f>O116-T116-U116+V89</f>
        <v>5797</v>
      </c>
      <c r="W116" s="85"/>
      <c r="X116" s="67"/>
    </row>
    <row r="117" spans="1:25" ht="15" customHeight="1">
      <c r="A117" s="426">
        <v>46178</v>
      </c>
      <c r="B117" s="429" t="s">
        <v>44</v>
      </c>
      <c r="C117" s="432" t="s">
        <v>240</v>
      </c>
      <c r="D117" s="19" t="s">
        <v>37</v>
      </c>
      <c r="E117" s="19" t="s">
        <v>25</v>
      </c>
      <c r="F117" s="39" t="s">
        <v>40</v>
      </c>
      <c r="G117" s="41">
        <v>7697.34</v>
      </c>
      <c r="H117" s="32">
        <v>4592</v>
      </c>
      <c r="I117" s="462">
        <v>651</v>
      </c>
      <c r="J117" s="474">
        <v>22.3</v>
      </c>
      <c r="K117" s="20">
        <v>48000</v>
      </c>
      <c r="L117" s="20">
        <v>6</v>
      </c>
      <c r="M117" s="20">
        <v>128000</v>
      </c>
      <c r="N117" s="84">
        <v>16</v>
      </c>
      <c r="O117" s="32">
        <f>June!AS313</f>
        <v>41457</v>
      </c>
      <c r="P117" s="32">
        <f>June!AT313</f>
        <v>38353</v>
      </c>
      <c r="Q117" s="32">
        <f>June!AR313</f>
        <v>104</v>
      </c>
      <c r="R117" s="435">
        <f>June!AS346</f>
        <v>89963</v>
      </c>
      <c r="S117" s="435">
        <f>June!AT346</f>
        <v>89074</v>
      </c>
      <c r="T117" s="20">
        <v>42917</v>
      </c>
      <c r="U117" s="20">
        <v>41</v>
      </c>
      <c r="V117" s="20">
        <f>O117-T117-U117+V90</f>
        <v>173137</v>
      </c>
      <c r="W117" s="77"/>
      <c r="X117" s="36"/>
    </row>
    <row r="118" spans="1:25" ht="15" customHeight="1">
      <c r="A118" s="427"/>
      <c r="B118" s="431"/>
      <c r="C118" s="434"/>
      <c r="D118" s="113" t="s">
        <v>307</v>
      </c>
      <c r="E118" s="113" t="s">
        <v>24</v>
      </c>
      <c r="F118" s="118" t="s">
        <v>40</v>
      </c>
      <c r="G118" s="170"/>
      <c r="H118" s="135"/>
      <c r="I118" s="463"/>
      <c r="J118" s="475"/>
      <c r="K118" s="127"/>
      <c r="L118" s="127"/>
      <c r="M118" s="216">
        <v>168000</v>
      </c>
      <c r="N118" s="238">
        <v>21</v>
      </c>
      <c r="O118" s="126">
        <f>June!AS314</f>
        <v>23353</v>
      </c>
      <c r="P118" s="125">
        <f>June!AT314</f>
        <v>26821</v>
      </c>
      <c r="Q118" s="125">
        <f>June!AR314</f>
        <v>72</v>
      </c>
      <c r="R118" s="436"/>
      <c r="S118" s="436"/>
      <c r="T118" s="127">
        <v>9823</v>
      </c>
      <c r="U118" s="127"/>
      <c r="V118" s="127">
        <f>O118-T118-U118+V91</f>
        <v>133032</v>
      </c>
      <c r="W118" s="46"/>
      <c r="X118" s="67"/>
    </row>
    <row r="119" spans="1:25" ht="15" customHeight="1">
      <c r="A119" s="427"/>
      <c r="B119" s="442" t="s">
        <v>45</v>
      </c>
      <c r="C119" s="448" t="s">
        <v>59</v>
      </c>
      <c r="D119" s="118" t="s">
        <v>75</v>
      </c>
      <c r="E119" s="438" t="s">
        <v>25</v>
      </c>
      <c r="F119" s="131" t="s">
        <v>57</v>
      </c>
      <c r="G119" s="87"/>
      <c r="H119" s="152"/>
      <c r="I119" s="463"/>
      <c r="J119" s="475"/>
      <c r="K119" s="127"/>
      <c r="L119" s="18"/>
      <c r="M119" s="18">
        <v>49220</v>
      </c>
      <c r="N119" s="80">
        <v>10</v>
      </c>
      <c r="O119" s="126">
        <f>June!AS317</f>
        <v>3300</v>
      </c>
      <c r="P119" s="126">
        <f>June!AT317</f>
        <v>2351</v>
      </c>
      <c r="Q119" s="2">
        <f>June!AR317</f>
        <v>9</v>
      </c>
      <c r="R119" s="436"/>
      <c r="S119" s="436"/>
      <c r="T119" s="18"/>
      <c r="U119" s="18"/>
      <c r="V119" s="127">
        <f>O119-T119-U119+V92</f>
        <v>9016</v>
      </c>
      <c r="W119" s="46"/>
      <c r="Y119" s="13"/>
    </row>
    <row r="120" spans="1:25" ht="15" customHeight="1">
      <c r="A120" s="427"/>
      <c r="B120" s="439"/>
      <c r="C120" s="440"/>
      <c r="D120" s="118" t="s">
        <v>291</v>
      </c>
      <c r="E120" s="430"/>
      <c r="F120" s="131" t="s">
        <v>57</v>
      </c>
      <c r="G120" s="87"/>
      <c r="H120" s="152"/>
      <c r="I120" s="463"/>
      <c r="J120" s="475"/>
      <c r="K120" s="127"/>
      <c r="L120" s="18"/>
      <c r="M120" s="18"/>
      <c r="N120" s="80"/>
      <c r="O120" s="126"/>
      <c r="P120" s="126">
        <f>June!AT318</f>
        <v>525</v>
      </c>
      <c r="Q120" s="2">
        <f>June!AR318</f>
        <v>2</v>
      </c>
      <c r="R120" s="436"/>
      <c r="S120" s="436"/>
      <c r="T120" s="18"/>
      <c r="U120" s="18"/>
      <c r="V120" s="127">
        <f>O120-T120-U120+V93</f>
        <v>1976</v>
      </c>
      <c r="W120" s="46"/>
      <c r="Y120" s="13"/>
    </row>
    <row r="121" spans="1:25" ht="15" customHeight="1">
      <c r="A121" s="427"/>
      <c r="B121" s="439"/>
      <c r="C121" s="440"/>
      <c r="D121" s="118" t="s">
        <v>94</v>
      </c>
      <c r="E121" s="431"/>
      <c r="F121" s="131"/>
      <c r="G121" s="87"/>
      <c r="H121" s="152">
        <f>486+648</f>
        <v>1134</v>
      </c>
      <c r="I121" s="463"/>
      <c r="J121" s="475"/>
      <c r="K121" s="127"/>
      <c r="L121" s="18"/>
      <c r="M121" s="18"/>
      <c r="N121" s="80"/>
      <c r="O121" s="126"/>
      <c r="P121" s="126"/>
      <c r="Q121" s="2"/>
      <c r="R121" s="436"/>
      <c r="S121" s="436"/>
      <c r="T121" s="18"/>
      <c r="U121" s="18"/>
      <c r="V121" s="127"/>
      <c r="W121" s="46"/>
      <c r="Y121" s="13"/>
    </row>
    <row r="122" spans="1:25">
      <c r="A122" s="427"/>
      <c r="B122" s="439"/>
      <c r="C122" s="440"/>
      <c r="D122" s="118" t="s">
        <v>72</v>
      </c>
      <c r="E122" s="155" t="s">
        <v>24</v>
      </c>
      <c r="F122" s="131" t="s">
        <v>57</v>
      </c>
      <c r="G122" s="224"/>
      <c r="H122" s="152"/>
      <c r="I122" s="463"/>
      <c r="J122" s="475"/>
      <c r="K122" s="127">
        <v>5000</v>
      </c>
      <c r="L122" s="18">
        <v>1</v>
      </c>
      <c r="M122" s="18">
        <v>35000</v>
      </c>
      <c r="N122" s="80">
        <v>7</v>
      </c>
      <c r="O122" s="126"/>
      <c r="P122" s="126">
        <f>June!AT319</f>
        <v>1924</v>
      </c>
      <c r="Q122" s="126">
        <f>June!AR319</f>
        <v>8</v>
      </c>
      <c r="R122" s="436"/>
      <c r="S122" s="436"/>
      <c r="T122" s="18"/>
      <c r="U122" s="18"/>
      <c r="V122" s="127">
        <f>O122-T122-U122+V94</f>
        <v>13348</v>
      </c>
      <c r="W122" s="46"/>
      <c r="Y122" s="13"/>
    </row>
    <row r="123" spans="1:25" ht="14.25" customHeight="1">
      <c r="A123" s="427"/>
      <c r="B123" s="439"/>
      <c r="C123" s="440"/>
      <c r="D123" s="115" t="s">
        <v>79</v>
      </c>
      <c r="E123" s="155" t="s">
        <v>65</v>
      </c>
      <c r="F123" s="131" t="s">
        <v>57</v>
      </c>
      <c r="G123" s="224"/>
      <c r="H123" s="126"/>
      <c r="I123" s="463"/>
      <c r="J123" s="475"/>
      <c r="K123" s="18"/>
      <c r="L123" s="18"/>
      <c r="M123" s="18"/>
      <c r="N123" s="80"/>
      <c r="O123" s="126"/>
      <c r="P123" s="126"/>
      <c r="Q123" s="126"/>
      <c r="R123" s="436"/>
      <c r="S123" s="436"/>
      <c r="T123" s="18"/>
      <c r="U123" s="18"/>
      <c r="V123" s="127">
        <f>O123-T123-U123+V95</f>
        <v>10211</v>
      </c>
      <c r="W123" s="45"/>
      <c r="X123" s="36"/>
    </row>
    <row r="124" spans="1:25" ht="14.25" customHeight="1">
      <c r="A124" s="427"/>
      <c r="B124" s="439"/>
      <c r="C124" s="448" t="s">
        <v>299</v>
      </c>
      <c r="D124" s="115" t="s">
        <v>296</v>
      </c>
      <c r="E124" s="424" t="s">
        <v>25</v>
      </c>
      <c r="F124" s="131" t="s">
        <v>298</v>
      </c>
      <c r="G124" s="224"/>
      <c r="H124" s="37"/>
      <c r="I124" s="463"/>
      <c r="J124" s="475"/>
      <c r="K124" s="18"/>
      <c r="L124" s="18"/>
      <c r="M124" s="18"/>
      <c r="N124" s="80"/>
      <c r="O124" s="126"/>
      <c r="P124" s="126"/>
      <c r="Q124" s="126"/>
      <c r="R124" s="436"/>
      <c r="S124" s="436"/>
      <c r="T124" s="18">
        <v>548</v>
      </c>
      <c r="U124" s="18"/>
      <c r="V124" s="127">
        <f>O124-T124-U124+V96</f>
        <v>4427</v>
      </c>
      <c r="W124" s="45"/>
      <c r="X124" s="67"/>
    </row>
    <row r="125" spans="1:25" ht="14.25" customHeight="1">
      <c r="A125" s="427"/>
      <c r="B125" s="443"/>
      <c r="C125" s="449"/>
      <c r="D125" s="115" t="s">
        <v>75</v>
      </c>
      <c r="E125" s="425"/>
      <c r="F125" s="131" t="s">
        <v>298</v>
      </c>
      <c r="G125" s="224"/>
      <c r="H125" s="37"/>
      <c r="I125" s="463"/>
      <c r="J125" s="475"/>
      <c r="K125" s="18"/>
      <c r="L125" s="18"/>
      <c r="M125" s="18">
        <v>10000</v>
      </c>
      <c r="N125" s="80">
        <v>2</v>
      </c>
      <c r="O125" s="126">
        <f>June!AS323</f>
        <v>2200</v>
      </c>
      <c r="P125" s="126">
        <f>June!AT323</f>
        <v>1110</v>
      </c>
      <c r="Q125" s="126">
        <f>June!AR323</f>
        <v>4</v>
      </c>
      <c r="R125" s="436"/>
      <c r="S125" s="436"/>
      <c r="T125" s="18"/>
      <c r="U125" s="18"/>
      <c r="V125" s="127">
        <f>O125-T125-U125+V97</f>
        <v>7203</v>
      </c>
      <c r="W125" s="45"/>
      <c r="X125" s="67"/>
    </row>
    <row r="126" spans="1:25" ht="14.25" customHeight="1">
      <c r="A126" s="427"/>
      <c r="B126" s="439" t="s">
        <v>53</v>
      </c>
      <c r="C126" s="445" t="s">
        <v>60</v>
      </c>
      <c r="D126" s="43" t="s">
        <v>320</v>
      </c>
      <c r="E126" s="441" t="s">
        <v>66</v>
      </c>
      <c r="F126" s="118" t="s">
        <v>54</v>
      </c>
      <c r="G126" s="224"/>
      <c r="H126" s="37"/>
      <c r="I126" s="463"/>
      <c r="J126" s="475"/>
      <c r="K126" s="18">
        <v>6000</v>
      </c>
      <c r="L126" s="18">
        <v>1</v>
      </c>
      <c r="M126" s="18"/>
      <c r="N126" s="80"/>
      <c r="O126" s="126">
        <f>June!AS315</f>
        <v>8567</v>
      </c>
      <c r="P126" s="126">
        <f>June!AT315</f>
        <v>4504</v>
      </c>
      <c r="Q126" s="126">
        <f>June!AR315</f>
        <v>14</v>
      </c>
      <c r="R126" s="436"/>
      <c r="S126" s="436"/>
      <c r="T126" s="18"/>
      <c r="U126" s="18"/>
      <c r="V126" s="127">
        <f>O126-T126-U126+V98</f>
        <v>30584</v>
      </c>
      <c r="W126" s="45"/>
      <c r="X126" s="67"/>
    </row>
    <row r="127" spans="1:25" ht="14.25" customHeight="1">
      <c r="A127" s="427"/>
      <c r="B127" s="439"/>
      <c r="C127" s="445"/>
      <c r="D127" s="43" t="s">
        <v>387</v>
      </c>
      <c r="E127" s="425"/>
      <c r="F127" s="118" t="s">
        <v>54</v>
      </c>
      <c r="G127" s="229"/>
      <c r="H127" s="182"/>
      <c r="I127" s="463"/>
      <c r="J127" s="475"/>
      <c r="K127" s="127"/>
      <c r="L127" s="127"/>
      <c r="M127" s="127">
        <v>70800</v>
      </c>
      <c r="N127" s="171">
        <v>12</v>
      </c>
      <c r="O127" s="125"/>
      <c r="P127" s="125"/>
      <c r="Q127" s="125"/>
      <c r="R127" s="436"/>
      <c r="S127" s="436"/>
      <c r="T127" s="18"/>
      <c r="U127" s="18"/>
      <c r="V127" s="127"/>
      <c r="W127" s="45"/>
      <c r="X127" s="67"/>
    </row>
    <row r="128" spans="1:25" ht="14.25" customHeight="1">
      <c r="A128" s="427"/>
      <c r="B128" s="443"/>
      <c r="C128" s="446"/>
      <c r="D128" s="43" t="s">
        <v>199</v>
      </c>
      <c r="E128" s="114" t="s">
        <v>25</v>
      </c>
      <c r="F128" s="118" t="s">
        <v>54</v>
      </c>
      <c r="G128" s="224"/>
      <c r="H128" s="135"/>
      <c r="I128" s="463"/>
      <c r="J128" s="475"/>
      <c r="K128" s="128"/>
      <c r="L128" s="128"/>
      <c r="M128" s="128"/>
      <c r="N128" s="164"/>
      <c r="O128" s="158"/>
      <c r="P128" s="158"/>
      <c r="Q128" s="158"/>
      <c r="R128" s="436"/>
      <c r="S128" s="436"/>
      <c r="T128" s="18"/>
      <c r="U128" s="18"/>
      <c r="V128" s="127">
        <f t="shared" ref="V128:V134" si="4">O128-T128-U128+V100</f>
        <v>68</v>
      </c>
      <c r="W128" s="45"/>
      <c r="X128" s="67"/>
    </row>
    <row r="129" spans="1:24" ht="15.75" customHeight="1">
      <c r="A129" s="427"/>
      <c r="B129" s="122" t="s">
        <v>55</v>
      </c>
      <c r="C129" s="180" t="s">
        <v>133</v>
      </c>
      <c r="D129" s="48" t="s">
        <v>56</v>
      </c>
      <c r="E129" s="424" t="s">
        <v>25</v>
      </c>
      <c r="F129" s="118" t="s">
        <v>67</v>
      </c>
      <c r="G129" s="226"/>
      <c r="H129" s="126"/>
      <c r="I129" s="463"/>
      <c r="J129" s="475"/>
      <c r="K129" s="18"/>
      <c r="L129" s="18"/>
      <c r="M129" s="18"/>
      <c r="N129" s="18"/>
      <c r="O129" s="126">
        <f>June!AS343</f>
        <v>586</v>
      </c>
      <c r="P129" s="126">
        <f>June!AT343</f>
        <v>334</v>
      </c>
      <c r="Q129" s="126">
        <f>June!AR343</f>
        <v>1</v>
      </c>
      <c r="R129" s="436"/>
      <c r="S129" s="436"/>
      <c r="T129" s="18"/>
      <c r="U129" s="18"/>
      <c r="V129" s="127">
        <f>O129-T129-U129+V101</f>
        <v>5112</v>
      </c>
      <c r="W129" s="45"/>
      <c r="X129" s="67"/>
    </row>
    <row r="130" spans="1:24" ht="15" customHeight="1">
      <c r="A130" s="427"/>
      <c r="B130" s="122" t="s">
        <v>122</v>
      </c>
      <c r="C130" s="180" t="s">
        <v>123</v>
      </c>
      <c r="D130" s="48" t="s">
        <v>56</v>
      </c>
      <c r="E130" s="441"/>
      <c r="F130" s="155" t="s">
        <v>64</v>
      </c>
      <c r="G130" s="119"/>
      <c r="H130" s="126"/>
      <c r="I130" s="463"/>
      <c r="J130" s="475"/>
      <c r="K130" s="18"/>
      <c r="L130" s="18"/>
      <c r="M130" s="18">
        <v>6400</v>
      </c>
      <c r="N130" s="18">
        <v>2</v>
      </c>
      <c r="O130" s="126"/>
      <c r="P130" s="126"/>
      <c r="Q130" s="126"/>
      <c r="R130" s="436"/>
      <c r="S130" s="436"/>
      <c r="T130" s="18"/>
      <c r="U130" s="18"/>
      <c r="V130" s="127">
        <f t="shared" si="4"/>
        <v>18121</v>
      </c>
      <c r="W130" s="45"/>
      <c r="X130" s="67"/>
    </row>
    <row r="131" spans="1:24" ht="14.25" customHeight="1">
      <c r="A131" s="427"/>
      <c r="B131" s="137" t="s">
        <v>58</v>
      </c>
      <c r="C131" s="157" t="s">
        <v>243</v>
      </c>
      <c r="D131" s="48" t="s">
        <v>56</v>
      </c>
      <c r="E131" s="441"/>
      <c r="F131" s="118" t="s">
        <v>64</v>
      </c>
      <c r="G131" s="225"/>
      <c r="H131" s="126"/>
      <c r="I131" s="463"/>
      <c r="J131" s="475"/>
      <c r="K131" s="18"/>
      <c r="L131" s="18"/>
      <c r="M131" s="18"/>
      <c r="N131" s="80"/>
      <c r="O131" s="126"/>
      <c r="P131" s="126"/>
      <c r="Q131" s="126"/>
      <c r="R131" s="436"/>
      <c r="S131" s="436"/>
      <c r="T131" s="18"/>
      <c r="U131" s="18"/>
      <c r="V131" s="127">
        <f t="shared" si="4"/>
        <v>8144</v>
      </c>
      <c r="W131" s="45"/>
      <c r="X131" s="67"/>
    </row>
    <row r="132" spans="1:24" ht="14.25" customHeight="1">
      <c r="A132" s="427"/>
      <c r="B132" s="122" t="s">
        <v>61</v>
      </c>
      <c r="C132" s="180" t="s">
        <v>137</v>
      </c>
      <c r="D132" s="48" t="s">
        <v>56</v>
      </c>
      <c r="E132" s="441"/>
      <c r="F132" s="118" t="s">
        <v>67</v>
      </c>
      <c r="G132" s="225"/>
      <c r="H132" s="126"/>
      <c r="I132" s="463"/>
      <c r="J132" s="475"/>
      <c r="K132" s="18"/>
      <c r="L132" s="18"/>
      <c r="M132" s="18"/>
      <c r="N132" s="80"/>
      <c r="O132" s="126"/>
      <c r="P132" s="126"/>
      <c r="Q132" s="126"/>
      <c r="R132" s="436"/>
      <c r="S132" s="436"/>
      <c r="T132" s="18"/>
      <c r="U132" s="18"/>
      <c r="V132" s="127">
        <f t="shared" si="4"/>
        <v>5844</v>
      </c>
      <c r="W132" s="45"/>
      <c r="X132" s="67"/>
    </row>
    <row r="133" spans="1:24" ht="14.25" customHeight="1">
      <c r="A133" s="427"/>
      <c r="B133" s="122" t="s">
        <v>125</v>
      </c>
      <c r="C133" s="180" t="s">
        <v>88</v>
      </c>
      <c r="D133" s="48" t="s">
        <v>124</v>
      </c>
      <c r="E133" s="441"/>
      <c r="F133" s="118" t="s">
        <v>64</v>
      </c>
      <c r="G133" s="225"/>
      <c r="H133" s="126"/>
      <c r="I133" s="463"/>
      <c r="J133" s="475"/>
      <c r="K133" s="18"/>
      <c r="L133" s="18"/>
      <c r="M133" s="18">
        <v>51200</v>
      </c>
      <c r="N133" s="80">
        <v>7</v>
      </c>
      <c r="O133" s="126"/>
      <c r="P133" s="126"/>
      <c r="Q133" s="126"/>
      <c r="R133" s="436"/>
      <c r="S133" s="436"/>
      <c r="T133" s="18"/>
      <c r="U133" s="18"/>
      <c r="V133" s="127">
        <f t="shared" si="4"/>
        <v>23615</v>
      </c>
      <c r="W133" s="45"/>
      <c r="X133" s="67"/>
    </row>
    <row r="134" spans="1:24" ht="14.25" customHeight="1">
      <c r="A134" s="427"/>
      <c r="B134" s="442" t="s">
        <v>47</v>
      </c>
      <c r="C134" s="444" t="s">
        <v>100</v>
      </c>
      <c r="D134" s="48" t="s">
        <v>99</v>
      </c>
      <c r="E134" s="441"/>
      <c r="F134" s="118" t="s">
        <v>71</v>
      </c>
      <c r="G134" s="225"/>
      <c r="H134" s="126"/>
      <c r="I134" s="463"/>
      <c r="J134" s="475"/>
      <c r="K134" s="18"/>
      <c r="L134" s="18"/>
      <c r="M134" s="18"/>
      <c r="N134" s="80"/>
      <c r="O134" s="126">
        <f>June!AS324</f>
        <v>1500</v>
      </c>
      <c r="P134" s="126">
        <f>June!AT324</f>
        <v>591</v>
      </c>
      <c r="Q134" s="126">
        <f>June!AR324</f>
        <v>2</v>
      </c>
      <c r="R134" s="436"/>
      <c r="S134" s="436"/>
      <c r="T134" s="18"/>
      <c r="U134" s="18"/>
      <c r="V134" s="127">
        <f t="shared" si="4"/>
        <v>52836</v>
      </c>
      <c r="W134" s="45"/>
      <c r="X134" s="67"/>
    </row>
    <row r="135" spans="1:24" ht="14.25" customHeight="1">
      <c r="A135" s="427"/>
      <c r="B135" s="443"/>
      <c r="C135" s="446"/>
      <c r="D135" s="48" t="s">
        <v>121</v>
      </c>
      <c r="E135" s="441"/>
      <c r="F135" s="118"/>
      <c r="G135" s="225"/>
      <c r="H135" s="126">
        <v>306</v>
      </c>
      <c r="I135" s="463"/>
      <c r="J135" s="475"/>
      <c r="K135" s="18"/>
      <c r="L135" s="18"/>
      <c r="M135" s="18"/>
      <c r="N135" s="80"/>
      <c r="O135" s="126"/>
      <c r="P135" s="126"/>
      <c r="Q135" s="126"/>
      <c r="R135" s="436"/>
      <c r="S135" s="436"/>
      <c r="T135" s="18"/>
      <c r="U135" s="18"/>
      <c r="V135" s="127"/>
      <c r="W135" s="45"/>
      <c r="X135" s="67"/>
    </row>
    <row r="136" spans="1:24" ht="15" customHeight="1">
      <c r="A136" s="427"/>
      <c r="B136" s="122" t="s">
        <v>196</v>
      </c>
      <c r="C136" s="180" t="s">
        <v>63</v>
      </c>
      <c r="D136" s="48" t="s">
        <v>135</v>
      </c>
      <c r="E136" s="441"/>
      <c r="F136" s="118" t="s">
        <v>64</v>
      </c>
      <c r="G136" s="226"/>
      <c r="H136" s="126"/>
      <c r="I136" s="463"/>
      <c r="J136" s="475"/>
      <c r="K136" s="18"/>
      <c r="L136" s="18"/>
      <c r="M136" s="18"/>
      <c r="N136" s="18"/>
      <c r="O136" s="126"/>
      <c r="P136" s="126">
        <f>June!AT338</f>
        <v>1480</v>
      </c>
      <c r="Q136" s="126">
        <f>June!AR338</f>
        <v>5</v>
      </c>
      <c r="R136" s="436"/>
      <c r="S136" s="436"/>
      <c r="T136" s="18"/>
      <c r="U136" s="18"/>
      <c r="V136" s="127">
        <f t="shared" ref="V136:V141" si="5">O136-T136-U136+V107</f>
        <v>33069</v>
      </c>
      <c r="W136" s="45"/>
      <c r="X136" s="67"/>
    </row>
    <row r="137" spans="1:24" ht="15" customHeight="1">
      <c r="A137" s="427"/>
      <c r="B137" s="122" t="s">
        <v>363</v>
      </c>
      <c r="C137" s="180" t="s">
        <v>325</v>
      </c>
      <c r="D137" s="48" t="s">
        <v>328</v>
      </c>
      <c r="E137" s="441"/>
      <c r="F137" s="118" t="s">
        <v>48</v>
      </c>
      <c r="G137" s="226"/>
      <c r="H137" s="126"/>
      <c r="I137" s="463"/>
      <c r="J137" s="475"/>
      <c r="K137" s="18"/>
      <c r="L137" s="18"/>
      <c r="M137" s="18"/>
      <c r="N137" s="18"/>
      <c r="O137" s="126">
        <f>June!AS335</f>
        <v>1000</v>
      </c>
      <c r="P137" s="126">
        <f>June!AT335</f>
        <v>609</v>
      </c>
      <c r="Q137" s="126">
        <f>June!AR335</f>
        <v>2</v>
      </c>
      <c r="R137" s="436"/>
      <c r="S137" s="436"/>
      <c r="T137" s="18"/>
      <c r="U137" s="18"/>
      <c r="V137" s="127">
        <f t="shared" si="5"/>
        <v>11151</v>
      </c>
      <c r="W137" s="45"/>
      <c r="X137" s="67"/>
    </row>
    <row r="138" spans="1:24" ht="15" customHeight="1">
      <c r="A138" s="427"/>
      <c r="B138" s="122" t="s">
        <v>253</v>
      </c>
      <c r="C138" s="180" t="s">
        <v>365</v>
      </c>
      <c r="D138" s="48" t="s">
        <v>246</v>
      </c>
      <c r="E138" s="441"/>
      <c r="F138" s="118" t="s">
        <v>247</v>
      </c>
      <c r="G138" s="226"/>
      <c r="H138" s="126"/>
      <c r="I138" s="463"/>
      <c r="J138" s="475"/>
      <c r="K138" s="18"/>
      <c r="L138" s="18"/>
      <c r="M138" s="18"/>
      <c r="N138" s="18"/>
      <c r="O138" s="126"/>
      <c r="P138" s="126">
        <f>June!AT327</f>
        <v>410</v>
      </c>
      <c r="Q138" s="126">
        <f>June!AR327</f>
        <v>4</v>
      </c>
      <c r="R138" s="436"/>
      <c r="S138" s="436"/>
      <c r="T138" s="18">
        <v>4260</v>
      </c>
      <c r="U138" s="18"/>
      <c r="V138" s="127">
        <f t="shared" si="5"/>
        <v>12967</v>
      </c>
      <c r="W138" s="45"/>
      <c r="X138" s="67"/>
    </row>
    <row r="139" spans="1:24" ht="15" customHeight="1">
      <c r="A139" s="427"/>
      <c r="B139" s="122" t="s">
        <v>101</v>
      </c>
      <c r="C139" s="180" t="s">
        <v>327</v>
      </c>
      <c r="D139" s="48" t="s">
        <v>102</v>
      </c>
      <c r="E139" s="441"/>
      <c r="F139" s="118" t="s">
        <v>64</v>
      </c>
      <c r="G139" s="119"/>
      <c r="H139" s="126"/>
      <c r="I139" s="463"/>
      <c r="J139" s="475"/>
      <c r="K139" s="18"/>
      <c r="L139" s="18"/>
      <c r="M139" s="18">
        <v>14000</v>
      </c>
      <c r="N139" s="18">
        <v>2</v>
      </c>
      <c r="O139" s="126">
        <f>June!AS333</f>
        <v>4724</v>
      </c>
      <c r="P139" s="126">
        <f>June!AT333</f>
        <v>3101</v>
      </c>
      <c r="Q139" s="126">
        <f>June!AR333</f>
        <v>8</v>
      </c>
      <c r="R139" s="436"/>
      <c r="S139" s="436"/>
      <c r="T139" s="18">
        <v>3999</v>
      </c>
      <c r="U139" s="18"/>
      <c r="V139" s="18">
        <f t="shared" si="5"/>
        <v>5097</v>
      </c>
      <c r="W139" s="45"/>
      <c r="X139" s="67"/>
    </row>
    <row r="140" spans="1:24" s="4" customFormat="1" ht="15" customHeight="1">
      <c r="A140" s="427"/>
      <c r="B140" s="122" t="s">
        <v>375</v>
      </c>
      <c r="C140" s="157" t="s">
        <v>376</v>
      </c>
      <c r="D140" s="48" t="s">
        <v>248</v>
      </c>
      <c r="E140" s="441"/>
      <c r="F140" s="48" t="s">
        <v>64</v>
      </c>
      <c r="G140" s="122"/>
      <c r="H140" s="34"/>
      <c r="I140" s="463"/>
      <c r="J140" s="475"/>
      <c r="K140" s="211"/>
      <c r="L140" s="211"/>
      <c r="M140" s="211"/>
      <c r="N140" s="211"/>
      <c r="O140" s="34">
        <f>June!AS336</f>
        <v>340</v>
      </c>
      <c r="P140" s="34"/>
      <c r="Q140" s="34">
        <f>June!AR336</f>
        <v>15</v>
      </c>
      <c r="R140" s="436"/>
      <c r="S140" s="436"/>
      <c r="T140" s="211"/>
      <c r="U140" s="211"/>
      <c r="V140" s="211">
        <f t="shared" si="5"/>
        <v>77399</v>
      </c>
      <c r="W140" s="260"/>
      <c r="X140" s="67"/>
    </row>
    <row r="141" spans="1:24" s="4" customFormat="1" ht="15" customHeight="1">
      <c r="A141" s="427"/>
      <c r="B141" s="122" t="s">
        <v>421</v>
      </c>
      <c r="C141" s="157" t="s">
        <v>420</v>
      </c>
      <c r="D141" s="48" t="s">
        <v>248</v>
      </c>
      <c r="E141" s="441"/>
      <c r="F141" s="48" t="s">
        <v>64</v>
      </c>
      <c r="G141" s="38">
        <v>187.46</v>
      </c>
      <c r="H141" s="34"/>
      <c r="I141" s="463"/>
      <c r="J141" s="475"/>
      <c r="K141" s="211">
        <v>10200</v>
      </c>
      <c r="L141" s="211">
        <v>3</v>
      </c>
      <c r="M141" s="211"/>
      <c r="N141" s="211"/>
      <c r="O141" s="34">
        <f>June!AS337</f>
        <v>2936</v>
      </c>
      <c r="P141" s="34">
        <f>June!AT337</f>
        <v>6119</v>
      </c>
      <c r="Q141" s="34">
        <f>June!AR337</f>
        <v>12</v>
      </c>
      <c r="R141" s="436"/>
      <c r="S141" s="436"/>
      <c r="T141" s="211">
        <v>1600</v>
      </c>
      <c r="U141" s="211"/>
      <c r="V141" s="211">
        <f t="shared" si="5"/>
        <v>7573</v>
      </c>
      <c r="W141" s="260"/>
      <c r="X141" s="67"/>
    </row>
    <row r="142" spans="1:24" s="4" customFormat="1" ht="15" customHeight="1">
      <c r="A142" s="427"/>
      <c r="B142" s="122" t="s">
        <v>289</v>
      </c>
      <c r="C142" s="180" t="s">
        <v>290</v>
      </c>
      <c r="D142" s="48" t="s">
        <v>75</v>
      </c>
      <c r="E142" s="441"/>
      <c r="F142" s="48" t="s">
        <v>381</v>
      </c>
      <c r="G142" s="122"/>
      <c r="H142" s="34"/>
      <c r="I142" s="463"/>
      <c r="J142" s="475"/>
      <c r="K142" s="211"/>
      <c r="L142" s="211"/>
      <c r="M142" s="211"/>
      <c r="N142" s="211"/>
      <c r="O142" s="34"/>
      <c r="P142" s="34"/>
      <c r="Q142" s="34">
        <f>June!AR328</f>
        <v>0</v>
      </c>
      <c r="R142" s="436"/>
      <c r="S142" s="436"/>
      <c r="T142" s="211"/>
      <c r="U142" s="211"/>
      <c r="V142" s="211"/>
      <c r="W142" s="260"/>
      <c r="X142" s="67"/>
    </row>
    <row r="143" spans="1:24" ht="15" customHeight="1">
      <c r="A143" s="427"/>
      <c r="B143" s="122" t="s">
        <v>103</v>
      </c>
      <c r="C143" s="157" t="s">
        <v>197</v>
      </c>
      <c r="D143" s="48" t="s">
        <v>104</v>
      </c>
      <c r="E143" s="441"/>
      <c r="F143" s="118" t="s">
        <v>105</v>
      </c>
      <c r="G143" s="119"/>
      <c r="H143" s="126"/>
      <c r="I143" s="463"/>
      <c r="J143" s="475"/>
      <c r="K143" s="18"/>
      <c r="L143" s="18"/>
      <c r="M143" s="18"/>
      <c r="N143" s="18"/>
      <c r="O143" s="126"/>
      <c r="P143" s="126"/>
      <c r="Q143" s="126">
        <f>June!AR339</f>
        <v>1</v>
      </c>
      <c r="R143" s="436"/>
      <c r="S143" s="436"/>
      <c r="T143" s="18"/>
      <c r="U143" s="18"/>
      <c r="V143" s="18"/>
      <c r="W143" s="45"/>
      <c r="X143" s="67"/>
    </row>
    <row r="144" spans="1:24" ht="15" customHeight="1">
      <c r="A144" s="427"/>
      <c r="B144" s="137" t="s">
        <v>112</v>
      </c>
      <c r="C144" s="157" t="s">
        <v>197</v>
      </c>
      <c r="D144" s="48" t="s">
        <v>104</v>
      </c>
      <c r="E144" s="441"/>
      <c r="F144" s="118" t="s">
        <v>113</v>
      </c>
      <c r="G144" s="119"/>
      <c r="H144" s="126"/>
      <c r="I144" s="463"/>
      <c r="J144" s="475"/>
      <c r="K144" s="18"/>
      <c r="L144" s="18"/>
      <c r="M144" s="18"/>
      <c r="N144" s="18"/>
      <c r="O144" s="126"/>
      <c r="P144" s="126"/>
      <c r="Q144" s="126">
        <f>June!AR341</f>
        <v>1</v>
      </c>
      <c r="R144" s="436"/>
      <c r="S144" s="436"/>
      <c r="T144" s="18"/>
      <c r="U144" s="18"/>
      <c r="V144" s="18"/>
      <c r="W144" s="45"/>
      <c r="X144" s="67"/>
    </row>
    <row r="145" spans="1:25" ht="15" customHeight="1" thickBot="1">
      <c r="A145" s="428"/>
      <c r="B145" s="44" t="s">
        <v>107</v>
      </c>
      <c r="C145" s="181" t="s">
        <v>386</v>
      </c>
      <c r="D145" s="61" t="s">
        <v>108</v>
      </c>
      <c r="E145" s="447"/>
      <c r="F145" s="133" t="s">
        <v>48</v>
      </c>
      <c r="G145" s="132"/>
      <c r="H145" s="109"/>
      <c r="I145" s="464"/>
      <c r="J145" s="476"/>
      <c r="K145" s="130"/>
      <c r="L145" s="130"/>
      <c r="M145" s="130">
        <v>13000</v>
      </c>
      <c r="N145" s="130">
        <v>2</v>
      </c>
      <c r="O145" s="134"/>
      <c r="P145" s="134">
        <f>June!AT340</f>
        <v>842</v>
      </c>
      <c r="Q145" s="134">
        <f>June!AR340</f>
        <v>2</v>
      </c>
      <c r="R145" s="437"/>
      <c r="S145" s="437"/>
      <c r="T145" s="130"/>
      <c r="U145" s="130"/>
      <c r="V145" s="128">
        <f>O145-T145-U145+V116</f>
        <v>5797</v>
      </c>
      <c r="W145" s="85"/>
      <c r="X145" s="67"/>
    </row>
    <row r="146" spans="1:25" ht="15" customHeight="1">
      <c r="A146" s="426">
        <v>46179</v>
      </c>
      <c r="B146" s="429" t="s">
        <v>44</v>
      </c>
      <c r="C146" s="432" t="s">
        <v>240</v>
      </c>
      <c r="D146" s="19" t="s">
        <v>37</v>
      </c>
      <c r="E146" s="19" t="s">
        <v>25</v>
      </c>
      <c r="F146" s="39" t="s">
        <v>40</v>
      </c>
      <c r="G146" s="41">
        <v>6047.91</v>
      </c>
      <c r="H146" s="32"/>
      <c r="I146" s="32"/>
      <c r="J146" s="32"/>
      <c r="K146" s="20">
        <v>96000</v>
      </c>
      <c r="L146" s="20">
        <v>12</v>
      </c>
      <c r="M146" s="20">
        <v>120000</v>
      </c>
      <c r="N146" s="84">
        <v>15</v>
      </c>
      <c r="O146" s="32">
        <f>June!AV313</f>
        <v>44789</v>
      </c>
      <c r="P146" s="32">
        <f>June!AW313</f>
        <v>37380</v>
      </c>
      <c r="Q146" s="32">
        <f>June!AU313</f>
        <v>108</v>
      </c>
      <c r="R146" s="435">
        <f>June!AV346</f>
        <v>90568</v>
      </c>
      <c r="S146" s="435">
        <f>June!AW346</f>
        <v>84323</v>
      </c>
      <c r="T146" s="20">
        <v>42905</v>
      </c>
      <c r="U146" s="20">
        <v>14</v>
      </c>
      <c r="V146" s="20">
        <f>O146-T146-U146+V117</f>
        <v>175007</v>
      </c>
      <c r="W146" s="77"/>
      <c r="X146" s="36"/>
    </row>
    <row r="147" spans="1:25" ht="15" customHeight="1">
      <c r="A147" s="427"/>
      <c r="B147" s="431"/>
      <c r="C147" s="434"/>
      <c r="D147" s="113" t="s">
        <v>307</v>
      </c>
      <c r="E147" s="113" t="s">
        <v>24</v>
      </c>
      <c r="F147" s="118" t="s">
        <v>40</v>
      </c>
      <c r="G147" s="170"/>
      <c r="H147" s="135">
        <f>3037.5+1822.5+510.6+507.8</f>
        <v>5878.4000000000005</v>
      </c>
      <c r="I147" s="125"/>
      <c r="J147" s="125"/>
      <c r="K147" s="127"/>
      <c r="L147" s="127"/>
      <c r="M147" s="216">
        <v>168000</v>
      </c>
      <c r="N147" s="238">
        <v>21</v>
      </c>
      <c r="O147" s="126">
        <f>June!AV314</f>
        <v>28490</v>
      </c>
      <c r="P147" s="125">
        <f>June!AW314</f>
        <v>23833</v>
      </c>
      <c r="Q147" s="125">
        <f>June!AU314</f>
        <v>68</v>
      </c>
      <c r="R147" s="436"/>
      <c r="S147" s="436"/>
      <c r="T147" s="127">
        <v>36315</v>
      </c>
      <c r="U147" s="127">
        <v>5</v>
      </c>
      <c r="V147" s="127">
        <f>O147-T147-U147+V118</f>
        <v>125202</v>
      </c>
      <c r="W147" s="46"/>
      <c r="X147" s="67"/>
    </row>
    <row r="148" spans="1:25" ht="15" customHeight="1">
      <c r="A148" s="427"/>
      <c r="B148" s="442" t="s">
        <v>45</v>
      </c>
      <c r="C148" s="448" t="s">
        <v>59</v>
      </c>
      <c r="D148" s="118" t="s">
        <v>75</v>
      </c>
      <c r="E148" s="438" t="s">
        <v>25</v>
      </c>
      <c r="F148" s="131" t="s">
        <v>57</v>
      </c>
      <c r="G148" s="87"/>
      <c r="H148" s="152"/>
      <c r="I148" s="126"/>
      <c r="J148" s="2"/>
      <c r="K148" s="127"/>
      <c r="L148" s="18"/>
      <c r="M148" s="18">
        <v>49220</v>
      </c>
      <c r="N148" s="80">
        <v>10</v>
      </c>
      <c r="O148" s="126">
        <f>June!AV317</f>
        <v>1100</v>
      </c>
      <c r="P148" s="126">
        <f>June!AW317</f>
        <v>2234</v>
      </c>
      <c r="Q148" s="2">
        <f>June!AU317</f>
        <v>9</v>
      </c>
      <c r="R148" s="436"/>
      <c r="S148" s="436"/>
      <c r="T148" s="18"/>
      <c r="U148" s="18"/>
      <c r="V148" s="127">
        <f>O148-T148-U148+V119</f>
        <v>10116</v>
      </c>
      <c r="W148" s="46"/>
      <c r="Y148" s="13"/>
    </row>
    <row r="149" spans="1:25" ht="15" customHeight="1">
      <c r="A149" s="427"/>
      <c r="B149" s="439"/>
      <c r="C149" s="440"/>
      <c r="D149" s="118" t="s">
        <v>291</v>
      </c>
      <c r="E149" s="430"/>
      <c r="F149" s="131" t="s">
        <v>57</v>
      </c>
      <c r="G149" s="87"/>
      <c r="H149" s="152"/>
      <c r="I149" s="126"/>
      <c r="J149" s="2"/>
      <c r="K149" s="127"/>
      <c r="L149" s="18"/>
      <c r="M149" s="18"/>
      <c r="N149" s="80"/>
      <c r="O149" s="126">
        <f>June!AV318</f>
        <v>2128</v>
      </c>
      <c r="P149" s="126">
        <f>June!AW318</f>
        <v>499</v>
      </c>
      <c r="Q149" s="2">
        <f>June!AU318</f>
        <v>2</v>
      </c>
      <c r="R149" s="436"/>
      <c r="S149" s="436"/>
      <c r="T149" s="18"/>
      <c r="U149" s="18"/>
      <c r="V149" s="127">
        <f>O149-T149-U149+V120</f>
        <v>4104</v>
      </c>
      <c r="W149" s="46"/>
      <c r="Y149" s="13"/>
    </row>
    <row r="150" spans="1:25" ht="15" customHeight="1">
      <c r="A150" s="427"/>
      <c r="B150" s="439"/>
      <c r="C150" s="440"/>
      <c r="D150" s="118" t="s">
        <v>94</v>
      </c>
      <c r="E150" s="431"/>
      <c r="F150" s="131"/>
      <c r="G150" s="87"/>
      <c r="H150" s="152">
        <v>486</v>
      </c>
      <c r="I150" s="126"/>
      <c r="J150" s="2"/>
      <c r="K150" s="127"/>
      <c r="L150" s="18"/>
      <c r="M150" s="18"/>
      <c r="N150" s="80"/>
      <c r="O150" s="126"/>
      <c r="P150" s="126"/>
      <c r="Q150" s="2"/>
      <c r="R150" s="436"/>
      <c r="S150" s="436"/>
      <c r="T150" s="18"/>
      <c r="U150" s="18"/>
      <c r="V150" s="127"/>
      <c r="W150" s="46"/>
      <c r="Y150" s="13"/>
    </row>
    <row r="151" spans="1:25">
      <c r="A151" s="427"/>
      <c r="B151" s="439"/>
      <c r="C151" s="440"/>
      <c r="D151" s="118" t="s">
        <v>72</v>
      </c>
      <c r="E151" s="155" t="s">
        <v>24</v>
      </c>
      <c r="F151" s="131" t="s">
        <v>57</v>
      </c>
      <c r="G151" s="224"/>
      <c r="H151" s="152"/>
      <c r="I151" s="126"/>
      <c r="J151" s="126"/>
      <c r="K151" s="127"/>
      <c r="L151" s="18"/>
      <c r="M151" s="18">
        <v>35000</v>
      </c>
      <c r="N151" s="80">
        <v>7</v>
      </c>
      <c r="O151" s="126">
        <f>June!AV319</f>
        <v>584</v>
      </c>
      <c r="P151" s="126">
        <f>June!AW319</f>
        <v>1850</v>
      </c>
      <c r="Q151" s="126">
        <f>June!AU319</f>
        <v>8</v>
      </c>
      <c r="R151" s="436"/>
      <c r="S151" s="436"/>
      <c r="T151" s="18"/>
      <c r="U151" s="18"/>
      <c r="V151" s="127">
        <f t="shared" ref="V151:V157" si="6">O151-T151-U151+V122</f>
        <v>13932</v>
      </c>
      <c r="W151" s="46"/>
      <c r="Y151" s="13"/>
    </row>
    <row r="152" spans="1:25" ht="14.25" customHeight="1">
      <c r="A152" s="427"/>
      <c r="B152" s="439"/>
      <c r="C152" s="440"/>
      <c r="D152" s="115" t="s">
        <v>79</v>
      </c>
      <c r="E152" s="155" t="s">
        <v>65</v>
      </c>
      <c r="F152" s="131" t="s">
        <v>57</v>
      </c>
      <c r="G152" s="224"/>
      <c r="H152" s="126"/>
      <c r="I152" s="126"/>
      <c r="J152" s="126"/>
      <c r="K152" s="18"/>
      <c r="L152" s="18"/>
      <c r="M152" s="18"/>
      <c r="N152" s="80"/>
      <c r="O152" s="126"/>
      <c r="P152" s="126"/>
      <c r="Q152" s="126"/>
      <c r="R152" s="436"/>
      <c r="S152" s="436"/>
      <c r="T152" s="18"/>
      <c r="U152" s="18"/>
      <c r="V152" s="127">
        <f t="shared" si="6"/>
        <v>10211</v>
      </c>
      <c r="W152" s="45"/>
      <c r="X152" s="36"/>
    </row>
    <row r="153" spans="1:25" ht="14.25" customHeight="1">
      <c r="A153" s="427"/>
      <c r="B153" s="439"/>
      <c r="C153" s="448" t="s">
        <v>299</v>
      </c>
      <c r="D153" s="115" t="s">
        <v>296</v>
      </c>
      <c r="E153" s="424" t="s">
        <v>25</v>
      </c>
      <c r="F153" s="131" t="s">
        <v>298</v>
      </c>
      <c r="G153" s="224"/>
      <c r="H153" s="37"/>
      <c r="I153" s="126"/>
      <c r="J153" s="126"/>
      <c r="K153" s="18"/>
      <c r="L153" s="18"/>
      <c r="M153" s="18"/>
      <c r="N153" s="80"/>
      <c r="O153" s="126"/>
      <c r="P153" s="126"/>
      <c r="Q153" s="126"/>
      <c r="R153" s="436"/>
      <c r="S153" s="436"/>
      <c r="T153" s="18"/>
      <c r="U153" s="18"/>
      <c r="V153" s="127">
        <f t="shared" si="6"/>
        <v>4427</v>
      </c>
      <c r="W153" s="45"/>
      <c r="X153" s="67"/>
    </row>
    <row r="154" spans="1:25" ht="14.25" customHeight="1">
      <c r="A154" s="427"/>
      <c r="B154" s="443"/>
      <c r="C154" s="449"/>
      <c r="D154" s="115" t="s">
        <v>75</v>
      </c>
      <c r="E154" s="425"/>
      <c r="F154" s="131" t="s">
        <v>298</v>
      </c>
      <c r="G154" s="224"/>
      <c r="H154" s="37"/>
      <c r="I154" s="126"/>
      <c r="J154" s="126"/>
      <c r="K154" s="18"/>
      <c r="L154" s="18"/>
      <c r="M154" s="18">
        <v>10000</v>
      </c>
      <c r="N154" s="80">
        <v>2</v>
      </c>
      <c r="O154" s="126">
        <f>June!AV323</f>
        <v>1100</v>
      </c>
      <c r="P154" s="126">
        <f>June!AW323</f>
        <v>1065</v>
      </c>
      <c r="Q154" s="126">
        <f>June!AU323</f>
        <v>4</v>
      </c>
      <c r="R154" s="436"/>
      <c r="S154" s="436"/>
      <c r="T154" s="18"/>
      <c r="U154" s="18"/>
      <c r="V154" s="127">
        <f t="shared" si="6"/>
        <v>8303</v>
      </c>
      <c r="W154" s="45"/>
      <c r="X154" s="67"/>
    </row>
    <row r="155" spans="1:25" ht="14.25" customHeight="1">
      <c r="A155" s="427"/>
      <c r="B155" s="439" t="s">
        <v>53</v>
      </c>
      <c r="C155" s="445" t="s">
        <v>60</v>
      </c>
      <c r="D155" s="43" t="s">
        <v>320</v>
      </c>
      <c r="E155" s="441" t="s">
        <v>66</v>
      </c>
      <c r="F155" s="118" t="s">
        <v>54</v>
      </c>
      <c r="G155" s="224"/>
      <c r="H155" s="37"/>
      <c r="I155" s="126"/>
      <c r="J155" s="126"/>
      <c r="K155" s="18"/>
      <c r="L155" s="18"/>
      <c r="M155" s="18"/>
      <c r="N155" s="80"/>
      <c r="O155" s="126">
        <f>June!AV315</f>
        <v>1200</v>
      </c>
      <c r="P155" s="126">
        <f>June!AW315</f>
        <v>4211</v>
      </c>
      <c r="Q155" s="126">
        <f>June!AU315</f>
        <v>13</v>
      </c>
      <c r="R155" s="436"/>
      <c r="S155" s="436"/>
      <c r="T155" s="18"/>
      <c r="U155" s="18"/>
      <c r="V155" s="127">
        <f t="shared" si="6"/>
        <v>31784</v>
      </c>
      <c r="W155" s="45"/>
      <c r="X155" s="67"/>
    </row>
    <row r="156" spans="1:25" ht="14.25" customHeight="1">
      <c r="A156" s="427"/>
      <c r="B156" s="439"/>
      <c r="C156" s="445"/>
      <c r="D156" s="43" t="s">
        <v>387</v>
      </c>
      <c r="E156" s="425"/>
      <c r="F156" s="118" t="s">
        <v>54</v>
      </c>
      <c r="G156" s="229"/>
      <c r="H156" s="182"/>
      <c r="I156" s="125"/>
      <c r="J156" s="125"/>
      <c r="K156" s="127">
        <v>6000</v>
      </c>
      <c r="L156" s="127">
        <v>1</v>
      </c>
      <c r="M156" s="127">
        <v>64800</v>
      </c>
      <c r="N156" s="171">
        <v>11</v>
      </c>
      <c r="O156" s="125"/>
      <c r="P156" s="125">
        <f>June!AW316</f>
        <v>313</v>
      </c>
      <c r="Q156" s="125">
        <f>June!AU316</f>
        <v>1</v>
      </c>
      <c r="R156" s="436"/>
      <c r="S156" s="436"/>
      <c r="T156" s="18"/>
      <c r="U156" s="18"/>
      <c r="V156" s="127">
        <f t="shared" si="6"/>
        <v>0</v>
      </c>
      <c r="W156" s="45"/>
      <c r="X156" s="67"/>
    </row>
    <row r="157" spans="1:25" ht="14.25" customHeight="1">
      <c r="A157" s="427"/>
      <c r="B157" s="443"/>
      <c r="C157" s="446"/>
      <c r="D157" s="43" t="s">
        <v>199</v>
      </c>
      <c r="E157" s="114" t="s">
        <v>25</v>
      </c>
      <c r="F157" s="118" t="s">
        <v>54</v>
      </c>
      <c r="G157" s="224"/>
      <c r="H157" s="135"/>
      <c r="I157" s="158"/>
      <c r="J157" s="158"/>
      <c r="K157" s="128"/>
      <c r="L157" s="128"/>
      <c r="M157" s="128"/>
      <c r="N157" s="164"/>
      <c r="O157" s="158"/>
      <c r="P157" s="158"/>
      <c r="Q157" s="158"/>
      <c r="R157" s="436"/>
      <c r="S157" s="436"/>
      <c r="T157" s="18"/>
      <c r="U157" s="18"/>
      <c r="V157" s="127">
        <f t="shared" si="6"/>
        <v>68</v>
      </c>
      <c r="W157" s="45"/>
      <c r="X157" s="67"/>
    </row>
    <row r="158" spans="1:25" ht="15.75" customHeight="1">
      <c r="A158" s="427"/>
      <c r="B158" s="442" t="s">
        <v>55</v>
      </c>
      <c r="C158" s="444" t="s">
        <v>133</v>
      </c>
      <c r="D158" s="48" t="s">
        <v>56</v>
      </c>
      <c r="E158" s="424" t="s">
        <v>25</v>
      </c>
      <c r="F158" s="118" t="s">
        <v>67</v>
      </c>
      <c r="G158" s="226">
        <v>346.64</v>
      </c>
      <c r="H158" s="126"/>
      <c r="I158" s="126"/>
      <c r="J158" s="2"/>
      <c r="K158" s="18"/>
      <c r="L158" s="18"/>
      <c r="M158" s="18"/>
      <c r="N158" s="18"/>
      <c r="O158" s="126"/>
      <c r="P158" s="126">
        <f>June!AW343</f>
        <v>380</v>
      </c>
      <c r="Q158" s="126">
        <f>June!AU343</f>
        <v>1</v>
      </c>
      <c r="R158" s="436"/>
      <c r="S158" s="436"/>
      <c r="T158" s="18"/>
      <c r="U158" s="18"/>
      <c r="V158" s="127">
        <f>O158-T158-U158+V129</f>
        <v>5112</v>
      </c>
      <c r="W158" s="45"/>
      <c r="X158" s="67"/>
    </row>
    <row r="159" spans="1:25" ht="15.75" customHeight="1">
      <c r="A159" s="427"/>
      <c r="B159" s="443"/>
      <c r="C159" s="446"/>
      <c r="D159" s="48" t="s">
        <v>68</v>
      </c>
      <c r="E159" s="441"/>
      <c r="F159" s="155"/>
      <c r="G159" s="226"/>
      <c r="H159" s="126">
        <v>720</v>
      </c>
      <c r="I159" s="126"/>
      <c r="J159" s="2"/>
      <c r="K159" s="18"/>
      <c r="L159" s="18"/>
      <c r="M159" s="18"/>
      <c r="N159" s="18"/>
      <c r="O159" s="126"/>
      <c r="P159" s="126"/>
      <c r="Q159" s="126"/>
      <c r="R159" s="436"/>
      <c r="S159" s="436"/>
      <c r="T159" s="18"/>
      <c r="U159" s="18"/>
      <c r="V159" s="127"/>
      <c r="W159" s="45"/>
      <c r="X159" s="67"/>
    </row>
    <row r="160" spans="1:25" ht="15" customHeight="1">
      <c r="A160" s="427"/>
      <c r="B160" s="122" t="s">
        <v>122</v>
      </c>
      <c r="C160" s="180" t="s">
        <v>123</v>
      </c>
      <c r="D160" s="48" t="s">
        <v>56</v>
      </c>
      <c r="E160" s="441"/>
      <c r="F160" s="155" t="s">
        <v>64</v>
      </c>
      <c r="G160" s="119"/>
      <c r="H160" s="126"/>
      <c r="I160" s="126"/>
      <c r="J160" s="2"/>
      <c r="K160" s="18"/>
      <c r="L160" s="18"/>
      <c r="M160" s="18">
        <v>6400</v>
      </c>
      <c r="N160" s="18">
        <v>2</v>
      </c>
      <c r="O160" s="126"/>
      <c r="P160" s="126"/>
      <c r="Q160" s="126"/>
      <c r="R160" s="436"/>
      <c r="S160" s="436"/>
      <c r="T160" s="18"/>
      <c r="U160" s="18"/>
      <c r="V160" s="127">
        <f>O160-T160-U160+V130</f>
        <v>18121</v>
      </c>
      <c r="W160" s="45"/>
      <c r="X160" s="67"/>
    </row>
    <row r="161" spans="1:24" ht="14.25" customHeight="1">
      <c r="A161" s="427"/>
      <c r="B161" s="137" t="s">
        <v>58</v>
      </c>
      <c r="C161" s="157" t="s">
        <v>243</v>
      </c>
      <c r="D161" s="48" t="s">
        <v>56</v>
      </c>
      <c r="E161" s="441"/>
      <c r="F161" s="118" t="s">
        <v>64</v>
      </c>
      <c r="G161" s="225"/>
      <c r="H161" s="126"/>
      <c r="I161" s="126"/>
      <c r="J161" s="126"/>
      <c r="K161" s="18"/>
      <c r="L161" s="18"/>
      <c r="M161" s="18"/>
      <c r="N161" s="80"/>
      <c r="O161" s="126"/>
      <c r="P161" s="126"/>
      <c r="Q161" s="126"/>
      <c r="R161" s="436"/>
      <c r="S161" s="436"/>
      <c r="T161" s="18"/>
      <c r="U161" s="18"/>
      <c r="V161" s="127">
        <f>O161-T161-U161+V131</f>
        <v>8144</v>
      </c>
      <c r="W161" s="45"/>
      <c r="X161" s="67"/>
    </row>
    <row r="162" spans="1:24" ht="14.25" customHeight="1">
      <c r="A162" s="427"/>
      <c r="B162" s="122" t="s">
        <v>61</v>
      </c>
      <c r="C162" s="180" t="s">
        <v>137</v>
      </c>
      <c r="D162" s="48" t="s">
        <v>56</v>
      </c>
      <c r="E162" s="441"/>
      <c r="F162" s="118" t="s">
        <v>67</v>
      </c>
      <c r="G162" s="225"/>
      <c r="H162" s="126"/>
      <c r="I162" s="126"/>
      <c r="J162" s="126"/>
      <c r="K162" s="18"/>
      <c r="L162" s="18"/>
      <c r="M162" s="18"/>
      <c r="N162" s="80"/>
      <c r="O162" s="126"/>
      <c r="P162" s="126"/>
      <c r="Q162" s="126"/>
      <c r="R162" s="436"/>
      <c r="S162" s="436"/>
      <c r="T162" s="18"/>
      <c r="U162" s="18"/>
      <c r="V162" s="127">
        <f>O162-T162-U162+V132</f>
        <v>5844</v>
      </c>
      <c r="W162" s="45"/>
      <c r="X162" s="67"/>
    </row>
    <row r="163" spans="1:24" ht="14.25" customHeight="1">
      <c r="A163" s="427"/>
      <c r="B163" s="122" t="s">
        <v>125</v>
      </c>
      <c r="C163" s="180" t="s">
        <v>88</v>
      </c>
      <c r="D163" s="48" t="s">
        <v>124</v>
      </c>
      <c r="E163" s="441"/>
      <c r="F163" s="118" t="s">
        <v>64</v>
      </c>
      <c r="G163" s="225"/>
      <c r="H163" s="126"/>
      <c r="I163" s="126"/>
      <c r="J163" s="126"/>
      <c r="K163" s="18"/>
      <c r="L163" s="18"/>
      <c r="M163" s="18">
        <v>51200</v>
      </c>
      <c r="N163" s="80">
        <v>7</v>
      </c>
      <c r="O163" s="126"/>
      <c r="P163" s="126"/>
      <c r="Q163" s="126"/>
      <c r="R163" s="436"/>
      <c r="S163" s="436"/>
      <c r="T163" s="18"/>
      <c r="U163" s="18"/>
      <c r="V163" s="127">
        <f>O163-T163-U163+V133</f>
        <v>23615</v>
      </c>
      <c r="W163" s="45"/>
      <c r="X163" s="67"/>
    </row>
    <row r="164" spans="1:24" ht="14.25" customHeight="1">
      <c r="A164" s="427"/>
      <c r="B164" s="137" t="s">
        <v>47</v>
      </c>
      <c r="C164" s="157" t="s">
        <v>100</v>
      </c>
      <c r="D164" s="48" t="s">
        <v>99</v>
      </c>
      <c r="E164" s="441"/>
      <c r="F164" s="118" t="s">
        <v>71</v>
      </c>
      <c r="G164" s="225"/>
      <c r="H164" s="126"/>
      <c r="I164" s="126"/>
      <c r="J164" s="126"/>
      <c r="K164" s="18"/>
      <c r="L164" s="18"/>
      <c r="M164" s="18"/>
      <c r="N164" s="80"/>
      <c r="O164" s="126"/>
      <c r="P164" s="126">
        <f>June!AW324</f>
        <v>566</v>
      </c>
      <c r="Q164" s="126">
        <f>June!AU324</f>
        <v>2</v>
      </c>
      <c r="R164" s="436"/>
      <c r="S164" s="436"/>
      <c r="T164" s="18"/>
      <c r="U164" s="18"/>
      <c r="V164" s="127">
        <f>O164-T164-U164+V134</f>
        <v>52836</v>
      </c>
      <c r="W164" s="45"/>
      <c r="X164" s="67"/>
    </row>
    <row r="165" spans="1:24" ht="15" customHeight="1">
      <c r="A165" s="427"/>
      <c r="B165" s="122" t="s">
        <v>196</v>
      </c>
      <c r="C165" s="180" t="s">
        <v>63</v>
      </c>
      <c r="D165" s="48" t="s">
        <v>135</v>
      </c>
      <c r="E165" s="441"/>
      <c r="F165" s="118" t="s">
        <v>64</v>
      </c>
      <c r="G165" s="226"/>
      <c r="H165" s="126"/>
      <c r="I165" s="126"/>
      <c r="J165" s="2"/>
      <c r="K165" s="18"/>
      <c r="L165" s="18"/>
      <c r="M165" s="18"/>
      <c r="N165" s="18"/>
      <c r="O165" s="126"/>
      <c r="P165" s="126">
        <f>June!AW338</f>
        <v>1372</v>
      </c>
      <c r="Q165" s="126">
        <f>June!AU338</f>
        <v>5</v>
      </c>
      <c r="R165" s="436"/>
      <c r="S165" s="436"/>
      <c r="T165" s="18"/>
      <c r="U165" s="18"/>
      <c r="V165" s="127">
        <f t="shared" ref="V165:V170" si="7">O165-T165-U165+V136</f>
        <v>33069</v>
      </c>
      <c r="W165" s="45"/>
      <c r="X165" s="67"/>
    </row>
    <row r="166" spans="1:24" ht="15" customHeight="1">
      <c r="A166" s="427"/>
      <c r="B166" s="122" t="s">
        <v>363</v>
      </c>
      <c r="C166" s="180" t="s">
        <v>325</v>
      </c>
      <c r="D166" s="48" t="s">
        <v>328</v>
      </c>
      <c r="E166" s="441"/>
      <c r="F166" s="118" t="s">
        <v>48</v>
      </c>
      <c r="G166" s="226"/>
      <c r="H166" s="126"/>
      <c r="I166" s="126"/>
      <c r="J166" s="2"/>
      <c r="K166" s="18"/>
      <c r="L166" s="18"/>
      <c r="M166" s="18"/>
      <c r="N166" s="18"/>
      <c r="O166" s="126">
        <f>June!AV335</f>
        <v>1002</v>
      </c>
      <c r="P166" s="126">
        <f>June!AW335</f>
        <v>572</v>
      </c>
      <c r="Q166" s="126">
        <f>June!AU335</f>
        <v>2</v>
      </c>
      <c r="R166" s="436"/>
      <c r="S166" s="436"/>
      <c r="T166" s="18"/>
      <c r="U166" s="18"/>
      <c r="V166" s="127">
        <f t="shared" si="7"/>
        <v>12153</v>
      </c>
      <c r="W166" s="45"/>
      <c r="X166" s="67"/>
    </row>
    <row r="167" spans="1:24" ht="15" customHeight="1">
      <c r="A167" s="427"/>
      <c r="B167" s="122" t="s">
        <v>253</v>
      </c>
      <c r="C167" s="180" t="s">
        <v>365</v>
      </c>
      <c r="D167" s="48" t="s">
        <v>246</v>
      </c>
      <c r="E167" s="441"/>
      <c r="F167" s="118" t="s">
        <v>247</v>
      </c>
      <c r="G167" s="226"/>
      <c r="H167" s="126"/>
      <c r="I167" s="126"/>
      <c r="J167" s="2"/>
      <c r="K167" s="18"/>
      <c r="L167" s="18"/>
      <c r="M167" s="18"/>
      <c r="N167" s="18"/>
      <c r="O167" s="126"/>
      <c r="P167" s="126">
        <f>June!AW327</f>
        <v>415</v>
      </c>
      <c r="Q167" s="126">
        <f>June!AU327</f>
        <v>4</v>
      </c>
      <c r="R167" s="436"/>
      <c r="S167" s="436"/>
      <c r="T167" s="18"/>
      <c r="U167" s="18"/>
      <c r="V167" s="127">
        <f t="shared" si="7"/>
        <v>12967</v>
      </c>
      <c r="W167" s="45"/>
      <c r="X167" s="67"/>
    </row>
    <row r="168" spans="1:24" ht="15" customHeight="1">
      <c r="A168" s="427"/>
      <c r="B168" s="122" t="s">
        <v>101</v>
      </c>
      <c r="C168" s="180" t="s">
        <v>327</v>
      </c>
      <c r="D168" s="48" t="s">
        <v>102</v>
      </c>
      <c r="E168" s="441"/>
      <c r="F168" s="118" t="s">
        <v>64</v>
      </c>
      <c r="G168" s="119"/>
      <c r="H168" s="37">
        <v>535.5</v>
      </c>
      <c r="I168" s="126"/>
      <c r="J168" s="2"/>
      <c r="K168" s="18">
        <v>7000</v>
      </c>
      <c r="L168" s="18">
        <v>1</v>
      </c>
      <c r="M168" s="18">
        <v>7000</v>
      </c>
      <c r="N168" s="18">
        <v>1</v>
      </c>
      <c r="O168" s="126">
        <f>June!AV333</f>
        <v>1308</v>
      </c>
      <c r="P168" s="126">
        <f>June!AW333</f>
        <v>2722</v>
      </c>
      <c r="Q168" s="126">
        <f>June!AU333</f>
        <v>8</v>
      </c>
      <c r="R168" s="436"/>
      <c r="S168" s="436"/>
      <c r="T168" s="18"/>
      <c r="U168" s="18"/>
      <c r="V168" s="18">
        <f t="shared" si="7"/>
        <v>6405</v>
      </c>
      <c r="W168" s="45"/>
      <c r="X168" s="67"/>
    </row>
    <row r="169" spans="1:24" s="4" customFormat="1" ht="15" customHeight="1">
      <c r="A169" s="427"/>
      <c r="B169" s="122" t="s">
        <v>375</v>
      </c>
      <c r="C169" s="157" t="s">
        <v>376</v>
      </c>
      <c r="D169" s="48" t="s">
        <v>248</v>
      </c>
      <c r="E169" s="441"/>
      <c r="F169" s="48" t="s">
        <v>64</v>
      </c>
      <c r="G169" s="122"/>
      <c r="H169" s="34"/>
      <c r="I169" s="34"/>
      <c r="J169" s="6"/>
      <c r="K169" s="211"/>
      <c r="L169" s="211"/>
      <c r="M169" s="211"/>
      <c r="N169" s="211"/>
      <c r="O169" s="34">
        <f>June!AV336</f>
        <v>334</v>
      </c>
      <c r="P169" s="34"/>
      <c r="Q169" s="34"/>
      <c r="R169" s="436"/>
      <c r="S169" s="436"/>
      <c r="T169" s="211">
        <v>1584</v>
      </c>
      <c r="U169" s="211">
        <v>6</v>
      </c>
      <c r="V169" s="211">
        <f t="shared" si="7"/>
        <v>76143</v>
      </c>
      <c r="W169" s="260"/>
      <c r="X169" s="67"/>
    </row>
    <row r="170" spans="1:24" s="4" customFormat="1" ht="15" customHeight="1">
      <c r="A170" s="427"/>
      <c r="B170" s="122" t="s">
        <v>421</v>
      </c>
      <c r="C170" s="157" t="s">
        <v>420</v>
      </c>
      <c r="D170" s="48" t="s">
        <v>248</v>
      </c>
      <c r="E170" s="441"/>
      <c r="F170" s="48" t="s">
        <v>64</v>
      </c>
      <c r="G170" s="122"/>
      <c r="H170" s="34"/>
      <c r="I170" s="34"/>
      <c r="J170" s="6"/>
      <c r="K170" s="211"/>
      <c r="L170" s="211"/>
      <c r="M170" s="211"/>
      <c r="N170" s="211"/>
      <c r="O170" s="34">
        <f>June!AV337</f>
        <v>7174</v>
      </c>
      <c r="P170" s="34">
        <f>June!AW337</f>
        <v>5920</v>
      </c>
      <c r="Q170" s="34">
        <f>June!AU337</f>
        <v>12</v>
      </c>
      <c r="R170" s="436"/>
      <c r="S170" s="436"/>
      <c r="T170" s="211"/>
      <c r="U170" s="211"/>
      <c r="V170" s="211">
        <f t="shared" si="7"/>
        <v>14747</v>
      </c>
      <c r="W170" s="260"/>
      <c r="X170" s="67"/>
    </row>
    <row r="171" spans="1:24" s="4" customFormat="1" ht="15" customHeight="1">
      <c r="A171" s="427"/>
      <c r="B171" s="137" t="s">
        <v>289</v>
      </c>
      <c r="C171" s="157" t="s">
        <v>290</v>
      </c>
      <c r="D171" s="48" t="s">
        <v>432</v>
      </c>
      <c r="E171" s="441"/>
      <c r="F171" s="48" t="s">
        <v>381</v>
      </c>
      <c r="G171" s="122"/>
      <c r="H171" s="34"/>
      <c r="I171" s="34"/>
      <c r="J171" s="6"/>
      <c r="K171" s="211">
        <v>2000</v>
      </c>
      <c r="L171" s="211">
        <v>1</v>
      </c>
      <c r="M171" s="211"/>
      <c r="N171" s="211"/>
      <c r="O171" s="34"/>
      <c r="P171" s="34">
        <f>June!AW329</f>
        <v>184</v>
      </c>
      <c r="Q171" s="34">
        <f>June!AU329</f>
        <v>1</v>
      </c>
      <c r="R171" s="436"/>
      <c r="S171" s="436"/>
      <c r="T171" s="211"/>
      <c r="U171" s="211"/>
      <c r="V171" s="211"/>
      <c r="W171" s="260"/>
      <c r="X171" s="67"/>
    </row>
    <row r="172" spans="1:24" s="4" customFormat="1" ht="15" customHeight="1">
      <c r="A172" s="427"/>
      <c r="B172" s="122" t="s">
        <v>425</v>
      </c>
      <c r="C172" s="157" t="s">
        <v>426</v>
      </c>
      <c r="D172" s="48" t="s">
        <v>246</v>
      </c>
      <c r="E172" s="441"/>
      <c r="F172" s="48" t="s">
        <v>64</v>
      </c>
      <c r="G172" s="385">
        <v>57.16</v>
      </c>
      <c r="H172" s="34">
        <v>80</v>
      </c>
      <c r="I172" s="34"/>
      <c r="J172" s="6"/>
      <c r="K172" s="211">
        <v>1000</v>
      </c>
      <c r="L172" s="211">
        <v>1</v>
      </c>
      <c r="M172" s="211"/>
      <c r="N172" s="211"/>
      <c r="O172" s="34"/>
      <c r="P172" s="34"/>
      <c r="Q172" s="34">
        <f>June!AU342</f>
        <v>1</v>
      </c>
      <c r="R172" s="436"/>
      <c r="S172" s="436"/>
      <c r="T172" s="211"/>
      <c r="U172" s="211"/>
      <c r="V172" s="211"/>
      <c r="W172" s="260"/>
      <c r="X172" s="67"/>
    </row>
    <row r="173" spans="1:24" ht="15" customHeight="1">
      <c r="A173" s="427"/>
      <c r="B173" s="122" t="s">
        <v>103</v>
      </c>
      <c r="C173" s="157" t="s">
        <v>197</v>
      </c>
      <c r="D173" s="48" t="s">
        <v>104</v>
      </c>
      <c r="E173" s="441"/>
      <c r="F173" s="118" t="s">
        <v>105</v>
      </c>
      <c r="G173" s="119"/>
      <c r="H173" s="126"/>
      <c r="I173" s="126"/>
      <c r="J173" s="2"/>
      <c r="K173" s="18"/>
      <c r="L173" s="18"/>
      <c r="M173" s="18"/>
      <c r="N173" s="18"/>
      <c r="O173" s="126"/>
      <c r="P173" s="126"/>
      <c r="Q173" s="126">
        <f>June!AU339</f>
        <v>1</v>
      </c>
      <c r="R173" s="436"/>
      <c r="S173" s="436"/>
      <c r="T173" s="18"/>
      <c r="U173" s="18"/>
      <c r="V173" s="18"/>
      <c r="W173" s="45"/>
      <c r="X173" s="67"/>
    </row>
    <row r="174" spans="1:24" ht="15" customHeight="1">
      <c r="A174" s="427"/>
      <c r="B174" s="137" t="s">
        <v>112</v>
      </c>
      <c r="C174" s="157" t="s">
        <v>197</v>
      </c>
      <c r="D174" s="48" t="s">
        <v>104</v>
      </c>
      <c r="E174" s="441"/>
      <c r="F174" s="118" t="s">
        <v>113</v>
      </c>
      <c r="G174" s="119"/>
      <c r="H174" s="126"/>
      <c r="I174" s="126"/>
      <c r="J174" s="2"/>
      <c r="K174" s="18"/>
      <c r="L174" s="18"/>
      <c r="M174" s="18"/>
      <c r="N174" s="18"/>
      <c r="O174" s="126"/>
      <c r="P174" s="126"/>
      <c r="Q174" s="126">
        <f>June!AU341</f>
        <v>1</v>
      </c>
      <c r="R174" s="436"/>
      <c r="S174" s="436"/>
      <c r="T174" s="18"/>
      <c r="U174" s="18"/>
      <c r="V174" s="18"/>
      <c r="W174" s="45"/>
      <c r="X174" s="67"/>
    </row>
    <row r="175" spans="1:24" ht="15" customHeight="1" thickBot="1">
      <c r="A175" s="428"/>
      <c r="B175" s="44" t="s">
        <v>107</v>
      </c>
      <c r="C175" s="181" t="s">
        <v>386</v>
      </c>
      <c r="D175" s="61" t="s">
        <v>108</v>
      </c>
      <c r="E175" s="447"/>
      <c r="F175" s="133" t="s">
        <v>48</v>
      </c>
      <c r="G175" s="132"/>
      <c r="H175" s="109"/>
      <c r="I175" s="134"/>
      <c r="J175" s="129"/>
      <c r="K175" s="130"/>
      <c r="L175" s="130"/>
      <c r="M175" s="130">
        <v>13000</v>
      </c>
      <c r="N175" s="130">
        <v>2</v>
      </c>
      <c r="O175" s="134">
        <f>June!AV340</f>
        <v>1359</v>
      </c>
      <c r="P175" s="134">
        <f>June!AW340</f>
        <v>807</v>
      </c>
      <c r="Q175" s="134">
        <f>June!AU340</f>
        <v>2</v>
      </c>
      <c r="R175" s="437"/>
      <c r="S175" s="437"/>
      <c r="T175" s="130"/>
      <c r="U175" s="130"/>
      <c r="V175" s="128">
        <f>O175-T175-U175+V145</f>
        <v>7156</v>
      </c>
      <c r="W175" s="85"/>
      <c r="X175" s="67"/>
    </row>
    <row r="176" spans="1:24" ht="15" customHeight="1">
      <c r="A176" s="426">
        <v>46181</v>
      </c>
      <c r="B176" s="429" t="s">
        <v>44</v>
      </c>
      <c r="C176" s="432" t="s">
        <v>240</v>
      </c>
      <c r="D176" s="19" t="s">
        <v>37</v>
      </c>
      <c r="E176" s="19" t="s">
        <v>25</v>
      </c>
      <c r="F176" s="39" t="s">
        <v>40</v>
      </c>
      <c r="G176" s="41">
        <v>3298.86</v>
      </c>
      <c r="H176" s="32">
        <f>4608+1120</f>
        <v>5728</v>
      </c>
      <c r="I176" s="32"/>
      <c r="J176" s="32"/>
      <c r="K176" s="20">
        <v>104000</v>
      </c>
      <c r="L176" s="20">
        <v>13</v>
      </c>
      <c r="M176" s="20">
        <v>64000</v>
      </c>
      <c r="N176" s="84">
        <v>8</v>
      </c>
      <c r="O176" s="32">
        <f>June!BB313</f>
        <v>30835</v>
      </c>
      <c r="P176" s="32">
        <f>June!BC313</f>
        <v>42506</v>
      </c>
      <c r="Q176" s="32">
        <f>June!BA313</f>
        <v>115</v>
      </c>
      <c r="R176" s="435">
        <f>June!BB346</f>
        <v>89348</v>
      </c>
      <c r="S176" s="435">
        <f>June!BC346</f>
        <v>91636</v>
      </c>
      <c r="T176" s="20">
        <v>35784</v>
      </c>
      <c r="U176" s="20">
        <v>13</v>
      </c>
      <c r="V176" s="20">
        <f>O176-T176-U176+V146</f>
        <v>170045</v>
      </c>
      <c r="W176" s="77"/>
      <c r="X176" s="36"/>
    </row>
    <row r="177" spans="1:25" ht="15" customHeight="1">
      <c r="A177" s="427"/>
      <c r="B177" s="431"/>
      <c r="C177" s="434"/>
      <c r="D177" s="113" t="s">
        <v>307</v>
      </c>
      <c r="E177" s="113" t="s">
        <v>24</v>
      </c>
      <c r="F177" s="118" t="s">
        <v>40</v>
      </c>
      <c r="G177" s="170"/>
      <c r="H177" s="135"/>
      <c r="I177" s="125"/>
      <c r="J177" s="125"/>
      <c r="K177" s="127"/>
      <c r="L177" s="127"/>
      <c r="M177" s="216">
        <v>168000</v>
      </c>
      <c r="N177" s="238">
        <v>21</v>
      </c>
      <c r="O177" s="126">
        <f>June!BB314</f>
        <v>28654</v>
      </c>
      <c r="P177" s="125">
        <f>June!BC314</f>
        <v>23807</v>
      </c>
      <c r="Q177" s="125">
        <f>June!BA314</f>
        <v>64</v>
      </c>
      <c r="R177" s="436"/>
      <c r="S177" s="436"/>
      <c r="T177" s="127">
        <v>8484</v>
      </c>
      <c r="U177" s="127"/>
      <c r="V177" s="127">
        <f>O177-T177-U177+V147</f>
        <v>145372</v>
      </c>
      <c r="W177" s="46"/>
      <c r="X177" s="67"/>
    </row>
    <row r="178" spans="1:25" ht="15" customHeight="1">
      <c r="A178" s="427"/>
      <c r="B178" s="442" t="s">
        <v>45</v>
      </c>
      <c r="C178" s="448" t="s">
        <v>59</v>
      </c>
      <c r="D178" s="118" t="s">
        <v>75</v>
      </c>
      <c r="E178" s="438" t="s">
        <v>25</v>
      </c>
      <c r="F178" s="131" t="s">
        <v>57</v>
      </c>
      <c r="G178" s="87"/>
      <c r="H178" s="152"/>
      <c r="I178" s="126"/>
      <c r="J178" s="2"/>
      <c r="K178" s="127"/>
      <c r="L178" s="18"/>
      <c r="M178" s="18">
        <v>49220</v>
      </c>
      <c r="N178" s="80">
        <v>10</v>
      </c>
      <c r="O178" s="126">
        <f>June!BB317</f>
        <v>4264</v>
      </c>
      <c r="P178" s="126">
        <f>June!BC317</f>
        <v>2356</v>
      </c>
      <c r="Q178" s="2">
        <f>June!BA317</f>
        <v>9</v>
      </c>
      <c r="R178" s="436"/>
      <c r="S178" s="436"/>
      <c r="T178" s="18">
        <v>6605</v>
      </c>
      <c r="U178" s="18"/>
      <c r="V178" s="127">
        <f>O178-T178-U178+V148</f>
        <v>7775</v>
      </c>
      <c r="W178" s="46"/>
      <c r="Y178" s="13"/>
    </row>
    <row r="179" spans="1:25" ht="15" customHeight="1">
      <c r="A179" s="427"/>
      <c r="B179" s="439"/>
      <c r="C179" s="440"/>
      <c r="D179" s="118" t="s">
        <v>291</v>
      </c>
      <c r="E179" s="430"/>
      <c r="F179" s="131" t="s">
        <v>57</v>
      </c>
      <c r="G179" s="87"/>
      <c r="H179" s="152"/>
      <c r="I179" s="126"/>
      <c r="J179" s="2"/>
      <c r="K179" s="127"/>
      <c r="L179" s="18"/>
      <c r="M179" s="18"/>
      <c r="N179" s="80"/>
      <c r="O179" s="126">
        <f>June!BB318</f>
        <v>726</v>
      </c>
      <c r="P179" s="126">
        <f>June!BC318</f>
        <v>381</v>
      </c>
      <c r="Q179" s="2">
        <f>June!BA318</f>
        <v>2</v>
      </c>
      <c r="R179" s="436"/>
      <c r="S179" s="436"/>
      <c r="T179" s="18"/>
      <c r="U179" s="18"/>
      <c r="V179" s="127">
        <f>O179-T179-U179+V149</f>
        <v>4830</v>
      </c>
      <c r="W179" s="46"/>
      <c r="Y179" s="13"/>
    </row>
    <row r="180" spans="1:25">
      <c r="A180" s="427"/>
      <c r="B180" s="439"/>
      <c r="C180" s="440"/>
      <c r="D180" s="118" t="s">
        <v>72</v>
      </c>
      <c r="E180" s="155" t="s">
        <v>24</v>
      </c>
      <c r="F180" s="131" t="s">
        <v>57</v>
      </c>
      <c r="G180" s="224"/>
      <c r="H180" s="152"/>
      <c r="I180" s="126"/>
      <c r="J180" s="126"/>
      <c r="K180" s="127"/>
      <c r="L180" s="18"/>
      <c r="M180" s="18">
        <v>35000</v>
      </c>
      <c r="N180" s="80">
        <v>7</v>
      </c>
      <c r="O180" s="126">
        <f>June!BB319</f>
        <v>5434</v>
      </c>
      <c r="P180" s="126">
        <f>June!BC319</f>
        <v>2029</v>
      </c>
      <c r="Q180" s="126">
        <f>June!BA319</f>
        <v>8</v>
      </c>
      <c r="R180" s="436"/>
      <c r="S180" s="436"/>
      <c r="T180" s="18">
        <v>6181</v>
      </c>
      <c r="U180" s="18"/>
      <c r="V180" s="127">
        <f t="shared" ref="V180:V187" si="8">O180-T180-U180+V151</f>
        <v>13185</v>
      </c>
      <c r="W180" s="46"/>
      <c r="Y180" s="13"/>
    </row>
    <row r="181" spans="1:25" ht="14.25" customHeight="1">
      <c r="A181" s="427"/>
      <c r="B181" s="439"/>
      <c r="C181" s="440"/>
      <c r="D181" s="115" t="s">
        <v>79</v>
      </c>
      <c r="E181" s="155" t="s">
        <v>65</v>
      </c>
      <c r="F181" s="131" t="s">
        <v>57</v>
      </c>
      <c r="G181" s="224"/>
      <c r="H181" s="126"/>
      <c r="I181" s="126"/>
      <c r="J181" s="126"/>
      <c r="K181" s="18"/>
      <c r="L181" s="18"/>
      <c r="M181" s="18"/>
      <c r="N181" s="80"/>
      <c r="O181" s="126"/>
      <c r="P181" s="126"/>
      <c r="Q181" s="126"/>
      <c r="R181" s="436"/>
      <c r="S181" s="436"/>
      <c r="T181" s="18"/>
      <c r="U181" s="18"/>
      <c r="V181" s="127">
        <f t="shared" si="8"/>
        <v>10211</v>
      </c>
      <c r="W181" s="45"/>
      <c r="X181" s="36"/>
    </row>
    <row r="182" spans="1:25" ht="14.25" customHeight="1">
      <c r="A182" s="427"/>
      <c r="B182" s="439"/>
      <c r="C182" s="448" t="s">
        <v>299</v>
      </c>
      <c r="D182" s="115" t="s">
        <v>296</v>
      </c>
      <c r="E182" s="424" t="s">
        <v>25</v>
      </c>
      <c r="F182" s="131" t="s">
        <v>298</v>
      </c>
      <c r="G182" s="224"/>
      <c r="H182" s="37"/>
      <c r="I182" s="126"/>
      <c r="J182" s="126"/>
      <c r="K182" s="18"/>
      <c r="L182" s="18"/>
      <c r="M182" s="18"/>
      <c r="N182" s="80"/>
      <c r="O182" s="126"/>
      <c r="P182" s="126"/>
      <c r="Q182" s="126"/>
      <c r="R182" s="436"/>
      <c r="S182" s="436"/>
      <c r="T182" s="18"/>
      <c r="U182" s="18"/>
      <c r="V182" s="127">
        <f t="shared" si="8"/>
        <v>4427</v>
      </c>
      <c r="W182" s="45"/>
      <c r="X182" s="67"/>
    </row>
    <row r="183" spans="1:25" ht="14.25" customHeight="1">
      <c r="A183" s="427"/>
      <c r="B183" s="443"/>
      <c r="C183" s="449"/>
      <c r="D183" s="115" t="s">
        <v>75</v>
      </c>
      <c r="E183" s="425"/>
      <c r="F183" s="131" t="s">
        <v>298</v>
      </c>
      <c r="G183" s="224"/>
      <c r="H183" s="37"/>
      <c r="I183" s="126"/>
      <c r="J183" s="126"/>
      <c r="K183" s="18"/>
      <c r="L183" s="18"/>
      <c r="M183" s="18">
        <v>10000</v>
      </c>
      <c r="N183" s="80">
        <v>2</v>
      </c>
      <c r="O183" s="126"/>
      <c r="P183" s="126">
        <f>June!BC323</f>
        <v>1136</v>
      </c>
      <c r="Q183" s="126">
        <f>June!BA323</f>
        <v>4</v>
      </c>
      <c r="R183" s="436"/>
      <c r="S183" s="436"/>
      <c r="T183" s="18"/>
      <c r="U183" s="18"/>
      <c r="V183" s="127">
        <f t="shared" si="8"/>
        <v>8303</v>
      </c>
      <c r="W183" s="45"/>
      <c r="X183" s="67"/>
    </row>
    <row r="184" spans="1:25" ht="14.25" customHeight="1">
      <c r="A184" s="427"/>
      <c r="B184" s="439" t="s">
        <v>53</v>
      </c>
      <c r="C184" s="445" t="s">
        <v>60</v>
      </c>
      <c r="D184" s="43" t="s">
        <v>320</v>
      </c>
      <c r="E184" s="441" t="s">
        <v>66</v>
      </c>
      <c r="F184" s="118" t="s">
        <v>54</v>
      </c>
      <c r="G184" s="224"/>
      <c r="H184" s="37"/>
      <c r="I184" s="126"/>
      <c r="J184" s="126"/>
      <c r="K184" s="18"/>
      <c r="L184" s="18"/>
      <c r="M184" s="18"/>
      <c r="N184" s="80"/>
      <c r="O184" s="126">
        <f>June!BB315</f>
        <v>5166</v>
      </c>
      <c r="P184" s="126">
        <f>June!BC315</f>
        <v>3654</v>
      </c>
      <c r="Q184" s="126">
        <f>June!BA315</f>
        <v>10</v>
      </c>
      <c r="R184" s="436"/>
      <c r="S184" s="436"/>
      <c r="T184" s="18">
        <v>6258</v>
      </c>
      <c r="U184" s="18"/>
      <c r="V184" s="127">
        <f t="shared" si="8"/>
        <v>30692</v>
      </c>
      <c r="W184" s="45"/>
      <c r="X184" s="67"/>
    </row>
    <row r="185" spans="1:25" ht="14.25" customHeight="1">
      <c r="A185" s="427"/>
      <c r="B185" s="439"/>
      <c r="C185" s="445"/>
      <c r="D185" s="43" t="s">
        <v>387</v>
      </c>
      <c r="E185" s="425"/>
      <c r="F185" s="118" t="s">
        <v>54</v>
      </c>
      <c r="G185" s="229"/>
      <c r="H185" s="182"/>
      <c r="I185" s="125"/>
      <c r="J185" s="125"/>
      <c r="K185" s="127"/>
      <c r="L185" s="127"/>
      <c r="M185" s="127">
        <v>64800</v>
      </c>
      <c r="N185" s="171">
        <v>11</v>
      </c>
      <c r="O185" s="125"/>
      <c r="P185" s="125">
        <f>June!BC316</f>
        <v>341</v>
      </c>
      <c r="Q185" s="125">
        <f>June!BA316</f>
        <v>1</v>
      </c>
      <c r="R185" s="436"/>
      <c r="S185" s="436"/>
      <c r="T185" s="18"/>
      <c r="U185" s="18"/>
      <c r="V185" s="127">
        <f t="shared" si="8"/>
        <v>0</v>
      </c>
      <c r="W185" s="45"/>
      <c r="X185" s="67"/>
    </row>
    <row r="186" spans="1:25" ht="14.25" customHeight="1">
      <c r="A186" s="427"/>
      <c r="B186" s="443"/>
      <c r="C186" s="446"/>
      <c r="D186" s="43" t="s">
        <v>199</v>
      </c>
      <c r="E186" s="114" t="s">
        <v>25</v>
      </c>
      <c r="F186" s="118" t="s">
        <v>54</v>
      </c>
      <c r="G186" s="224"/>
      <c r="H186" s="135"/>
      <c r="I186" s="158"/>
      <c r="J186" s="158"/>
      <c r="K186" s="128"/>
      <c r="L186" s="128"/>
      <c r="M186" s="128"/>
      <c r="N186" s="164"/>
      <c r="O186" s="158"/>
      <c r="P186" s="158"/>
      <c r="Q186" s="158"/>
      <c r="R186" s="436"/>
      <c r="S186" s="436"/>
      <c r="T186" s="18"/>
      <c r="U186" s="18"/>
      <c r="V186" s="127">
        <f t="shared" si="8"/>
        <v>68</v>
      </c>
      <c r="W186" s="45"/>
      <c r="X186" s="67"/>
    </row>
    <row r="187" spans="1:25" ht="15.75" customHeight="1">
      <c r="A187" s="427"/>
      <c r="B187" s="122" t="s">
        <v>55</v>
      </c>
      <c r="C187" s="180" t="s">
        <v>133</v>
      </c>
      <c r="D187" s="48" t="s">
        <v>56</v>
      </c>
      <c r="E187" s="424" t="s">
        <v>25</v>
      </c>
      <c r="F187" s="118" t="s">
        <v>67</v>
      </c>
      <c r="G187" s="226"/>
      <c r="H187" s="126"/>
      <c r="I187" s="126"/>
      <c r="J187" s="2"/>
      <c r="K187" s="18"/>
      <c r="L187" s="18"/>
      <c r="M187" s="18"/>
      <c r="N187" s="18"/>
      <c r="O187" s="126">
        <f>June!BB343</f>
        <v>800</v>
      </c>
      <c r="P187" s="126">
        <f>June!BC343</f>
        <v>517</v>
      </c>
      <c r="Q187" s="126">
        <f>June!BA343</f>
        <v>1</v>
      </c>
      <c r="R187" s="436"/>
      <c r="S187" s="436"/>
      <c r="T187" s="18"/>
      <c r="U187" s="18"/>
      <c r="V187" s="127">
        <f t="shared" si="8"/>
        <v>5912</v>
      </c>
      <c r="W187" s="45"/>
      <c r="X187" s="67"/>
    </row>
    <row r="188" spans="1:25" ht="15" customHeight="1">
      <c r="A188" s="427"/>
      <c r="B188" s="122" t="s">
        <v>122</v>
      </c>
      <c r="C188" s="180" t="s">
        <v>123</v>
      </c>
      <c r="D188" s="48" t="s">
        <v>56</v>
      </c>
      <c r="E188" s="441"/>
      <c r="F188" s="155" t="s">
        <v>64</v>
      </c>
      <c r="G188" s="119"/>
      <c r="H188" s="126"/>
      <c r="I188" s="126"/>
      <c r="J188" s="2"/>
      <c r="K188" s="18"/>
      <c r="L188" s="18"/>
      <c r="M188" s="18">
        <v>6400</v>
      </c>
      <c r="N188" s="18">
        <v>2</v>
      </c>
      <c r="O188" s="126"/>
      <c r="P188" s="126"/>
      <c r="Q188" s="126"/>
      <c r="R188" s="436"/>
      <c r="S188" s="436"/>
      <c r="T188" s="18"/>
      <c r="U188" s="18"/>
      <c r="V188" s="127">
        <f t="shared" ref="V188:V198" si="9">O188-T188-U188+V160</f>
        <v>18121</v>
      </c>
      <c r="W188" s="45"/>
      <c r="X188" s="67"/>
    </row>
    <row r="189" spans="1:25" ht="14.25" customHeight="1">
      <c r="A189" s="427"/>
      <c r="B189" s="137" t="s">
        <v>58</v>
      </c>
      <c r="C189" s="157" t="s">
        <v>243</v>
      </c>
      <c r="D189" s="48" t="s">
        <v>56</v>
      </c>
      <c r="E189" s="441"/>
      <c r="F189" s="118" t="s">
        <v>64</v>
      </c>
      <c r="G189" s="225"/>
      <c r="H189" s="126"/>
      <c r="I189" s="126"/>
      <c r="J189" s="126"/>
      <c r="K189" s="18"/>
      <c r="L189" s="18"/>
      <c r="M189" s="18"/>
      <c r="N189" s="80"/>
      <c r="O189" s="126"/>
      <c r="P189" s="126"/>
      <c r="Q189" s="126"/>
      <c r="R189" s="436"/>
      <c r="S189" s="436"/>
      <c r="T189" s="18"/>
      <c r="U189" s="18"/>
      <c r="V189" s="127">
        <f t="shared" si="9"/>
        <v>8144</v>
      </c>
      <c r="W189" s="45"/>
      <c r="X189" s="67"/>
    </row>
    <row r="190" spans="1:25" ht="14.25" customHeight="1">
      <c r="A190" s="427"/>
      <c r="B190" s="122" t="s">
        <v>61</v>
      </c>
      <c r="C190" s="180" t="s">
        <v>137</v>
      </c>
      <c r="D190" s="48" t="s">
        <v>56</v>
      </c>
      <c r="E190" s="441"/>
      <c r="F190" s="118" t="s">
        <v>67</v>
      </c>
      <c r="G190" s="225"/>
      <c r="H190" s="126"/>
      <c r="I190" s="126"/>
      <c r="J190" s="126"/>
      <c r="K190" s="18"/>
      <c r="L190" s="18"/>
      <c r="M190" s="18"/>
      <c r="N190" s="80"/>
      <c r="O190" s="126"/>
      <c r="P190" s="126"/>
      <c r="Q190" s="126"/>
      <c r="R190" s="436"/>
      <c r="S190" s="436"/>
      <c r="T190" s="18"/>
      <c r="U190" s="18"/>
      <c r="V190" s="127">
        <f t="shared" si="9"/>
        <v>5844</v>
      </c>
      <c r="W190" s="45"/>
      <c r="X190" s="67"/>
    </row>
    <row r="191" spans="1:25" ht="14.25" customHeight="1">
      <c r="A191" s="427"/>
      <c r="B191" s="122" t="s">
        <v>125</v>
      </c>
      <c r="C191" s="180" t="s">
        <v>88</v>
      </c>
      <c r="D191" s="48" t="s">
        <v>124</v>
      </c>
      <c r="E191" s="441"/>
      <c r="F191" s="118" t="s">
        <v>64</v>
      </c>
      <c r="G191" s="225"/>
      <c r="H191" s="126"/>
      <c r="I191" s="126"/>
      <c r="J191" s="126"/>
      <c r="K191" s="18"/>
      <c r="L191" s="18"/>
      <c r="M191" s="18">
        <v>51200</v>
      </c>
      <c r="N191" s="80">
        <v>7</v>
      </c>
      <c r="O191" s="126"/>
      <c r="P191" s="126"/>
      <c r="Q191" s="126"/>
      <c r="R191" s="436"/>
      <c r="S191" s="436"/>
      <c r="T191" s="18"/>
      <c r="U191" s="18"/>
      <c r="V191" s="127">
        <f t="shared" si="9"/>
        <v>23615</v>
      </c>
      <c r="W191" s="45"/>
      <c r="X191" s="67"/>
    </row>
    <row r="192" spans="1:25" ht="14.25" customHeight="1">
      <c r="A192" s="427"/>
      <c r="B192" s="137" t="s">
        <v>47</v>
      </c>
      <c r="C192" s="157" t="s">
        <v>100</v>
      </c>
      <c r="D192" s="48" t="s">
        <v>99</v>
      </c>
      <c r="E192" s="441"/>
      <c r="F192" s="118" t="s">
        <v>71</v>
      </c>
      <c r="G192" s="225"/>
      <c r="H192" s="126"/>
      <c r="I192" s="126"/>
      <c r="J192" s="126"/>
      <c r="K192" s="18"/>
      <c r="L192" s="18"/>
      <c r="M192" s="18"/>
      <c r="N192" s="80"/>
      <c r="O192" s="126"/>
      <c r="P192" s="126">
        <f>June!BC324</f>
        <v>600</v>
      </c>
      <c r="Q192" s="126">
        <f>June!BA324</f>
        <v>2</v>
      </c>
      <c r="R192" s="436"/>
      <c r="S192" s="436"/>
      <c r="T192" s="18"/>
      <c r="U192" s="18"/>
      <c r="V192" s="127">
        <f t="shared" si="9"/>
        <v>52836</v>
      </c>
      <c r="W192" s="45"/>
      <c r="X192" s="67"/>
    </row>
    <row r="193" spans="1:25" ht="15" customHeight="1">
      <c r="A193" s="427"/>
      <c r="B193" s="122" t="s">
        <v>196</v>
      </c>
      <c r="C193" s="180" t="s">
        <v>63</v>
      </c>
      <c r="D193" s="48" t="s">
        <v>135</v>
      </c>
      <c r="E193" s="441"/>
      <c r="F193" s="118" t="s">
        <v>64</v>
      </c>
      <c r="G193" s="226"/>
      <c r="H193" s="126"/>
      <c r="I193" s="126"/>
      <c r="J193" s="2"/>
      <c r="K193" s="18"/>
      <c r="L193" s="18"/>
      <c r="M193" s="18"/>
      <c r="N193" s="18"/>
      <c r="O193" s="126">
        <f>June!BB338</f>
        <v>3330</v>
      </c>
      <c r="P193" s="126">
        <f>June!BC338</f>
        <v>1464</v>
      </c>
      <c r="Q193" s="126">
        <f>June!BA338</f>
        <v>5</v>
      </c>
      <c r="R193" s="436"/>
      <c r="S193" s="436"/>
      <c r="T193" s="18"/>
      <c r="U193" s="18"/>
      <c r="V193" s="127">
        <f t="shared" si="9"/>
        <v>36399</v>
      </c>
      <c r="W193" s="45"/>
      <c r="X193" s="67"/>
    </row>
    <row r="194" spans="1:25" ht="15" customHeight="1">
      <c r="A194" s="427"/>
      <c r="B194" s="122" t="s">
        <v>363</v>
      </c>
      <c r="C194" s="180" t="s">
        <v>325</v>
      </c>
      <c r="D194" s="48" t="s">
        <v>328</v>
      </c>
      <c r="E194" s="441"/>
      <c r="F194" s="118" t="s">
        <v>48</v>
      </c>
      <c r="G194" s="226"/>
      <c r="H194" s="126">
        <v>288</v>
      </c>
      <c r="I194" s="126"/>
      <c r="J194" s="2"/>
      <c r="K194" s="18"/>
      <c r="L194" s="18"/>
      <c r="M194" s="18"/>
      <c r="N194" s="18"/>
      <c r="O194" s="126"/>
      <c r="P194" s="126">
        <f>June!BC335</f>
        <v>615</v>
      </c>
      <c r="Q194" s="126">
        <f>June!BA335</f>
        <v>2</v>
      </c>
      <c r="R194" s="436"/>
      <c r="S194" s="436"/>
      <c r="T194" s="18"/>
      <c r="U194" s="18"/>
      <c r="V194" s="127">
        <f t="shared" si="9"/>
        <v>12153</v>
      </c>
      <c r="W194" s="45"/>
      <c r="X194" s="67"/>
    </row>
    <row r="195" spans="1:25" ht="15" customHeight="1">
      <c r="A195" s="427"/>
      <c r="B195" s="122" t="s">
        <v>253</v>
      </c>
      <c r="C195" s="180" t="s">
        <v>365</v>
      </c>
      <c r="D195" s="48" t="s">
        <v>246</v>
      </c>
      <c r="E195" s="441"/>
      <c r="F195" s="118" t="s">
        <v>247</v>
      </c>
      <c r="G195" s="226"/>
      <c r="H195" s="126"/>
      <c r="I195" s="126"/>
      <c r="J195" s="2"/>
      <c r="K195" s="18"/>
      <c r="L195" s="18"/>
      <c r="M195" s="18"/>
      <c r="N195" s="18"/>
      <c r="O195" s="126"/>
      <c r="P195" s="126">
        <f>June!BC327</f>
        <v>462</v>
      </c>
      <c r="Q195" s="126">
        <f>June!BA327</f>
        <v>4</v>
      </c>
      <c r="R195" s="436"/>
      <c r="S195" s="436"/>
      <c r="T195" s="18"/>
      <c r="U195" s="18"/>
      <c r="V195" s="127">
        <f t="shared" si="9"/>
        <v>12967</v>
      </c>
      <c r="W195" s="45"/>
      <c r="X195" s="67"/>
    </row>
    <row r="196" spans="1:25" ht="15" customHeight="1">
      <c r="A196" s="427"/>
      <c r="B196" s="122" t="s">
        <v>101</v>
      </c>
      <c r="C196" s="180" t="s">
        <v>327</v>
      </c>
      <c r="D196" s="48" t="s">
        <v>102</v>
      </c>
      <c r="E196" s="441"/>
      <c r="F196" s="118" t="s">
        <v>64</v>
      </c>
      <c r="G196" s="119"/>
      <c r="H196" s="126"/>
      <c r="I196" s="126"/>
      <c r="J196" s="2"/>
      <c r="K196" s="18">
        <v>7000</v>
      </c>
      <c r="L196" s="18">
        <v>1</v>
      </c>
      <c r="M196" s="18"/>
      <c r="N196" s="18"/>
      <c r="O196" s="126">
        <f>June!BB333</f>
        <v>3641</v>
      </c>
      <c r="P196" s="126">
        <f>June!BC333</f>
        <v>3026</v>
      </c>
      <c r="Q196" s="126">
        <f>June!BA333</f>
        <v>8</v>
      </c>
      <c r="R196" s="436"/>
      <c r="S196" s="436"/>
      <c r="T196" s="18"/>
      <c r="U196" s="18"/>
      <c r="V196" s="18">
        <f t="shared" si="9"/>
        <v>10046</v>
      </c>
      <c r="W196" s="45"/>
      <c r="X196" s="67"/>
    </row>
    <row r="197" spans="1:25" s="4" customFormat="1" ht="15" customHeight="1">
      <c r="A197" s="427"/>
      <c r="B197" s="122" t="s">
        <v>375</v>
      </c>
      <c r="C197" s="157" t="s">
        <v>376</v>
      </c>
      <c r="D197" s="48" t="s">
        <v>248</v>
      </c>
      <c r="E197" s="441"/>
      <c r="F197" s="48" t="s">
        <v>64</v>
      </c>
      <c r="G197" s="122"/>
      <c r="H197" s="34"/>
      <c r="I197" s="34"/>
      <c r="J197" s="6"/>
      <c r="K197" s="211"/>
      <c r="L197" s="211"/>
      <c r="M197" s="211"/>
      <c r="N197" s="211"/>
      <c r="O197" s="34">
        <f>June!BB336</f>
        <v>568</v>
      </c>
      <c r="P197" s="34"/>
      <c r="Q197" s="34"/>
      <c r="R197" s="436"/>
      <c r="S197" s="436"/>
      <c r="T197" s="211">
        <v>800</v>
      </c>
      <c r="U197" s="211"/>
      <c r="V197" s="211">
        <f t="shared" si="9"/>
        <v>75911</v>
      </c>
      <c r="W197" s="260"/>
      <c r="X197" s="67"/>
    </row>
    <row r="198" spans="1:25" s="4" customFormat="1" ht="15" customHeight="1">
      <c r="A198" s="427"/>
      <c r="B198" s="122" t="s">
        <v>421</v>
      </c>
      <c r="C198" s="157" t="s">
        <v>420</v>
      </c>
      <c r="D198" s="48" t="s">
        <v>248</v>
      </c>
      <c r="E198" s="441"/>
      <c r="F198" s="48" t="s">
        <v>64</v>
      </c>
      <c r="G198" s="293">
        <v>1152.9000000000001</v>
      </c>
      <c r="H198" s="34">
        <v>1644</v>
      </c>
      <c r="I198" s="34"/>
      <c r="J198" s="6"/>
      <c r="K198" s="211">
        <v>12300</v>
      </c>
      <c r="L198" s="211">
        <v>3</v>
      </c>
      <c r="M198" s="211"/>
      <c r="N198" s="211"/>
      <c r="O198" s="34">
        <f>June!BB337</f>
        <v>5930</v>
      </c>
      <c r="P198" s="34">
        <f>June!BC337</f>
        <v>7355</v>
      </c>
      <c r="Q198" s="34">
        <f>June!BA337</f>
        <v>15</v>
      </c>
      <c r="R198" s="436"/>
      <c r="S198" s="436"/>
      <c r="T198" s="211">
        <v>774</v>
      </c>
      <c r="U198" s="211"/>
      <c r="V198" s="211">
        <f t="shared" si="9"/>
        <v>19903</v>
      </c>
      <c r="W198" s="260"/>
      <c r="X198" s="67"/>
    </row>
    <row r="199" spans="1:25" s="4" customFormat="1" ht="15" customHeight="1">
      <c r="A199" s="427"/>
      <c r="B199" s="442" t="s">
        <v>289</v>
      </c>
      <c r="C199" s="444" t="s">
        <v>290</v>
      </c>
      <c r="D199" s="48" t="s">
        <v>432</v>
      </c>
      <c r="E199" s="441"/>
      <c r="F199" s="48" t="s">
        <v>381</v>
      </c>
      <c r="G199" s="122"/>
      <c r="H199" s="34"/>
      <c r="I199" s="34"/>
      <c r="J199" s="6"/>
      <c r="K199" s="211"/>
      <c r="L199" s="211"/>
      <c r="M199" s="211"/>
      <c r="N199" s="211"/>
      <c r="O199" s="34"/>
      <c r="P199" s="34">
        <f>June!BC329</f>
        <v>284</v>
      </c>
      <c r="Q199" s="34">
        <f>June!BA329</f>
        <v>1</v>
      </c>
      <c r="R199" s="436"/>
      <c r="S199" s="436"/>
      <c r="T199" s="211"/>
      <c r="U199" s="211"/>
      <c r="V199" s="211"/>
      <c r="W199" s="260"/>
      <c r="X199" s="67"/>
    </row>
    <row r="200" spans="1:25" s="4" customFormat="1" ht="15" customHeight="1">
      <c r="A200" s="427"/>
      <c r="B200" s="443"/>
      <c r="C200" s="446"/>
      <c r="D200" s="48" t="s">
        <v>433</v>
      </c>
      <c r="E200" s="441"/>
      <c r="F200" s="48"/>
      <c r="G200" s="122"/>
      <c r="H200" s="34">
        <v>153</v>
      </c>
      <c r="I200" s="34"/>
      <c r="J200" s="6"/>
      <c r="K200" s="211"/>
      <c r="L200" s="211"/>
      <c r="M200" s="211"/>
      <c r="N200" s="211"/>
      <c r="O200" s="34"/>
      <c r="P200" s="34"/>
      <c r="Q200" s="34"/>
      <c r="R200" s="436"/>
      <c r="S200" s="436"/>
      <c r="T200" s="211"/>
      <c r="U200" s="211"/>
      <c r="V200" s="211"/>
      <c r="W200" s="260"/>
      <c r="X200" s="67"/>
    </row>
    <row r="201" spans="1:25" s="4" customFormat="1" ht="15" customHeight="1">
      <c r="A201" s="427"/>
      <c r="B201" s="122" t="s">
        <v>425</v>
      </c>
      <c r="C201" s="157" t="s">
        <v>426</v>
      </c>
      <c r="D201" s="48" t="s">
        <v>246</v>
      </c>
      <c r="E201" s="441"/>
      <c r="F201" s="48" t="s">
        <v>64</v>
      </c>
      <c r="G201" s="122"/>
      <c r="H201" s="34"/>
      <c r="I201" s="34"/>
      <c r="J201" s="6"/>
      <c r="K201" s="211"/>
      <c r="L201" s="211"/>
      <c r="M201" s="211"/>
      <c r="N201" s="211"/>
      <c r="O201" s="34"/>
      <c r="P201" s="34">
        <f>June!BC342</f>
        <v>254</v>
      </c>
      <c r="Q201" s="34">
        <f>June!BA342</f>
        <v>1</v>
      </c>
      <c r="R201" s="436"/>
      <c r="S201" s="436"/>
      <c r="T201" s="211"/>
      <c r="U201" s="211"/>
      <c r="V201" s="211"/>
      <c r="W201" s="260"/>
      <c r="X201" s="67"/>
    </row>
    <row r="202" spans="1:25" ht="15" customHeight="1">
      <c r="A202" s="427"/>
      <c r="B202" s="122" t="s">
        <v>103</v>
      </c>
      <c r="C202" s="157" t="s">
        <v>197</v>
      </c>
      <c r="D202" s="48" t="s">
        <v>104</v>
      </c>
      <c r="E202" s="441"/>
      <c r="F202" s="118" t="s">
        <v>105</v>
      </c>
      <c r="G202" s="119"/>
      <c r="H202" s="126"/>
      <c r="I202" s="126"/>
      <c r="J202" s="2"/>
      <c r="K202" s="18"/>
      <c r="L202" s="18"/>
      <c r="M202" s="18"/>
      <c r="N202" s="18"/>
      <c r="O202" s="126"/>
      <c r="P202" s="126"/>
      <c r="Q202" s="126">
        <f>June!BA339</f>
        <v>1</v>
      </c>
      <c r="R202" s="436"/>
      <c r="S202" s="436"/>
      <c r="T202" s="18"/>
      <c r="U202" s="18"/>
      <c r="V202" s="18"/>
      <c r="W202" s="45"/>
      <c r="X202" s="67"/>
    </row>
    <row r="203" spans="1:25" ht="15" customHeight="1">
      <c r="A203" s="427"/>
      <c r="B203" s="137" t="s">
        <v>112</v>
      </c>
      <c r="C203" s="157" t="s">
        <v>197</v>
      </c>
      <c r="D203" s="48" t="s">
        <v>104</v>
      </c>
      <c r="E203" s="441"/>
      <c r="F203" s="118" t="s">
        <v>113</v>
      </c>
      <c r="G203" s="119"/>
      <c r="H203" s="126"/>
      <c r="I203" s="126"/>
      <c r="J203" s="2"/>
      <c r="K203" s="18"/>
      <c r="L203" s="18"/>
      <c r="M203" s="18"/>
      <c r="N203" s="18"/>
      <c r="O203" s="126"/>
      <c r="P203" s="126"/>
      <c r="Q203" s="126">
        <f>June!BA341</f>
        <v>1</v>
      </c>
      <c r="R203" s="436"/>
      <c r="S203" s="436"/>
      <c r="T203" s="18"/>
      <c r="U203" s="18"/>
      <c r="V203" s="18"/>
      <c r="W203" s="45"/>
      <c r="X203" s="67"/>
    </row>
    <row r="204" spans="1:25" ht="15" customHeight="1" thickBot="1">
      <c r="A204" s="428"/>
      <c r="B204" s="44" t="s">
        <v>107</v>
      </c>
      <c r="C204" s="181" t="s">
        <v>386</v>
      </c>
      <c r="D204" s="61" t="s">
        <v>108</v>
      </c>
      <c r="E204" s="447"/>
      <c r="F204" s="133" t="s">
        <v>48</v>
      </c>
      <c r="G204" s="132"/>
      <c r="H204" s="109"/>
      <c r="I204" s="134"/>
      <c r="J204" s="129"/>
      <c r="K204" s="130"/>
      <c r="L204" s="130"/>
      <c r="M204" s="130">
        <v>13000</v>
      </c>
      <c r="N204" s="130">
        <v>2</v>
      </c>
      <c r="O204" s="134"/>
      <c r="P204" s="134">
        <f>June!BC340</f>
        <v>849</v>
      </c>
      <c r="Q204" s="134">
        <f>June!BA340</f>
        <v>2</v>
      </c>
      <c r="R204" s="437"/>
      <c r="S204" s="437"/>
      <c r="T204" s="130"/>
      <c r="U204" s="130"/>
      <c r="V204" s="128">
        <f>O204-T204-U204+V175</f>
        <v>7156</v>
      </c>
      <c r="W204" s="85"/>
      <c r="X204" s="67"/>
    </row>
    <row r="205" spans="1:25" ht="15" customHeight="1">
      <c r="A205" s="426">
        <v>46182</v>
      </c>
      <c r="B205" s="429" t="s">
        <v>44</v>
      </c>
      <c r="C205" s="432" t="s">
        <v>240</v>
      </c>
      <c r="D205" s="19" t="s">
        <v>37</v>
      </c>
      <c r="E205" s="19" t="s">
        <v>25</v>
      </c>
      <c r="F205" s="39" t="s">
        <v>40</v>
      </c>
      <c r="G205" s="41">
        <v>4948.29</v>
      </c>
      <c r="H205" s="32"/>
      <c r="I205" s="32"/>
      <c r="J205" s="32"/>
      <c r="K205" s="20">
        <v>72000</v>
      </c>
      <c r="L205" s="20">
        <v>9</v>
      </c>
      <c r="M205" s="20">
        <v>64000</v>
      </c>
      <c r="N205" s="84">
        <v>8</v>
      </c>
      <c r="O205" s="32">
        <f>June!BE313</f>
        <v>35776</v>
      </c>
      <c r="P205" s="32">
        <f>June!BF313</f>
        <v>45337</v>
      </c>
      <c r="Q205" s="32">
        <f>June!BD313</f>
        <v>123</v>
      </c>
      <c r="R205" s="435">
        <f>June!BE346</f>
        <v>88815</v>
      </c>
      <c r="S205" s="435">
        <f>June!BF346</f>
        <v>92215</v>
      </c>
      <c r="T205" s="20">
        <v>42476</v>
      </c>
      <c r="U205" s="20">
        <v>67</v>
      </c>
      <c r="V205" s="20">
        <f>O205-T205-U205+V176</f>
        <v>163278</v>
      </c>
      <c r="W205" s="77"/>
      <c r="X205" s="36"/>
    </row>
    <row r="206" spans="1:25" ht="15" customHeight="1">
      <c r="A206" s="427"/>
      <c r="B206" s="431"/>
      <c r="C206" s="434"/>
      <c r="D206" s="113" t="s">
        <v>307</v>
      </c>
      <c r="E206" s="113" t="s">
        <v>24</v>
      </c>
      <c r="F206" s="118" t="s">
        <v>40</v>
      </c>
      <c r="G206" s="170"/>
      <c r="H206" s="158">
        <v>3645</v>
      </c>
      <c r="I206" s="125"/>
      <c r="J206" s="125"/>
      <c r="K206" s="127"/>
      <c r="L206" s="127"/>
      <c r="M206" s="216">
        <v>168000</v>
      </c>
      <c r="N206" s="238">
        <v>21</v>
      </c>
      <c r="O206" s="126">
        <f>June!BE314</f>
        <v>26001</v>
      </c>
      <c r="P206" s="125">
        <f>June!BF314</f>
        <v>22170</v>
      </c>
      <c r="Q206" s="125">
        <f>June!BD314</f>
        <v>60</v>
      </c>
      <c r="R206" s="436"/>
      <c r="S206" s="436"/>
      <c r="T206" s="127">
        <v>17032</v>
      </c>
      <c r="U206" s="127"/>
      <c r="V206" s="127">
        <f>O206-T206-U206+V177</f>
        <v>154341</v>
      </c>
      <c r="W206" s="46"/>
      <c r="X206" s="67"/>
    </row>
    <row r="207" spans="1:25" ht="15" customHeight="1">
      <c r="A207" s="427"/>
      <c r="B207" s="442" t="s">
        <v>45</v>
      </c>
      <c r="C207" s="448" t="s">
        <v>59</v>
      </c>
      <c r="D207" s="118" t="s">
        <v>75</v>
      </c>
      <c r="E207" s="438" t="s">
        <v>25</v>
      </c>
      <c r="F207" s="131" t="s">
        <v>57</v>
      </c>
      <c r="G207" s="87"/>
      <c r="H207" s="152"/>
      <c r="I207" s="126"/>
      <c r="J207" s="2"/>
      <c r="K207" s="127">
        <v>9680</v>
      </c>
      <c r="L207" s="18">
        <v>2</v>
      </c>
      <c r="M207" s="18">
        <v>39540</v>
      </c>
      <c r="N207" s="80">
        <v>8</v>
      </c>
      <c r="O207" s="126">
        <f>June!BE317</f>
        <v>2256</v>
      </c>
      <c r="P207" s="126">
        <f>June!BF317</f>
        <v>2835</v>
      </c>
      <c r="Q207" s="2">
        <f>June!BD317</f>
        <v>11</v>
      </c>
      <c r="R207" s="436"/>
      <c r="S207" s="436"/>
      <c r="T207" s="18"/>
      <c r="U207" s="18"/>
      <c r="V207" s="127">
        <f>O207-T207-U207+V178</f>
        <v>10031</v>
      </c>
      <c r="W207" s="46"/>
      <c r="Y207" s="13"/>
    </row>
    <row r="208" spans="1:25" ht="15" customHeight="1">
      <c r="A208" s="427"/>
      <c r="B208" s="439"/>
      <c r="C208" s="440"/>
      <c r="D208" s="118" t="s">
        <v>291</v>
      </c>
      <c r="E208" s="430"/>
      <c r="F208" s="131" t="s">
        <v>57</v>
      </c>
      <c r="G208" s="87"/>
      <c r="H208" s="152"/>
      <c r="I208" s="126"/>
      <c r="J208" s="2"/>
      <c r="K208" s="127"/>
      <c r="L208" s="18"/>
      <c r="M208" s="18"/>
      <c r="N208" s="80"/>
      <c r="O208" s="126"/>
      <c r="P208" s="126"/>
      <c r="Q208" s="2"/>
      <c r="R208" s="436"/>
      <c r="S208" s="436"/>
      <c r="T208" s="18">
        <v>4830</v>
      </c>
      <c r="U208" s="18"/>
      <c r="V208" s="127">
        <f>O208-T208-U208+V179</f>
        <v>0</v>
      </c>
      <c r="W208" s="46"/>
      <c r="Y208" s="13"/>
    </row>
    <row r="209" spans="1:25" ht="15" customHeight="1">
      <c r="A209" s="427"/>
      <c r="B209" s="439"/>
      <c r="C209" s="440"/>
      <c r="D209" s="118" t="s">
        <v>94</v>
      </c>
      <c r="E209" s="431"/>
      <c r="F209" s="131"/>
      <c r="G209" s="87"/>
      <c r="H209" s="152">
        <f>648+486+648</f>
        <v>1782</v>
      </c>
      <c r="I209" s="126"/>
      <c r="J209" s="2"/>
      <c r="K209" s="127"/>
      <c r="L209" s="18"/>
      <c r="M209" s="18"/>
      <c r="N209" s="80"/>
      <c r="O209" s="126"/>
      <c r="P209" s="126"/>
      <c r="Q209" s="2"/>
      <c r="R209" s="436"/>
      <c r="S209" s="436"/>
      <c r="T209" s="18"/>
      <c r="U209" s="18"/>
      <c r="V209" s="127"/>
      <c r="W209" s="46"/>
      <c r="Y209" s="13"/>
    </row>
    <row r="210" spans="1:25">
      <c r="A210" s="427"/>
      <c r="B210" s="439"/>
      <c r="C210" s="440"/>
      <c r="D210" s="118" t="s">
        <v>72</v>
      </c>
      <c r="E210" s="155" t="s">
        <v>24</v>
      </c>
      <c r="F210" s="131" t="s">
        <v>57</v>
      </c>
      <c r="G210" s="224"/>
      <c r="H210" s="152"/>
      <c r="I210" s="126"/>
      <c r="J210" s="126"/>
      <c r="K210" s="127"/>
      <c r="L210" s="18"/>
      <c r="M210" s="18">
        <v>35000</v>
      </c>
      <c r="N210" s="80">
        <v>7</v>
      </c>
      <c r="O210" s="126">
        <f>June!BE319</f>
        <v>1648</v>
      </c>
      <c r="P210" s="126">
        <f>June!BF319</f>
        <v>2011</v>
      </c>
      <c r="Q210" s="126">
        <f>June!BD319</f>
        <v>8</v>
      </c>
      <c r="R210" s="436"/>
      <c r="S210" s="436"/>
      <c r="T210" s="18"/>
      <c r="U210" s="18"/>
      <c r="V210" s="127">
        <f t="shared" ref="V210:V228" si="10">O210-T210-U210+V180</f>
        <v>14833</v>
      </c>
      <c r="W210" s="46"/>
      <c r="Y210" s="13"/>
    </row>
    <row r="211" spans="1:25" ht="14.25" customHeight="1">
      <c r="A211" s="427"/>
      <c r="B211" s="439"/>
      <c r="C211" s="440"/>
      <c r="D211" s="115" t="s">
        <v>79</v>
      </c>
      <c r="E211" s="155" t="s">
        <v>65</v>
      </c>
      <c r="F211" s="131" t="s">
        <v>57</v>
      </c>
      <c r="G211" s="224"/>
      <c r="H211" s="126"/>
      <c r="I211" s="126"/>
      <c r="J211" s="126"/>
      <c r="K211" s="18"/>
      <c r="L211" s="18"/>
      <c r="M211" s="18"/>
      <c r="N211" s="80"/>
      <c r="O211" s="126"/>
      <c r="P211" s="126"/>
      <c r="Q211" s="126"/>
      <c r="R211" s="436"/>
      <c r="S211" s="436"/>
      <c r="T211" s="18"/>
      <c r="U211" s="18"/>
      <c r="V211" s="127">
        <f t="shared" si="10"/>
        <v>10211</v>
      </c>
      <c r="W211" s="45"/>
      <c r="X211" s="36"/>
    </row>
    <row r="212" spans="1:25" ht="14.25" customHeight="1">
      <c r="A212" s="427"/>
      <c r="B212" s="439"/>
      <c r="C212" s="448" t="s">
        <v>299</v>
      </c>
      <c r="D212" s="115" t="s">
        <v>296</v>
      </c>
      <c r="E212" s="424" t="s">
        <v>25</v>
      </c>
      <c r="F212" s="131" t="s">
        <v>298</v>
      </c>
      <c r="G212" s="224"/>
      <c r="H212" s="37"/>
      <c r="I212" s="126"/>
      <c r="J212" s="126"/>
      <c r="K212" s="18"/>
      <c r="L212" s="18"/>
      <c r="M212" s="18"/>
      <c r="N212" s="80"/>
      <c r="O212" s="126"/>
      <c r="P212" s="126"/>
      <c r="Q212" s="126"/>
      <c r="R212" s="436"/>
      <c r="S212" s="436"/>
      <c r="T212" s="18"/>
      <c r="U212" s="18"/>
      <c r="V212" s="127">
        <f t="shared" si="10"/>
        <v>4427</v>
      </c>
      <c r="W212" s="45"/>
      <c r="X212" s="67"/>
    </row>
    <row r="213" spans="1:25" ht="14.25" customHeight="1">
      <c r="A213" s="427"/>
      <c r="B213" s="443"/>
      <c r="C213" s="449"/>
      <c r="D213" s="115" t="s">
        <v>75</v>
      </c>
      <c r="E213" s="425"/>
      <c r="F213" s="131" t="s">
        <v>298</v>
      </c>
      <c r="G213" s="224"/>
      <c r="H213" s="37"/>
      <c r="I213" s="126"/>
      <c r="J213" s="126"/>
      <c r="K213" s="18"/>
      <c r="L213" s="18"/>
      <c r="M213" s="18">
        <v>10000</v>
      </c>
      <c r="N213" s="80">
        <v>2</v>
      </c>
      <c r="O213" s="126">
        <f>June!BE323</f>
        <v>2004</v>
      </c>
      <c r="P213" s="126">
        <f>June!BF323</f>
        <v>1094</v>
      </c>
      <c r="Q213" s="126">
        <f>June!BD323</f>
        <v>4</v>
      </c>
      <c r="R213" s="436"/>
      <c r="S213" s="436"/>
      <c r="T213" s="18"/>
      <c r="U213" s="18"/>
      <c r="V213" s="127">
        <f t="shared" si="10"/>
        <v>10307</v>
      </c>
      <c r="W213" s="45"/>
      <c r="X213" s="67"/>
    </row>
    <row r="214" spans="1:25" ht="14.25" customHeight="1">
      <c r="A214" s="427"/>
      <c r="B214" s="439" t="s">
        <v>53</v>
      </c>
      <c r="C214" s="445" t="s">
        <v>60</v>
      </c>
      <c r="D214" s="43" t="s">
        <v>320</v>
      </c>
      <c r="E214" s="441" t="s">
        <v>66</v>
      </c>
      <c r="F214" s="118" t="s">
        <v>54</v>
      </c>
      <c r="G214" s="224"/>
      <c r="H214" s="37"/>
      <c r="I214" s="126"/>
      <c r="J214" s="126"/>
      <c r="K214" s="18"/>
      <c r="L214" s="18"/>
      <c r="M214" s="18"/>
      <c r="N214" s="80"/>
      <c r="O214" s="126">
        <f>June!BE315</f>
        <v>3189</v>
      </c>
      <c r="P214" s="126">
        <f>June!BF315</f>
        <v>2722</v>
      </c>
      <c r="Q214" s="126">
        <f>June!BD315</f>
        <v>8</v>
      </c>
      <c r="R214" s="436"/>
      <c r="S214" s="436"/>
      <c r="T214" s="18">
        <v>6488</v>
      </c>
      <c r="U214" s="18"/>
      <c r="V214" s="127">
        <f t="shared" si="10"/>
        <v>27393</v>
      </c>
      <c r="W214" s="45"/>
      <c r="X214" s="67"/>
    </row>
    <row r="215" spans="1:25" ht="14.25" customHeight="1">
      <c r="A215" s="427"/>
      <c r="B215" s="439"/>
      <c r="C215" s="445"/>
      <c r="D215" s="43" t="s">
        <v>387</v>
      </c>
      <c r="E215" s="425"/>
      <c r="F215" s="118" t="s">
        <v>54</v>
      </c>
      <c r="G215" s="229"/>
      <c r="H215" s="182"/>
      <c r="I215" s="125"/>
      <c r="J215" s="125"/>
      <c r="K215" s="127"/>
      <c r="L215" s="127"/>
      <c r="M215" s="127">
        <v>64800</v>
      </c>
      <c r="N215" s="171">
        <v>11</v>
      </c>
      <c r="O215" s="125">
        <f>June!BE316</f>
        <v>666</v>
      </c>
      <c r="P215" s="125">
        <f>June!BF316</f>
        <v>12</v>
      </c>
      <c r="Q215" s="125"/>
      <c r="R215" s="436"/>
      <c r="S215" s="436"/>
      <c r="T215" s="18"/>
      <c r="U215" s="18"/>
      <c r="V215" s="127">
        <f t="shared" si="10"/>
        <v>666</v>
      </c>
      <c r="W215" s="45"/>
      <c r="X215" s="67"/>
    </row>
    <row r="216" spans="1:25" ht="14.25" customHeight="1">
      <c r="A216" s="427"/>
      <c r="B216" s="443"/>
      <c r="C216" s="446"/>
      <c r="D216" s="43" t="s">
        <v>199</v>
      </c>
      <c r="E216" s="114" t="s">
        <v>25</v>
      </c>
      <c r="F216" s="118" t="s">
        <v>54</v>
      </c>
      <c r="G216" s="224"/>
      <c r="H216" s="135"/>
      <c r="I216" s="158"/>
      <c r="J216" s="158"/>
      <c r="K216" s="128"/>
      <c r="L216" s="128"/>
      <c r="M216" s="128"/>
      <c r="N216" s="164"/>
      <c r="O216" s="158"/>
      <c r="P216" s="158"/>
      <c r="Q216" s="158"/>
      <c r="R216" s="436"/>
      <c r="S216" s="436"/>
      <c r="T216" s="18"/>
      <c r="U216" s="18"/>
      <c r="V216" s="127">
        <f t="shared" si="10"/>
        <v>68</v>
      </c>
      <c r="W216" s="45"/>
      <c r="X216" s="67"/>
    </row>
    <row r="217" spans="1:25" ht="15.75" customHeight="1">
      <c r="A217" s="427"/>
      <c r="B217" s="122" t="s">
        <v>55</v>
      </c>
      <c r="C217" s="180" t="s">
        <v>133</v>
      </c>
      <c r="D217" s="48" t="s">
        <v>56</v>
      </c>
      <c r="E217" s="424" t="s">
        <v>25</v>
      </c>
      <c r="F217" s="118" t="s">
        <v>67</v>
      </c>
      <c r="G217" s="226"/>
      <c r="H217" s="126"/>
      <c r="I217" s="126"/>
      <c r="J217" s="2"/>
      <c r="K217" s="18"/>
      <c r="L217" s="18"/>
      <c r="M217" s="18"/>
      <c r="N217" s="18"/>
      <c r="O217" s="126"/>
      <c r="P217" s="126">
        <f>June!BF343</f>
        <v>511</v>
      </c>
      <c r="Q217" s="126">
        <f>June!BD343</f>
        <v>1</v>
      </c>
      <c r="R217" s="436"/>
      <c r="S217" s="436"/>
      <c r="T217" s="18"/>
      <c r="U217" s="18"/>
      <c r="V217" s="127">
        <f t="shared" si="10"/>
        <v>5912</v>
      </c>
      <c r="W217" s="45"/>
      <c r="X217" s="67"/>
    </row>
    <row r="218" spans="1:25" ht="15" customHeight="1">
      <c r="A218" s="427"/>
      <c r="B218" s="122" t="s">
        <v>122</v>
      </c>
      <c r="C218" s="180" t="s">
        <v>123</v>
      </c>
      <c r="D218" s="48" t="s">
        <v>56</v>
      </c>
      <c r="E218" s="441"/>
      <c r="F218" s="155" t="s">
        <v>64</v>
      </c>
      <c r="G218" s="119"/>
      <c r="H218" s="126"/>
      <c r="I218" s="126"/>
      <c r="J218" s="2"/>
      <c r="K218" s="18"/>
      <c r="L218" s="18"/>
      <c r="M218" s="18">
        <v>6400</v>
      </c>
      <c r="N218" s="18">
        <v>2</v>
      </c>
      <c r="O218" s="126"/>
      <c r="P218" s="126"/>
      <c r="Q218" s="126"/>
      <c r="R218" s="436"/>
      <c r="S218" s="436"/>
      <c r="T218" s="18"/>
      <c r="U218" s="18"/>
      <c r="V218" s="127">
        <f t="shared" si="10"/>
        <v>18121</v>
      </c>
      <c r="W218" s="45"/>
      <c r="X218" s="67"/>
    </row>
    <row r="219" spans="1:25" ht="14.25" customHeight="1">
      <c r="A219" s="427"/>
      <c r="B219" s="137" t="s">
        <v>58</v>
      </c>
      <c r="C219" s="157" t="s">
        <v>243</v>
      </c>
      <c r="D219" s="48" t="s">
        <v>56</v>
      </c>
      <c r="E219" s="441"/>
      <c r="F219" s="118" t="s">
        <v>64</v>
      </c>
      <c r="G219" s="225"/>
      <c r="H219" s="126"/>
      <c r="I219" s="126"/>
      <c r="J219" s="126"/>
      <c r="K219" s="18"/>
      <c r="L219" s="18"/>
      <c r="M219" s="18"/>
      <c r="N219" s="80"/>
      <c r="O219" s="126"/>
      <c r="P219" s="126"/>
      <c r="Q219" s="126"/>
      <c r="R219" s="436"/>
      <c r="S219" s="436"/>
      <c r="T219" s="18"/>
      <c r="U219" s="18"/>
      <c r="V219" s="127">
        <f t="shared" si="10"/>
        <v>8144</v>
      </c>
      <c r="W219" s="45"/>
      <c r="X219" s="67"/>
    </row>
    <row r="220" spans="1:25" ht="14.25" customHeight="1">
      <c r="A220" s="427"/>
      <c r="B220" s="122" t="s">
        <v>61</v>
      </c>
      <c r="C220" s="180" t="s">
        <v>137</v>
      </c>
      <c r="D220" s="48" t="s">
        <v>56</v>
      </c>
      <c r="E220" s="441"/>
      <c r="F220" s="118" t="s">
        <v>67</v>
      </c>
      <c r="G220" s="225"/>
      <c r="H220" s="126"/>
      <c r="I220" s="126"/>
      <c r="J220" s="126"/>
      <c r="K220" s="18"/>
      <c r="L220" s="18"/>
      <c r="M220" s="18"/>
      <c r="N220" s="80"/>
      <c r="O220" s="126"/>
      <c r="P220" s="126"/>
      <c r="Q220" s="126"/>
      <c r="R220" s="436"/>
      <c r="S220" s="436"/>
      <c r="T220" s="18"/>
      <c r="U220" s="18"/>
      <c r="V220" s="127">
        <f t="shared" si="10"/>
        <v>5844</v>
      </c>
      <c r="W220" s="45"/>
      <c r="X220" s="67"/>
    </row>
    <row r="221" spans="1:25" ht="14.25" customHeight="1">
      <c r="A221" s="427"/>
      <c r="B221" s="122" t="s">
        <v>125</v>
      </c>
      <c r="C221" s="180" t="s">
        <v>88</v>
      </c>
      <c r="D221" s="48" t="s">
        <v>124</v>
      </c>
      <c r="E221" s="441"/>
      <c r="F221" s="118" t="s">
        <v>64</v>
      </c>
      <c r="G221" s="225"/>
      <c r="H221" s="126"/>
      <c r="I221" s="126"/>
      <c r="J221" s="126"/>
      <c r="K221" s="18"/>
      <c r="L221" s="18"/>
      <c r="M221" s="18">
        <v>51200</v>
      </c>
      <c r="N221" s="80">
        <v>7</v>
      </c>
      <c r="O221" s="126"/>
      <c r="P221" s="126"/>
      <c r="Q221" s="126"/>
      <c r="R221" s="436"/>
      <c r="S221" s="436"/>
      <c r="T221" s="18"/>
      <c r="U221" s="18"/>
      <c r="V221" s="127">
        <f t="shared" si="10"/>
        <v>23615</v>
      </c>
      <c r="W221" s="45"/>
      <c r="X221" s="67"/>
    </row>
    <row r="222" spans="1:25" ht="14.25" customHeight="1">
      <c r="A222" s="427"/>
      <c r="B222" s="137" t="s">
        <v>47</v>
      </c>
      <c r="C222" s="157" t="s">
        <v>100</v>
      </c>
      <c r="D222" s="48" t="s">
        <v>99</v>
      </c>
      <c r="E222" s="441"/>
      <c r="F222" s="118" t="s">
        <v>71</v>
      </c>
      <c r="G222" s="225"/>
      <c r="H222" s="126"/>
      <c r="I222" s="126"/>
      <c r="J222" s="126"/>
      <c r="K222" s="18"/>
      <c r="L222" s="18"/>
      <c r="M222" s="18"/>
      <c r="N222" s="80"/>
      <c r="O222" s="126">
        <f>June!BE324</f>
        <v>1450</v>
      </c>
      <c r="P222" s="126">
        <f>June!BF324</f>
        <v>490</v>
      </c>
      <c r="Q222" s="126">
        <f>June!BD324</f>
        <v>2</v>
      </c>
      <c r="R222" s="436"/>
      <c r="S222" s="436"/>
      <c r="T222" s="18"/>
      <c r="U222" s="18"/>
      <c r="V222" s="127">
        <f t="shared" si="10"/>
        <v>54286</v>
      </c>
      <c r="W222" s="45"/>
      <c r="X222" s="67"/>
    </row>
    <row r="223" spans="1:25" ht="15" customHeight="1">
      <c r="A223" s="427"/>
      <c r="B223" s="122" t="s">
        <v>196</v>
      </c>
      <c r="C223" s="180" t="s">
        <v>63</v>
      </c>
      <c r="D223" s="48" t="s">
        <v>135</v>
      </c>
      <c r="E223" s="441"/>
      <c r="F223" s="118" t="s">
        <v>64</v>
      </c>
      <c r="G223" s="226"/>
      <c r="H223" s="126"/>
      <c r="I223" s="126"/>
      <c r="J223" s="2"/>
      <c r="K223" s="18"/>
      <c r="L223" s="18"/>
      <c r="M223" s="18"/>
      <c r="N223" s="18"/>
      <c r="O223" s="126">
        <f>June!BE338</f>
        <v>5013</v>
      </c>
      <c r="P223" s="126">
        <f>June!BF338</f>
        <v>1476</v>
      </c>
      <c r="Q223" s="126">
        <f>June!BD338</f>
        <v>5</v>
      </c>
      <c r="R223" s="436"/>
      <c r="S223" s="436"/>
      <c r="T223" s="18"/>
      <c r="U223" s="18"/>
      <c r="V223" s="127">
        <f t="shared" si="10"/>
        <v>41412</v>
      </c>
      <c r="W223" s="45"/>
      <c r="X223" s="67"/>
    </row>
    <row r="224" spans="1:25" ht="15" customHeight="1">
      <c r="A224" s="427"/>
      <c r="B224" s="122" t="s">
        <v>363</v>
      </c>
      <c r="C224" s="180" t="s">
        <v>325</v>
      </c>
      <c r="D224" s="48" t="s">
        <v>328</v>
      </c>
      <c r="E224" s="441"/>
      <c r="F224" s="118" t="s">
        <v>48</v>
      </c>
      <c r="G224" s="226"/>
      <c r="H224" s="126"/>
      <c r="I224" s="126"/>
      <c r="J224" s="2"/>
      <c r="K224" s="18"/>
      <c r="L224" s="18"/>
      <c r="M224" s="18"/>
      <c r="N224" s="18"/>
      <c r="O224" s="126">
        <f>June!BE335</f>
        <v>1000</v>
      </c>
      <c r="P224" s="126">
        <f>June!BF335</f>
        <v>606</v>
      </c>
      <c r="Q224" s="126">
        <f>June!BD335</f>
        <v>2</v>
      </c>
      <c r="R224" s="436"/>
      <c r="S224" s="436"/>
      <c r="T224" s="18"/>
      <c r="U224" s="18"/>
      <c r="V224" s="127">
        <f t="shared" si="10"/>
        <v>13153</v>
      </c>
      <c r="W224" s="45"/>
      <c r="X224" s="67"/>
    </row>
    <row r="225" spans="1:25" ht="15" customHeight="1">
      <c r="A225" s="427"/>
      <c r="B225" s="122" t="s">
        <v>253</v>
      </c>
      <c r="C225" s="180" t="s">
        <v>365</v>
      </c>
      <c r="D225" s="48" t="s">
        <v>246</v>
      </c>
      <c r="E225" s="441"/>
      <c r="F225" s="118" t="s">
        <v>247</v>
      </c>
      <c r="G225" s="226"/>
      <c r="H225" s="126"/>
      <c r="I225" s="126"/>
      <c r="J225" s="2"/>
      <c r="K225" s="18"/>
      <c r="L225" s="18"/>
      <c r="M225" s="18"/>
      <c r="N225" s="18"/>
      <c r="O225" s="126"/>
      <c r="P225" s="126">
        <f>June!BF327</f>
        <v>464</v>
      </c>
      <c r="Q225" s="126">
        <f>June!BD327</f>
        <v>4</v>
      </c>
      <c r="R225" s="436"/>
      <c r="S225" s="436"/>
      <c r="T225" s="18"/>
      <c r="U225" s="18"/>
      <c r="V225" s="127">
        <f t="shared" si="10"/>
        <v>12967</v>
      </c>
      <c r="W225" s="45"/>
      <c r="X225" s="67"/>
    </row>
    <row r="226" spans="1:25" ht="15" customHeight="1">
      <c r="A226" s="427"/>
      <c r="B226" s="122" t="s">
        <v>101</v>
      </c>
      <c r="C226" s="180" t="s">
        <v>327</v>
      </c>
      <c r="D226" s="48" t="s">
        <v>102</v>
      </c>
      <c r="E226" s="441"/>
      <c r="F226" s="118" t="s">
        <v>64</v>
      </c>
      <c r="G226" s="119"/>
      <c r="H226" s="126"/>
      <c r="I226" s="126"/>
      <c r="J226" s="2"/>
      <c r="K226" s="18"/>
      <c r="L226" s="18"/>
      <c r="M226" s="18"/>
      <c r="N226" s="18"/>
      <c r="O226" s="126">
        <f>June!BE333</f>
        <v>2741</v>
      </c>
      <c r="P226" s="126">
        <f>June!BF333</f>
        <v>2720</v>
      </c>
      <c r="Q226" s="126">
        <f>June!BD333</f>
        <v>7</v>
      </c>
      <c r="R226" s="436"/>
      <c r="S226" s="436"/>
      <c r="T226" s="18"/>
      <c r="U226" s="18"/>
      <c r="V226" s="18">
        <f t="shared" si="10"/>
        <v>12787</v>
      </c>
      <c r="W226" s="45"/>
      <c r="X226" s="67"/>
    </row>
    <row r="227" spans="1:25" s="4" customFormat="1" ht="15" customHeight="1">
      <c r="A227" s="427"/>
      <c r="B227" s="122" t="s">
        <v>375</v>
      </c>
      <c r="C227" s="157" t="s">
        <v>376</v>
      </c>
      <c r="D227" s="48" t="s">
        <v>248</v>
      </c>
      <c r="E227" s="441"/>
      <c r="F227" s="48" t="s">
        <v>64</v>
      </c>
      <c r="G227" s="122"/>
      <c r="H227" s="34"/>
      <c r="I227" s="34"/>
      <c r="J227" s="6"/>
      <c r="K227" s="211"/>
      <c r="L227" s="211"/>
      <c r="M227" s="211"/>
      <c r="N227" s="211"/>
      <c r="O227" s="34"/>
      <c r="P227" s="34"/>
      <c r="Q227" s="34"/>
      <c r="R227" s="436"/>
      <c r="S227" s="436"/>
      <c r="T227" s="211"/>
      <c r="U227" s="211"/>
      <c r="V227" s="211">
        <f t="shared" si="10"/>
        <v>75911</v>
      </c>
      <c r="W227" s="260"/>
      <c r="X227" s="67"/>
    </row>
    <row r="228" spans="1:25" s="4" customFormat="1" ht="15" customHeight="1">
      <c r="A228" s="427"/>
      <c r="B228" s="122" t="s">
        <v>421</v>
      </c>
      <c r="C228" s="157" t="s">
        <v>420</v>
      </c>
      <c r="D228" s="48" t="s">
        <v>248</v>
      </c>
      <c r="E228" s="441"/>
      <c r="F228" s="48" t="s">
        <v>64</v>
      </c>
      <c r="G228" s="293">
        <v>1152.9000000000001</v>
      </c>
      <c r="H228" s="34">
        <v>1440</v>
      </c>
      <c r="I228" s="34"/>
      <c r="J228" s="6"/>
      <c r="K228" s="211">
        <v>8200</v>
      </c>
      <c r="L228" s="211">
        <v>2</v>
      </c>
      <c r="M228" s="211">
        <v>4100</v>
      </c>
      <c r="N228" s="211">
        <v>1</v>
      </c>
      <c r="O228" s="34">
        <f>June!BE337</f>
        <v>5471</v>
      </c>
      <c r="P228" s="34">
        <f>June!BF337</f>
        <v>8403</v>
      </c>
      <c r="Q228" s="34">
        <f>June!BD337</f>
        <v>17</v>
      </c>
      <c r="R228" s="436"/>
      <c r="S228" s="436"/>
      <c r="T228" s="211"/>
      <c r="U228" s="211"/>
      <c r="V228" s="211">
        <f t="shared" si="10"/>
        <v>25374</v>
      </c>
      <c r="W228" s="260"/>
      <c r="X228" s="67"/>
    </row>
    <row r="229" spans="1:25" s="4" customFormat="1" ht="15" customHeight="1">
      <c r="A229" s="427"/>
      <c r="B229" s="122" t="s">
        <v>289</v>
      </c>
      <c r="C229" s="180" t="s">
        <v>290</v>
      </c>
      <c r="D229" s="48" t="s">
        <v>432</v>
      </c>
      <c r="E229" s="441"/>
      <c r="F229" s="48" t="s">
        <v>381</v>
      </c>
      <c r="G229" s="122"/>
      <c r="H229" s="34"/>
      <c r="I229" s="34"/>
      <c r="J229" s="6"/>
      <c r="K229" s="211"/>
      <c r="L229" s="211"/>
      <c r="M229" s="211"/>
      <c r="N229" s="211"/>
      <c r="O229" s="34"/>
      <c r="P229" s="34">
        <f>June!BF329</f>
        <v>276</v>
      </c>
      <c r="Q229" s="34">
        <f>June!BD329</f>
        <v>1</v>
      </c>
      <c r="R229" s="436"/>
      <c r="S229" s="436"/>
      <c r="T229" s="211"/>
      <c r="U229" s="211"/>
      <c r="V229" s="211"/>
      <c r="W229" s="260"/>
      <c r="X229" s="67"/>
    </row>
    <row r="230" spans="1:25" s="4" customFormat="1" ht="15" customHeight="1">
      <c r="A230" s="427"/>
      <c r="B230" s="122" t="s">
        <v>425</v>
      </c>
      <c r="C230" s="157" t="s">
        <v>426</v>
      </c>
      <c r="D230" s="48" t="s">
        <v>246</v>
      </c>
      <c r="E230" s="441"/>
      <c r="F230" s="48" t="s">
        <v>64</v>
      </c>
      <c r="G230" s="122"/>
      <c r="H230" s="34"/>
      <c r="I230" s="34"/>
      <c r="J230" s="6"/>
      <c r="K230" s="211"/>
      <c r="L230" s="211"/>
      <c r="M230" s="211"/>
      <c r="N230" s="211"/>
      <c r="O230" s="34"/>
      <c r="P230" s="34">
        <f>June!BF342</f>
        <v>248</v>
      </c>
      <c r="Q230" s="34">
        <f>June!BD342</f>
        <v>1</v>
      </c>
      <c r="R230" s="436"/>
      <c r="S230" s="436"/>
      <c r="T230" s="211"/>
      <c r="U230" s="211"/>
      <c r="V230" s="211"/>
      <c r="W230" s="260"/>
      <c r="X230" s="67"/>
    </row>
    <row r="231" spans="1:25" ht="15" customHeight="1">
      <c r="A231" s="427"/>
      <c r="B231" s="122" t="s">
        <v>103</v>
      </c>
      <c r="C231" s="157" t="s">
        <v>197</v>
      </c>
      <c r="D231" s="48" t="s">
        <v>104</v>
      </c>
      <c r="E231" s="441"/>
      <c r="F231" s="118" t="s">
        <v>105</v>
      </c>
      <c r="G231" s="119"/>
      <c r="H231" s="126"/>
      <c r="I231" s="126"/>
      <c r="J231" s="2"/>
      <c r="K231" s="18"/>
      <c r="L231" s="18"/>
      <c r="M231" s="18"/>
      <c r="N231" s="18"/>
      <c r="O231" s="126"/>
      <c r="P231" s="126"/>
      <c r="Q231" s="126">
        <f>June!BD339</f>
        <v>1</v>
      </c>
      <c r="R231" s="436"/>
      <c r="S231" s="436"/>
      <c r="T231" s="18"/>
      <c r="U231" s="18"/>
      <c r="V231" s="18"/>
      <c r="W231" s="45"/>
      <c r="X231" s="67"/>
    </row>
    <row r="232" spans="1:25" ht="15" customHeight="1">
      <c r="A232" s="427"/>
      <c r="B232" s="137" t="s">
        <v>112</v>
      </c>
      <c r="C232" s="157" t="s">
        <v>197</v>
      </c>
      <c r="D232" s="48" t="s">
        <v>104</v>
      </c>
      <c r="E232" s="441"/>
      <c r="F232" s="118" t="s">
        <v>113</v>
      </c>
      <c r="G232" s="119"/>
      <c r="H232" s="126"/>
      <c r="I232" s="126"/>
      <c r="J232" s="2"/>
      <c r="K232" s="18"/>
      <c r="L232" s="18"/>
      <c r="M232" s="18"/>
      <c r="N232" s="18"/>
      <c r="O232" s="126"/>
      <c r="P232" s="126"/>
      <c r="Q232" s="126">
        <f>June!BD341</f>
        <v>1</v>
      </c>
      <c r="R232" s="436"/>
      <c r="S232" s="436"/>
      <c r="T232" s="18"/>
      <c r="U232" s="18"/>
      <c r="V232" s="18"/>
      <c r="W232" s="45"/>
      <c r="X232" s="67"/>
    </row>
    <row r="233" spans="1:25" ht="15" customHeight="1" thickBot="1">
      <c r="A233" s="428"/>
      <c r="B233" s="44" t="s">
        <v>107</v>
      </c>
      <c r="C233" s="181" t="s">
        <v>386</v>
      </c>
      <c r="D233" s="61" t="s">
        <v>108</v>
      </c>
      <c r="E233" s="447"/>
      <c r="F233" s="133" t="s">
        <v>48</v>
      </c>
      <c r="G233" s="132"/>
      <c r="H233" s="109"/>
      <c r="I233" s="134"/>
      <c r="J233" s="129"/>
      <c r="K233" s="130"/>
      <c r="L233" s="130"/>
      <c r="M233" s="130">
        <v>13000</v>
      </c>
      <c r="N233" s="130">
        <v>2</v>
      </c>
      <c r="O233" s="134">
        <f>June!BE340</f>
        <v>1600</v>
      </c>
      <c r="P233" s="134">
        <f>June!BF340</f>
        <v>840</v>
      </c>
      <c r="Q233" s="134">
        <f>June!BD340</f>
        <v>2</v>
      </c>
      <c r="R233" s="437"/>
      <c r="S233" s="437"/>
      <c r="T233" s="130"/>
      <c r="U233" s="130"/>
      <c r="V233" s="128">
        <f>O233-T233-U233+V204</f>
        <v>8756</v>
      </c>
      <c r="W233" s="85"/>
      <c r="X233" s="67"/>
    </row>
    <row r="234" spans="1:25" ht="15" customHeight="1">
      <c r="A234" s="426">
        <v>46183</v>
      </c>
      <c r="B234" s="429" t="s">
        <v>44</v>
      </c>
      <c r="C234" s="432" t="s">
        <v>240</v>
      </c>
      <c r="D234" s="19" t="s">
        <v>37</v>
      </c>
      <c r="E234" s="19" t="s">
        <v>25</v>
      </c>
      <c r="F234" s="39" t="s">
        <v>40</v>
      </c>
      <c r="G234" s="41">
        <v>7697.34</v>
      </c>
      <c r="H234" s="32">
        <v>5736</v>
      </c>
      <c r="I234" s="32"/>
      <c r="J234" s="32"/>
      <c r="K234" s="20">
        <v>64000</v>
      </c>
      <c r="L234" s="20">
        <v>8</v>
      </c>
      <c r="M234" s="20">
        <v>112000</v>
      </c>
      <c r="N234" s="84">
        <v>14</v>
      </c>
      <c r="O234" s="32">
        <f>June!BH313</f>
        <v>37841</v>
      </c>
      <c r="P234" s="32">
        <f>June!BI313</f>
        <v>48173</v>
      </c>
      <c r="Q234" s="32">
        <f>June!BG313</f>
        <v>130</v>
      </c>
      <c r="R234" s="435">
        <f>June!BH346</f>
        <v>80147</v>
      </c>
      <c r="S234" s="435">
        <f>June!BI346</f>
        <v>93110</v>
      </c>
      <c r="T234" s="20">
        <v>53216</v>
      </c>
      <c r="U234" s="20">
        <v>112</v>
      </c>
      <c r="V234" s="20">
        <f>O234-T234-U234+V205</f>
        <v>147791</v>
      </c>
      <c r="W234" s="77"/>
      <c r="X234" s="36"/>
    </row>
    <row r="235" spans="1:25" ht="15" customHeight="1">
      <c r="A235" s="427"/>
      <c r="B235" s="431"/>
      <c r="C235" s="434"/>
      <c r="D235" s="113" t="s">
        <v>307</v>
      </c>
      <c r="E235" s="113" t="s">
        <v>24</v>
      </c>
      <c r="F235" s="118" t="s">
        <v>40</v>
      </c>
      <c r="G235" s="170"/>
      <c r="H235" s="135"/>
      <c r="I235" s="125"/>
      <c r="J235" s="125"/>
      <c r="K235" s="127"/>
      <c r="L235" s="127"/>
      <c r="M235" s="216">
        <v>168000</v>
      </c>
      <c r="N235" s="238">
        <v>21</v>
      </c>
      <c r="O235" s="126">
        <f>June!BH314</f>
        <v>12963</v>
      </c>
      <c r="P235" s="125">
        <f>June!BI314</f>
        <v>20739</v>
      </c>
      <c r="Q235" s="125">
        <f>June!BG314</f>
        <v>55</v>
      </c>
      <c r="R235" s="436"/>
      <c r="S235" s="436"/>
      <c r="T235" s="127">
        <v>18524</v>
      </c>
      <c r="U235" s="127"/>
      <c r="V235" s="127">
        <f>O235-T235-U235+V206</f>
        <v>148780</v>
      </c>
      <c r="W235" s="46"/>
      <c r="X235" s="67"/>
    </row>
    <row r="236" spans="1:25" ht="15" customHeight="1">
      <c r="A236" s="427"/>
      <c r="B236" s="442" t="s">
        <v>45</v>
      </c>
      <c r="C236" s="448" t="s">
        <v>59</v>
      </c>
      <c r="D236" s="118" t="s">
        <v>75</v>
      </c>
      <c r="E236" s="438" t="s">
        <v>25</v>
      </c>
      <c r="F236" s="131" t="s">
        <v>57</v>
      </c>
      <c r="G236" s="87"/>
      <c r="H236" s="152"/>
      <c r="I236" s="126"/>
      <c r="J236" s="2"/>
      <c r="K236" s="127">
        <v>5180</v>
      </c>
      <c r="L236" s="18">
        <v>1</v>
      </c>
      <c r="M236" s="18">
        <v>34360</v>
      </c>
      <c r="N236" s="80">
        <v>7</v>
      </c>
      <c r="O236" s="126">
        <f>June!BH317</f>
        <v>1654</v>
      </c>
      <c r="P236" s="126">
        <f>June!BI317</f>
        <v>2698</v>
      </c>
      <c r="Q236" s="2">
        <f>June!BG317</f>
        <v>11</v>
      </c>
      <c r="R236" s="436"/>
      <c r="S236" s="436"/>
      <c r="T236" s="18">
        <v>6520</v>
      </c>
      <c r="U236" s="18"/>
      <c r="V236" s="127">
        <f>O236-T236-U236+V207</f>
        <v>5165</v>
      </c>
      <c r="W236" s="46"/>
      <c r="Y236" s="13"/>
    </row>
    <row r="237" spans="1:25" ht="15" customHeight="1">
      <c r="A237" s="427"/>
      <c r="B237" s="439"/>
      <c r="C237" s="440"/>
      <c r="D237" s="118" t="s">
        <v>94</v>
      </c>
      <c r="E237" s="431"/>
      <c r="F237" s="131"/>
      <c r="G237" s="87"/>
      <c r="H237" s="152">
        <v>486</v>
      </c>
      <c r="I237" s="126"/>
      <c r="J237" s="2"/>
      <c r="K237" s="127"/>
      <c r="L237" s="18"/>
      <c r="M237" s="18"/>
      <c r="N237" s="80"/>
      <c r="O237" s="126"/>
      <c r="P237" s="126"/>
      <c r="Q237" s="2"/>
      <c r="R237" s="436"/>
      <c r="S237" s="436"/>
      <c r="T237" s="18"/>
      <c r="U237" s="18"/>
      <c r="V237" s="127"/>
      <c r="W237" s="46"/>
      <c r="Y237" s="13"/>
    </row>
    <row r="238" spans="1:25">
      <c r="A238" s="427"/>
      <c r="B238" s="439"/>
      <c r="C238" s="440"/>
      <c r="D238" s="118" t="s">
        <v>72</v>
      </c>
      <c r="E238" s="155" t="s">
        <v>24</v>
      </c>
      <c r="F238" s="131" t="s">
        <v>57</v>
      </c>
      <c r="G238" s="224"/>
      <c r="H238" s="152"/>
      <c r="I238" s="126"/>
      <c r="J238" s="126"/>
      <c r="K238" s="127"/>
      <c r="L238" s="18"/>
      <c r="M238" s="18">
        <v>35000</v>
      </c>
      <c r="N238" s="80">
        <v>7</v>
      </c>
      <c r="O238" s="126">
        <f>June!BH319</f>
        <v>1474</v>
      </c>
      <c r="P238" s="126">
        <f>June!BI319</f>
        <v>2016</v>
      </c>
      <c r="Q238" s="126">
        <f>June!BG319</f>
        <v>8</v>
      </c>
      <c r="R238" s="436"/>
      <c r="S238" s="436"/>
      <c r="T238" s="18"/>
      <c r="U238" s="18"/>
      <c r="V238" s="127">
        <f t="shared" ref="V238:V256" si="11">O238-T238-U238+V210</f>
        <v>16307</v>
      </c>
      <c r="W238" s="46"/>
      <c r="Y238" s="13"/>
    </row>
    <row r="239" spans="1:25" ht="14.25" customHeight="1">
      <c r="A239" s="427"/>
      <c r="B239" s="439"/>
      <c r="C239" s="440"/>
      <c r="D239" s="115" t="s">
        <v>79</v>
      </c>
      <c r="E239" s="155" t="s">
        <v>65</v>
      </c>
      <c r="F239" s="131" t="s">
        <v>57</v>
      </c>
      <c r="G239" s="224"/>
      <c r="H239" s="126"/>
      <c r="I239" s="126"/>
      <c r="J239" s="126"/>
      <c r="K239" s="18"/>
      <c r="L239" s="18"/>
      <c r="M239" s="18"/>
      <c r="N239" s="80"/>
      <c r="O239" s="126"/>
      <c r="P239" s="126"/>
      <c r="Q239" s="126"/>
      <c r="R239" s="436"/>
      <c r="S239" s="436"/>
      <c r="T239" s="18"/>
      <c r="U239" s="18"/>
      <c r="V239" s="127">
        <f t="shared" si="11"/>
        <v>10211</v>
      </c>
      <c r="W239" s="45"/>
      <c r="X239" s="36"/>
    </row>
    <row r="240" spans="1:25" ht="14.25" customHeight="1">
      <c r="A240" s="427"/>
      <c r="B240" s="439"/>
      <c r="C240" s="448" t="s">
        <v>299</v>
      </c>
      <c r="D240" s="115" t="s">
        <v>296</v>
      </c>
      <c r="E240" s="424" t="s">
        <v>25</v>
      </c>
      <c r="F240" s="131" t="s">
        <v>298</v>
      </c>
      <c r="G240" s="224"/>
      <c r="H240" s="37"/>
      <c r="I240" s="126"/>
      <c r="J240" s="126"/>
      <c r="K240" s="18"/>
      <c r="L240" s="18"/>
      <c r="M240" s="18"/>
      <c r="N240" s="80"/>
      <c r="O240" s="126"/>
      <c r="P240" s="126"/>
      <c r="Q240" s="126"/>
      <c r="R240" s="436"/>
      <c r="S240" s="436"/>
      <c r="T240" s="18"/>
      <c r="U240" s="18"/>
      <c r="V240" s="127">
        <f t="shared" si="11"/>
        <v>4427</v>
      </c>
      <c r="W240" s="45"/>
      <c r="X240" s="67"/>
    </row>
    <row r="241" spans="1:24" ht="14.25" customHeight="1">
      <c r="A241" s="427"/>
      <c r="B241" s="443"/>
      <c r="C241" s="449"/>
      <c r="D241" s="115" t="s">
        <v>75</v>
      </c>
      <c r="E241" s="425"/>
      <c r="F241" s="131" t="s">
        <v>298</v>
      </c>
      <c r="G241" s="224"/>
      <c r="H241" s="37"/>
      <c r="I241" s="126"/>
      <c r="J241" s="126"/>
      <c r="K241" s="18"/>
      <c r="L241" s="18"/>
      <c r="M241" s="18">
        <v>10000</v>
      </c>
      <c r="N241" s="80">
        <v>2</v>
      </c>
      <c r="O241" s="126">
        <f>June!BH323</f>
        <v>1100</v>
      </c>
      <c r="P241" s="126">
        <f>June!BI323</f>
        <v>1119</v>
      </c>
      <c r="Q241" s="126">
        <f>June!BG323</f>
        <v>4</v>
      </c>
      <c r="R241" s="436"/>
      <c r="S241" s="436"/>
      <c r="T241" s="18"/>
      <c r="U241" s="18"/>
      <c r="V241" s="127">
        <f t="shared" si="11"/>
        <v>11407</v>
      </c>
      <c r="W241" s="45"/>
      <c r="X241" s="67"/>
    </row>
    <row r="242" spans="1:24" ht="14.25" customHeight="1">
      <c r="A242" s="427"/>
      <c r="B242" s="439" t="s">
        <v>53</v>
      </c>
      <c r="C242" s="445" t="s">
        <v>60</v>
      </c>
      <c r="D242" s="43" t="s">
        <v>320</v>
      </c>
      <c r="E242" s="441" t="s">
        <v>66</v>
      </c>
      <c r="F242" s="118" t="s">
        <v>54</v>
      </c>
      <c r="G242" s="224"/>
      <c r="H242" s="37"/>
      <c r="I242" s="126"/>
      <c r="J242" s="126"/>
      <c r="K242" s="18"/>
      <c r="L242" s="18"/>
      <c r="M242" s="18"/>
      <c r="N242" s="80"/>
      <c r="O242" s="126">
        <f>June!BH315</f>
        <v>5676</v>
      </c>
      <c r="P242" s="126">
        <f>June!BI315</f>
        <v>2697</v>
      </c>
      <c r="Q242" s="126">
        <f>June!BG315</f>
        <v>8</v>
      </c>
      <c r="R242" s="436"/>
      <c r="S242" s="436"/>
      <c r="T242" s="18"/>
      <c r="U242" s="18"/>
      <c r="V242" s="127">
        <f t="shared" si="11"/>
        <v>33069</v>
      </c>
      <c r="W242" s="45"/>
      <c r="X242" s="67"/>
    </row>
    <row r="243" spans="1:24" ht="14.25" customHeight="1">
      <c r="A243" s="427"/>
      <c r="B243" s="439"/>
      <c r="C243" s="445"/>
      <c r="D243" s="43" t="s">
        <v>387</v>
      </c>
      <c r="E243" s="425"/>
      <c r="F243" s="118" t="s">
        <v>54</v>
      </c>
      <c r="G243" s="229"/>
      <c r="H243" s="182"/>
      <c r="I243" s="125"/>
      <c r="J243" s="125"/>
      <c r="K243" s="127"/>
      <c r="L243" s="127"/>
      <c r="M243" s="127">
        <v>64800</v>
      </c>
      <c r="N243" s="171">
        <v>11</v>
      </c>
      <c r="O243" s="125"/>
      <c r="P243" s="125"/>
      <c r="Q243" s="125"/>
      <c r="R243" s="436"/>
      <c r="S243" s="436"/>
      <c r="T243" s="18"/>
      <c r="U243" s="18"/>
      <c r="V243" s="127">
        <f t="shared" si="11"/>
        <v>666</v>
      </c>
      <c r="W243" s="45"/>
      <c r="X243" s="67"/>
    </row>
    <row r="244" spans="1:24" ht="14.25" customHeight="1">
      <c r="A244" s="427"/>
      <c r="B244" s="443"/>
      <c r="C244" s="446"/>
      <c r="D244" s="43" t="s">
        <v>199</v>
      </c>
      <c r="E244" s="114" t="s">
        <v>25</v>
      </c>
      <c r="F244" s="118" t="s">
        <v>54</v>
      </c>
      <c r="G244" s="224"/>
      <c r="H244" s="135"/>
      <c r="I244" s="158"/>
      <c r="J244" s="158"/>
      <c r="K244" s="128"/>
      <c r="L244" s="128"/>
      <c r="M244" s="128"/>
      <c r="N244" s="164"/>
      <c r="O244" s="158"/>
      <c r="P244" s="158"/>
      <c r="Q244" s="158"/>
      <c r="R244" s="436"/>
      <c r="S244" s="436"/>
      <c r="T244" s="18"/>
      <c r="U244" s="18"/>
      <c r="V244" s="127">
        <f t="shared" si="11"/>
        <v>68</v>
      </c>
      <c r="W244" s="45"/>
      <c r="X244" s="67"/>
    </row>
    <row r="245" spans="1:24" ht="15.75" customHeight="1">
      <c r="A245" s="427"/>
      <c r="B245" s="122" t="s">
        <v>55</v>
      </c>
      <c r="C245" s="180" t="s">
        <v>133</v>
      </c>
      <c r="D245" s="48" t="s">
        <v>56</v>
      </c>
      <c r="E245" s="424" t="s">
        <v>25</v>
      </c>
      <c r="F245" s="118" t="s">
        <v>67</v>
      </c>
      <c r="G245" s="226"/>
      <c r="H245" s="126"/>
      <c r="I245" s="126"/>
      <c r="J245" s="2"/>
      <c r="K245" s="18"/>
      <c r="L245" s="18"/>
      <c r="M245" s="18"/>
      <c r="N245" s="18"/>
      <c r="O245" s="126">
        <f>June!BH343</f>
        <v>800</v>
      </c>
      <c r="P245" s="126">
        <f>June!BI343</f>
        <v>507</v>
      </c>
      <c r="Q245" s="126">
        <f>June!BG343</f>
        <v>1</v>
      </c>
      <c r="R245" s="436"/>
      <c r="S245" s="436"/>
      <c r="T245" s="18"/>
      <c r="U245" s="18"/>
      <c r="V245" s="127">
        <f>O245-T245-U245+V217</f>
        <v>6712</v>
      </c>
      <c r="W245" s="45"/>
      <c r="X245" s="67"/>
    </row>
    <row r="246" spans="1:24" ht="15" customHeight="1">
      <c r="A246" s="427"/>
      <c r="B246" s="122" t="s">
        <v>122</v>
      </c>
      <c r="C246" s="180" t="s">
        <v>123</v>
      </c>
      <c r="D246" s="48" t="s">
        <v>56</v>
      </c>
      <c r="E246" s="441"/>
      <c r="F246" s="155" t="s">
        <v>64</v>
      </c>
      <c r="G246" s="119"/>
      <c r="H246" s="126"/>
      <c r="I246" s="126"/>
      <c r="J246" s="2"/>
      <c r="K246" s="18"/>
      <c r="L246" s="18"/>
      <c r="M246" s="18">
        <v>64000</v>
      </c>
      <c r="N246" s="18">
        <v>2</v>
      </c>
      <c r="O246" s="126"/>
      <c r="P246" s="126"/>
      <c r="Q246" s="126"/>
      <c r="R246" s="436"/>
      <c r="S246" s="436"/>
      <c r="T246" s="18"/>
      <c r="U246" s="18"/>
      <c r="V246" s="127">
        <f t="shared" si="11"/>
        <v>18121</v>
      </c>
      <c r="W246" s="45"/>
      <c r="X246" s="67"/>
    </row>
    <row r="247" spans="1:24" ht="14.25" customHeight="1">
      <c r="A247" s="427"/>
      <c r="B247" s="137" t="s">
        <v>58</v>
      </c>
      <c r="C247" s="157" t="s">
        <v>243</v>
      </c>
      <c r="D247" s="48" t="s">
        <v>56</v>
      </c>
      <c r="E247" s="441"/>
      <c r="F247" s="118" t="s">
        <v>64</v>
      </c>
      <c r="G247" s="225"/>
      <c r="H247" s="126"/>
      <c r="I247" s="126"/>
      <c r="J247" s="126"/>
      <c r="K247" s="18"/>
      <c r="L247" s="18"/>
      <c r="M247" s="18"/>
      <c r="N247" s="80"/>
      <c r="O247" s="126"/>
      <c r="P247" s="126"/>
      <c r="Q247" s="126"/>
      <c r="R247" s="436"/>
      <c r="S247" s="436"/>
      <c r="T247" s="18"/>
      <c r="U247" s="18"/>
      <c r="V247" s="127">
        <f t="shared" si="11"/>
        <v>8144</v>
      </c>
      <c r="W247" s="45"/>
      <c r="X247" s="67"/>
    </row>
    <row r="248" spans="1:24" ht="14.25" customHeight="1">
      <c r="A248" s="427"/>
      <c r="B248" s="122" t="s">
        <v>61</v>
      </c>
      <c r="C248" s="180" t="s">
        <v>137</v>
      </c>
      <c r="D248" s="48" t="s">
        <v>56</v>
      </c>
      <c r="E248" s="441"/>
      <c r="F248" s="118" t="s">
        <v>67</v>
      </c>
      <c r="G248" s="225"/>
      <c r="H248" s="126"/>
      <c r="I248" s="126"/>
      <c r="J248" s="126"/>
      <c r="K248" s="18"/>
      <c r="L248" s="18"/>
      <c r="M248" s="18"/>
      <c r="N248" s="80"/>
      <c r="O248" s="126"/>
      <c r="P248" s="126"/>
      <c r="Q248" s="126"/>
      <c r="R248" s="436"/>
      <c r="S248" s="436"/>
      <c r="T248" s="18"/>
      <c r="U248" s="18"/>
      <c r="V248" s="127">
        <f t="shared" si="11"/>
        <v>5844</v>
      </c>
      <c r="W248" s="45"/>
      <c r="X248" s="67"/>
    </row>
    <row r="249" spans="1:24" ht="14.25" customHeight="1">
      <c r="A249" s="427"/>
      <c r="B249" s="122" t="s">
        <v>125</v>
      </c>
      <c r="C249" s="180" t="s">
        <v>88</v>
      </c>
      <c r="D249" s="48" t="s">
        <v>124</v>
      </c>
      <c r="E249" s="441"/>
      <c r="F249" s="118" t="s">
        <v>64</v>
      </c>
      <c r="G249" s="225"/>
      <c r="H249" s="126"/>
      <c r="I249" s="126"/>
      <c r="J249" s="126"/>
      <c r="K249" s="18"/>
      <c r="L249" s="18"/>
      <c r="M249" s="18">
        <v>51200</v>
      </c>
      <c r="N249" s="80">
        <v>7</v>
      </c>
      <c r="O249" s="126"/>
      <c r="P249" s="126"/>
      <c r="Q249" s="126"/>
      <c r="R249" s="436"/>
      <c r="S249" s="436"/>
      <c r="T249" s="18"/>
      <c r="U249" s="18"/>
      <c r="V249" s="127">
        <f t="shared" si="11"/>
        <v>23615</v>
      </c>
      <c r="W249" s="45"/>
      <c r="X249" s="67"/>
    </row>
    <row r="250" spans="1:24" ht="14.25" customHeight="1">
      <c r="A250" s="427"/>
      <c r="B250" s="137" t="s">
        <v>47</v>
      </c>
      <c r="C250" s="157" t="s">
        <v>100</v>
      </c>
      <c r="D250" s="48" t="s">
        <v>99</v>
      </c>
      <c r="E250" s="441"/>
      <c r="F250" s="118" t="s">
        <v>71</v>
      </c>
      <c r="G250" s="225"/>
      <c r="H250" s="126"/>
      <c r="I250" s="126"/>
      <c r="J250" s="126"/>
      <c r="K250" s="18"/>
      <c r="L250" s="18"/>
      <c r="M250" s="18"/>
      <c r="N250" s="80"/>
      <c r="O250" s="126">
        <f>June!BH324</f>
        <v>1267</v>
      </c>
      <c r="P250" s="126">
        <f>June!BI324</f>
        <v>186</v>
      </c>
      <c r="Q250" s="126">
        <f>June!BG324</f>
        <v>1</v>
      </c>
      <c r="R250" s="436"/>
      <c r="S250" s="436"/>
      <c r="T250" s="18"/>
      <c r="U250" s="18"/>
      <c r="V250" s="127">
        <f t="shared" si="11"/>
        <v>55553</v>
      </c>
      <c r="W250" s="45"/>
      <c r="X250" s="67"/>
    </row>
    <row r="251" spans="1:24" ht="15" customHeight="1">
      <c r="A251" s="427"/>
      <c r="B251" s="122" t="s">
        <v>196</v>
      </c>
      <c r="C251" s="180" t="s">
        <v>63</v>
      </c>
      <c r="D251" s="48" t="s">
        <v>135</v>
      </c>
      <c r="E251" s="441"/>
      <c r="F251" s="118" t="s">
        <v>64</v>
      </c>
      <c r="G251" s="226"/>
      <c r="H251" s="126"/>
      <c r="I251" s="126"/>
      <c r="J251" s="2"/>
      <c r="K251" s="18"/>
      <c r="L251" s="18"/>
      <c r="M251" s="18"/>
      <c r="N251" s="18"/>
      <c r="O251" s="126"/>
      <c r="P251" s="126">
        <f>June!BI338</f>
        <v>1465</v>
      </c>
      <c r="Q251" s="126">
        <f>June!BG338</f>
        <v>5</v>
      </c>
      <c r="R251" s="436"/>
      <c r="S251" s="436"/>
      <c r="T251" s="18"/>
      <c r="U251" s="18"/>
      <c r="V251" s="127">
        <f t="shared" si="11"/>
        <v>41412</v>
      </c>
      <c r="W251" s="45"/>
      <c r="X251" s="67"/>
    </row>
    <row r="252" spans="1:24" ht="15" customHeight="1">
      <c r="A252" s="427"/>
      <c r="B252" s="122" t="s">
        <v>363</v>
      </c>
      <c r="C252" s="180" t="s">
        <v>325</v>
      </c>
      <c r="D252" s="48" t="s">
        <v>328</v>
      </c>
      <c r="E252" s="441"/>
      <c r="F252" s="118" t="s">
        <v>48</v>
      </c>
      <c r="G252" s="226"/>
      <c r="H252" s="126"/>
      <c r="I252" s="126"/>
      <c r="J252" s="2"/>
      <c r="K252" s="18"/>
      <c r="L252" s="18"/>
      <c r="M252" s="18"/>
      <c r="N252" s="18"/>
      <c r="O252" s="126">
        <f>June!BH335</f>
        <v>1000</v>
      </c>
      <c r="P252" s="126">
        <f>June!BI335</f>
        <v>599</v>
      </c>
      <c r="Q252" s="126">
        <f>June!BG335</f>
        <v>2</v>
      </c>
      <c r="R252" s="436"/>
      <c r="S252" s="436"/>
      <c r="T252" s="18"/>
      <c r="U252" s="18"/>
      <c r="V252" s="127">
        <f t="shared" si="11"/>
        <v>14153</v>
      </c>
      <c r="W252" s="45"/>
      <c r="X252" s="67"/>
    </row>
    <row r="253" spans="1:24" ht="15" customHeight="1">
      <c r="A253" s="427"/>
      <c r="B253" s="122" t="s">
        <v>253</v>
      </c>
      <c r="C253" s="180" t="s">
        <v>365</v>
      </c>
      <c r="D253" s="48" t="s">
        <v>246</v>
      </c>
      <c r="E253" s="441"/>
      <c r="F253" s="118" t="s">
        <v>247</v>
      </c>
      <c r="G253" s="226"/>
      <c r="H253" s="126"/>
      <c r="I253" s="126"/>
      <c r="J253" s="2"/>
      <c r="K253" s="18"/>
      <c r="L253" s="18"/>
      <c r="M253" s="18"/>
      <c r="N253" s="18"/>
      <c r="O253" s="126">
        <f>June!BH327</f>
        <v>0</v>
      </c>
      <c r="P253" s="126">
        <f>June!BI327</f>
        <v>456</v>
      </c>
      <c r="Q253" s="126">
        <f>June!BG327</f>
        <v>4</v>
      </c>
      <c r="R253" s="436"/>
      <c r="S253" s="436"/>
      <c r="T253" s="18"/>
      <c r="U253" s="18"/>
      <c r="V253" s="127">
        <f t="shared" si="11"/>
        <v>12967</v>
      </c>
      <c r="W253" s="45"/>
      <c r="X253" s="67"/>
    </row>
    <row r="254" spans="1:24" ht="15" customHeight="1">
      <c r="A254" s="427"/>
      <c r="B254" s="122" t="s">
        <v>101</v>
      </c>
      <c r="C254" s="180" t="s">
        <v>327</v>
      </c>
      <c r="D254" s="48" t="s">
        <v>102</v>
      </c>
      <c r="E254" s="441"/>
      <c r="F254" s="118" t="s">
        <v>64</v>
      </c>
      <c r="G254" s="119"/>
      <c r="H254" s="126"/>
      <c r="I254" s="126"/>
      <c r="J254" s="2"/>
      <c r="K254" s="18"/>
      <c r="L254" s="18"/>
      <c r="M254" s="18"/>
      <c r="N254" s="18"/>
      <c r="O254" s="126">
        <f>June!BH333</f>
        <v>3743</v>
      </c>
      <c r="P254" s="126">
        <f>June!BI333</f>
        <v>2053</v>
      </c>
      <c r="Q254" s="126">
        <f>June!BG333</f>
        <v>6</v>
      </c>
      <c r="R254" s="436"/>
      <c r="S254" s="436"/>
      <c r="T254" s="18"/>
      <c r="U254" s="18"/>
      <c r="V254" s="18">
        <f t="shared" si="11"/>
        <v>16530</v>
      </c>
      <c r="W254" s="45"/>
      <c r="X254" s="67"/>
    </row>
    <row r="255" spans="1:24" s="4" customFormat="1" ht="15" customHeight="1">
      <c r="A255" s="427"/>
      <c r="B255" s="122" t="s">
        <v>375</v>
      </c>
      <c r="C255" s="157" t="s">
        <v>376</v>
      </c>
      <c r="D255" s="48" t="s">
        <v>248</v>
      </c>
      <c r="E255" s="441"/>
      <c r="F255" s="48" t="s">
        <v>64</v>
      </c>
      <c r="G255" s="122"/>
      <c r="H255" s="34"/>
      <c r="I255" s="34"/>
      <c r="J255" s="6"/>
      <c r="K255" s="211"/>
      <c r="L255" s="211"/>
      <c r="M255" s="211"/>
      <c r="N255" s="211"/>
      <c r="O255" s="34"/>
      <c r="P255" s="34"/>
      <c r="Q255" s="34"/>
      <c r="R255" s="436"/>
      <c r="S255" s="436"/>
      <c r="T255" s="211"/>
      <c r="U255" s="211"/>
      <c r="V255" s="211">
        <f t="shared" si="11"/>
        <v>75911</v>
      </c>
      <c r="W255" s="260"/>
      <c r="X255" s="67"/>
    </row>
    <row r="256" spans="1:24" s="4" customFormat="1" ht="15" customHeight="1">
      <c r="A256" s="427"/>
      <c r="B256" s="122" t="s">
        <v>421</v>
      </c>
      <c r="C256" s="157" t="s">
        <v>420</v>
      </c>
      <c r="D256" s="48" t="s">
        <v>248</v>
      </c>
      <c r="E256" s="441"/>
      <c r="F256" s="48" t="s">
        <v>64</v>
      </c>
      <c r="G256" s="293">
        <v>768.6</v>
      </c>
      <c r="H256" s="34">
        <v>1440</v>
      </c>
      <c r="I256" s="34"/>
      <c r="J256" s="6"/>
      <c r="K256" s="211">
        <v>8200</v>
      </c>
      <c r="L256" s="211">
        <v>2</v>
      </c>
      <c r="M256" s="211">
        <v>4100</v>
      </c>
      <c r="N256" s="211">
        <v>1</v>
      </c>
      <c r="O256" s="34">
        <f>June!BH337</f>
        <v>11255</v>
      </c>
      <c r="P256" s="34">
        <f>June!BI337</f>
        <v>9101</v>
      </c>
      <c r="Q256" s="34">
        <f>June!BG337</f>
        <v>19</v>
      </c>
      <c r="R256" s="436"/>
      <c r="S256" s="436"/>
      <c r="T256" s="211">
        <v>1600</v>
      </c>
      <c r="U256" s="211"/>
      <c r="V256" s="211">
        <f t="shared" si="11"/>
        <v>35029</v>
      </c>
      <c r="W256" s="260"/>
      <c r="X256" s="67"/>
    </row>
    <row r="257" spans="1:25" s="4" customFormat="1" ht="15" customHeight="1">
      <c r="A257" s="427"/>
      <c r="B257" s="122" t="s">
        <v>289</v>
      </c>
      <c r="C257" s="180" t="s">
        <v>290</v>
      </c>
      <c r="D257" s="48" t="s">
        <v>432</v>
      </c>
      <c r="E257" s="441"/>
      <c r="F257" s="48" t="s">
        <v>381</v>
      </c>
      <c r="G257" s="122"/>
      <c r="H257" s="34"/>
      <c r="I257" s="34"/>
      <c r="J257" s="6"/>
      <c r="K257" s="211"/>
      <c r="L257" s="211"/>
      <c r="M257" s="211"/>
      <c r="N257" s="211"/>
      <c r="O257" s="34">
        <f>June!BH329</f>
        <v>810</v>
      </c>
      <c r="P257" s="34">
        <f>June!BI329</f>
        <v>231</v>
      </c>
      <c r="Q257" s="34">
        <f>June!BG329</f>
        <v>1</v>
      </c>
      <c r="R257" s="436"/>
      <c r="S257" s="436"/>
      <c r="T257" s="211">
        <v>810</v>
      </c>
      <c r="U257" s="211"/>
      <c r="V257" s="211">
        <f>O257-T257-U257+V229</f>
        <v>0</v>
      </c>
      <c r="W257" s="260"/>
      <c r="X257" s="67"/>
    </row>
    <row r="258" spans="1:25" s="4" customFormat="1" ht="15" customHeight="1">
      <c r="A258" s="427"/>
      <c r="B258" s="122" t="s">
        <v>425</v>
      </c>
      <c r="C258" s="157" t="s">
        <v>426</v>
      </c>
      <c r="D258" s="48" t="s">
        <v>246</v>
      </c>
      <c r="E258" s="441"/>
      <c r="F258" s="48" t="s">
        <v>64</v>
      </c>
      <c r="G258" s="122"/>
      <c r="H258" s="34"/>
      <c r="I258" s="34"/>
      <c r="J258" s="6"/>
      <c r="K258" s="211"/>
      <c r="L258" s="211"/>
      <c r="M258" s="211"/>
      <c r="N258" s="211"/>
      <c r="O258" s="34">
        <f>June!BH342</f>
        <v>564</v>
      </c>
      <c r="P258" s="34">
        <f>June!BI342</f>
        <v>236</v>
      </c>
      <c r="Q258" s="34">
        <f>June!BG342</f>
        <v>1</v>
      </c>
      <c r="R258" s="436"/>
      <c r="S258" s="436"/>
      <c r="T258" s="211"/>
      <c r="U258" s="211"/>
      <c r="V258" s="211">
        <f>O258-T258-U258+V230</f>
        <v>564</v>
      </c>
      <c r="W258" s="260"/>
      <c r="X258" s="67"/>
    </row>
    <row r="259" spans="1:25" ht="15" customHeight="1">
      <c r="A259" s="427"/>
      <c r="B259" s="122" t="s">
        <v>103</v>
      </c>
      <c r="C259" s="157" t="s">
        <v>197</v>
      </c>
      <c r="D259" s="48" t="s">
        <v>104</v>
      </c>
      <c r="E259" s="441"/>
      <c r="F259" s="118" t="s">
        <v>105</v>
      </c>
      <c r="G259" s="119"/>
      <c r="H259" s="126"/>
      <c r="I259" s="126"/>
      <c r="J259" s="2"/>
      <c r="K259" s="18"/>
      <c r="L259" s="18"/>
      <c r="M259" s="18"/>
      <c r="N259" s="18"/>
      <c r="O259" s="126"/>
      <c r="P259" s="126"/>
      <c r="Q259" s="126">
        <f>June!BG339</f>
        <v>1</v>
      </c>
      <c r="R259" s="436"/>
      <c r="S259" s="436"/>
      <c r="T259" s="18"/>
      <c r="U259" s="18"/>
      <c r="V259" s="18"/>
      <c r="W259" s="45"/>
      <c r="X259" s="67"/>
    </row>
    <row r="260" spans="1:25" ht="15" customHeight="1">
      <c r="A260" s="427"/>
      <c r="B260" s="137" t="s">
        <v>112</v>
      </c>
      <c r="C260" s="157" t="s">
        <v>197</v>
      </c>
      <c r="D260" s="48" t="s">
        <v>104</v>
      </c>
      <c r="E260" s="441"/>
      <c r="F260" s="118" t="s">
        <v>113</v>
      </c>
      <c r="G260" s="119"/>
      <c r="H260" s="126"/>
      <c r="I260" s="126"/>
      <c r="J260" s="2"/>
      <c r="K260" s="18"/>
      <c r="L260" s="18"/>
      <c r="M260" s="18"/>
      <c r="N260" s="18"/>
      <c r="O260" s="126"/>
      <c r="P260" s="126"/>
      <c r="Q260" s="126">
        <f>June!BG341</f>
        <v>1</v>
      </c>
      <c r="R260" s="436"/>
      <c r="S260" s="436"/>
      <c r="T260" s="18"/>
      <c r="U260" s="18"/>
      <c r="V260" s="18"/>
      <c r="W260" s="45"/>
      <c r="X260" s="67"/>
    </row>
    <row r="261" spans="1:25" ht="15" customHeight="1" thickBot="1">
      <c r="A261" s="428"/>
      <c r="B261" s="44" t="s">
        <v>107</v>
      </c>
      <c r="C261" s="181" t="s">
        <v>386</v>
      </c>
      <c r="D261" s="61" t="s">
        <v>108</v>
      </c>
      <c r="E261" s="447"/>
      <c r="F261" s="133" t="s">
        <v>48</v>
      </c>
      <c r="G261" s="132"/>
      <c r="H261" s="134">
        <v>567</v>
      </c>
      <c r="I261" s="134"/>
      <c r="J261" s="129"/>
      <c r="K261" s="130"/>
      <c r="L261" s="130"/>
      <c r="M261" s="130">
        <v>13000</v>
      </c>
      <c r="N261" s="130">
        <v>2</v>
      </c>
      <c r="O261" s="134"/>
      <c r="P261" s="134">
        <f>June!BI340</f>
        <v>834</v>
      </c>
      <c r="Q261" s="134">
        <f>June!BG340</f>
        <v>2</v>
      </c>
      <c r="R261" s="437"/>
      <c r="S261" s="437"/>
      <c r="T261" s="130"/>
      <c r="U261" s="130"/>
      <c r="V261" s="128">
        <f>O261-T261-U261+V233</f>
        <v>8756</v>
      </c>
      <c r="W261" s="85"/>
      <c r="X261" s="67"/>
    </row>
    <row r="262" spans="1:25" ht="15" customHeight="1">
      <c r="A262" s="426">
        <v>46184</v>
      </c>
      <c r="B262" s="429" t="s">
        <v>44</v>
      </c>
      <c r="C262" s="432" t="s">
        <v>240</v>
      </c>
      <c r="D262" s="19" t="s">
        <v>37</v>
      </c>
      <c r="E262" s="19" t="s">
        <v>25</v>
      </c>
      <c r="F262" s="39" t="s">
        <v>40</v>
      </c>
      <c r="G262" s="41">
        <v>3848.67</v>
      </c>
      <c r="H262" s="32">
        <v>3464</v>
      </c>
      <c r="I262" s="32"/>
      <c r="J262" s="32"/>
      <c r="K262" s="20">
        <v>80000</v>
      </c>
      <c r="L262" s="20">
        <v>10</v>
      </c>
      <c r="M262" s="20">
        <v>88000</v>
      </c>
      <c r="N262" s="84">
        <v>11</v>
      </c>
      <c r="O262" s="32">
        <f>June!BK313</f>
        <v>51557</v>
      </c>
      <c r="P262" s="32">
        <f>June!BL313</f>
        <v>50196</v>
      </c>
      <c r="Q262" s="32">
        <f>June!BJ313</f>
        <v>134</v>
      </c>
      <c r="R262" s="435">
        <f>June!BK346</f>
        <v>92155</v>
      </c>
      <c r="S262" s="435">
        <f>June!BL346</f>
        <v>94519</v>
      </c>
      <c r="T262" s="20">
        <v>72711</v>
      </c>
      <c r="U262" s="20">
        <v>194</v>
      </c>
      <c r="V262" s="20">
        <f>O262-T262-U262+V234</f>
        <v>126443</v>
      </c>
      <c r="W262" s="77"/>
      <c r="X262" s="36"/>
    </row>
    <row r="263" spans="1:25" ht="15" customHeight="1">
      <c r="A263" s="427"/>
      <c r="B263" s="431"/>
      <c r="C263" s="434"/>
      <c r="D263" s="113" t="s">
        <v>307</v>
      </c>
      <c r="E263" s="113" t="s">
        <v>24</v>
      </c>
      <c r="F263" s="118" t="s">
        <v>40</v>
      </c>
      <c r="G263" s="170"/>
      <c r="H263" s="135">
        <v>4252.5</v>
      </c>
      <c r="I263" s="125"/>
      <c r="J263" s="125"/>
      <c r="K263" s="127"/>
      <c r="L263" s="127"/>
      <c r="M263" s="216">
        <v>168000</v>
      </c>
      <c r="N263" s="238">
        <v>21</v>
      </c>
      <c r="O263" s="126">
        <f>June!BK314</f>
        <v>25725</v>
      </c>
      <c r="P263" s="125">
        <f>June!BL314</f>
        <v>19105</v>
      </c>
      <c r="Q263" s="125">
        <f>June!BJ314</f>
        <v>53</v>
      </c>
      <c r="R263" s="436"/>
      <c r="S263" s="436"/>
      <c r="T263" s="127">
        <v>18167</v>
      </c>
      <c r="U263" s="127"/>
      <c r="V263" s="127">
        <f>O263-T263-U263+V235</f>
        <v>156338</v>
      </c>
      <c r="W263" s="46"/>
      <c r="X263" s="67"/>
    </row>
    <row r="264" spans="1:25" ht="15" customHeight="1">
      <c r="A264" s="427"/>
      <c r="B264" s="442" t="s">
        <v>45</v>
      </c>
      <c r="C264" s="448" t="s">
        <v>59</v>
      </c>
      <c r="D264" s="118" t="s">
        <v>75</v>
      </c>
      <c r="E264" s="131" t="s">
        <v>25</v>
      </c>
      <c r="F264" s="131" t="s">
        <v>57</v>
      </c>
      <c r="G264" s="87"/>
      <c r="H264" s="152"/>
      <c r="I264" s="126"/>
      <c r="J264" s="2"/>
      <c r="K264" s="127">
        <v>9680</v>
      </c>
      <c r="L264" s="18">
        <v>2</v>
      </c>
      <c r="M264" s="18">
        <v>24680</v>
      </c>
      <c r="N264" s="80">
        <v>5</v>
      </c>
      <c r="O264" s="126">
        <f>June!BK317</f>
        <v>1692</v>
      </c>
      <c r="P264" s="126">
        <f>June!BL317</f>
        <v>2896</v>
      </c>
      <c r="Q264" s="2">
        <f>June!BJ317</f>
        <v>11</v>
      </c>
      <c r="R264" s="436"/>
      <c r="S264" s="436"/>
      <c r="T264" s="18"/>
      <c r="U264" s="18"/>
      <c r="V264" s="127">
        <f>O264-T264-U264+V236</f>
        <v>6857</v>
      </c>
      <c r="W264" s="46"/>
      <c r="Y264" s="13"/>
    </row>
    <row r="265" spans="1:25">
      <c r="A265" s="427"/>
      <c r="B265" s="439"/>
      <c r="C265" s="440"/>
      <c r="D265" s="118" t="s">
        <v>72</v>
      </c>
      <c r="E265" s="155" t="s">
        <v>24</v>
      </c>
      <c r="F265" s="131" t="s">
        <v>57</v>
      </c>
      <c r="G265" s="224"/>
      <c r="H265" s="152"/>
      <c r="I265" s="126"/>
      <c r="J265" s="126"/>
      <c r="K265" s="127"/>
      <c r="L265" s="18"/>
      <c r="M265" s="18">
        <v>35000</v>
      </c>
      <c r="N265" s="80">
        <v>7</v>
      </c>
      <c r="O265" s="126"/>
      <c r="P265" s="126">
        <f>June!BL319</f>
        <v>2034</v>
      </c>
      <c r="Q265" s="126">
        <f>June!BJ319</f>
        <v>8</v>
      </c>
      <c r="R265" s="436"/>
      <c r="S265" s="436"/>
      <c r="T265" s="18"/>
      <c r="U265" s="18"/>
      <c r="V265" s="127">
        <f t="shared" ref="V265:V285" si="12">O265-T265-U265+V238</f>
        <v>16307</v>
      </c>
      <c r="W265" s="46"/>
      <c r="Y265" s="13"/>
    </row>
    <row r="266" spans="1:25" ht="14.25" customHeight="1">
      <c r="A266" s="427"/>
      <c r="B266" s="439"/>
      <c r="C266" s="440"/>
      <c r="D266" s="115" t="s">
        <v>79</v>
      </c>
      <c r="E266" s="155" t="s">
        <v>65</v>
      </c>
      <c r="F266" s="131" t="s">
        <v>57</v>
      </c>
      <c r="G266" s="224"/>
      <c r="H266" s="126"/>
      <c r="I266" s="126"/>
      <c r="J266" s="126"/>
      <c r="K266" s="18"/>
      <c r="L266" s="18"/>
      <c r="M266" s="18"/>
      <c r="N266" s="80"/>
      <c r="O266" s="126"/>
      <c r="P266" s="126"/>
      <c r="Q266" s="126"/>
      <c r="R266" s="436"/>
      <c r="S266" s="436"/>
      <c r="T266" s="18"/>
      <c r="U266" s="18"/>
      <c r="V266" s="127">
        <f t="shared" si="12"/>
        <v>10211</v>
      </c>
      <c r="W266" s="45"/>
      <c r="X266" s="36"/>
    </row>
    <row r="267" spans="1:25" ht="14.25" customHeight="1">
      <c r="A267" s="427"/>
      <c r="B267" s="439"/>
      <c r="C267" s="448" t="s">
        <v>299</v>
      </c>
      <c r="D267" s="115" t="s">
        <v>296</v>
      </c>
      <c r="E267" s="424" t="s">
        <v>25</v>
      </c>
      <c r="F267" s="131" t="s">
        <v>298</v>
      </c>
      <c r="G267" s="224"/>
      <c r="H267" s="37"/>
      <c r="I267" s="126"/>
      <c r="J267" s="126"/>
      <c r="K267" s="18"/>
      <c r="L267" s="18"/>
      <c r="M267" s="18"/>
      <c r="N267" s="80"/>
      <c r="O267" s="126"/>
      <c r="P267" s="126"/>
      <c r="Q267" s="126"/>
      <c r="R267" s="436"/>
      <c r="S267" s="436"/>
      <c r="T267" s="18"/>
      <c r="U267" s="18"/>
      <c r="V267" s="127">
        <f t="shared" si="12"/>
        <v>4427</v>
      </c>
      <c r="W267" s="45"/>
      <c r="X267" s="67"/>
    </row>
    <row r="268" spans="1:25" ht="14.25" customHeight="1">
      <c r="A268" s="427"/>
      <c r="B268" s="443"/>
      <c r="C268" s="449"/>
      <c r="D268" s="115" t="s">
        <v>75</v>
      </c>
      <c r="E268" s="425"/>
      <c r="F268" s="131" t="s">
        <v>298</v>
      </c>
      <c r="G268" s="224"/>
      <c r="H268" s="37"/>
      <c r="I268" s="126"/>
      <c r="J268" s="126"/>
      <c r="K268" s="18"/>
      <c r="L268" s="18"/>
      <c r="M268" s="18">
        <v>10000</v>
      </c>
      <c r="N268" s="80">
        <v>2</v>
      </c>
      <c r="O268" s="126">
        <f>June!BK323</f>
        <v>1100</v>
      </c>
      <c r="P268" s="126">
        <f>June!BL323</f>
        <v>1122</v>
      </c>
      <c r="Q268" s="126">
        <f>June!BJ323</f>
        <v>4</v>
      </c>
      <c r="R268" s="436"/>
      <c r="S268" s="436"/>
      <c r="T268" s="18"/>
      <c r="U268" s="18"/>
      <c r="V268" s="127">
        <f t="shared" si="12"/>
        <v>12507</v>
      </c>
      <c r="W268" s="45"/>
      <c r="X268" s="67"/>
    </row>
    <row r="269" spans="1:25" ht="14.25" customHeight="1">
      <c r="A269" s="427"/>
      <c r="B269" s="439" t="s">
        <v>53</v>
      </c>
      <c r="C269" s="445" t="s">
        <v>60</v>
      </c>
      <c r="D269" s="43" t="s">
        <v>320</v>
      </c>
      <c r="E269" s="441" t="s">
        <v>66</v>
      </c>
      <c r="F269" s="118" t="s">
        <v>54</v>
      </c>
      <c r="G269" s="224"/>
      <c r="H269" s="37"/>
      <c r="I269" s="126"/>
      <c r="J269" s="126"/>
      <c r="K269" s="18"/>
      <c r="L269" s="18"/>
      <c r="M269" s="18"/>
      <c r="N269" s="80"/>
      <c r="O269" s="126"/>
      <c r="P269" s="126">
        <f>June!BL315</f>
        <v>2724</v>
      </c>
      <c r="Q269" s="126">
        <f>June!BJ315</f>
        <v>8</v>
      </c>
      <c r="R269" s="436"/>
      <c r="S269" s="436"/>
      <c r="T269" s="18"/>
      <c r="U269" s="18"/>
      <c r="V269" s="127">
        <f t="shared" si="12"/>
        <v>33069</v>
      </c>
      <c r="W269" s="45"/>
      <c r="X269" s="67"/>
    </row>
    <row r="270" spans="1:25" ht="14.25" customHeight="1">
      <c r="A270" s="427"/>
      <c r="B270" s="439"/>
      <c r="C270" s="445"/>
      <c r="D270" s="43" t="s">
        <v>387</v>
      </c>
      <c r="E270" s="425"/>
      <c r="F270" s="118" t="s">
        <v>54</v>
      </c>
      <c r="G270" s="229"/>
      <c r="H270" s="182"/>
      <c r="I270" s="125"/>
      <c r="J270" s="125"/>
      <c r="K270" s="127"/>
      <c r="L270" s="127"/>
      <c r="M270" s="127">
        <v>64800</v>
      </c>
      <c r="N270" s="171">
        <v>11</v>
      </c>
      <c r="O270" s="125"/>
      <c r="P270" s="125"/>
      <c r="Q270" s="125"/>
      <c r="R270" s="436"/>
      <c r="S270" s="436"/>
      <c r="T270" s="18"/>
      <c r="U270" s="18"/>
      <c r="V270" s="127">
        <f t="shared" si="12"/>
        <v>666</v>
      </c>
      <c r="W270" s="45"/>
      <c r="X270" s="67"/>
    </row>
    <row r="271" spans="1:25" ht="14.25" customHeight="1">
      <c r="A271" s="427"/>
      <c r="B271" s="443"/>
      <c r="C271" s="446"/>
      <c r="D271" s="43" t="s">
        <v>199</v>
      </c>
      <c r="E271" s="114" t="s">
        <v>25</v>
      </c>
      <c r="F271" s="118" t="s">
        <v>54</v>
      </c>
      <c r="G271" s="224"/>
      <c r="H271" s="135"/>
      <c r="I271" s="158"/>
      <c r="J271" s="158"/>
      <c r="K271" s="128"/>
      <c r="L271" s="128"/>
      <c r="M271" s="128"/>
      <c r="N271" s="164"/>
      <c r="O271" s="158"/>
      <c r="P271" s="158"/>
      <c r="Q271" s="158"/>
      <c r="R271" s="436"/>
      <c r="S271" s="436"/>
      <c r="T271" s="18"/>
      <c r="U271" s="18"/>
      <c r="V271" s="127">
        <f t="shared" si="12"/>
        <v>68</v>
      </c>
      <c r="W271" s="45"/>
      <c r="X271" s="67"/>
    </row>
    <row r="272" spans="1:25" ht="15.75" customHeight="1">
      <c r="A272" s="427"/>
      <c r="B272" s="122" t="s">
        <v>55</v>
      </c>
      <c r="C272" s="180" t="s">
        <v>133</v>
      </c>
      <c r="D272" s="48" t="s">
        <v>56</v>
      </c>
      <c r="E272" s="424" t="s">
        <v>25</v>
      </c>
      <c r="F272" s="118" t="s">
        <v>67</v>
      </c>
      <c r="G272" s="226"/>
      <c r="H272" s="126"/>
      <c r="I272" s="126"/>
      <c r="J272" s="2"/>
      <c r="K272" s="18"/>
      <c r="L272" s="18"/>
      <c r="M272" s="18"/>
      <c r="N272" s="18"/>
      <c r="O272" s="126">
        <f>June!BK343</f>
        <v>800</v>
      </c>
      <c r="P272" s="126">
        <f>June!BL343</f>
        <v>513</v>
      </c>
      <c r="Q272" s="126">
        <f>June!BJ343</f>
        <v>1</v>
      </c>
      <c r="R272" s="436"/>
      <c r="S272" s="436"/>
      <c r="T272" s="18"/>
      <c r="U272" s="18"/>
      <c r="V272" s="127">
        <f t="shared" si="12"/>
        <v>7512</v>
      </c>
      <c r="W272" s="45"/>
      <c r="X272" s="67"/>
    </row>
    <row r="273" spans="1:24" ht="15" customHeight="1">
      <c r="A273" s="427"/>
      <c r="B273" s="122" t="s">
        <v>122</v>
      </c>
      <c r="C273" s="180" t="s">
        <v>123</v>
      </c>
      <c r="D273" s="48" t="s">
        <v>56</v>
      </c>
      <c r="E273" s="441"/>
      <c r="F273" s="155" t="s">
        <v>64</v>
      </c>
      <c r="G273" s="119"/>
      <c r="H273" s="126"/>
      <c r="I273" s="126"/>
      <c r="J273" s="2"/>
      <c r="K273" s="18"/>
      <c r="L273" s="18"/>
      <c r="M273" s="18">
        <v>64000</v>
      </c>
      <c r="N273" s="18">
        <v>2</v>
      </c>
      <c r="O273" s="126"/>
      <c r="P273" s="126"/>
      <c r="Q273" s="126"/>
      <c r="R273" s="436"/>
      <c r="S273" s="436"/>
      <c r="T273" s="18"/>
      <c r="U273" s="18"/>
      <c r="V273" s="127">
        <f t="shared" si="12"/>
        <v>18121</v>
      </c>
      <c r="W273" s="45"/>
      <c r="X273" s="67"/>
    </row>
    <row r="274" spans="1:24" ht="14.25" customHeight="1">
      <c r="A274" s="427"/>
      <c r="B274" s="137" t="s">
        <v>58</v>
      </c>
      <c r="C274" s="157" t="s">
        <v>243</v>
      </c>
      <c r="D274" s="48" t="s">
        <v>56</v>
      </c>
      <c r="E274" s="441"/>
      <c r="F274" s="118" t="s">
        <v>64</v>
      </c>
      <c r="G274" s="225"/>
      <c r="H274" s="126"/>
      <c r="I274" s="126"/>
      <c r="J274" s="126"/>
      <c r="K274" s="18"/>
      <c r="L274" s="18"/>
      <c r="M274" s="18"/>
      <c r="N274" s="80"/>
      <c r="O274" s="126"/>
      <c r="P274" s="126"/>
      <c r="Q274" s="126"/>
      <c r="R274" s="436"/>
      <c r="S274" s="436"/>
      <c r="T274" s="18"/>
      <c r="U274" s="18"/>
      <c r="V274" s="127">
        <f t="shared" si="12"/>
        <v>8144</v>
      </c>
      <c r="W274" s="45"/>
      <c r="X274" s="67"/>
    </row>
    <row r="275" spans="1:24" ht="14.25" customHeight="1">
      <c r="A275" s="427"/>
      <c r="B275" s="122" t="s">
        <v>61</v>
      </c>
      <c r="C275" s="180" t="s">
        <v>137</v>
      </c>
      <c r="D275" s="48" t="s">
        <v>56</v>
      </c>
      <c r="E275" s="441"/>
      <c r="F275" s="118" t="s">
        <v>67</v>
      </c>
      <c r="G275" s="225"/>
      <c r="H275" s="126"/>
      <c r="I275" s="126"/>
      <c r="J275" s="126"/>
      <c r="K275" s="18"/>
      <c r="L275" s="18"/>
      <c r="M275" s="18"/>
      <c r="N275" s="80"/>
      <c r="O275" s="126"/>
      <c r="P275" s="126"/>
      <c r="Q275" s="126"/>
      <c r="R275" s="436"/>
      <c r="S275" s="436"/>
      <c r="T275" s="18"/>
      <c r="U275" s="18"/>
      <c r="V275" s="127">
        <f t="shared" si="12"/>
        <v>5844</v>
      </c>
      <c r="W275" s="45"/>
      <c r="X275" s="67"/>
    </row>
    <row r="276" spans="1:24" ht="14.25" customHeight="1">
      <c r="A276" s="427"/>
      <c r="B276" s="122" t="s">
        <v>125</v>
      </c>
      <c r="C276" s="180" t="s">
        <v>88</v>
      </c>
      <c r="D276" s="48" t="s">
        <v>124</v>
      </c>
      <c r="E276" s="441"/>
      <c r="F276" s="118" t="s">
        <v>64</v>
      </c>
      <c r="G276" s="225"/>
      <c r="H276" s="126"/>
      <c r="I276" s="126"/>
      <c r="J276" s="126"/>
      <c r="K276" s="18"/>
      <c r="L276" s="18"/>
      <c r="M276" s="18">
        <v>51200</v>
      </c>
      <c r="N276" s="80">
        <v>7</v>
      </c>
      <c r="O276" s="126"/>
      <c r="P276" s="126"/>
      <c r="Q276" s="126"/>
      <c r="R276" s="436"/>
      <c r="S276" s="436"/>
      <c r="T276" s="18"/>
      <c r="U276" s="18"/>
      <c r="V276" s="127">
        <f t="shared" si="12"/>
        <v>23615</v>
      </c>
      <c r="W276" s="45"/>
      <c r="X276" s="67"/>
    </row>
    <row r="277" spans="1:24" ht="14.25" customHeight="1">
      <c r="A277" s="427"/>
      <c r="B277" s="137" t="s">
        <v>47</v>
      </c>
      <c r="C277" s="157" t="s">
        <v>100</v>
      </c>
      <c r="D277" s="48" t="s">
        <v>99</v>
      </c>
      <c r="E277" s="441"/>
      <c r="F277" s="118" t="s">
        <v>71</v>
      </c>
      <c r="G277" s="225"/>
      <c r="H277" s="126"/>
      <c r="I277" s="126"/>
      <c r="J277" s="126"/>
      <c r="K277" s="18"/>
      <c r="L277" s="18"/>
      <c r="M277" s="18"/>
      <c r="N277" s="80"/>
      <c r="O277" s="126"/>
      <c r="P277" s="126"/>
      <c r="Q277" s="126"/>
      <c r="R277" s="436"/>
      <c r="S277" s="436"/>
      <c r="T277" s="18"/>
      <c r="U277" s="18"/>
      <c r="V277" s="127">
        <f t="shared" si="12"/>
        <v>55553</v>
      </c>
      <c r="W277" s="45"/>
      <c r="X277" s="67"/>
    </row>
    <row r="278" spans="1:24" ht="15" customHeight="1">
      <c r="A278" s="427"/>
      <c r="B278" s="122" t="s">
        <v>196</v>
      </c>
      <c r="C278" s="180" t="s">
        <v>63</v>
      </c>
      <c r="D278" s="48" t="s">
        <v>135</v>
      </c>
      <c r="E278" s="441"/>
      <c r="F278" s="118" t="s">
        <v>64</v>
      </c>
      <c r="G278" s="226"/>
      <c r="H278" s="126"/>
      <c r="I278" s="126"/>
      <c r="J278" s="2"/>
      <c r="K278" s="18"/>
      <c r="L278" s="18"/>
      <c r="M278" s="18"/>
      <c r="N278" s="18"/>
      <c r="O278" s="126"/>
      <c r="P278" s="126">
        <f>June!BL338</f>
        <v>1491</v>
      </c>
      <c r="Q278" s="126">
        <f>June!BJ338</f>
        <v>5</v>
      </c>
      <c r="R278" s="436"/>
      <c r="S278" s="436"/>
      <c r="T278" s="18"/>
      <c r="U278" s="18"/>
      <c r="V278" s="127">
        <f t="shared" si="12"/>
        <v>41412</v>
      </c>
      <c r="W278" s="45"/>
      <c r="X278" s="67"/>
    </row>
    <row r="279" spans="1:24" ht="15" customHeight="1">
      <c r="A279" s="427"/>
      <c r="B279" s="122" t="s">
        <v>363</v>
      </c>
      <c r="C279" s="180" t="s">
        <v>325</v>
      </c>
      <c r="D279" s="48" t="s">
        <v>328</v>
      </c>
      <c r="E279" s="441"/>
      <c r="F279" s="118" t="s">
        <v>48</v>
      </c>
      <c r="G279" s="226"/>
      <c r="H279" s="126"/>
      <c r="I279" s="126"/>
      <c r="J279" s="2"/>
      <c r="K279" s="18"/>
      <c r="L279" s="18"/>
      <c r="M279" s="18"/>
      <c r="N279" s="18"/>
      <c r="O279" s="126"/>
      <c r="P279" s="126">
        <f>June!BL335</f>
        <v>607</v>
      </c>
      <c r="Q279" s="126">
        <f>June!BJ335</f>
        <v>2</v>
      </c>
      <c r="R279" s="436"/>
      <c r="S279" s="436"/>
      <c r="T279" s="18"/>
      <c r="U279" s="18"/>
      <c r="V279" s="127">
        <f t="shared" si="12"/>
        <v>14153</v>
      </c>
      <c r="W279" s="45"/>
      <c r="X279" s="67"/>
    </row>
    <row r="280" spans="1:24" ht="15" customHeight="1">
      <c r="A280" s="427"/>
      <c r="B280" s="122" t="s">
        <v>253</v>
      </c>
      <c r="C280" s="180" t="s">
        <v>365</v>
      </c>
      <c r="D280" s="48" t="s">
        <v>246</v>
      </c>
      <c r="E280" s="441"/>
      <c r="F280" s="118" t="s">
        <v>247</v>
      </c>
      <c r="G280" s="226"/>
      <c r="H280" s="126"/>
      <c r="I280" s="126"/>
      <c r="J280" s="2"/>
      <c r="K280" s="18"/>
      <c r="L280" s="18"/>
      <c r="M280" s="18"/>
      <c r="N280" s="18"/>
      <c r="O280" s="126"/>
      <c r="P280" s="126">
        <f>June!BL327</f>
        <v>476</v>
      </c>
      <c r="Q280" s="126">
        <f>June!BJ327</f>
        <v>4</v>
      </c>
      <c r="R280" s="436"/>
      <c r="S280" s="436"/>
      <c r="T280" s="18"/>
      <c r="U280" s="18"/>
      <c r="V280" s="127">
        <f t="shared" si="12"/>
        <v>12967</v>
      </c>
      <c r="W280" s="45"/>
      <c r="X280" s="67"/>
    </row>
    <row r="281" spans="1:24" ht="15" customHeight="1">
      <c r="A281" s="427"/>
      <c r="B281" s="122" t="s">
        <v>101</v>
      </c>
      <c r="C281" s="180" t="s">
        <v>327</v>
      </c>
      <c r="D281" s="48" t="s">
        <v>102</v>
      </c>
      <c r="E281" s="441"/>
      <c r="F281" s="118" t="s">
        <v>64</v>
      </c>
      <c r="G281" s="119"/>
      <c r="H281" s="37">
        <v>535.5</v>
      </c>
      <c r="I281" s="126"/>
      <c r="J281" s="2"/>
      <c r="K281" s="18"/>
      <c r="L281" s="18"/>
      <c r="M281" s="18"/>
      <c r="N281" s="18"/>
      <c r="O281" s="126"/>
      <c r="P281" s="126">
        <f>June!BL333</f>
        <v>1967</v>
      </c>
      <c r="Q281" s="126">
        <f>June!BJ333</f>
        <v>5</v>
      </c>
      <c r="R281" s="436"/>
      <c r="S281" s="436"/>
      <c r="T281" s="18"/>
      <c r="U281" s="18"/>
      <c r="V281" s="18">
        <f t="shared" si="12"/>
        <v>16530</v>
      </c>
      <c r="W281" s="45"/>
      <c r="X281" s="67"/>
    </row>
    <row r="282" spans="1:24" s="4" customFormat="1" ht="15" customHeight="1">
      <c r="A282" s="427"/>
      <c r="B282" s="122" t="s">
        <v>375</v>
      </c>
      <c r="C282" s="157" t="s">
        <v>376</v>
      </c>
      <c r="D282" s="48" t="s">
        <v>248</v>
      </c>
      <c r="E282" s="441"/>
      <c r="F282" s="48" t="s">
        <v>64</v>
      </c>
      <c r="G282" s="122"/>
      <c r="H282" s="34"/>
      <c r="I282" s="34"/>
      <c r="J282" s="6"/>
      <c r="K282" s="211"/>
      <c r="L282" s="211"/>
      <c r="M282" s="211"/>
      <c r="N282" s="211"/>
      <c r="O282" s="34"/>
      <c r="P282" s="34"/>
      <c r="Q282" s="34"/>
      <c r="R282" s="436"/>
      <c r="S282" s="436"/>
      <c r="T282" s="211"/>
      <c r="U282" s="211"/>
      <c r="V282" s="211">
        <f t="shared" si="12"/>
        <v>75911</v>
      </c>
      <c r="W282" s="260"/>
      <c r="X282" s="67"/>
    </row>
    <row r="283" spans="1:24" s="4" customFormat="1" ht="15" customHeight="1">
      <c r="A283" s="427"/>
      <c r="B283" s="122" t="s">
        <v>421</v>
      </c>
      <c r="C283" s="157" t="s">
        <v>420</v>
      </c>
      <c r="D283" s="48" t="s">
        <v>248</v>
      </c>
      <c r="E283" s="441"/>
      <c r="F283" s="48" t="s">
        <v>64</v>
      </c>
      <c r="G283" s="327">
        <v>1663.75</v>
      </c>
      <c r="H283" s="34">
        <v>1440</v>
      </c>
      <c r="I283" s="34"/>
      <c r="J283" s="6"/>
      <c r="K283" s="211">
        <v>17850</v>
      </c>
      <c r="L283" s="211">
        <v>5</v>
      </c>
      <c r="M283" s="211">
        <v>4000</v>
      </c>
      <c r="N283" s="211">
        <v>1</v>
      </c>
      <c r="O283" s="34">
        <f>June!BK337</f>
        <v>9326</v>
      </c>
      <c r="P283" s="34">
        <f>June!BL337</f>
        <v>10130</v>
      </c>
      <c r="Q283" s="34">
        <f>June!BJ337</f>
        <v>20</v>
      </c>
      <c r="R283" s="436"/>
      <c r="S283" s="436"/>
      <c r="T283" s="211">
        <v>1600</v>
      </c>
      <c r="U283" s="211"/>
      <c r="V283" s="211">
        <f t="shared" si="12"/>
        <v>42755</v>
      </c>
      <c r="W283" s="260"/>
      <c r="X283" s="67"/>
    </row>
    <row r="284" spans="1:24" s="4" customFormat="1" ht="15" customHeight="1">
      <c r="A284" s="427"/>
      <c r="B284" s="122" t="s">
        <v>289</v>
      </c>
      <c r="C284" s="180" t="s">
        <v>290</v>
      </c>
      <c r="D284" s="48" t="s">
        <v>432</v>
      </c>
      <c r="E284" s="441"/>
      <c r="F284" s="48" t="s">
        <v>381</v>
      </c>
      <c r="G284" s="122"/>
      <c r="H284" s="34"/>
      <c r="I284" s="34"/>
      <c r="J284" s="6"/>
      <c r="K284" s="211"/>
      <c r="L284" s="211"/>
      <c r="M284" s="211"/>
      <c r="N284" s="211"/>
      <c r="O284" s="34"/>
      <c r="P284" s="34">
        <f>June!BL329</f>
        <v>281</v>
      </c>
      <c r="Q284" s="34">
        <f>June!BJ329</f>
        <v>1</v>
      </c>
      <c r="R284" s="436"/>
      <c r="S284" s="436"/>
      <c r="T284" s="211"/>
      <c r="U284" s="211"/>
      <c r="V284" s="211">
        <f t="shared" si="12"/>
        <v>0</v>
      </c>
      <c r="W284" s="260"/>
      <c r="X284" s="67"/>
    </row>
    <row r="285" spans="1:24" s="4" customFormat="1" ht="15" customHeight="1">
      <c r="A285" s="427"/>
      <c r="B285" s="122" t="s">
        <v>425</v>
      </c>
      <c r="C285" s="157" t="s">
        <v>426</v>
      </c>
      <c r="D285" s="48" t="s">
        <v>246</v>
      </c>
      <c r="E285" s="441"/>
      <c r="F285" s="48" t="s">
        <v>64</v>
      </c>
      <c r="G285" s="122"/>
      <c r="H285" s="34"/>
      <c r="I285" s="34"/>
      <c r="J285" s="6"/>
      <c r="K285" s="211"/>
      <c r="L285" s="211"/>
      <c r="M285" s="211"/>
      <c r="N285" s="211"/>
      <c r="O285" s="34">
        <f>June!BK342</f>
        <v>355</v>
      </c>
      <c r="P285" s="34">
        <f>June!BL342</f>
        <v>181</v>
      </c>
      <c r="Q285" s="34">
        <f>June!BJ342</f>
        <v>1</v>
      </c>
      <c r="R285" s="436"/>
      <c r="S285" s="436"/>
      <c r="T285" s="211"/>
      <c r="U285" s="211"/>
      <c r="V285" s="211">
        <f t="shared" si="12"/>
        <v>919</v>
      </c>
      <c r="W285" s="260"/>
      <c r="X285" s="67"/>
    </row>
    <row r="286" spans="1:24" ht="15" customHeight="1">
      <c r="A286" s="427"/>
      <c r="B286" s="122" t="s">
        <v>103</v>
      </c>
      <c r="C286" s="157" t="s">
        <v>197</v>
      </c>
      <c r="D286" s="48" t="s">
        <v>104</v>
      </c>
      <c r="E286" s="441"/>
      <c r="F286" s="118" t="s">
        <v>105</v>
      </c>
      <c r="G286" s="119"/>
      <c r="H286" s="126"/>
      <c r="I286" s="126"/>
      <c r="J286" s="2"/>
      <c r="K286" s="18"/>
      <c r="L286" s="18"/>
      <c r="M286" s="18"/>
      <c r="N286" s="18"/>
      <c r="O286" s="126"/>
      <c r="P286" s="126"/>
      <c r="Q286" s="126">
        <f>June!BJ339</f>
        <v>1</v>
      </c>
      <c r="R286" s="436"/>
      <c r="S286" s="436"/>
      <c r="T286" s="18"/>
      <c r="U286" s="18"/>
      <c r="V286" s="18"/>
      <c r="W286" s="45"/>
      <c r="X286" s="67"/>
    </row>
    <row r="287" spans="1:24" ht="15" customHeight="1">
      <c r="A287" s="427"/>
      <c r="B287" s="137" t="s">
        <v>112</v>
      </c>
      <c r="C287" s="157" t="s">
        <v>197</v>
      </c>
      <c r="D287" s="48" t="s">
        <v>104</v>
      </c>
      <c r="E287" s="441"/>
      <c r="F287" s="118" t="s">
        <v>113</v>
      </c>
      <c r="G287" s="119"/>
      <c r="H287" s="126"/>
      <c r="I287" s="126"/>
      <c r="J287" s="2"/>
      <c r="K287" s="18"/>
      <c r="L287" s="18"/>
      <c r="M287" s="18"/>
      <c r="N287" s="18"/>
      <c r="O287" s="126"/>
      <c r="P287" s="126"/>
      <c r="Q287" s="126">
        <f>June!BJ341</f>
        <v>1</v>
      </c>
      <c r="R287" s="436"/>
      <c r="S287" s="436"/>
      <c r="T287" s="18"/>
      <c r="U287" s="18"/>
      <c r="V287" s="18"/>
      <c r="W287" s="45"/>
      <c r="X287" s="67"/>
    </row>
    <row r="288" spans="1:24" ht="15" customHeight="1" thickBot="1">
      <c r="A288" s="428"/>
      <c r="B288" s="44" t="s">
        <v>107</v>
      </c>
      <c r="C288" s="181" t="s">
        <v>386</v>
      </c>
      <c r="D288" s="61" t="s">
        <v>108</v>
      </c>
      <c r="E288" s="447"/>
      <c r="F288" s="133" t="s">
        <v>48</v>
      </c>
      <c r="G288" s="132"/>
      <c r="H288" s="134"/>
      <c r="I288" s="134"/>
      <c r="J288" s="129"/>
      <c r="K288" s="130"/>
      <c r="L288" s="130"/>
      <c r="M288" s="130">
        <v>13000</v>
      </c>
      <c r="N288" s="130">
        <v>2</v>
      </c>
      <c r="O288" s="134">
        <f>June!BK340</f>
        <v>1600</v>
      </c>
      <c r="P288" s="134">
        <f>June!BL340</f>
        <v>796</v>
      </c>
      <c r="Q288" s="134">
        <f>June!BJ340</f>
        <v>2</v>
      </c>
      <c r="R288" s="437"/>
      <c r="S288" s="437"/>
      <c r="T288" s="130"/>
      <c r="U288" s="130"/>
      <c r="V288" s="128">
        <f>O288-T288-U288+V261</f>
        <v>10356</v>
      </c>
      <c r="W288" s="85"/>
      <c r="X288" s="67"/>
    </row>
    <row r="289" spans="1:25" ht="15" customHeight="1">
      <c r="A289" s="426">
        <v>46185</v>
      </c>
      <c r="B289" s="429" t="s">
        <v>44</v>
      </c>
      <c r="C289" s="432" t="s">
        <v>240</v>
      </c>
      <c r="D289" s="19" t="s">
        <v>37</v>
      </c>
      <c r="E289" s="19" t="s">
        <v>25</v>
      </c>
      <c r="F289" s="39" t="s">
        <v>40</v>
      </c>
      <c r="G289" s="41">
        <v>4948.29</v>
      </c>
      <c r="H289" s="32">
        <v>5760</v>
      </c>
      <c r="I289" s="32"/>
      <c r="J289" s="32"/>
      <c r="K289" s="20">
        <v>40000</v>
      </c>
      <c r="L289" s="20">
        <v>5</v>
      </c>
      <c r="M289" s="20">
        <v>120000</v>
      </c>
      <c r="N289" s="84">
        <v>15</v>
      </c>
      <c r="O289" s="32">
        <f>June!BN313</f>
        <v>50455</v>
      </c>
      <c r="P289" s="32">
        <f>June!BO313</f>
        <v>50839</v>
      </c>
      <c r="Q289" s="32">
        <f>June!BM313</f>
        <v>135</v>
      </c>
      <c r="R289" s="435">
        <f>June!BN346</f>
        <v>97484</v>
      </c>
      <c r="S289" s="435">
        <f>June!BO346</f>
        <v>95028</v>
      </c>
      <c r="T289" s="20">
        <v>44872</v>
      </c>
      <c r="U289" s="20">
        <v>39</v>
      </c>
      <c r="V289" s="20">
        <f>O289-T289-U289+V262</f>
        <v>131987</v>
      </c>
      <c r="W289" s="77"/>
      <c r="X289" s="36"/>
    </row>
    <row r="290" spans="1:25" ht="15" customHeight="1">
      <c r="A290" s="427"/>
      <c r="B290" s="431"/>
      <c r="C290" s="434"/>
      <c r="D290" s="113" t="s">
        <v>307</v>
      </c>
      <c r="E290" s="113" t="s">
        <v>24</v>
      </c>
      <c r="F290" s="118" t="s">
        <v>40</v>
      </c>
      <c r="G290" s="170"/>
      <c r="H290" s="135"/>
      <c r="I290" s="125"/>
      <c r="J290" s="125"/>
      <c r="K290" s="127">
        <v>50400</v>
      </c>
      <c r="L290" s="127">
        <v>6</v>
      </c>
      <c r="M290" s="216">
        <v>117600</v>
      </c>
      <c r="N290" s="238">
        <v>15</v>
      </c>
      <c r="O290" s="126">
        <f>June!BN314</f>
        <v>22797</v>
      </c>
      <c r="P290" s="125">
        <f>June!BO314</f>
        <v>18732</v>
      </c>
      <c r="Q290" s="125">
        <f>June!BM314</f>
        <v>52</v>
      </c>
      <c r="R290" s="436"/>
      <c r="S290" s="436"/>
      <c r="T290" s="127">
        <v>17484</v>
      </c>
      <c r="U290" s="127"/>
      <c r="V290" s="127">
        <f>O290-T290-U290+V263</f>
        <v>161651</v>
      </c>
      <c r="W290" s="46"/>
      <c r="X290" s="67"/>
    </row>
    <row r="291" spans="1:25" ht="15" customHeight="1">
      <c r="A291" s="427"/>
      <c r="B291" s="442" t="s">
        <v>45</v>
      </c>
      <c r="C291" s="448" t="s">
        <v>59</v>
      </c>
      <c r="D291" s="118" t="s">
        <v>75</v>
      </c>
      <c r="E291" s="131" t="s">
        <v>25</v>
      </c>
      <c r="F291" s="131" t="s">
        <v>57</v>
      </c>
      <c r="G291" s="136">
        <v>776.5</v>
      </c>
      <c r="H291" s="152"/>
      <c r="I291" s="126"/>
      <c r="J291" s="2"/>
      <c r="K291" s="127">
        <v>5000</v>
      </c>
      <c r="L291" s="18">
        <v>1</v>
      </c>
      <c r="M291" s="18">
        <v>29680</v>
      </c>
      <c r="N291" s="80">
        <v>6</v>
      </c>
      <c r="O291" s="126">
        <f>June!BN317</f>
        <v>3040</v>
      </c>
      <c r="P291" s="126">
        <f>June!BO317</f>
        <v>2776</v>
      </c>
      <c r="Q291" s="2">
        <f>June!BM317</f>
        <v>11</v>
      </c>
      <c r="R291" s="436"/>
      <c r="S291" s="436"/>
      <c r="T291" s="18"/>
      <c r="U291" s="18"/>
      <c r="V291" s="127">
        <f>O291-T291-U291+V264</f>
        <v>9897</v>
      </c>
      <c r="W291" s="46"/>
      <c r="Y291" s="13"/>
    </row>
    <row r="292" spans="1:25">
      <c r="A292" s="427"/>
      <c r="B292" s="439"/>
      <c r="C292" s="440"/>
      <c r="D292" s="118" t="s">
        <v>72</v>
      </c>
      <c r="E292" s="155" t="s">
        <v>24</v>
      </c>
      <c r="F292" s="131" t="s">
        <v>57</v>
      </c>
      <c r="G292" s="224">
        <v>776.5</v>
      </c>
      <c r="H292" s="152"/>
      <c r="I292" s="126"/>
      <c r="J292" s="126"/>
      <c r="K292" s="127"/>
      <c r="L292" s="18"/>
      <c r="M292" s="18">
        <v>45000</v>
      </c>
      <c r="N292" s="80">
        <v>9</v>
      </c>
      <c r="O292" s="126">
        <f>June!BN319</f>
        <v>3300</v>
      </c>
      <c r="P292" s="126">
        <f>June!BO319</f>
        <v>2035</v>
      </c>
      <c r="Q292" s="126">
        <f>June!BM319</f>
        <v>8</v>
      </c>
      <c r="R292" s="436"/>
      <c r="S292" s="436"/>
      <c r="T292" s="18"/>
      <c r="U292" s="18"/>
      <c r="V292" s="127">
        <f t="shared" ref="V292:V315" si="13">O292-T292-U292+V265</f>
        <v>19607</v>
      </c>
      <c r="W292" s="46"/>
      <c r="Y292" s="13"/>
    </row>
    <row r="293" spans="1:25" ht="14.25" customHeight="1">
      <c r="A293" s="427"/>
      <c r="B293" s="439"/>
      <c r="C293" s="440"/>
      <c r="D293" s="115" t="s">
        <v>79</v>
      </c>
      <c r="E293" s="155" t="s">
        <v>65</v>
      </c>
      <c r="F293" s="131" t="s">
        <v>57</v>
      </c>
      <c r="G293" s="224"/>
      <c r="H293" s="126"/>
      <c r="I293" s="126"/>
      <c r="J293" s="126"/>
      <c r="K293" s="18"/>
      <c r="L293" s="18"/>
      <c r="M293" s="18"/>
      <c r="N293" s="80"/>
      <c r="O293" s="126"/>
      <c r="P293" s="126"/>
      <c r="Q293" s="126"/>
      <c r="R293" s="436"/>
      <c r="S293" s="436"/>
      <c r="T293" s="18"/>
      <c r="U293" s="18"/>
      <c r="V293" s="127">
        <f t="shared" si="13"/>
        <v>10211</v>
      </c>
      <c r="W293" s="45"/>
      <c r="X293" s="36"/>
    </row>
    <row r="294" spans="1:25" ht="14.25" customHeight="1">
      <c r="A294" s="427"/>
      <c r="B294" s="439"/>
      <c r="C294" s="448" t="s">
        <v>299</v>
      </c>
      <c r="D294" s="115" t="s">
        <v>296</v>
      </c>
      <c r="E294" s="424" t="s">
        <v>25</v>
      </c>
      <c r="F294" s="131" t="s">
        <v>298</v>
      </c>
      <c r="G294" s="224"/>
      <c r="H294" s="37"/>
      <c r="I294" s="126"/>
      <c r="J294" s="126"/>
      <c r="K294" s="18"/>
      <c r="L294" s="18"/>
      <c r="M294" s="18"/>
      <c r="N294" s="80"/>
      <c r="O294" s="126"/>
      <c r="P294" s="126"/>
      <c r="Q294" s="126"/>
      <c r="R294" s="436"/>
      <c r="S294" s="436"/>
      <c r="T294" s="18"/>
      <c r="U294" s="18"/>
      <c r="V294" s="127">
        <f t="shared" si="13"/>
        <v>4427</v>
      </c>
      <c r="W294" s="45"/>
      <c r="X294" s="67"/>
    </row>
    <row r="295" spans="1:25" ht="14.25" customHeight="1">
      <c r="A295" s="427"/>
      <c r="B295" s="443"/>
      <c r="C295" s="449"/>
      <c r="D295" s="115" t="s">
        <v>75</v>
      </c>
      <c r="E295" s="425"/>
      <c r="F295" s="131" t="s">
        <v>298</v>
      </c>
      <c r="G295" s="224"/>
      <c r="H295" s="37"/>
      <c r="I295" s="126"/>
      <c r="J295" s="126"/>
      <c r="K295" s="18"/>
      <c r="L295" s="18"/>
      <c r="M295" s="18">
        <v>10000</v>
      </c>
      <c r="N295" s="80">
        <v>2</v>
      </c>
      <c r="O295" s="126"/>
      <c r="P295" s="126">
        <f>June!BO323</f>
        <v>1123</v>
      </c>
      <c r="Q295" s="126">
        <f>June!BM323</f>
        <v>4</v>
      </c>
      <c r="R295" s="436"/>
      <c r="S295" s="436"/>
      <c r="T295" s="18"/>
      <c r="U295" s="18"/>
      <c r="V295" s="127">
        <f t="shared" si="13"/>
        <v>12507</v>
      </c>
      <c r="W295" s="45"/>
      <c r="X295" s="67"/>
    </row>
    <row r="296" spans="1:25" ht="14.25" customHeight="1">
      <c r="A296" s="427"/>
      <c r="B296" s="439" t="s">
        <v>53</v>
      </c>
      <c r="C296" s="445" t="s">
        <v>60</v>
      </c>
      <c r="D296" s="43" t="s">
        <v>320</v>
      </c>
      <c r="E296" s="441" t="s">
        <v>66</v>
      </c>
      <c r="F296" s="118" t="s">
        <v>54</v>
      </c>
      <c r="G296" s="224"/>
      <c r="H296" s="37"/>
      <c r="I296" s="126"/>
      <c r="J296" s="126"/>
      <c r="K296" s="18"/>
      <c r="L296" s="18"/>
      <c r="M296" s="18">
        <v>64800</v>
      </c>
      <c r="N296" s="80">
        <v>11</v>
      </c>
      <c r="O296" s="126">
        <f>June!BN315</f>
        <v>2546</v>
      </c>
      <c r="P296" s="126">
        <f>June!BO315</f>
        <v>2636</v>
      </c>
      <c r="Q296" s="126">
        <f>June!BM315</f>
        <v>8</v>
      </c>
      <c r="R296" s="436"/>
      <c r="S296" s="436"/>
      <c r="T296" s="18"/>
      <c r="U296" s="18"/>
      <c r="V296" s="127">
        <f t="shared" si="13"/>
        <v>35615</v>
      </c>
      <c r="W296" s="45"/>
      <c r="X296" s="67"/>
    </row>
    <row r="297" spans="1:25" ht="14.25" customHeight="1">
      <c r="A297" s="427"/>
      <c r="B297" s="439"/>
      <c r="C297" s="445"/>
      <c r="D297" s="43" t="s">
        <v>387</v>
      </c>
      <c r="E297" s="425"/>
      <c r="F297" s="118" t="s">
        <v>54</v>
      </c>
      <c r="G297" s="229"/>
      <c r="H297" s="182"/>
      <c r="I297" s="125"/>
      <c r="J297" s="125"/>
      <c r="K297" s="127"/>
      <c r="L297" s="127"/>
      <c r="M297" s="127"/>
      <c r="N297" s="171"/>
      <c r="O297" s="125"/>
      <c r="P297" s="125"/>
      <c r="Q297" s="125"/>
      <c r="R297" s="436"/>
      <c r="S297" s="436"/>
      <c r="T297" s="18"/>
      <c r="U297" s="18"/>
      <c r="V297" s="127">
        <f t="shared" si="13"/>
        <v>666</v>
      </c>
      <c r="W297" s="45"/>
      <c r="X297" s="67"/>
    </row>
    <row r="298" spans="1:25" ht="14.25" customHeight="1">
      <c r="A298" s="427"/>
      <c r="B298" s="443"/>
      <c r="C298" s="446"/>
      <c r="D298" s="43" t="s">
        <v>199</v>
      </c>
      <c r="E298" s="114" t="s">
        <v>25</v>
      </c>
      <c r="F298" s="118" t="s">
        <v>54</v>
      </c>
      <c r="G298" s="224"/>
      <c r="H298" s="135"/>
      <c r="I298" s="158"/>
      <c r="J298" s="158"/>
      <c r="K298" s="128"/>
      <c r="L298" s="128"/>
      <c r="M298" s="128"/>
      <c r="N298" s="164"/>
      <c r="O298" s="158"/>
      <c r="P298" s="158"/>
      <c r="Q298" s="158"/>
      <c r="R298" s="436"/>
      <c r="S298" s="436"/>
      <c r="T298" s="18"/>
      <c r="U298" s="18"/>
      <c r="V298" s="127">
        <f t="shared" si="13"/>
        <v>68</v>
      </c>
      <c r="W298" s="45"/>
      <c r="X298" s="67"/>
    </row>
    <row r="299" spans="1:25" ht="15.75" customHeight="1">
      <c r="A299" s="427"/>
      <c r="B299" s="122" t="s">
        <v>55</v>
      </c>
      <c r="C299" s="180" t="s">
        <v>133</v>
      </c>
      <c r="D299" s="48" t="s">
        <v>56</v>
      </c>
      <c r="E299" s="424" t="s">
        <v>25</v>
      </c>
      <c r="F299" s="118" t="s">
        <v>67</v>
      </c>
      <c r="G299" s="226"/>
      <c r="H299" s="126"/>
      <c r="I299" s="126"/>
      <c r="J299" s="2"/>
      <c r="K299" s="18"/>
      <c r="L299" s="18"/>
      <c r="M299" s="18"/>
      <c r="N299" s="18"/>
      <c r="O299" s="126">
        <f>June!BN343</f>
        <v>310</v>
      </c>
      <c r="P299" s="126">
        <f>June!BO343</f>
        <v>282</v>
      </c>
      <c r="Q299" s="126">
        <f>June!BM343</f>
        <v>1</v>
      </c>
      <c r="R299" s="436"/>
      <c r="S299" s="436"/>
      <c r="T299" s="18"/>
      <c r="U299" s="18"/>
      <c r="V299" s="127">
        <f>O299-T299-U299+V272</f>
        <v>7822</v>
      </c>
      <c r="W299" s="45"/>
      <c r="X299" s="67"/>
    </row>
    <row r="300" spans="1:25" ht="15" customHeight="1">
      <c r="A300" s="427"/>
      <c r="B300" s="122" t="s">
        <v>122</v>
      </c>
      <c r="C300" s="180" t="s">
        <v>123</v>
      </c>
      <c r="D300" s="48" t="s">
        <v>56</v>
      </c>
      <c r="E300" s="441"/>
      <c r="F300" s="155" t="s">
        <v>64</v>
      </c>
      <c r="G300" s="119"/>
      <c r="H300" s="126"/>
      <c r="I300" s="126"/>
      <c r="J300" s="2"/>
      <c r="K300" s="18"/>
      <c r="L300" s="18"/>
      <c r="M300" s="18">
        <v>64000</v>
      </c>
      <c r="N300" s="18">
        <v>2</v>
      </c>
      <c r="O300" s="126"/>
      <c r="P300" s="126"/>
      <c r="Q300" s="126"/>
      <c r="R300" s="436"/>
      <c r="S300" s="436"/>
      <c r="T300" s="18"/>
      <c r="U300" s="18"/>
      <c r="V300" s="127">
        <f t="shared" si="13"/>
        <v>18121</v>
      </c>
      <c r="W300" s="45"/>
      <c r="X300" s="67"/>
    </row>
    <row r="301" spans="1:25" ht="14.25" customHeight="1">
      <c r="A301" s="427"/>
      <c r="B301" s="137" t="s">
        <v>58</v>
      </c>
      <c r="C301" s="157" t="s">
        <v>243</v>
      </c>
      <c r="D301" s="48" t="s">
        <v>56</v>
      </c>
      <c r="E301" s="441"/>
      <c r="F301" s="118" t="s">
        <v>64</v>
      </c>
      <c r="G301" s="225"/>
      <c r="H301" s="126"/>
      <c r="I301" s="126"/>
      <c r="J301" s="126"/>
      <c r="K301" s="18"/>
      <c r="L301" s="18"/>
      <c r="M301" s="18"/>
      <c r="N301" s="80"/>
      <c r="O301" s="126"/>
      <c r="P301" s="126"/>
      <c r="Q301" s="126"/>
      <c r="R301" s="436"/>
      <c r="S301" s="436"/>
      <c r="T301" s="18"/>
      <c r="U301" s="18"/>
      <c r="V301" s="127">
        <f t="shared" si="13"/>
        <v>8144</v>
      </c>
      <c r="W301" s="45"/>
      <c r="X301" s="67"/>
    </row>
    <row r="302" spans="1:25" ht="14.25" customHeight="1">
      <c r="A302" s="427"/>
      <c r="B302" s="122" t="s">
        <v>61</v>
      </c>
      <c r="C302" s="180" t="s">
        <v>137</v>
      </c>
      <c r="D302" s="48" t="s">
        <v>56</v>
      </c>
      <c r="E302" s="441"/>
      <c r="F302" s="118" t="s">
        <v>67</v>
      </c>
      <c r="G302" s="225"/>
      <c r="H302" s="126"/>
      <c r="I302" s="126"/>
      <c r="J302" s="126"/>
      <c r="K302" s="18"/>
      <c r="L302" s="18"/>
      <c r="M302" s="18"/>
      <c r="N302" s="80"/>
      <c r="O302" s="126"/>
      <c r="P302" s="126"/>
      <c r="Q302" s="126"/>
      <c r="R302" s="436"/>
      <c r="S302" s="436"/>
      <c r="T302" s="18"/>
      <c r="U302" s="18"/>
      <c r="V302" s="127">
        <f t="shared" si="13"/>
        <v>5844</v>
      </c>
      <c r="W302" s="45"/>
      <c r="X302" s="67"/>
    </row>
    <row r="303" spans="1:25" ht="14.25" customHeight="1">
      <c r="A303" s="427"/>
      <c r="B303" s="122" t="s">
        <v>125</v>
      </c>
      <c r="C303" s="180" t="s">
        <v>88</v>
      </c>
      <c r="D303" s="48" t="s">
        <v>124</v>
      </c>
      <c r="E303" s="441"/>
      <c r="F303" s="118" t="s">
        <v>64</v>
      </c>
      <c r="G303" s="225"/>
      <c r="H303" s="126"/>
      <c r="I303" s="126"/>
      <c r="J303" s="126"/>
      <c r="K303" s="18"/>
      <c r="L303" s="18"/>
      <c r="M303" s="18">
        <v>51200</v>
      </c>
      <c r="N303" s="80">
        <v>7</v>
      </c>
      <c r="O303" s="126"/>
      <c r="P303" s="126"/>
      <c r="Q303" s="126"/>
      <c r="R303" s="436"/>
      <c r="S303" s="436"/>
      <c r="T303" s="18"/>
      <c r="U303" s="18"/>
      <c r="V303" s="127">
        <f t="shared" si="13"/>
        <v>23615</v>
      </c>
      <c r="W303" s="45"/>
      <c r="X303" s="67"/>
    </row>
    <row r="304" spans="1:25" ht="14.25" customHeight="1">
      <c r="A304" s="427"/>
      <c r="B304" s="137" t="s">
        <v>47</v>
      </c>
      <c r="C304" s="157" t="s">
        <v>100</v>
      </c>
      <c r="D304" s="48" t="s">
        <v>99</v>
      </c>
      <c r="E304" s="441"/>
      <c r="F304" s="118" t="s">
        <v>71</v>
      </c>
      <c r="G304" s="225"/>
      <c r="H304" s="126"/>
      <c r="I304" s="126"/>
      <c r="J304" s="126"/>
      <c r="K304" s="18"/>
      <c r="L304" s="18"/>
      <c r="M304" s="18"/>
      <c r="N304" s="80"/>
      <c r="O304" s="126"/>
      <c r="P304" s="126"/>
      <c r="Q304" s="126"/>
      <c r="R304" s="436"/>
      <c r="S304" s="436"/>
      <c r="T304" s="18"/>
      <c r="U304" s="18"/>
      <c r="V304" s="127">
        <f t="shared" si="13"/>
        <v>55553</v>
      </c>
      <c r="W304" s="45"/>
      <c r="X304" s="67"/>
    </row>
    <row r="305" spans="1:25" ht="15" customHeight="1">
      <c r="A305" s="427"/>
      <c r="B305" s="122" t="s">
        <v>196</v>
      </c>
      <c r="C305" s="180" t="s">
        <v>63</v>
      </c>
      <c r="D305" s="48" t="s">
        <v>135</v>
      </c>
      <c r="E305" s="441"/>
      <c r="F305" s="118" t="s">
        <v>64</v>
      </c>
      <c r="G305" s="226"/>
      <c r="H305" s="126"/>
      <c r="I305" s="126"/>
      <c r="J305" s="2"/>
      <c r="K305" s="18"/>
      <c r="L305" s="18"/>
      <c r="M305" s="18"/>
      <c r="N305" s="18"/>
      <c r="O305" s="126"/>
      <c r="P305" s="126">
        <f>June!BO338</f>
        <v>1486</v>
      </c>
      <c r="Q305" s="126">
        <f>June!BM338</f>
        <v>5</v>
      </c>
      <c r="R305" s="436"/>
      <c r="S305" s="436"/>
      <c r="T305" s="18"/>
      <c r="U305" s="18"/>
      <c r="V305" s="127">
        <f t="shared" si="13"/>
        <v>41412</v>
      </c>
      <c r="W305" s="45"/>
      <c r="X305" s="67"/>
    </row>
    <row r="306" spans="1:25" ht="15" customHeight="1">
      <c r="A306" s="427"/>
      <c r="B306" s="122" t="s">
        <v>363</v>
      </c>
      <c r="C306" s="180" t="s">
        <v>325</v>
      </c>
      <c r="D306" s="48" t="s">
        <v>328</v>
      </c>
      <c r="E306" s="441"/>
      <c r="F306" s="118" t="s">
        <v>48</v>
      </c>
      <c r="G306" s="226"/>
      <c r="H306" s="126"/>
      <c r="I306" s="126"/>
      <c r="J306" s="2"/>
      <c r="K306" s="18"/>
      <c r="L306" s="18"/>
      <c r="M306" s="18"/>
      <c r="N306" s="18"/>
      <c r="O306" s="126">
        <f>June!BN335</f>
        <v>1000</v>
      </c>
      <c r="P306" s="126">
        <f>June!BO335</f>
        <v>609</v>
      </c>
      <c r="Q306" s="126">
        <f>June!BM335</f>
        <v>2</v>
      </c>
      <c r="R306" s="436"/>
      <c r="S306" s="436"/>
      <c r="T306" s="18"/>
      <c r="U306" s="18"/>
      <c r="V306" s="127">
        <f t="shared" si="13"/>
        <v>15153</v>
      </c>
      <c r="W306" s="45"/>
      <c r="X306" s="67"/>
    </row>
    <row r="307" spans="1:25" ht="15" customHeight="1">
      <c r="A307" s="427"/>
      <c r="B307" s="122" t="s">
        <v>253</v>
      </c>
      <c r="C307" s="180" t="s">
        <v>365</v>
      </c>
      <c r="D307" s="48" t="s">
        <v>246</v>
      </c>
      <c r="E307" s="441"/>
      <c r="F307" s="118" t="s">
        <v>247</v>
      </c>
      <c r="G307" s="226"/>
      <c r="H307" s="38">
        <v>297.36</v>
      </c>
      <c r="I307" s="126"/>
      <c r="J307" s="2"/>
      <c r="K307" s="18"/>
      <c r="L307" s="18"/>
      <c r="M307" s="18"/>
      <c r="N307" s="18"/>
      <c r="O307" s="126"/>
      <c r="P307" s="126">
        <f>June!BO327</f>
        <v>465</v>
      </c>
      <c r="Q307" s="126">
        <f>June!BM327</f>
        <v>4</v>
      </c>
      <c r="R307" s="436"/>
      <c r="S307" s="436"/>
      <c r="T307" s="18"/>
      <c r="U307" s="18"/>
      <c r="V307" s="127">
        <f t="shared" si="13"/>
        <v>12967</v>
      </c>
      <c r="W307" s="45"/>
      <c r="X307" s="67"/>
    </row>
    <row r="308" spans="1:25" ht="15" customHeight="1">
      <c r="A308" s="427"/>
      <c r="B308" s="122" t="s">
        <v>101</v>
      </c>
      <c r="C308" s="180" t="s">
        <v>327</v>
      </c>
      <c r="D308" s="48" t="s">
        <v>102</v>
      </c>
      <c r="E308" s="441"/>
      <c r="F308" s="118" t="s">
        <v>64</v>
      </c>
      <c r="G308" s="119"/>
      <c r="H308" s="126"/>
      <c r="I308" s="126"/>
      <c r="J308" s="2"/>
      <c r="K308" s="18"/>
      <c r="L308" s="18"/>
      <c r="M308" s="18"/>
      <c r="N308" s="18"/>
      <c r="O308" s="126">
        <f>June!BN333</f>
        <v>3040</v>
      </c>
      <c r="P308" s="126">
        <f>June!BO333</f>
        <v>1878</v>
      </c>
      <c r="Q308" s="126">
        <f>June!BM333</f>
        <v>5</v>
      </c>
      <c r="R308" s="436"/>
      <c r="S308" s="436"/>
      <c r="T308" s="18"/>
      <c r="U308" s="18"/>
      <c r="V308" s="18">
        <f t="shared" si="13"/>
        <v>19570</v>
      </c>
      <c r="W308" s="45"/>
      <c r="X308" s="67"/>
    </row>
    <row r="309" spans="1:25" s="4" customFormat="1" ht="15" customHeight="1">
      <c r="A309" s="427"/>
      <c r="B309" s="122" t="s">
        <v>375</v>
      </c>
      <c r="C309" s="157" t="s">
        <v>376</v>
      </c>
      <c r="D309" s="48" t="s">
        <v>248</v>
      </c>
      <c r="E309" s="441"/>
      <c r="F309" s="48" t="s">
        <v>64</v>
      </c>
      <c r="G309" s="122"/>
      <c r="H309" s="34"/>
      <c r="I309" s="34"/>
      <c r="J309" s="6"/>
      <c r="K309" s="211"/>
      <c r="L309" s="211"/>
      <c r="M309" s="211"/>
      <c r="N309" s="211"/>
      <c r="O309" s="34"/>
      <c r="P309" s="34"/>
      <c r="Q309" s="34"/>
      <c r="R309" s="436"/>
      <c r="S309" s="436"/>
      <c r="T309" s="211"/>
      <c r="U309" s="211"/>
      <c r="V309" s="211">
        <f t="shared" si="13"/>
        <v>75911</v>
      </c>
      <c r="W309" s="260"/>
      <c r="X309" s="67"/>
    </row>
    <row r="310" spans="1:25" s="4" customFormat="1" ht="15" customHeight="1">
      <c r="A310" s="427"/>
      <c r="B310" s="122" t="s">
        <v>421</v>
      </c>
      <c r="C310" s="157" t="s">
        <v>420</v>
      </c>
      <c r="D310" s="48" t="s">
        <v>248</v>
      </c>
      <c r="E310" s="441"/>
      <c r="F310" s="48" t="s">
        <v>64</v>
      </c>
      <c r="G310" s="38">
        <v>1574.72</v>
      </c>
      <c r="H310" s="34"/>
      <c r="I310" s="34"/>
      <c r="J310" s="6"/>
      <c r="K310" s="211">
        <v>16600</v>
      </c>
      <c r="L310" s="211">
        <v>4</v>
      </c>
      <c r="M310" s="211">
        <v>4200</v>
      </c>
      <c r="N310" s="211">
        <v>1</v>
      </c>
      <c r="O310" s="34">
        <f>June!BN337</f>
        <v>9474</v>
      </c>
      <c r="P310" s="34">
        <f>June!BO337</f>
        <v>11048</v>
      </c>
      <c r="Q310" s="34">
        <f>June!BM337</f>
        <v>20</v>
      </c>
      <c r="R310" s="436"/>
      <c r="S310" s="436"/>
      <c r="T310" s="211"/>
      <c r="U310" s="211"/>
      <c r="V310" s="211">
        <f t="shared" si="13"/>
        <v>52229</v>
      </c>
      <c r="W310" s="260"/>
      <c r="X310" s="67"/>
    </row>
    <row r="311" spans="1:25" s="4" customFormat="1" ht="15" customHeight="1">
      <c r="A311" s="427"/>
      <c r="B311" s="122" t="s">
        <v>289</v>
      </c>
      <c r="C311" s="180" t="s">
        <v>290</v>
      </c>
      <c r="D311" s="48" t="s">
        <v>432</v>
      </c>
      <c r="E311" s="441"/>
      <c r="F311" s="48" t="s">
        <v>381</v>
      </c>
      <c r="G311" s="122"/>
      <c r="H311" s="34"/>
      <c r="I311" s="34"/>
      <c r="J311" s="6"/>
      <c r="K311" s="211"/>
      <c r="L311" s="211"/>
      <c r="M311" s="211"/>
      <c r="N311" s="211"/>
      <c r="O311" s="34">
        <f>June!BN329</f>
        <v>722</v>
      </c>
      <c r="P311" s="34">
        <f>June!BO329</f>
        <v>277</v>
      </c>
      <c r="Q311" s="34">
        <f>June!BM329</f>
        <v>1</v>
      </c>
      <c r="R311" s="436"/>
      <c r="S311" s="436"/>
      <c r="T311" s="211"/>
      <c r="U311" s="211"/>
      <c r="V311" s="211">
        <f t="shared" si="13"/>
        <v>722</v>
      </c>
      <c r="W311" s="260"/>
      <c r="X311" s="67"/>
    </row>
    <row r="312" spans="1:25" s="4" customFormat="1" ht="15" customHeight="1">
      <c r="A312" s="427"/>
      <c r="B312" s="122" t="s">
        <v>425</v>
      </c>
      <c r="C312" s="157" t="s">
        <v>426</v>
      </c>
      <c r="D312" s="48" t="s">
        <v>246</v>
      </c>
      <c r="E312" s="441"/>
      <c r="F312" s="48" t="s">
        <v>64</v>
      </c>
      <c r="G312" s="122"/>
      <c r="H312" s="34"/>
      <c r="I312" s="34"/>
      <c r="J312" s="6"/>
      <c r="K312" s="211"/>
      <c r="L312" s="211"/>
      <c r="M312" s="211"/>
      <c r="N312" s="211"/>
      <c r="O312" s="34"/>
      <c r="P312" s="34"/>
      <c r="Q312" s="34"/>
      <c r="R312" s="436"/>
      <c r="S312" s="436"/>
      <c r="T312" s="211">
        <v>919</v>
      </c>
      <c r="U312" s="211"/>
      <c r="V312" s="211">
        <f t="shared" si="13"/>
        <v>0</v>
      </c>
      <c r="W312" s="260"/>
      <c r="X312" s="67"/>
    </row>
    <row r="313" spans="1:25" ht="15" customHeight="1">
      <c r="A313" s="427"/>
      <c r="B313" s="122" t="s">
        <v>103</v>
      </c>
      <c r="C313" s="157" t="s">
        <v>197</v>
      </c>
      <c r="D313" s="48" t="s">
        <v>104</v>
      </c>
      <c r="E313" s="441"/>
      <c r="F313" s="118" t="s">
        <v>105</v>
      </c>
      <c r="G313" s="119"/>
      <c r="H313" s="126"/>
      <c r="I313" s="126"/>
      <c r="J313" s="2"/>
      <c r="K313" s="18"/>
      <c r="L313" s="18"/>
      <c r="M313" s="18"/>
      <c r="N313" s="18"/>
      <c r="O313" s="126"/>
      <c r="P313" s="126"/>
      <c r="Q313" s="126">
        <f>June!BM339</f>
        <v>1</v>
      </c>
      <c r="R313" s="436"/>
      <c r="S313" s="436"/>
      <c r="T313" s="18"/>
      <c r="U313" s="18"/>
      <c r="V313" s="18">
        <f t="shared" si="13"/>
        <v>0</v>
      </c>
      <c r="W313" s="45"/>
      <c r="X313" s="67"/>
    </row>
    <row r="314" spans="1:25" ht="15" customHeight="1">
      <c r="A314" s="427"/>
      <c r="B314" s="137" t="s">
        <v>112</v>
      </c>
      <c r="C314" s="157" t="s">
        <v>197</v>
      </c>
      <c r="D314" s="48" t="s">
        <v>104</v>
      </c>
      <c r="E314" s="441"/>
      <c r="F314" s="118" t="s">
        <v>113</v>
      </c>
      <c r="G314" s="119"/>
      <c r="H314" s="126"/>
      <c r="I314" s="126"/>
      <c r="J314" s="2"/>
      <c r="K314" s="18"/>
      <c r="L314" s="18"/>
      <c r="M314" s="18"/>
      <c r="N314" s="18"/>
      <c r="O314" s="126"/>
      <c r="P314" s="126"/>
      <c r="Q314" s="126">
        <f>June!BM341</f>
        <v>1</v>
      </c>
      <c r="R314" s="436"/>
      <c r="S314" s="436"/>
      <c r="T314" s="18"/>
      <c r="U314" s="18"/>
      <c r="V314" s="18">
        <f t="shared" si="13"/>
        <v>0</v>
      </c>
      <c r="W314" s="45"/>
      <c r="X314" s="67"/>
    </row>
    <row r="315" spans="1:25" ht="15" customHeight="1" thickBot="1">
      <c r="A315" s="428"/>
      <c r="B315" s="44" t="s">
        <v>107</v>
      </c>
      <c r="C315" s="181" t="s">
        <v>386</v>
      </c>
      <c r="D315" s="61" t="s">
        <v>108</v>
      </c>
      <c r="E315" s="447"/>
      <c r="F315" s="133" t="s">
        <v>48</v>
      </c>
      <c r="G315" s="132"/>
      <c r="H315" s="134"/>
      <c r="I315" s="134"/>
      <c r="J315" s="129"/>
      <c r="K315" s="130"/>
      <c r="L315" s="130"/>
      <c r="M315" s="130">
        <v>13000</v>
      </c>
      <c r="N315" s="130">
        <v>2</v>
      </c>
      <c r="O315" s="134">
        <f>June!BN340</f>
        <v>800</v>
      </c>
      <c r="P315" s="134">
        <f>June!BO340</f>
        <v>842</v>
      </c>
      <c r="Q315" s="134">
        <f>June!BM340</f>
        <v>2</v>
      </c>
      <c r="R315" s="437"/>
      <c r="S315" s="437"/>
      <c r="T315" s="130"/>
      <c r="U315" s="130"/>
      <c r="V315" s="128">
        <f t="shared" si="13"/>
        <v>11156</v>
      </c>
      <c r="W315" s="85"/>
      <c r="X315" s="67"/>
    </row>
    <row r="316" spans="1:25" ht="15" customHeight="1">
      <c r="A316" s="426">
        <v>46186</v>
      </c>
      <c r="B316" s="429" t="s">
        <v>44</v>
      </c>
      <c r="C316" s="432" t="s">
        <v>240</v>
      </c>
      <c r="D316" s="19" t="s">
        <v>37</v>
      </c>
      <c r="E316" s="19" t="s">
        <v>25</v>
      </c>
      <c r="F316" s="39" t="s">
        <v>40</v>
      </c>
      <c r="G316" s="41">
        <v>2955.23</v>
      </c>
      <c r="H316" s="32">
        <f>4608+1136</f>
        <v>5744</v>
      </c>
      <c r="I316" s="32"/>
      <c r="J316" s="32"/>
      <c r="K316" s="20">
        <v>8000</v>
      </c>
      <c r="L316" s="20">
        <v>1</v>
      </c>
      <c r="M316" s="20">
        <v>155000</v>
      </c>
      <c r="N316" s="84">
        <v>20</v>
      </c>
      <c r="O316" s="32">
        <f>June!BQ313</f>
        <v>45675</v>
      </c>
      <c r="P316" s="32">
        <f>June!BR313</f>
        <v>48268</v>
      </c>
      <c r="Q316" s="32">
        <f>June!BP313</f>
        <v>135</v>
      </c>
      <c r="R316" s="435">
        <f>June!BQ346</f>
        <v>93605</v>
      </c>
      <c r="S316" s="435">
        <f>June!BR346</f>
        <v>88083</v>
      </c>
      <c r="T316" s="20">
        <v>27597</v>
      </c>
      <c r="U316" s="20"/>
      <c r="V316" s="20">
        <f t="shared" ref="V316:V338" si="14">O316-T316-U316+V289</f>
        <v>150065</v>
      </c>
      <c r="W316" s="77"/>
      <c r="X316" s="36"/>
    </row>
    <row r="317" spans="1:25" ht="15" customHeight="1">
      <c r="A317" s="427"/>
      <c r="B317" s="431"/>
      <c r="C317" s="434"/>
      <c r="D317" s="113" t="s">
        <v>307</v>
      </c>
      <c r="E317" s="113" t="s">
        <v>24</v>
      </c>
      <c r="F317" s="118" t="s">
        <v>40</v>
      </c>
      <c r="G317" s="170">
        <v>3257.62</v>
      </c>
      <c r="H317" s="135"/>
      <c r="I317" s="125"/>
      <c r="J317" s="125"/>
      <c r="K317" s="127">
        <v>48000</v>
      </c>
      <c r="L317" s="127">
        <v>6</v>
      </c>
      <c r="M317" s="216">
        <v>117000</v>
      </c>
      <c r="N317" s="238">
        <v>15</v>
      </c>
      <c r="O317" s="126">
        <f>June!BQ314</f>
        <v>17202</v>
      </c>
      <c r="P317" s="125">
        <f>June!BR314</f>
        <v>18032</v>
      </c>
      <c r="Q317" s="125">
        <f>June!BP314</f>
        <v>52</v>
      </c>
      <c r="R317" s="436"/>
      <c r="S317" s="436"/>
      <c r="T317" s="127">
        <v>18892</v>
      </c>
      <c r="U317" s="127"/>
      <c r="V317" s="127">
        <f t="shared" si="14"/>
        <v>159961</v>
      </c>
      <c r="W317" s="46"/>
      <c r="X317" s="67"/>
    </row>
    <row r="318" spans="1:25" ht="15" customHeight="1">
      <c r="A318" s="427"/>
      <c r="B318" s="442" t="s">
        <v>45</v>
      </c>
      <c r="C318" s="448" t="s">
        <v>59</v>
      </c>
      <c r="D318" s="118" t="s">
        <v>75</v>
      </c>
      <c r="E318" s="131" t="s">
        <v>25</v>
      </c>
      <c r="F318" s="131" t="s">
        <v>57</v>
      </c>
      <c r="G318" s="87"/>
      <c r="H318" s="152"/>
      <c r="I318" s="126"/>
      <c r="J318" s="2"/>
      <c r="K318" s="127">
        <v>5000</v>
      </c>
      <c r="L318" s="18">
        <v>1</v>
      </c>
      <c r="M318" s="18">
        <v>24680</v>
      </c>
      <c r="N318" s="80">
        <v>5</v>
      </c>
      <c r="O318" s="126">
        <f>June!BQ317</f>
        <v>2403</v>
      </c>
      <c r="P318" s="126">
        <f>June!BR317</f>
        <v>2562</v>
      </c>
      <c r="Q318" s="2">
        <f>June!BP317</f>
        <v>11</v>
      </c>
      <c r="R318" s="436"/>
      <c r="S318" s="436"/>
      <c r="T318" s="18">
        <v>554</v>
      </c>
      <c r="U318" s="18"/>
      <c r="V318" s="127">
        <f t="shared" si="14"/>
        <v>11746</v>
      </c>
      <c r="W318" s="46"/>
      <c r="Y318" s="13"/>
    </row>
    <row r="319" spans="1:25">
      <c r="A319" s="427"/>
      <c r="B319" s="439"/>
      <c r="C319" s="440"/>
      <c r="D319" s="118" t="s">
        <v>72</v>
      </c>
      <c r="E319" s="155" t="s">
        <v>24</v>
      </c>
      <c r="F319" s="131" t="s">
        <v>57</v>
      </c>
      <c r="G319" s="224"/>
      <c r="H319" s="152"/>
      <c r="I319" s="126"/>
      <c r="J319" s="126"/>
      <c r="K319" s="127">
        <v>5000</v>
      </c>
      <c r="L319" s="18">
        <v>1</v>
      </c>
      <c r="M319" s="18">
        <v>40000</v>
      </c>
      <c r="N319" s="80">
        <v>8</v>
      </c>
      <c r="O319" s="126">
        <f>June!BQ319</f>
        <v>3482</v>
      </c>
      <c r="P319" s="126">
        <f>June!BR319</f>
        <v>1780</v>
      </c>
      <c r="Q319" s="126">
        <f>June!BP319</f>
        <v>8</v>
      </c>
      <c r="R319" s="436"/>
      <c r="S319" s="436"/>
      <c r="T319" s="18"/>
      <c r="U319" s="18"/>
      <c r="V319" s="127">
        <f t="shared" si="14"/>
        <v>23089</v>
      </c>
      <c r="W319" s="46"/>
      <c r="Y319" s="13"/>
    </row>
    <row r="320" spans="1:25" ht="14.25" customHeight="1">
      <c r="A320" s="427"/>
      <c r="B320" s="439"/>
      <c r="C320" s="440"/>
      <c r="D320" s="115" t="s">
        <v>79</v>
      </c>
      <c r="E320" s="155" t="s">
        <v>65</v>
      </c>
      <c r="F320" s="131" t="s">
        <v>57</v>
      </c>
      <c r="G320" s="224"/>
      <c r="H320" s="126"/>
      <c r="I320" s="126"/>
      <c r="J320" s="126"/>
      <c r="K320" s="18"/>
      <c r="L320" s="18"/>
      <c r="M320" s="18"/>
      <c r="N320" s="80"/>
      <c r="O320" s="126"/>
      <c r="P320" s="126"/>
      <c r="Q320" s="126"/>
      <c r="R320" s="436"/>
      <c r="S320" s="436"/>
      <c r="T320" s="18"/>
      <c r="U320" s="18"/>
      <c r="V320" s="127">
        <f t="shared" si="14"/>
        <v>10211</v>
      </c>
      <c r="W320" s="45"/>
      <c r="X320" s="36"/>
    </row>
    <row r="321" spans="1:24" ht="14.25" customHeight="1">
      <c r="A321" s="427"/>
      <c r="B321" s="439"/>
      <c r="C321" s="448" t="s">
        <v>299</v>
      </c>
      <c r="D321" s="115" t="s">
        <v>296</v>
      </c>
      <c r="E321" s="424" t="s">
        <v>25</v>
      </c>
      <c r="F321" s="131" t="s">
        <v>298</v>
      </c>
      <c r="G321" s="224"/>
      <c r="H321" s="37"/>
      <c r="I321" s="126"/>
      <c r="J321" s="126"/>
      <c r="K321" s="18"/>
      <c r="L321" s="18"/>
      <c r="M321" s="18"/>
      <c r="N321" s="80"/>
      <c r="O321" s="126"/>
      <c r="P321" s="126"/>
      <c r="Q321" s="126"/>
      <c r="R321" s="436"/>
      <c r="S321" s="436"/>
      <c r="T321" s="18"/>
      <c r="U321" s="18"/>
      <c r="V321" s="127">
        <f t="shared" si="14"/>
        <v>4427</v>
      </c>
      <c r="W321" s="45"/>
      <c r="X321" s="67"/>
    </row>
    <row r="322" spans="1:24" ht="14.25" customHeight="1">
      <c r="A322" s="427"/>
      <c r="B322" s="443"/>
      <c r="C322" s="449"/>
      <c r="D322" s="115" t="s">
        <v>75</v>
      </c>
      <c r="E322" s="425"/>
      <c r="F322" s="131" t="s">
        <v>298</v>
      </c>
      <c r="G322" s="224"/>
      <c r="H322" s="37"/>
      <c r="I322" s="126"/>
      <c r="J322" s="126"/>
      <c r="K322" s="18"/>
      <c r="L322" s="18"/>
      <c r="M322" s="18">
        <v>10000</v>
      </c>
      <c r="N322" s="80">
        <v>2</v>
      </c>
      <c r="O322" s="126">
        <f>June!BQ323</f>
        <v>2088</v>
      </c>
      <c r="P322" s="126">
        <f>June!BR323</f>
        <v>962</v>
      </c>
      <c r="Q322" s="126">
        <f>June!BP323</f>
        <v>4</v>
      </c>
      <c r="R322" s="436"/>
      <c r="S322" s="436"/>
      <c r="T322" s="18"/>
      <c r="U322" s="18"/>
      <c r="V322" s="127">
        <f t="shared" si="14"/>
        <v>14595</v>
      </c>
      <c r="W322" s="45"/>
      <c r="X322" s="67"/>
    </row>
    <row r="323" spans="1:24" ht="14.25" customHeight="1">
      <c r="A323" s="427"/>
      <c r="B323" s="439" t="s">
        <v>53</v>
      </c>
      <c r="C323" s="445" t="s">
        <v>60</v>
      </c>
      <c r="D323" s="43" t="s">
        <v>320</v>
      </c>
      <c r="E323" s="441" t="s">
        <v>66</v>
      </c>
      <c r="F323" s="118" t="s">
        <v>54</v>
      </c>
      <c r="G323" s="224"/>
      <c r="H323" s="37"/>
      <c r="I323" s="126"/>
      <c r="J323" s="126"/>
      <c r="K323" s="18"/>
      <c r="L323" s="18"/>
      <c r="M323" s="18"/>
      <c r="N323" s="80"/>
      <c r="O323" s="126">
        <f>June!BQ315</f>
        <v>6991</v>
      </c>
      <c r="P323" s="126">
        <f>June!BR315</f>
        <v>2205</v>
      </c>
      <c r="Q323" s="126">
        <f>June!BP315</f>
        <v>8</v>
      </c>
      <c r="R323" s="436"/>
      <c r="S323" s="436"/>
      <c r="T323" s="18"/>
      <c r="U323" s="18"/>
      <c r="V323" s="127">
        <f t="shared" si="14"/>
        <v>42606</v>
      </c>
      <c r="W323" s="45"/>
      <c r="X323" s="67"/>
    </row>
    <row r="324" spans="1:24" ht="14.25" customHeight="1">
      <c r="A324" s="427"/>
      <c r="B324" s="439"/>
      <c r="C324" s="445"/>
      <c r="D324" s="43" t="s">
        <v>387</v>
      </c>
      <c r="E324" s="425"/>
      <c r="F324" s="118" t="s">
        <v>54</v>
      </c>
      <c r="G324" s="229"/>
      <c r="H324" s="182"/>
      <c r="I324" s="125"/>
      <c r="J324" s="125"/>
      <c r="K324" s="127"/>
      <c r="L324" s="127"/>
      <c r="M324" s="127">
        <v>64800</v>
      </c>
      <c r="N324" s="171">
        <v>11</v>
      </c>
      <c r="O324" s="125"/>
      <c r="P324" s="125"/>
      <c r="Q324" s="125"/>
      <c r="R324" s="436"/>
      <c r="S324" s="436"/>
      <c r="T324" s="18"/>
      <c r="U324" s="18"/>
      <c r="V324" s="127">
        <f t="shared" si="14"/>
        <v>666</v>
      </c>
      <c r="W324" s="45"/>
      <c r="X324" s="67"/>
    </row>
    <row r="325" spans="1:24" ht="14.25" customHeight="1">
      <c r="A325" s="427"/>
      <c r="B325" s="443"/>
      <c r="C325" s="446"/>
      <c r="D325" s="43" t="s">
        <v>199</v>
      </c>
      <c r="E325" s="114" t="s">
        <v>25</v>
      </c>
      <c r="F325" s="118" t="s">
        <v>54</v>
      </c>
      <c r="G325" s="224"/>
      <c r="H325" s="135"/>
      <c r="I325" s="158"/>
      <c r="J325" s="158"/>
      <c r="K325" s="128"/>
      <c r="L325" s="128"/>
      <c r="M325" s="128"/>
      <c r="N325" s="164"/>
      <c r="O325" s="158"/>
      <c r="P325" s="158"/>
      <c r="Q325" s="158"/>
      <c r="R325" s="436"/>
      <c r="S325" s="436"/>
      <c r="T325" s="18"/>
      <c r="U325" s="18"/>
      <c r="V325" s="127">
        <f t="shared" si="14"/>
        <v>68</v>
      </c>
      <c r="W325" s="45"/>
      <c r="X325" s="67"/>
    </row>
    <row r="326" spans="1:24" ht="15.75" customHeight="1">
      <c r="A326" s="427"/>
      <c r="B326" s="122" t="s">
        <v>55</v>
      </c>
      <c r="C326" s="180" t="s">
        <v>133</v>
      </c>
      <c r="D326" s="48" t="s">
        <v>56</v>
      </c>
      <c r="E326" s="424" t="s">
        <v>25</v>
      </c>
      <c r="F326" s="118" t="s">
        <v>67</v>
      </c>
      <c r="G326" s="226"/>
      <c r="H326" s="126"/>
      <c r="I326" s="126"/>
      <c r="J326" s="2"/>
      <c r="K326" s="18"/>
      <c r="L326" s="18"/>
      <c r="M326" s="18"/>
      <c r="N326" s="18"/>
      <c r="O326" s="126"/>
      <c r="P326" s="126"/>
      <c r="Q326" s="126"/>
      <c r="R326" s="436"/>
      <c r="S326" s="436"/>
      <c r="T326" s="18"/>
      <c r="U326" s="18"/>
      <c r="V326" s="127">
        <f t="shared" si="14"/>
        <v>7822</v>
      </c>
      <c r="W326" s="45"/>
      <c r="X326" s="67"/>
    </row>
    <row r="327" spans="1:24" ht="15" customHeight="1">
      <c r="A327" s="427"/>
      <c r="B327" s="122" t="s">
        <v>122</v>
      </c>
      <c r="C327" s="180" t="s">
        <v>123</v>
      </c>
      <c r="D327" s="48" t="s">
        <v>56</v>
      </c>
      <c r="E327" s="441"/>
      <c r="F327" s="155" t="s">
        <v>64</v>
      </c>
      <c r="G327" s="119"/>
      <c r="H327" s="126"/>
      <c r="I327" s="126"/>
      <c r="J327" s="2"/>
      <c r="K327" s="18"/>
      <c r="L327" s="18"/>
      <c r="M327" s="18">
        <v>6400</v>
      </c>
      <c r="N327" s="18">
        <v>2</v>
      </c>
      <c r="O327" s="126"/>
      <c r="P327" s="126"/>
      <c r="Q327" s="126"/>
      <c r="R327" s="436"/>
      <c r="S327" s="436"/>
      <c r="T327" s="18"/>
      <c r="U327" s="18"/>
      <c r="V327" s="127">
        <f t="shared" si="14"/>
        <v>18121</v>
      </c>
      <c r="W327" s="45"/>
      <c r="X327" s="67"/>
    </row>
    <row r="328" spans="1:24" ht="14.25" customHeight="1">
      <c r="A328" s="427"/>
      <c r="B328" s="137" t="s">
        <v>58</v>
      </c>
      <c r="C328" s="157" t="s">
        <v>243</v>
      </c>
      <c r="D328" s="48" t="s">
        <v>56</v>
      </c>
      <c r="E328" s="441"/>
      <c r="F328" s="118" t="s">
        <v>64</v>
      </c>
      <c r="G328" s="225"/>
      <c r="H328" s="126"/>
      <c r="I328" s="126"/>
      <c r="J328" s="126"/>
      <c r="K328" s="18"/>
      <c r="L328" s="18"/>
      <c r="M328" s="18"/>
      <c r="N328" s="80"/>
      <c r="O328" s="126"/>
      <c r="P328" s="126"/>
      <c r="Q328" s="126"/>
      <c r="R328" s="436"/>
      <c r="S328" s="436"/>
      <c r="T328" s="18"/>
      <c r="U328" s="18"/>
      <c r="V328" s="127">
        <f t="shared" si="14"/>
        <v>8144</v>
      </c>
      <c r="W328" s="45"/>
      <c r="X328" s="67"/>
    </row>
    <row r="329" spans="1:24" ht="14.25" customHeight="1">
      <c r="A329" s="427"/>
      <c r="B329" s="122" t="s">
        <v>61</v>
      </c>
      <c r="C329" s="180" t="s">
        <v>137</v>
      </c>
      <c r="D329" s="48" t="s">
        <v>56</v>
      </c>
      <c r="E329" s="441"/>
      <c r="F329" s="118" t="s">
        <v>67</v>
      </c>
      <c r="G329" s="225"/>
      <c r="H329" s="126"/>
      <c r="I329" s="126"/>
      <c r="J329" s="126"/>
      <c r="K329" s="18"/>
      <c r="L329" s="18"/>
      <c r="M329" s="18"/>
      <c r="N329" s="80"/>
      <c r="O329" s="126"/>
      <c r="P329" s="126"/>
      <c r="Q329" s="126"/>
      <c r="R329" s="436"/>
      <c r="S329" s="436"/>
      <c r="T329" s="18"/>
      <c r="U329" s="18"/>
      <c r="V329" s="127">
        <f t="shared" si="14"/>
        <v>5844</v>
      </c>
      <c r="W329" s="45"/>
      <c r="X329" s="67"/>
    </row>
    <row r="330" spans="1:24" ht="14.25" customHeight="1">
      <c r="A330" s="427"/>
      <c r="B330" s="122" t="s">
        <v>125</v>
      </c>
      <c r="C330" s="180" t="s">
        <v>88</v>
      </c>
      <c r="D330" s="48" t="s">
        <v>124</v>
      </c>
      <c r="E330" s="441"/>
      <c r="F330" s="118" t="s">
        <v>64</v>
      </c>
      <c r="G330" s="225"/>
      <c r="H330" s="126"/>
      <c r="I330" s="126"/>
      <c r="J330" s="126"/>
      <c r="K330" s="18"/>
      <c r="L330" s="18"/>
      <c r="M330" s="18">
        <v>51200</v>
      </c>
      <c r="N330" s="80">
        <v>7</v>
      </c>
      <c r="O330" s="126"/>
      <c r="P330" s="126"/>
      <c r="Q330" s="126"/>
      <c r="R330" s="436"/>
      <c r="S330" s="436"/>
      <c r="T330" s="18"/>
      <c r="U330" s="18"/>
      <c r="V330" s="127">
        <f t="shared" si="14"/>
        <v>23615</v>
      </c>
      <c r="W330" s="45"/>
      <c r="X330" s="67"/>
    </row>
    <row r="331" spans="1:24" ht="14.25" customHeight="1">
      <c r="A331" s="427"/>
      <c r="B331" s="137" t="s">
        <v>47</v>
      </c>
      <c r="C331" s="157" t="s">
        <v>100</v>
      </c>
      <c r="D331" s="48" t="s">
        <v>99</v>
      </c>
      <c r="E331" s="441"/>
      <c r="F331" s="118" t="s">
        <v>71</v>
      </c>
      <c r="G331" s="225"/>
      <c r="H331" s="126"/>
      <c r="I331" s="126"/>
      <c r="J331" s="126"/>
      <c r="K331" s="18"/>
      <c r="L331" s="18"/>
      <c r="M331" s="18"/>
      <c r="N331" s="80"/>
      <c r="O331" s="126"/>
      <c r="P331" s="126"/>
      <c r="Q331" s="126"/>
      <c r="R331" s="436"/>
      <c r="S331" s="436"/>
      <c r="T331" s="18"/>
      <c r="U331" s="18"/>
      <c r="V331" s="127">
        <f t="shared" si="14"/>
        <v>55553</v>
      </c>
      <c r="W331" s="45"/>
      <c r="X331" s="67"/>
    </row>
    <row r="332" spans="1:24" ht="15" customHeight="1">
      <c r="A332" s="427"/>
      <c r="B332" s="122" t="s">
        <v>196</v>
      </c>
      <c r="C332" s="180" t="s">
        <v>63</v>
      </c>
      <c r="D332" s="48" t="s">
        <v>135</v>
      </c>
      <c r="E332" s="441"/>
      <c r="F332" s="118" t="s">
        <v>64</v>
      </c>
      <c r="G332" s="226"/>
      <c r="H332" s="126"/>
      <c r="I332" s="126"/>
      <c r="J332" s="2"/>
      <c r="K332" s="18"/>
      <c r="L332" s="18"/>
      <c r="M332" s="18"/>
      <c r="N332" s="18"/>
      <c r="O332" s="126"/>
      <c r="P332" s="126">
        <f>June!BR338</f>
        <v>1437</v>
      </c>
      <c r="Q332" s="126">
        <f>June!BP338</f>
        <v>5</v>
      </c>
      <c r="R332" s="436"/>
      <c r="S332" s="436"/>
      <c r="T332" s="18"/>
      <c r="U332" s="18"/>
      <c r="V332" s="127">
        <f t="shared" si="14"/>
        <v>41412</v>
      </c>
      <c r="W332" s="45"/>
      <c r="X332" s="67"/>
    </row>
    <row r="333" spans="1:24" ht="15" customHeight="1">
      <c r="A333" s="427"/>
      <c r="B333" s="122" t="s">
        <v>363</v>
      </c>
      <c r="C333" s="180" t="s">
        <v>325</v>
      </c>
      <c r="D333" s="48" t="s">
        <v>328</v>
      </c>
      <c r="E333" s="441"/>
      <c r="F333" s="118" t="s">
        <v>48</v>
      </c>
      <c r="G333" s="226"/>
      <c r="H333" s="126">
        <v>288</v>
      </c>
      <c r="I333" s="126"/>
      <c r="J333" s="2"/>
      <c r="K333" s="18"/>
      <c r="L333" s="18"/>
      <c r="M333" s="18"/>
      <c r="N333" s="18"/>
      <c r="O333" s="126"/>
      <c r="P333" s="126">
        <f>June!BR335</f>
        <v>581</v>
      </c>
      <c r="Q333" s="126">
        <f>June!BP335</f>
        <v>2</v>
      </c>
      <c r="R333" s="436"/>
      <c r="S333" s="436"/>
      <c r="T333" s="18"/>
      <c r="U333" s="18"/>
      <c r="V333" s="127">
        <f t="shared" si="14"/>
        <v>15153</v>
      </c>
      <c r="W333" s="45"/>
      <c r="X333" s="67"/>
    </row>
    <row r="334" spans="1:24" ht="15" customHeight="1">
      <c r="A334" s="427"/>
      <c r="B334" s="122" t="s">
        <v>253</v>
      </c>
      <c r="C334" s="180" t="s">
        <v>365</v>
      </c>
      <c r="D334" s="48" t="s">
        <v>246</v>
      </c>
      <c r="E334" s="441"/>
      <c r="F334" s="118" t="s">
        <v>247</v>
      </c>
      <c r="G334" s="226"/>
      <c r="H334" s="126"/>
      <c r="I334" s="126"/>
      <c r="J334" s="2"/>
      <c r="K334" s="18"/>
      <c r="L334" s="18"/>
      <c r="M334" s="18"/>
      <c r="N334" s="18"/>
      <c r="O334" s="126"/>
      <c r="P334" s="126">
        <f>June!BR327</f>
        <v>247</v>
      </c>
      <c r="Q334" s="126">
        <f>June!BP327</f>
        <v>4</v>
      </c>
      <c r="R334" s="436"/>
      <c r="S334" s="436"/>
      <c r="T334" s="18"/>
      <c r="U334" s="18"/>
      <c r="V334" s="127">
        <f t="shared" si="14"/>
        <v>12967</v>
      </c>
      <c r="W334" s="45"/>
      <c r="X334" s="67"/>
    </row>
    <row r="335" spans="1:24" ht="15" customHeight="1">
      <c r="A335" s="427"/>
      <c r="B335" s="122" t="s">
        <v>101</v>
      </c>
      <c r="C335" s="180" t="s">
        <v>327</v>
      </c>
      <c r="D335" s="48" t="s">
        <v>102</v>
      </c>
      <c r="E335" s="441"/>
      <c r="F335" s="118" t="s">
        <v>64</v>
      </c>
      <c r="G335" s="119"/>
      <c r="H335" s="126"/>
      <c r="I335" s="126"/>
      <c r="J335" s="2"/>
      <c r="K335" s="18"/>
      <c r="L335" s="18"/>
      <c r="M335" s="18"/>
      <c r="N335" s="18"/>
      <c r="O335" s="126">
        <f>June!BQ333</f>
        <v>2516</v>
      </c>
      <c r="P335" s="126">
        <f>June!BR333</f>
        <v>1289</v>
      </c>
      <c r="Q335" s="126">
        <f>June!BP333</f>
        <v>4</v>
      </c>
      <c r="R335" s="436"/>
      <c r="S335" s="436"/>
      <c r="T335" s="18">
        <v>19178</v>
      </c>
      <c r="U335" s="18">
        <v>19</v>
      </c>
      <c r="V335" s="18">
        <f t="shared" si="14"/>
        <v>2889</v>
      </c>
      <c r="W335" s="45"/>
      <c r="X335" s="67"/>
    </row>
    <row r="336" spans="1:24" s="4" customFormat="1" ht="15" customHeight="1">
      <c r="A336" s="427"/>
      <c r="B336" s="122" t="s">
        <v>375</v>
      </c>
      <c r="C336" s="157" t="s">
        <v>376</v>
      </c>
      <c r="D336" s="48" t="s">
        <v>248</v>
      </c>
      <c r="E336" s="441"/>
      <c r="F336" s="48" t="s">
        <v>64</v>
      </c>
      <c r="G336" s="122"/>
      <c r="H336" s="34"/>
      <c r="I336" s="34"/>
      <c r="J336" s="6"/>
      <c r="K336" s="211"/>
      <c r="L336" s="211"/>
      <c r="M336" s="211"/>
      <c r="N336" s="211"/>
      <c r="O336" s="34"/>
      <c r="P336" s="34"/>
      <c r="Q336" s="34"/>
      <c r="R336" s="436"/>
      <c r="S336" s="436"/>
      <c r="T336" s="211"/>
      <c r="U336" s="211"/>
      <c r="V336" s="211">
        <f t="shared" si="14"/>
        <v>75911</v>
      </c>
      <c r="W336" s="260"/>
      <c r="X336" s="67"/>
    </row>
    <row r="337" spans="1:25" s="4" customFormat="1" ht="15" customHeight="1">
      <c r="A337" s="427"/>
      <c r="B337" s="122" t="s">
        <v>421</v>
      </c>
      <c r="C337" s="157" t="s">
        <v>420</v>
      </c>
      <c r="D337" s="48" t="s">
        <v>248</v>
      </c>
      <c r="E337" s="441"/>
      <c r="F337" s="48" t="s">
        <v>64</v>
      </c>
      <c r="G337" s="170">
        <v>5117.84</v>
      </c>
      <c r="H337" s="34">
        <v>2160</v>
      </c>
      <c r="I337" s="34"/>
      <c r="J337" s="6"/>
      <c r="K337" s="211">
        <v>8400</v>
      </c>
      <c r="L337" s="211">
        <v>2</v>
      </c>
      <c r="M337" s="211">
        <v>50400</v>
      </c>
      <c r="N337" s="211">
        <v>12</v>
      </c>
      <c r="O337" s="34">
        <f>June!BQ337</f>
        <v>12448</v>
      </c>
      <c r="P337" s="34">
        <f>June!BR337</f>
        <v>9724</v>
      </c>
      <c r="Q337" s="34">
        <f>June!BP337</f>
        <v>20</v>
      </c>
      <c r="R337" s="436"/>
      <c r="S337" s="436"/>
      <c r="T337" s="211">
        <v>1600</v>
      </c>
      <c r="U337" s="211"/>
      <c r="V337" s="211">
        <f t="shared" si="14"/>
        <v>63077</v>
      </c>
      <c r="W337" s="260"/>
      <c r="X337" s="67"/>
    </row>
    <row r="338" spans="1:25" s="4" customFormat="1" ht="15" customHeight="1">
      <c r="A338" s="427"/>
      <c r="B338" s="122" t="s">
        <v>289</v>
      </c>
      <c r="C338" s="180" t="s">
        <v>290</v>
      </c>
      <c r="D338" s="48" t="s">
        <v>432</v>
      </c>
      <c r="E338" s="441"/>
      <c r="F338" s="48" t="s">
        <v>381</v>
      </c>
      <c r="G338" s="122"/>
      <c r="H338" s="34"/>
      <c r="I338" s="34"/>
      <c r="J338" s="6"/>
      <c r="K338" s="211"/>
      <c r="L338" s="211"/>
      <c r="M338" s="211"/>
      <c r="N338" s="211"/>
      <c r="O338" s="34"/>
      <c r="P338" s="34">
        <f>June!BR329</f>
        <v>248</v>
      </c>
      <c r="Q338" s="34">
        <f>June!BP329</f>
        <v>1</v>
      </c>
      <c r="R338" s="436"/>
      <c r="S338" s="436"/>
      <c r="T338" s="211">
        <v>722</v>
      </c>
      <c r="U338" s="211"/>
      <c r="V338" s="211">
        <f t="shared" si="14"/>
        <v>0</v>
      </c>
      <c r="W338" s="260"/>
      <c r="X338" s="67"/>
    </row>
    <row r="339" spans="1:25" ht="15" customHeight="1">
      <c r="A339" s="427"/>
      <c r="B339" s="122" t="s">
        <v>103</v>
      </c>
      <c r="C339" s="157" t="s">
        <v>197</v>
      </c>
      <c r="D339" s="48" t="s">
        <v>104</v>
      </c>
      <c r="E339" s="441"/>
      <c r="F339" s="118" t="s">
        <v>105</v>
      </c>
      <c r="G339" s="119"/>
      <c r="H339" s="126"/>
      <c r="I339" s="126"/>
      <c r="J339" s="2"/>
      <c r="K339" s="18"/>
      <c r="L339" s="18"/>
      <c r="M339" s="18"/>
      <c r="N339" s="18"/>
      <c r="O339" s="126"/>
      <c r="P339" s="126"/>
      <c r="Q339" s="126">
        <f>June!BP339</f>
        <v>1</v>
      </c>
      <c r="R339" s="436"/>
      <c r="S339" s="436"/>
      <c r="T339" s="18"/>
      <c r="U339" s="18"/>
      <c r="V339" s="18"/>
      <c r="W339" s="45"/>
      <c r="X339" s="67"/>
    </row>
    <row r="340" spans="1:25" ht="15" customHeight="1">
      <c r="A340" s="427"/>
      <c r="B340" s="137" t="s">
        <v>112</v>
      </c>
      <c r="C340" s="157" t="s">
        <v>197</v>
      </c>
      <c r="D340" s="48" t="s">
        <v>104</v>
      </c>
      <c r="E340" s="441"/>
      <c r="F340" s="118" t="s">
        <v>113</v>
      </c>
      <c r="G340" s="119"/>
      <c r="H340" s="126"/>
      <c r="I340" s="126"/>
      <c r="J340" s="2"/>
      <c r="K340" s="18"/>
      <c r="L340" s="18"/>
      <c r="M340" s="18"/>
      <c r="N340" s="18"/>
      <c r="O340" s="126"/>
      <c r="P340" s="126"/>
      <c r="Q340" s="126">
        <f>June!BP341</f>
        <v>1</v>
      </c>
      <c r="R340" s="436"/>
      <c r="S340" s="436"/>
      <c r="T340" s="18"/>
      <c r="U340" s="18"/>
      <c r="V340" s="18"/>
      <c r="W340" s="45"/>
      <c r="X340" s="67"/>
    </row>
    <row r="341" spans="1:25" ht="15" customHeight="1" thickBot="1">
      <c r="A341" s="428"/>
      <c r="B341" s="44" t="s">
        <v>107</v>
      </c>
      <c r="C341" s="181" t="s">
        <v>386</v>
      </c>
      <c r="D341" s="61" t="s">
        <v>108</v>
      </c>
      <c r="E341" s="447"/>
      <c r="F341" s="133" t="s">
        <v>48</v>
      </c>
      <c r="G341" s="132"/>
      <c r="H341" s="134"/>
      <c r="I341" s="134"/>
      <c r="J341" s="129"/>
      <c r="K341" s="130"/>
      <c r="L341" s="130"/>
      <c r="M341" s="130">
        <v>13000</v>
      </c>
      <c r="N341" s="130">
        <v>2</v>
      </c>
      <c r="O341" s="134">
        <f>June!BQ340</f>
        <v>800</v>
      </c>
      <c r="P341" s="134">
        <f>June!BR340</f>
        <v>748</v>
      </c>
      <c r="Q341" s="134">
        <f>June!BP340</f>
        <v>2</v>
      </c>
      <c r="R341" s="437"/>
      <c r="S341" s="437"/>
      <c r="T341" s="130"/>
      <c r="U341" s="130"/>
      <c r="V341" s="128">
        <f t="shared" ref="V341:V364" si="15">O341-T341-U341+V315</f>
        <v>11956</v>
      </c>
      <c r="W341" s="328"/>
      <c r="X341" s="67"/>
    </row>
    <row r="342" spans="1:25" ht="15" customHeight="1">
      <c r="A342" s="426">
        <v>46188</v>
      </c>
      <c r="B342" s="429" t="s">
        <v>44</v>
      </c>
      <c r="C342" s="432" t="s">
        <v>240</v>
      </c>
      <c r="D342" s="19" t="s">
        <v>37</v>
      </c>
      <c r="E342" s="19" t="s">
        <v>25</v>
      </c>
      <c r="F342" s="39" t="s">
        <v>40</v>
      </c>
      <c r="G342" s="41"/>
      <c r="H342" s="32"/>
      <c r="I342" s="32"/>
      <c r="J342" s="32"/>
      <c r="K342" s="20">
        <v>32000</v>
      </c>
      <c r="L342" s="20">
        <v>4</v>
      </c>
      <c r="M342" s="20">
        <v>123000</v>
      </c>
      <c r="N342" s="84">
        <v>16</v>
      </c>
      <c r="O342" s="32">
        <f>June!BW313</f>
        <v>44943</v>
      </c>
      <c r="P342" s="32">
        <f>June!BX313</f>
        <v>51602</v>
      </c>
      <c r="Q342" s="32">
        <f>June!BV313</f>
        <v>136</v>
      </c>
      <c r="R342" s="435">
        <f>June!BW346</f>
        <v>61912</v>
      </c>
      <c r="S342" s="435">
        <f>June!BX346</f>
        <v>68673</v>
      </c>
      <c r="T342" s="20">
        <v>44719</v>
      </c>
      <c r="U342" s="20">
        <v>23</v>
      </c>
      <c r="V342" s="20">
        <f t="shared" si="15"/>
        <v>150266</v>
      </c>
      <c r="W342" s="77"/>
      <c r="X342" s="36"/>
    </row>
    <row r="343" spans="1:25" ht="15" customHeight="1">
      <c r="A343" s="427"/>
      <c r="B343" s="431"/>
      <c r="C343" s="434"/>
      <c r="D343" s="113" t="s">
        <v>307</v>
      </c>
      <c r="E343" s="113" t="s">
        <v>24</v>
      </c>
      <c r="F343" s="118" t="s">
        <v>40</v>
      </c>
      <c r="G343" s="170"/>
      <c r="H343" s="135"/>
      <c r="I343" s="125"/>
      <c r="J343" s="125"/>
      <c r="K343" s="127">
        <v>37600</v>
      </c>
      <c r="L343" s="127">
        <v>5</v>
      </c>
      <c r="M343" s="216">
        <v>79400</v>
      </c>
      <c r="N343" s="238">
        <v>10</v>
      </c>
      <c r="O343" s="126">
        <f>June!BW314</f>
        <v>14314</v>
      </c>
      <c r="P343" s="125">
        <f>June!BX314</f>
        <v>16330</v>
      </c>
      <c r="Q343" s="125">
        <f>June!BV314</f>
        <v>51</v>
      </c>
      <c r="R343" s="436"/>
      <c r="S343" s="436"/>
      <c r="T343" s="127">
        <v>18405</v>
      </c>
      <c r="U343" s="127">
        <v>48</v>
      </c>
      <c r="V343" s="127">
        <f t="shared" si="15"/>
        <v>155822</v>
      </c>
      <c r="W343" s="46"/>
      <c r="X343" s="67"/>
    </row>
    <row r="344" spans="1:25" ht="15" customHeight="1">
      <c r="A344" s="427"/>
      <c r="B344" s="442" t="s">
        <v>45</v>
      </c>
      <c r="C344" s="448" t="s">
        <v>59</v>
      </c>
      <c r="D344" s="118" t="s">
        <v>75</v>
      </c>
      <c r="E344" s="131" t="s">
        <v>25</v>
      </c>
      <c r="F344" s="131" t="s">
        <v>57</v>
      </c>
      <c r="G344" s="87"/>
      <c r="H344" s="152"/>
      <c r="I344" s="126"/>
      <c r="J344" s="2"/>
      <c r="K344" s="127"/>
      <c r="L344" s="18"/>
      <c r="M344" s="18">
        <v>24680</v>
      </c>
      <c r="N344" s="80">
        <v>5</v>
      </c>
      <c r="O344" s="126"/>
      <c r="P344" s="126"/>
      <c r="Q344" s="2">
        <f>June!BV317</f>
        <v>11</v>
      </c>
      <c r="R344" s="436"/>
      <c r="S344" s="436"/>
      <c r="T344" s="18"/>
      <c r="U344" s="18"/>
      <c r="V344" s="127">
        <f t="shared" si="15"/>
        <v>11746</v>
      </c>
      <c r="W344" s="46"/>
      <c r="Y344" s="13"/>
    </row>
    <row r="345" spans="1:25">
      <c r="A345" s="427"/>
      <c r="B345" s="439"/>
      <c r="C345" s="440"/>
      <c r="D345" s="118" t="s">
        <v>72</v>
      </c>
      <c r="E345" s="155" t="s">
        <v>24</v>
      </c>
      <c r="F345" s="131" t="s">
        <v>57</v>
      </c>
      <c r="G345" s="224"/>
      <c r="H345" s="152"/>
      <c r="I345" s="126"/>
      <c r="J345" s="126"/>
      <c r="K345" s="127"/>
      <c r="L345" s="18"/>
      <c r="M345" s="18">
        <v>40000</v>
      </c>
      <c r="N345" s="80">
        <v>8</v>
      </c>
      <c r="O345" s="126"/>
      <c r="P345" s="126"/>
      <c r="Q345" s="126">
        <f>June!BV319</f>
        <v>8</v>
      </c>
      <c r="R345" s="436"/>
      <c r="S345" s="436"/>
      <c r="T345" s="18"/>
      <c r="U345" s="18"/>
      <c r="V345" s="127">
        <f t="shared" si="15"/>
        <v>23089</v>
      </c>
      <c r="W345" s="46"/>
      <c r="Y345" s="13"/>
    </row>
    <row r="346" spans="1:25" ht="14.25" customHeight="1">
      <c r="A346" s="427"/>
      <c r="B346" s="439"/>
      <c r="C346" s="440"/>
      <c r="D346" s="115" t="s">
        <v>79</v>
      </c>
      <c r="E346" s="155" t="s">
        <v>65</v>
      </c>
      <c r="F346" s="131" t="s">
        <v>57</v>
      </c>
      <c r="G346" s="224"/>
      <c r="H346" s="126"/>
      <c r="I346" s="126"/>
      <c r="J346" s="126"/>
      <c r="K346" s="18"/>
      <c r="L346" s="18"/>
      <c r="M346" s="18"/>
      <c r="N346" s="80"/>
      <c r="O346" s="126"/>
      <c r="P346" s="126"/>
      <c r="Q346" s="126"/>
      <c r="R346" s="436"/>
      <c r="S346" s="436"/>
      <c r="T346" s="18"/>
      <c r="U346" s="18"/>
      <c r="V346" s="127">
        <f t="shared" si="15"/>
        <v>10211</v>
      </c>
      <c r="W346" s="45"/>
      <c r="X346" s="36"/>
    </row>
    <row r="347" spans="1:25" ht="14.25" customHeight="1">
      <c r="A347" s="427"/>
      <c r="B347" s="439"/>
      <c r="C347" s="448" t="s">
        <v>299</v>
      </c>
      <c r="D347" s="115" t="s">
        <v>296</v>
      </c>
      <c r="E347" s="424" t="s">
        <v>25</v>
      </c>
      <c r="F347" s="131" t="s">
        <v>298</v>
      </c>
      <c r="G347" s="224"/>
      <c r="H347" s="37"/>
      <c r="I347" s="126"/>
      <c r="J347" s="126"/>
      <c r="K347" s="18"/>
      <c r="L347" s="18"/>
      <c r="M347" s="18"/>
      <c r="N347" s="80"/>
      <c r="O347" s="126"/>
      <c r="P347" s="126"/>
      <c r="Q347" s="126"/>
      <c r="R347" s="436"/>
      <c r="S347" s="436"/>
      <c r="T347" s="18"/>
      <c r="U347" s="18"/>
      <c r="V347" s="127">
        <f t="shared" si="15"/>
        <v>4427</v>
      </c>
      <c r="W347" s="45"/>
      <c r="X347" s="67"/>
    </row>
    <row r="348" spans="1:25" ht="14.25" customHeight="1">
      <c r="A348" s="427"/>
      <c r="B348" s="443"/>
      <c r="C348" s="449"/>
      <c r="D348" s="115" t="s">
        <v>75</v>
      </c>
      <c r="E348" s="425"/>
      <c r="F348" s="131" t="s">
        <v>298</v>
      </c>
      <c r="G348" s="224"/>
      <c r="H348" s="37"/>
      <c r="I348" s="126"/>
      <c r="J348" s="126"/>
      <c r="K348" s="18"/>
      <c r="L348" s="18"/>
      <c r="M348" s="18">
        <v>10000</v>
      </c>
      <c r="N348" s="80">
        <v>2</v>
      </c>
      <c r="O348" s="126"/>
      <c r="P348" s="126"/>
      <c r="Q348" s="126">
        <f>June!BV323</f>
        <v>4</v>
      </c>
      <c r="R348" s="436"/>
      <c r="S348" s="436"/>
      <c r="T348" s="18"/>
      <c r="U348" s="18"/>
      <c r="V348" s="127">
        <f t="shared" si="15"/>
        <v>14595</v>
      </c>
      <c r="W348" s="45"/>
      <c r="X348" s="67"/>
    </row>
    <row r="349" spans="1:25" ht="14.25" customHeight="1">
      <c r="A349" s="427"/>
      <c r="B349" s="439" t="s">
        <v>53</v>
      </c>
      <c r="C349" s="445" t="s">
        <v>60</v>
      </c>
      <c r="D349" s="43" t="s">
        <v>320</v>
      </c>
      <c r="E349" s="441" t="s">
        <v>66</v>
      </c>
      <c r="F349" s="118" t="s">
        <v>54</v>
      </c>
      <c r="G349" s="224"/>
      <c r="H349" s="37"/>
      <c r="I349" s="126"/>
      <c r="J349" s="126"/>
      <c r="K349" s="18"/>
      <c r="L349" s="18"/>
      <c r="M349" s="18"/>
      <c r="N349" s="80"/>
      <c r="O349" s="126"/>
      <c r="P349" s="126"/>
      <c r="Q349" s="126">
        <f>June!BV315</f>
        <v>8</v>
      </c>
      <c r="R349" s="436"/>
      <c r="S349" s="436"/>
      <c r="T349" s="18"/>
      <c r="U349" s="18"/>
      <c r="V349" s="127">
        <f t="shared" si="15"/>
        <v>42606</v>
      </c>
      <c r="W349" s="45"/>
      <c r="X349" s="67"/>
    </row>
    <row r="350" spans="1:25" ht="14.25" customHeight="1">
      <c r="A350" s="427"/>
      <c r="B350" s="439"/>
      <c r="C350" s="445"/>
      <c r="D350" s="43" t="s">
        <v>387</v>
      </c>
      <c r="E350" s="425"/>
      <c r="F350" s="118" t="s">
        <v>54</v>
      </c>
      <c r="G350" s="229"/>
      <c r="H350" s="182"/>
      <c r="I350" s="125"/>
      <c r="J350" s="125"/>
      <c r="K350" s="127"/>
      <c r="L350" s="127"/>
      <c r="M350" s="127">
        <v>64800</v>
      </c>
      <c r="N350" s="171">
        <v>11</v>
      </c>
      <c r="O350" s="125"/>
      <c r="P350" s="125"/>
      <c r="Q350" s="125"/>
      <c r="R350" s="436"/>
      <c r="S350" s="436"/>
      <c r="T350" s="18"/>
      <c r="U350" s="18"/>
      <c r="V350" s="127">
        <f t="shared" si="15"/>
        <v>666</v>
      </c>
      <c r="W350" s="45"/>
      <c r="X350" s="67"/>
    </row>
    <row r="351" spans="1:25" ht="14.25" customHeight="1">
      <c r="A351" s="427"/>
      <c r="B351" s="443"/>
      <c r="C351" s="446"/>
      <c r="D351" s="43" t="s">
        <v>199</v>
      </c>
      <c r="E351" s="114" t="s">
        <v>25</v>
      </c>
      <c r="F351" s="118" t="s">
        <v>54</v>
      </c>
      <c r="G351" s="224"/>
      <c r="H351" s="135"/>
      <c r="I351" s="158"/>
      <c r="J351" s="158"/>
      <c r="K351" s="128"/>
      <c r="L351" s="128"/>
      <c r="M351" s="128"/>
      <c r="N351" s="164"/>
      <c r="O351" s="158"/>
      <c r="P351" s="158"/>
      <c r="Q351" s="158"/>
      <c r="R351" s="436"/>
      <c r="S351" s="436"/>
      <c r="T351" s="18"/>
      <c r="U351" s="18"/>
      <c r="V351" s="127">
        <f t="shared" si="15"/>
        <v>68</v>
      </c>
      <c r="W351" s="45"/>
      <c r="X351" s="67"/>
    </row>
    <row r="352" spans="1:25" ht="15.75" customHeight="1">
      <c r="A352" s="427"/>
      <c r="B352" s="122" t="s">
        <v>55</v>
      </c>
      <c r="C352" s="180" t="s">
        <v>133</v>
      </c>
      <c r="D352" s="48" t="s">
        <v>56</v>
      </c>
      <c r="E352" s="424" t="s">
        <v>25</v>
      </c>
      <c r="F352" s="118" t="s">
        <v>67</v>
      </c>
      <c r="G352" s="226"/>
      <c r="H352" s="126"/>
      <c r="I352" s="126"/>
      <c r="J352" s="2"/>
      <c r="K352" s="18"/>
      <c r="L352" s="18"/>
      <c r="M352" s="18"/>
      <c r="N352" s="18"/>
      <c r="O352" s="126"/>
      <c r="P352" s="126"/>
      <c r="Q352" s="126"/>
      <c r="R352" s="436"/>
      <c r="S352" s="436"/>
      <c r="T352" s="18"/>
      <c r="U352" s="18"/>
      <c r="V352" s="127">
        <f t="shared" si="15"/>
        <v>7822</v>
      </c>
      <c r="W352" s="45"/>
      <c r="X352" s="67"/>
    </row>
    <row r="353" spans="1:24" ht="15" customHeight="1">
      <c r="A353" s="427"/>
      <c r="B353" s="122" t="s">
        <v>122</v>
      </c>
      <c r="C353" s="180" t="s">
        <v>123</v>
      </c>
      <c r="D353" s="48" t="s">
        <v>56</v>
      </c>
      <c r="E353" s="441"/>
      <c r="F353" s="155" t="s">
        <v>64</v>
      </c>
      <c r="G353" s="119"/>
      <c r="H353" s="126"/>
      <c r="I353" s="126"/>
      <c r="J353" s="2"/>
      <c r="K353" s="18"/>
      <c r="L353" s="18"/>
      <c r="M353" s="18">
        <v>6400</v>
      </c>
      <c r="N353" s="18">
        <v>2</v>
      </c>
      <c r="O353" s="126"/>
      <c r="P353" s="126"/>
      <c r="Q353" s="126"/>
      <c r="R353" s="436"/>
      <c r="S353" s="436"/>
      <c r="T353" s="18"/>
      <c r="U353" s="18"/>
      <c r="V353" s="127">
        <f t="shared" si="15"/>
        <v>18121</v>
      </c>
      <c r="W353" s="45"/>
      <c r="X353" s="67"/>
    </row>
    <row r="354" spans="1:24" ht="14.25" customHeight="1">
      <c r="A354" s="427"/>
      <c r="B354" s="137" t="s">
        <v>58</v>
      </c>
      <c r="C354" s="157" t="s">
        <v>243</v>
      </c>
      <c r="D354" s="48" t="s">
        <v>56</v>
      </c>
      <c r="E354" s="441"/>
      <c r="F354" s="118" t="s">
        <v>64</v>
      </c>
      <c r="G354" s="225"/>
      <c r="H354" s="126"/>
      <c r="I354" s="126"/>
      <c r="J354" s="126"/>
      <c r="K354" s="18"/>
      <c r="L354" s="18"/>
      <c r="M354" s="18"/>
      <c r="N354" s="80"/>
      <c r="O354" s="126"/>
      <c r="P354" s="126"/>
      <c r="Q354" s="126"/>
      <c r="R354" s="436"/>
      <c r="S354" s="436"/>
      <c r="T354" s="18"/>
      <c r="U354" s="18"/>
      <c r="V354" s="127">
        <f t="shared" si="15"/>
        <v>8144</v>
      </c>
      <c r="W354" s="45"/>
      <c r="X354" s="67"/>
    </row>
    <row r="355" spans="1:24" ht="14.25" customHeight="1">
      <c r="A355" s="427"/>
      <c r="B355" s="122" t="s">
        <v>61</v>
      </c>
      <c r="C355" s="180" t="s">
        <v>137</v>
      </c>
      <c r="D355" s="48" t="s">
        <v>56</v>
      </c>
      <c r="E355" s="441"/>
      <c r="F355" s="118" t="s">
        <v>67</v>
      </c>
      <c r="G355" s="225"/>
      <c r="H355" s="126"/>
      <c r="I355" s="126"/>
      <c r="J355" s="126"/>
      <c r="K355" s="18"/>
      <c r="L355" s="18"/>
      <c r="M355" s="18"/>
      <c r="N355" s="80"/>
      <c r="O355" s="126"/>
      <c r="P355" s="126"/>
      <c r="Q355" s="126"/>
      <c r="R355" s="436"/>
      <c r="S355" s="436"/>
      <c r="T355" s="18"/>
      <c r="U355" s="18"/>
      <c r="V355" s="127">
        <f t="shared" si="15"/>
        <v>5844</v>
      </c>
      <c r="W355" s="45"/>
      <c r="X355" s="67"/>
    </row>
    <row r="356" spans="1:24" ht="14.25" customHeight="1">
      <c r="A356" s="427"/>
      <c r="B356" s="122" t="s">
        <v>125</v>
      </c>
      <c r="C356" s="180" t="s">
        <v>88</v>
      </c>
      <c r="D356" s="48" t="s">
        <v>124</v>
      </c>
      <c r="E356" s="441"/>
      <c r="F356" s="118" t="s">
        <v>64</v>
      </c>
      <c r="G356" s="225"/>
      <c r="H356" s="126"/>
      <c r="I356" s="126"/>
      <c r="J356" s="126"/>
      <c r="K356" s="18"/>
      <c r="L356" s="18"/>
      <c r="M356" s="18">
        <v>51200</v>
      </c>
      <c r="N356" s="80">
        <v>7</v>
      </c>
      <c r="O356" s="126"/>
      <c r="P356" s="126"/>
      <c r="Q356" s="126"/>
      <c r="R356" s="436"/>
      <c r="S356" s="436"/>
      <c r="T356" s="18"/>
      <c r="U356" s="18"/>
      <c r="V356" s="127">
        <f t="shared" si="15"/>
        <v>23615</v>
      </c>
      <c r="W356" s="45"/>
      <c r="X356" s="67"/>
    </row>
    <row r="357" spans="1:24" ht="14.25" customHeight="1">
      <c r="A357" s="427"/>
      <c r="B357" s="137" t="s">
        <v>47</v>
      </c>
      <c r="C357" s="157" t="s">
        <v>100</v>
      </c>
      <c r="D357" s="48" t="s">
        <v>99</v>
      </c>
      <c r="E357" s="441"/>
      <c r="F357" s="118" t="s">
        <v>71</v>
      </c>
      <c r="G357" s="225"/>
      <c r="H357" s="126"/>
      <c r="I357" s="126"/>
      <c r="J357" s="126"/>
      <c r="K357" s="18"/>
      <c r="L357" s="18"/>
      <c r="M357" s="18"/>
      <c r="N357" s="80"/>
      <c r="O357" s="126"/>
      <c r="P357" s="126"/>
      <c r="Q357" s="126"/>
      <c r="R357" s="436"/>
      <c r="S357" s="436"/>
      <c r="T357" s="18"/>
      <c r="U357" s="18"/>
      <c r="V357" s="127">
        <f t="shared" si="15"/>
        <v>55553</v>
      </c>
      <c r="W357" s="45"/>
      <c r="X357" s="67"/>
    </row>
    <row r="358" spans="1:24" ht="15" customHeight="1">
      <c r="A358" s="427"/>
      <c r="B358" s="122" t="s">
        <v>196</v>
      </c>
      <c r="C358" s="180" t="s">
        <v>63</v>
      </c>
      <c r="D358" s="48" t="s">
        <v>135</v>
      </c>
      <c r="E358" s="441"/>
      <c r="F358" s="118" t="s">
        <v>64</v>
      </c>
      <c r="G358" s="226"/>
      <c r="H358" s="126"/>
      <c r="I358" s="126"/>
      <c r="J358" s="2"/>
      <c r="K358" s="18"/>
      <c r="L358" s="18"/>
      <c r="M358" s="18"/>
      <c r="N358" s="18"/>
      <c r="O358" s="126"/>
      <c r="P358" s="126">
        <f>June!BX338</f>
        <v>98</v>
      </c>
      <c r="Q358" s="126">
        <f>June!BV338</f>
        <v>5</v>
      </c>
      <c r="R358" s="436"/>
      <c r="S358" s="436"/>
      <c r="T358" s="18"/>
      <c r="U358" s="18"/>
      <c r="V358" s="127">
        <f t="shared" si="15"/>
        <v>41412</v>
      </c>
      <c r="W358" s="45"/>
      <c r="X358" s="67"/>
    </row>
    <row r="359" spans="1:24" ht="15" customHeight="1">
      <c r="A359" s="427"/>
      <c r="B359" s="122" t="s">
        <v>363</v>
      </c>
      <c r="C359" s="180" t="s">
        <v>325</v>
      </c>
      <c r="D359" s="48" t="s">
        <v>328</v>
      </c>
      <c r="E359" s="441"/>
      <c r="F359" s="118" t="s">
        <v>48</v>
      </c>
      <c r="G359" s="226"/>
      <c r="H359" s="126"/>
      <c r="I359" s="126"/>
      <c r="J359" s="2"/>
      <c r="K359" s="18"/>
      <c r="L359" s="18"/>
      <c r="M359" s="18"/>
      <c r="N359" s="18"/>
      <c r="O359" s="126"/>
      <c r="P359" s="126">
        <f>June!BX335</f>
        <v>9</v>
      </c>
      <c r="Q359" s="126">
        <f>June!BV335</f>
        <v>2</v>
      </c>
      <c r="R359" s="436"/>
      <c r="S359" s="436"/>
      <c r="T359" s="18"/>
      <c r="U359" s="18"/>
      <c r="V359" s="127">
        <f t="shared" si="15"/>
        <v>15153</v>
      </c>
      <c r="W359" s="45"/>
      <c r="X359" s="67"/>
    </row>
    <row r="360" spans="1:24" ht="15" customHeight="1">
      <c r="A360" s="427"/>
      <c r="B360" s="122" t="s">
        <v>253</v>
      </c>
      <c r="C360" s="180" t="s">
        <v>365</v>
      </c>
      <c r="D360" s="48" t="s">
        <v>246</v>
      </c>
      <c r="E360" s="441"/>
      <c r="F360" s="118" t="s">
        <v>247</v>
      </c>
      <c r="G360" s="226"/>
      <c r="H360" s="126"/>
      <c r="I360" s="126"/>
      <c r="J360" s="2"/>
      <c r="K360" s="18"/>
      <c r="L360" s="18"/>
      <c r="M360" s="18"/>
      <c r="N360" s="18"/>
      <c r="O360" s="126">
        <f>June!BW327</f>
        <v>1534</v>
      </c>
      <c r="P360" s="126"/>
      <c r="Q360" s="126">
        <f>June!BV327</f>
        <v>4</v>
      </c>
      <c r="R360" s="436"/>
      <c r="S360" s="436"/>
      <c r="T360" s="18"/>
      <c r="U360" s="18"/>
      <c r="V360" s="127">
        <f t="shared" si="15"/>
        <v>14501</v>
      </c>
      <c r="W360" s="45"/>
      <c r="X360" s="67"/>
    </row>
    <row r="361" spans="1:24" ht="15" customHeight="1">
      <c r="A361" s="427"/>
      <c r="B361" s="122" t="s">
        <v>101</v>
      </c>
      <c r="C361" s="180" t="s">
        <v>327</v>
      </c>
      <c r="D361" s="48" t="s">
        <v>102</v>
      </c>
      <c r="E361" s="441"/>
      <c r="F361" s="118" t="s">
        <v>64</v>
      </c>
      <c r="G361" s="119"/>
      <c r="H361" s="126"/>
      <c r="I361" s="126"/>
      <c r="J361" s="2"/>
      <c r="K361" s="18"/>
      <c r="L361" s="18"/>
      <c r="M361" s="18"/>
      <c r="N361" s="18"/>
      <c r="O361" s="126">
        <f>June!BW333</f>
        <v>768</v>
      </c>
      <c r="P361" s="126">
        <f>June!BX333</f>
        <v>530</v>
      </c>
      <c r="Q361" s="126">
        <f>June!BV333</f>
        <v>3</v>
      </c>
      <c r="R361" s="436"/>
      <c r="S361" s="436"/>
      <c r="T361" s="18"/>
      <c r="U361" s="18"/>
      <c r="V361" s="18">
        <f t="shared" si="15"/>
        <v>3657</v>
      </c>
      <c r="W361" s="45"/>
      <c r="X361" s="67"/>
    </row>
    <row r="362" spans="1:24" s="4" customFormat="1" ht="15" customHeight="1">
      <c r="A362" s="427"/>
      <c r="B362" s="122" t="s">
        <v>375</v>
      </c>
      <c r="C362" s="157" t="s">
        <v>376</v>
      </c>
      <c r="D362" s="48" t="s">
        <v>248</v>
      </c>
      <c r="E362" s="441"/>
      <c r="F362" s="48" t="s">
        <v>64</v>
      </c>
      <c r="G362" s="122"/>
      <c r="H362" s="34"/>
      <c r="I362" s="34"/>
      <c r="J362" s="6"/>
      <c r="K362" s="211"/>
      <c r="L362" s="211"/>
      <c r="M362" s="211"/>
      <c r="N362" s="211"/>
      <c r="O362" s="34"/>
      <c r="P362" s="34"/>
      <c r="Q362" s="34"/>
      <c r="R362" s="436"/>
      <c r="S362" s="436"/>
      <c r="T362" s="211"/>
      <c r="U362" s="211"/>
      <c r="V362" s="211">
        <f t="shared" si="15"/>
        <v>75911</v>
      </c>
      <c r="W362" s="260"/>
      <c r="X362" s="67"/>
    </row>
    <row r="363" spans="1:24" s="4" customFormat="1" ht="15" customHeight="1">
      <c r="A363" s="427"/>
      <c r="B363" s="122" t="s">
        <v>421</v>
      </c>
      <c r="C363" s="157" t="s">
        <v>420</v>
      </c>
      <c r="D363" s="48" t="s">
        <v>248</v>
      </c>
      <c r="E363" s="441"/>
      <c r="F363" s="48" t="s">
        <v>64</v>
      </c>
      <c r="G363" s="38"/>
      <c r="H363" s="34"/>
      <c r="I363" s="34"/>
      <c r="J363" s="6"/>
      <c r="K363" s="211">
        <v>8400</v>
      </c>
      <c r="L363" s="211">
        <v>2</v>
      </c>
      <c r="M363" s="211">
        <v>42000</v>
      </c>
      <c r="N363" s="211">
        <v>10</v>
      </c>
      <c r="O363" s="34"/>
      <c r="P363" s="34"/>
      <c r="Q363" s="34">
        <f>June!BV337</f>
        <v>20</v>
      </c>
      <c r="R363" s="436"/>
      <c r="S363" s="436"/>
      <c r="T363" s="211"/>
      <c r="U363" s="211"/>
      <c r="V363" s="211">
        <f t="shared" si="15"/>
        <v>63077</v>
      </c>
      <c r="W363" s="260"/>
      <c r="X363" s="67"/>
    </row>
    <row r="364" spans="1:24" s="4" customFormat="1" ht="15" customHeight="1">
      <c r="A364" s="427"/>
      <c r="B364" s="442" t="s">
        <v>289</v>
      </c>
      <c r="C364" s="444" t="s">
        <v>290</v>
      </c>
      <c r="D364" s="48" t="s">
        <v>432</v>
      </c>
      <c r="E364" s="441"/>
      <c r="F364" s="48" t="s">
        <v>381</v>
      </c>
      <c r="G364" s="38">
        <v>167.88</v>
      </c>
      <c r="H364" s="34"/>
      <c r="I364" s="34"/>
      <c r="J364" s="6"/>
      <c r="K364" s="211"/>
      <c r="L364" s="211"/>
      <c r="M364" s="211">
        <v>2000</v>
      </c>
      <c r="N364" s="211">
        <v>1</v>
      </c>
      <c r="O364" s="34">
        <f>June!BW329</f>
        <v>353</v>
      </c>
      <c r="P364" s="34">
        <f>June!BX329</f>
        <v>104</v>
      </c>
      <c r="Q364" s="34">
        <f>June!BV329</f>
        <v>1</v>
      </c>
      <c r="R364" s="436"/>
      <c r="S364" s="436"/>
      <c r="T364" s="211">
        <v>256</v>
      </c>
      <c r="U364" s="211"/>
      <c r="V364" s="211">
        <f t="shared" si="15"/>
        <v>97</v>
      </c>
      <c r="W364" s="260"/>
      <c r="X364" s="67"/>
    </row>
    <row r="365" spans="1:24" s="4" customFormat="1" ht="15" customHeight="1">
      <c r="A365" s="427"/>
      <c r="B365" s="439"/>
      <c r="C365" s="445"/>
      <c r="D365" s="48" t="s">
        <v>432</v>
      </c>
      <c r="E365" s="441"/>
      <c r="F365" s="48" t="s">
        <v>435</v>
      </c>
      <c r="G365" s="37">
        <v>306.8</v>
      </c>
      <c r="H365" s="34"/>
      <c r="I365" s="34"/>
      <c r="J365" s="6"/>
      <c r="K365" s="211"/>
      <c r="L365" s="211"/>
      <c r="M365" s="211">
        <v>4000</v>
      </c>
      <c r="N365" s="211">
        <v>1</v>
      </c>
      <c r="O365" s="34"/>
      <c r="P365" s="34"/>
      <c r="Q365" s="34"/>
      <c r="R365" s="436"/>
      <c r="S365" s="436"/>
      <c r="T365" s="211"/>
      <c r="U365" s="211"/>
      <c r="V365" s="211"/>
      <c r="W365" s="260"/>
      <c r="X365" s="67"/>
    </row>
    <row r="366" spans="1:24" s="4" customFormat="1" ht="15" customHeight="1">
      <c r="A366" s="427"/>
      <c r="B366" s="443"/>
      <c r="C366" s="446"/>
      <c r="D366" s="48" t="s">
        <v>433</v>
      </c>
      <c r="E366" s="441"/>
      <c r="F366" s="48"/>
      <c r="G366" s="122"/>
      <c r="H366" s="34">
        <v>153</v>
      </c>
      <c r="I366" s="34"/>
      <c r="J366" s="6"/>
      <c r="K366" s="211"/>
      <c r="L366" s="211"/>
      <c r="M366" s="211"/>
      <c r="N366" s="211"/>
      <c r="O366" s="34"/>
      <c r="P366" s="34"/>
      <c r="Q366" s="34"/>
      <c r="R366" s="436"/>
      <c r="S366" s="436"/>
      <c r="T366" s="211"/>
      <c r="U366" s="211"/>
      <c r="V366" s="211"/>
      <c r="W366" s="260"/>
      <c r="X366" s="67"/>
    </row>
    <row r="367" spans="1:24" ht="15" customHeight="1">
      <c r="A367" s="427"/>
      <c r="B367" s="122" t="s">
        <v>103</v>
      </c>
      <c r="C367" s="157" t="s">
        <v>197</v>
      </c>
      <c r="D367" s="48" t="s">
        <v>104</v>
      </c>
      <c r="E367" s="441"/>
      <c r="F367" s="118" t="s">
        <v>105</v>
      </c>
      <c r="G367" s="119"/>
      <c r="H367" s="126"/>
      <c r="I367" s="126"/>
      <c r="J367" s="2"/>
      <c r="K367" s="18"/>
      <c r="L367" s="18"/>
      <c r="M367" s="18"/>
      <c r="N367" s="18"/>
      <c r="O367" s="126"/>
      <c r="P367" s="126"/>
      <c r="Q367" s="126">
        <f>June!BV339</f>
        <v>1</v>
      </c>
      <c r="R367" s="436"/>
      <c r="S367" s="436"/>
      <c r="T367" s="18"/>
      <c r="U367" s="18"/>
      <c r="V367" s="18"/>
      <c r="W367" s="45"/>
      <c r="X367" s="67"/>
    </row>
    <row r="368" spans="1:24" ht="15" customHeight="1">
      <c r="A368" s="427"/>
      <c r="B368" s="137" t="s">
        <v>112</v>
      </c>
      <c r="C368" s="157" t="s">
        <v>197</v>
      </c>
      <c r="D368" s="48" t="s">
        <v>104</v>
      </c>
      <c r="E368" s="441"/>
      <c r="F368" s="118" t="s">
        <v>113</v>
      </c>
      <c r="G368" s="119"/>
      <c r="H368" s="126"/>
      <c r="I368" s="126"/>
      <c r="J368" s="2"/>
      <c r="K368" s="18"/>
      <c r="L368" s="18"/>
      <c r="M368" s="18"/>
      <c r="N368" s="18"/>
      <c r="O368" s="126"/>
      <c r="P368" s="126"/>
      <c r="Q368" s="126">
        <f>June!BV341</f>
        <v>1</v>
      </c>
      <c r="R368" s="436"/>
      <c r="S368" s="436"/>
      <c r="T368" s="18"/>
      <c r="U368" s="18"/>
      <c r="V368" s="18"/>
      <c r="W368" s="45"/>
      <c r="X368" s="67"/>
    </row>
    <row r="369" spans="1:25" ht="15" customHeight="1" thickBot="1">
      <c r="A369" s="428"/>
      <c r="B369" s="44" t="s">
        <v>107</v>
      </c>
      <c r="C369" s="181" t="s">
        <v>386</v>
      </c>
      <c r="D369" s="61" t="s">
        <v>108</v>
      </c>
      <c r="E369" s="447"/>
      <c r="F369" s="133" t="s">
        <v>48</v>
      </c>
      <c r="G369" s="132"/>
      <c r="H369" s="134"/>
      <c r="I369" s="134"/>
      <c r="J369" s="129"/>
      <c r="K369" s="130"/>
      <c r="L369" s="130"/>
      <c r="M369" s="130">
        <v>13000</v>
      </c>
      <c r="N369" s="130">
        <v>2</v>
      </c>
      <c r="O369" s="134"/>
      <c r="P369" s="134"/>
      <c r="Q369" s="134">
        <f>June!BV340</f>
        <v>2</v>
      </c>
      <c r="R369" s="437"/>
      <c r="S369" s="437"/>
      <c r="T369" s="130"/>
      <c r="U369" s="130"/>
      <c r="V369" s="128">
        <f t="shared" ref="V369:V392" si="16">O369-T369-U369+V341</f>
        <v>11956</v>
      </c>
      <c r="W369" s="85"/>
      <c r="X369" s="67"/>
    </row>
    <row r="370" spans="1:25" ht="15" customHeight="1">
      <c r="A370" s="426">
        <v>46189</v>
      </c>
      <c r="B370" s="429" t="s">
        <v>44</v>
      </c>
      <c r="C370" s="432" t="s">
        <v>240</v>
      </c>
      <c r="D370" s="19" t="s">
        <v>37</v>
      </c>
      <c r="E370" s="19" t="s">
        <v>25</v>
      </c>
      <c r="F370" s="39" t="s">
        <v>40</v>
      </c>
      <c r="G370" s="41"/>
      <c r="H370" s="32">
        <v>5760</v>
      </c>
      <c r="I370" s="32"/>
      <c r="J370" s="32"/>
      <c r="K370" s="20">
        <v>48000</v>
      </c>
      <c r="L370" s="20">
        <v>6</v>
      </c>
      <c r="M370" s="20">
        <v>75000</v>
      </c>
      <c r="N370" s="84">
        <v>10</v>
      </c>
      <c r="O370" s="32">
        <f>June!BZ313</f>
        <v>61840</v>
      </c>
      <c r="P370" s="32">
        <f>June!CA313</f>
        <v>52007</v>
      </c>
      <c r="Q370" s="32">
        <f>June!BY313</f>
        <v>139</v>
      </c>
      <c r="R370" s="435">
        <f>June!BZ346</f>
        <v>75984</v>
      </c>
      <c r="S370" s="435">
        <f>June!CA346</f>
        <v>65504</v>
      </c>
      <c r="T370" s="20">
        <v>46006</v>
      </c>
      <c r="U370" s="20">
        <v>7</v>
      </c>
      <c r="V370" s="20">
        <f t="shared" si="16"/>
        <v>166093</v>
      </c>
      <c r="W370" s="77"/>
      <c r="X370" s="36"/>
    </row>
    <row r="371" spans="1:25" ht="15" customHeight="1">
      <c r="A371" s="427"/>
      <c r="B371" s="431"/>
      <c r="C371" s="434"/>
      <c r="D371" s="113" t="s">
        <v>307</v>
      </c>
      <c r="E371" s="113" t="s">
        <v>24</v>
      </c>
      <c r="F371" s="118" t="s">
        <v>40</v>
      </c>
      <c r="G371" s="170">
        <v>5456.86</v>
      </c>
      <c r="H371" s="135"/>
      <c r="I371" s="125"/>
      <c r="J371" s="125"/>
      <c r="K371" s="127"/>
      <c r="L371" s="127"/>
      <c r="M371" s="216">
        <v>158800</v>
      </c>
      <c r="N371" s="238">
        <v>20</v>
      </c>
      <c r="O371" s="126">
        <f>June!BZ314</f>
        <v>13079</v>
      </c>
      <c r="P371" s="125">
        <f>June!CA314</f>
        <v>13176</v>
      </c>
      <c r="Q371" s="125">
        <f>June!BY314</f>
        <v>48</v>
      </c>
      <c r="R371" s="436"/>
      <c r="S371" s="436"/>
      <c r="T371" s="127">
        <v>8400</v>
      </c>
      <c r="U371" s="127"/>
      <c r="V371" s="127">
        <f t="shared" si="16"/>
        <v>160501</v>
      </c>
      <c r="W371" s="46"/>
      <c r="X371" s="67"/>
    </row>
    <row r="372" spans="1:25" ht="15" customHeight="1">
      <c r="A372" s="427"/>
      <c r="B372" s="442" t="s">
        <v>45</v>
      </c>
      <c r="C372" s="448" t="s">
        <v>59</v>
      </c>
      <c r="D372" s="118" t="s">
        <v>75</v>
      </c>
      <c r="E372" s="131" t="s">
        <v>25</v>
      </c>
      <c r="F372" s="131" t="s">
        <v>57</v>
      </c>
      <c r="G372" s="152">
        <v>1553</v>
      </c>
      <c r="H372" s="152"/>
      <c r="I372" s="126"/>
      <c r="J372" s="2"/>
      <c r="K372" s="127"/>
      <c r="L372" s="18"/>
      <c r="M372" s="18">
        <v>44680</v>
      </c>
      <c r="N372" s="80">
        <v>9</v>
      </c>
      <c r="O372" s="126"/>
      <c r="P372" s="126"/>
      <c r="Q372" s="2">
        <f>June!BY317</f>
        <v>11</v>
      </c>
      <c r="R372" s="436"/>
      <c r="S372" s="436"/>
      <c r="T372" s="18"/>
      <c r="U372" s="18"/>
      <c r="V372" s="127">
        <f t="shared" si="16"/>
        <v>11746</v>
      </c>
      <c r="W372" s="46"/>
      <c r="Y372" s="13"/>
    </row>
    <row r="373" spans="1:25">
      <c r="A373" s="427"/>
      <c r="B373" s="439"/>
      <c r="C373" s="440"/>
      <c r="D373" s="118" t="s">
        <v>72</v>
      </c>
      <c r="E373" s="155" t="s">
        <v>24</v>
      </c>
      <c r="F373" s="131" t="s">
        <v>57</v>
      </c>
      <c r="G373" s="224"/>
      <c r="H373" s="152"/>
      <c r="I373" s="126"/>
      <c r="J373" s="126"/>
      <c r="K373" s="127"/>
      <c r="L373" s="18"/>
      <c r="M373" s="18">
        <v>40000</v>
      </c>
      <c r="N373" s="80">
        <v>8</v>
      </c>
      <c r="O373" s="126"/>
      <c r="P373" s="126"/>
      <c r="Q373" s="126">
        <f>June!BY319</f>
        <v>8</v>
      </c>
      <c r="R373" s="436"/>
      <c r="S373" s="436"/>
      <c r="T373" s="18"/>
      <c r="U373" s="18"/>
      <c r="V373" s="127">
        <f t="shared" si="16"/>
        <v>23089</v>
      </c>
      <c r="W373" s="46"/>
      <c r="Y373" s="13"/>
    </row>
    <row r="374" spans="1:25" ht="14.25" customHeight="1">
      <c r="A374" s="427"/>
      <c r="B374" s="439"/>
      <c r="C374" s="440"/>
      <c r="D374" s="115" t="s">
        <v>79</v>
      </c>
      <c r="E374" s="155" t="s">
        <v>65</v>
      </c>
      <c r="F374" s="131" t="s">
        <v>57</v>
      </c>
      <c r="G374" s="224"/>
      <c r="H374" s="126"/>
      <c r="I374" s="126"/>
      <c r="J374" s="126"/>
      <c r="K374" s="18"/>
      <c r="L374" s="18"/>
      <c r="M374" s="18"/>
      <c r="N374" s="80"/>
      <c r="O374" s="126"/>
      <c r="P374" s="126"/>
      <c r="Q374" s="126"/>
      <c r="R374" s="436"/>
      <c r="S374" s="436"/>
      <c r="T374" s="18"/>
      <c r="U374" s="18"/>
      <c r="V374" s="127">
        <f t="shared" si="16"/>
        <v>10211</v>
      </c>
      <c r="W374" s="45"/>
      <c r="X374" s="36"/>
    </row>
    <row r="375" spans="1:25" ht="14.25" customHeight="1">
      <c r="A375" s="427"/>
      <c r="B375" s="439"/>
      <c r="C375" s="448" t="s">
        <v>299</v>
      </c>
      <c r="D375" s="115" t="s">
        <v>296</v>
      </c>
      <c r="E375" s="424" t="s">
        <v>25</v>
      </c>
      <c r="F375" s="131" t="s">
        <v>298</v>
      </c>
      <c r="G375" s="224"/>
      <c r="H375" s="37"/>
      <c r="I375" s="126"/>
      <c r="J375" s="126"/>
      <c r="K375" s="18"/>
      <c r="L375" s="18"/>
      <c r="M375" s="18"/>
      <c r="N375" s="80"/>
      <c r="O375" s="126"/>
      <c r="P375" s="126"/>
      <c r="Q375" s="126"/>
      <c r="R375" s="436"/>
      <c r="S375" s="436"/>
      <c r="T375" s="18"/>
      <c r="U375" s="18"/>
      <c r="V375" s="127">
        <f t="shared" si="16"/>
        <v>4427</v>
      </c>
      <c r="W375" s="45"/>
      <c r="X375" s="67"/>
    </row>
    <row r="376" spans="1:25" ht="14.25" customHeight="1">
      <c r="A376" s="427"/>
      <c r="B376" s="443"/>
      <c r="C376" s="449"/>
      <c r="D376" s="115" t="s">
        <v>75</v>
      </c>
      <c r="E376" s="425"/>
      <c r="F376" s="131" t="s">
        <v>298</v>
      </c>
      <c r="G376" s="224"/>
      <c r="H376" s="37"/>
      <c r="I376" s="126"/>
      <c r="J376" s="126"/>
      <c r="K376" s="18"/>
      <c r="L376" s="18"/>
      <c r="M376" s="18">
        <v>10000</v>
      </c>
      <c r="N376" s="80">
        <v>2</v>
      </c>
      <c r="O376" s="126"/>
      <c r="P376" s="126"/>
      <c r="Q376" s="126">
        <f>June!BY323</f>
        <v>4</v>
      </c>
      <c r="R376" s="436"/>
      <c r="S376" s="436"/>
      <c r="T376" s="18"/>
      <c r="U376" s="18"/>
      <c r="V376" s="127">
        <f t="shared" si="16"/>
        <v>14595</v>
      </c>
      <c r="W376" s="45"/>
      <c r="X376" s="67"/>
    </row>
    <row r="377" spans="1:25" ht="14.25" customHeight="1">
      <c r="A377" s="427"/>
      <c r="B377" s="439" t="s">
        <v>53</v>
      </c>
      <c r="C377" s="445" t="s">
        <v>60</v>
      </c>
      <c r="D377" s="43" t="s">
        <v>320</v>
      </c>
      <c r="E377" s="441" t="s">
        <v>66</v>
      </c>
      <c r="F377" s="118" t="s">
        <v>54</v>
      </c>
      <c r="G377" s="224"/>
      <c r="H377" s="37"/>
      <c r="I377" s="126"/>
      <c r="J377" s="126"/>
      <c r="K377" s="18"/>
      <c r="L377" s="18"/>
      <c r="M377" s="18"/>
      <c r="N377" s="80"/>
      <c r="O377" s="126"/>
      <c r="P377" s="126"/>
      <c r="Q377" s="126">
        <f>June!BY315</f>
        <v>8</v>
      </c>
      <c r="R377" s="436"/>
      <c r="S377" s="436"/>
      <c r="T377" s="18"/>
      <c r="U377" s="18"/>
      <c r="V377" s="127">
        <f t="shared" si="16"/>
        <v>42606</v>
      </c>
      <c r="W377" s="45"/>
      <c r="X377" s="67"/>
    </row>
    <row r="378" spans="1:25" ht="14.25" customHeight="1">
      <c r="A378" s="427"/>
      <c r="B378" s="439"/>
      <c r="C378" s="445"/>
      <c r="D378" s="43" t="s">
        <v>387</v>
      </c>
      <c r="E378" s="425"/>
      <c r="F378" s="118" t="s">
        <v>54</v>
      </c>
      <c r="G378" s="229"/>
      <c r="H378" s="182"/>
      <c r="I378" s="125"/>
      <c r="J378" s="125"/>
      <c r="K378" s="127"/>
      <c r="L378" s="127"/>
      <c r="M378" s="127">
        <v>64800</v>
      </c>
      <c r="N378" s="171">
        <v>11</v>
      </c>
      <c r="O378" s="125"/>
      <c r="P378" s="125"/>
      <c r="Q378" s="125"/>
      <c r="R378" s="436"/>
      <c r="S378" s="436"/>
      <c r="T378" s="18"/>
      <c r="U378" s="18"/>
      <c r="V378" s="127">
        <f t="shared" si="16"/>
        <v>666</v>
      </c>
      <c r="W378" s="45"/>
      <c r="X378" s="67"/>
    </row>
    <row r="379" spans="1:25" ht="14.25" customHeight="1">
      <c r="A379" s="427"/>
      <c r="B379" s="443"/>
      <c r="C379" s="446"/>
      <c r="D379" s="43" t="s">
        <v>199</v>
      </c>
      <c r="E379" s="114" t="s">
        <v>25</v>
      </c>
      <c r="F379" s="118" t="s">
        <v>54</v>
      </c>
      <c r="G379" s="224"/>
      <c r="H379" s="135"/>
      <c r="I379" s="158"/>
      <c r="J379" s="158"/>
      <c r="K379" s="128"/>
      <c r="L379" s="128"/>
      <c r="M379" s="128"/>
      <c r="N379" s="164"/>
      <c r="O379" s="158"/>
      <c r="P379" s="158"/>
      <c r="Q379" s="158"/>
      <c r="R379" s="436"/>
      <c r="S379" s="436"/>
      <c r="T379" s="18"/>
      <c r="U379" s="18"/>
      <c r="V379" s="127">
        <f t="shared" si="16"/>
        <v>68</v>
      </c>
      <c r="W379" s="45"/>
      <c r="X379" s="67"/>
    </row>
    <row r="380" spans="1:25" ht="15.75" customHeight="1">
      <c r="A380" s="427"/>
      <c r="B380" s="122" t="s">
        <v>55</v>
      </c>
      <c r="C380" s="180" t="s">
        <v>133</v>
      </c>
      <c r="D380" s="48" t="s">
        <v>56</v>
      </c>
      <c r="E380" s="424" t="s">
        <v>25</v>
      </c>
      <c r="F380" s="118" t="s">
        <v>67</v>
      </c>
      <c r="G380" s="226"/>
      <c r="H380" s="126"/>
      <c r="I380" s="126"/>
      <c r="J380" s="2"/>
      <c r="K380" s="18"/>
      <c r="L380" s="18"/>
      <c r="M380" s="18"/>
      <c r="N380" s="18"/>
      <c r="O380" s="126"/>
      <c r="P380" s="126"/>
      <c r="Q380" s="126"/>
      <c r="R380" s="436"/>
      <c r="S380" s="436"/>
      <c r="T380" s="18">
        <v>800</v>
      </c>
      <c r="U380" s="18"/>
      <c r="V380" s="127">
        <f t="shared" si="16"/>
        <v>7022</v>
      </c>
      <c r="W380" s="45"/>
      <c r="X380" s="67"/>
    </row>
    <row r="381" spans="1:25" ht="15" customHeight="1">
      <c r="A381" s="427"/>
      <c r="B381" s="122" t="s">
        <v>122</v>
      </c>
      <c r="C381" s="180" t="s">
        <v>123</v>
      </c>
      <c r="D381" s="48" t="s">
        <v>56</v>
      </c>
      <c r="E381" s="441"/>
      <c r="F381" s="155" t="s">
        <v>64</v>
      </c>
      <c r="G381" s="119"/>
      <c r="H381" s="126"/>
      <c r="I381" s="126"/>
      <c r="J381" s="2"/>
      <c r="K381" s="18"/>
      <c r="L381" s="18"/>
      <c r="M381" s="18">
        <v>6400</v>
      </c>
      <c r="N381" s="18">
        <v>2</v>
      </c>
      <c r="O381" s="126"/>
      <c r="P381" s="126"/>
      <c r="Q381" s="126"/>
      <c r="R381" s="436"/>
      <c r="S381" s="436"/>
      <c r="T381" s="18"/>
      <c r="U381" s="18"/>
      <c r="V381" s="127">
        <f t="shared" si="16"/>
        <v>18121</v>
      </c>
      <c r="W381" s="45"/>
      <c r="X381" s="67"/>
    </row>
    <row r="382" spans="1:25" ht="14.25" customHeight="1">
      <c r="A382" s="427"/>
      <c r="B382" s="137" t="s">
        <v>58</v>
      </c>
      <c r="C382" s="157" t="s">
        <v>243</v>
      </c>
      <c r="D382" s="48" t="s">
        <v>56</v>
      </c>
      <c r="E382" s="441"/>
      <c r="F382" s="118" t="s">
        <v>64</v>
      </c>
      <c r="G382" s="225"/>
      <c r="H382" s="126"/>
      <c r="I382" s="126"/>
      <c r="J382" s="126"/>
      <c r="K382" s="18"/>
      <c r="L382" s="18"/>
      <c r="M382" s="18"/>
      <c r="N382" s="80"/>
      <c r="O382" s="126"/>
      <c r="P382" s="126"/>
      <c r="Q382" s="126"/>
      <c r="R382" s="436"/>
      <c r="S382" s="436"/>
      <c r="T382" s="18"/>
      <c r="U382" s="18"/>
      <c r="V382" s="127">
        <f t="shared" si="16"/>
        <v>8144</v>
      </c>
      <c r="W382" s="45"/>
      <c r="X382" s="67"/>
    </row>
    <row r="383" spans="1:25" ht="14.25" customHeight="1">
      <c r="A383" s="427"/>
      <c r="B383" s="122" t="s">
        <v>61</v>
      </c>
      <c r="C383" s="180" t="s">
        <v>137</v>
      </c>
      <c r="D383" s="48" t="s">
        <v>56</v>
      </c>
      <c r="E383" s="441"/>
      <c r="F383" s="118" t="s">
        <v>67</v>
      </c>
      <c r="G383" s="225"/>
      <c r="H383" s="126"/>
      <c r="I383" s="126"/>
      <c r="J383" s="126"/>
      <c r="K383" s="18"/>
      <c r="L383" s="18"/>
      <c r="M383" s="18"/>
      <c r="N383" s="80"/>
      <c r="O383" s="126"/>
      <c r="P383" s="126"/>
      <c r="Q383" s="126"/>
      <c r="R383" s="436"/>
      <c r="S383" s="436"/>
      <c r="T383" s="18"/>
      <c r="U383" s="18"/>
      <c r="V383" s="127">
        <f t="shared" si="16"/>
        <v>5844</v>
      </c>
      <c r="W383" s="45"/>
      <c r="X383" s="67"/>
    </row>
    <row r="384" spans="1:25" ht="14.25" customHeight="1">
      <c r="A384" s="427"/>
      <c r="B384" s="122" t="s">
        <v>125</v>
      </c>
      <c r="C384" s="180" t="s">
        <v>88</v>
      </c>
      <c r="D384" s="48" t="s">
        <v>124</v>
      </c>
      <c r="E384" s="441"/>
      <c r="F384" s="118" t="s">
        <v>64</v>
      </c>
      <c r="G384" s="225"/>
      <c r="H384" s="126"/>
      <c r="I384" s="126"/>
      <c r="J384" s="126"/>
      <c r="K384" s="18"/>
      <c r="L384" s="18"/>
      <c r="M384" s="18">
        <v>51200</v>
      </c>
      <c r="N384" s="80">
        <v>7</v>
      </c>
      <c r="O384" s="126"/>
      <c r="P384" s="126"/>
      <c r="Q384" s="126"/>
      <c r="R384" s="436"/>
      <c r="S384" s="436"/>
      <c r="T384" s="18"/>
      <c r="U384" s="18"/>
      <c r="V384" s="127">
        <f t="shared" si="16"/>
        <v>23615</v>
      </c>
      <c r="W384" s="45"/>
      <c r="X384" s="67"/>
    </row>
    <row r="385" spans="1:24" ht="14.25" customHeight="1">
      <c r="A385" s="427"/>
      <c r="B385" s="137" t="s">
        <v>47</v>
      </c>
      <c r="C385" s="157" t="s">
        <v>100</v>
      </c>
      <c r="D385" s="48" t="s">
        <v>99</v>
      </c>
      <c r="E385" s="441"/>
      <c r="F385" s="118" t="s">
        <v>71</v>
      </c>
      <c r="G385" s="225"/>
      <c r="H385" s="126"/>
      <c r="I385" s="126"/>
      <c r="J385" s="126"/>
      <c r="K385" s="18"/>
      <c r="L385" s="18"/>
      <c r="M385" s="18"/>
      <c r="N385" s="80"/>
      <c r="O385" s="126"/>
      <c r="P385" s="126"/>
      <c r="Q385" s="126"/>
      <c r="R385" s="436"/>
      <c r="S385" s="436"/>
      <c r="T385" s="18"/>
      <c r="U385" s="18"/>
      <c r="V385" s="127">
        <f t="shared" si="16"/>
        <v>55553</v>
      </c>
      <c r="W385" s="45"/>
      <c r="X385" s="67"/>
    </row>
    <row r="386" spans="1:24" ht="15" customHeight="1">
      <c r="A386" s="427"/>
      <c r="B386" s="122" t="s">
        <v>196</v>
      </c>
      <c r="C386" s="180" t="s">
        <v>63</v>
      </c>
      <c r="D386" s="48" t="s">
        <v>135</v>
      </c>
      <c r="E386" s="441"/>
      <c r="F386" s="118" t="s">
        <v>64</v>
      </c>
      <c r="G386" s="226"/>
      <c r="H386" s="126"/>
      <c r="I386" s="126"/>
      <c r="J386" s="2"/>
      <c r="K386" s="18"/>
      <c r="L386" s="18"/>
      <c r="M386" s="18"/>
      <c r="N386" s="18"/>
      <c r="O386" s="126"/>
      <c r="P386" s="126"/>
      <c r="Q386" s="126">
        <f>June!BY338</f>
        <v>5</v>
      </c>
      <c r="R386" s="436"/>
      <c r="S386" s="436"/>
      <c r="T386" s="18"/>
      <c r="U386" s="18"/>
      <c r="V386" s="127">
        <f t="shared" si="16"/>
        <v>41412</v>
      </c>
      <c r="W386" s="45"/>
      <c r="X386" s="67"/>
    </row>
    <row r="387" spans="1:24" ht="15" customHeight="1">
      <c r="A387" s="427"/>
      <c r="B387" s="122" t="s">
        <v>363</v>
      </c>
      <c r="C387" s="180" t="s">
        <v>325</v>
      </c>
      <c r="D387" s="48" t="s">
        <v>328</v>
      </c>
      <c r="E387" s="441"/>
      <c r="F387" s="118" t="s">
        <v>48</v>
      </c>
      <c r="G387" s="226"/>
      <c r="H387" s="126"/>
      <c r="I387" s="126"/>
      <c r="J387" s="2"/>
      <c r="K387" s="18"/>
      <c r="L387" s="18"/>
      <c r="M387" s="18"/>
      <c r="N387" s="18"/>
      <c r="O387" s="126"/>
      <c r="P387" s="126"/>
      <c r="Q387" s="126">
        <f>June!BY335</f>
        <v>2</v>
      </c>
      <c r="R387" s="436"/>
      <c r="S387" s="436"/>
      <c r="T387" s="18"/>
      <c r="U387" s="18"/>
      <c r="V387" s="127">
        <f t="shared" si="16"/>
        <v>15153</v>
      </c>
      <c r="W387" s="45"/>
      <c r="X387" s="67"/>
    </row>
    <row r="388" spans="1:24" ht="15" customHeight="1">
      <c r="A388" s="427"/>
      <c r="B388" s="122" t="s">
        <v>253</v>
      </c>
      <c r="C388" s="180" t="s">
        <v>365</v>
      </c>
      <c r="D388" s="48" t="s">
        <v>246</v>
      </c>
      <c r="E388" s="441"/>
      <c r="F388" s="118" t="s">
        <v>247</v>
      </c>
      <c r="G388" s="226"/>
      <c r="H388" s="126"/>
      <c r="I388" s="126"/>
      <c r="J388" s="2"/>
      <c r="K388" s="18"/>
      <c r="L388" s="18"/>
      <c r="M388" s="18"/>
      <c r="N388" s="18"/>
      <c r="O388" s="126"/>
      <c r="P388" s="126"/>
      <c r="Q388" s="126">
        <f>June!BY327</f>
        <v>3</v>
      </c>
      <c r="R388" s="436"/>
      <c r="S388" s="436"/>
      <c r="T388" s="18">
        <v>2000</v>
      </c>
      <c r="U388" s="18"/>
      <c r="V388" s="127">
        <f t="shared" si="16"/>
        <v>12501</v>
      </c>
      <c r="W388" s="45"/>
      <c r="X388" s="67"/>
    </row>
    <row r="389" spans="1:24" ht="15" customHeight="1">
      <c r="A389" s="427"/>
      <c r="B389" s="122" t="s">
        <v>101</v>
      </c>
      <c r="C389" s="180" t="s">
        <v>327</v>
      </c>
      <c r="D389" s="48" t="s">
        <v>102</v>
      </c>
      <c r="E389" s="441"/>
      <c r="F389" s="118" t="s">
        <v>64</v>
      </c>
      <c r="G389" s="119"/>
      <c r="H389" s="126"/>
      <c r="I389" s="126"/>
      <c r="J389" s="2"/>
      <c r="K389" s="18"/>
      <c r="L389" s="18"/>
      <c r="M389" s="18"/>
      <c r="N389" s="18"/>
      <c r="O389" s="126">
        <f>June!BZ333</f>
        <v>1065</v>
      </c>
      <c r="P389" s="126">
        <f>June!CA333</f>
        <v>321</v>
      </c>
      <c r="Q389" s="126">
        <f>June!BY333</f>
        <v>2</v>
      </c>
      <c r="R389" s="436"/>
      <c r="S389" s="436"/>
      <c r="T389" s="18"/>
      <c r="U389" s="18"/>
      <c r="V389" s="18">
        <f t="shared" si="16"/>
        <v>4722</v>
      </c>
      <c r="W389" s="45"/>
      <c r="X389" s="67"/>
    </row>
    <row r="390" spans="1:24" s="4" customFormat="1" ht="15" customHeight="1">
      <c r="A390" s="427"/>
      <c r="B390" s="122" t="s">
        <v>375</v>
      </c>
      <c r="C390" s="157" t="s">
        <v>376</v>
      </c>
      <c r="D390" s="48" t="s">
        <v>248</v>
      </c>
      <c r="E390" s="441"/>
      <c r="F390" s="48" t="s">
        <v>64</v>
      </c>
      <c r="G390" s="122"/>
      <c r="H390" s="34"/>
      <c r="I390" s="34"/>
      <c r="J390" s="6"/>
      <c r="K390" s="211"/>
      <c r="L390" s="211"/>
      <c r="M390" s="211"/>
      <c r="N390" s="211"/>
      <c r="O390" s="34"/>
      <c r="P390" s="34"/>
      <c r="Q390" s="34"/>
      <c r="R390" s="436"/>
      <c r="S390" s="436"/>
      <c r="T390" s="211"/>
      <c r="U390" s="211"/>
      <c r="V390" s="211">
        <f t="shared" si="16"/>
        <v>75911</v>
      </c>
      <c r="W390" s="260"/>
      <c r="X390" s="67"/>
    </row>
    <row r="391" spans="1:24" s="4" customFormat="1" ht="15" customHeight="1">
      <c r="A391" s="427"/>
      <c r="B391" s="122" t="s">
        <v>421</v>
      </c>
      <c r="C391" s="157" t="s">
        <v>420</v>
      </c>
      <c r="D391" s="48" t="s">
        <v>248</v>
      </c>
      <c r="E391" s="441"/>
      <c r="F391" s="48" t="s">
        <v>64</v>
      </c>
      <c r="G391" s="170">
        <v>393.68</v>
      </c>
      <c r="H391" s="34"/>
      <c r="I391" s="34"/>
      <c r="J391" s="6"/>
      <c r="K391" s="211"/>
      <c r="L391" s="211"/>
      <c r="M391" s="211">
        <v>46200</v>
      </c>
      <c r="N391" s="211">
        <v>11</v>
      </c>
      <c r="O391" s="34"/>
      <c r="P391" s="34"/>
      <c r="Q391" s="34">
        <f>June!BY337</f>
        <v>20</v>
      </c>
      <c r="R391" s="436"/>
      <c r="S391" s="436"/>
      <c r="T391" s="211">
        <v>1632</v>
      </c>
      <c r="U391" s="211"/>
      <c r="V391" s="211">
        <f t="shared" si="16"/>
        <v>61445</v>
      </c>
      <c r="W391" s="260"/>
      <c r="X391" s="67"/>
    </row>
    <row r="392" spans="1:24" s="4" customFormat="1" ht="15" customHeight="1">
      <c r="A392" s="427"/>
      <c r="B392" s="442" t="s">
        <v>289</v>
      </c>
      <c r="C392" s="444" t="s">
        <v>290</v>
      </c>
      <c r="D392" s="48" t="s">
        <v>432</v>
      </c>
      <c r="E392" s="441"/>
      <c r="F392" s="48" t="s">
        <v>381</v>
      </c>
      <c r="G392" s="122"/>
      <c r="H392" s="34"/>
      <c r="I392" s="34"/>
      <c r="J392" s="6"/>
      <c r="K392" s="211"/>
      <c r="L392" s="211"/>
      <c r="M392" s="211">
        <v>2000</v>
      </c>
      <c r="N392" s="211">
        <v>1</v>
      </c>
      <c r="O392" s="34"/>
      <c r="P392" s="34"/>
      <c r="Q392" s="34"/>
      <c r="R392" s="436"/>
      <c r="S392" s="436"/>
      <c r="T392" s="211"/>
      <c r="U392" s="211"/>
      <c r="V392" s="211">
        <f t="shared" si="16"/>
        <v>97</v>
      </c>
      <c r="W392" s="260"/>
      <c r="X392" s="67"/>
    </row>
    <row r="393" spans="1:24" s="4" customFormat="1" ht="15" customHeight="1">
      <c r="A393" s="427"/>
      <c r="B393" s="439"/>
      <c r="C393" s="445"/>
      <c r="D393" s="48" t="s">
        <v>432</v>
      </c>
      <c r="E393" s="441"/>
      <c r="F393" s="48" t="s">
        <v>435</v>
      </c>
      <c r="G393" s="122"/>
      <c r="H393" s="34"/>
      <c r="I393" s="34"/>
      <c r="J393" s="6"/>
      <c r="K393" s="211"/>
      <c r="L393" s="211"/>
      <c r="M393" s="211">
        <v>4000</v>
      </c>
      <c r="N393" s="211">
        <v>1</v>
      </c>
      <c r="O393" s="34"/>
      <c r="P393" s="34"/>
      <c r="Q393" s="34"/>
      <c r="R393" s="436"/>
      <c r="S393" s="436"/>
      <c r="T393" s="211"/>
      <c r="U393" s="211"/>
      <c r="V393" s="211"/>
      <c r="W393" s="260"/>
      <c r="X393" s="67"/>
    </row>
    <row r="394" spans="1:24" s="4" customFormat="1" ht="15" customHeight="1">
      <c r="A394" s="427"/>
      <c r="B394" s="443"/>
      <c r="C394" s="446"/>
      <c r="D394" s="48" t="s">
        <v>433</v>
      </c>
      <c r="E394" s="441"/>
      <c r="F394" s="48"/>
      <c r="G394" s="137"/>
      <c r="H394" s="34">
        <v>153</v>
      </c>
      <c r="I394" s="34"/>
      <c r="J394" s="6"/>
      <c r="K394" s="211"/>
      <c r="L394" s="211"/>
      <c r="M394" s="211"/>
      <c r="N394" s="211"/>
      <c r="O394" s="34"/>
      <c r="P394" s="34"/>
      <c r="Q394" s="34"/>
      <c r="R394" s="436"/>
      <c r="S394" s="436"/>
      <c r="T394" s="211"/>
      <c r="U394" s="211"/>
      <c r="V394" s="211"/>
      <c r="W394" s="260"/>
      <c r="X394" s="67"/>
    </row>
    <row r="395" spans="1:24" s="4" customFormat="1" ht="15" customHeight="1">
      <c r="A395" s="427"/>
      <c r="B395" s="442" t="s">
        <v>436</v>
      </c>
      <c r="C395" s="444" t="s">
        <v>438</v>
      </c>
      <c r="D395" s="48" t="s">
        <v>432</v>
      </c>
      <c r="E395" s="441"/>
      <c r="F395" s="48" t="s">
        <v>57</v>
      </c>
      <c r="G395" s="152">
        <v>173</v>
      </c>
      <c r="H395" s="293"/>
      <c r="I395" s="34"/>
      <c r="J395" s="6"/>
      <c r="K395" s="211">
        <v>3000</v>
      </c>
      <c r="L395" s="211">
        <v>1</v>
      </c>
      <c r="M395" s="211"/>
      <c r="N395" s="211"/>
      <c r="O395" s="34"/>
      <c r="P395" s="34"/>
      <c r="Q395" s="34">
        <f>June!BY344</f>
        <v>1</v>
      </c>
      <c r="R395" s="436"/>
      <c r="S395" s="436"/>
      <c r="T395" s="211"/>
      <c r="U395" s="211"/>
      <c r="V395" s="211"/>
      <c r="W395" s="260"/>
      <c r="X395" s="67"/>
    </row>
    <row r="396" spans="1:24" s="4" customFormat="1" ht="15" customHeight="1">
      <c r="A396" s="427"/>
      <c r="B396" s="443"/>
      <c r="C396" s="446"/>
      <c r="D396" s="48" t="s">
        <v>433</v>
      </c>
      <c r="E396" s="441"/>
      <c r="F396" s="48"/>
      <c r="G396" s="152"/>
      <c r="H396" s="293">
        <v>91.8</v>
      </c>
      <c r="I396" s="34"/>
      <c r="J396" s="6"/>
      <c r="K396" s="211"/>
      <c r="L396" s="211"/>
      <c r="M396" s="211"/>
      <c r="N396" s="211"/>
      <c r="O396" s="34"/>
      <c r="P396" s="34"/>
      <c r="Q396" s="34"/>
      <c r="R396" s="436"/>
      <c r="S396" s="436"/>
      <c r="T396" s="211"/>
      <c r="U396" s="211"/>
      <c r="V396" s="211"/>
      <c r="W396" s="260"/>
      <c r="X396" s="67"/>
    </row>
    <row r="397" spans="1:24" s="4" customFormat="1" ht="15" customHeight="1">
      <c r="A397" s="427"/>
      <c r="B397" s="442" t="s">
        <v>437</v>
      </c>
      <c r="C397" s="444" t="s">
        <v>438</v>
      </c>
      <c r="D397" s="48" t="s">
        <v>432</v>
      </c>
      <c r="E397" s="441"/>
      <c r="F397" s="48" t="s">
        <v>57</v>
      </c>
      <c r="G397" s="152">
        <v>173</v>
      </c>
      <c r="H397" s="293"/>
      <c r="I397" s="34"/>
      <c r="J397" s="6"/>
      <c r="K397" s="211"/>
      <c r="L397" s="211"/>
      <c r="M397" s="211">
        <v>3000</v>
      </c>
      <c r="N397" s="211">
        <v>1</v>
      </c>
      <c r="O397" s="34"/>
      <c r="P397" s="34"/>
      <c r="Q397" s="34"/>
      <c r="R397" s="436"/>
      <c r="S397" s="436"/>
      <c r="T397" s="211"/>
      <c r="U397" s="211"/>
      <c r="V397" s="211"/>
      <c r="W397" s="260"/>
      <c r="X397" s="67"/>
    </row>
    <row r="398" spans="1:24" s="4" customFormat="1" ht="15" customHeight="1">
      <c r="A398" s="427"/>
      <c r="B398" s="443"/>
      <c r="C398" s="446"/>
      <c r="D398" s="48" t="s">
        <v>433</v>
      </c>
      <c r="E398" s="441"/>
      <c r="F398" s="48"/>
      <c r="G398" s="152"/>
      <c r="H398" s="293">
        <v>91.8</v>
      </c>
      <c r="I398" s="34"/>
      <c r="J398" s="6"/>
      <c r="K398" s="211"/>
      <c r="L398" s="211"/>
      <c r="M398" s="211"/>
      <c r="N398" s="211"/>
      <c r="O398" s="34"/>
      <c r="P398" s="34"/>
      <c r="Q398" s="34"/>
      <c r="R398" s="436"/>
      <c r="S398" s="436"/>
      <c r="T398" s="211"/>
      <c r="U398" s="211"/>
      <c r="V398" s="211"/>
      <c r="W398" s="260"/>
      <c r="X398" s="67"/>
    </row>
    <row r="399" spans="1:24" ht="15" customHeight="1">
      <c r="A399" s="427"/>
      <c r="B399" s="122" t="s">
        <v>103</v>
      </c>
      <c r="C399" s="157" t="s">
        <v>197</v>
      </c>
      <c r="D399" s="48" t="s">
        <v>104</v>
      </c>
      <c r="E399" s="441"/>
      <c r="F399" s="118" t="s">
        <v>105</v>
      </c>
      <c r="G399" s="119"/>
      <c r="H399" s="37"/>
      <c r="I399" s="126"/>
      <c r="J399" s="2"/>
      <c r="K399" s="18"/>
      <c r="L399" s="18"/>
      <c r="M399" s="18"/>
      <c r="N399" s="18"/>
      <c r="O399" s="126"/>
      <c r="P399" s="126"/>
      <c r="Q399" s="126">
        <f>June!BY339</f>
        <v>1</v>
      </c>
      <c r="R399" s="436"/>
      <c r="S399" s="436"/>
      <c r="T399" s="18"/>
      <c r="U399" s="18"/>
      <c r="V399" s="18"/>
      <c r="W399" s="45"/>
      <c r="X399" s="67"/>
    </row>
    <row r="400" spans="1:24" ht="15" customHeight="1">
      <c r="A400" s="427"/>
      <c r="B400" s="137" t="s">
        <v>112</v>
      </c>
      <c r="C400" s="157" t="s">
        <v>197</v>
      </c>
      <c r="D400" s="48" t="s">
        <v>104</v>
      </c>
      <c r="E400" s="441"/>
      <c r="F400" s="118" t="s">
        <v>113</v>
      </c>
      <c r="G400" s="119"/>
      <c r="H400" s="126"/>
      <c r="I400" s="126"/>
      <c r="J400" s="2"/>
      <c r="K400" s="18"/>
      <c r="L400" s="18"/>
      <c r="M400" s="18"/>
      <c r="N400" s="18"/>
      <c r="O400" s="126"/>
      <c r="P400" s="126"/>
      <c r="Q400" s="126">
        <f>June!BY341</f>
        <v>1</v>
      </c>
      <c r="R400" s="436"/>
      <c r="S400" s="436"/>
      <c r="T400" s="18"/>
      <c r="U400" s="18"/>
      <c r="V400" s="18"/>
      <c r="W400" s="45"/>
      <c r="X400" s="67"/>
    </row>
    <row r="401" spans="1:25" ht="15" customHeight="1" thickBot="1">
      <c r="A401" s="428"/>
      <c r="B401" s="44" t="s">
        <v>107</v>
      </c>
      <c r="C401" s="181" t="s">
        <v>386</v>
      </c>
      <c r="D401" s="61" t="s">
        <v>108</v>
      </c>
      <c r="E401" s="447"/>
      <c r="F401" s="133" t="s">
        <v>48</v>
      </c>
      <c r="G401" s="132"/>
      <c r="H401" s="134"/>
      <c r="I401" s="134"/>
      <c r="J401" s="129"/>
      <c r="K401" s="130"/>
      <c r="L401" s="130"/>
      <c r="M401" s="130">
        <v>13000</v>
      </c>
      <c r="N401" s="130">
        <v>2</v>
      </c>
      <c r="O401" s="134"/>
      <c r="P401" s="134"/>
      <c r="Q401" s="134">
        <f>June!BY340</f>
        <v>2</v>
      </c>
      <c r="R401" s="437"/>
      <c r="S401" s="437"/>
      <c r="T401" s="130"/>
      <c r="U401" s="130"/>
      <c r="V401" s="128">
        <f t="shared" ref="V401:V406" si="17">O401-T401-U401+V369</f>
        <v>11956</v>
      </c>
      <c r="W401" s="85"/>
      <c r="X401" s="67"/>
    </row>
    <row r="402" spans="1:25" ht="15" customHeight="1">
      <c r="A402" s="426">
        <v>46190</v>
      </c>
      <c r="B402" s="429" t="s">
        <v>44</v>
      </c>
      <c r="C402" s="432" t="s">
        <v>240</v>
      </c>
      <c r="D402" s="19" t="s">
        <v>37</v>
      </c>
      <c r="E402" s="19" t="s">
        <v>25</v>
      </c>
      <c r="F402" s="39" t="s">
        <v>40</v>
      </c>
      <c r="G402" s="41"/>
      <c r="H402" s="32"/>
      <c r="I402" s="32"/>
      <c r="J402" s="32"/>
      <c r="K402" s="20">
        <v>8000</v>
      </c>
      <c r="L402" s="20">
        <v>1</v>
      </c>
      <c r="M402" s="20">
        <v>67000</v>
      </c>
      <c r="N402" s="84">
        <v>9</v>
      </c>
      <c r="O402" s="32">
        <f>June!CC313</f>
        <v>53539</v>
      </c>
      <c r="P402" s="32">
        <f>June!CD313</f>
        <v>53268</v>
      </c>
      <c r="Q402" s="32">
        <f>June!CB313</f>
        <v>140</v>
      </c>
      <c r="R402" s="435">
        <f>June!CC346</f>
        <v>84462</v>
      </c>
      <c r="S402" s="435">
        <f>June!CD346</f>
        <v>63767</v>
      </c>
      <c r="T402" s="20">
        <v>55375</v>
      </c>
      <c r="U402" s="20">
        <v>11</v>
      </c>
      <c r="V402" s="20">
        <f t="shared" si="17"/>
        <v>164246</v>
      </c>
      <c r="W402" s="77"/>
      <c r="X402" s="36"/>
    </row>
    <row r="403" spans="1:25" ht="15" customHeight="1">
      <c r="A403" s="427"/>
      <c r="B403" s="431"/>
      <c r="C403" s="434"/>
      <c r="D403" s="113" t="s">
        <v>307</v>
      </c>
      <c r="E403" s="113" t="s">
        <v>24</v>
      </c>
      <c r="F403" s="118" t="s">
        <v>40</v>
      </c>
      <c r="G403" s="170"/>
      <c r="H403" s="135"/>
      <c r="I403" s="125"/>
      <c r="J403" s="125"/>
      <c r="K403" s="127">
        <v>32000</v>
      </c>
      <c r="L403" s="127">
        <v>4</v>
      </c>
      <c r="M403" s="216">
        <v>126800</v>
      </c>
      <c r="N403" s="238">
        <v>16</v>
      </c>
      <c r="O403" s="126">
        <f>June!CC314</f>
        <v>30923</v>
      </c>
      <c r="P403" s="125">
        <f>June!CD314</f>
        <v>9843</v>
      </c>
      <c r="Q403" s="125">
        <f>June!CB314</f>
        <v>47</v>
      </c>
      <c r="R403" s="436"/>
      <c r="S403" s="436"/>
      <c r="T403" s="127">
        <v>17275</v>
      </c>
      <c r="U403" s="127"/>
      <c r="V403" s="127">
        <f t="shared" si="17"/>
        <v>174149</v>
      </c>
      <c r="W403" s="46"/>
      <c r="X403" s="67"/>
    </row>
    <row r="404" spans="1:25" ht="15" customHeight="1">
      <c r="A404" s="427"/>
      <c r="B404" s="442" t="s">
        <v>45</v>
      </c>
      <c r="C404" s="448" t="s">
        <v>59</v>
      </c>
      <c r="D404" s="118" t="s">
        <v>75</v>
      </c>
      <c r="E404" s="131" t="s">
        <v>25</v>
      </c>
      <c r="F404" s="131" t="s">
        <v>57</v>
      </c>
      <c r="G404" s="87"/>
      <c r="H404" s="152"/>
      <c r="I404" s="126"/>
      <c r="J404" s="2"/>
      <c r="K404" s="127"/>
      <c r="L404" s="18"/>
      <c r="M404" s="18">
        <v>44680</v>
      </c>
      <c r="N404" s="80">
        <v>9</v>
      </c>
      <c r="O404" s="126"/>
      <c r="P404" s="126"/>
      <c r="Q404" s="2">
        <f>June!CB317</f>
        <v>11</v>
      </c>
      <c r="R404" s="436"/>
      <c r="S404" s="436"/>
      <c r="T404" s="18"/>
      <c r="U404" s="18"/>
      <c r="V404" s="127">
        <f t="shared" si="17"/>
        <v>11746</v>
      </c>
      <c r="W404" s="46"/>
      <c r="Y404" s="13"/>
    </row>
    <row r="405" spans="1:25">
      <c r="A405" s="427"/>
      <c r="B405" s="439"/>
      <c r="C405" s="440"/>
      <c r="D405" s="118" t="s">
        <v>72</v>
      </c>
      <c r="E405" s="155" t="s">
        <v>24</v>
      </c>
      <c r="F405" s="131" t="s">
        <v>57</v>
      </c>
      <c r="G405" s="224"/>
      <c r="H405" s="152"/>
      <c r="I405" s="126"/>
      <c r="J405" s="126"/>
      <c r="K405" s="127"/>
      <c r="L405" s="18"/>
      <c r="M405" s="18">
        <v>40000</v>
      </c>
      <c r="N405" s="80">
        <v>8</v>
      </c>
      <c r="O405" s="126"/>
      <c r="P405" s="126"/>
      <c r="Q405" s="126">
        <f>June!CB319</f>
        <v>8</v>
      </c>
      <c r="R405" s="436"/>
      <c r="S405" s="436"/>
      <c r="T405" s="18"/>
      <c r="U405" s="18"/>
      <c r="V405" s="127">
        <f t="shared" si="17"/>
        <v>23089</v>
      </c>
      <c r="W405" s="46"/>
      <c r="Y405" s="13"/>
    </row>
    <row r="406" spans="1:25" ht="14.25" customHeight="1">
      <c r="A406" s="427"/>
      <c r="B406" s="439"/>
      <c r="C406" s="440"/>
      <c r="D406" s="115" t="s">
        <v>79</v>
      </c>
      <c r="E406" s="424" t="s">
        <v>65</v>
      </c>
      <c r="F406" s="131" t="s">
        <v>57</v>
      </c>
      <c r="G406" s="224"/>
      <c r="H406" s="126"/>
      <c r="I406" s="126"/>
      <c r="J406" s="126"/>
      <c r="K406" s="18"/>
      <c r="L406" s="18"/>
      <c r="M406" s="18"/>
      <c r="N406" s="80"/>
      <c r="O406" s="126"/>
      <c r="P406" s="126"/>
      <c r="Q406" s="126"/>
      <c r="R406" s="436"/>
      <c r="S406" s="436"/>
      <c r="T406" s="18"/>
      <c r="U406" s="18"/>
      <c r="V406" s="127">
        <f t="shared" si="17"/>
        <v>10211</v>
      </c>
      <c r="W406" s="45"/>
      <c r="X406" s="36"/>
    </row>
    <row r="407" spans="1:25" ht="14.25" customHeight="1">
      <c r="A407" s="427"/>
      <c r="B407" s="439"/>
      <c r="C407" s="440"/>
      <c r="D407" s="115" t="s">
        <v>443</v>
      </c>
      <c r="E407" s="441"/>
      <c r="F407" s="131" t="s">
        <v>57</v>
      </c>
      <c r="G407" s="229">
        <v>77.650000000000006</v>
      </c>
      <c r="H407" s="126"/>
      <c r="I407" s="126"/>
      <c r="J407" s="126"/>
      <c r="K407" s="18"/>
      <c r="L407" s="18"/>
      <c r="M407" s="18"/>
      <c r="N407" s="80"/>
      <c r="O407" s="126"/>
      <c r="P407" s="126"/>
      <c r="Q407" s="126"/>
      <c r="R407" s="436"/>
      <c r="S407" s="436"/>
      <c r="T407" s="18"/>
      <c r="U407" s="18"/>
      <c r="V407" s="127"/>
      <c r="W407" s="45"/>
      <c r="X407" s="67"/>
    </row>
    <row r="408" spans="1:25" ht="14.25" customHeight="1">
      <c r="A408" s="427"/>
      <c r="B408" s="439"/>
      <c r="C408" s="449"/>
      <c r="D408" s="115" t="s">
        <v>444</v>
      </c>
      <c r="E408" s="425"/>
      <c r="F408" s="131"/>
      <c r="G408" s="224"/>
      <c r="H408" s="37">
        <v>61.2</v>
      </c>
      <c r="I408" s="126"/>
      <c r="J408" s="126"/>
      <c r="K408" s="18"/>
      <c r="L408" s="18"/>
      <c r="M408" s="18"/>
      <c r="N408" s="80"/>
      <c r="O408" s="126"/>
      <c r="P408" s="126"/>
      <c r="Q408" s="126"/>
      <c r="R408" s="436"/>
      <c r="S408" s="436"/>
      <c r="T408" s="18"/>
      <c r="U408" s="18"/>
      <c r="V408" s="127"/>
      <c r="W408" s="45"/>
      <c r="X408" s="67"/>
    </row>
    <row r="409" spans="1:25" ht="14.25" customHeight="1">
      <c r="A409" s="427"/>
      <c r="B409" s="439"/>
      <c r="C409" s="448" t="s">
        <v>299</v>
      </c>
      <c r="D409" s="115" t="s">
        <v>296</v>
      </c>
      <c r="E409" s="424" t="s">
        <v>25</v>
      </c>
      <c r="F409" s="131" t="s">
        <v>298</v>
      </c>
      <c r="G409" s="224"/>
      <c r="H409" s="37"/>
      <c r="I409" s="126"/>
      <c r="J409" s="126"/>
      <c r="K409" s="18"/>
      <c r="L409" s="18"/>
      <c r="M409" s="18"/>
      <c r="N409" s="80"/>
      <c r="O409" s="126"/>
      <c r="P409" s="126"/>
      <c r="Q409" s="126"/>
      <c r="R409" s="436"/>
      <c r="S409" s="436"/>
      <c r="T409" s="18"/>
      <c r="U409" s="18"/>
      <c r="V409" s="127">
        <f>O409-T409-U409+V375</f>
        <v>4427</v>
      </c>
      <c r="W409" s="45"/>
      <c r="X409" s="67"/>
    </row>
    <row r="410" spans="1:25" ht="14.25" customHeight="1">
      <c r="A410" s="427"/>
      <c r="B410" s="443"/>
      <c r="C410" s="449"/>
      <c r="D410" s="115" t="s">
        <v>75</v>
      </c>
      <c r="E410" s="425"/>
      <c r="F410" s="131" t="s">
        <v>298</v>
      </c>
      <c r="G410" s="224"/>
      <c r="H410" s="37"/>
      <c r="I410" s="126"/>
      <c r="J410" s="126"/>
      <c r="K410" s="18"/>
      <c r="L410" s="18"/>
      <c r="M410" s="18">
        <v>10000</v>
      </c>
      <c r="N410" s="80">
        <v>2</v>
      </c>
      <c r="O410" s="126"/>
      <c r="P410" s="126"/>
      <c r="Q410" s="126">
        <f>June!CB323</f>
        <v>4</v>
      </c>
      <c r="R410" s="436"/>
      <c r="S410" s="436"/>
      <c r="T410" s="18"/>
      <c r="U410" s="18"/>
      <c r="V410" s="127">
        <f>O410-T410-U410+V376</f>
        <v>14595</v>
      </c>
      <c r="W410" s="45"/>
      <c r="X410" s="67"/>
    </row>
    <row r="411" spans="1:25" ht="14.25" customHeight="1">
      <c r="A411" s="427"/>
      <c r="B411" s="439" t="s">
        <v>53</v>
      </c>
      <c r="C411" s="445" t="s">
        <v>60</v>
      </c>
      <c r="D411" s="43" t="s">
        <v>320</v>
      </c>
      <c r="E411" s="441" t="s">
        <v>66</v>
      </c>
      <c r="F411" s="118" t="s">
        <v>54</v>
      </c>
      <c r="G411" s="224"/>
      <c r="H411" s="37"/>
      <c r="I411" s="126"/>
      <c r="J411" s="126"/>
      <c r="K411" s="18"/>
      <c r="L411" s="18"/>
      <c r="M411" s="18"/>
      <c r="N411" s="80"/>
      <c r="O411" s="126"/>
      <c r="P411" s="126"/>
      <c r="Q411" s="126">
        <f>June!CB315</f>
        <v>8</v>
      </c>
      <c r="R411" s="436"/>
      <c r="S411" s="436"/>
      <c r="T411" s="18"/>
      <c r="U411" s="18"/>
      <c r="V411" s="127">
        <f>O411-T411-U411+V377</f>
        <v>42606</v>
      </c>
      <c r="W411" s="45"/>
      <c r="X411" s="67"/>
    </row>
    <row r="412" spans="1:25" ht="14.25" customHeight="1">
      <c r="A412" s="427"/>
      <c r="B412" s="439"/>
      <c r="C412" s="445"/>
      <c r="D412" s="43" t="s">
        <v>387</v>
      </c>
      <c r="E412" s="425"/>
      <c r="F412" s="118" t="s">
        <v>54</v>
      </c>
      <c r="G412" s="229"/>
      <c r="H412" s="182"/>
      <c r="I412" s="125"/>
      <c r="J412" s="125"/>
      <c r="K412" s="127"/>
      <c r="L412" s="127"/>
      <c r="M412" s="127">
        <v>64800</v>
      </c>
      <c r="N412" s="171">
        <v>11</v>
      </c>
      <c r="O412" s="125"/>
      <c r="P412" s="125"/>
      <c r="Q412" s="125"/>
      <c r="R412" s="436"/>
      <c r="S412" s="436"/>
      <c r="T412" s="18"/>
      <c r="U412" s="18"/>
      <c r="V412" s="127">
        <f>+O412-T412-U412+V378</f>
        <v>666</v>
      </c>
      <c r="W412" s="45"/>
      <c r="X412" s="67"/>
    </row>
    <row r="413" spans="1:25" ht="14.25" customHeight="1">
      <c r="A413" s="427"/>
      <c r="B413" s="443"/>
      <c r="C413" s="446"/>
      <c r="D413" s="43" t="s">
        <v>199</v>
      </c>
      <c r="E413" s="114" t="s">
        <v>25</v>
      </c>
      <c r="F413" s="118" t="s">
        <v>54</v>
      </c>
      <c r="G413" s="224"/>
      <c r="H413" s="135"/>
      <c r="I413" s="158"/>
      <c r="J413" s="158"/>
      <c r="K413" s="128"/>
      <c r="L413" s="128"/>
      <c r="M413" s="128"/>
      <c r="N413" s="164"/>
      <c r="O413" s="158"/>
      <c r="P413" s="158"/>
      <c r="Q413" s="158"/>
      <c r="R413" s="436"/>
      <c r="S413" s="436"/>
      <c r="T413" s="18"/>
      <c r="U413" s="18"/>
      <c r="V413" s="127">
        <f t="shared" ref="V413:V426" si="18">O413-T413-U413+V379</f>
        <v>68</v>
      </c>
      <c r="W413" s="45"/>
      <c r="X413" s="67"/>
    </row>
    <row r="414" spans="1:25" ht="15.75" customHeight="1">
      <c r="A414" s="427"/>
      <c r="B414" s="122" t="s">
        <v>55</v>
      </c>
      <c r="C414" s="180" t="s">
        <v>133</v>
      </c>
      <c r="D414" s="48" t="s">
        <v>56</v>
      </c>
      <c r="E414" s="424" t="s">
        <v>25</v>
      </c>
      <c r="F414" s="118" t="s">
        <v>67</v>
      </c>
      <c r="G414" s="226"/>
      <c r="H414" s="126"/>
      <c r="I414" s="126"/>
      <c r="J414" s="2"/>
      <c r="K414" s="18"/>
      <c r="L414" s="18"/>
      <c r="M414" s="18"/>
      <c r="N414" s="18"/>
      <c r="O414" s="126"/>
      <c r="P414" s="126"/>
      <c r="Q414" s="126"/>
      <c r="R414" s="436"/>
      <c r="S414" s="436"/>
      <c r="T414" s="18"/>
      <c r="U414" s="18"/>
      <c r="V414" s="127">
        <f t="shared" si="18"/>
        <v>7022</v>
      </c>
      <c r="W414" s="45"/>
      <c r="X414" s="67"/>
    </row>
    <row r="415" spans="1:25" ht="15" customHeight="1">
      <c r="A415" s="427"/>
      <c r="B415" s="122" t="s">
        <v>122</v>
      </c>
      <c r="C415" s="180" t="s">
        <v>123</v>
      </c>
      <c r="D415" s="48" t="s">
        <v>56</v>
      </c>
      <c r="E415" s="441"/>
      <c r="F415" s="155" t="s">
        <v>64</v>
      </c>
      <c r="G415" s="119"/>
      <c r="H415" s="126"/>
      <c r="I415" s="126"/>
      <c r="J415" s="2"/>
      <c r="K415" s="18"/>
      <c r="L415" s="18"/>
      <c r="M415" s="18">
        <v>6400</v>
      </c>
      <c r="N415" s="18">
        <v>2</v>
      </c>
      <c r="O415" s="126"/>
      <c r="P415" s="126"/>
      <c r="Q415" s="126"/>
      <c r="R415" s="436"/>
      <c r="S415" s="436"/>
      <c r="T415" s="18"/>
      <c r="U415" s="18"/>
      <c r="V415" s="127">
        <f t="shared" si="18"/>
        <v>18121</v>
      </c>
      <c r="W415" s="45"/>
      <c r="X415" s="67"/>
    </row>
    <row r="416" spans="1:25" ht="14.25" customHeight="1">
      <c r="A416" s="427"/>
      <c r="B416" s="137" t="s">
        <v>58</v>
      </c>
      <c r="C416" s="157" t="s">
        <v>243</v>
      </c>
      <c r="D416" s="48" t="s">
        <v>56</v>
      </c>
      <c r="E416" s="441"/>
      <c r="F416" s="118" t="s">
        <v>64</v>
      </c>
      <c r="G416" s="225"/>
      <c r="H416" s="126"/>
      <c r="I416" s="126"/>
      <c r="J416" s="126"/>
      <c r="K416" s="18"/>
      <c r="L416" s="18"/>
      <c r="M416" s="18"/>
      <c r="N416" s="80"/>
      <c r="O416" s="126"/>
      <c r="P416" s="126"/>
      <c r="Q416" s="126"/>
      <c r="R416" s="436"/>
      <c r="S416" s="436"/>
      <c r="T416" s="18"/>
      <c r="U416" s="18"/>
      <c r="V416" s="127">
        <f t="shared" si="18"/>
        <v>8144</v>
      </c>
      <c r="W416" s="45"/>
      <c r="X416" s="67"/>
    </row>
    <row r="417" spans="1:24" ht="14.25" customHeight="1">
      <c r="A417" s="427"/>
      <c r="B417" s="122" t="s">
        <v>61</v>
      </c>
      <c r="C417" s="180" t="s">
        <v>137</v>
      </c>
      <c r="D417" s="48" t="s">
        <v>56</v>
      </c>
      <c r="E417" s="441"/>
      <c r="F417" s="118" t="s">
        <v>67</v>
      </c>
      <c r="G417" s="225"/>
      <c r="H417" s="126"/>
      <c r="I417" s="126"/>
      <c r="J417" s="126"/>
      <c r="K417" s="18"/>
      <c r="L417" s="18"/>
      <c r="M417" s="18"/>
      <c r="N417" s="80"/>
      <c r="O417" s="126"/>
      <c r="P417" s="126"/>
      <c r="Q417" s="126"/>
      <c r="R417" s="436"/>
      <c r="S417" s="436"/>
      <c r="T417" s="18"/>
      <c r="U417" s="18"/>
      <c r="V417" s="127">
        <f t="shared" si="18"/>
        <v>5844</v>
      </c>
      <c r="W417" s="45"/>
      <c r="X417" s="67"/>
    </row>
    <row r="418" spans="1:24" ht="14.25" customHeight="1">
      <c r="A418" s="427"/>
      <c r="B418" s="122" t="s">
        <v>125</v>
      </c>
      <c r="C418" s="180" t="s">
        <v>88</v>
      </c>
      <c r="D418" s="48" t="s">
        <v>124</v>
      </c>
      <c r="E418" s="441"/>
      <c r="F418" s="118" t="s">
        <v>64</v>
      </c>
      <c r="G418" s="225"/>
      <c r="H418" s="126"/>
      <c r="I418" s="126"/>
      <c r="J418" s="126"/>
      <c r="K418" s="18"/>
      <c r="L418" s="18"/>
      <c r="M418" s="18">
        <v>51200</v>
      </c>
      <c r="N418" s="80">
        <v>7</v>
      </c>
      <c r="O418" s="126"/>
      <c r="P418" s="126"/>
      <c r="Q418" s="126"/>
      <c r="R418" s="436"/>
      <c r="S418" s="436"/>
      <c r="T418" s="18"/>
      <c r="U418" s="18"/>
      <c r="V418" s="127">
        <f t="shared" si="18"/>
        <v>23615</v>
      </c>
      <c r="W418" s="45"/>
      <c r="X418" s="67"/>
    </row>
    <row r="419" spans="1:24" ht="14.25" customHeight="1">
      <c r="A419" s="427"/>
      <c r="B419" s="137" t="s">
        <v>47</v>
      </c>
      <c r="C419" s="157" t="s">
        <v>100</v>
      </c>
      <c r="D419" s="48" t="s">
        <v>99</v>
      </c>
      <c r="E419" s="441"/>
      <c r="F419" s="118" t="s">
        <v>71</v>
      </c>
      <c r="G419" s="225"/>
      <c r="H419" s="126"/>
      <c r="I419" s="126"/>
      <c r="J419" s="126"/>
      <c r="K419" s="18"/>
      <c r="L419" s="18"/>
      <c r="M419" s="18"/>
      <c r="N419" s="80"/>
      <c r="O419" s="126"/>
      <c r="P419" s="126"/>
      <c r="Q419" s="126"/>
      <c r="R419" s="436"/>
      <c r="S419" s="436"/>
      <c r="T419" s="18">
        <v>9547</v>
      </c>
      <c r="U419" s="18"/>
      <c r="V419" s="127">
        <f t="shared" si="18"/>
        <v>46006</v>
      </c>
      <c r="W419" s="45"/>
      <c r="X419" s="67"/>
    </row>
    <row r="420" spans="1:24" ht="15" customHeight="1">
      <c r="A420" s="427"/>
      <c r="B420" s="122" t="s">
        <v>196</v>
      </c>
      <c r="C420" s="180" t="s">
        <v>63</v>
      </c>
      <c r="D420" s="48" t="s">
        <v>135</v>
      </c>
      <c r="E420" s="441"/>
      <c r="F420" s="118" t="s">
        <v>64</v>
      </c>
      <c r="G420" s="226"/>
      <c r="H420" s="126"/>
      <c r="I420" s="126"/>
      <c r="J420" s="2"/>
      <c r="K420" s="18"/>
      <c r="L420" s="18"/>
      <c r="M420" s="18"/>
      <c r="N420" s="18"/>
      <c r="O420" s="126"/>
      <c r="P420" s="126"/>
      <c r="Q420" s="126">
        <f>June!CB338</f>
        <v>5</v>
      </c>
      <c r="R420" s="436"/>
      <c r="S420" s="436"/>
      <c r="T420" s="18"/>
      <c r="U420" s="18"/>
      <c r="V420" s="127">
        <f t="shared" si="18"/>
        <v>41412</v>
      </c>
      <c r="W420" s="45"/>
      <c r="X420" s="67"/>
    </row>
    <row r="421" spans="1:24" ht="15" customHeight="1">
      <c r="A421" s="427"/>
      <c r="B421" s="122" t="s">
        <v>363</v>
      </c>
      <c r="C421" s="180" t="s">
        <v>325</v>
      </c>
      <c r="D421" s="48" t="s">
        <v>328</v>
      </c>
      <c r="E421" s="441"/>
      <c r="F421" s="118" t="s">
        <v>48</v>
      </c>
      <c r="G421" s="226"/>
      <c r="H421" s="126"/>
      <c r="I421" s="126"/>
      <c r="J421" s="2"/>
      <c r="K421" s="18"/>
      <c r="L421" s="18"/>
      <c r="M421" s="18"/>
      <c r="N421" s="18"/>
      <c r="O421" s="126"/>
      <c r="P421" s="126"/>
      <c r="Q421" s="126">
        <f>June!CB335</f>
        <v>2</v>
      </c>
      <c r="R421" s="436"/>
      <c r="S421" s="436"/>
      <c r="T421" s="18"/>
      <c r="U421" s="18"/>
      <c r="V421" s="127">
        <f t="shared" si="18"/>
        <v>15153</v>
      </c>
      <c r="W421" s="45"/>
      <c r="X421" s="67"/>
    </row>
    <row r="422" spans="1:24" ht="15" customHeight="1">
      <c r="A422" s="427"/>
      <c r="B422" s="122" t="s">
        <v>253</v>
      </c>
      <c r="C422" s="180" t="s">
        <v>365</v>
      </c>
      <c r="D422" s="48" t="s">
        <v>246</v>
      </c>
      <c r="E422" s="441"/>
      <c r="F422" s="118" t="s">
        <v>247</v>
      </c>
      <c r="G422" s="226"/>
      <c r="H422" s="126"/>
      <c r="I422" s="126"/>
      <c r="J422" s="2"/>
      <c r="K422" s="18"/>
      <c r="L422" s="18"/>
      <c r="M422" s="18"/>
      <c r="N422" s="18"/>
      <c r="O422" s="126"/>
      <c r="P422" s="126"/>
      <c r="Q422" s="126">
        <f>June!CB327</f>
        <v>3</v>
      </c>
      <c r="R422" s="436"/>
      <c r="S422" s="436"/>
      <c r="T422" s="18"/>
      <c r="U422" s="18"/>
      <c r="V422" s="127">
        <f t="shared" si="18"/>
        <v>12501</v>
      </c>
      <c r="W422" s="45"/>
      <c r="X422" s="67"/>
    </row>
    <row r="423" spans="1:24" ht="15" customHeight="1">
      <c r="A423" s="427"/>
      <c r="B423" s="122" t="s">
        <v>101</v>
      </c>
      <c r="C423" s="180" t="s">
        <v>327</v>
      </c>
      <c r="D423" s="48" t="s">
        <v>102</v>
      </c>
      <c r="E423" s="441"/>
      <c r="F423" s="118" t="s">
        <v>64</v>
      </c>
      <c r="G423" s="119"/>
      <c r="H423" s="126"/>
      <c r="I423" s="126"/>
      <c r="J423" s="2"/>
      <c r="K423" s="18"/>
      <c r="L423" s="18"/>
      <c r="M423" s="18"/>
      <c r="N423" s="18"/>
      <c r="O423" s="126"/>
      <c r="P423" s="126"/>
      <c r="Q423" s="126">
        <f>June!CB333</f>
        <v>1</v>
      </c>
      <c r="R423" s="436"/>
      <c r="S423" s="436"/>
      <c r="T423" s="18"/>
      <c r="U423" s="18"/>
      <c r="V423" s="18">
        <f t="shared" si="18"/>
        <v>4722</v>
      </c>
      <c r="W423" s="45"/>
      <c r="X423" s="67"/>
    </row>
    <row r="424" spans="1:24" s="4" customFormat="1" ht="15" customHeight="1">
      <c r="A424" s="427"/>
      <c r="B424" s="122" t="s">
        <v>375</v>
      </c>
      <c r="C424" s="157" t="s">
        <v>376</v>
      </c>
      <c r="D424" s="48" t="s">
        <v>248</v>
      </c>
      <c r="E424" s="441"/>
      <c r="F424" s="48" t="s">
        <v>64</v>
      </c>
      <c r="G424" s="122"/>
      <c r="H424" s="34"/>
      <c r="I424" s="34"/>
      <c r="J424" s="6"/>
      <c r="K424" s="211"/>
      <c r="L424" s="211"/>
      <c r="M424" s="211"/>
      <c r="N424" s="211"/>
      <c r="O424" s="34"/>
      <c r="P424" s="34"/>
      <c r="Q424" s="34"/>
      <c r="R424" s="436"/>
      <c r="S424" s="436"/>
      <c r="T424" s="211"/>
      <c r="U424" s="211"/>
      <c r="V424" s="211">
        <f t="shared" si="18"/>
        <v>75911</v>
      </c>
      <c r="W424" s="260"/>
      <c r="X424" s="67"/>
    </row>
    <row r="425" spans="1:24" s="4" customFormat="1" ht="15" customHeight="1">
      <c r="A425" s="427"/>
      <c r="B425" s="122" t="s">
        <v>421</v>
      </c>
      <c r="C425" s="157" t="s">
        <v>420</v>
      </c>
      <c r="D425" s="48" t="s">
        <v>248</v>
      </c>
      <c r="E425" s="441"/>
      <c r="F425" s="48" t="s">
        <v>64</v>
      </c>
      <c r="G425" s="170">
        <v>393.68</v>
      </c>
      <c r="H425" s="34"/>
      <c r="I425" s="34"/>
      <c r="J425" s="6"/>
      <c r="K425" s="211">
        <v>4200</v>
      </c>
      <c r="L425" s="211">
        <v>1</v>
      </c>
      <c r="M425" s="211">
        <v>46200</v>
      </c>
      <c r="N425" s="211">
        <v>11</v>
      </c>
      <c r="O425" s="34"/>
      <c r="P425" s="34"/>
      <c r="Q425" s="34">
        <f>June!CB337</f>
        <v>20</v>
      </c>
      <c r="R425" s="436"/>
      <c r="S425" s="436"/>
      <c r="T425" s="211"/>
      <c r="U425" s="211"/>
      <c r="V425" s="211">
        <f t="shared" si="18"/>
        <v>61445</v>
      </c>
      <c r="W425" s="260"/>
      <c r="X425" s="67"/>
    </row>
    <row r="426" spans="1:24" s="4" customFormat="1" ht="15" customHeight="1">
      <c r="A426" s="427"/>
      <c r="B426" s="442" t="s">
        <v>289</v>
      </c>
      <c r="C426" s="444" t="s">
        <v>290</v>
      </c>
      <c r="D426" s="48" t="s">
        <v>432</v>
      </c>
      <c r="E426" s="441"/>
      <c r="F426" s="48" t="s">
        <v>381</v>
      </c>
      <c r="G426" s="122"/>
      <c r="H426" s="34"/>
      <c r="I426" s="34"/>
      <c r="J426" s="6"/>
      <c r="K426" s="211">
        <v>2000</v>
      </c>
      <c r="L426" s="211">
        <v>1</v>
      </c>
      <c r="M426" s="211"/>
      <c r="N426" s="211"/>
      <c r="O426" s="34"/>
      <c r="P426" s="34">
        <f>June!CD329</f>
        <v>168</v>
      </c>
      <c r="Q426" s="34">
        <f>June!CB329</f>
        <v>1</v>
      </c>
      <c r="R426" s="436"/>
      <c r="S426" s="436"/>
      <c r="T426" s="211"/>
      <c r="U426" s="211"/>
      <c r="V426" s="211">
        <f t="shared" si="18"/>
        <v>97</v>
      </c>
      <c r="W426" s="260"/>
      <c r="X426" s="67"/>
    </row>
    <row r="427" spans="1:24" s="4" customFormat="1" ht="15" customHeight="1">
      <c r="A427" s="427"/>
      <c r="B427" s="443"/>
      <c r="C427" s="446"/>
      <c r="D427" s="48" t="s">
        <v>432</v>
      </c>
      <c r="E427" s="441"/>
      <c r="F427" s="48" t="s">
        <v>435</v>
      </c>
      <c r="G427" s="122"/>
      <c r="H427" s="34"/>
      <c r="I427" s="34"/>
      <c r="J427" s="6"/>
      <c r="K427" s="211"/>
      <c r="L427" s="211"/>
      <c r="M427" s="211">
        <v>4000</v>
      </c>
      <c r="N427" s="211">
        <v>1</v>
      </c>
      <c r="O427" s="34"/>
      <c r="P427" s="34"/>
      <c r="Q427" s="34"/>
      <c r="R427" s="436"/>
      <c r="S427" s="436"/>
      <c r="T427" s="211"/>
      <c r="U427" s="211"/>
      <c r="V427" s="211"/>
      <c r="W427" s="260"/>
      <c r="X427" s="67"/>
    </row>
    <row r="428" spans="1:24" s="4" customFormat="1" ht="15" customHeight="1">
      <c r="A428" s="427"/>
      <c r="B428" s="268" t="s">
        <v>436</v>
      </c>
      <c r="C428" s="277" t="s">
        <v>438</v>
      </c>
      <c r="D428" s="48" t="s">
        <v>432</v>
      </c>
      <c r="E428" s="441"/>
      <c r="F428" s="48" t="s">
        <v>57</v>
      </c>
      <c r="G428" s="122"/>
      <c r="H428" s="34"/>
      <c r="I428" s="34"/>
      <c r="J428" s="6"/>
      <c r="K428" s="211"/>
      <c r="L428" s="211"/>
      <c r="M428" s="211"/>
      <c r="N428" s="211"/>
      <c r="O428" s="34"/>
      <c r="P428" s="34">
        <f>June!CD344</f>
        <v>226</v>
      </c>
      <c r="Q428" s="34">
        <f>June!CB344</f>
        <v>1</v>
      </c>
      <c r="R428" s="436"/>
      <c r="S428" s="436"/>
      <c r="T428" s="211"/>
      <c r="U428" s="211"/>
      <c r="V428" s="211"/>
      <c r="W428" s="260"/>
      <c r="X428" s="67"/>
    </row>
    <row r="429" spans="1:24" s="4" customFormat="1" ht="15" customHeight="1">
      <c r="A429" s="427"/>
      <c r="B429" s="122" t="s">
        <v>437</v>
      </c>
      <c r="C429" s="157" t="s">
        <v>438</v>
      </c>
      <c r="D429" s="48" t="s">
        <v>432</v>
      </c>
      <c r="E429" s="441"/>
      <c r="F429" s="48" t="s">
        <v>57</v>
      </c>
      <c r="G429" s="122"/>
      <c r="H429" s="34"/>
      <c r="I429" s="34"/>
      <c r="J429" s="6"/>
      <c r="K429" s="211">
        <v>3000</v>
      </c>
      <c r="L429" s="211">
        <v>1</v>
      </c>
      <c r="M429" s="211"/>
      <c r="N429" s="211"/>
      <c r="O429" s="34"/>
      <c r="P429" s="34">
        <f>June!CD345</f>
        <v>262</v>
      </c>
      <c r="Q429" s="34">
        <f>June!CB345</f>
        <v>1</v>
      </c>
      <c r="R429" s="436"/>
      <c r="S429" s="436"/>
      <c r="T429" s="211"/>
      <c r="U429" s="211"/>
      <c r="V429" s="211"/>
      <c r="W429" s="260"/>
      <c r="X429" s="67"/>
    </row>
    <row r="430" spans="1:24" ht="15" customHeight="1">
      <c r="A430" s="427"/>
      <c r="B430" s="122" t="s">
        <v>103</v>
      </c>
      <c r="C430" s="157" t="s">
        <v>197</v>
      </c>
      <c r="D430" s="48" t="s">
        <v>104</v>
      </c>
      <c r="E430" s="441"/>
      <c r="F430" s="118" t="s">
        <v>105</v>
      </c>
      <c r="G430" s="119"/>
      <c r="H430" s="126"/>
      <c r="I430" s="126"/>
      <c r="J430" s="2"/>
      <c r="K430" s="18"/>
      <c r="L430" s="18"/>
      <c r="M430" s="18"/>
      <c r="N430" s="18"/>
      <c r="O430" s="126"/>
      <c r="P430" s="126"/>
      <c r="Q430" s="126">
        <f>June!CB339</f>
        <v>1</v>
      </c>
      <c r="R430" s="436"/>
      <c r="S430" s="436"/>
      <c r="T430" s="18"/>
      <c r="U430" s="18"/>
      <c r="V430" s="18"/>
      <c r="W430" s="45"/>
      <c r="X430" s="67"/>
    </row>
    <row r="431" spans="1:24" ht="15" customHeight="1">
      <c r="A431" s="427"/>
      <c r="B431" s="137" t="s">
        <v>112</v>
      </c>
      <c r="C431" s="157" t="s">
        <v>197</v>
      </c>
      <c r="D431" s="48" t="s">
        <v>104</v>
      </c>
      <c r="E431" s="441"/>
      <c r="F431" s="118" t="s">
        <v>113</v>
      </c>
      <c r="G431" s="119"/>
      <c r="H431" s="126"/>
      <c r="I431" s="126"/>
      <c r="J431" s="2"/>
      <c r="K431" s="18"/>
      <c r="L431" s="18"/>
      <c r="M431" s="18"/>
      <c r="N431" s="18"/>
      <c r="O431" s="126"/>
      <c r="P431" s="126"/>
      <c r="Q431" s="126">
        <f>June!CB341</f>
        <v>1</v>
      </c>
      <c r="R431" s="436"/>
      <c r="S431" s="436"/>
      <c r="T431" s="18"/>
      <c r="U431" s="18"/>
      <c r="V431" s="18"/>
      <c r="W431" s="45"/>
      <c r="X431" s="67"/>
    </row>
    <row r="432" spans="1:24" ht="15" customHeight="1" thickBot="1">
      <c r="A432" s="428"/>
      <c r="B432" s="44" t="s">
        <v>107</v>
      </c>
      <c r="C432" s="181" t="s">
        <v>386</v>
      </c>
      <c r="D432" s="61" t="s">
        <v>108</v>
      </c>
      <c r="E432" s="447"/>
      <c r="F432" s="133" t="s">
        <v>48</v>
      </c>
      <c r="G432" s="132"/>
      <c r="H432" s="134"/>
      <c r="I432" s="134"/>
      <c r="J432" s="129"/>
      <c r="K432" s="130"/>
      <c r="L432" s="130"/>
      <c r="M432" s="130">
        <v>13000</v>
      </c>
      <c r="N432" s="130">
        <v>2</v>
      </c>
      <c r="O432" s="134"/>
      <c r="P432" s="134"/>
      <c r="Q432" s="134">
        <f>June!CB340</f>
        <v>2</v>
      </c>
      <c r="R432" s="437"/>
      <c r="S432" s="437"/>
      <c r="T432" s="130"/>
      <c r="U432" s="130"/>
      <c r="V432" s="128">
        <f t="shared" ref="V432:V438" si="19">O432-T432-U432+V401</f>
        <v>11956</v>
      </c>
      <c r="W432" s="85"/>
      <c r="X432" s="67"/>
    </row>
    <row r="433" spans="1:25" ht="15" customHeight="1">
      <c r="A433" s="426">
        <v>46191</v>
      </c>
      <c r="B433" s="429" t="s">
        <v>44</v>
      </c>
      <c r="C433" s="432" t="s">
        <v>240</v>
      </c>
      <c r="D433" s="19" t="s">
        <v>37</v>
      </c>
      <c r="E433" s="19" t="s">
        <v>25</v>
      </c>
      <c r="F433" s="39" t="s">
        <v>40</v>
      </c>
      <c r="G433" s="168">
        <v>5498.1</v>
      </c>
      <c r="H433" s="32">
        <v>5760</v>
      </c>
      <c r="I433" s="32"/>
      <c r="J433" s="32"/>
      <c r="K433" s="20">
        <v>8000</v>
      </c>
      <c r="L433" s="20">
        <v>1</v>
      </c>
      <c r="M433" s="20">
        <v>139000</v>
      </c>
      <c r="N433" s="84">
        <v>18</v>
      </c>
      <c r="O433" s="32">
        <f>June!CF313</f>
        <v>44864</v>
      </c>
      <c r="P433" s="32">
        <f>June!CG313</f>
        <v>53276</v>
      </c>
      <c r="Q433" s="32">
        <f>June!CE313</f>
        <v>140</v>
      </c>
      <c r="R433" s="435">
        <f>June!CF346</f>
        <v>60493</v>
      </c>
      <c r="S433" s="435">
        <f>June!CG346</f>
        <v>58542</v>
      </c>
      <c r="T433" s="20">
        <v>53408</v>
      </c>
      <c r="U433" s="20"/>
      <c r="V433" s="20">
        <f t="shared" si="19"/>
        <v>155702</v>
      </c>
      <c r="W433" s="77"/>
      <c r="X433" s="36"/>
    </row>
    <row r="434" spans="1:25" ht="15" customHeight="1">
      <c r="A434" s="427"/>
      <c r="B434" s="431"/>
      <c r="C434" s="434"/>
      <c r="D434" s="113" t="s">
        <v>307</v>
      </c>
      <c r="E434" s="113" t="s">
        <v>24</v>
      </c>
      <c r="F434" s="118" t="s">
        <v>40</v>
      </c>
      <c r="G434" s="170"/>
      <c r="H434" s="135"/>
      <c r="I434" s="125"/>
      <c r="J434" s="125"/>
      <c r="K434" s="127">
        <v>47400</v>
      </c>
      <c r="L434" s="127">
        <v>6</v>
      </c>
      <c r="M434" s="216">
        <v>79400</v>
      </c>
      <c r="N434" s="238">
        <v>10</v>
      </c>
      <c r="O434" s="126">
        <f>June!CF314</f>
        <v>15211</v>
      </c>
      <c r="P434" s="125">
        <f>June!CG314</f>
        <v>4035</v>
      </c>
      <c r="Q434" s="125">
        <f>June!CE314</f>
        <v>47</v>
      </c>
      <c r="R434" s="436"/>
      <c r="S434" s="436"/>
      <c r="T434" s="127">
        <v>20088</v>
      </c>
      <c r="U434" s="127">
        <v>40</v>
      </c>
      <c r="V434" s="127">
        <f t="shared" si="19"/>
        <v>169232</v>
      </c>
      <c r="W434" s="46"/>
      <c r="X434" s="67"/>
    </row>
    <row r="435" spans="1:25" ht="15" customHeight="1">
      <c r="A435" s="427"/>
      <c r="B435" s="442" t="s">
        <v>45</v>
      </c>
      <c r="C435" s="448" t="s">
        <v>59</v>
      </c>
      <c r="D435" s="118" t="s">
        <v>75</v>
      </c>
      <c r="E435" s="131" t="s">
        <v>25</v>
      </c>
      <c r="F435" s="131" t="s">
        <v>57</v>
      </c>
      <c r="G435" s="87"/>
      <c r="H435" s="152"/>
      <c r="I435" s="126"/>
      <c r="J435" s="2"/>
      <c r="K435" s="127"/>
      <c r="L435" s="18"/>
      <c r="M435" s="18">
        <v>44680</v>
      </c>
      <c r="N435" s="80">
        <v>9</v>
      </c>
      <c r="O435" s="126"/>
      <c r="P435" s="126"/>
      <c r="Q435" s="2">
        <f>June!CE317</f>
        <v>11</v>
      </c>
      <c r="R435" s="436"/>
      <c r="S435" s="436"/>
      <c r="T435" s="18"/>
      <c r="U435" s="18"/>
      <c r="V435" s="127">
        <f t="shared" si="19"/>
        <v>11746</v>
      </c>
      <c r="W435" s="46"/>
      <c r="Y435" s="13"/>
    </row>
    <row r="436" spans="1:25">
      <c r="A436" s="427"/>
      <c r="B436" s="439"/>
      <c r="C436" s="440"/>
      <c r="D436" s="118" t="s">
        <v>72</v>
      </c>
      <c r="E436" s="155" t="s">
        <v>24</v>
      </c>
      <c r="F436" s="131" t="s">
        <v>57</v>
      </c>
      <c r="G436" s="224"/>
      <c r="H436" s="152"/>
      <c r="I436" s="126"/>
      <c r="J436" s="126"/>
      <c r="K436" s="127"/>
      <c r="L436" s="18"/>
      <c r="M436" s="18">
        <v>40000</v>
      </c>
      <c r="N436" s="80">
        <v>8</v>
      </c>
      <c r="O436" s="126"/>
      <c r="P436" s="126"/>
      <c r="Q436" s="126">
        <f>June!CE319</f>
        <v>8</v>
      </c>
      <c r="R436" s="436"/>
      <c r="S436" s="436"/>
      <c r="T436" s="18"/>
      <c r="U436" s="18"/>
      <c r="V436" s="127">
        <f t="shared" si="19"/>
        <v>23089</v>
      </c>
      <c r="W436" s="46"/>
      <c r="Y436" s="13"/>
    </row>
    <row r="437" spans="1:25" ht="14.25" customHeight="1">
      <c r="A437" s="427"/>
      <c r="B437" s="439"/>
      <c r="C437" s="440"/>
      <c r="D437" s="115" t="s">
        <v>79</v>
      </c>
      <c r="E437" s="424" t="s">
        <v>65</v>
      </c>
      <c r="F437" s="131" t="s">
        <v>57</v>
      </c>
      <c r="G437" s="224"/>
      <c r="H437" s="126"/>
      <c r="I437" s="126"/>
      <c r="J437" s="126"/>
      <c r="K437" s="211"/>
      <c r="L437" s="211"/>
      <c r="M437" s="211"/>
      <c r="N437" s="215"/>
      <c r="O437" s="34"/>
      <c r="P437" s="34"/>
      <c r="Q437" s="34"/>
      <c r="R437" s="436"/>
      <c r="S437" s="436"/>
      <c r="T437" s="18"/>
      <c r="U437" s="18"/>
      <c r="V437" s="127">
        <f t="shared" si="19"/>
        <v>10211</v>
      </c>
      <c r="W437" s="45"/>
      <c r="X437" s="36"/>
    </row>
    <row r="438" spans="1:25" ht="14.25" customHeight="1">
      <c r="A438" s="427"/>
      <c r="B438" s="439"/>
      <c r="C438" s="440"/>
      <c r="D438" s="115" t="s">
        <v>443</v>
      </c>
      <c r="E438" s="441"/>
      <c r="F438" s="131" t="s">
        <v>57</v>
      </c>
      <c r="G438" s="224"/>
      <c r="H438" s="126"/>
      <c r="I438" s="126"/>
      <c r="J438" s="126"/>
      <c r="K438" s="211">
        <v>1000</v>
      </c>
      <c r="L438" s="211">
        <v>1</v>
      </c>
      <c r="M438" s="211"/>
      <c r="N438" s="215"/>
      <c r="O438" s="34"/>
      <c r="P438" s="34">
        <f>June!CG321</f>
        <v>210</v>
      </c>
      <c r="Q438" s="34">
        <f>June!CE321</f>
        <v>1</v>
      </c>
      <c r="R438" s="436"/>
      <c r="S438" s="436"/>
      <c r="T438" s="18"/>
      <c r="U438" s="18"/>
      <c r="V438" s="127">
        <f t="shared" si="19"/>
        <v>0</v>
      </c>
      <c r="W438" s="45"/>
      <c r="X438" s="67"/>
    </row>
    <row r="439" spans="1:25" ht="14.25" customHeight="1">
      <c r="A439" s="427"/>
      <c r="B439" s="439"/>
      <c r="C439" s="449"/>
      <c r="D439" s="115" t="s">
        <v>444</v>
      </c>
      <c r="E439" s="425"/>
      <c r="F439" s="131"/>
      <c r="G439" s="224"/>
      <c r="H439" s="126"/>
      <c r="I439" s="126"/>
      <c r="J439" s="126"/>
      <c r="K439" s="211"/>
      <c r="L439" s="211"/>
      <c r="M439" s="211"/>
      <c r="N439" s="215"/>
      <c r="O439" s="34"/>
      <c r="P439" s="34"/>
      <c r="Q439" s="34"/>
      <c r="R439" s="436"/>
      <c r="S439" s="436"/>
      <c r="T439" s="18"/>
      <c r="U439" s="18"/>
      <c r="V439" s="127"/>
      <c r="W439" s="45"/>
      <c r="X439" s="67"/>
    </row>
    <row r="440" spans="1:25" ht="14.25" customHeight="1">
      <c r="A440" s="427"/>
      <c r="B440" s="439"/>
      <c r="C440" s="448" t="s">
        <v>299</v>
      </c>
      <c r="D440" s="115" t="s">
        <v>296</v>
      </c>
      <c r="E440" s="424" t="s">
        <v>25</v>
      </c>
      <c r="F440" s="131" t="s">
        <v>298</v>
      </c>
      <c r="G440" s="224"/>
      <c r="H440" s="37"/>
      <c r="I440" s="126"/>
      <c r="J440" s="126"/>
      <c r="K440" s="211"/>
      <c r="L440" s="211"/>
      <c r="M440" s="211"/>
      <c r="N440" s="215"/>
      <c r="O440" s="34"/>
      <c r="P440" s="34"/>
      <c r="Q440" s="34"/>
      <c r="R440" s="436"/>
      <c r="S440" s="436"/>
      <c r="T440" s="18"/>
      <c r="U440" s="18"/>
      <c r="V440" s="127">
        <f t="shared" ref="V440:V457" si="20">O440-T440-U440+V409</f>
        <v>4427</v>
      </c>
      <c r="W440" s="45"/>
      <c r="X440" s="67"/>
    </row>
    <row r="441" spans="1:25" ht="14.25" customHeight="1">
      <c r="A441" s="427"/>
      <c r="B441" s="443"/>
      <c r="C441" s="449"/>
      <c r="D441" s="115" t="s">
        <v>75</v>
      </c>
      <c r="E441" s="425"/>
      <c r="F441" s="131" t="s">
        <v>298</v>
      </c>
      <c r="G441" s="224"/>
      <c r="H441" s="37"/>
      <c r="I441" s="126"/>
      <c r="J441" s="126"/>
      <c r="K441" s="211"/>
      <c r="L441" s="211"/>
      <c r="M441" s="211">
        <v>10000</v>
      </c>
      <c r="N441" s="215">
        <v>2</v>
      </c>
      <c r="O441" s="34"/>
      <c r="P441" s="34"/>
      <c r="Q441" s="34">
        <f>June!CE323</f>
        <v>4</v>
      </c>
      <c r="R441" s="436"/>
      <c r="S441" s="436"/>
      <c r="T441" s="18"/>
      <c r="U441" s="18"/>
      <c r="V441" s="127">
        <f t="shared" si="20"/>
        <v>14595</v>
      </c>
      <c r="W441" s="45"/>
      <c r="X441" s="67"/>
    </row>
    <row r="442" spans="1:25" ht="14.25" customHeight="1">
      <c r="A442" s="427"/>
      <c r="B442" s="439" t="s">
        <v>53</v>
      </c>
      <c r="C442" s="445" t="s">
        <v>60</v>
      </c>
      <c r="D442" s="43" t="s">
        <v>320</v>
      </c>
      <c r="E442" s="441" t="s">
        <v>66</v>
      </c>
      <c r="F442" s="118" t="s">
        <v>54</v>
      </c>
      <c r="G442" s="224"/>
      <c r="H442" s="37"/>
      <c r="I442" s="126"/>
      <c r="J442" s="126"/>
      <c r="K442" s="211"/>
      <c r="L442" s="211"/>
      <c r="M442" s="211"/>
      <c r="N442" s="215"/>
      <c r="O442" s="34"/>
      <c r="P442" s="34"/>
      <c r="Q442" s="34">
        <f>June!CE315</f>
        <v>8</v>
      </c>
      <c r="R442" s="436"/>
      <c r="S442" s="436"/>
      <c r="T442" s="18"/>
      <c r="U442" s="18"/>
      <c r="V442" s="127">
        <f t="shared" si="20"/>
        <v>42606</v>
      </c>
      <c r="W442" s="45"/>
      <c r="X442" s="67"/>
    </row>
    <row r="443" spans="1:25" ht="14.25" customHeight="1">
      <c r="A443" s="427"/>
      <c r="B443" s="439"/>
      <c r="C443" s="445"/>
      <c r="D443" s="43" t="s">
        <v>387</v>
      </c>
      <c r="E443" s="425"/>
      <c r="F443" s="118" t="s">
        <v>54</v>
      </c>
      <c r="G443" s="229"/>
      <c r="H443" s="182"/>
      <c r="I443" s="125"/>
      <c r="J443" s="125"/>
      <c r="K443" s="216"/>
      <c r="L443" s="216"/>
      <c r="M443" s="216">
        <v>64800</v>
      </c>
      <c r="N443" s="330">
        <v>11</v>
      </c>
      <c r="O443" s="331"/>
      <c r="P443" s="331"/>
      <c r="Q443" s="331"/>
      <c r="R443" s="436"/>
      <c r="S443" s="436"/>
      <c r="T443" s="18"/>
      <c r="U443" s="18"/>
      <c r="V443" s="127">
        <f t="shared" si="20"/>
        <v>666</v>
      </c>
      <c r="W443" s="45"/>
      <c r="X443" s="67"/>
    </row>
    <row r="444" spans="1:25" ht="14.25" customHeight="1">
      <c r="A444" s="427"/>
      <c r="B444" s="443"/>
      <c r="C444" s="446"/>
      <c r="D444" s="43" t="s">
        <v>199</v>
      </c>
      <c r="E444" s="114" t="s">
        <v>25</v>
      </c>
      <c r="F444" s="118" t="s">
        <v>54</v>
      </c>
      <c r="G444" s="224"/>
      <c r="H444" s="135"/>
      <c r="I444" s="158"/>
      <c r="J444" s="158"/>
      <c r="K444" s="252"/>
      <c r="L444" s="252"/>
      <c r="M444" s="252"/>
      <c r="N444" s="253"/>
      <c r="O444" s="249"/>
      <c r="P444" s="249"/>
      <c r="Q444" s="249"/>
      <c r="R444" s="436"/>
      <c r="S444" s="436"/>
      <c r="T444" s="18"/>
      <c r="U444" s="18"/>
      <c r="V444" s="127">
        <f t="shared" si="20"/>
        <v>68</v>
      </c>
      <c r="W444" s="45"/>
      <c r="X444" s="67"/>
    </row>
    <row r="445" spans="1:25" ht="15.75" customHeight="1">
      <c r="A445" s="427"/>
      <c r="B445" s="122" t="s">
        <v>55</v>
      </c>
      <c r="C445" s="180" t="s">
        <v>133</v>
      </c>
      <c r="D445" s="48" t="s">
        <v>56</v>
      </c>
      <c r="E445" s="424" t="s">
        <v>25</v>
      </c>
      <c r="F445" s="118" t="s">
        <v>67</v>
      </c>
      <c r="G445" s="226"/>
      <c r="H445" s="126"/>
      <c r="I445" s="126"/>
      <c r="J445" s="2"/>
      <c r="K445" s="211"/>
      <c r="L445" s="211"/>
      <c r="M445" s="211"/>
      <c r="N445" s="211"/>
      <c r="O445" s="34"/>
      <c r="P445" s="34"/>
      <c r="Q445" s="34"/>
      <c r="R445" s="436"/>
      <c r="S445" s="436"/>
      <c r="T445" s="18"/>
      <c r="U445" s="18"/>
      <c r="V445" s="127">
        <f t="shared" si="20"/>
        <v>7022</v>
      </c>
      <c r="W445" s="45"/>
      <c r="X445" s="67"/>
    </row>
    <row r="446" spans="1:25" ht="15" customHeight="1">
      <c r="A446" s="427"/>
      <c r="B446" s="122" t="s">
        <v>122</v>
      </c>
      <c r="C446" s="180" t="s">
        <v>123</v>
      </c>
      <c r="D446" s="48" t="s">
        <v>56</v>
      </c>
      <c r="E446" s="441"/>
      <c r="F446" s="155" t="s">
        <v>64</v>
      </c>
      <c r="G446" s="119"/>
      <c r="H446" s="126"/>
      <c r="I446" s="126"/>
      <c r="J446" s="2"/>
      <c r="K446" s="211"/>
      <c r="L446" s="211"/>
      <c r="M446" s="211">
        <v>6400</v>
      </c>
      <c r="N446" s="211">
        <v>2</v>
      </c>
      <c r="O446" s="34"/>
      <c r="P446" s="34"/>
      <c r="Q446" s="34"/>
      <c r="R446" s="436"/>
      <c r="S446" s="436"/>
      <c r="T446" s="18"/>
      <c r="U446" s="18"/>
      <c r="V446" s="127">
        <f t="shared" si="20"/>
        <v>18121</v>
      </c>
      <c r="W446" s="45"/>
      <c r="X446" s="67"/>
    </row>
    <row r="447" spans="1:25" ht="14.25" customHeight="1">
      <c r="A447" s="427"/>
      <c r="B447" s="137" t="s">
        <v>58</v>
      </c>
      <c r="C447" s="157" t="s">
        <v>243</v>
      </c>
      <c r="D447" s="48" t="s">
        <v>56</v>
      </c>
      <c r="E447" s="441"/>
      <c r="F447" s="118" t="s">
        <v>64</v>
      </c>
      <c r="G447" s="225"/>
      <c r="H447" s="126"/>
      <c r="I447" s="126"/>
      <c r="J447" s="126"/>
      <c r="K447" s="211"/>
      <c r="L447" s="211"/>
      <c r="M447" s="211"/>
      <c r="N447" s="215"/>
      <c r="O447" s="34"/>
      <c r="P447" s="34"/>
      <c r="Q447" s="34"/>
      <c r="R447" s="436"/>
      <c r="S447" s="436"/>
      <c r="T447" s="18"/>
      <c r="U447" s="18"/>
      <c r="V447" s="127">
        <f t="shared" si="20"/>
        <v>8144</v>
      </c>
      <c r="W447" s="45"/>
      <c r="X447" s="67"/>
    </row>
    <row r="448" spans="1:25" ht="14.25" customHeight="1">
      <c r="A448" s="427"/>
      <c r="B448" s="122" t="s">
        <v>61</v>
      </c>
      <c r="C448" s="180" t="s">
        <v>137</v>
      </c>
      <c r="D448" s="48" t="s">
        <v>56</v>
      </c>
      <c r="E448" s="441"/>
      <c r="F448" s="118" t="s">
        <v>67</v>
      </c>
      <c r="G448" s="225"/>
      <c r="H448" s="126"/>
      <c r="I448" s="126"/>
      <c r="J448" s="126"/>
      <c r="K448" s="211"/>
      <c r="L448" s="211"/>
      <c r="M448" s="211"/>
      <c r="N448" s="215"/>
      <c r="O448" s="34"/>
      <c r="P448" s="34"/>
      <c r="Q448" s="34"/>
      <c r="R448" s="436"/>
      <c r="S448" s="436"/>
      <c r="T448" s="18"/>
      <c r="U448" s="18"/>
      <c r="V448" s="127">
        <f t="shared" si="20"/>
        <v>5844</v>
      </c>
      <c r="W448" s="45"/>
      <c r="X448" s="67"/>
    </row>
    <row r="449" spans="1:24" ht="14.25" customHeight="1">
      <c r="A449" s="427"/>
      <c r="B449" s="122" t="s">
        <v>125</v>
      </c>
      <c r="C449" s="180" t="s">
        <v>88</v>
      </c>
      <c r="D449" s="48" t="s">
        <v>124</v>
      </c>
      <c r="E449" s="441"/>
      <c r="F449" s="118" t="s">
        <v>64</v>
      </c>
      <c r="G449" s="225"/>
      <c r="H449" s="126"/>
      <c r="I449" s="126"/>
      <c r="J449" s="126"/>
      <c r="K449" s="211"/>
      <c r="L449" s="211"/>
      <c r="M449" s="211">
        <v>51200</v>
      </c>
      <c r="N449" s="215">
        <v>7</v>
      </c>
      <c r="O449" s="34"/>
      <c r="P449" s="34"/>
      <c r="Q449" s="34"/>
      <c r="R449" s="436"/>
      <c r="S449" s="436"/>
      <c r="T449" s="18"/>
      <c r="U449" s="18"/>
      <c r="V449" s="127">
        <f t="shared" si="20"/>
        <v>23615</v>
      </c>
      <c r="W449" s="45"/>
      <c r="X449" s="67"/>
    </row>
    <row r="450" spans="1:24" ht="14.25" customHeight="1">
      <c r="A450" s="427"/>
      <c r="B450" s="137" t="s">
        <v>47</v>
      </c>
      <c r="C450" s="157" t="s">
        <v>100</v>
      </c>
      <c r="D450" s="48" t="s">
        <v>99</v>
      </c>
      <c r="E450" s="441"/>
      <c r="F450" s="118" t="s">
        <v>71</v>
      </c>
      <c r="G450" s="225"/>
      <c r="H450" s="126"/>
      <c r="I450" s="126"/>
      <c r="J450" s="126"/>
      <c r="K450" s="211"/>
      <c r="L450" s="211"/>
      <c r="M450" s="211"/>
      <c r="N450" s="215"/>
      <c r="O450" s="34"/>
      <c r="P450" s="34"/>
      <c r="Q450" s="34"/>
      <c r="R450" s="436"/>
      <c r="S450" s="436"/>
      <c r="T450" s="18">
        <v>17606</v>
      </c>
      <c r="U450" s="211">
        <v>34</v>
      </c>
      <c r="V450" s="127">
        <f t="shared" si="20"/>
        <v>28366</v>
      </c>
      <c r="W450" s="45"/>
      <c r="X450" s="67"/>
    </row>
    <row r="451" spans="1:24" ht="15" customHeight="1">
      <c r="A451" s="427"/>
      <c r="B451" s="122" t="s">
        <v>196</v>
      </c>
      <c r="C451" s="180" t="s">
        <v>63</v>
      </c>
      <c r="D451" s="48" t="s">
        <v>135</v>
      </c>
      <c r="E451" s="441"/>
      <c r="F451" s="118" t="s">
        <v>64</v>
      </c>
      <c r="G451" s="226"/>
      <c r="H451" s="126"/>
      <c r="I451" s="126"/>
      <c r="J451" s="2"/>
      <c r="K451" s="211"/>
      <c r="L451" s="211"/>
      <c r="M451" s="211"/>
      <c r="N451" s="211"/>
      <c r="O451" s="34"/>
      <c r="P451" s="34"/>
      <c r="Q451" s="34">
        <f>June!CE338</f>
        <v>5</v>
      </c>
      <c r="R451" s="436"/>
      <c r="S451" s="436"/>
      <c r="T451" s="18"/>
      <c r="U451" s="18"/>
      <c r="V451" s="127">
        <f t="shared" si="20"/>
        <v>41412</v>
      </c>
      <c r="W451" s="45"/>
      <c r="X451" s="67"/>
    </row>
    <row r="452" spans="1:24" ht="15" customHeight="1">
      <c r="A452" s="427"/>
      <c r="B452" s="122" t="s">
        <v>363</v>
      </c>
      <c r="C452" s="180" t="s">
        <v>325</v>
      </c>
      <c r="D452" s="48" t="s">
        <v>328</v>
      </c>
      <c r="E452" s="441"/>
      <c r="F452" s="118" t="s">
        <v>48</v>
      </c>
      <c r="G452" s="226"/>
      <c r="H452" s="126"/>
      <c r="I452" s="126"/>
      <c r="J452" s="2"/>
      <c r="K452" s="211"/>
      <c r="L452" s="211"/>
      <c r="M452" s="211"/>
      <c r="N452" s="211"/>
      <c r="O452" s="34"/>
      <c r="P452" s="34"/>
      <c r="Q452" s="34">
        <f>June!CE335</f>
        <v>2</v>
      </c>
      <c r="R452" s="436"/>
      <c r="S452" s="436"/>
      <c r="T452" s="18"/>
      <c r="U452" s="18"/>
      <c r="V452" s="127">
        <f t="shared" si="20"/>
        <v>15153</v>
      </c>
      <c r="W452" s="45"/>
      <c r="X452" s="67"/>
    </row>
    <row r="453" spans="1:24" ht="15" customHeight="1">
      <c r="A453" s="427"/>
      <c r="B453" s="122" t="s">
        <v>253</v>
      </c>
      <c r="C453" s="180" t="s">
        <v>365</v>
      </c>
      <c r="D453" s="48" t="s">
        <v>246</v>
      </c>
      <c r="E453" s="441"/>
      <c r="F453" s="118" t="s">
        <v>247</v>
      </c>
      <c r="G453" s="226"/>
      <c r="H453" s="126"/>
      <c r="I453" s="126"/>
      <c r="J453" s="2"/>
      <c r="K453" s="211"/>
      <c r="L453" s="211"/>
      <c r="M453" s="211"/>
      <c r="N453" s="211"/>
      <c r="O453" s="34"/>
      <c r="P453" s="34"/>
      <c r="Q453" s="34">
        <f>June!CE327</f>
        <v>3</v>
      </c>
      <c r="R453" s="436"/>
      <c r="S453" s="436"/>
      <c r="T453" s="18"/>
      <c r="U453" s="18"/>
      <c r="V453" s="127">
        <f t="shared" si="20"/>
        <v>12501</v>
      </c>
      <c r="W453" s="45"/>
      <c r="X453" s="67"/>
    </row>
    <row r="454" spans="1:24" ht="15" customHeight="1">
      <c r="A454" s="427"/>
      <c r="B454" s="122" t="s">
        <v>101</v>
      </c>
      <c r="C454" s="180" t="s">
        <v>327</v>
      </c>
      <c r="D454" s="48" t="s">
        <v>102</v>
      </c>
      <c r="E454" s="441"/>
      <c r="F454" s="118" t="s">
        <v>64</v>
      </c>
      <c r="G454" s="119"/>
      <c r="H454" s="126"/>
      <c r="I454" s="126"/>
      <c r="J454" s="2"/>
      <c r="K454" s="211"/>
      <c r="L454" s="211"/>
      <c r="M454" s="211"/>
      <c r="N454" s="211"/>
      <c r="O454" s="34"/>
      <c r="P454" s="34"/>
      <c r="Q454" s="34">
        <f>June!CE333</f>
        <v>1</v>
      </c>
      <c r="R454" s="436"/>
      <c r="S454" s="436"/>
      <c r="T454" s="18"/>
      <c r="U454" s="18"/>
      <c r="V454" s="18">
        <f t="shared" si="20"/>
        <v>4722</v>
      </c>
      <c r="W454" s="45"/>
      <c r="X454" s="67"/>
    </row>
    <row r="455" spans="1:24" s="4" customFormat="1" ht="15" customHeight="1">
      <c r="A455" s="427"/>
      <c r="B455" s="122" t="s">
        <v>375</v>
      </c>
      <c r="C455" s="157" t="s">
        <v>376</v>
      </c>
      <c r="D455" s="48" t="s">
        <v>248</v>
      </c>
      <c r="E455" s="441"/>
      <c r="F455" s="48" t="s">
        <v>64</v>
      </c>
      <c r="G455" s="122"/>
      <c r="H455" s="34"/>
      <c r="I455" s="34"/>
      <c r="J455" s="6"/>
      <c r="K455" s="211"/>
      <c r="L455" s="211"/>
      <c r="M455" s="211"/>
      <c r="N455" s="211"/>
      <c r="O455" s="34"/>
      <c r="P455" s="34"/>
      <c r="Q455" s="34"/>
      <c r="R455" s="436"/>
      <c r="S455" s="436"/>
      <c r="T455" s="211"/>
      <c r="U455" s="211"/>
      <c r="V455" s="211">
        <f t="shared" si="20"/>
        <v>75911</v>
      </c>
      <c r="W455" s="260"/>
      <c r="X455" s="67"/>
    </row>
    <row r="456" spans="1:24" s="4" customFormat="1" ht="15" customHeight="1">
      <c r="A456" s="427"/>
      <c r="B456" s="122" t="s">
        <v>421</v>
      </c>
      <c r="C456" s="157" t="s">
        <v>420</v>
      </c>
      <c r="D456" s="48" t="s">
        <v>248</v>
      </c>
      <c r="E456" s="441"/>
      <c r="F456" s="48" t="s">
        <v>64</v>
      </c>
      <c r="G456" s="122"/>
      <c r="H456" s="34"/>
      <c r="I456" s="34"/>
      <c r="J456" s="6"/>
      <c r="K456" s="211"/>
      <c r="L456" s="211"/>
      <c r="M456" s="211">
        <v>46200</v>
      </c>
      <c r="N456" s="211">
        <v>11</v>
      </c>
      <c r="O456" s="34"/>
      <c r="P456" s="34"/>
      <c r="Q456" s="34">
        <f>June!CE337</f>
        <v>20</v>
      </c>
      <c r="R456" s="436"/>
      <c r="S456" s="436"/>
      <c r="T456" s="211">
        <v>1600</v>
      </c>
      <c r="U456" s="211"/>
      <c r="V456" s="211">
        <f t="shared" si="20"/>
        <v>59845</v>
      </c>
      <c r="W456" s="260"/>
      <c r="X456" s="67"/>
    </row>
    <row r="457" spans="1:24" s="4" customFormat="1" ht="15" customHeight="1">
      <c r="A457" s="427"/>
      <c r="B457" s="442" t="s">
        <v>289</v>
      </c>
      <c r="C457" s="444" t="s">
        <v>290</v>
      </c>
      <c r="D457" s="48" t="s">
        <v>432</v>
      </c>
      <c r="E457" s="441"/>
      <c r="F457" s="48" t="s">
        <v>381</v>
      </c>
      <c r="G457" s="122"/>
      <c r="H457" s="34"/>
      <c r="I457" s="34"/>
      <c r="J457" s="6"/>
      <c r="K457" s="211"/>
      <c r="L457" s="211"/>
      <c r="M457" s="211"/>
      <c r="N457" s="211"/>
      <c r="O457" s="34">
        <f>June!CF329</f>
        <v>418</v>
      </c>
      <c r="P457" s="34">
        <f>June!CG329</f>
        <v>251</v>
      </c>
      <c r="Q457" s="34">
        <f>June!CE329</f>
        <v>1</v>
      </c>
      <c r="R457" s="436"/>
      <c r="S457" s="436"/>
      <c r="T457" s="211"/>
      <c r="U457" s="211"/>
      <c r="V457" s="211">
        <f t="shared" si="20"/>
        <v>515</v>
      </c>
      <c r="W457" s="260"/>
      <c r="X457" s="67"/>
    </row>
    <row r="458" spans="1:24" s="4" customFormat="1" ht="15" customHeight="1">
      <c r="A458" s="427"/>
      <c r="B458" s="443"/>
      <c r="C458" s="446"/>
      <c r="D458" s="48" t="s">
        <v>432</v>
      </c>
      <c r="E458" s="441"/>
      <c r="F458" s="48" t="s">
        <v>435</v>
      </c>
      <c r="G458" s="122"/>
      <c r="H458" s="34"/>
      <c r="I458" s="34"/>
      <c r="J458" s="6"/>
      <c r="K458" s="211">
        <v>4000</v>
      </c>
      <c r="L458" s="211">
        <v>1</v>
      </c>
      <c r="M458" s="211"/>
      <c r="N458" s="211"/>
      <c r="O458" s="34"/>
      <c r="P458" s="34">
        <f>June!CG330</f>
        <v>185</v>
      </c>
      <c r="Q458" s="34">
        <f>June!CE330</f>
        <v>1</v>
      </c>
      <c r="R458" s="436"/>
      <c r="S458" s="436"/>
      <c r="T458" s="211"/>
      <c r="U458" s="211"/>
      <c r="V458" s="211"/>
      <c r="W458" s="260"/>
      <c r="X458" s="67"/>
    </row>
    <row r="459" spans="1:24" s="4" customFormat="1" ht="15" customHeight="1">
      <c r="A459" s="427"/>
      <c r="B459" s="268" t="s">
        <v>436</v>
      </c>
      <c r="C459" s="277" t="s">
        <v>438</v>
      </c>
      <c r="D459" s="48" t="s">
        <v>432</v>
      </c>
      <c r="E459" s="441"/>
      <c r="F459" s="48" t="s">
        <v>57</v>
      </c>
      <c r="G459" s="122"/>
      <c r="H459" s="34"/>
      <c r="I459" s="34"/>
      <c r="J459" s="6"/>
      <c r="K459" s="211"/>
      <c r="L459" s="211"/>
      <c r="M459" s="211"/>
      <c r="N459" s="211"/>
      <c r="O459" s="34"/>
      <c r="P459" s="34">
        <f>June!CG344</f>
        <v>268</v>
      </c>
      <c r="Q459" s="34">
        <f>June!CE344</f>
        <v>1</v>
      </c>
      <c r="R459" s="436"/>
      <c r="S459" s="436"/>
      <c r="T459" s="211"/>
      <c r="U459" s="211"/>
      <c r="V459" s="211"/>
      <c r="W459" s="260"/>
      <c r="X459" s="67"/>
    </row>
    <row r="460" spans="1:24" s="4" customFormat="1" ht="15" customHeight="1">
      <c r="A460" s="427"/>
      <c r="B460" s="122" t="s">
        <v>437</v>
      </c>
      <c r="C460" s="157" t="s">
        <v>438</v>
      </c>
      <c r="D460" s="48" t="s">
        <v>432</v>
      </c>
      <c r="E460" s="441"/>
      <c r="F460" s="48" t="s">
        <v>57</v>
      </c>
      <c r="G460" s="122"/>
      <c r="H460" s="34"/>
      <c r="I460" s="34"/>
      <c r="J460" s="6"/>
      <c r="K460" s="211"/>
      <c r="L460" s="211"/>
      <c r="M460" s="211"/>
      <c r="N460" s="211"/>
      <c r="O460" s="34"/>
      <c r="P460" s="34">
        <f>June!CG345</f>
        <v>317</v>
      </c>
      <c r="Q460" s="34">
        <f>June!CE345</f>
        <v>1</v>
      </c>
      <c r="R460" s="436"/>
      <c r="S460" s="436"/>
      <c r="T460" s="211"/>
      <c r="U460" s="211"/>
      <c r="V460" s="211"/>
      <c r="W460" s="260"/>
      <c r="X460" s="67"/>
    </row>
    <row r="461" spans="1:24" ht="15" customHeight="1">
      <c r="A461" s="427"/>
      <c r="B461" s="122" t="s">
        <v>103</v>
      </c>
      <c r="C461" s="157" t="s">
        <v>197</v>
      </c>
      <c r="D461" s="48" t="s">
        <v>104</v>
      </c>
      <c r="E461" s="441"/>
      <c r="F461" s="118" t="s">
        <v>105</v>
      </c>
      <c r="G461" s="119"/>
      <c r="H461" s="126"/>
      <c r="I461" s="126"/>
      <c r="J461" s="2"/>
      <c r="K461" s="211"/>
      <c r="L461" s="211"/>
      <c r="M461" s="211"/>
      <c r="N461" s="211"/>
      <c r="O461" s="34"/>
      <c r="P461" s="34"/>
      <c r="Q461" s="34">
        <f>June!CE339</f>
        <v>1</v>
      </c>
      <c r="R461" s="436"/>
      <c r="S461" s="436"/>
      <c r="T461" s="18"/>
      <c r="U461" s="18"/>
      <c r="V461" s="18"/>
      <c r="W461" s="45"/>
      <c r="X461" s="67"/>
    </row>
    <row r="462" spans="1:24" ht="15" customHeight="1">
      <c r="A462" s="427"/>
      <c r="B462" s="137" t="s">
        <v>112</v>
      </c>
      <c r="C462" s="157" t="s">
        <v>197</v>
      </c>
      <c r="D462" s="48" t="s">
        <v>104</v>
      </c>
      <c r="E462" s="441"/>
      <c r="F462" s="118" t="s">
        <v>113</v>
      </c>
      <c r="G462" s="119"/>
      <c r="H462" s="126"/>
      <c r="I462" s="126"/>
      <c r="J462" s="2"/>
      <c r="K462" s="18"/>
      <c r="L462" s="18"/>
      <c r="M462" s="18"/>
      <c r="N462" s="18"/>
      <c r="O462" s="126"/>
      <c r="P462" s="126"/>
      <c r="Q462" s="126">
        <f>June!CE341</f>
        <v>1</v>
      </c>
      <c r="R462" s="436"/>
      <c r="S462" s="436"/>
      <c r="T462" s="18"/>
      <c r="U462" s="18"/>
      <c r="V462" s="18"/>
      <c r="W462" s="45"/>
      <c r="X462" s="67"/>
    </row>
    <row r="463" spans="1:24" ht="15" customHeight="1" thickBot="1">
      <c r="A463" s="428"/>
      <c r="B463" s="44" t="s">
        <v>107</v>
      </c>
      <c r="C463" s="181" t="s">
        <v>386</v>
      </c>
      <c r="D463" s="61" t="s">
        <v>108</v>
      </c>
      <c r="E463" s="447"/>
      <c r="F463" s="133" t="s">
        <v>48</v>
      </c>
      <c r="G463" s="132"/>
      <c r="H463" s="134"/>
      <c r="I463" s="134"/>
      <c r="J463" s="129"/>
      <c r="K463" s="130"/>
      <c r="L463" s="130"/>
      <c r="M463" s="130">
        <v>13000</v>
      </c>
      <c r="N463" s="130">
        <v>2</v>
      </c>
      <c r="O463" s="134"/>
      <c r="P463" s="134"/>
      <c r="Q463" s="134">
        <f>June!CE340</f>
        <v>2</v>
      </c>
      <c r="R463" s="437"/>
      <c r="S463" s="437"/>
      <c r="T463" s="130"/>
      <c r="U463" s="130"/>
      <c r="V463" s="128">
        <f t="shared" ref="V463:V469" si="21">O463-T463-U463+V432</f>
        <v>11956</v>
      </c>
      <c r="W463" s="85"/>
      <c r="X463" s="67"/>
    </row>
    <row r="464" spans="1:24" ht="15" customHeight="1">
      <c r="A464" s="426">
        <v>46192</v>
      </c>
      <c r="B464" s="429" t="s">
        <v>44</v>
      </c>
      <c r="C464" s="432" t="s">
        <v>240</v>
      </c>
      <c r="D464" s="19" t="s">
        <v>37</v>
      </c>
      <c r="E464" s="19" t="s">
        <v>25</v>
      </c>
      <c r="F464" s="39" t="s">
        <v>40</v>
      </c>
      <c r="G464" s="41">
        <v>7147.53</v>
      </c>
      <c r="H464" s="32">
        <v>5760</v>
      </c>
      <c r="I464" s="32"/>
      <c r="J464" s="32"/>
      <c r="K464" s="20">
        <v>16000</v>
      </c>
      <c r="L464" s="20">
        <v>2</v>
      </c>
      <c r="M464" s="20">
        <v>243000</v>
      </c>
      <c r="N464" s="84">
        <v>31</v>
      </c>
      <c r="O464" s="32">
        <f>June!CI313</f>
        <v>50889</v>
      </c>
      <c r="P464" s="32">
        <f>June!CJ313</f>
        <v>53262</v>
      </c>
      <c r="Q464" s="32">
        <f>June!CH313</f>
        <v>140</v>
      </c>
      <c r="R464" s="435">
        <f>June!CI346</f>
        <v>58802</v>
      </c>
      <c r="S464" s="435">
        <f>June!CJ346</f>
        <v>55965</v>
      </c>
      <c r="T464" s="20">
        <v>53249</v>
      </c>
      <c r="U464" s="20"/>
      <c r="V464" s="20">
        <f t="shared" si="21"/>
        <v>153342</v>
      </c>
      <c r="W464" s="77"/>
      <c r="X464" s="36"/>
    </row>
    <row r="465" spans="1:25" ht="15" customHeight="1">
      <c r="A465" s="427"/>
      <c r="B465" s="431"/>
      <c r="C465" s="434"/>
      <c r="D465" s="113" t="s">
        <v>307</v>
      </c>
      <c r="E465" s="113" t="s">
        <v>24</v>
      </c>
      <c r="F465" s="118" t="s">
        <v>40</v>
      </c>
      <c r="G465" s="170"/>
      <c r="H465" s="135">
        <v>862.5</v>
      </c>
      <c r="I465" s="125"/>
      <c r="J465" s="125"/>
      <c r="K465" s="127">
        <v>8000</v>
      </c>
      <c r="L465" s="127">
        <v>1</v>
      </c>
      <c r="M465" s="216">
        <v>55400</v>
      </c>
      <c r="N465" s="238">
        <v>7</v>
      </c>
      <c r="O465" s="126">
        <f>June!CI314</f>
        <v>7913</v>
      </c>
      <c r="P465" s="125">
        <f>June!CJ314</f>
        <v>1137</v>
      </c>
      <c r="Q465" s="125">
        <f>June!CH314</f>
        <v>47</v>
      </c>
      <c r="R465" s="436"/>
      <c r="S465" s="436"/>
      <c r="T465" s="127">
        <v>20082</v>
      </c>
      <c r="U465" s="127"/>
      <c r="V465" s="127">
        <f t="shared" si="21"/>
        <v>157063</v>
      </c>
      <c r="W465" s="46"/>
      <c r="X465" s="67"/>
    </row>
    <row r="466" spans="1:25" ht="15" customHeight="1">
      <c r="A466" s="427"/>
      <c r="B466" s="442" t="s">
        <v>45</v>
      </c>
      <c r="C466" s="448" t="s">
        <v>59</v>
      </c>
      <c r="D466" s="118" t="s">
        <v>75</v>
      </c>
      <c r="E466" s="131" t="s">
        <v>25</v>
      </c>
      <c r="F466" s="131" t="s">
        <v>57</v>
      </c>
      <c r="G466" s="87"/>
      <c r="H466" s="152"/>
      <c r="I466" s="126"/>
      <c r="J466" s="2"/>
      <c r="K466" s="127"/>
      <c r="L466" s="18"/>
      <c r="M466" s="18">
        <v>44680</v>
      </c>
      <c r="N466" s="80">
        <v>9</v>
      </c>
      <c r="O466" s="126"/>
      <c r="P466" s="126"/>
      <c r="Q466" s="2">
        <f>June!CH317</f>
        <v>11</v>
      </c>
      <c r="R466" s="436"/>
      <c r="S466" s="436"/>
      <c r="T466" s="18"/>
      <c r="U466" s="18"/>
      <c r="V466" s="127">
        <f t="shared" si="21"/>
        <v>11746</v>
      </c>
      <c r="W466" s="46"/>
      <c r="Y466" s="13"/>
    </row>
    <row r="467" spans="1:25">
      <c r="A467" s="427"/>
      <c r="B467" s="439"/>
      <c r="C467" s="440"/>
      <c r="D467" s="118" t="s">
        <v>72</v>
      </c>
      <c r="E467" s="155" t="s">
        <v>24</v>
      </c>
      <c r="F467" s="131" t="s">
        <v>57</v>
      </c>
      <c r="G467" s="224"/>
      <c r="H467" s="152"/>
      <c r="I467" s="126"/>
      <c r="J467" s="126"/>
      <c r="K467" s="127"/>
      <c r="L467" s="18"/>
      <c r="M467" s="18">
        <v>40000</v>
      </c>
      <c r="N467" s="80">
        <v>8</v>
      </c>
      <c r="O467" s="126"/>
      <c r="P467" s="126"/>
      <c r="Q467" s="126">
        <f>June!CH319</f>
        <v>8</v>
      </c>
      <c r="R467" s="436"/>
      <c r="S467" s="436"/>
      <c r="T467" s="18"/>
      <c r="U467" s="18"/>
      <c r="V467" s="127">
        <f t="shared" si="21"/>
        <v>23089</v>
      </c>
      <c r="W467" s="46"/>
      <c r="Y467" s="13"/>
    </row>
    <row r="468" spans="1:25" ht="14.25" customHeight="1">
      <c r="A468" s="427"/>
      <c r="B468" s="439"/>
      <c r="C468" s="440"/>
      <c r="D468" s="115" t="s">
        <v>79</v>
      </c>
      <c r="E468" s="424" t="s">
        <v>65</v>
      </c>
      <c r="F468" s="131" t="s">
        <v>57</v>
      </c>
      <c r="G468" s="224"/>
      <c r="H468" s="126"/>
      <c r="I468" s="126"/>
      <c r="J468" s="126"/>
      <c r="K468" s="18"/>
      <c r="L468" s="18"/>
      <c r="M468" s="18"/>
      <c r="N468" s="80"/>
      <c r="O468" s="126"/>
      <c r="P468" s="126"/>
      <c r="Q468" s="126"/>
      <c r="R468" s="436"/>
      <c r="S468" s="436"/>
      <c r="T468" s="18"/>
      <c r="U468" s="18"/>
      <c r="V468" s="127">
        <f t="shared" si="21"/>
        <v>10211</v>
      </c>
      <c r="W468" s="45"/>
      <c r="X468" s="36"/>
    </row>
    <row r="469" spans="1:25" ht="14.25" customHeight="1">
      <c r="A469" s="427"/>
      <c r="B469" s="439"/>
      <c r="C469" s="440"/>
      <c r="D469" s="115" t="s">
        <v>443</v>
      </c>
      <c r="E469" s="441"/>
      <c r="F469" s="131" t="s">
        <v>57</v>
      </c>
      <c r="G469" s="224"/>
      <c r="H469" s="126"/>
      <c r="I469" s="126"/>
      <c r="J469" s="126"/>
      <c r="K469" s="18"/>
      <c r="L469" s="18"/>
      <c r="M469" s="18"/>
      <c r="N469" s="80"/>
      <c r="O469" s="126"/>
      <c r="P469" s="126">
        <f>June!CJ321</f>
        <v>246</v>
      </c>
      <c r="Q469" s="126">
        <f>June!CH321</f>
        <v>1</v>
      </c>
      <c r="R469" s="436"/>
      <c r="S469" s="436"/>
      <c r="T469" s="18"/>
      <c r="U469" s="18"/>
      <c r="V469" s="127">
        <f t="shared" si="21"/>
        <v>0</v>
      </c>
      <c r="W469" s="45"/>
      <c r="X469" s="67"/>
    </row>
    <row r="470" spans="1:25" ht="14.25" customHeight="1">
      <c r="A470" s="427"/>
      <c r="B470" s="439"/>
      <c r="C470" s="449"/>
      <c r="D470" s="115" t="s">
        <v>444</v>
      </c>
      <c r="E470" s="425"/>
      <c r="F470" s="131"/>
      <c r="G470" s="224"/>
      <c r="H470" s="37">
        <v>37.5</v>
      </c>
      <c r="I470" s="126"/>
      <c r="J470" s="126"/>
      <c r="K470" s="18"/>
      <c r="L470" s="18"/>
      <c r="M470" s="18"/>
      <c r="N470" s="80"/>
      <c r="O470" s="126"/>
      <c r="P470" s="126"/>
      <c r="Q470" s="126"/>
      <c r="R470" s="436"/>
      <c r="S470" s="436"/>
      <c r="T470" s="18"/>
      <c r="U470" s="18"/>
      <c r="V470" s="127"/>
      <c r="W470" s="45"/>
      <c r="X470" s="67"/>
    </row>
    <row r="471" spans="1:25" ht="14.25" customHeight="1">
      <c r="A471" s="427"/>
      <c r="B471" s="439"/>
      <c r="C471" s="448" t="s">
        <v>299</v>
      </c>
      <c r="D471" s="115" t="s">
        <v>296</v>
      </c>
      <c r="E471" s="424" t="s">
        <v>25</v>
      </c>
      <c r="F471" s="131" t="s">
        <v>298</v>
      </c>
      <c r="G471" s="224"/>
      <c r="H471" s="37"/>
      <c r="I471" s="126"/>
      <c r="J471" s="126"/>
      <c r="K471" s="18"/>
      <c r="L471" s="18"/>
      <c r="M471" s="18"/>
      <c r="N471" s="80"/>
      <c r="O471" s="126"/>
      <c r="P471" s="126"/>
      <c r="Q471" s="126"/>
      <c r="R471" s="436"/>
      <c r="S471" s="436"/>
      <c r="T471" s="18"/>
      <c r="U471" s="18"/>
      <c r="V471" s="127">
        <f t="shared" ref="V471:V485" si="22">O471-T471-U471+V440</f>
        <v>4427</v>
      </c>
      <c r="W471" s="45"/>
      <c r="X471" s="67"/>
    </row>
    <row r="472" spans="1:25" ht="14.25" customHeight="1">
      <c r="A472" s="427"/>
      <c r="B472" s="443"/>
      <c r="C472" s="449"/>
      <c r="D472" s="115" t="s">
        <v>75</v>
      </c>
      <c r="E472" s="425"/>
      <c r="F472" s="131" t="s">
        <v>298</v>
      </c>
      <c r="G472" s="224"/>
      <c r="H472" s="37"/>
      <c r="I472" s="126"/>
      <c r="J472" s="126"/>
      <c r="K472" s="18"/>
      <c r="L472" s="18"/>
      <c r="M472" s="18">
        <v>10000</v>
      </c>
      <c r="N472" s="80">
        <v>2</v>
      </c>
      <c r="O472" s="126"/>
      <c r="P472" s="126"/>
      <c r="Q472" s="126">
        <f>June!CH323</f>
        <v>4</v>
      </c>
      <c r="R472" s="436"/>
      <c r="S472" s="436"/>
      <c r="T472" s="18"/>
      <c r="U472" s="18"/>
      <c r="V472" s="127">
        <f t="shared" si="22"/>
        <v>14595</v>
      </c>
      <c r="W472" s="45"/>
      <c r="X472" s="67"/>
    </row>
    <row r="473" spans="1:25" ht="14.25" customHeight="1">
      <c r="A473" s="427"/>
      <c r="B473" s="439" t="s">
        <v>53</v>
      </c>
      <c r="C473" s="445" t="s">
        <v>60</v>
      </c>
      <c r="D473" s="43" t="s">
        <v>320</v>
      </c>
      <c r="E473" s="441" t="s">
        <v>66</v>
      </c>
      <c r="F473" s="118" t="s">
        <v>54</v>
      </c>
      <c r="G473" s="224"/>
      <c r="H473" s="37"/>
      <c r="I473" s="126"/>
      <c r="J473" s="126"/>
      <c r="K473" s="18"/>
      <c r="L473" s="18"/>
      <c r="M473" s="18"/>
      <c r="N473" s="80"/>
      <c r="O473" s="126"/>
      <c r="P473" s="126"/>
      <c r="Q473" s="126">
        <f>June!CH315</f>
        <v>8</v>
      </c>
      <c r="R473" s="436"/>
      <c r="S473" s="436"/>
      <c r="T473" s="18"/>
      <c r="U473" s="18"/>
      <c r="V473" s="127">
        <f t="shared" si="22"/>
        <v>42606</v>
      </c>
      <c r="W473" s="45"/>
      <c r="X473" s="67"/>
    </row>
    <row r="474" spans="1:25" ht="14.25" customHeight="1">
      <c r="A474" s="427"/>
      <c r="B474" s="439"/>
      <c r="C474" s="445"/>
      <c r="D474" s="43" t="s">
        <v>387</v>
      </c>
      <c r="E474" s="425"/>
      <c r="F474" s="118" t="s">
        <v>54</v>
      </c>
      <c r="G474" s="229"/>
      <c r="H474" s="182"/>
      <c r="I474" s="125"/>
      <c r="J474" s="125"/>
      <c r="K474" s="127"/>
      <c r="L474" s="127"/>
      <c r="M474" s="127">
        <v>64800</v>
      </c>
      <c r="N474" s="171">
        <v>11</v>
      </c>
      <c r="O474" s="125"/>
      <c r="P474" s="125"/>
      <c r="Q474" s="125"/>
      <c r="R474" s="436"/>
      <c r="S474" s="436"/>
      <c r="T474" s="18"/>
      <c r="U474" s="18"/>
      <c r="V474" s="127">
        <f t="shared" si="22"/>
        <v>666</v>
      </c>
      <c r="W474" s="45"/>
      <c r="X474" s="67"/>
    </row>
    <row r="475" spans="1:25" ht="14.25" customHeight="1">
      <c r="A475" s="427"/>
      <c r="B475" s="443"/>
      <c r="C475" s="446"/>
      <c r="D475" s="43" t="s">
        <v>199</v>
      </c>
      <c r="E475" s="114" t="s">
        <v>25</v>
      </c>
      <c r="F475" s="118" t="s">
        <v>54</v>
      </c>
      <c r="G475" s="224"/>
      <c r="H475" s="135"/>
      <c r="I475" s="158"/>
      <c r="J475" s="158"/>
      <c r="K475" s="128"/>
      <c r="L475" s="128"/>
      <c r="M475" s="128"/>
      <c r="N475" s="164"/>
      <c r="O475" s="158"/>
      <c r="P475" s="158"/>
      <c r="Q475" s="158"/>
      <c r="R475" s="436"/>
      <c r="S475" s="436"/>
      <c r="T475" s="18"/>
      <c r="U475" s="18"/>
      <c r="V475" s="127">
        <f t="shared" si="22"/>
        <v>68</v>
      </c>
      <c r="W475" s="45"/>
      <c r="X475" s="67"/>
    </row>
    <row r="476" spans="1:25" ht="15.75" customHeight="1">
      <c r="A476" s="427"/>
      <c r="B476" s="122" t="s">
        <v>55</v>
      </c>
      <c r="C476" s="180" t="s">
        <v>133</v>
      </c>
      <c r="D476" s="48" t="s">
        <v>56</v>
      </c>
      <c r="E476" s="424" t="s">
        <v>25</v>
      </c>
      <c r="F476" s="118" t="s">
        <v>67</v>
      </c>
      <c r="G476" s="226"/>
      <c r="H476" s="126"/>
      <c r="I476" s="126"/>
      <c r="J476" s="2"/>
      <c r="K476" s="18"/>
      <c r="L476" s="18"/>
      <c r="M476" s="18"/>
      <c r="N476" s="18"/>
      <c r="O476" s="126"/>
      <c r="P476" s="126"/>
      <c r="Q476" s="126"/>
      <c r="R476" s="436"/>
      <c r="S476" s="436"/>
      <c r="T476" s="18"/>
      <c r="U476" s="18"/>
      <c r="V476" s="127">
        <f t="shared" si="22"/>
        <v>7022</v>
      </c>
      <c r="W476" s="45"/>
      <c r="X476" s="67"/>
    </row>
    <row r="477" spans="1:25" ht="15" customHeight="1">
      <c r="A477" s="427"/>
      <c r="B477" s="122" t="s">
        <v>122</v>
      </c>
      <c r="C477" s="180" t="s">
        <v>123</v>
      </c>
      <c r="D477" s="48" t="s">
        <v>56</v>
      </c>
      <c r="E477" s="441"/>
      <c r="F477" s="155" t="s">
        <v>64</v>
      </c>
      <c r="G477" s="119"/>
      <c r="H477" s="126"/>
      <c r="I477" s="126"/>
      <c r="J477" s="2"/>
      <c r="K477" s="18"/>
      <c r="L477" s="18"/>
      <c r="M477" s="18">
        <v>6400</v>
      </c>
      <c r="N477" s="18">
        <v>2</v>
      </c>
      <c r="O477" s="126"/>
      <c r="P477" s="126"/>
      <c r="Q477" s="126"/>
      <c r="R477" s="436"/>
      <c r="S477" s="436"/>
      <c r="T477" s="18"/>
      <c r="U477" s="18"/>
      <c r="V477" s="127">
        <f t="shared" si="22"/>
        <v>18121</v>
      </c>
      <c r="W477" s="45"/>
      <c r="X477" s="67"/>
    </row>
    <row r="478" spans="1:25" ht="14.25" customHeight="1">
      <c r="A478" s="427"/>
      <c r="B478" s="137" t="s">
        <v>58</v>
      </c>
      <c r="C478" s="157" t="s">
        <v>243</v>
      </c>
      <c r="D478" s="48" t="s">
        <v>56</v>
      </c>
      <c r="E478" s="441"/>
      <c r="F478" s="118" t="s">
        <v>64</v>
      </c>
      <c r="G478" s="225"/>
      <c r="H478" s="126"/>
      <c r="I478" s="126"/>
      <c r="J478" s="126"/>
      <c r="K478" s="18"/>
      <c r="L478" s="18"/>
      <c r="M478" s="18"/>
      <c r="N478" s="80"/>
      <c r="O478" s="126"/>
      <c r="P478" s="126"/>
      <c r="Q478" s="126"/>
      <c r="R478" s="436"/>
      <c r="S478" s="436"/>
      <c r="T478" s="18"/>
      <c r="U478" s="18"/>
      <c r="V478" s="127">
        <f t="shared" si="22"/>
        <v>8144</v>
      </c>
      <c r="W478" s="45"/>
      <c r="X478" s="67"/>
    </row>
    <row r="479" spans="1:25" ht="14.25" customHeight="1">
      <c r="A479" s="427"/>
      <c r="B479" s="122" t="s">
        <v>61</v>
      </c>
      <c r="C479" s="180" t="s">
        <v>137</v>
      </c>
      <c r="D479" s="48" t="s">
        <v>56</v>
      </c>
      <c r="E479" s="441"/>
      <c r="F479" s="118" t="s">
        <v>67</v>
      </c>
      <c r="G479" s="225"/>
      <c r="H479" s="126"/>
      <c r="I479" s="126"/>
      <c r="J479" s="126"/>
      <c r="K479" s="18"/>
      <c r="L479" s="18"/>
      <c r="M479" s="18"/>
      <c r="N479" s="80"/>
      <c r="O479" s="126"/>
      <c r="P479" s="126"/>
      <c r="Q479" s="126"/>
      <c r="R479" s="436"/>
      <c r="S479" s="436"/>
      <c r="T479" s="18"/>
      <c r="U479" s="18"/>
      <c r="V479" s="127">
        <f t="shared" si="22"/>
        <v>5844</v>
      </c>
      <c r="W479" s="45"/>
      <c r="X479" s="67"/>
    </row>
    <row r="480" spans="1:25" ht="14.25" customHeight="1">
      <c r="A480" s="427"/>
      <c r="B480" s="122" t="s">
        <v>125</v>
      </c>
      <c r="C480" s="180" t="s">
        <v>88</v>
      </c>
      <c r="D480" s="48" t="s">
        <v>124</v>
      </c>
      <c r="E480" s="441"/>
      <c r="F480" s="118" t="s">
        <v>64</v>
      </c>
      <c r="G480" s="225"/>
      <c r="H480" s="126"/>
      <c r="I480" s="126"/>
      <c r="J480" s="126"/>
      <c r="K480" s="18"/>
      <c r="L480" s="18"/>
      <c r="M480" s="18">
        <v>51200</v>
      </c>
      <c r="N480" s="80">
        <v>7</v>
      </c>
      <c r="O480" s="126"/>
      <c r="P480" s="126"/>
      <c r="Q480" s="126"/>
      <c r="R480" s="436"/>
      <c r="S480" s="436"/>
      <c r="T480" s="18"/>
      <c r="U480" s="18"/>
      <c r="V480" s="127">
        <f t="shared" si="22"/>
        <v>23615</v>
      </c>
      <c r="W480" s="45"/>
      <c r="X480" s="67"/>
    </row>
    <row r="481" spans="1:24" ht="14.25" customHeight="1">
      <c r="A481" s="427"/>
      <c r="B481" s="137" t="s">
        <v>47</v>
      </c>
      <c r="C481" s="157" t="s">
        <v>100</v>
      </c>
      <c r="D481" s="48" t="s">
        <v>99</v>
      </c>
      <c r="E481" s="441"/>
      <c r="F481" s="118" t="s">
        <v>71</v>
      </c>
      <c r="G481" s="225"/>
      <c r="H481" s="126"/>
      <c r="I481" s="126"/>
      <c r="J481" s="126"/>
      <c r="K481" s="18"/>
      <c r="L481" s="18"/>
      <c r="M481" s="18"/>
      <c r="N481" s="80"/>
      <c r="O481" s="126"/>
      <c r="P481" s="126"/>
      <c r="Q481" s="126"/>
      <c r="R481" s="436"/>
      <c r="S481" s="436"/>
      <c r="T481" s="18">
        <v>8967</v>
      </c>
      <c r="U481" s="18">
        <v>33</v>
      </c>
      <c r="V481" s="127">
        <f t="shared" si="22"/>
        <v>19366</v>
      </c>
      <c r="W481" s="45"/>
      <c r="X481" s="67"/>
    </row>
    <row r="482" spans="1:24" ht="15" customHeight="1">
      <c r="A482" s="427"/>
      <c r="B482" s="122" t="s">
        <v>196</v>
      </c>
      <c r="C482" s="180" t="s">
        <v>63</v>
      </c>
      <c r="D482" s="48" t="s">
        <v>135</v>
      </c>
      <c r="E482" s="441"/>
      <c r="F482" s="118" t="s">
        <v>64</v>
      </c>
      <c r="G482" s="226"/>
      <c r="H482" s="126"/>
      <c r="I482" s="126"/>
      <c r="J482" s="2"/>
      <c r="K482" s="18"/>
      <c r="L482" s="18"/>
      <c r="M482" s="18"/>
      <c r="N482" s="18"/>
      <c r="O482" s="126"/>
      <c r="P482" s="126"/>
      <c r="Q482" s="126">
        <f>June!CH338</f>
        <v>5</v>
      </c>
      <c r="R482" s="436"/>
      <c r="S482" s="436"/>
      <c r="T482" s="18"/>
      <c r="U482" s="18"/>
      <c r="V482" s="127">
        <f t="shared" si="22"/>
        <v>41412</v>
      </c>
      <c r="W482" s="45"/>
      <c r="X482" s="67"/>
    </row>
    <row r="483" spans="1:24" ht="15" customHeight="1">
      <c r="A483" s="427"/>
      <c r="B483" s="122" t="s">
        <v>363</v>
      </c>
      <c r="C483" s="180" t="s">
        <v>325</v>
      </c>
      <c r="D483" s="48" t="s">
        <v>328</v>
      </c>
      <c r="E483" s="441"/>
      <c r="F483" s="118" t="s">
        <v>48</v>
      </c>
      <c r="G483" s="226"/>
      <c r="H483" s="126"/>
      <c r="I483" s="126"/>
      <c r="J483" s="2"/>
      <c r="K483" s="18"/>
      <c r="L483" s="18"/>
      <c r="M483" s="18"/>
      <c r="N483" s="18"/>
      <c r="O483" s="126"/>
      <c r="P483" s="126"/>
      <c r="Q483" s="126">
        <f>June!CH335</f>
        <v>2</v>
      </c>
      <c r="R483" s="436"/>
      <c r="S483" s="436"/>
      <c r="T483" s="18"/>
      <c r="U483" s="18"/>
      <c r="V483" s="127">
        <f t="shared" si="22"/>
        <v>15153</v>
      </c>
      <c r="W483" s="45"/>
      <c r="X483" s="67"/>
    </row>
    <row r="484" spans="1:24" ht="15" customHeight="1">
      <c r="A484" s="427"/>
      <c r="B484" s="122" t="s">
        <v>253</v>
      </c>
      <c r="C484" s="180" t="s">
        <v>365</v>
      </c>
      <c r="D484" s="48" t="s">
        <v>246</v>
      </c>
      <c r="E484" s="441"/>
      <c r="F484" s="118" t="s">
        <v>247</v>
      </c>
      <c r="G484" s="226"/>
      <c r="H484" s="126"/>
      <c r="I484" s="126"/>
      <c r="J484" s="2"/>
      <c r="K484" s="18"/>
      <c r="L484" s="18"/>
      <c r="M484" s="18"/>
      <c r="N484" s="18"/>
      <c r="O484" s="126"/>
      <c r="P484" s="126"/>
      <c r="Q484" s="126">
        <f>June!CH327</f>
        <v>3</v>
      </c>
      <c r="R484" s="436"/>
      <c r="S484" s="436"/>
      <c r="T484" s="18"/>
      <c r="U484" s="18"/>
      <c r="V484" s="127">
        <f t="shared" si="22"/>
        <v>12501</v>
      </c>
      <c r="W484" s="45"/>
      <c r="X484" s="67"/>
    </row>
    <row r="485" spans="1:24" ht="15" customHeight="1">
      <c r="A485" s="427"/>
      <c r="B485" s="122" t="s">
        <v>101</v>
      </c>
      <c r="C485" s="180" t="s">
        <v>327</v>
      </c>
      <c r="D485" s="48" t="s">
        <v>102</v>
      </c>
      <c r="E485" s="441"/>
      <c r="F485" s="118" t="s">
        <v>64</v>
      </c>
      <c r="G485" s="119"/>
      <c r="H485" s="126"/>
      <c r="I485" s="126"/>
      <c r="J485" s="2"/>
      <c r="K485" s="18"/>
      <c r="L485" s="18"/>
      <c r="M485" s="18"/>
      <c r="N485" s="18"/>
      <c r="O485" s="126"/>
      <c r="P485" s="126"/>
      <c r="Q485" s="126">
        <f>June!CH333</f>
        <v>1</v>
      </c>
      <c r="R485" s="436"/>
      <c r="S485" s="436"/>
      <c r="T485" s="18"/>
      <c r="U485" s="18"/>
      <c r="V485" s="18">
        <f t="shared" si="22"/>
        <v>4722</v>
      </c>
      <c r="W485" s="45"/>
      <c r="X485" s="67"/>
    </row>
    <row r="486" spans="1:24" s="4" customFormat="1" ht="15" customHeight="1">
      <c r="A486" s="427"/>
      <c r="B486" s="295" t="s">
        <v>366</v>
      </c>
      <c r="C486" s="296" t="s">
        <v>367</v>
      </c>
      <c r="D486" s="297" t="s">
        <v>132</v>
      </c>
      <c r="E486" s="441"/>
      <c r="F486" s="48" t="s">
        <v>64</v>
      </c>
      <c r="G486" s="170">
        <v>857.66</v>
      </c>
      <c r="H486" s="34"/>
      <c r="I486" s="34"/>
      <c r="J486" s="6"/>
      <c r="K486" s="211">
        <v>5000</v>
      </c>
      <c r="L486" s="211">
        <v>1</v>
      </c>
      <c r="M486" s="211">
        <v>5000</v>
      </c>
      <c r="N486" s="211">
        <v>1</v>
      </c>
      <c r="O486" s="34"/>
      <c r="P486" s="34">
        <f>June!CJ334</f>
        <v>273</v>
      </c>
      <c r="Q486" s="34">
        <f>June!CH334</f>
        <v>1</v>
      </c>
      <c r="R486" s="436"/>
      <c r="S486" s="436"/>
      <c r="T486" s="211"/>
      <c r="U486" s="211"/>
      <c r="V486" s="211"/>
      <c r="W486" s="260"/>
      <c r="X486" s="67"/>
    </row>
    <row r="487" spans="1:24" s="4" customFormat="1" ht="15" customHeight="1">
      <c r="A487" s="427"/>
      <c r="B487" s="122" t="s">
        <v>375</v>
      </c>
      <c r="C487" s="157" t="s">
        <v>376</v>
      </c>
      <c r="D487" s="48" t="s">
        <v>248</v>
      </c>
      <c r="E487" s="441"/>
      <c r="F487" s="48" t="s">
        <v>64</v>
      </c>
      <c r="G487" s="122"/>
      <c r="H487" s="34"/>
      <c r="I487" s="34"/>
      <c r="J487" s="6"/>
      <c r="K487" s="211"/>
      <c r="L487" s="211"/>
      <c r="M487" s="211"/>
      <c r="N487" s="211"/>
      <c r="O487" s="34"/>
      <c r="P487" s="34"/>
      <c r="Q487" s="34"/>
      <c r="R487" s="436"/>
      <c r="S487" s="436"/>
      <c r="T487" s="211"/>
      <c r="U487" s="211"/>
      <c r="V487" s="211">
        <f>O487-T487-U487+V455</f>
        <v>75911</v>
      </c>
      <c r="W487" s="260"/>
      <c r="X487" s="67"/>
    </row>
    <row r="488" spans="1:24" s="4" customFormat="1" ht="15" customHeight="1">
      <c r="A488" s="427"/>
      <c r="B488" s="122" t="s">
        <v>421</v>
      </c>
      <c r="C488" s="157" t="s">
        <v>420</v>
      </c>
      <c r="D488" s="48" t="s">
        <v>248</v>
      </c>
      <c r="E488" s="441"/>
      <c r="F488" s="48" t="s">
        <v>64</v>
      </c>
      <c r="G488" s="122"/>
      <c r="H488" s="34"/>
      <c r="I488" s="34"/>
      <c r="J488" s="6"/>
      <c r="K488" s="211"/>
      <c r="L488" s="211"/>
      <c r="M488" s="211">
        <v>46200</v>
      </c>
      <c r="N488" s="211">
        <v>11</v>
      </c>
      <c r="O488" s="34"/>
      <c r="P488" s="34"/>
      <c r="Q488" s="34">
        <f>June!CH337</f>
        <v>20</v>
      </c>
      <c r="R488" s="436"/>
      <c r="S488" s="436"/>
      <c r="T488" s="211"/>
      <c r="U488" s="211"/>
      <c r="V488" s="211">
        <f>O488-T488-U488+V456</f>
        <v>59845</v>
      </c>
      <c r="W488" s="260"/>
      <c r="X488" s="67"/>
    </row>
    <row r="489" spans="1:24" s="4" customFormat="1" ht="15" customHeight="1">
      <c r="A489" s="427"/>
      <c r="B489" s="442" t="s">
        <v>289</v>
      </c>
      <c r="C489" s="444" t="s">
        <v>290</v>
      </c>
      <c r="D489" s="48" t="s">
        <v>432</v>
      </c>
      <c r="E489" s="441"/>
      <c r="F489" s="48" t="s">
        <v>381</v>
      </c>
      <c r="G489" s="122"/>
      <c r="H489" s="34"/>
      <c r="I489" s="34"/>
      <c r="J489" s="6"/>
      <c r="K489" s="211"/>
      <c r="L489" s="211"/>
      <c r="M489" s="211"/>
      <c r="N489" s="211"/>
      <c r="O489" s="34"/>
      <c r="P489" s="34">
        <f>June!CJ329</f>
        <v>252</v>
      </c>
      <c r="Q489" s="34">
        <f>June!CH329</f>
        <v>1</v>
      </c>
      <c r="R489" s="436"/>
      <c r="S489" s="436"/>
      <c r="T489" s="211">
        <v>515</v>
      </c>
      <c r="U489" s="211"/>
      <c r="V489" s="211">
        <f>O489-T489-U489+V457</f>
        <v>0</v>
      </c>
      <c r="W489" s="260"/>
      <c r="X489" s="67"/>
    </row>
    <row r="490" spans="1:24" s="4" customFormat="1" ht="15" customHeight="1">
      <c r="A490" s="427"/>
      <c r="B490" s="443"/>
      <c r="C490" s="446"/>
      <c r="D490" s="48" t="s">
        <v>432</v>
      </c>
      <c r="E490" s="441"/>
      <c r="F490" s="48" t="s">
        <v>435</v>
      </c>
      <c r="G490" s="122"/>
      <c r="H490" s="34"/>
      <c r="I490" s="34"/>
      <c r="J490" s="6"/>
      <c r="K490" s="211"/>
      <c r="L490" s="211"/>
      <c r="M490" s="211"/>
      <c r="N490" s="211"/>
      <c r="O490" s="34"/>
      <c r="P490" s="34">
        <f>June!CJ330</f>
        <v>307</v>
      </c>
      <c r="Q490" s="34">
        <f>June!CH330</f>
        <v>1</v>
      </c>
      <c r="R490" s="436"/>
      <c r="S490" s="436"/>
      <c r="T490" s="211"/>
      <c r="U490" s="211"/>
      <c r="V490" s="211"/>
      <c r="W490" s="260"/>
      <c r="X490" s="67"/>
    </row>
    <row r="491" spans="1:24" s="4" customFormat="1" ht="15" customHeight="1">
      <c r="A491" s="427"/>
      <c r="B491" s="442" t="s">
        <v>436</v>
      </c>
      <c r="C491" s="444" t="s">
        <v>438</v>
      </c>
      <c r="D491" s="48" t="s">
        <v>432</v>
      </c>
      <c r="E491" s="441"/>
      <c r="F491" s="48" t="s">
        <v>57</v>
      </c>
      <c r="G491" s="122"/>
      <c r="H491" s="34"/>
      <c r="I491" s="34"/>
      <c r="J491" s="6"/>
      <c r="K491" s="211"/>
      <c r="L491" s="211"/>
      <c r="M491" s="211"/>
      <c r="N491" s="211"/>
      <c r="O491" s="34"/>
      <c r="P491" s="34">
        <f>June!CJ344</f>
        <v>267</v>
      </c>
      <c r="Q491" s="34">
        <f>June!CH344</f>
        <v>1</v>
      </c>
      <c r="R491" s="436"/>
      <c r="S491" s="436"/>
      <c r="T491" s="211"/>
      <c r="U491" s="211"/>
      <c r="V491" s="211"/>
      <c r="W491" s="260"/>
      <c r="X491" s="67"/>
    </row>
    <row r="492" spans="1:24" s="4" customFormat="1" ht="15" customHeight="1">
      <c r="A492" s="427"/>
      <c r="B492" s="443"/>
      <c r="C492" s="446"/>
      <c r="D492" s="48" t="s">
        <v>433</v>
      </c>
      <c r="E492" s="441"/>
      <c r="F492" s="48"/>
      <c r="G492" s="122"/>
      <c r="H492" s="293">
        <v>61.2</v>
      </c>
      <c r="I492" s="34"/>
      <c r="J492" s="6"/>
      <c r="K492" s="211"/>
      <c r="L492" s="211"/>
      <c r="M492" s="211"/>
      <c r="N492" s="211"/>
      <c r="O492" s="34"/>
      <c r="P492" s="34"/>
      <c r="Q492" s="34"/>
      <c r="R492" s="436"/>
      <c r="S492" s="436"/>
      <c r="T492" s="211"/>
      <c r="U492" s="211"/>
      <c r="V492" s="211"/>
      <c r="W492" s="260"/>
      <c r="X492" s="67"/>
    </row>
    <row r="493" spans="1:24" s="4" customFormat="1" ht="15" customHeight="1">
      <c r="A493" s="427"/>
      <c r="B493" s="122" t="s">
        <v>437</v>
      </c>
      <c r="C493" s="157" t="s">
        <v>438</v>
      </c>
      <c r="D493" s="48" t="s">
        <v>432</v>
      </c>
      <c r="E493" s="441"/>
      <c r="F493" s="48" t="s">
        <v>57</v>
      </c>
      <c r="G493" s="122"/>
      <c r="H493" s="34"/>
      <c r="I493" s="34"/>
      <c r="J493" s="6"/>
      <c r="K493" s="211"/>
      <c r="L493" s="211"/>
      <c r="M493" s="211"/>
      <c r="N493" s="211"/>
      <c r="O493" s="34"/>
      <c r="P493" s="34">
        <f>June!CJ345</f>
        <v>221</v>
      </c>
      <c r="Q493" s="34">
        <f>June!CH345</f>
        <v>1</v>
      </c>
      <c r="R493" s="436"/>
      <c r="S493" s="436"/>
      <c r="T493" s="211"/>
      <c r="U493" s="211"/>
      <c r="V493" s="211"/>
      <c r="W493" s="260"/>
      <c r="X493" s="67"/>
    </row>
    <row r="494" spans="1:24" ht="15" customHeight="1">
      <c r="A494" s="427"/>
      <c r="B494" s="122" t="s">
        <v>103</v>
      </c>
      <c r="C494" s="157" t="s">
        <v>197</v>
      </c>
      <c r="D494" s="48" t="s">
        <v>104</v>
      </c>
      <c r="E494" s="441"/>
      <c r="F494" s="118" t="s">
        <v>105</v>
      </c>
      <c r="G494" s="119"/>
      <c r="H494" s="126"/>
      <c r="I494" s="126"/>
      <c r="J494" s="2"/>
      <c r="K494" s="18"/>
      <c r="L494" s="18"/>
      <c r="M494" s="18"/>
      <c r="N494" s="18"/>
      <c r="O494" s="126"/>
      <c r="P494" s="126"/>
      <c r="Q494" s="126">
        <f>June!CH339</f>
        <v>1</v>
      </c>
      <c r="R494" s="436"/>
      <c r="S494" s="436"/>
      <c r="T494" s="18"/>
      <c r="U494" s="18"/>
      <c r="V494" s="18"/>
      <c r="W494" s="45"/>
      <c r="X494" s="67"/>
    </row>
    <row r="495" spans="1:24" ht="15" customHeight="1">
      <c r="A495" s="427"/>
      <c r="B495" s="137" t="s">
        <v>112</v>
      </c>
      <c r="C495" s="157" t="s">
        <v>197</v>
      </c>
      <c r="D495" s="48" t="s">
        <v>104</v>
      </c>
      <c r="E495" s="441"/>
      <c r="F495" s="118" t="s">
        <v>113</v>
      </c>
      <c r="G495" s="119"/>
      <c r="H495" s="126"/>
      <c r="I495" s="126"/>
      <c r="J495" s="2"/>
      <c r="K495" s="18"/>
      <c r="L495" s="18"/>
      <c r="M495" s="18"/>
      <c r="N495" s="18"/>
      <c r="O495" s="126"/>
      <c r="P495" s="126"/>
      <c r="Q495" s="126">
        <f>June!CH341</f>
        <v>1</v>
      </c>
      <c r="R495" s="436"/>
      <c r="S495" s="436"/>
      <c r="T495" s="18"/>
      <c r="U495" s="18"/>
      <c r="V495" s="18"/>
      <c r="W495" s="45"/>
      <c r="X495" s="67"/>
    </row>
    <row r="496" spans="1:24" ht="15" customHeight="1" thickBot="1">
      <c r="A496" s="428"/>
      <c r="B496" s="44" t="s">
        <v>107</v>
      </c>
      <c r="C496" s="181" t="s">
        <v>386</v>
      </c>
      <c r="D496" s="61" t="s">
        <v>108</v>
      </c>
      <c r="E496" s="447"/>
      <c r="F496" s="133" t="s">
        <v>48</v>
      </c>
      <c r="G496" s="132"/>
      <c r="H496" s="134"/>
      <c r="I496" s="134"/>
      <c r="J496" s="129"/>
      <c r="K496" s="130"/>
      <c r="L496" s="130"/>
      <c r="M496" s="130">
        <v>13000</v>
      </c>
      <c r="N496" s="130">
        <v>2</v>
      </c>
      <c r="O496" s="134"/>
      <c r="P496" s="134"/>
      <c r="Q496" s="134">
        <f>June!CH340</f>
        <v>2</v>
      </c>
      <c r="R496" s="437"/>
      <c r="S496" s="437"/>
      <c r="T496" s="130"/>
      <c r="U496" s="130"/>
      <c r="V496" s="128">
        <f t="shared" ref="V496:V502" si="23">O496-T496-U496+V463</f>
        <v>11956</v>
      </c>
      <c r="W496" s="85"/>
      <c r="X496" s="67"/>
    </row>
    <row r="497" spans="1:25" ht="15" customHeight="1">
      <c r="A497" s="426">
        <v>46193</v>
      </c>
      <c r="B497" s="429" t="s">
        <v>44</v>
      </c>
      <c r="C497" s="432" t="s">
        <v>240</v>
      </c>
      <c r="D497" s="19" t="s">
        <v>37</v>
      </c>
      <c r="E497" s="19" t="s">
        <v>25</v>
      </c>
      <c r="F497" s="39" t="s">
        <v>40</v>
      </c>
      <c r="G497" s="41"/>
      <c r="H497" s="32"/>
      <c r="I497" s="32"/>
      <c r="J497" s="32"/>
      <c r="K497" s="20">
        <v>8000</v>
      </c>
      <c r="L497" s="20">
        <v>1</v>
      </c>
      <c r="M497" s="20">
        <v>235000</v>
      </c>
      <c r="N497" s="84">
        <v>30</v>
      </c>
      <c r="O497" s="32">
        <f>June!CL313</f>
        <v>62103</v>
      </c>
      <c r="P497" s="32">
        <f>June!CM313</f>
        <v>51858</v>
      </c>
      <c r="Q497" s="32">
        <f>June!CK313</f>
        <v>140</v>
      </c>
      <c r="R497" s="435">
        <f>June!CL346</f>
        <v>66470</v>
      </c>
      <c r="S497" s="435">
        <f>June!CM346</f>
        <v>55503</v>
      </c>
      <c r="T497" s="20">
        <v>69076</v>
      </c>
      <c r="U497" s="20">
        <v>12</v>
      </c>
      <c r="V497" s="20">
        <f t="shared" si="23"/>
        <v>146357</v>
      </c>
      <c r="W497" s="77"/>
      <c r="X497" s="36"/>
    </row>
    <row r="498" spans="1:25" ht="15" customHeight="1">
      <c r="A498" s="427"/>
      <c r="B498" s="431"/>
      <c r="C498" s="434"/>
      <c r="D498" s="113" t="s">
        <v>307</v>
      </c>
      <c r="E498" s="113" t="s">
        <v>24</v>
      </c>
      <c r="F498" s="118" t="s">
        <v>40</v>
      </c>
      <c r="G498" s="170"/>
      <c r="H498" s="135"/>
      <c r="I498" s="125"/>
      <c r="J498" s="125"/>
      <c r="K498" s="127">
        <v>5000</v>
      </c>
      <c r="L498" s="127">
        <v>1</v>
      </c>
      <c r="M498" s="216">
        <v>47400</v>
      </c>
      <c r="N498" s="238">
        <v>6</v>
      </c>
      <c r="O498" s="126">
        <f>June!CL314</f>
        <v>1725</v>
      </c>
      <c r="P498" s="125">
        <f>June!CM314</f>
        <v>1860</v>
      </c>
      <c r="Q498" s="125">
        <f>June!CK314</f>
        <v>46</v>
      </c>
      <c r="R498" s="436"/>
      <c r="S498" s="436"/>
      <c r="T498" s="127"/>
      <c r="U498" s="127"/>
      <c r="V498" s="127">
        <f t="shared" si="23"/>
        <v>158788</v>
      </c>
      <c r="W498" s="46"/>
      <c r="X498" s="67"/>
    </row>
    <row r="499" spans="1:25" ht="15" customHeight="1">
      <c r="A499" s="427"/>
      <c r="B499" s="442" t="s">
        <v>45</v>
      </c>
      <c r="C499" s="448" t="s">
        <v>59</v>
      </c>
      <c r="D499" s="118" t="s">
        <v>75</v>
      </c>
      <c r="E499" s="131" t="s">
        <v>25</v>
      </c>
      <c r="F499" s="131" t="s">
        <v>57</v>
      </c>
      <c r="G499" s="87"/>
      <c r="H499" s="152"/>
      <c r="I499" s="126"/>
      <c r="J499" s="2"/>
      <c r="K499" s="127"/>
      <c r="L499" s="18"/>
      <c r="M499" s="18">
        <v>44680</v>
      </c>
      <c r="N499" s="80">
        <v>9</v>
      </c>
      <c r="O499" s="126"/>
      <c r="P499" s="126"/>
      <c r="Q499" s="2">
        <f>June!CK317</f>
        <v>11</v>
      </c>
      <c r="R499" s="436"/>
      <c r="S499" s="436"/>
      <c r="T499" s="18"/>
      <c r="U499" s="18"/>
      <c r="V499" s="127">
        <f t="shared" si="23"/>
        <v>11746</v>
      </c>
      <c r="W499" s="46"/>
      <c r="Y499" s="13"/>
    </row>
    <row r="500" spans="1:25">
      <c r="A500" s="427"/>
      <c r="B500" s="439"/>
      <c r="C500" s="440"/>
      <c r="D500" s="118" t="s">
        <v>72</v>
      </c>
      <c r="E500" s="155" t="s">
        <v>24</v>
      </c>
      <c r="F500" s="131" t="s">
        <v>57</v>
      </c>
      <c r="G500" s="229">
        <v>745.44</v>
      </c>
      <c r="H500" s="152"/>
      <c r="I500" s="126"/>
      <c r="J500" s="126"/>
      <c r="K500" s="127"/>
      <c r="L500" s="18"/>
      <c r="M500" s="18">
        <v>49600</v>
      </c>
      <c r="N500" s="80">
        <v>10</v>
      </c>
      <c r="O500" s="126"/>
      <c r="P500" s="126"/>
      <c r="Q500" s="126">
        <f>June!CK319</f>
        <v>8</v>
      </c>
      <c r="R500" s="436"/>
      <c r="S500" s="436"/>
      <c r="T500" s="18"/>
      <c r="U500" s="18"/>
      <c r="V500" s="127">
        <f t="shared" si="23"/>
        <v>23089</v>
      </c>
      <c r="W500" s="46"/>
      <c r="Y500" s="13"/>
    </row>
    <row r="501" spans="1:25" ht="14.25" customHeight="1">
      <c r="A501" s="427"/>
      <c r="B501" s="439"/>
      <c r="C501" s="440"/>
      <c r="D501" s="115" t="s">
        <v>79</v>
      </c>
      <c r="E501" s="424" t="s">
        <v>65</v>
      </c>
      <c r="F501" s="131" t="s">
        <v>57</v>
      </c>
      <c r="G501" s="224"/>
      <c r="H501" s="126"/>
      <c r="I501" s="126"/>
      <c r="J501" s="126"/>
      <c r="K501" s="18"/>
      <c r="L501" s="18"/>
      <c r="M501" s="18"/>
      <c r="N501" s="80"/>
      <c r="O501" s="126"/>
      <c r="P501" s="126"/>
      <c r="Q501" s="126"/>
      <c r="R501" s="436"/>
      <c r="S501" s="436"/>
      <c r="T501" s="18"/>
      <c r="U501" s="18"/>
      <c r="V501" s="127">
        <f t="shared" si="23"/>
        <v>10211</v>
      </c>
      <c r="W501" s="45"/>
      <c r="X501" s="36"/>
    </row>
    <row r="502" spans="1:25" ht="14.25" customHeight="1">
      <c r="A502" s="427"/>
      <c r="B502" s="439"/>
      <c r="C502" s="440"/>
      <c r="D502" s="115" t="s">
        <v>443</v>
      </c>
      <c r="E502" s="441"/>
      <c r="F502" s="131" t="s">
        <v>57</v>
      </c>
      <c r="G502" s="224"/>
      <c r="H502" s="126"/>
      <c r="I502" s="126"/>
      <c r="J502" s="126"/>
      <c r="K502" s="18"/>
      <c r="L502" s="18"/>
      <c r="M502" s="18"/>
      <c r="N502" s="80"/>
      <c r="O502" s="126"/>
      <c r="P502" s="126">
        <f>June!CM321</f>
        <v>244</v>
      </c>
      <c r="Q502" s="126">
        <f>June!CK321</f>
        <v>1</v>
      </c>
      <c r="R502" s="436"/>
      <c r="S502" s="436"/>
      <c r="T502" s="18"/>
      <c r="U502" s="18"/>
      <c r="V502" s="127">
        <f t="shared" si="23"/>
        <v>0</v>
      </c>
      <c r="W502" s="45"/>
      <c r="X502" s="67"/>
    </row>
    <row r="503" spans="1:25" ht="14.25" customHeight="1">
      <c r="A503" s="427"/>
      <c r="B503" s="439"/>
      <c r="C503" s="449"/>
      <c r="D503" s="115" t="s">
        <v>444</v>
      </c>
      <c r="E503" s="425"/>
      <c r="F503" s="131"/>
      <c r="G503" s="224"/>
      <c r="H503" s="126"/>
      <c r="I503" s="126"/>
      <c r="J503" s="126"/>
      <c r="K503" s="18"/>
      <c r="L503" s="18"/>
      <c r="M503" s="18"/>
      <c r="N503" s="80"/>
      <c r="O503" s="126"/>
      <c r="P503" s="126"/>
      <c r="Q503" s="126"/>
      <c r="R503" s="436"/>
      <c r="S503" s="436"/>
      <c r="T503" s="18"/>
      <c r="U503" s="18"/>
      <c r="V503" s="127"/>
      <c r="W503" s="45"/>
      <c r="X503" s="67"/>
    </row>
    <row r="504" spans="1:25" ht="14.25" customHeight="1">
      <c r="A504" s="427"/>
      <c r="B504" s="439"/>
      <c r="C504" s="448" t="s">
        <v>299</v>
      </c>
      <c r="D504" s="115" t="s">
        <v>296</v>
      </c>
      <c r="E504" s="424" t="s">
        <v>25</v>
      </c>
      <c r="F504" s="131" t="s">
        <v>298</v>
      </c>
      <c r="G504" s="224"/>
      <c r="H504" s="37"/>
      <c r="I504" s="126"/>
      <c r="J504" s="126"/>
      <c r="K504" s="18"/>
      <c r="L504" s="18"/>
      <c r="M504" s="18"/>
      <c r="N504" s="80"/>
      <c r="O504" s="126"/>
      <c r="P504" s="126"/>
      <c r="Q504" s="126"/>
      <c r="R504" s="436"/>
      <c r="S504" s="436"/>
      <c r="T504" s="18"/>
      <c r="U504" s="18"/>
      <c r="V504" s="127">
        <f t="shared" ref="V504:V518" si="24">O504-T504-U504+V471</f>
        <v>4427</v>
      </c>
      <c r="W504" s="45"/>
      <c r="X504" s="67"/>
    </row>
    <row r="505" spans="1:25" ht="14.25" customHeight="1">
      <c r="A505" s="427"/>
      <c r="B505" s="443"/>
      <c r="C505" s="449"/>
      <c r="D505" s="115" t="s">
        <v>75</v>
      </c>
      <c r="E505" s="425"/>
      <c r="F505" s="131" t="s">
        <v>298</v>
      </c>
      <c r="G505" s="224"/>
      <c r="H505" s="37"/>
      <c r="I505" s="126"/>
      <c r="J505" s="126"/>
      <c r="K505" s="18"/>
      <c r="L505" s="18"/>
      <c r="M505" s="18">
        <v>10000</v>
      </c>
      <c r="N505" s="80">
        <v>2</v>
      </c>
      <c r="O505" s="126"/>
      <c r="P505" s="126"/>
      <c r="Q505" s="126">
        <f>June!CK323</f>
        <v>4</v>
      </c>
      <c r="R505" s="436"/>
      <c r="S505" s="436"/>
      <c r="T505" s="18"/>
      <c r="U505" s="18"/>
      <c r="V505" s="127">
        <f t="shared" si="24"/>
        <v>14595</v>
      </c>
      <c r="W505" s="45"/>
      <c r="X505" s="67"/>
    </row>
    <row r="506" spans="1:25" ht="14.25" customHeight="1">
      <c r="A506" s="427"/>
      <c r="B506" s="439" t="s">
        <v>53</v>
      </c>
      <c r="C506" s="445" t="s">
        <v>60</v>
      </c>
      <c r="D506" s="43" t="s">
        <v>320</v>
      </c>
      <c r="E506" s="441" t="s">
        <v>66</v>
      </c>
      <c r="F506" s="118" t="s">
        <v>54</v>
      </c>
      <c r="G506" s="224"/>
      <c r="H506" s="37"/>
      <c r="I506" s="126"/>
      <c r="J506" s="126"/>
      <c r="K506" s="18"/>
      <c r="L506" s="18"/>
      <c r="M506" s="18"/>
      <c r="N506" s="80"/>
      <c r="O506" s="126"/>
      <c r="P506" s="126"/>
      <c r="Q506" s="126">
        <f>June!CK315</f>
        <v>8</v>
      </c>
      <c r="R506" s="436"/>
      <c r="S506" s="436"/>
      <c r="T506" s="18"/>
      <c r="U506" s="18"/>
      <c r="V506" s="127">
        <f t="shared" si="24"/>
        <v>42606</v>
      </c>
      <c r="W506" s="45"/>
      <c r="X506" s="67"/>
    </row>
    <row r="507" spans="1:25" ht="14.25" customHeight="1">
      <c r="A507" s="427"/>
      <c r="B507" s="439"/>
      <c r="C507" s="445"/>
      <c r="D507" s="43" t="s">
        <v>387</v>
      </c>
      <c r="E507" s="425"/>
      <c r="F507" s="118" t="s">
        <v>54</v>
      </c>
      <c r="G507" s="229"/>
      <c r="H507" s="182"/>
      <c r="I507" s="125"/>
      <c r="J507" s="125"/>
      <c r="K507" s="127"/>
      <c r="L507" s="127"/>
      <c r="M507" s="127">
        <v>64800</v>
      </c>
      <c r="N507" s="171">
        <v>11</v>
      </c>
      <c r="O507" s="125"/>
      <c r="P507" s="125"/>
      <c r="Q507" s="125"/>
      <c r="R507" s="436"/>
      <c r="S507" s="436"/>
      <c r="T507" s="18"/>
      <c r="U507" s="18"/>
      <c r="V507" s="127">
        <f t="shared" si="24"/>
        <v>666</v>
      </c>
      <c r="W507" s="45"/>
      <c r="X507" s="67"/>
    </row>
    <row r="508" spans="1:25" ht="14.25" customHeight="1">
      <c r="A508" s="427"/>
      <c r="B508" s="443"/>
      <c r="C508" s="446"/>
      <c r="D508" s="43" t="s">
        <v>199</v>
      </c>
      <c r="E508" s="114" t="s">
        <v>25</v>
      </c>
      <c r="F508" s="118" t="s">
        <v>54</v>
      </c>
      <c r="G508" s="224"/>
      <c r="H508" s="135"/>
      <c r="I508" s="158"/>
      <c r="J508" s="158"/>
      <c r="K508" s="128"/>
      <c r="L508" s="128"/>
      <c r="M508" s="128"/>
      <c r="N508" s="164"/>
      <c r="O508" s="158"/>
      <c r="P508" s="158"/>
      <c r="Q508" s="158"/>
      <c r="R508" s="436"/>
      <c r="S508" s="436"/>
      <c r="T508" s="18"/>
      <c r="U508" s="18"/>
      <c r="V508" s="127">
        <f t="shared" si="24"/>
        <v>68</v>
      </c>
      <c r="W508" s="45"/>
      <c r="X508" s="67"/>
    </row>
    <row r="509" spans="1:25" ht="15.75" customHeight="1">
      <c r="A509" s="427"/>
      <c r="B509" s="122" t="s">
        <v>55</v>
      </c>
      <c r="C509" s="180" t="s">
        <v>133</v>
      </c>
      <c r="D509" s="48" t="s">
        <v>56</v>
      </c>
      <c r="E509" s="424" t="s">
        <v>25</v>
      </c>
      <c r="F509" s="118" t="s">
        <v>67</v>
      </c>
      <c r="G509" s="226"/>
      <c r="H509" s="126"/>
      <c r="I509" s="126"/>
      <c r="J509" s="2"/>
      <c r="K509" s="18"/>
      <c r="L509" s="18"/>
      <c r="M509" s="18"/>
      <c r="N509" s="18"/>
      <c r="O509" s="126"/>
      <c r="P509" s="126"/>
      <c r="Q509" s="126"/>
      <c r="R509" s="436"/>
      <c r="S509" s="436"/>
      <c r="T509" s="18"/>
      <c r="U509" s="18"/>
      <c r="V509" s="127">
        <f t="shared" si="24"/>
        <v>7022</v>
      </c>
      <c r="W509" s="45"/>
      <c r="X509" s="67"/>
    </row>
    <row r="510" spans="1:25" ht="15" customHeight="1">
      <c r="A510" s="427"/>
      <c r="B510" s="122" t="s">
        <v>122</v>
      </c>
      <c r="C510" s="180" t="s">
        <v>123</v>
      </c>
      <c r="D510" s="48" t="s">
        <v>56</v>
      </c>
      <c r="E510" s="441"/>
      <c r="F510" s="155" t="s">
        <v>64</v>
      </c>
      <c r="G510" s="119"/>
      <c r="H510" s="126"/>
      <c r="I510" s="126"/>
      <c r="J510" s="2"/>
      <c r="K510" s="18"/>
      <c r="L510" s="18"/>
      <c r="M510" s="18">
        <v>6400</v>
      </c>
      <c r="N510" s="18">
        <v>2</v>
      </c>
      <c r="O510" s="126"/>
      <c r="P510" s="126"/>
      <c r="Q510" s="126"/>
      <c r="R510" s="436"/>
      <c r="S510" s="436"/>
      <c r="T510" s="18"/>
      <c r="U510" s="18"/>
      <c r="V510" s="127">
        <f t="shared" si="24"/>
        <v>18121</v>
      </c>
      <c r="W510" s="45"/>
      <c r="X510" s="67"/>
    </row>
    <row r="511" spans="1:25" ht="14.25" customHeight="1">
      <c r="A511" s="427"/>
      <c r="B511" s="137" t="s">
        <v>58</v>
      </c>
      <c r="C511" s="157" t="s">
        <v>243</v>
      </c>
      <c r="D511" s="48" t="s">
        <v>56</v>
      </c>
      <c r="E511" s="441"/>
      <c r="F511" s="118" t="s">
        <v>64</v>
      </c>
      <c r="G511" s="225"/>
      <c r="H511" s="126"/>
      <c r="I511" s="126"/>
      <c r="J511" s="126"/>
      <c r="K511" s="18"/>
      <c r="L511" s="18"/>
      <c r="M511" s="18"/>
      <c r="N511" s="80"/>
      <c r="O511" s="126"/>
      <c r="P511" s="126"/>
      <c r="Q511" s="126"/>
      <c r="R511" s="436"/>
      <c r="S511" s="436"/>
      <c r="T511" s="18"/>
      <c r="U511" s="18"/>
      <c r="V511" s="127">
        <f t="shared" si="24"/>
        <v>8144</v>
      </c>
      <c r="W511" s="45"/>
      <c r="X511" s="67"/>
    </row>
    <row r="512" spans="1:25" ht="14.25" customHeight="1">
      <c r="A512" s="427"/>
      <c r="B512" s="122" t="s">
        <v>61</v>
      </c>
      <c r="C512" s="180" t="s">
        <v>137</v>
      </c>
      <c r="D512" s="48" t="s">
        <v>56</v>
      </c>
      <c r="E512" s="441"/>
      <c r="F512" s="118" t="s">
        <v>67</v>
      </c>
      <c r="G512" s="225"/>
      <c r="H512" s="126"/>
      <c r="I512" s="126"/>
      <c r="J512" s="126"/>
      <c r="K512" s="18"/>
      <c r="L512" s="18"/>
      <c r="M512" s="18"/>
      <c r="N512" s="80"/>
      <c r="O512" s="126"/>
      <c r="P512" s="126"/>
      <c r="Q512" s="126"/>
      <c r="R512" s="436"/>
      <c r="S512" s="436"/>
      <c r="T512" s="18"/>
      <c r="U512" s="18"/>
      <c r="V512" s="127">
        <f t="shared" si="24"/>
        <v>5844</v>
      </c>
      <c r="W512" s="45"/>
      <c r="X512" s="67"/>
    </row>
    <row r="513" spans="1:24" ht="14.25" customHeight="1">
      <c r="A513" s="427"/>
      <c r="B513" s="122" t="s">
        <v>125</v>
      </c>
      <c r="C513" s="180" t="s">
        <v>88</v>
      </c>
      <c r="D513" s="48" t="s">
        <v>124</v>
      </c>
      <c r="E513" s="441"/>
      <c r="F513" s="118" t="s">
        <v>64</v>
      </c>
      <c r="G513" s="225"/>
      <c r="H513" s="126"/>
      <c r="I513" s="126"/>
      <c r="J513" s="126"/>
      <c r="K513" s="18"/>
      <c r="L513" s="18"/>
      <c r="M513" s="18">
        <v>51200</v>
      </c>
      <c r="N513" s="80">
        <v>7</v>
      </c>
      <c r="O513" s="126"/>
      <c r="P513" s="126"/>
      <c r="Q513" s="126"/>
      <c r="R513" s="436"/>
      <c r="S513" s="436"/>
      <c r="T513" s="18"/>
      <c r="U513" s="18"/>
      <c r="V513" s="127">
        <f t="shared" si="24"/>
        <v>23615</v>
      </c>
      <c r="W513" s="45"/>
      <c r="X513" s="67"/>
    </row>
    <row r="514" spans="1:24" ht="14.25" customHeight="1">
      <c r="A514" s="427"/>
      <c r="B514" s="137" t="s">
        <v>47</v>
      </c>
      <c r="C514" s="157" t="s">
        <v>100</v>
      </c>
      <c r="D514" s="48" t="s">
        <v>99</v>
      </c>
      <c r="E514" s="441"/>
      <c r="F514" s="118" t="s">
        <v>71</v>
      </c>
      <c r="G514" s="225"/>
      <c r="H514" s="126"/>
      <c r="I514" s="126"/>
      <c r="J514" s="126"/>
      <c r="K514" s="18"/>
      <c r="L514" s="18"/>
      <c r="M514" s="18"/>
      <c r="N514" s="80"/>
      <c r="O514" s="126"/>
      <c r="P514" s="126"/>
      <c r="Q514" s="126"/>
      <c r="R514" s="436"/>
      <c r="S514" s="436"/>
      <c r="T514" s="18">
        <v>8076</v>
      </c>
      <c r="U514" s="18">
        <v>14</v>
      </c>
      <c r="V514" s="127">
        <f t="shared" si="24"/>
        <v>11276</v>
      </c>
      <c r="W514" s="45"/>
      <c r="X514" s="67"/>
    </row>
    <row r="515" spans="1:24" ht="15" customHeight="1">
      <c r="A515" s="427"/>
      <c r="B515" s="122" t="s">
        <v>196</v>
      </c>
      <c r="C515" s="180" t="s">
        <v>63</v>
      </c>
      <c r="D515" s="48" t="s">
        <v>135</v>
      </c>
      <c r="E515" s="441"/>
      <c r="F515" s="118" t="s">
        <v>64</v>
      </c>
      <c r="G515" s="226"/>
      <c r="H515" s="126"/>
      <c r="I515" s="126"/>
      <c r="J515" s="2"/>
      <c r="K515" s="18"/>
      <c r="L515" s="18"/>
      <c r="M515" s="18"/>
      <c r="N515" s="18"/>
      <c r="O515" s="126"/>
      <c r="P515" s="126"/>
      <c r="Q515" s="126">
        <f>June!CK338</f>
        <v>5</v>
      </c>
      <c r="R515" s="436"/>
      <c r="S515" s="436"/>
      <c r="T515" s="18"/>
      <c r="U515" s="18"/>
      <c r="V515" s="127">
        <f t="shared" si="24"/>
        <v>41412</v>
      </c>
      <c r="W515" s="45"/>
      <c r="X515" s="67"/>
    </row>
    <row r="516" spans="1:24" ht="15" customHeight="1">
      <c r="A516" s="427"/>
      <c r="B516" s="122" t="s">
        <v>363</v>
      </c>
      <c r="C516" s="180" t="s">
        <v>325</v>
      </c>
      <c r="D516" s="48" t="s">
        <v>328</v>
      </c>
      <c r="E516" s="441"/>
      <c r="F516" s="118" t="s">
        <v>48</v>
      </c>
      <c r="G516" s="226"/>
      <c r="H516" s="126"/>
      <c r="I516" s="126"/>
      <c r="J516" s="2"/>
      <c r="K516" s="18"/>
      <c r="L516" s="18"/>
      <c r="M516" s="18"/>
      <c r="N516" s="18"/>
      <c r="O516" s="126"/>
      <c r="P516" s="126"/>
      <c r="Q516" s="126">
        <f>June!CK335</f>
        <v>2</v>
      </c>
      <c r="R516" s="436"/>
      <c r="S516" s="436"/>
      <c r="T516" s="18"/>
      <c r="U516" s="18"/>
      <c r="V516" s="127">
        <f t="shared" si="24"/>
        <v>15153</v>
      </c>
      <c r="W516" s="45"/>
      <c r="X516" s="67"/>
    </row>
    <row r="517" spans="1:24" ht="15" customHeight="1">
      <c r="A517" s="427"/>
      <c r="B517" s="122" t="s">
        <v>253</v>
      </c>
      <c r="C517" s="180" t="s">
        <v>365</v>
      </c>
      <c r="D517" s="48" t="s">
        <v>246</v>
      </c>
      <c r="E517" s="441"/>
      <c r="F517" s="118" t="s">
        <v>247</v>
      </c>
      <c r="G517" s="226"/>
      <c r="H517" s="126"/>
      <c r="I517" s="126"/>
      <c r="J517" s="2"/>
      <c r="K517" s="18"/>
      <c r="L517" s="18"/>
      <c r="M517" s="18"/>
      <c r="N517" s="18"/>
      <c r="O517" s="126"/>
      <c r="P517" s="126"/>
      <c r="Q517" s="126">
        <f>June!CK327</f>
        <v>3</v>
      </c>
      <c r="R517" s="436"/>
      <c r="S517" s="436"/>
      <c r="T517" s="18"/>
      <c r="U517" s="18"/>
      <c r="V517" s="127">
        <f t="shared" si="24"/>
        <v>12501</v>
      </c>
      <c r="W517" s="45"/>
      <c r="X517" s="67"/>
    </row>
    <row r="518" spans="1:24" ht="15" customHeight="1">
      <c r="A518" s="427"/>
      <c r="B518" s="122" t="s">
        <v>101</v>
      </c>
      <c r="C518" s="180" t="s">
        <v>327</v>
      </c>
      <c r="D518" s="48" t="s">
        <v>102</v>
      </c>
      <c r="E518" s="441"/>
      <c r="F518" s="118" t="s">
        <v>64</v>
      </c>
      <c r="G518" s="119"/>
      <c r="H518" s="126"/>
      <c r="I518" s="126"/>
      <c r="J518" s="2"/>
      <c r="K518" s="18"/>
      <c r="L518" s="18"/>
      <c r="M518" s="18"/>
      <c r="N518" s="18"/>
      <c r="O518" s="126"/>
      <c r="P518" s="126"/>
      <c r="Q518" s="126">
        <f>June!CK333</f>
        <v>1</v>
      </c>
      <c r="R518" s="436"/>
      <c r="S518" s="436"/>
      <c r="T518" s="18"/>
      <c r="U518" s="18"/>
      <c r="V518" s="18">
        <f t="shared" si="24"/>
        <v>4722</v>
      </c>
      <c r="W518" s="45"/>
      <c r="X518" s="67"/>
    </row>
    <row r="519" spans="1:24" ht="15" customHeight="1">
      <c r="A519" s="427"/>
      <c r="B519" s="295" t="s">
        <v>366</v>
      </c>
      <c r="C519" s="296" t="s">
        <v>367</v>
      </c>
      <c r="D519" s="297" t="s">
        <v>132</v>
      </c>
      <c r="E519" s="441"/>
      <c r="F519" s="118" t="s">
        <v>64</v>
      </c>
      <c r="G519" s="119"/>
      <c r="H519" s="126"/>
      <c r="I519" s="126"/>
      <c r="J519" s="2"/>
      <c r="K519" s="18">
        <v>5000</v>
      </c>
      <c r="L519" s="18">
        <v>1</v>
      </c>
      <c r="M519" s="18"/>
      <c r="N519" s="18"/>
      <c r="O519" s="126"/>
      <c r="P519" s="126">
        <f>June!CM334</f>
        <v>817</v>
      </c>
      <c r="Q519" s="126">
        <f>June!CK334</f>
        <v>2</v>
      </c>
      <c r="R519" s="436"/>
      <c r="S519" s="436"/>
      <c r="T519" s="18"/>
      <c r="U519" s="18"/>
      <c r="V519" s="18"/>
      <c r="W519" s="45"/>
      <c r="X519" s="67"/>
    </row>
    <row r="520" spans="1:24" s="4" customFormat="1" ht="15" customHeight="1">
      <c r="A520" s="427"/>
      <c r="B520" s="122" t="s">
        <v>375</v>
      </c>
      <c r="C520" s="157" t="s">
        <v>376</v>
      </c>
      <c r="D520" s="48" t="s">
        <v>248</v>
      </c>
      <c r="E520" s="441"/>
      <c r="F520" s="48" t="s">
        <v>64</v>
      </c>
      <c r="G520" s="122"/>
      <c r="H520" s="34"/>
      <c r="I520" s="34"/>
      <c r="J520" s="6"/>
      <c r="K520" s="211"/>
      <c r="L520" s="211"/>
      <c r="M520" s="211"/>
      <c r="N520" s="211"/>
      <c r="O520" s="34"/>
      <c r="P520" s="34"/>
      <c r="Q520" s="34"/>
      <c r="R520" s="436"/>
      <c r="S520" s="436"/>
      <c r="T520" s="211"/>
      <c r="U520" s="211"/>
      <c r="V520" s="211">
        <f>O520-T520-U520+V487</f>
        <v>75911</v>
      </c>
      <c r="W520" s="260"/>
      <c r="X520" s="67"/>
    </row>
    <row r="521" spans="1:24" s="4" customFormat="1" ht="15" customHeight="1">
      <c r="A521" s="427"/>
      <c r="B521" s="122" t="s">
        <v>421</v>
      </c>
      <c r="C521" s="157" t="s">
        <v>420</v>
      </c>
      <c r="D521" s="48" t="s">
        <v>248</v>
      </c>
      <c r="E521" s="441"/>
      <c r="F521" s="48" t="s">
        <v>64</v>
      </c>
      <c r="G521" s="122"/>
      <c r="H521" s="34"/>
      <c r="I521" s="34"/>
      <c r="J521" s="6"/>
      <c r="K521" s="211"/>
      <c r="L521" s="211"/>
      <c r="M521" s="211">
        <v>46200</v>
      </c>
      <c r="N521" s="211">
        <v>11</v>
      </c>
      <c r="O521" s="34"/>
      <c r="P521" s="34"/>
      <c r="Q521" s="34">
        <f>June!CK337</f>
        <v>20</v>
      </c>
      <c r="R521" s="436"/>
      <c r="S521" s="436"/>
      <c r="T521" s="211"/>
      <c r="U521" s="211"/>
      <c r="V521" s="211">
        <f>O521-T521-U521+V488</f>
        <v>59845</v>
      </c>
      <c r="W521" s="260"/>
      <c r="X521" s="67"/>
    </row>
    <row r="522" spans="1:24" s="4" customFormat="1" ht="15" customHeight="1">
      <c r="A522" s="427"/>
      <c r="B522" s="442" t="s">
        <v>289</v>
      </c>
      <c r="C522" s="444" t="s">
        <v>290</v>
      </c>
      <c r="D522" s="48" t="s">
        <v>432</v>
      </c>
      <c r="E522" s="441"/>
      <c r="F522" s="48" t="s">
        <v>381</v>
      </c>
      <c r="G522" s="122"/>
      <c r="H522" s="34"/>
      <c r="I522" s="34"/>
      <c r="J522" s="6"/>
      <c r="K522" s="211"/>
      <c r="L522" s="211"/>
      <c r="M522" s="211"/>
      <c r="N522" s="211"/>
      <c r="O522" s="34">
        <f>June!CL329</f>
        <v>489</v>
      </c>
      <c r="P522" s="34">
        <f>June!CM329</f>
        <v>237</v>
      </c>
      <c r="Q522" s="34">
        <f>June!CK329</f>
        <v>1</v>
      </c>
      <c r="R522" s="436"/>
      <c r="S522" s="436"/>
      <c r="T522" s="211"/>
      <c r="U522" s="211"/>
      <c r="V522" s="211">
        <f>O522-T522-U522+V489</f>
        <v>489</v>
      </c>
      <c r="W522" s="260"/>
      <c r="X522" s="67"/>
    </row>
    <row r="523" spans="1:24" s="4" customFormat="1" ht="15" customHeight="1">
      <c r="A523" s="427"/>
      <c r="B523" s="443"/>
      <c r="C523" s="446"/>
      <c r="D523" s="48" t="s">
        <v>432</v>
      </c>
      <c r="E523" s="441"/>
      <c r="F523" s="48" t="s">
        <v>435</v>
      </c>
      <c r="G523" s="122"/>
      <c r="H523" s="34"/>
      <c r="I523" s="34"/>
      <c r="J523" s="6"/>
      <c r="K523" s="211"/>
      <c r="L523" s="211"/>
      <c r="M523" s="211"/>
      <c r="N523" s="211"/>
      <c r="O523" s="34">
        <f>June!CL330</f>
        <v>553</v>
      </c>
      <c r="P523" s="34">
        <f>June!CM330</f>
        <v>282</v>
      </c>
      <c r="Q523" s="34">
        <f>June!CK330</f>
        <v>1</v>
      </c>
      <c r="R523" s="436"/>
      <c r="S523" s="436"/>
      <c r="T523" s="211">
        <v>553</v>
      </c>
      <c r="U523" s="211"/>
      <c r="V523" s="211">
        <f>O523-T523-U523+V490</f>
        <v>0</v>
      </c>
      <c r="W523" s="260"/>
      <c r="X523" s="67"/>
    </row>
    <row r="524" spans="1:24" s="4" customFormat="1" ht="15" customHeight="1">
      <c r="A524" s="427"/>
      <c r="B524" s="268" t="s">
        <v>453</v>
      </c>
      <c r="C524" s="180" t="s">
        <v>438</v>
      </c>
      <c r="D524" s="48" t="s">
        <v>432</v>
      </c>
      <c r="E524" s="441"/>
      <c r="F524" s="59" t="s">
        <v>57</v>
      </c>
      <c r="G524" s="122"/>
      <c r="H524" s="34"/>
      <c r="I524" s="34"/>
      <c r="J524" s="6"/>
      <c r="K524" s="211"/>
      <c r="L524" s="211"/>
      <c r="M524" s="211"/>
      <c r="N524" s="211"/>
      <c r="O524" s="34"/>
      <c r="P524" s="34"/>
      <c r="Q524" s="34">
        <f>June!CK331</f>
        <v>1</v>
      </c>
      <c r="R524" s="436"/>
      <c r="S524" s="436"/>
      <c r="T524" s="211"/>
      <c r="U524" s="211"/>
      <c r="V524" s="211"/>
      <c r="W524" s="260"/>
      <c r="X524" s="67"/>
    </row>
    <row r="525" spans="1:24" s="4" customFormat="1" ht="15" customHeight="1">
      <c r="A525" s="427"/>
      <c r="B525" s="268" t="s">
        <v>454</v>
      </c>
      <c r="C525" s="180" t="s">
        <v>438</v>
      </c>
      <c r="D525" s="48" t="s">
        <v>432</v>
      </c>
      <c r="E525" s="441"/>
      <c r="F525" s="59" t="s">
        <v>57</v>
      </c>
      <c r="G525" s="122"/>
      <c r="H525" s="34"/>
      <c r="I525" s="34"/>
      <c r="J525" s="6"/>
      <c r="K525" s="211"/>
      <c r="L525" s="211"/>
      <c r="M525" s="211"/>
      <c r="N525" s="211"/>
      <c r="O525" s="34"/>
      <c r="P525" s="34">
        <f>June!CM332</f>
        <v>166</v>
      </c>
      <c r="Q525" s="34">
        <f>June!CK332</f>
        <v>1</v>
      </c>
      <c r="R525" s="436"/>
      <c r="S525" s="436"/>
      <c r="T525" s="211"/>
      <c r="U525" s="211"/>
      <c r="V525" s="211"/>
      <c r="W525" s="260"/>
      <c r="X525" s="67"/>
    </row>
    <row r="526" spans="1:24" s="4" customFormat="1" ht="15" customHeight="1">
      <c r="A526" s="427"/>
      <c r="B526" s="268" t="s">
        <v>436</v>
      </c>
      <c r="C526" s="277" t="s">
        <v>438</v>
      </c>
      <c r="D526" s="48" t="s">
        <v>432</v>
      </c>
      <c r="E526" s="441"/>
      <c r="F526" s="48" t="s">
        <v>57</v>
      </c>
      <c r="G526" s="122"/>
      <c r="H526" s="34"/>
      <c r="I526" s="34"/>
      <c r="J526" s="6"/>
      <c r="K526" s="211"/>
      <c r="L526" s="211"/>
      <c r="M526" s="211"/>
      <c r="N526" s="211"/>
      <c r="O526" s="34">
        <f>June!CL344</f>
        <v>800</v>
      </c>
      <c r="P526" s="34">
        <f>June!CM344</f>
        <v>39</v>
      </c>
      <c r="Q526" s="34"/>
      <c r="R526" s="436"/>
      <c r="S526" s="436"/>
      <c r="T526" s="211">
        <v>800</v>
      </c>
      <c r="U526" s="211"/>
      <c r="V526" s="211">
        <f>O526-T526-U526+V489</f>
        <v>0</v>
      </c>
      <c r="W526" s="260"/>
      <c r="X526" s="67"/>
    </row>
    <row r="527" spans="1:24" s="4" customFormat="1" ht="15" customHeight="1">
      <c r="A527" s="427"/>
      <c r="B527" s="122" t="s">
        <v>437</v>
      </c>
      <c r="C527" s="157" t="s">
        <v>438</v>
      </c>
      <c r="D527" s="48" t="s">
        <v>432</v>
      </c>
      <c r="E527" s="441"/>
      <c r="F527" s="48" t="s">
        <v>57</v>
      </c>
      <c r="G527" s="122"/>
      <c r="H527" s="34"/>
      <c r="I527" s="34"/>
      <c r="J527" s="6"/>
      <c r="K527" s="211"/>
      <c r="L527" s="211"/>
      <c r="M527" s="211"/>
      <c r="N527" s="211"/>
      <c r="O527" s="34">
        <f>June!CL345</f>
        <v>800</v>
      </c>
      <c r="P527" s="34"/>
      <c r="Q527" s="34"/>
      <c r="R527" s="436"/>
      <c r="S527" s="436"/>
      <c r="T527" s="211">
        <v>800</v>
      </c>
      <c r="U527" s="211"/>
      <c r="V527" s="211">
        <f>O527-T527-U527+V490</f>
        <v>0</v>
      </c>
      <c r="W527" s="260"/>
      <c r="X527" s="67"/>
    </row>
    <row r="528" spans="1:24" s="4" customFormat="1" ht="15" customHeight="1">
      <c r="A528" s="427"/>
      <c r="B528" s="122" t="s">
        <v>103</v>
      </c>
      <c r="C528" s="157" t="s">
        <v>197</v>
      </c>
      <c r="D528" s="48" t="s">
        <v>104</v>
      </c>
      <c r="E528" s="441"/>
      <c r="F528" s="48" t="s">
        <v>105</v>
      </c>
      <c r="G528" s="122"/>
      <c r="H528" s="34"/>
      <c r="I528" s="34"/>
      <c r="J528" s="6"/>
      <c r="K528" s="211"/>
      <c r="L528" s="211"/>
      <c r="M528" s="211"/>
      <c r="N528" s="211"/>
      <c r="O528" s="34"/>
      <c r="P528" s="34"/>
      <c r="Q528" s="34">
        <f>June!CK339</f>
        <v>1</v>
      </c>
      <c r="R528" s="436"/>
      <c r="S528" s="436"/>
      <c r="T528" s="211"/>
      <c r="U528" s="211"/>
      <c r="V528" s="211"/>
      <c r="W528" s="260"/>
      <c r="X528" s="67"/>
    </row>
    <row r="529" spans="1:25" ht="15" customHeight="1">
      <c r="A529" s="427"/>
      <c r="B529" s="137" t="s">
        <v>112</v>
      </c>
      <c r="C529" s="157" t="s">
        <v>197</v>
      </c>
      <c r="D529" s="48" t="s">
        <v>104</v>
      </c>
      <c r="E529" s="441"/>
      <c r="F529" s="118" t="s">
        <v>113</v>
      </c>
      <c r="G529" s="119"/>
      <c r="H529" s="126"/>
      <c r="I529" s="126"/>
      <c r="J529" s="2"/>
      <c r="K529" s="18"/>
      <c r="L529" s="18"/>
      <c r="M529" s="18"/>
      <c r="N529" s="18"/>
      <c r="O529" s="126"/>
      <c r="P529" s="126"/>
      <c r="Q529" s="126">
        <f>June!CK341</f>
        <v>1</v>
      </c>
      <c r="R529" s="436"/>
      <c r="S529" s="436"/>
      <c r="T529" s="18"/>
      <c r="U529" s="18"/>
      <c r="V529" s="18"/>
      <c r="W529" s="45"/>
      <c r="X529" s="67"/>
    </row>
    <row r="530" spans="1:25" ht="15" customHeight="1" thickBot="1">
      <c r="A530" s="428"/>
      <c r="B530" s="44" t="s">
        <v>107</v>
      </c>
      <c r="C530" s="181" t="s">
        <v>386</v>
      </c>
      <c r="D530" s="61" t="s">
        <v>108</v>
      </c>
      <c r="E530" s="447"/>
      <c r="F530" s="133" t="s">
        <v>48</v>
      </c>
      <c r="G530" s="132"/>
      <c r="H530" s="134"/>
      <c r="I530" s="134"/>
      <c r="J530" s="129"/>
      <c r="K530" s="130"/>
      <c r="L530" s="130"/>
      <c r="M530" s="130">
        <v>13000</v>
      </c>
      <c r="N530" s="130">
        <v>2</v>
      </c>
      <c r="O530" s="134"/>
      <c r="P530" s="134"/>
      <c r="Q530" s="134">
        <f>June!CK340</f>
        <v>2</v>
      </c>
      <c r="R530" s="437"/>
      <c r="S530" s="437"/>
      <c r="T530" s="130"/>
      <c r="U530" s="130"/>
      <c r="V530" s="128">
        <f t="shared" ref="V530:V536" si="25">O530-T530-U530+V496</f>
        <v>11956</v>
      </c>
      <c r="W530" s="85"/>
      <c r="X530" s="67"/>
    </row>
    <row r="531" spans="1:25" ht="15" customHeight="1">
      <c r="A531" s="426">
        <v>46195</v>
      </c>
      <c r="B531" s="429" t="s">
        <v>44</v>
      </c>
      <c r="C531" s="432" t="s">
        <v>240</v>
      </c>
      <c r="D531" s="19" t="s">
        <v>37</v>
      </c>
      <c r="E531" s="19" t="s">
        <v>25</v>
      </c>
      <c r="F531" s="39" t="s">
        <v>40</v>
      </c>
      <c r="G531" s="41"/>
      <c r="H531" s="32">
        <v>5760</v>
      </c>
      <c r="I531" s="32"/>
      <c r="J531" s="32"/>
      <c r="K531" s="20">
        <v>51000</v>
      </c>
      <c r="L531" s="20">
        <v>7</v>
      </c>
      <c r="M531" s="20">
        <v>184000</v>
      </c>
      <c r="N531" s="84">
        <v>23</v>
      </c>
      <c r="O531" s="32">
        <f>June!CR313</f>
        <v>49574</v>
      </c>
      <c r="P531" s="32">
        <f>June!CS313</f>
        <v>53303</v>
      </c>
      <c r="Q531" s="32">
        <f>June!CQ313</f>
        <v>140</v>
      </c>
      <c r="R531" s="435">
        <f>June!CR346</f>
        <v>50126</v>
      </c>
      <c r="S531" s="435">
        <f>June!CS346</f>
        <v>72140</v>
      </c>
      <c r="T531" s="20">
        <v>79362</v>
      </c>
      <c r="U531" s="20"/>
      <c r="V531" s="20">
        <f t="shared" si="25"/>
        <v>116569</v>
      </c>
      <c r="W531" s="77"/>
      <c r="X531" s="36"/>
    </row>
    <row r="532" spans="1:25" ht="15" customHeight="1">
      <c r="A532" s="427"/>
      <c r="B532" s="431"/>
      <c r="C532" s="434"/>
      <c r="D532" s="113" t="s">
        <v>307</v>
      </c>
      <c r="E532" s="113" t="s">
        <v>24</v>
      </c>
      <c r="F532" s="118" t="s">
        <v>40</v>
      </c>
      <c r="G532" s="170">
        <v>8247.15</v>
      </c>
      <c r="H532" s="135">
        <v>3037.5</v>
      </c>
      <c r="I532" s="125"/>
      <c r="J532" s="125"/>
      <c r="K532" s="127"/>
      <c r="L532" s="127"/>
      <c r="M532" s="216">
        <v>167400</v>
      </c>
      <c r="N532" s="238">
        <v>21</v>
      </c>
      <c r="O532" s="126">
        <f>June!CR314</f>
        <v>552</v>
      </c>
      <c r="P532" s="125">
        <f>June!CS314</f>
        <v>16265</v>
      </c>
      <c r="Q532" s="125">
        <f>June!CQ314</f>
        <v>45</v>
      </c>
      <c r="R532" s="436"/>
      <c r="S532" s="436"/>
      <c r="T532" s="127"/>
      <c r="U532" s="127"/>
      <c r="V532" s="127">
        <f t="shared" si="25"/>
        <v>159340</v>
      </c>
      <c r="W532" s="46"/>
      <c r="X532" s="67"/>
    </row>
    <row r="533" spans="1:25" ht="15" customHeight="1">
      <c r="A533" s="427"/>
      <c r="B533" s="442" t="s">
        <v>45</v>
      </c>
      <c r="C533" s="448" t="s">
        <v>59</v>
      </c>
      <c r="D533" s="118" t="s">
        <v>75</v>
      </c>
      <c r="E533" s="131" t="s">
        <v>25</v>
      </c>
      <c r="F533" s="131" t="s">
        <v>57</v>
      </c>
      <c r="G533" s="87"/>
      <c r="H533" s="152"/>
      <c r="I533" s="126"/>
      <c r="J533" s="2"/>
      <c r="K533" s="127"/>
      <c r="L533" s="18"/>
      <c r="M533" s="18">
        <v>44680</v>
      </c>
      <c r="N533" s="80">
        <v>9</v>
      </c>
      <c r="O533" s="126"/>
      <c r="P533" s="126"/>
      <c r="Q533" s="2">
        <f>June!CQ317</f>
        <v>11</v>
      </c>
      <c r="R533" s="436"/>
      <c r="S533" s="436"/>
      <c r="T533" s="18"/>
      <c r="U533" s="18"/>
      <c r="V533" s="127">
        <f t="shared" si="25"/>
        <v>11746</v>
      </c>
      <c r="W533" s="46"/>
      <c r="Y533" s="13"/>
    </row>
    <row r="534" spans="1:25">
      <c r="A534" s="427"/>
      <c r="B534" s="439"/>
      <c r="C534" s="440"/>
      <c r="D534" s="118" t="s">
        <v>72</v>
      </c>
      <c r="E534" s="155" t="s">
        <v>24</v>
      </c>
      <c r="F534" s="131" t="s">
        <v>57</v>
      </c>
      <c r="G534" s="224"/>
      <c r="H534" s="152"/>
      <c r="I534" s="126"/>
      <c r="J534" s="126"/>
      <c r="K534" s="127"/>
      <c r="L534" s="18"/>
      <c r="M534" s="18">
        <v>49600</v>
      </c>
      <c r="N534" s="80">
        <v>10</v>
      </c>
      <c r="O534" s="126"/>
      <c r="P534" s="126"/>
      <c r="Q534" s="126">
        <f>June!CQ319</f>
        <v>8</v>
      </c>
      <c r="R534" s="436"/>
      <c r="S534" s="436"/>
      <c r="T534" s="18"/>
      <c r="U534" s="18"/>
      <c r="V534" s="127">
        <f t="shared" si="25"/>
        <v>23089</v>
      </c>
      <c r="W534" s="46"/>
      <c r="Y534" s="13"/>
    </row>
    <row r="535" spans="1:25" ht="14.25" customHeight="1">
      <c r="A535" s="427"/>
      <c r="B535" s="439"/>
      <c r="C535" s="440"/>
      <c r="D535" s="115" t="s">
        <v>79</v>
      </c>
      <c r="E535" s="424" t="s">
        <v>65</v>
      </c>
      <c r="F535" s="131" t="s">
        <v>57</v>
      </c>
      <c r="G535" s="224"/>
      <c r="H535" s="126"/>
      <c r="I535" s="126"/>
      <c r="J535" s="126"/>
      <c r="K535" s="18"/>
      <c r="L535" s="18"/>
      <c r="M535" s="18"/>
      <c r="N535" s="80"/>
      <c r="O535" s="126"/>
      <c r="P535" s="126"/>
      <c r="Q535" s="126"/>
      <c r="R535" s="436"/>
      <c r="S535" s="436"/>
      <c r="T535" s="18"/>
      <c r="U535" s="18"/>
      <c r="V535" s="127">
        <f t="shared" si="25"/>
        <v>10211</v>
      </c>
      <c r="W535" s="45"/>
      <c r="X535" s="36"/>
    </row>
    <row r="536" spans="1:25" ht="14.25" customHeight="1">
      <c r="A536" s="427"/>
      <c r="B536" s="439"/>
      <c r="C536" s="440"/>
      <c r="D536" s="115" t="s">
        <v>443</v>
      </c>
      <c r="E536" s="441"/>
      <c r="F536" s="131" t="s">
        <v>57</v>
      </c>
      <c r="G536" s="224"/>
      <c r="H536" s="126"/>
      <c r="I536" s="126"/>
      <c r="J536" s="126"/>
      <c r="K536" s="18"/>
      <c r="L536" s="18"/>
      <c r="M536" s="18"/>
      <c r="N536" s="80"/>
      <c r="O536" s="126"/>
      <c r="P536" s="126">
        <f>June!CS321</f>
        <v>248</v>
      </c>
      <c r="Q536" s="126">
        <f>June!CQ321</f>
        <v>1</v>
      </c>
      <c r="R536" s="436"/>
      <c r="S536" s="436"/>
      <c r="T536" s="18"/>
      <c r="U536" s="18"/>
      <c r="V536" s="127">
        <f t="shared" si="25"/>
        <v>0</v>
      </c>
      <c r="W536" s="45"/>
      <c r="X536" s="67"/>
    </row>
    <row r="537" spans="1:25" ht="14.25" customHeight="1">
      <c r="A537" s="427"/>
      <c r="B537" s="439"/>
      <c r="C537" s="448" t="s">
        <v>299</v>
      </c>
      <c r="D537" s="115" t="s">
        <v>296</v>
      </c>
      <c r="E537" s="424" t="s">
        <v>25</v>
      </c>
      <c r="F537" s="131" t="s">
        <v>298</v>
      </c>
      <c r="G537" s="224"/>
      <c r="H537" s="37"/>
      <c r="I537" s="126"/>
      <c r="J537" s="126"/>
      <c r="K537" s="18"/>
      <c r="L537" s="18"/>
      <c r="M537" s="18"/>
      <c r="N537" s="80"/>
      <c r="O537" s="126"/>
      <c r="P537" s="126"/>
      <c r="Q537" s="126"/>
      <c r="R537" s="436"/>
      <c r="S537" s="436"/>
      <c r="T537" s="18"/>
      <c r="U537" s="18"/>
      <c r="V537" s="127">
        <f t="shared" ref="V537:V556" si="26">O537-T537-U537+V504</f>
        <v>4427</v>
      </c>
      <c r="W537" s="45"/>
      <c r="X537" s="67"/>
    </row>
    <row r="538" spans="1:25" ht="14.25" customHeight="1">
      <c r="A538" s="427"/>
      <c r="B538" s="443"/>
      <c r="C538" s="449"/>
      <c r="D538" s="115" t="s">
        <v>75</v>
      </c>
      <c r="E538" s="425"/>
      <c r="F538" s="131" t="s">
        <v>298</v>
      </c>
      <c r="G538" s="224"/>
      <c r="H538" s="37"/>
      <c r="I538" s="126"/>
      <c r="J538" s="126"/>
      <c r="K538" s="18"/>
      <c r="L538" s="18"/>
      <c r="M538" s="18">
        <v>10000</v>
      </c>
      <c r="N538" s="80">
        <v>2</v>
      </c>
      <c r="O538" s="126"/>
      <c r="P538" s="126"/>
      <c r="Q538" s="126">
        <f>June!CQ323</f>
        <v>4</v>
      </c>
      <c r="R538" s="436"/>
      <c r="S538" s="436"/>
      <c r="T538" s="18"/>
      <c r="U538" s="18"/>
      <c r="V538" s="127">
        <f t="shared" si="26"/>
        <v>14595</v>
      </c>
      <c r="W538" s="45"/>
      <c r="X538" s="67"/>
    </row>
    <row r="539" spans="1:25" ht="14.25" customHeight="1">
      <c r="A539" s="427"/>
      <c r="B539" s="439" t="s">
        <v>53</v>
      </c>
      <c r="C539" s="445" t="s">
        <v>60</v>
      </c>
      <c r="D539" s="43" t="s">
        <v>320</v>
      </c>
      <c r="E539" s="441" t="s">
        <v>66</v>
      </c>
      <c r="F539" s="118" t="s">
        <v>54</v>
      </c>
      <c r="G539" s="224"/>
      <c r="H539" s="37"/>
      <c r="I539" s="126"/>
      <c r="J539" s="126"/>
      <c r="K539" s="18"/>
      <c r="L539" s="18"/>
      <c r="M539" s="18"/>
      <c r="N539" s="80"/>
      <c r="O539" s="126"/>
      <c r="P539" s="126">
        <f>June!CS315</f>
        <v>308</v>
      </c>
      <c r="Q539" s="126">
        <f>June!CQ315</f>
        <v>8</v>
      </c>
      <c r="R539" s="436"/>
      <c r="S539" s="436"/>
      <c r="T539" s="18"/>
      <c r="U539" s="18"/>
      <c r="V539" s="127">
        <f t="shared" si="26"/>
        <v>42606</v>
      </c>
      <c r="W539" s="45"/>
      <c r="X539" s="67"/>
    </row>
    <row r="540" spans="1:25" ht="14.25" customHeight="1">
      <c r="A540" s="427"/>
      <c r="B540" s="439"/>
      <c r="C540" s="445"/>
      <c r="D540" s="43" t="s">
        <v>387</v>
      </c>
      <c r="E540" s="425"/>
      <c r="F540" s="118" t="s">
        <v>54</v>
      </c>
      <c r="G540" s="229"/>
      <c r="H540" s="182"/>
      <c r="I540" s="125"/>
      <c r="J540" s="125"/>
      <c r="K540" s="127"/>
      <c r="L540" s="127"/>
      <c r="M540" s="127">
        <v>64800</v>
      </c>
      <c r="N540" s="171">
        <v>11</v>
      </c>
      <c r="O540" s="125"/>
      <c r="P540" s="125"/>
      <c r="Q540" s="125"/>
      <c r="R540" s="436"/>
      <c r="S540" s="436"/>
      <c r="T540" s="18"/>
      <c r="U540" s="18"/>
      <c r="V540" s="127">
        <f t="shared" si="26"/>
        <v>666</v>
      </c>
      <c r="W540" s="45"/>
      <c r="X540" s="67"/>
    </row>
    <row r="541" spans="1:25" ht="14.25" customHeight="1">
      <c r="A541" s="427"/>
      <c r="B541" s="443"/>
      <c r="C541" s="446"/>
      <c r="D541" s="43" t="s">
        <v>199</v>
      </c>
      <c r="E541" s="114" t="s">
        <v>25</v>
      </c>
      <c r="F541" s="118" t="s">
        <v>54</v>
      </c>
      <c r="G541" s="224"/>
      <c r="H541" s="135"/>
      <c r="I541" s="158"/>
      <c r="J541" s="158"/>
      <c r="K541" s="128"/>
      <c r="L541" s="128"/>
      <c r="M541" s="128"/>
      <c r="N541" s="164"/>
      <c r="O541" s="158"/>
      <c r="P541" s="158"/>
      <c r="Q541" s="158"/>
      <c r="R541" s="436"/>
      <c r="S541" s="436"/>
      <c r="T541" s="18"/>
      <c r="U541" s="18"/>
      <c r="V541" s="127">
        <f t="shared" si="26"/>
        <v>68</v>
      </c>
      <c r="W541" s="45"/>
      <c r="X541" s="67"/>
    </row>
    <row r="542" spans="1:25" ht="15.75" customHeight="1">
      <c r="A542" s="427"/>
      <c r="B542" s="122" t="s">
        <v>55</v>
      </c>
      <c r="C542" s="180" t="s">
        <v>133</v>
      </c>
      <c r="D542" s="48" t="s">
        <v>56</v>
      </c>
      <c r="E542" s="424" t="s">
        <v>25</v>
      </c>
      <c r="F542" s="118" t="s">
        <v>67</v>
      </c>
      <c r="G542" s="226"/>
      <c r="H542" s="126"/>
      <c r="I542" s="126"/>
      <c r="J542" s="2"/>
      <c r="K542" s="18"/>
      <c r="L542" s="18"/>
      <c r="M542" s="18"/>
      <c r="N542" s="18"/>
      <c r="O542" s="126"/>
      <c r="P542" s="126"/>
      <c r="Q542" s="126"/>
      <c r="R542" s="436"/>
      <c r="S542" s="436"/>
      <c r="T542" s="18"/>
      <c r="U542" s="18"/>
      <c r="V542" s="127">
        <f t="shared" si="26"/>
        <v>7022</v>
      </c>
      <c r="W542" s="45"/>
      <c r="X542" s="67"/>
    </row>
    <row r="543" spans="1:25" ht="15" customHeight="1">
      <c r="A543" s="427"/>
      <c r="B543" s="122" t="s">
        <v>122</v>
      </c>
      <c r="C543" s="180" t="s">
        <v>123</v>
      </c>
      <c r="D543" s="48" t="s">
        <v>56</v>
      </c>
      <c r="E543" s="441"/>
      <c r="F543" s="155" t="s">
        <v>64</v>
      </c>
      <c r="G543" s="119"/>
      <c r="H543" s="126"/>
      <c r="I543" s="126"/>
      <c r="J543" s="2"/>
      <c r="K543" s="18"/>
      <c r="L543" s="18"/>
      <c r="M543" s="18">
        <v>6400</v>
      </c>
      <c r="N543" s="18">
        <v>2</v>
      </c>
      <c r="O543" s="126"/>
      <c r="P543" s="126"/>
      <c r="Q543" s="126"/>
      <c r="R543" s="436"/>
      <c r="S543" s="436"/>
      <c r="T543" s="18"/>
      <c r="U543" s="18"/>
      <c r="V543" s="127">
        <f t="shared" si="26"/>
        <v>18121</v>
      </c>
      <c r="W543" s="45"/>
      <c r="X543" s="67"/>
    </row>
    <row r="544" spans="1:25" ht="14.25" customHeight="1">
      <c r="A544" s="427"/>
      <c r="B544" s="137" t="s">
        <v>58</v>
      </c>
      <c r="C544" s="157" t="s">
        <v>243</v>
      </c>
      <c r="D544" s="48" t="s">
        <v>56</v>
      </c>
      <c r="E544" s="441"/>
      <c r="F544" s="118" t="s">
        <v>64</v>
      </c>
      <c r="G544" s="225"/>
      <c r="H544" s="126"/>
      <c r="I544" s="126"/>
      <c r="J544" s="126"/>
      <c r="K544" s="18"/>
      <c r="L544" s="18"/>
      <c r="M544" s="18"/>
      <c r="N544" s="80"/>
      <c r="O544" s="126"/>
      <c r="P544" s="126"/>
      <c r="Q544" s="126"/>
      <c r="R544" s="436"/>
      <c r="S544" s="436"/>
      <c r="T544" s="18"/>
      <c r="U544" s="18"/>
      <c r="V544" s="127">
        <f t="shared" si="26"/>
        <v>8144</v>
      </c>
      <c r="W544" s="45"/>
      <c r="X544" s="67"/>
    </row>
    <row r="545" spans="1:24" ht="14.25" customHeight="1">
      <c r="A545" s="427"/>
      <c r="B545" s="122" t="s">
        <v>61</v>
      </c>
      <c r="C545" s="180" t="s">
        <v>137</v>
      </c>
      <c r="D545" s="48" t="s">
        <v>56</v>
      </c>
      <c r="E545" s="441"/>
      <c r="F545" s="118" t="s">
        <v>67</v>
      </c>
      <c r="G545" s="225"/>
      <c r="H545" s="126"/>
      <c r="I545" s="126"/>
      <c r="J545" s="126"/>
      <c r="K545" s="18"/>
      <c r="L545" s="18"/>
      <c r="M545" s="18"/>
      <c r="N545" s="80"/>
      <c r="O545" s="126"/>
      <c r="P545" s="126"/>
      <c r="Q545" s="126"/>
      <c r="R545" s="436"/>
      <c r="S545" s="436"/>
      <c r="T545" s="18"/>
      <c r="U545" s="18"/>
      <c r="V545" s="127">
        <f t="shared" si="26"/>
        <v>5844</v>
      </c>
      <c r="W545" s="45"/>
      <c r="X545" s="67"/>
    </row>
    <row r="546" spans="1:24" ht="14.25" customHeight="1">
      <c r="A546" s="427"/>
      <c r="B546" s="122" t="s">
        <v>125</v>
      </c>
      <c r="C546" s="180" t="s">
        <v>88</v>
      </c>
      <c r="D546" s="48" t="s">
        <v>124</v>
      </c>
      <c r="E546" s="441"/>
      <c r="F546" s="118" t="s">
        <v>64</v>
      </c>
      <c r="G546" s="225"/>
      <c r="H546" s="126"/>
      <c r="I546" s="126"/>
      <c r="J546" s="126"/>
      <c r="K546" s="18"/>
      <c r="L546" s="18"/>
      <c r="M546" s="18">
        <v>51200</v>
      </c>
      <c r="N546" s="80">
        <v>7</v>
      </c>
      <c r="O546" s="126"/>
      <c r="P546" s="126"/>
      <c r="Q546" s="126"/>
      <c r="R546" s="436"/>
      <c r="S546" s="436"/>
      <c r="T546" s="18"/>
      <c r="U546" s="18"/>
      <c r="V546" s="127">
        <f t="shared" si="26"/>
        <v>23615</v>
      </c>
      <c r="W546" s="45"/>
      <c r="X546" s="67"/>
    </row>
    <row r="547" spans="1:24" ht="14.25" customHeight="1">
      <c r="A547" s="427"/>
      <c r="B547" s="137" t="s">
        <v>47</v>
      </c>
      <c r="C547" s="157" t="s">
        <v>100</v>
      </c>
      <c r="D547" s="48" t="s">
        <v>99</v>
      </c>
      <c r="E547" s="441"/>
      <c r="F547" s="118" t="s">
        <v>71</v>
      </c>
      <c r="G547" s="225"/>
      <c r="H547" s="126"/>
      <c r="I547" s="126"/>
      <c r="J547" s="126"/>
      <c r="K547" s="18"/>
      <c r="L547" s="18"/>
      <c r="M547" s="18"/>
      <c r="N547" s="80"/>
      <c r="O547" s="126"/>
      <c r="P547" s="126"/>
      <c r="Q547" s="126"/>
      <c r="R547" s="436"/>
      <c r="S547" s="436"/>
      <c r="T547" s="18">
        <v>8845</v>
      </c>
      <c r="U547" s="18"/>
      <c r="V547" s="127">
        <f t="shared" si="26"/>
        <v>2431</v>
      </c>
      <c r="W547" s="45"/>
      <c r="X547" s="67"/>
    </row>
    <row r="548" spans="1:24" ht="15" customHeight="1">
      <c r="A548" s="427"/>
      <c r="B548" s="122" t="s">
        <v>196</v>
      </c>
      <c r="C548" s="180" t="s">
        <v>63</v>
      </c>
      <c r="D548" s="48" t="s">
        <v>135</v>
      </c>
      <c r="E548" s="441"/>
      <c r="F548" s="118" t="s">
        <v>64</v>
      </c>
      <c r="G548" s="226"/>
      <c r="H548" s="126"/>
      <c r="I548" s="126"/>
      <c r="J548" s="2"/>
      <c r="K548" s="18"/>
      <c r="L548" s="18"/>
      <c r="M548" s="18"/>
      <c r="N548" s="18"/>
      <c r="O548" s="126"/>
      <c r="P548" s="126"/>
      <c r="Q548" s="126">
        <f>June!CQ338</f>
        <v>5</v>
      </c>
      <c r="R548" s="436"/>
      <c r="S548" s="436"/>
      <c r="T548" s="18"/>
      <c r="U548" s="18"/>
      <c r="V548" s="127">
        <f t="shared" si="26"/>
        <v>41412</v>
      </c>
      <c r="W548" s="45"/>
      <c r="X548" s="67"/>
    </row>
    <row r="549" spans="1:24" ht="15" customHeight="1">
      <c r="A549" s="427"/>
      <c r="B549" s="122" t="s">
        <v>363</v>
      </c>
      <c r="C549" s="180" t="s">
        <v>325</v>
      </c>
      <c r="D549" s="48" t="s">
        <v>328</v>
      </c>
      <c r="E549" s="441"/>
      <c r="F549" s="118" t="s">
        <v>48</v>
      </c>
      <c r="G549" s="226"/>
      <c r="H549" s="126"/>
      <c r="I549" s="126"/>
      <c r="J549" s="2"/>
      <c r="K549" s="18"/>
      <c r="L549" s="18"/>
      <c r="M549" s="18"/>
      <c r="N549" s="18"/>
      <c r="O549" s="126"/>
      <c r="P549" s="126"/>
      <c r="Q549" s="126">
        <f>June!CQ335</f>
        <v>2</v>
      </c>
      <c r="R549" s="436"/>
      <c r="S549" s="436"/>
      <c r="T549" s="18"/>
      <c r="U549" s="18"/>
      <c r="V549" s="127">
        <f t="shared" si="26"/>
        <v>15153</v>
      </c>
      <c r="W549" s="45"/>
      <c r="X549" s="67"/>
    </row>
    <row r="550" spans="1:24" ht="15" customHeight="1">
      <c r="A550" s="427"/>
      <c r="B550" s="122" t="s">
        <v>253</v>
      </c>
      <c r="C550" s="180" t="s">
        <v>365</v>
      </c>
      <c r="D550" s="48" t="s">
        <v>246</v>
      </c>
      <c r="E550" s="441"/>
      <c r="F550" s="118" t="s">
        <v>247</v>
      </c>
      <c r="G550" s="226"/>
      <c r="H550" s="126"/>
      <c r="I550" s="126"/>
      <c r="J550" s="2"/>
      <c r="K550" s="18"/>
      <c r="L550" s="18"/>
      <c r="M550" s="18"/>
      <c r="N550" s="18"/>
      <c r="O550" s="126"/>
      <c r="P550" s="126"/>
      <c r="Q550" s="126">
        <f>June!CQ327</f>
        <v>3</v>
      </c>
      <c r="R550" s="436"/>
      <c r="S550" s="436"/>
      <c r="T550" s="18"/>
      <c r="U550" s="18"/>
      <c r="V550" s="127">
        <f t="shared" si="26"/>
        <v>12501</v>
      </c>
      <c r="W550" s="45"/>
      <c r="X550" s="67"/>
    </row>
    <row r="551" spans="1:24" ht="15" customHeight="1">
      <c r="A551" s="427"/>
      <c r="B551" s="122" t="s">
        <v>101</v>
      </c>
      <c r="C551" s="180" t="s">
        <v>327</v>
      </c>
      <c r="D551" s="48" t="s">
        <v>102</v>
      </c>
      <c r="E551" s="441"/>
      <c r="F551" s="118" t="s">
        <v>64</v>
      </c>
      <c r="G551" s="119"/>
      <c r="H551" s="126"/>
      <c r="I551" s="126"/>
      <c r="J551" s="2"/>
      <c r="K551" s="18"/>
      <c r="L551" s="18"/>
      <c r="M551" s="18"/>
      <c r="N551" s="18"/>
      <c r="O551" s="126"/>
      <c r="P551" s="126"/>
      <c r="Q551" s="126">
        <f>June!CQ333</f>
        <v>1</v>
      </c>
      <c r="R551" s="436"/>
      <c r="S551" s="436"/>
      <c r="T551" s="18"/>
      <c r="U551" s="18"/>
      <c r="V551" s="18">
        <f t="shared" si="26"/>
        <v>4722</v>
      </c>
      <c r="W551" s="45"/>
      <c r="X551" s="67"/>
    </row>
    <row r="552" spans="1:24" ht="15" customHeight="1">
      <c r="A552" s="427"/>
      <c r="B552" s="122" t="s">
        <v>366</v>
      </c>
      <c r="C552" s="157" t="s">
        <v>367</v>
      </c>
      <c r="D552" s="48" t="s">
        <v>132</v>
      </c>
      <c r="E552" s="441"/>
      <c r="F552" s="118" t="s">
        <v>64</v>
      </c>
      <c r="G552" s="119"/>
      <c r="H552" s="37">
        <v>251.40000000000003</v>
      </c>
      <c r="I552" s="126"/>
      <c r="J552" s="2"/>
      <c r="K552" s="18"/>
      <c r="L552" s="18"/>
      <c r="M552" s="18"/>
      <c r="N552" s="18"/>
      <c r="O552" s="126"/>
      <c r="P552" s="126">
        <f>June!CS334</f>
        <v>826</v>
      </c>
      <c r="Q552" s="126">
        <f>June!CQ334</f>
        <v>2</v>
      </c>
      <c r="R552" s="436"/>
      <c r="S552" s="436"/>
      <c r="T552" s="18"/>
      <c r="U552" s="18"/>
      <c r="V552" s="18">
        <f t="shared" si="26"/>
        <v>0</v>
      </c>
      <c r="W552" s="45"/>
      <c r="X552" s="67"/>
    </row>
    <row r="553" spans="1:24" s="4" customFormat="1" ht="15" customHeight="1">
      <c r="A553" s="427"/>
      <c r="B553" s="122" t="s">
        <v>375</v>
      </c>
      <c r="C553" s="157" t="s">
        <v>376</v>
      </c>
      <c r="D553" s="48" t="s">
        <v>248</v>
      </c>
      <c r="E553" s="441"/>
      <c r="F553" s="48" t="s">
        <v>64</v>
      </c>
      <c r="G553" s="122"/>
      <c r="H553" s="34"/>
      <c r="I553" s="34"/>
      <c r="J553" s="6"/>
      <c r="K553" s="211"/>
      <c r="L553" s="211"/>
      <c r="M553" s="211"/>
      <c r="N553" s="211"/>
      <c r="O553" s="34"/>
      <c r="P553" s="34"/>
      <c r="Q553" s="34"/>
      <c r="R553" s="436"/>
      <c r="S553" s="436"/>
      <c r="T553" s="211"/>
      <c r="U553" s="211"/>
      <c r="V553" s="211">
        <f t="shared" si="26"/>
        <v>75911</v>
      </c>
      <c r="W553" s="260"/>
      <c r="X553" s="67"/>
    </row>
    <row r="554" spans="1:24" s="4" customFormat="1" ht="15" customHeight="1">
      <c r="A554" s="427"/>
      <c r="B554" s="122" t="s">
        <v>421</v>
      </c>
      <c r="C554" s="157" t="s">
        <v>420</v>
      </c>
      <c r="D554" s="48" t="s">
        <v>248</v>
      </c>
      <c r="E554" s="441"/>
      <c r="F554" s="48" t="s">
        <v>64</v>
      </c>
      <c r="G554" s="122"/>
      <c r="H554" s="34"/>
      <c r="I554" s="34"/>
      <c r="J554" s="6"/>
      <c r="K554" s="211"/>
      <c r="L554" s="211"/>
      <c r="M554" s="211">
        <v>46200</v>
      </c>
      <c r="N554" s="211">
        <v>11</v>
      </c>
      <c r="O554" s="34"/>
      <c r="P554" s="34"/>
      <c r="Q554" s="34">
        <f>June!CQ337</f>
        <v>20</v>
      </c>
      <c r="R554" s="436"/>
      <c r="S554" s="436"/>
      <c r="T554" s="211">
        <v>1988</v>
      </c>
      <c r="U554" s="211"/>
      <c r="V554" s="211">
        <f t="shared" si="26"/>
        <v>57857</v>
      </c>
      <c r="W554" s="260"/>
      <c r="X554" s="67"/>
    </row>
    <row r="555" spans="1:24" s="4" customFormat="1" ht="15" customHeight="1">
      <c r="A555" s="427"/>
      <c r="B555" s="442" t="s">
        <v>289</v>
      </c>
      <c r="C555" s="444" t="s">
        <v>290</v>
      </c>
      <c r="D555" s="48" t="s">
        <v>432</v>
      </c>
      <c r="E555" s="441"/>
      <c r="F555" s="48" t="s">
        <v>381</v>
      </c>
      <c r="G555" s="122"/>
      <c r="H555" s="34"/>
      <c r="I555" s="34"/>
      <c r="J555" s="6"/>
      <c r="K555" s="211"/>
      <c r="L555" s="211"/>
      <c r="M555" s="211"/>
      <c r="N555" s="211"/>
      <c r="O555" s="34"/>
      <c r="P555" s="34">
        <f>June!CS329</f>
        <v>248</v>
      </c>
      <c r="Q555" s="34">
        <f>June!CQ329</f>
        <v>1</v>
      </c>
      <c r="R555" s="436"/>
      <c r="S555" s="436"/>
      <c r="T555" s="211">
        <v>489</v>
      </c>
      <c r="U555" s="211"/>
      <c r="V555" s="211">
        <f t="shared" si="26"/>
        <v>0</v>
      </c>
      <c r="W555" s="260"/>
      <c r="X555" s="67"/>
    </row>
    <row r="556" spans="1:24" s="4" customFormat="1" ht="15" customHeight="1">
      <c r="A556" s="427"/>
      <c r="B556" s="443"/>
      <c r="C556" s="446"/>
      <c r="D556" s="48" t="s">
        <v>432</v>
      </c>
      <c r="E556" s="441"/>
      <c r="F556" s="48" t="s">
        <v>435</v>
      </c>
      <c r="G556" s="122"/>
      <c r="H556" s="34"/>
      <c r="I556" s="34"/>
      <c r="J556" s="6"/>
      <c r="K556" s="211"/>
      <c r="L556" s="211"/>
      <c r="M556" s="211"/>
      <c r="N556" s="211"/>
      <c r="O556" s="34"/>
      <c r="P556" s="34">
        <f>June!CS330</f>
        <v>297</v>
      </c>
      <c r="Q556" s="34">
        <f>June!CQ330</f>
        <v>1</v>
      </c>
      <c r="R556" s="436"/>
      <c r="S556" s="436"/>
      <c r="T556" s="211"/>
      <c r="U556" s="211"/>
      <c r="V556" s="211">
        <f t="shared" si="26"/>
        <v>0</v>
      </c>
      <c r="W556" s="260"/>
      <c r="X556" s="67"/>
    </row>
    <row r="557" spans="1:24" s="4" customFormat="1" ht="15" customHeight="1">
      <c r="A557" s="427"/>
      <c r="B557" s="268" t="s">
        <v>453</v>
      </c>
      <c r="C557" s="180" t="s">
        <v>438</v>
      </c>
      <c r="D557" s="48" t="s">
        <v>432</v>
      </c>
      <c r="E557" s="441"/>
      <c r="F557" s="59" t="s">
        <v>57</v>
      </c>
      <c r="G557" s="122"/>
      <c r="H557" s="34"/>
      <c r="I557" s="34"/>
      <c r="J557" s="6"/>
      <c r="K557" s="211"/>
      <c r="L557" s="211"/>
      <c r="M557" s="211"/>
      <c r="N557" s="211"/>
      <c r="O557" s="34"/>
      <c r="P557" s="34">
        <f>June!CS331</f>
        <v>283</v>
      </c>
      <c r="Q557" s="34">
        <f>June!CQ331</f>
        <v>1</v>
      </c>
      <c r="R557" s="436"/>
      <c r="S557" s="436"/>
      <c r="T557" s="211"/>
      <c r="U557" s="211"/>
      <c r="V557" s="211"/>
      <c r="W557" s="260"/>
      <c r="X557" s="67"/>
    </row>
    <row r="558" spans="1:24" s="4" customFormat="1" ht="15" customHeight="1">
      <c r="A558" s="427"/>
      <c r="B558" s="442" t="s">
        <v>454</v>
      </c>
      <c r="C558" s="444" t="s">
        <v>438</v>
      </c>
      <c r="D558" s="48" t="s">
        <v>432</v>
      </c>
      <c r="E558" s="441"/>
      <c r="F558" s="59" t="s">
        <v>57</v>
      </c>
      <c r="G558" s="122"/>
      <c r="H558" s="34"/>
      <c r="I558" s="34"/>
      <c r="J558" s="6"/>
      <c r="K558" s="211"/>
      <c r="L558" s="211"/>
      <c r="M558" s="211"/>
      <c r="N558" s="211"/>
      <c r="O558" s="34"/>
      <c r="P558" s="34">
        <f>June!CS332</f>
        <v>362</v>
      </c>
      <c r="Q558" s="34">
        <f>June!CQ332</f>
        <v>1</v>
      </c>
      <c r="R558" s="436"/>
      <c r="S558" s="436"/>
      <c r="T558" s="211"/>
      <c r="U558" s="211"/>
      <c r="V558" s="211"/>
      <c r="W558" s="260"/>
      <c r="X558" s="67"/>
    </row>
    <row r="559" spans="1:24" s="4" customFormat="1" ht="15" customHeight="1">
      <c r="A559" s="427"/>
      <c r="B559" s="443"/>
      <c r="C559" s="446"/>
      <c r="D559" s="48" t="s">
        <v>433</v>
      </c>
      <c r="E559" s="441"/>
      <c r="F559" s="59"/>
      <c r="G559" s="122"/>
      <c r="H559" s="293">
        <v>61.2</v>
      </c>
      <c r="I559" s="34"/>
      <c r="J559" s="6"/>
      <c r="K559" s="211"/>
      <c r="L559" s="211"/>
      <c r="M559" s="211"/>
      <c r="N559" s="211"/>
      <c r="O559" s="34"/>
      <c r="P559" s="34"/>
      <c r="Q559" s="34"/>
      <c r="R559" s="436"/>
      <c r="S559" s="436"/>
      <c r="T559" s="211"/>
      <c r="U559" s="211"/>
      <c r="V559" s="211"/>
      <c r="W559" s="260"/>
      <c r="X559" s="67"/>
    </row>
    <row r="560" spans="1:24" ht="15" customHeight="1">
      <c r="A560" s="427"/>
      <c r="B560" s="122" t="s">
        <v>103</v>
      </c>
      <c r="C560" s="157" t="s">
        <v>197</v>
      </c>
      <c r="D560" s="48" t="s">
        <v>104</v>
      </c>
      <c r="E560" s="441"/>
      <c r="F560" s="118" t="s">
        <v>105</v>
      </c>
      <c r="G560" s="119"/>
      <c r="H560" s="126"/>
      <c r="I560" s="126"/>
      <c r="J560" s="2"/>
      <c r="K560" s="18"/>
      <c r="L560" s="18"/>
      <c r="M560" s="18"/>
      <c r="N560" s="18"/>
      <c r="O560" s="126"/>
      <c r="P560" s="126"/>
      <c r="Q560" s="126">
        <f>June!CQ339</f>
        <v>1</v>
      </c>
      <c r="R560" s="436"/>
      <c r="S560" s="436"/>
      <c r="T560" s="18"/>
      <c r="U560" s="18"/>
      <c r="V560" s="18"/>
      <c r="W560" s="45"/>
      <c r="X560" s="67"/>
    </row>
    <row r="561" spans="1:25" ht="15" customHeight="1">
      <c r="A561" s="427"/>
      <c r="B561" s="137" t="s">
        <v>112</v>
      </c>
      <c r="C561" s="157" t="s">
        <v>197</v>
      </c>
      <c r="D561" s="48" t="s">
        <v>104</v>
      </c>
      <c r="E561" s="441"/>
      <c r="F561" s="118" t="s">
        <v>113</v>
      </c>
      <c r="G561" s="119"/>
      <c r="H561" s="126"/>
      <c r="I561" s="126"/>
      <c r="J561" s="2"/>
      <c r="K561" s="18"/>
      <c r="L561" s="18"/>
      <c r="M561" s="18"/>
      <c r="N561" s="18"/>
      <c r="O561" s="126"/>
      <c r="P561" s="126"/>
      <c r="Q561" s="126">
        <f>June!CQ341</f>
        <v>1</v>
      </c>
      <c r="R561" s="436"/>
      <c r="S561" s="436"/>
      <c r="T561" s="18"/>
      <c r="U561" s="18"/>
      <c r="V561" s="18"/>
      <c r="W561" s="45"/>
      <c r="X561" s="67"/>
    </row>
    <row r="562" spans="1:25" ht="15" customHeight="1" thickBot="1">
      <c r="A562" s="428"/>
      <c r="B562" s="44" t="s">
        <v>107</v>
      </c>
      <c r="C562" s="181" t="s">
        <v>386</v>
      </c>
      <c r="D562" s="61" t="s">
        <v>108</v>
      </c>
      <c r="E562" s="447"/>
      <c r="F562" s="133" t="s">
        <v>48</v>
      </c>
      <c r="G562" s="132"/>
      <c r="H562" s="134"/>
      <c r="I562" s="134"/>
      <c r="J562" s="129"/>
      <c r="K562" s="130"/>
      <c r="L562" s="130"/>
      <c r="M562" s="334">
        <v>13000</v>
      </c>
      <c r="N562" s="334">
        <v>2</v>
      </c>
      <c r="O562" s="134"/>
      <c r="P562" s="134"/>
      <c r="Q562" s="134">
        <f>June!CQ340</f>
        <v>2</v>
      </c>
      <c r="R562" s="437"/>
      <c r="S562" s="437"/>
      <c r="T562" s="130"/>
      <c r="U562" s="130"/>
      <c r="V562" s="128">
        <f t="shared" ref="V562:V578" si="27">O562-T562-U562+V530</f>
        <v>11956</v>
      </c>
      <c r="W562" s="85"/>
      <c r="X562" s="67"/>
    </row>
    <row r="563" spans="1:25" ht="15" customHeight="1">
      <c r="A563" s="426">
        <v>46196</v>
      </c>
      <c r="B563" s="429" t="s">
        <v>44</v>
      </c>
      <c r="C563" s="432" t="s">
        <v>240</v>
      </c>
      <c r="D563" s="19" t="s">
        <v>37</v>
      </c>
      <c r="E563" s="19" t="s">
        <v>25</v>
      </c>
      <c r="F563" s="39" t="s">
        <v>40</v>
      </c>
      <c r="G563" s="41">
        <v>2199.2399999999998</v>
      </c>
      <c r="H563" s="32"/>
      <c r="I563" s="32"/>
      <c r="J563" s="32"/>
      <c r="K563" s="20">
        <v>88000</v>
      </c>
      <c r="L563" s="20">
        <v>11</v>
      </c>
      <c r="M563" s="233">
        <v>128000</v>
      </c>
      <c r="N563" s="234">
        <v>16</v>
      </c>
      <c r="O563" s="32">
        <f>June!CU313</f>
        <v>55967</v>
      </c>
      <c r="P563" s="32">
        <f>June!CV313</f>
        <v>53950</v>
      </c>
      <c r="Q563" s="32">
        <f>June!CT313</f>
        <v>146</v>
      </c>
      <c r="R563" s="435">
        <f>June!CU346</f>
        <v>62977</v>
      </c>
      <c r="S563" s="435">
        <f>June!CV346</f>
        <v>71428</v>
      </c>
      <c r="T563" s="20">
        <v>45402</v>
      </c>
      <c r="U563" s="20"/>
      <c r="V563" s="20">
        <f t="shared" si="27"/>
        <v>127134</v>
      </c>
      <c r="W563" s="77"/>
      <c r="X563" s="36"/>
    </row>
    <row r="564" spans="1:25" ht="15" customHeight="1">
      <c r="A564" s="427"/>
      <c r="B564" s="431"/>
      <c r="C564" s="434"/>
      <c r="D564" s="113" t="s">
        <v>307</v>
      </c>
      <c r="E564" s="113" t="s">
        <v>24</v>
      </c>
      <c r="F564" s="118" t="s">
        <v>40</v>
      </c>
      <c r="G564" s="135">
        <v>5498.1</v>
      </c>
      <c r="H564" s="135"/>
      <c r="I564" s="125"/>
      <c r="J564" s="125"/>
      <c r="K564" s="127"/>
      <c r="L564" s="127"/>
      <c r="M564" s="216">
        <v>247400</v>
      </c>
      <c r="N564" s="238">
        <v>31</v>
      </c>
      <c r="O564" s="126">
        <f>June!CU314</f>
        <v>2742</v>
      </c>
      <c r="P564" s="125">
        <f>June!CV314</f>
        <v>15096</v>
      </c>
      <c r="Q564" s="125">
        <f>June!CT314</f>
        <v>44</v>
      </c>
      <c r="R564" s="436"/>
      <c r="S564" s="436"/>
      <c r="T564" s="127">
        <v>34977</v>
      </c>
      <c r="U564" s="127"/>
      <c r="V564" s="127">
        <f t="shared" si="27"/>
        <v>127105</v>
      </c>
      <c r="W564" s="46"/>
      <c r="X564" s="67"/>
    </row>
    <row r="565" spans="1:25" ht="15" customHeight="1">
      <c r="A565" s="427"/>
      <c r="B565" s="442" t="s">
        <v>45</v>
      </c>
      <c r="C565" s="448" t="s">
        <v>59</v>
      </c>
      <c r="D565" s="118" t="s">
        <v>75</v>
      </c>
      <c r="E565" s="131" t="s">
        <v>25</v>
      </c>
      <c r="F565" s="131" t="s">
        <v>57</v>
      </c>
      <c r="G565" s="87"/>
      <c r="H565" s="152"/>
      <c r="I565" s="126"/>
      <c r="J565" s="2"/>
      <c r="K565" s="127"/>
      <c r="L565" s="18"/>
      <c r="M565" s="18">
        <v>44680</v>
      </c>
      <c r="N565" s="80">
        <v>9</v>
      </c>
      <c r="O565" s="126"/>
      <c r="P565" s="126"/>
      <c r="Q565" s="2">
        <f>June!CT317</f>
        <v>11</v>
      </c>
      <c r="R565" s="436"/>
      <c r="S565" s="436"/>
      <c r="T565" s="18"/>
      <c r="U565" s="18"/>
      <c r="V565" s="127">
        <f t="shared" si="27"/>
        <v>11746</v>
      </c>
      <c r="W565" s="46"/>
      <c r="Y565" s="13"/>
    </row>
    <row r="566" spans="1:25">
      <c r="A566" s="427"/>
      <c r="B566" s="439"/>
      <c r="C566" s="440"/>
      <c r="D566" s="118" t="s">
        <v>72</v>
      </c>
      <c r="E566" s="155" t="s">
        <v>24</v>
      </c>
      <c r="F566" s="131" t="s">
        <v>57</v>
      </c>
      <c r="G566" s="224"/>
      <c r="H566" s="152"/>
      <c r="I566" s="126"/>
      <c r="J566" s="126"/>
      <c r="K566" s="127"/>
      <c r="L566" s="18"/>
      <c r="M566" s="18">
        <v>49600</v>
      </c>
      <c r="N566" s="80">
        <v>10</v>
      </c>
      <c r="O566" s="126"/>
      <c r="P566" s="126"/>
      <c r="Q566" s="126">
        <f>June!CT319</f>
        <v>8</v>
      </c>
      <c r="R566" s="436"/>
      <c r="S566" s="436"/>
      <c r="T566" s="18"/>
      <c r="U566" s="18"/>
      <c r="V566" s="127">
        <f t="shared" si="27"/>
        <v>23089</v>
      </c>
      <c r="W566" s="46"/>
      <c r="Y566" s="13"/>
    </row>
    <row r="567" spans="1:25" ht="14.25" customHeight="1">
      <c r="A567" s="427"/>
      <c r="B567" s="439"/>
      <c r="C567" s="440"/>
      <c r="D567" s="115" t="s">
        <v>79</v>
      </c>
      <c r="E567" s="424" t="s">
        <v>65</v>
      </c>
      <c r="F567" s="131" t="s">
        <v>57</v>
      </c>
      <c r="G567" s="224"/>
      <c r="H567" s="126"/>
      <c r="I567" s="126"/>
      <c r="J567" s="126"/>
      <c r="K567" s="18"/>
      <c r="L567" s="18"/>
      <c r="M567" s="18"/>
      <c r="N567" s="80"/>
      <c r="O567" s="126"/>
      <c r="P567" s="126"/>
      <c r="Q567" s="126"/>
      <c r="R567" s="436"/>
      <c r="S567" s="436"/>
      <c r="T567" s="18"/>
      <c r="U567" s="18"/>
      <c r="V567" s="127">
        <f t="shared" si="27"/>
        <v>10211</v>
      </c>
      <c r="W567" s="45"/>
      <c r="X567" s="36"/>
    </row>
    <row r="568" spans="1:25" ht="14.25" customHeight="1">
      <c r="A568" s="427"/>
      <c r="B568" s="439"/>
      <c r="C568" s="440"/>
      <c r="D568" s="115" t="s">
        <v>443</v>
      </c>
      <c r="E568" s="441"/>
      <c r="F568" s="131" t="s">
        <v>57</v>
      </c>
      <c r="G568" s="224"/>
      <c r="H568" s="126"/>
      <c r="I568" s="126"/>
      <c r="J568" s="126"/>
      <c r="K568" s="18"/>
      <c r="L568" s="18"/>
      <c r="M568" s="18"/>
      <c r="N568" s="80"/>
      <c r="O568" s="126">
        <f>June!CU321</f>
        <v>948</v>
      </c>
      <c r="P568" s="126"/>
      <c r="Q568" s="126"/>
      <c r="R568" s="436"/>
      <c r="S568" s="436"/>
      <c r="T568" s="211">
        <v>948</v>
      </c>
      <c r="U568" s="18"/>
      <c r="V568" s="127">
        <f t="shared" si="27"/>
        <v>0</v>
      </c>
      <c r="W568" s="45"/>
      <c r="X568" s="67"/>
    </row>
    <row r="569" spans="1:25" ht="14.25" customHeight="1">
      <c r="A569" s="427"/>
      <c r="B569" s="439"/>
      <c r="C569" s="448" t="s">
        <v>299</v>
      </c>
      <c r="D569" s="115" t="s">
        <v>296</v>
      </c>
      <c r="E569" s="424" t="s">
        <v>25</v>
      </c>
      <c r="F569" s="131" t="s">
        <v>298</v>
      </c>
      <c r="G569" s="224"/>
      <c r="H569" s="37"/>
      <c r="I569" s="126"/>
      <c r="J569" s="126"/>
      <c r="K569" s="18"/>
      <c r="L569" s="18"/>
      <c r="M569" s="18"/>
      <c r="N569" s="80"/>
      <c r="O569" s="126"/>
      <c r="P569" s="126"/>
      <c r="Q569" s="126"/>
      <c r="R569" s="436"/>
      <c r="S569" s="436"/>
      <c r="T569" s="18"/>
      <c r="U569" s="18"/>
      <c r="V569" s="127">
        <f t="shared" si="27"/>
        <v>4427</v>
      </c>
      <c r="W569" s="45"/>
      <c r="X569" s="67"/>
    </row>
    <row r="570" spans="1:25" ht="14.25" customHeight="1">
      <c r="A570" s="427"/>
      <c r="B570" s="443"/>
      <c r="C570" s="449"/>
      <c r="D570" s="115" t="s">
        <v>75</v>
      </c>
      <c r="E570" s="425"/>
      <c r="F570" s="131" t="s">
        <v>298</v>
      </c>
      <c r="G570" s="224"/>
      <c r="H570" s="37"/>
      <c r="I570" s="126"/>
      <c r="J570" s="126"/>
      <c r="K570" s="18"/>
      <c r="L570" s="18"/>
      <c r="M570" s="18">
        <v>10000</v>
      </c>
      <c r="N570" s="80">
        <v>2</v>
      </c>
      <c r="O570" s="126"/>
      <c r="P570" s="126"/>
      <c r="Q570" s="126">
        <f>June!CT323</f>
        <v>4</v>
      </c>
      <c r="R570" s="436"/>
      <c r="S570" s="436"/>
      <c r="T570" s="18"/>
      <c r="U570" s="18"/>
      <c r="V570" s="127">
        <f t="shared" si="27"/>
        <v>14595</v>
      </c>
      <c r="W570" s="45"/>
      <c r="X570" s="67"/>
    </row>
    <row r="571" spans="1:25" ht="14.25" customHeight="1">
      <c r="A571" s="427"/>
      <c r="B571" s="439" t="s">
        <v>53</v>
      </c>
      <c r="C571" s="445" t="s">
        <v>60</v>
      </c>
      <c r="D571" s="43" t="s">
        <v>320</v>
      </c>
      <c r="E571" s="441" t="s">
        <v>66</v>
      </c>
      <c r="F571" s="118" t="s">
        <v>54</v>
      </c>
      <c r="G571" s="224"/>
      <c r="H571" s="37"/>
      <c r="I571" s="126"/>
      <c r="J571" s="126"/>
      <c r="K571" s="18"/>
      <c r="L571" s="18"/>
      <c r="M571" s="18"/>
      <c r="N571" s="80"/>
      <c r="O571" s="126"/>
      <c r="P571" s="126">
        <f>June!CV315</f>
        <v>344</v>
      </c>
      <c r="Q571" s="126">
        <f>June!CT315</f>
        <v>8</v>
      </c>
      <c r="R571" s="436"/>
      <c r="S571" s="436"/>
      <c r="T571" s="18"/>
      <c r="U571" s="18"/>
      <c r="V571" s="127">
        <f t="shared" si="27"/>
        <v>42606</v>
      </c>
      <c r="W571" s="45"/>
      <c r="X571" s="67"/>
    </row>
    <row r="572" spans="1:25" ht="14.25" customHeight="1">
      <c r="A572" s="427"/>
      <c r="B572" s="439"/>
      <c r="C572" s="445"/>
      <c r="D572" s="43" t="s">
        <v>387</v>
      </c>
      <c r="E572" s="425"/>
      <c r="F572" s="118" t="s">
        <v>54</v>
      </c>
      <c r="G572" s="229"/>
      <c r="H572" s="182"/>
      <c r="I572" s="125"/>
      <c r="J572" s="125"/>
      <c r="K572" s="127"/>
      <c r="L572" s="127"/>
      <c r="M572" s="127">
        <v>64800</v>
      </c>
      <c r="N572" s="171">
        <v>11</v>
      </c>
      <c r="O572" s="125"/>
      <c r="P572" s="125"/>
      <c r="Q572" s="125"/>
      <c r="R572" s="436"/>
      <c r="S572" s="436"/>
      <c r="T572" s="18"/>
      <c r="U572" s="18"/>
      <c r="V572" s="127">
        <f t="shared" si="27"/>
        <v>666</v>
      </c>
      <c r="W572" s="45"/>
      <c r="X572" s="67"/>
    </row>
    <row r="573" spans="1:25" ht="14.25" customHeight="1">
      <c r="A573" s="427"/>
      <c r="B573" s="443"/>
      <c r="C573" s="446"/>
      <c r="D573" s="43" t="s">
        <v>199</v>
      </c>
      <c r="E573" s="114" t="s">
        <v>25</v>
      </c>
      <c r="F573" s="118" t="s">
        <v>54</v>
      </c>
      <c r="G573" s="224"/>
      <c r="H573" s="135"/>
      <c r="I573" s="158"/>
      <c r="J573" s="158"/>
      <c r="K573" s="128"/>
      <c r="L573" s="128"/>
      <c r="M573" s="128"/>
      <c r="N573" s="164"/>
      <c r="O573" s="158"/>
      <c r="P573" s="158"/>
      <c r="Q573" s="158"/>
      <c r="R573" s="436"/>
      <c r="S573" s="436"/>
      <c r="T573" s="18"/>
      <c r="U573" s="18"/>
      <c r="V573" s="127">
        <f t="shared" si="27"/>
        <v>68</v>
      </c>
      <c r="W573" s="45"/>
      <c r="X573" s="67"/>
    </row>
    <row r="574" spans="1:25" ht="15.75" customHeight="1">
      <c r="A574" s="427"/>
      <c r="B574" s="122" t="s">
        <v>55</v>
      </c>
      <c r="C574" s="180" t="s">
        <v>133</v>
      </c>
      <c r="D574" s="48" t="s">
        <v>56</v>
      </c>
      <c r="E574" s="424" t="s">
        <v>25</v>
      </c>
      <c r="F574" s="118" t="s">
        <v>67</v>
      </c>
      <c r="G574" s="226"/>
      <c r="H574" s="126"/>
      <c r="I574" s="126"/>
      <c r="J574" s="2"/>
      <c r="K574" s="18"/>
      <c r="L574" s="18"/>
      <c r="M574" s="18"/>
      <c r="N574" s="18"/>
      <c r="O574" s="126"/>
      <c r="P574" s="126"/>
      <c r="Q574" s="126"/>
      <c r="R574" s="436"/>
      <c r="S574" s="436"/>
      <c r="T574" s="18"/>
      <c r="U574" s="18"/>
      <c r="V574" s="127">
        <f t="shared" si="27"/>
        <v>7022</v>
      </c>
      <c r="W574" s="45"/>
      <c r="X574" s="67"/>
    </row>
    <row r="575" spans="1:25" ht="15" customHeight="1">
      <c r="A575" s="427"/>
      <c r="B575" s="122" t="s">
        <v>122</v>
      </c>
      <c r="C575" s="180" t="s">
        <v>123</v>
      </c>
      <c r="D575" s="48" t="s">
        <v>56</v>
      </c>
      <c r="E575" s="441"/>
      <c r="F575" s="155" t="s">
        <v>64</v>
      </c>
      <c r="G575" s="119"/>
      <c r="H575" s="126"/>
      <c r="I575" s="126"/>
      <c r="J575" s="2"/>
      <c r="K575" s="18"/>
      <c r="L575" s="18"/>
      <c r="M575" s="18">
        <v>6400</v>
      </c>
      <c r="N575" s="18">
        <v>2</v>
      </c>
      <c r="O575" s="126"/>
      <c r="P575" s="126"/>
      <c r="Q575" s="126"/>
      <c r="R575" s="436"/>
      <c r="S575" s="436"/>
      <c r="T575" s="18"/>
      <c r="U575" s="18"/>
      <c r="V575" s="127">
        <f t="shared" si="27"/>
        <v>18121</v>
      </c>
      <c r="W575" s="45"/>
      <c r="X575" s="67"/>
    </row>
    <row r="576" spans="1:25" ht="14.25" customHeight="1">
      <c r="A576" s="427"/>
      <c r="B576" s="137" t="s">
        <v>58</v>
      </c>
      <c r="C576" s="157" t="s">
        <v>243</v>
      </c>
      <c r="D576" s="48" t="s">
        <v>56</v>
      </c>
      <c r="E576" s="441"/>
      <c r="F576" s="118" t="s">
        <v>64</v>
      </c>
      <c r="G576" s="225"/>
      <c r="H576" s="126"/>
      <c r="I576" s="126"/>
      <c r="J576" s="126"/>
      <c r="K576" s="18"/>
      <c r="L576" s="18"/>
      <c r="M576" s="18"/>
      <c r="N576" s="80"/>
      <c r="O576" s="126"/>
      <c r="P576" s="126"/>
      <c r="Q576" s="126"/>
      <c r="R576" s="436"/>
      <c r="S576" s="436"/>
      <c r="T576" s="18"/>
      <c r="U576" s="18"/>
      <c r="V576" s="127">
        <f t="shared" si="27"/>
        <v>8144</v>
      </c>
      <c r="W576" s="45"/>
      <c r="X576" s="67"/>
    </row>
    <row r="577" spans="1:24" ht="14.25" customHeight="1">
      <c r="A577" s="427"/>
      <c r="B577" s="122" t="s">
        <v>61</v>
      </c>
      <c r="C577" s="180" t="s">
        <v>137</v>
      </c>
      <c r="D577" s="48" t="s">
        <v>56</v>
      </c>
      <c r="E577" s="441"/>
      <c r="F577" s="118" t="s">
        <v>67</v>
      </c>
      <c r="G577" s="225"/>
      <c r="H577" s="126"/>
      <c r="I577" s="126"/>
      <c r="J577" s="126"/>
      <c r="K577" s="18"/>
      <c r="L577" s="18"/>
      <c r="M577" s="18"/>
      <c r="N577" s="80"/>
      <c r="O577" s="126"/>
      <c r="P577" s="126"/>
      <c r="Q577" s="126"/>
      <c r="R577" s="436"/>
      <c r="S577" s="436"/>
      <c r="T577" s="18"/>
      <c r="U577" s="18"/>
      <c r="V577" s="127">
        <f t="shared" si="27"/>
        <v>5844</v>
      </c>
      <c r="W577" s="45"/>
      <c r="X577" s="67"/>
    </row>
    <row r="578" spans="1:24" ht="14.25" customHeight="1">
      <c r="A578" s="427"/>
      <c r="B578" s="122" t="s">
        <v>125</v>
      </c>
      <c r="C578" s="180" t="s">
        <v>88</v>
      </c>
      <c r="D578" s="48" t="s">
        <v>124</v>
      </c>
      <c r="E578" s="441"/>
      <c r="F578" s="118" t="s">
        <v>64</v>
      </c>
      <c r="G578" s="225"/>
      <c r="H578" s="126"/>
      <c r="I578" s="126"/>
      <c r="J578" s="126"/>
      <c r="K578" s="18"/>
      <c r="L578" s="18"/>
      <c r="M578" s="18">
        <v>51200</v>
      </c>
      <c r="N578" s="80">
        <v>7</v>
      </c>
      <c r="O578" s="126"/>
      <c r="P578" s="126"/>
      <c r="Q578" s="126"/>
      <c r="R578" s="436"/>
      <c r="S578" s="436"/>
      <c r="T578" s="18"/>
      <c r="U578" s="18"/>
      <c r="V578" s="127">
        <f t="shared" si="27"/>
        <v>23615</v>
      </c>
      <c r="W578" s="45"/>
      <c r="X578" s="67"/>
    </row>
    <row r="579" spans="1:24" ht="14.25" customHeight="1">
      <c r="A579" s="427"/>
      <c r="B579" s="137" t="s">
        <v>47</v>
      </c>
      <c r="C579" s="157" t="s">
        <v>100</v>
      </c>
      <c r="D579" s="48" t="s">
        <v>99</v>
      </c>
      <c r="E579" s="441"/>
      <c r="F579" s="118" t="s">
        <v>71</v>
      </c>
      <c r="G579" s="225"/>
      <c r="H579" s="126"/>
      <c r="I579" s="126"/>
      <c r="J579" s="126"/>
      <c r="K579" s="18"/>
      <c r="L579" s="18"/>
      <c r="M579" s="18"/>
      <c r="N579" s="80"/>
      <c r="O579" s="126"/>
      <c r="P579" s="126"/>
      <c r="Q579" s="126"/>
      <c r="R579" s="436"/>
      <c r="S579" s="436"/>
      <c r="T579" s="18">
        <v>2437</v>
      </c>
      <c r="U579" s="18"/>
      <c r="V579" s="127"/>
      <c r="W579" s="45"/>
      <c r="X579" s="67"/>
    </row>
    <row r="580" spans="1:24" s="4" customFormat="1" ht="14.25" customHeight="1">
      <c r="A580" s="427"/>
      <c r="B580" s="137" t="s">
        <v>47</v>
      </c>
      <c r="C580" s="157" t="s">
        <v>457</v>
      </c>
      <c r="D580" s="48" t="s">
        <v>458</v>
      </c>
      <c r="E580" s="441"/>
      <c r="F580" s="48" t="s">
        <v>459</v>
      </c>
      <c r="G580" s="336">
        <v>180</v>
      </c>
      <c r="H580" s="34"/>
      <c r="I580" s="34"/>
      <c r="J580" s="34"/>
      <c r="K580" s="211"/>
      <c r="L580" s="211"/>
      <c r="M580" s="211">
        <v>2000</v>
      </c>
      <c r="N580" s="215">
        <v>1</v>
      </c>
      <c r="O580" s="34"/>
      <c r="P580" s="34"/>
      <c r="Q580" s="34"/>
      <c r="R580" s="436"/>
      <c r="S580" s="436"/>
      <c r="T580" s="211"/>
      <c r="U580" s="211"/>
      <c r="V580" s="216"/>
      <c r="W580" s="260"/>
      <c r="X580" s="67"/>
    </row>
    <row r="581" spans="1:24" ht="15" customHeight="1">
      <c r="A581" s="427"/>
      <c r="B581" s="122" t="s">
        <v>196</v>
      </c>
      <c r="C581" s="180" t="s">
        <v>63</v>
      </c>
      <c r="D581" s="48" t="s">
        <v>135</v>
      </c>
      <c r="E581" s="441"/>
      <c r="F581" s="118" t="s">
        <v>64</v>
      </c>
      <c r="G581" s="226"/>
      <c r="H581" s="126"/>
      <c r="I581" s="126"/>
      <c r="J581" s="2"/>
      <c r="K581" s="18"/>
      <c r="L581" s="18"/>
      <c r="M581" s="18"/>
      <c r="N581" s="18"/>
      <c r="O581" s="126"/>
      <c r="P581" s="126"/>
      <c r="Q581" s="126">
        <f>June!CT338</f>
        <v>5</v>
      </c>
      <c r="R581" s="436"/>
      <c r="S581" s="436"/>
      <c r="T581" s="18"/>
      <c r="U581" s="18"/>
      <c r="V581" s="127">
        <f t="shared" ref="V581:V591" si="28">O581-T581-U581+V548</f>
        <v>41412</v>
      </c>
      <c r="W581" s="45"/>
      <c r="X581" s="67"/>
    </row>
    <row r="582" spans="1:24" ht="15" customHeight="1">
      <c r="A582" s="427"/>
      <c r="B582" s="122" t="s">
        <v>363</v>
      </c>
      <c r="C582" s="180" t="s">
        <v>325</v>
      </c>
      <c r="D582" s="48" t="s">
        <v>328</v>
      </c>
      <c r="E582" s="441"/>
      <c r="F582" s="118" t="s">
        <v>48</v>
      </c>
      <c r="G582" s="226"/>
      <c r="H582" s="126"/>
      <c r="I582" s="126"/>
      <c r="J582" s="2"/>
      <c r="K582" s="18"/>
      <c r="L582" s="18"/>
      <c r="M582" s="18"/>
      <c r="N582" s="18"/>
      <c r="O582" s="126"/>
      <c r="P582" s="126"/>
      <c r="Q582" s="126">
        <f>June!CT335</f>
        <v>2</v>
      </c>
      <c r="R582" s="436"/>
      <c r="S582" s="436"/>
      <c r="T582" s="18"/>
      <c r="U582" s="18"/>
      <c r="V582" s="127">
        <f t="shared" si="28"/>
        <v>15153</v>
      </c>
      <c r="W582" s="45"/>
      <c r="X582" s="67"/>
    </row>
    <row r="583" spans="1:24" ht="15" customHeight="1">
      <c r="A583" s="427"/>
      <c r="B583" s="122" t="s">
        <v>253</v>
      </c>
      <c r="C583" s="180" t="s">
        <v>365</v>
      </c>
      <c r="D583" s="48" t="s">
        <v>246</v>
      </c>
      <c r="E583" s="441"/>
      <c r="F583" s="118" t="s">
        <v>247</v>
      </c>
      <c r="G583" s="226"/>
      <c r="H583" s="126"/>
      <c r="I583" s="126"/>
      <c r="J583" s="2"/>
      <c r="K583" s="18"/>
      <c r="L583" s="18"/>
      <c r="M583" s="18"/>
      <c r="N583" s="18"/>
      <c r="O583" s="126"/>
      <c r="P583" s="126"/>
      <c r="Q583" s="126">
        <f>June!CT327</f>
        <v>3</v>
      </c>
      <c r="R583" s="436"/>
      <c r="S583" s="436"/>
      <c r="T583" s="18"/>
      <c r="U583" s="18"/>
      <c r="V583" s="127">
        <f t="shared" si="28"/>
        <v>12501</v>
      </c>
      <c r="W583" s="45"/>
      <c r="X583" s="67"/>
    </row>
    <row r="584" spans="1:24" ht="15" customHeight="1">
      <c r="A584" s="427"/>
      <c r="B584" s="122" t="s">
        <v>101</v>
      </c>
      <c r="C584" s="180" t="s">
        <v>327</v>
      </c>
      <c r="D584" s="48" t="s">
        <v>102</v>
      </c>
      <c r="E584" s="441"/>
      <c r="F584" s="118" t="s">
        <v>64</v>
      </c>
      <c r="G584" s="119"/>
      <c r="H584" s="126"/>
      <c r="I584" s="126"/>
      <c r="J584" s="2"/>
      <c r="K584" s="18"/>
      <c r="L584" s="18"/>
      <c r="M584" s="18"/>
      <c r="N584" s="18"/>
      <c r="O584" s="126"/>
      <c r="P584" s="126"/>
      <c r="Q584" s="126">
        <f>June!CT333</f>
        <v>1</v>
      </c>
      <c r="R584" s="436"/>
      <c r="S584" s="436"/>
      <c r="T584" s="18">
        <v>4349</v>
      </c>
      <c r="U584" s="18"/>
      <c r="V584" s="18">
        <f t="shared" si="28"/>
        <v>373</v>
      </c>
      <c r="W584" s="45"/>
      <c r="X584" s="67"/>
    </row>
    <row r="585" spans="1:24" ht="15" customHeight="1">
      <c r="A585" s="427"/>
      <c r="B585" s="122" t="s">
        <v>366</v>
      </c>
      <c r="C585" s="157" t="s">
        <v>367</v>
      </c>
      <c r="D585" s="48" t="s">
        <v>132</v>
      </c>
      <c r="E585" s="441"/>
      <c r="F585" s="118" t="s">
        <v>64</v>
      </c>
      <c r="G585" s="119"/>
      <c r="H585" s="126"/>
      <c r="I585" s="126"/>
      <c r="J585" s="2"/>
      <c r="K585" s="18"/>
      <c r="L585" s="18"/>
      <c r="M585" s="18"/>
      <c r="N585" s="18"/>
      <c r="O585" s="126">
        <f>June!CU334</f>
        <v>2164</v>
      </c>
      <c r="P585" s="126">
        <f>June!CV334</f>
        <v>826</v>
      </c>
      <c r="Q585" s="126">
        <f>June!CT334</f>
        <v>2</v>
      </c>
      <c r="R585" s="436"/>
      <c r="S585" s="436"/>
      <c r="T585" s="18"/>
      <c r="U585" s="18"/>
      <c r="V585" s="211">
        <f t="shared" si="28"/>
        <v>2164</v>
      </c>
      <c r="W585" s="45"/>
      <c r="X585" s="67"/>
    </row>
    <row r="586" spans="1:24" s="4" customFormat="1" ht="15" customHeight="1">
      <c r="A586" s="427"/>
      <c r="B586" s="122" t="s">
        <v>375</v>
      </c>
      <c r="C586" s="157" t="s">
        <v>376</v>
      </c>
      <c r="D586" s="48" t="s">
        <v>248</v>
      </c>
      <c r="E586" s="441"/>
      <c r="F586" s="48" t="s">
        <v>64</v>
      </c>
      <c r="G586" s="122"/>
      <c r="H586" s="34"/>
      <c r="I586" s="34"/>
      <c r="J586" s="6"/>
      <c r="K586" s="211"/>
      <c r="L586" s="211"/>
      <c r="M586" s="211"/>
      <c r="N586" s="211"/>
      <c r="O586" s="34"/>
      <c r="P586" s="34"/>
      <c r="Q586" s="34"/>
      <c r="R586" s="436"/>
      <c r="S586" s="436"/>
      <c r="T586" s="211"/>
      <c r="U586" s="211"/>
      <c r="V586" s="211">
        <f t="shared" si="28"/>
        <v>75911</v>
      </c>
      <c r="W586" s="260"/>
      <c r="X586" s="67"/>
    </row>
    <row r="587" spans="1:24" s="4" customFormat="1" ht="15" customHeight="1">
      <c r="A587" s="427"/>
      <c r="B587" s="122" t="s">
        <v>421</v>
      </c>
      <c r="C587" s="157" t="s">
        <v>420</v>
      </c>
      <c r="D587" s="48" t="s">
        <v>248</v>
      </c>
      <c r="E587" s="441"/>
      <c r="F587" s="48" t="s">
        <v>64</v>
      </c>
      <c r="G587" s="122"/>
      <c r="H587" s="34"/>
      <c r="I587" s="34"/>
      <c r="J587" s="6"/>
      <c r="K587" s="211"/>
      <c r="L587" s="211"/>
      <c r="M587" s="211">
        <v>46200</v>
      </c>
      <c r="N587" s="211">
        <v>11</v>
      </c>
      <c r="O587" s="34"/>
      <c r="P587" s="34"/>
      <c r="Q587" s="34">
        <f>June!CT337</f>
        <v>20</v>
      </c>
      <c r="R587" s="436"/>
      <c r="S587" s="436"/>
      <c r="T587" s="211"/>
      <c r="U587" s="211"/>
      <c r="V587" s="211">
        <f t="shared" si="28"/>
        <v>57857</v>
      </c>
      <c r="W587" s="260"/>
      <c r="X587" s="67"/>
    </row>
    <row r="588" spans="1:24" s="4" customFormat="1" ht="15" customHeight="1">
      <c r="A588" s="427"/>
      <c r="B588" s="442" t="s">
        <v>289</v>
      </c>
      <c r="C588" s="444" t="s">
        <v>290</v>
      </c>
      <c r="D588" s="48" t="s">
        <v>432</v>
      </c>
      <c r="E588" s="441"/>
      <c r="F588" s="48" t="s">
        <v>381</v>
      </c>
      <c r="G588" s="122"/>
      <c r="H588" s="34"/>
      <c r="I588" s="34"/>
      <c r="J588" s="6"/>
      <c r="K588" s="211"/>
      <c r="L588" s="211"/>
      <c r="M588" s="211"/>
      <c r="N588" s="211"/>
      <c r="O588" s="34"/>
      <c r="P588" s="34">
        <f>June!CV329</f>
        <v>250</v>
      </c>
      <c r="Q588" s="34">
        <f>June!CT329</f>
        <v>1</v>
      </c>
      <c r="R588" s="436"/>
      <c r="S588" s="436"/>
      <c r="T588" s="211"/>
      <c r="U588" s="211"/>
      <c r="V588" s="211">
        <f t="shared" si="28"/>
        <v>0</v>
      </c>
      <c r="W588" s="260"/>
      <c r="X588" s="67"/>
    </row>
    <row r="589" spans="1:24" s="4" customFormat="1" ht="15" customHeight="1">
      <c r="A589" s="427"/>
      <c r="B589" s="443"/>
      <c r="C589" s="446"/>
      <c r="D589" s="48" t="s">
        <v>432</v>
      </c>
      <c r="E589" s="441"/>
      <c r="F589" s="48" t="s">
        <v>435</v>
      </c>
      <c r="G589" s="122"/>
      <c r="H589" s="34"/>
      <c r="I589" s="34"/>
      <c r="J589" s="6"/>
      <c r="K589" s="211"/>
      <c r="L589" s="211"/>
      <c r="M589" s="211"/>
      <c r="N589" s="211"/>
      <c r="O589" s="34"/>
      <c r="P589" s="34">
        <f>June!CV330</f>
        <v>282</v>
      </c>
      <c r="Q589" s="34">
        <f>June!CT330</f>
        <v>1</v>
      </c>
      <c r="R589" s="436"/>
      <c r="S589" s="436"/>
      <c r="T589" s="211"/>
      <c r="U589" s="211"/>
      <c r="V589" s="211">
        <f t="shared" si="28"/>
        <v>0</v>
      </c>
      <c r="W589" s="260"/>
      <c r="X589" s="67"/>
    </row>
    <row r="590" spans="1:24" s="4" customFormat="1" ht="15" customHeight="1">
      <c r="A590" s="427"/>
      <c r="B590" s="268" t="s">
        <v>453</v>
      </c>
      <c r="C590" s="277" t="s">
        <v>438</v>
      </c>
      <c r="D590" s="48" t="s">
        <v>432</v>
      </c>
      <c r="E590" s="441"/>
      <c r="F590" s="48" t="s">
        <v>57</v>
      </c>
      <c r="G590" s="333"/>
      <c r="H590" s="293"/>
      <c r="I590" s="34"/>
      <c r="J590" s="6"/>
      <c r="K590" s="211"/>
      <c r="L590" s="211"/>
      <c r="M590" s="211"/>
      <c r="N590" s="211"/>
      <c r="O590" s="34">
        <f>June!CU331</f>
        <v>606</v>
      </c>
      <c r="P590" s="34">
        <f>June!CV331</f>
        <v>324</v>
      </c>
      <c r="Q590" s="34">
        <f>June!CT331</f>
        <v>1</v>
      </c>
      <c r="R590" s="436"/>
      <c r="S590" s="436"/>
      <c r="T590" s="211"/>
      <c r="U590" s="211"/>
      <c r="V590" s="211">
        <f t="shared" si="28"/>
        <v>606</v>
      </c>
      <c r="W590" s="260"/>
      <c r="X590" s="67"/>
    </row>
    <row r="591" spans="1:24" s="4" customFormat="1" ht="15" customHeight="1">
      <c r="A591" s="427"/>
      <c r="B591" s="442" t="s">
        <v>454</v>
      </c>
      <c r="C591" s="444" t="s">
        <v>438</v>
      </c>
      <c r="D591" s="48" t="s">
        <v>432</v>
      </c>
      <c r="E591" s="441"/>
      <c r="F591" s="48" t="s">
        <v>57</v>
      </c>
      <c r="G591" s="333"/>
      <c r="H591" s="293"/>
      <c r="I591" s="34"/>
      <c r="J591" s="6"/>
      <c r="K591" s="211"/>
      <c r="L591" s="211"/>
      <c r="M591" s="211"/>
      <c r="N591" s="211"/>
      <c r="O591" s="34">
        <f>June!CU332</f>
        <v>550</v>
      </c>
      <c r="P591" s="34">
        <f>June!CV332</f>
        <v>356</v>
      </c>
      <c r="Q591" s="34">
        <f>June!CT332</f>
        <v>1</v>
      </c>
      <c r="R591" s="436"/>
      <c r="S591" s="436"/>
      <c r="T591" s="211">
        <v>550</v>
      </c>
      <c r="U591" s="211"/>
      <c r="V591" s="211">
        <f t="shared" si="28"/>
        <v>0</v>
      </c>
      <c r="W591" s="260"/>
      <c r="X591" s="67"/>
    </row>
    <row r="592" spans="1:24" s="4" customFormat="1" ht="15" customHeight="1">
      <c r="A592" s="427"/>
      <c r="B592" s="443"/>
      <c r="C592" s="446"/>
      <c r="D592" s="48" t="s">
        <v>433</v>
      </c>
      <c r="E592" s="441"/>
      <c r="F592" s="48"/>
      <c r="G592" s="333"/>
      <c r="H592" s="293">
        <f>91.8+91.8</f>
        <v>183.6</v>
      </c>
      <c r="I592" s="34"/>
      <c r="J592" s="6"/>
      <c r="K592" s="211"/>
      <c r="L592" s="211"/>
      <c r="M592" s="211"/>
      <c r="N592" s="211"/>
      <c r="O592" s="34"/>
      <c r="P592" s="34"/>
      <c r="Q592" s="34"/>
      <c r="R592" s="436"/>
      <c r="S592" s="436"/>
      <c r="T592" s="211"/>
      <c r="U592" s="211"/>
      <c r="V592" s="211"/>
      <c r="W592" s="260"/>
      <c r="X592" s="67"/>
    </row>
    <row r="593" spans="1:25" ht="15" customHeight="1">
      <c r="A593" s="427"/>
      <c r="B593" s="122" t="s">
        <v>103</v>
      </c>
      <c r="C593" s="157" t="s">
        <v>197</v>
      </c>
      <c r="D593" s="48" t="s">
        <v>104</v>
      </c>
      <c r="E593" s="441"/>
      <c r="F593" s="118" t="s">
        <v>105</v>
      </c>
      <c r="G593" s="119"/>
      <c r="H593" s="126"/>
      <c r="I593" s="126"/>
      <c r="J593" s="2"/>
      <c r="K593" s="18"/>
      <c r="L593" s="18"/>
      <c r="M593" s="18"/>
      <c r="N593" s="18"/>
      <c r="O593" s="126"/>
      <c r="P593" s="126"/>
      <c r="Q593" s="126">
        <f>June!CT339</f>
        <v>1</v>
      </c>
      <c r="R593" s="436"/>
      <c r="S593" s="436"/>
      <c r="T593" s="18"/>
      <c r="U593" s="18"/>
      <c r="V593" s="18"/>
      <c r="W593" s="45"/>
      <c r="X593" s="67"/>
    </row>
    <row r="594" spans="1:25" ht="15" customHeight="1">
      <c r="A594" s="427"/>
      <c r="B594" s="137" t="s">
        <v>112</v>
      </c>
      <c r="C594" s="157" t="s">
        <v>197</v>
      </c>
      <c r="D594" s="48" t="s">
        <v>104</v>
      </c>
      <c r="E594" s="441"/>
      <c r="F594" s="118" t="s">
        <v>113</v>
      </c>
      <c r="G594" s="119"/>
      <c r="H594" s="126"/>
      <c r="I594" s="126"/>
      <c r="J594" s="2"/>
      <c r="K594" s="18"/>
      <c r="L594" s="18"/>
      <c r="M594" s="18"/>
      <c r="N594" s="18"/>
      <c r="O594" s="126"/>
      <c r="P594" s="126"/>
      <c r="Q594" s="126">
        <f>June!CT341</f>
        <v>1</v>
      </c>
      <c r="R594" s="436"/>
      <c r="S594" s="436"/>
      <c r="T594" s="18"/>
      <c r="U594" s="18"/>
      <c r="V594" s="18"/>
      <c r="W594" s="45"/>
      <c r="X594" s="67"/>
    </row>
    <row r="595" spans="1:25" ht="15" customHeight="1" thickBot="1">
      <c r="A595" s="428"/>
      <c r="B595" s="44" t="s">
        <v>107</v>
      </c>
      <c r="C595" s="181" t="s">
        <v>386</v>
      </c>
      <c r="D595" s="61" t="s">
        <v>108</v>
      </c>
      <c r="E595" s="447"/>
      <c r="F595" s="133" t="s">
        <v>48</v>
      </c>
      <c r="G595" s="132"/>
      <c r="H595" s="134"/>
      <c r="I595" s="134"/>
      <c r="J595" s="129"/>
      <c r="K595" s="130"/>
      <c r="L595" s="130"/>
      <c r="M595" s="130">
        <v>13000</v>
      </c>
      <c r="N595" s="130">
        <v>2</v>
      </c>
      <c r="O595" s="134"/>
      <c r="P595" s="134"/>
      <c r="Q595" s="134">
        <f>June!CT340</f>
        <v>2</v>
      </c>
      <c r="R595" s="437"/>
      <c r="S595" s="437"/>
      <c r="T595" s="130"/>
      <c r="U595" s="130"/>
      <c r="V595" s="128">
        <f t="shared" ref="V595:V600" si="29">O595-T595-U595+V562</f>
        <v>11956</v>
      </c>
      <c r="W595" s="85"/>
      <c r="X595" s="67"/>
    </row>
    <row r="596" spans="1:25" ht="15" customHeight="1">
      <c r="A596" s="426">
        <v>46197</v>
      </c>
      <c r="B596" s="429" t="s">
        <v>44</v>
      </c>
      <c r="C596" s="432" t="s">
        <v>240</v>
      </c>
      <c r="D596" s="19" t="s">
        <v>37</v>
      </c>
      <c r="E596" s="19" t="s">
        <v>25</v>
      </c>
      <c r="F596" s="39" t="s">
        <v>40</v>
      </c>
      <c r="G596" s="41">
        <v>6597.72</v>
      </c>
      <c r="H596" s="32">
        <v>6912</v>
      </c>
      <c r="I596" s="32"/>
      <c r="J596" s="32"/>
      <c r="K596" s="20">
        <v>120000</v>
      </c>
      <c r="L596" s="20">
        <v>15</v>
      </c>
      <c r="M596" s="20">
        <v>104000</v>
      </c>
      <c r="N596" s="84">
        <v>13</v>
      </c>
      <c r="O596" s="32">
        <f>June!CX313</f>
        <v>54922</v>
      </c>
      <c r="P596" s="32">
        <f>June!CY313</f>
        <v>56050</v>
      </c>
      <c r="Q596" s="32">
        <f>June!CW313</f>
        <v>150</v>
      </c>
      <c r="R596" s="435">
        <f>June!CX346</f>
        <v>63407</v>
      </c>
      <c r="S596" s="435">
        <f>June!CY346</f>
        <v>73517</v>
      </c>
      <c r="T596" s="20">
        <v>45374</v>
      </c>
      <c r="U596" s="20"/>
      <c r="V596" s="20">
        <f t="shared" si="29"/>
        <v>136682</v>
      </c>
      <c r="W596" s="77"/>
      <c r="X596" s="36"/>
    </row>
    <row r="597" spans="1:25" ht="15" customHeight="1">
      <c r="A597" s="427"/>
      <c r="B597" s="431"/>
      <c r="C597" s="434"/>
      <c r="D597" s="113" t="s">
        <v>307</v>
      </c>
      <c r="E597" s="113" t="s">
        <v>24</v>
      </c>
      <c r="F597" s="118" t="s">
        <v>40</v>
      </c>
      <c r="G597" s="170"/>
      <c r="H597" s="135"/>
      <c r="I597" s="125"/>
      <c r="J597" s="125"/>
      <c r="K597" s="127"/>
      <c r="L597" s="127"/>
      <c r="M597" s="216">
        <v>247400</v>
      </c>
      <c r="N597" s="238">
        <v>31</v>
      </c>
      <c r="O597" s="126">
        <f>June!CX314</f>
        <v>5491</v>
      </c>
      <c r="P597" s="125">
        <f>June!CY314</f>
        <v>15100</v>
      </c>
      <c r="Q597" s="125">
        <f>June!CW314</f>
        <v>40</v>
      </c>
      <c r="R597" s="436"/>
      <c r="S597" s="436"/>
      <c r="T597" s="127">
        <v>17473</v>
      </c>
      <c r="U597" s="127">
        <v>5</v>
      </c>
      <c r="V597" s="127">
        <f t="shared" si="29"/>
        <v>115118</v>
      </c>
      <c r="W597" s="46"/>
      <c r="X597" s="67"/>
    </row>
    <row r="598" spans="1:25" ht="15" customHeight="1">
      <c r="A598" s="427"/>
      <c r="B598" s="442" t="s">
        <v>45</v>
      </c>
      <c r="C598" s="448" t="s">
        <v>59</v>
      </c>
      <c r="D598" s="118" t="s">
        <v>75</v>
      </c>
      <c r="E598" s="131" t="s">
        <v>25</v>
      </c>
      <c r="F598" s="131" t="s">
        <v>57</v>
      </c>
      <c r="G598" s="87"/>
      <c r="H598" s="152"/>
      <c r="I598" s="126"/>
      <c r="J598" s="2"/>
      <c r="K598" s="127"/>
      <c r="L598" s="18"/>
      <c r="M598" s="18">
        <v>44680</v>
      </c>
      <c r="N598" s="80">
        <v>9</v>
      </c>
      <c r="O598" s="126"/>
      <c r="P598" s="126"/>
      <c r="Q598" s="2">
        <f>June!CW317</f>
        <v>11</v>
      </c>
      <c r="R598" s="436"/>
      <c r="S598" s="436"/>
      <c r="T598" s="18"/>
      <c r="U598" s="18"/>
      <c r="V598" s="127">
        <f t="shared" si="29"/>
        <v>11746</v>
      </c>
      <c r="W598" s="46"/>
      <c r="Y598" s="13"/>
    </row>
    <row r="599" spans="1:25">
      <c r="A599" s="427"/>
      <c r="B599" s="439"/>
      <c r="C599" s="440"/>
      <c r="D599" s="118" t="s">
        <v>72</v>
      </c>
      <c r="E599" s="155" t="s">
        <v>24</v>
      </c>
      <c r="F599" s="131" t="s">
        <v>57</v>
      </c>
      <c r="G599" s="224"/>
      <c r="H599" s="152"/>
      <c r="I599" s="126"/>
      <c r="J599" s="126"/>
      <c r="K599" s="127"/>
      <c r="L599" s="18"/>
      <c r="M599" s="18">
        <v>49600</v>
      </c>
      <c r="N599" s="80">
        <v>10</v>
      </c>
      <c r="O599" s="126"/>
      <c r="P599" s="126"/>
      <c r="Q599" s="126">
        <f>June!CW319</f>
        <v>8</v>
      </c>
      <c r="R599" s="436"/>
      <c r="S599" s="436"/>
      <c r="T599" s="18"/>
      <c r="U599" s="18"/>
      <c r="V599" s="127">
        <f t="shared" si="29"/>
        <v>23089</v>
      </c>
      <c r="W599" s="46"/>
      <c r="Y599" s="13"/>
    </row>
    <row r="600" spans="1:25" ht="14.25" customHeight="1">
      <c r="A600" s="427"/>
      <c r="B600" s="439"/>
      <c r="C600" s="440"/>
      <c r="D600" s="115" t="s">
        <v>79</v>
      </c>
      <c r="E600" s="155" t="s">
        <v>65</v>
      </c>
      <c r="F600" s="131" t="s">
        <v>57</v>
      </c>
      <c r="G600" s="224"/>
      <c r="H600" s="126"/>
      <c r="I600" s="126"/>
      <c r="J600" s="126"/>
      <c r="K600" s="18"/>
      <c r="L600" s="18"/>
      <c r="M600" s="18"/>
      <c r="N600" s="80"/>
      <c r="O600" s="126"/>
      <c r="P600" s="126"/>
      <c r="Q600" s="126"/>
      <c r="R600" s="436"/>
      <c r="S600" s="436"/>
      <c r="T600" s="18"/>
      <c r="U600" s="18"/>
      <c r="V600" s="127">
        <f t="shared" si="29"/>
        <v>10211</v>
      </c>
      <c r="W600" s="45"/>
      <c r="X600" s="36"/>
    </row>
    <row r="601" spans="1:25" ht="14.25" customHeight="1">
      <c r="A601" s="427"/>
      <c r="B601" s="439"/>
      <c r="C601" s="448" t="s">
        <v>299</v>
      </c>
      <c r="D601" s="115" t="s">
        <v>296</v>
      </c>
      <c r="E601" s="424" t="s">
        <v>25</v>
      </c>
      <c r="F601" s="131" t="s">
        <v>298</v>
      </c>
      <c r="G601" s="224"/>
      <c r="H601" s="37"/>
      <c r="I601" s="126"/>
      <c r="J601" s="126"/>
      <c r="K601" s="18"/>
      <c r="L601" s="18"/>
      <c r="M601" s="18"/>
      <c r="N601" s="80"/>
      <c r="O601" s="126"/>
      <c r="P601" s="126"/>
      <c r="Q601" s="126"/>
      <c r="R601" s="436"/>
      <c r="S601" s="436"/>
      <c r="T601" s="18"/>
      <c r="U601" s="18"/>
      <c r="V601" s="127">
        <f t="shared" ref="V601:V610" si="30">O601-T601-U601+V569</f>
        <v>4427</v>
      </c>
      <c r="W601" s="45"/>
      <c r="X601" s="67"/>
    </row>
    <row r="602" spans="1:25" ht="14.25" customHeight="1">
      <c r="A602" s="427"/>
      <c r="B602" s="443"/>
      <c r="C602" s="449"/>
      <c r="D602" s="115" t="s">
        <v>75</v>
      </c>
      <c r="E602" s="425"/>
      <c r="F602" s="131" t="s">
        <v>298</v>
      </c>
      <c r="G602" s="224"/>
      <c r="H602" s="37"/>
      <c r="I602" s="126"/>
      <c r="J602" s="126"/>
      <c r="K602" s="18"/>
      <c r="L602" s="18"/>
      <c r="M602" s="18">
        <v>10000</v>
      </c>
      <c r="N602" s="80">
        <v>2</v>
      </c>
      <c r="O602" s="126"/>
      <c r="P602" s="126"/>
      <c r="Q602" s="126">
        <f>June!CW323</f>
        <v>4</v>
      </c>
      <c r="R602" s="436"/>
      <c r="S602" s="436"/>
      <c r="T602" s="18"/>
      <c r="U602" s="18"/>
      <c r="V602" s="127">
        <f t="shared" si="30"/>
        <v>14595</v>
      </c>
      <c r="W602" s="45"/>
      <c r="X602" s="67"/>
    </row>
    <row r="603" spans="1:25" ht="14.25" customHeight="1">
      <c r="A603" s="427"/>
      <c r="B603" s="439" t="s">
        <v>53</v>
      </c>
      <c r="C603" s="445" t="s">
        <v>60</v>
      </c>
      <c r="D603" s="43" t="s">
        <v>320</v>
      </c>
      <c r="E603" s="441" t="s">
        <v>66</v>
      </c>
      <c r="F603" s="118" t="s">
        <v>54</v>
      </c>
      <c r="G603" s="224"/>
      <c r="H603" s="37"/>
      <c r="I603" s="126"/>
      <c r="J603" s="126"/>
      <c r="K603" s="18"/>
      <c r="L603" s="18"/>
      <c r="M603" s="18"/>
      <c r="N603" s="80"/>
      <c r="O603" s="126">
        <f>June!CX315</f>
        <v>1004</v>
      </c>
      <c r="P603" s="126">
        <f>June!CY315</f>
        <v>352</v>
      </c>
      <c r="Q603" s="126">
        <f>June!CW315</f>
        <v>8</v>
      </c>
      <c r="R603" s="436"/>
      <c r="S603" s="436"/>
      <c r="T603" s="18"/>
      <c r="U603" s="18"/>
      <c r="V603" s="127">
        <f t="shared" si="30"/>
        <v>43610</v>
      </c>
      <c r="W603" s="45"/>
      <c r="X603" s="67"/>
    </row>
    <row r="604" spans="1:25" ht="14.25" customHeight="1">
      <c r="A604" s="427"/>
      <c r="B604" s="439"/>
      <c r="C604" s="445"/>
      <c r="D604" s="43" t="s">
        <v>387</v>
      </c>
      <c r="E604" s="425"/>
      <c r="F604" s="118" t="s">
        <v>54</v>
      </c>
      <c r="G604" s="229"/>
      <c r="H604" s="182"/>
      <c r="I604" s="125"/>
      <c r="J604" s="125"/>
      <c r="K604" s="127"/>
      <c r="L604" s="127"/>
      <c r="M604" s="127">
        <v>64800</v>
      </c>
      <c r="N604" s="171">
        <v>11</v>
      </c>
      <c r="O604" s="125"/>
      <c r="P604" s="125"/>
      <c r="Q604" s="125"/>
      <c r="R604" s="436"/>
      <c r="S604" s="436"/>
      <c r="T604" s="18"/>
      <c r="U604" s="18"/>
      <c r="V604" s="127">
        <f t="shared" si="30"/>
        <v>666</v>
      </c>
      <c r="W604" s="45"/>
      <c r="X604" s="67"/>
    </row>
    <row r="605" spans="1:25" ht="14.25" customHeight="1">
      <c r="A605" s="427"/>
      <c r="B605" s="443"/>
      <c r="C605" s="446"/>
      <c r="D605" s="43" t="s">
        <v>199</v>
      </c>
      <c r="E605" s="114" t="s">
        <v>25</v>
      </c>
      <c r="F605" s="118" t="s">
        <v>54</v>
      </c>
      <c r="G605" s="224"/>
      <c r="H605" s="135"/>
      <c r="I605" s="158"/>
      <c r="J605" s="158"/>
      <c r="K605" s="128"/>
      <c r="L605" s="128"/>
      <c r="M605" s="128"/>
      <c r="N605" s="164"/>
      <c r="O605" s="158"/>
      <c r="P605" s="158"/>
      <c r="Q605" s="158"/>
      <c r="R605" s="436"/>
      <c r="S605" s="436"/>
      <c r="T605" s="18"/>
      <c r="U605" s="18"/>
      <c r="V605" s="127">
        <f t="shared" si="30"/>
        <v>68</v>
      </c>
      <c r="W605" s="45"/>
      <c r="X605" s="67"/>
    </row>
    <row r="606" spans="1:25" ht="15.75" customHeight="1">
      <c r="A606" s="427"/>
      <c r="B606" s="122" t="s">
        <v>55</v>
      </c>
      <c r="C606" s="180" t="s">
        <v>133</v>
      </c>
      <c r="D606" s="48" t="s">
        <v>56</v>
      </c>
      <c r="E606" s="424" t="s">
        <v>25</v>
      </c>
      <c r="F606" s="118" t="s">
        <v>67</v>
      </c>
      <c r="G606" s="226"/>
      <c r="H606" s="126"/>
      <c r="I606" s="126"/>
      <c r="J606" s="2"/>
      <c r="K606" s="18"/>
      <c r="L606" s="18"/>
      <c r="M606" s="18"/>
      <c r="N606" s="18"/>
      <c r="O606" s="126"/>
      <c r="P606" s="126"/>
      <c r="Q606" s="126"/>
      <c r="R606" s="436"/>
      <c r="S606" s="436"/>
      <c r="T606" s="18"/>
      <c r="U606" s="18"/>
      <c r="V606" s="127">
        <f t="shared" si="30"/>
        <v>7022</v>
      </c>
      <c r="W606" s="45"/>
      <c r="X606" s="67"/>
    </row>
    <row r="607" spans="1:25" ht="15" customHeight="1">
      <c r="A607" s="427"/>
      <c r="B607" s="122" t="s">
        <v>122</v>
      </c>
      <c r="C607" s="180" t="s">
        <v>123</v>
      </c>
      <c r="D607" s="48" t="s">
        <v>56</v>
      </c>
      <c r="E607" s="441"/>
      <c r="F607" s="155" t="s">
        <v>64</v>
      </c>
      <c r="G607" s="119"/>
      <c r="H607" s="126"/>
      <c r="I607" s="126"/>
      <c r="J607" s="2"/>
      <c r="K607" s="18"/>
      <c r="L607" s="18"/>
      <c r="M607" s="18">
        <v>6400</v>
      </c>
      <c r="N607" s="18">
        <v>2</v>
      </c>
      <c r="O607" s="126"/>
      <c r="P607" s="126"/>
      <c r="Q607" s="126"/>
      <c r="R607" s="436"/>
      <c r="S607" s="436"/>
      <c r="T607" s="18"/>
      <c r="U607" s="18"/>
      <c r="V607" s="127">
        <f t="shared" si="30"/>
        <v>18121</v>
      </c>
      <c r="W607" s="45"/>
      <c r="X607" s="67"/>
    </row>
    <row r="608" spans="1:25" ht="14.25" customHeight="1">
      <c r="A608" s="427"/>
      <c r="B608" s="137" t="s">
        <v>58</v>
      </c>
      <c r="C608" s="157" t="s">
        <v>243</v>
      </c>
      <c r="D608" s="48" t="s">
        <v>56</v>
      </c>
      <c r="E608" s="441"/>
      <c r="F608" s="118" t="s">
        <v>64</v>
      </c>
      <c r="G608" s="225"/>
      <c r="H608" s="126"/>
      <c r="I608" s="126"/>
      <c r="J608" s="126"/>
      <c r="K608" s="18"/>
      <c r="L608" s="18"/>
      <c r="M608" s="18"/>
      <c r="N608" s="80"/>
      <c r="O608" s="126"/>
      <c r="P608" s="126"/>
      <c r="Q608" s="126"/>
      <c r="R608" s="436"/>
      <c r="S608" s="436"/>
      <c r="T608" s="18"/>
      <c r="U608" s="18"/>
      <c r="V608" s="127">
        <f t="shared" si="30"/>
        <v>8144</v>
      </c>
      <c r="W608" s="45"/>
      <c r="X608" s="67"/>
    </row>
    <row r="609" spans="1:24" ht="14.25" customHeight="1">
      <c r="A609" s="427"/>
      <c r="B609" s="122" t="s">
        <v>61</v>
      </c>
      <c r="C609" s="180" t="s">
        <v>137</v>
      </c>
      <c r="D609" s="48" t="s">
        <v>56</v>
      </c>
      <c r="E609" s="441"/>
      <c r="F609" s="118" t="s">
        <v>67</v>
      </c>
      <c r="G609" s="225"/>
      <c r="H609" s="126"/>
      <c r="I609" s="126"/>
      <c r="J609" s="126"/>
      <c r="K609" s="18"/>
      <c r="L609" s="18"/>
      <c r="M609" s="18"/>
      <c r="N609" s="80"/>
      <c r="O609" s="126"/>
      <c r="P609" s="126"/>
      <c r="Q609" s="126"/>
      <c r="R609" s="436"/>
      <c r="S609" s="436"/>
      <c r="T609" s="18"/>
      <c r="U609" s="18"/>
      <c r="V609" s="127">
        <f t="shared" si="30"/>
        <v>5844</v>
      </c>
      <c r="W609" s="45"/>
      <c r="X609" s="67"/>
    </row>
    <row r="610" spans="1:24" ht="14.25" customHeight="1">
      <c r="A610" s="427"/>
      <c r="B610" s="122" t="s">
        <v>125</v>
      </c>
      <c r="C610" s="180" t="s">
        <v>88</v>
      </c>
      <c r="D610" s="48" t="s">
        <v>124</v>
      </c>
      <c r="E610" s="441"/>
      <c r="F610" s="118" t="s">
        <v>64</v>
      </c>
      <c r="G610" s="225"/>
      <c r="H610" s="126"/>
      <c r="I610" s="126"/>
      <c r="J610" s="126"/>
      <c r="K610" s="18"/>
      <c r="L610" s="18"/>
      <c r="M610" s="18">
        <v>51200</v>
      </c>
      <c r="N610" s="80">
        <v>7</v>
      </c>
      <c r="O610" s="126"/>
      <c r="P610" s="126"/>
      <c r="Q610" s="126"/>
      <c r="R610" s="436"/>
      <c r="S610" s="436"/>
      <c r="T610" s="18"/>
      <c r="U610" s="18"/>
      <c r="V610" s="127">
        <f t="shared" si="30"/>
        <v>23615</v>
      </c>
      <c r="W610" s="45"/>
      <c r="X610" s="67"/>
    </row>
    <row r="611" spans="1:24" ht="14.25" customHeight="1">
      <c r="A611" s="427"/>
      <c r="B611" s="442" t="s">
        <v>47</v>
      </c>
      <c r="C611" s="444" t="s">
        <v>457</v>
      </c>
      <c r="D611" s="48" t="s">
        <v>458</v>
      </c>
      <c r="E611" s="441"/>
      <c r="F611" s="118" t="s">
        <v>459</v>
      </c>
      <c r="G611" s="225"/>
      <c r="H611" s="126"/>
      <c r="I611" s="126"/>
      <c r="J611" s="126"/>
      <c r="K611" s="18">
        <v>2000</v>
      </c>
      <c r="L611" s="18">
        <v>1</v>
      </c>
      <c r="M611" s="18"/>
      <c r="N611" s="80"/>
      <c r="O611" s="126"/>
      <c r="P611" s="126"/>
      <c r="Q611" s="126">
        <f>June!CW326</f>
        <v>1</v>
      </c>
      <c r="R611" s="436"/>
      <c r="S611" s="436"/>
      <c r="T611" s="18"/>
      <c r="U611" s="18"/>
      <c r="V611" s="127"/>
      <c r="W611" s="45"/>
      <c r="X611" s="67"/>
    </row>
    <row r="612" spans="1:24" ht="14.25" customHeight="1">
      <c r="A612" s="427"/>
      <c r="B612" s="443"/>
      <c r="C612" s="446"/>
      <c r="D612" s="48" t="s">
        <v>460</v>
      </c>
      <c r="E612" s="441"/>
      <c r="F612" s="118"/>
      <c r="G612" s="225"/>
      <c r="H612" s="37">
        <v>122.4</v>
      </c>
      <c r="I612" s="126"/>
      <c r="J612" s="126"/>
      <c r="K612" s="18"/>
      <c r="L612" s="18"/>
      <c r="M612" s="18"/>
      <c r="N612" s="80"/>
      <c r="O612" s="126"/>
      <c r="P612" s="126"/>
      <c r="Q612" s="126"/>
      <c r="R612" s="436"/>
      <c r="S612" s="436"/>
      <c r="T612" s="18"/>
      <c r="U612" s="18"/>
      <c r="V612" s="127"/>
      <c r="W612" s="45"/>
      <c r="X612" s="67"/>
    </row>
    <row r="613" spans="1:24" ht="15" customHeight="1">
      <c r="A613" s="427"/>
      <c r="B613" s="122" t="s">
        <v>196</v>
      </c>
      <c r="C613" s="180" t="s">
        <v>63</v>
      </c>
      <c r="D613" s="48" t="s">
        <v>135</v>
      </c>
      <c r="E613" s="441"/>
      <c r="F613" s="118" t="s">
        <v>64</v>
      </c>
      <c r="G613" s="226"/>
      <c r="H613" s="126"/>
      <c r="I613" s="126"/>
      <c r="J613" s="2"/>
      <c r="K613" s="18"/>
      <c r="L613" s="18"/>
      <c r="M613" s="18"/>
      <c r="N613" s="18"/>
      <c r="O613" s="126"/>
      <c r="P613" s="126"/>
      <c r="Q613" s="126">
        <f>June!CW338</f>
        <v>5</v>
      </c>
      <c r="R613" s="436"/>
      <c r="S613" s="436"/>
      <c r="T613" s="18"/>
      <c r="U613" s="18"/>
      <c r="V613" s="127">
        <f t="shared" ref="V613:V621" si="31">O613-T613-U613+V581</f>
        <v>41412</v>
      </c>
      <c r="W613" s="45"/>
      <c r="X613" s="67"/>
    </row>
    <row r="614" spans="1:24" ht="15" customHeight="1">
      <c r="A614" s="427"/>
      <c r="B614" s="122" t="s">
        <v>363</v>
      </c>
      <c r="C614" s="180" t="s">
        <v>325</v>
      </c>
      <c r="D614" s="48" t="s">
        <v>328</v>
      </c>
      <c r="E614" s="441"/>
      <c r="F614" s="118" t="s">
        <v>48</v>
      </c>
      <c r="G614" s="226"/>
      <c r="H614" s="126"/>
      <c r="I614" s="126"/>
      <c r="J614" s="2"/>
      <c r="K614" s="18"/>
      <c r="L614" s="18"/>
      <c r="M614" s="18"/>
      <c r="N614" s="18"/>
      <c r="O614" s="126"/>
      <c r="P614" s="126"/>
      <c r="Q614" s="126">
        <f>June!CW335</f>
        <v>2</v>
      </c>
      <c r="R614" s="436"/>
      <c r="S614" s="436"/>
      <c r="T614" s="18"/>
      <c r="U614" s="18"/>
      <c r="V614" s="127">
        <f t="shared" si="31"/>
        <v>15153</v>
      </c>
      <c r="W614" s="45"/>
      <c r="X614" s="67"/>
    </row>
    <row r="615" spans="1:24" ht="15" customHeight="1">
      <c r="A615" s="427"/>
      <c r="B615" s="122" t="s">
        <v>253</v>
      </c>
      <c r="C615" s="180" t="s">
        <v>365</v>
      </c>
      <c r="D615" s="48" t="s">
        <v>246</v>
      </c>
      <c r="E615" s="441"/>
      <c r="F615" s="118" t="s">
        <v>247</v>
      </c>
      <c r="G615" s="226"/>
      <c r="H615" s="126"/>
      <c r="I615" s="126"/>
      <c r="J615" s="2"/>
      <c r="K615" s="18"/>
      <c r="L615" s="18"/>
      <c r="M615" s="18"/>
      <c r="N615" s="18"/>
      <c r="O615" s="126"/>
      <c r="P615" s="126"/>
      <c r="Q615" s="126">
        <f>June!CW327</f>
        <v>3</v>
      </c>
      <c r="R615" s="436"/>
      <c r="S615" s="436"/>
      <c r="T615" s="18"/>
      <c r="U615" s="18"/>
      <c r="V615" s="127">
        <f t="shared" si="31"/>
        <v>12501</v>
      </c>
      <c r="W615" s="45"/>
      <c r="X615" s="67"/>
    </row>
    <row r="616" spans="1:24" ht="15" customHeight="1">
      <c r="A616" s="427"/>
      <c r="B616" s="122" t="s">
        <v>101</v>
      </c>
      <c r="C616" s="180" t="s">
        <v>327</v>
      </c>
      <c r="D616" s="48" t="s">
        <v>102</v>
      </c>
      <c r="E616" s="441"/>
      <c r="F616" s="118" t="s">
        <v>64</v>
      </c>
      <c r="G616" s="119"/>
      <c r="H616" s="126"/>
      <c r="I616" s="126"/>
      <c r="J616" s="2"/>
      <c r="K616" s="18"/>
      <c r="L616" s="18"/>
      <c r="M616" s="18"/>
      <c r="N616" s="18"/>
      <c r="O616" s="126"/>
      <c r="P616" s="126"/>
      <c r="Q616" s="126">
        <f>June!CW333</f>
        <v>1</v>
      </c>
      <c r="R616" s="436"/>
      <c r="S616" s="436"/>
      <c r="T616" s="18"/>
      <c r="U616" s="18"/>
      <c r="V616" s="18">
        <f t="shared" si="31"/>
        <v>373</v>
      </c>
      <c r="W616" s="45"/>
      <c r="X616" s="67"/>
    </row>
    <row r="617" spans="1:24" ht="15" customHeight="1">
      <c r="A617" s="427"/>
      <c r="B617" s="122" t="s">
        <v>366</v>
      </c>
      <c r="C617" s="157" t="s">
        <v>367</v>
      </c>
      <c r="D617" s="48" t="s">
        <v>132</v>
      </c>
      <c r="E617" s="441"/>
      <c r="F617" s="118" t="s">
        <v>64</v>
      </c>
      <c r="G617" s="119"/>
      <c r="H617" s="126"/>
      <c r="I617" s="126"/>
      <c r="J617" s="2"/>
      <c r="K617" s="18"/>
      <c r="L617" s="18"/>
      <c r="M617" s="18"/>
      <c r="N617" s="18"/>
      <c r="O617" s="126"/>
      <c r="P617" s="126">
        <f>June!CY334</f>
        <v>835</v>
      </c>
      <c r="Q617" s="126">
        <f>June!CW334</f>
        <v>2</v>
      </c>
      <c r="R617" s="436"/>
      <c r="S617" s="436"/>
      <c r="T617" s="18"/>
      <c r="U617" s="18"/>
      <c r="V617" s="18">
        <f t="shared" si="31"/>
        <v>2164</v>
      </c>
      <c r="W617" s="45"/>
      <c r="X617" s="67"/>
    </row>
    <row r="618" spans="1:24" s="4" customFormat="1" ht="15" customHeight="1">
      <c r="A618" s="427"/>
      <c r="B618" s="122" t="s">
        <v>375</v>
      </c>
      <c r="C618" s="157" t="s">
        <v>376</v>
      </c>
      <c r="D618" s="48" t="s">
        <v>248</v>
      </c>
      <c r="E618" s="441"/>
      <c r="F618" s="48" t="s">
        <v>64</v>
      </c>
      <c r="G618" s="122"/>
      <c r="H618" s="34"/>
      <c r="I618" s="34"/>
      <c r="J618" s="6"/>
      <c r="K618" s="211"/>
      <c r="L618" s="211"/>
      <c r="M618" s="211"/>
      <c r="N618" s="211"/>
      <c r="O618" s="34"/>
      <c r="P618" s="34"/>
      <c r="Q618" s="34"/>
      <c r="R618" s="436"/>
      <c r="S618" s="436"/>
      <c r="T618" s="211"/>
      <c r="U618" s="211"/>
      <c r="V618" s="211">
        <f t="shared" si="31"/>
        <v>75911</v>
      </c>
      <c r="W618" s="260"/>
      <c r="X618" s="67"/>
    </row>
    <row r="619" spans="1:24" s="4" customFormat="1" ht="15" customHeight="1">
      <c r="A619" s="427"/>
      <c r="B619" s="122" t="s">
        <v>421</v>
      </c>
      <c r="C619" s="157" t="s">
        <v>420</v>
      </c>
      <c r="D619" s="48" t="s">
        <v>248</v>
      </c>
      <c r="E619" s="441"/>
      <c r="F619" s="48" t="s">
        <v>64</v>
      </c>
      <c r="G619" s="122"/>
      <c r="H619" s="34"/>
      <c r="I619" s="34"/>
      <c r="J619" s="6"/>
      <c r="K619" s="211"/>
      <c r="L619" s="211"/>
      <c r="M619" s="211">
        <v>46200</v>
      </c>
      <c r="N619" s="211">
        <v>11</v>
      </c>
      <c r="O619" s="34"/>
      <c r="P619" s="34"/>
      <c r="Q619" s="34">
        <f>June!CW337</f>
        <v>20</v>
      </c>
      <c r="R619" s="436"/>
      <c r="S619" s="436"/>
      <c r="T619" s="211"/>
      <c r="U619" s="211"/>
      <c r="V619" s="211">
        <f t="shared" si="31"/>
        <v>57857</v>
      </c>
      <c r="W619" s="260"/>
      <c r="X619" s="67"/>
    </row>
    <row r="620" spans="1:24" s="4" customFormat="1" ht="15" customHeight="1">
      <c r="A620" s="427"/>
      <c r="B620" s="442" t="s">
        <v>289</v>
      </c>
      <c r="C620" s="444" t="s">
        <v>290</v>
      </c>
      <c r="D620" s="48" t="s">
        <v>432</v>
      </c>
      <c r="E620" s="441"/>
      <c r="F620" s="48" t="s">
        <v>381</v>
      </c>
      <c r="G620" s="122"/>
      <c r="H620" s="34"/>
      <c r="I620" s="34"/>
      <c r="J620" s="6"/>
      <c r="K620" s="211"/>
      <c r="L620" s="211"/>
      <c r="M620" s="211"/>
      <c r="N620" s="211"/>
      <c r="O620" s="34">
        <f>June!CX329</f>
        <v>506</v>
      </c>
      <c r="P620" s="34">
        <f>June!CY329</f>
        <v>235</v>
      </c>
      <c r="Q620" s="34">
        <f>June!CW329</f>
        <v>1</v>
      </c>
      <c r="R620" s="436"/>
      <c r="S620" s="436"/>
      <c r="T620" s="211">
        <v>506</v>
      </c>
      <c r="U620" s="211"/>
      <c r="V620" s="211">
        <f t="shared" si="31"/>
        <v>0</v>
      </c>
      <c r="W620" s="260"/>
      <c r="X620" s="67"/>
    </row>
    <row r="621" spans="1:24" s="4" customFormat="1" ht="15" customHeight="1">
      <c r="A621" s="427"/>
      <c r="B621" s="439"/>
      <c r="C621" s="445"/>
      <c r="D621" s="48" t="s">
        <v>432</v>
      </c>
      <c r="E621" s="441"/>
      <c r="F621" s="48" t="s">
        <v>435</v>
      </c>
      <c r="G621" s="122"/>
      <c r="H621" s="34"/>
      <c r="I621" s="34"/>
      <c r="J621" s="6"/>
      <c r="K621" s="211"/>
      <c r="L621" s="211"/>
      <c r="M621" s="211"/>
      <c r="N621" s="211"/>
      <c r="O621" s="34">
        <f>June!CX330</f>
        <v>800</v>
      </c>
      <c r="P621" s="34">
        <f>June!CY330</f>
        <v>268</v>
      </c>
      <c r="Q621" s="34">
        <f>June!CW330</f>
        <v>1</v>
      </c>
      <c r="R621" s="436"/>
      <c r="S621" s="436"/>
      <c r="T621" s="211">
        <v>800</v>
      </c>
      <c r="U621" s="211"/>
      <c r="V621" s="211">
        <f t="shared" si="31"/>
        <v>0</v>
      </c>
      <c r="W621" s="260"/>
      <c r="X621" s="67"/>
    </row>
    <row r="622" spans="1:24" s="4" customFormat="1" ht="15" customHeight="1">
      <c r="A622" s="427"/>
      <c r="B622" s="443"/>
      <c r="C622" s="446"/>
      <c r="D622" s="48" t="s">
        <v>433</v>
      </c>
      <c r="E622" s="441"/>
      <c r="F622" s="48"/>
      <c r="G622" s="122"/>
      <c r="H622" s="34">
        <f>367.2+91.8</f>
        <v>459</v>
      </c>
      <c r="I622" s="34"/>
      <c r="J622" s="6"/>
      <c r="K622" s="211"/>
      <c r="L622" s="211"/>
      <c r="M622" s="211"/>
      <c r="N622" s="211"/>
      <c r="O622" s="34"/>
      <c r="P622" s="34"/>
      <c r="Q622" s="34"/>
      <c r="R622" s="436"/>
      <c r="S622" s="436"/>
      <c r="T622" s="211"/>
      <c r="U622" s="211"/>
      <c r="V622" s="211"/>
      <c r="W622" s="260"/>
      <c r="X622" s="67"/>
    </row>
    <row r="623" spans="1:24" s="4" customFormat="1" ht="15" customHeight="1">
      <c r="A623" s="427"/>
      <c r="B623" s="268" t="s">
        <v>453</v>
      </c>
      <c r="C623" s="277" t="s">
        <v>438</v>
      </c>
      <c r="D623" s="48" t="s">
        <v>432</v>
      </c>
      <c r="E623" s="441"/>
      <c r="F623" s="48" t="s">
        <v>57</v>
      </c>
      <c r="G623" s="122"/>
      <c r="H623" s="34"/>
      <c r="I623" s="34"/>
      <c r="J623" s="6"/>
      <c r="K623" s="211"/>
      <c r="L623" s="211"/>
      <c r="M623" s="211"/>
      <c r="N623" s="211"/>
      <c r="O623" s="34"/>
      <c r="P623" s="34">
        <f>June!CY331</f>
        <v>325</v>
      </c>
      <c r="Q623" s="34">
        <f>June!CW331</f>
        <v>1</v>
      </c>
      <c r="R623" s="436"/>
      <c r="S623" s="436"/>
      <c r="T623" s="211">
        <v>606</v>
      </c>
      <c r="U623" s="211"/>
      <c r="V623" s="211">
        <f>O623-T623-U623+V590</f>
        <v>0</v>
      </c>
      <c r="W623" s="260"/>
      <c r="X623" s="67"/>
    </row>
    <row r="624" spans="1:24" s="4" customFormat="1" ht="15" customHeight="1">
      <c r="A624" s="427"/>
      <c r="B624" s="122" t="s">
        <v>454</v>
      </c>
      <c r="C624" s="157" t="s">
        <v>438</v>
      </c>
      <c r="D624" s="48" t="s">
        <v>432</v>
      </c>
      <c r="E624" s="441"/>
      <c r="F624" s="48" t="s">
        <v>57</v>
      </c>
      <c r="G624" s="122"/>
      <c r="H624" s="34"/>
      <c r="I624" s="34"/>
      <c r="J624" s="6"/>
      <c r="K624" s="211"/>
      <c r="L624" s="211"/>
      <c r="M624" s="211"/>
      <c r="N624" s="211"/>
      <c r="O624" s="34">
        <f>June!CX332</f>
        <v>684</v>
      </c>
      <c r="P624" s="34">
        <f>June!CY332</f>
        <v>352</v>
      </c>
      <c r="Q624" s="34">
        <f>June!CW332</f>
        <v>1</v>
      </c>
      <c r="R624" s="436"/>
      <c r="S624" s="436"/>
      <c r="T624" s="211"/>
      <c r="U624" s="211"/>
      <c r="V624" s="211">
        <f>O624-T624-U624+V591</f>
        <v>684</v>
      </c>
      <c r="W624" s="260"/>
      <c r="X624" s="67"/>
    </row>
    <row r="625" spans="1:25" ht="15" customHeight="1">
      <c r="A625" s="427"/>
      <c r="B625" s="122" t="s">
        <v>103</v>
      </c>
      <c r="C625" s="157" t="s">
        <v>197</v>
      </c>
      <c r="D625" s="48" t="s">
        <v>104</v>
      </c>
      <c r="E625" s="441"/>
      <c r="F625" s="118" t="s">
        <v>105</v>
      </c>
      <c r="G625" s="119"/>
      <c r="H625" s="126"/>
      <c r="I625" s="126"/>
      <c r="J625" s="2"/>
      <c r="K625" s="18"/>
      <c r="L625" s="18"/>
      <c r="M625" s="18"/>
      <c r="N625" s="18"/>
      <c r="O625" s="126"/>
      <c r="P625" s="126"/>
      <c r="Q625" s="126">
        <f>June!CW339</f>
        <v>1</v>
      </c>
      <c r="R625" s="436"/>
      <c r="S625" s="436"/>
      <c r="T625" s="18"/>
      <c r="U625" s="18"/>
      <c r="V625" s="18"/>
      <c r="W625" s="45"/>
      <c r="X625" s="67"/>
    </row>
    <row r="626" spans="1:25" ht="15" customHeight="1">
      <c r="A626" s="427"/>
      <c r="B626" s="137" t="s">
        <v>112</v>
      </c>
      <c r="C626" s="157" t="s">
        <v>197</v>
      </c>
      <c r="D626" s="48" t="s">
        <v>104</v>
      </c>
      <c r="E626" s="441"/>
      <c r="F626" s="118" t="s">
        <v>113</v>
      </c>
      <c r="G626" s="119"/>
      <c r="H626" s="126"/>
      <c r="I626" s="126"/>
      <c r="J626" s="2"/>
      <c r="K626" s="18"/>
      <c r="L626" s="18"/>
      <c r="M626" s="18"/>
      <c r="N626" s="18"/>
      <c r="O626" s="126"/>
      <c r="P626" s="126"/>
      <c r="Q626" s="126">
        <f>June!CW341</f>
        <v>1</v>
      </c>
      <c r="R626" s="436"/>
      <c r="S626" s="436"/>
      <c r="T626" s="18"/>
      <c r="U626" s="18"/>
      <c r="V626" s="18"/>
      <c r="W626" s="45"/>
      <c r="X626" s="67"/>
    </row>
    <row r="627" spans="1:25" ht="15" customHeight="1" thickBot="1">
      <c r="A627" s="428"/>
      <c r="B627" s="44" t="s">
        <v>107</v>
      </c>
      <c r="C627" s="181" t="s">
        <v>386</v>
      </c>
      <c r="D627" s="61" t="s">
        <v>108</v>
      </c>
      <c r="E627" s="447"/>
      <c r="F627" s="133" t="s">
        <v>48</v>
      </c>
      <c r="G627" s="132"/>
      <c r="H627" s="134"/>
      <c r="I627" s="134"/>
      <c r="J627" s="129"/>
      <c r="K627" s="130"/>
      <c r="L627" s="130"/>
      <c r="M627" s="130">
        <v>13000</v>
      </c>
      <c r="N627" s="130">
        <v>2</v>
      </c>
      <c r="O627" s="134"/>
      <c r="P627" s="134"/>
      <c r="Q627" s="134">
        <f>June!CW340</f>
        <v>2</v>
      </c>
      <c r="R627" s="437"/>
      <c r="S627" s="437"/>
      <c r="T627" s="130"/>
      <c r="U627" s="130"/>
      <c r="V627" s="128">
        <f t="shared" ref="V627:V643" si="32">O627-T627-U627+V595</f>
        <v>11956</v>
      </c>
      <c r="W627" s="85"/>
      <c r="X627" s="67"/>
    </row>
    <row r="628" spans="1:25" ht="15" customHeight="1">
      <c r="A628" s="426">
        <v>46198</v>
      </c>
      <c r="B628" s="429" t="s">
        <v>44</v>
      </c>
      <c r="C628" s="432" t="s">
        <v>240</v>
      </c>
      <c r="D628" s="19" t="s">
        <v>37</v>
      </c>
      <c r="E628" s="19" t="s">
        <v>25</v>
      </c>
      <c r="F628" s="39" t="s">
        <v>40</v>
      </c>
      <c r="G628" s="41">
        <v>6047.91</v>
      </c>
      <c r="H628" s="32">
        <v>4560</v>
      </c>
      <c r="I628" s="32"/>
      <c r="J628" s="32"/>
      <c r="K628" s="20">
        <v>72000</v>
      </c>
      <c r="L628" s="20">
        <v>9</v>
      </c>
      <c r="M628" s="233">
        <v>120000</v>
      </c>
      <c r="N628" s="234">
        <v>15</v>
      </c>
      <c r="O628" s="32">
        <f>June!DA313</f>
        <v>47989</v>
      </c>
      <c r="P628" s="32">
        <f>June!DB313</f>
        <v>56171</v>
      </c>
      <c r="Q628" s="32">
        <f>June!CZ313</f>
        <v>149</v>
      </c>
      <c r="R628" s="435">
        <f>June!DA346</f>
        <v>65855</v>
      </c>
      <c r="S628" s="435">
        <f>June!DB346</f>
        <v>73690</v>
      </c>
      <c r="T628" s="20">
        <v>70139</v>
      </c>
      <c r="U628" s="20">
        <v>16</v>
      </c>
      <c r="V628" s="20">
        <f t="shared" si="32"/>
        <v>114516</v>
      </c>
      <c r="W628" s="77"/>
      <c r="X628" s="36"/>
    </row>
    <row r="629" spans="1:25" ht="15" customHeight="1">
      <c r="A629" s="427"/>
      <c r="B629" s="431"/>
      <c r="C629" s="434"/>
      <c r="D629" s="113" t="s">
        <v>307</v>
      </c>
      <c r="E629" s="113" t="s">
        <v>24</v>
      </c>
      <c r="F629" s="118" t="s">
        <v>40</v>
      </c>
      <c r="G629" s="170"/>
      <c r="H629" s="135"/>
      <c r="I629" s="125"/>
      <c r="J629" s="125"/>
      <c r="K629" s="127">
        <v>32000</v>
      </c>
      <c r="L629" s="127">
        <v>4</v>
      </c>
      <c r="M629" s="216">
        <v>215400</v>
      </c>
      <c r="N629" s="238">
        <v>27</v>
      </c>
      <c r="O629" s="126">
        <f>June!DA314</f>
        <v>17866</v>
      </c>
      <c r="P629" s="125">
        <f>June!DB314</f>
        <v>15371</v>
      </c>
      <c r="Q629" s="125">
        <f>June!CZ314</f>
        <v>41</v>
      </c>
      <c r="R629" s="436"/>
      <c r="S629" s="436"/>
      <c r="T629" s="127"/>
      <c r="U629" s="127"/>
      <c r="V629" s="127">
        <f t="shared" si="32"/>
        <v>132984</v>
      </c>
      <c r="W629" s="46"/>
      <c r="X629" s="67"/>
    </row>
    <row r="630" spans="1:25" ht="15" customHeight="1">
      <c r="A630" s="427"/>
      <c r="B630" s="442" t="s">
        <v>45</v>
      </c>
      <c r="C630" s="448" t="s">
        <v>59</v>
      </c>
      <c r="D630" s="118" t="s">
        <v>75</v>
      </c>
      <c r="E630" s="131" t="s">
        <v>25</v>
      </c>
      <c r="F630" s="131" t="s">
        <v>57</v>
      </c>
      <c r="G630" s="87"/>
      <c r="H630" s="152"/>
      <c r="I630" s="126"/>
      <c r="J630" s="2"/>
      <c r="K630" s="127"/>
      <c r="L630" s="18"/>
      <c r="M630" s="18">
        <v>44680</v>
      </c>
      <c r="N630" s="80">
        <v>9</v>
      </c>
      <c r="O630" s="126"/>
      <c r="P630" s="126"/>
      <c r="Q630" s="2">
        <f>June!CZ317</f>
        <v>11</v>
      </c>
      <c r="R630" s="436"/>
      <c r="S630" s="436"/>
      <c r="T630" s="18"/>
      <c r="U630" s="18"/>
      <c r="V630" s="127">
        <f t="shared" si="32"/>
        <v>11746</v>
      </c>
      <c r="W630" s="46"/>
      <c r="Y630" s="13"/>
    </row>
    <row r="631" spans="1:25">
      <c r="A631" s="427"/>
      <c r="B631" s="439"/>
      <c r="C631" s="440"/>
      <c r="D631" s="118" t="s">
        <v>72</v>
      </c>
      <c r="E631" s="155" t="s">
        <v>24</v>
      </c>
      <c r="F631" s="131" t="s">
        <v>57</v>
      </c>
      <c r="G631" s="224"/>
      <c r="H631" s="152"/>
      <c r="I631" s="126"/>
      <c r="J631" s="126"/>
      <c r="K631" s="127"/>
      <c r="L631" s="18"/>
      <c r="M631" s="18">
        <v>49600</v>
      </c>
      <c r="N631" s="80">
        <v>10</v>
      </c>
      <c r="O631" s="126"/>
      <c r="P631" s="126"/>
      <c r="Q631" s="126">
        <f>June!CZ319</f>
        <v>8</v>
      </c>
      <c r="R631" s="436"/>
      <c r="S631" s="436"/>
      <c r="T631" s="18"/>
      <c r="U631" s="18"/>
      <c r="V631" s="127">
        <f t="shared" si="32"/>
        <v>23089</v>
      </c>
      <c r="W631" s="46"/>
      <c r="Y631" s="13"/>
    </row>
    <row r="632" spans="1:25" ht="14.25" customHeight="1">
      <c r="A632" s="427"/>
      <c r="B632" s="439"/>
      <c r="C632" s="440"/>
      <c r="D632" s="115" t="s">
        <v>79</v>
      </c>
      <c r="E632" s="155" t="s">
        <v>65</v>
      </c>
      <c r="F632" s="131" t="s">
        <v>57</v>
      </c>
      <c r="G632" s="224"/>
      <c r="H632" s="126"/>
      <c r="I632" s="126"/>
      <c r="J632" s="126"/>
      <c r="K632" s="18"/>
      <c r="L632" s="18"/>
      <c r="M632" s="18"/>
      <c r="N632" s="80"/>
      <c r="O632" s="126"/>
      <c r="P632" s="126"/>
      <c r="Q632" s="126"/>
      <c r="R632" s="436"/>
      <c r="S632" s="436"/>
      <c r="T632" s="18"/>
      <c r="U632" s="18"/>
      <c r="V632" s="127">
        <f t="shared" si="32"/>
        <v>10211</v>
      </c>
      <c r="W632" s="45"/>
      <c r="X632" s="36"/>
    </row>
    <row r="633" spans="1:25" ht="14.25" customHeight="1">
      <c r="A633" s="427"/>
      <c r="B633" s="439"/>
      <c r="C633" s="448" t="s">
        <v>299</v>
      </c>
      <c r="D633" s="115" t="s">
        <v>296</v>
      </c>
      <c r="E633" s="424" t="s">
        <v>25</v>
      </c>
      <c r="F633" s="131" t="s">
        <v>298</v>
      </c>
      <c r="G633" s="224"/>
      <c r="H633" s="37"/>
      <c r="I633" s="126"/>
      <c r="J633" s="126"/>
      <c r="K633" s="18"/>
      <c r="L633" s="18"/>
      <c r="M633" s="18"/>
      <c r="N633" s="80"/>
      <c r="O633" s="126"/>
      <c r="P633" s="126"/>
      <c r="Q633" s="126"/>
      <c r="R633" s="436"/>
      <c r="S633" s="436"/>
      <c r="T633" s="18"/>
      <c r="U633" s="18"/>
      <c r="V633" s="127">
        <f t="shared" si="32"/>
        <v>4427</v>
      </c>
      <c r="W633" s="45"/>
      <c r="X633" s="67"/>
    </row>
    <row r="634" spans="1:25" ht="14.25" customHeight="1">
      <c r="A634" s="427"/>
      <c r="B634" s="443"/>
      <c r="C634" s="449"/>
      <c r="D634" s="115" t="s">
        <v>75</v>
      </c>
      <c r="E634" s="425"/>
      <c r="F634" s="131" t="s">
        <v>298</v>
      </c>
      <c r="G634" s="224"/>
      <c r="H634" s="37"/>
      <c r="I634" s="126"/>
      <c r="J634" s="126"/>
      <c r="K634" s="18"/>
      <c r="L634" s="18"/>
      <c r="M634" s="18">
        <v>10000</v>
      </c>
      <c r="N634" s="80">
        <v>2</v>
      </c>
      <c r="O634" s="126"/>
      <c r="P634" s="126"/>
      <c r="Q634" s="126">
        <f>June!CZ323</f>
        <v>4</v>
      </c>
      <c r="R634" s="436"/>
      <c r="S634" s="436"/>
      <c r="T634" s="18"/>
      <c r="U634" s="18"/>
      <c r="V634" s="127">
        <f t="shared" si="32"/>
        <v>14595</v>
      </c>
      <c r="W634" s="45"/>
      <c r="X634" s="67"/>
    </row>
    <row r="635" spans="1:25" ht="14.25" customHeight="1">
      <c r="A635" s="427"/>
      <c r="B635" s="439" t="s">
        <v>53</v>
      </c>
      <c r="C635" s="445" t="s">
        <v>60</v>
      </c>
      <c r="D635" s="43" t="s">
        <v>320</v>
      </c>
      <c r="E635" s="441" t="s">
        <v>66</v>
      </c>
      <c r="F635" s="118" t="s">
        <v>54</v>
      </c>
      <c r="G635" s="224"/>
      <c r="H635" s="37"/>
      <c r="I635" s="126"/>
      <c r="J635" s="126"/>
      <c r="K635" s="18"/>
      <c r="L635" s="18"/>
      <c r="M635" s="18"/>
      <c r="N635" s="80"/>
      <c r="O635" s="126"/>
      <c r="P635" s="126"/>
      <c r="Q635" s="126">
        <f>June!CZ315</f>
        <v>8</v>
      </c>
      <c r="R635" s="436"/>
      <c r="S635" s="436"/>
      <c r="T635" s="18">
        <v>1004</v>
      </c>
      <c r="U635" s="18"/>
      <c r="V635" s="127">
        <f t="shared" si="32"/>
        <v>42606</v>
      </c>
      <c r="W635" s="45"/>
      <c r="X635" s="67"/>
    </row>
    <row r="636" spans="1:25" ht="14.25" customHeight="1">
      <c r="A636" s="427"/>
      <c r="B636" s="439"/>
      <c r="C636" s="445"/>
      <c r="D636" s="43" t="s">
        <v>387</v>
      </c>
      <c r="E636" s="425"/>
      <c r="F636" s="118" t="s">
        <v>54</v>
      </c>
      <c r="G636" s="229"/>
      <c r="H636" s="182"/>
      <c r="I636" s="125"/>
      <c r="J636" s="125"/>
      <c r="K636" s="127"/>
      <c r="L636" s="127"/>
      <c r="M636" s="127">
        <v>64800</v>
      </c>
      <c r="N636" s="171">
        <v>11</v>
      </c>
      <c r="O636" s="125"/>
      <c r="P636" s="125"/>
      <c r="Q636" s="125"/>
      <c r="R636" s="436"/>
      <c r="S636" s="436"/>
      <c r="T636" s="18"/>
      <c r="U636" s="18"/>
      <c r="V636" s="127">
        <f t="shared" si="32"/>
        <v>666</v>
      </c>
      <c r="W636" s="45"/>
      <c r="X636" s="67"/>
    </row>
    <row r="637" spans="1:25" ht="14.25" customHeight="1">
      <c r="A637" s="427"/>
      <c r="B637" s="443"/>
      <c r="C637" s="446"/>
      <c r="D637" s="43" t="s">
        <v>199</v>
      </c>
      <c r="E637" s="114" t="s">
        <v>25</v>
      </c>
      <c r="F637" s="118" t="s">
        <v>54</v>
      </c>
      <c r="G637" s="224"/>
      <c r="H637" s="135"/>
      <c r="I637" s="158"/>
      <c r="J637" s="158"/>
      <c r="K637" s="128"/>
      <c r="L637" s="128"/>
      <c r="M637" s="128"/>
      <c r="N637" s="164"/>
      <c r="O637" s="158"/>
      <c r="P637" s="158"/>
      <c r="Q637" s="158"/>
      <c r="R637" s="436"/>
      <c r="S637" s="436"/>
      <c r="T637" s="18"/>
      <c r="U637" s="18"/>
      <c r="V637" s="127">
        <f t="shared" si="32"/>
        <v>68</v>
      </c>
      <c r="W637" s="45"/>
      <c r="X637" s="67"/>
    </row>
    <row r="638" spans="1:25" ht="15.75" customHeight="1">
      <c r="A638" s="427"/>
      <c r="B638" s="122" t="s">
        <v>55</v>
      </c>
      <c r="C638" s="180" t="s">
        <v>133</v>
      </c>
      <c r="D638" s="48" t="s">
        <v>56</v>
      </c>
      <c r="E638" s="424" t="s">
        <v>25</v>
      </c>
      <c r="F638" s="118" t="s">
        <v>67</v>
      </c>
      <c r="G638" s="226"/>
      <c r="H638" s="126"/>
      <c r="I638" s="126"/>
      <c r="J638" s="2"/>
      <c r="K638" s="18"/>
      <c r="L638" s="18"/>
      <c r="M638" s="18"/>
      <c r="N638" s="18"/>
      <c r="O638" s="126"/>
      <c r="P638" s="126"/>
      <c r="Q638" s="126"/>
      <c r="R638" s="436"/>
      <c r="S638" s="436"/>
      <c r="T638" s="18"/>
      <c r="U638" s="18"/>
      <c r="V638" s="127">
        <f t="shared" si="32"/>
        <v>7022</v>
      </c>
      <c r="W638" s="45"/>
      <c r="X638" s="67"/>
    </row>
    <row r="639" spans="1:25" ht="15" customHeight="1">
      <c r="A639" s="427"/>
      <c r="B639" s="122" t="s">
        <v>122</v>
      </c>
      <c r="C639" s="180" t="s">
        <v>123</v>
      </c>
      <c r="D639" s="48" t="s">
        <v>56</v>
      </c>
      <c r="E639" s="441"/>
      <c r="F639" s="155" t="s">
        <v>64</v>
      </c>
      <c r="G639" s="119"/>
      <c r="H639" s="126"/>
      <c r="I639" s="126"/>
      <c r="J639" s="2"/>
      <c r="K639" s="18"/>
      <c r="L639" s="18"/>
      <c r="M639" s="18">
        <v>6400</v>
      </c>
      <c r="N639" s="18">
        <v>2</v>
      </c>
      <c r="O639" s="126"/>
      <c r="P639" s="126"/>
      <c r="Q639" s="126"/>
      <c r="R639" s="436"/>
      <c r="S639" s="436"/>
      <c r="T639" s="18"/>
      <c r="U639" s="18"/>
      <c r="V639" s="127">
        <f t="shared" si="32"/>
        <v>18121</v>
      </c>
      <c r="W639" s="45"/>
      <c r="X639" s="67"/>
    </row>
    <row r="640" spans="1:25" ht="14.25" customHeight="1">
      <c r="A640" s="427"/>
      <c r="B640" s="137" t="s">
        <v>58</v>
      </c>
      <c r="C640" s="157" t="s">
        <v>243</v>
      </c>
      <c r="D640" s="48" t="s">
        <v>56</v>
      </c>
      <c r="E640" s="441"/>
      <c r="F640" s="118" t="s">
        <v>64</v>
      </c>
      <c r="G640" s="225"/>
      <c r="H640" s="126"/>
      <c r="I640" s="126"/>
      <c r="J640" s="126"/>
      <c r="K640" s="18"/>
      <c r="L640" s="18"/>
      <c r="M640" s="18"/>
      <c r="N640" s="80"/>
      <c r="O640" s="126"/>
      <c r="P640" s="126"/>
      <c r="Q640" s="126"/>
      <c r="R640" s="436"/>
      <c r="S640" s="436"/>
      <c r="T640" s="18"/>
      <c r="U640" s="18"/>
      <c r="V640" s="127">
        <f t="shared" si="32"/>
        <v>8144</v>
      </c>
      <c r="W640" s="45"/>
      <c r="X640" s="67"/>
    </row>
    <row r="641" spans="1:24" ht="14.25" customHeight="1">
      <c r="A641" s="427"/>
      <c r="B641" s="122" t="s">
        <v>61</v>
      </c>
      <c r="C641" s="180" t="s">
        <v>137</v>
      </c>
      <c r="D641" s="48" t="s">
        <v>56</v>
      </c>
      <c r="E641" s="441"/>
      <c r="F641" s="118" t="s">
        <v>67</v>
      </c>
      <c r="G641" s="225"/>
      <c r="H641" s="126"/>
      <c r="I641" s="126"/>
      <c r="J641" s="126"/>
      <c r="K641" s="18"/>
      <c r="L641" s="18"/>
      <c r="M641" s="18"/>
      <c r="N641" s="80"/>
      <c r="O641" s="126"/>
      <c r="P641" s="126"/>
      <c r="Q641" s="126"/>
      <c r="R641" s="436"/>
      <c r="S641" s="436"/>
      <c r="T641" s="18"/>
      <c r="U641" s="18"/>
      <c r="V641" s="127">
        <f t="shared" si="32"/>
        <v>5844</v>
      </c>
      <c r="W641" s="45"/>
      <c r="X641" s="67"/>
    </row>
    <row r="642" spans="1:24" ht="14.25" customHeight="1">
      <c r="A642" s="427"/>
      <c r="B642" s="122" t="s">
        <v>125</v>
      </c>
      <c r="C642" s="180" t="s">
        <v>88</v>
      </c>
      <c r="D642" s="48" t="s">
        <v>124</v>
      </c>
      <c r="E642" s="441"/>
      <c r="F642" s="118" t="s">
        <v>64</v>
      </c>
      <c r="G642" s="225"/>
      <c r="H642" s="126"/>
      <c r="I642" s="126"/>
      <c r="J642" s="126"/>
      <c r="K642" s="18"/>
      <c r="L642" s="18"/>
      <c r="M642" s="18">
        <v>51200</v>
      </c>
      <c r="N642" s="80">
        <v>7</v>
      </c>
      <c r="O642" s="126"/>
      <c r="P642" s="126"/>
      <c r="Q642" s="126"/>
      <c r="R642" s="436"/>
      <c r="S642" s="436"/>
      <c r="T642" s="18"/>
      <c r="U642" s="18"/>
      <c r="V642" s="127">
        <f t="shared" si="32"/>
        <v>23615</v>
      </c>
      <c r="W642" s="45"/>
      <c r="X642" s="67"/>
    </row>
    <row r="643" spans="1:24" ht="14.25" customHeight="1">
      <c r="A643" s="427"/>
      <c r="B643" s="137" t="s">
        <v>47</v>
      </c>
      <c r="C643" s="157" t="s">
        <v>457</v>
      </c>
      <c r="D643" s="48" t="s">
        <v>458</v>
      </c>
      <c r="E643" s="441"/>
      <c r="F643" s="118" t="s">
        <v>459</v>
      </c>
      <c r="G643" s="225"/>
      <c r="H643" s="126"/>
      <c r="I643" s="126"/>
      <c r="J643" s="126"/>
      <c r="K643" s="18"/>
      <c r="L643" s="18"/>
      <c r="M643" s="18"/>
      <c r="N643" s="80"/>
      <c r="O643" s="126"/>
      <c r="P643" s="126">
        <f>June!DB326</f>
        <v>177</v>
      </c>
      <c r="Q643" s="126">
        <f>June!CZ326</f>
        <v>1</v>
      </c>
      <c r="R643" s="436"/>
      <c r="S643" s="436"/>
      <c r="T643" s="18"/>
      <c r="U643" s="18"/>
      <c r="V643" s="127">
        <f t="shared" si="32"/>
        <v>0</v>
      </c>
      <c r="W643" s="45"/>
      <c r="X643" s="67"/>
    </row>
    <row r="644" spans="1:24" ht="15" customHeight="1">
      <c r="A644" s="427"/>
      <c r="B644" s="122" t="s">
        <v>196</v>
      </c>
      <c r="C644" s="180" t="s">
        <v>63</v>
      </c>
      <c r="D644" s="48" t="s">
        <v>135</v>
      </c>
      <c r="E644" s="441"/>
      <c r="F644" s="118" t="s">
        <v>64</v>
      </c>
      <c r="G644" s="226"/>
      <c r="H644" s="126"/>
      <c r="I644" s="126"/>
      <c r="J644" s="2"/>
      <c r="K644" s="18"/>
      <c r="L644" s="18"/>
      <c r="M644" s="18"/>
      <c r="N644" s="18"/>
      <c r="O644" s="126"/>
      <c r="P644" s="126"/>
      <c r="Q644" s="126">
        <f>June!CZ338</f>
        <v>5</v>
      </c>
      <c r="R644" s="436"/>
      <c r="S644" s="436"/>
      <c r="T644" s="18"/>
      <c r="U644" s="18"/>
      <c r="V644" s="127">
        <f t="shared" ref="V644:V652" si="33">O644-T644-U644+V613</f>
        <v>41412</v>
      </c>
      <c r="W644" s="45"/>
      <c r="X644" s="67"/>
    </row>
    <row r="645" spans="1:24" ht="15" customHeight="1">
      <c r="A645" s="427"/>
      <c r="B645" s="122" t="s">
        <v>363</v>
      </c>
      <c r="C645" s="180" t="s">
        <v>325</v>
      </c>
      <c r="D645" s="48" t="s">
        <v>328</v>
      </c>
      <c r="E645" s="441"/>
      <c r="F645" s="118" t="s">
        <v>48</v>
      </c>
      <c r="G645" s="226"/>
      <c r="H645" s="126"/>
      <c r="I645" s="126"/>
      <c r="J645" s="2"/>
      <c r="K645" s="18"/>
      <c r="L645" s="18"/>
      <c r="M645" s="18"/>
      <c r="N645" s="18"/>
      <c r="O645" s="126"/>
      <c r="P645" s="126"/>
      <c r="Q645" s="126">
        <f>June!CZ335</f>
        <v>2</v>
      </c>
      <c r="R645" s="436"/>
      <c r="S645" s="436"/>
      <c r="T645" s="18"/>
      <c r="U645" s="18"/>
      <c r="V645" s="127">
        <f t="shared" si="33"/>
        <v>15153</v>
      </c>
      <c r="W645" s="45"/>
      <c r="X645" s="67"/>
    </row>
    <row r="646" spans="1:24" ht="15" customHeight="1">
      <c r="A646" s="427"/>
      <c r="B646" s="122" t="s">
        <v>253</v>
      </c>
      <c r="C646" s="180" t="s">
        <v>365</v>
      </c>
      <c r="D646" s="48" t="s">
        <v>246</v>
      </c>
      <c r="E646" s="441"/>
      <c r="F646" s="118" t="s">
        <v>247</v>
      </c>
      <c r="G646" s="226"/>
      <c r="H646" s="126"/>
      <c r="I646" s="126"/>
      <c r="J646" s="2"/>
      <c r="K646" s="18"/>
      <c r="L646" s="18"/>
      <c r="M646" s="18"/>
      <c r="N646" s="18"/>
      <c r="O646" s="126"/>
      <c r="P646" s="126"/>
      <c r="Q646" s="126">
        <f>June!CZ327</f>
        <v>3</v>
      </c>
      <c r="R646" s="436"/>
      <c r="S646" s="436"/>
      <c r="T646" s="18"/>
      <c r="U646" s="18"/>
      <c r="V646" s="127">
        <f t="shared" si="33"/>
        <v>12501</v>
      </c>
      <c r="W646" s="45"/>
      <c r="X646" s="67"/>
    </row>
    <row r="647" spans="1:24" ht="15" customHeight="1">
      <c r="A647" s="427"/>
      <c r="B647" s="122" t="s">
        <v>101</v>
      </c>
      <c r="C647" s="180" t="s">
        <v>327</v>
      </c>
      <c r="D647" s="48" t="s">
        <v>102</v>
      </c>
      <c r="E647" s="441"/>
      <c r="F647" s="118" t="s">
        <v>64</v>
      </c>
      <c r="G647" s="119"/>
      <c r="H647" s="126"/>
      <c r="I647" s="126"/>
      <c r="J647" s="2"/>
      <c r="K647" s="18"/>
      <c r="L647" s="18"/>
      <c r="M647" s="18"/>
      <c r="N647" s="18"/>
      <c r="O647" s="126"/>
      <c r="P647" s="126"/>
      <c r="Q647" s="126">
        <f>June!CZ333</f>
        <v>1</v>
      </c>
      <c r="R647" s="436"/>
      <c r="S647" s="436"/>
      <c r="T647" s="18"/>
      <c r="U647" s="18"/>
      <c r="V647" s="18">
        <f t="shared" si="33"/>
        <v>373</v>
      </c>
      <c r="W647" s="45"/>
      <c r="X647" s="67"/>
    </row>
    <row r="648" spans="1:24" ht="15" customHeight="1">
      <c r="A648" s="427"/>
      <c r="B648" s="122" t="s">
        <v>366</v>
      </c>
      <c r="C648" s="157" t="s">
        <v>367</v>
      </c>
      <c r="D648" s="48" t="s">
        <v>132</v>
      </c>
      <c r="E648" s="441"/>
      <c r="F648" s="118" t="s">
        <v>64</v>
      </c>
      <c r="G648" s="119"/>
      <c r="H648" s="126"/>
      <c r="I648" s="126"/>
      <c r="J648" s="2"/>
      <c r="K648" s="18"/>
      <c r="L648" s="18"/>
      <c r="M648" s="18"/>
      <c r="N648" s="18"/>
      <c r="O648" s="126"/>
      <c r="P648" s="126">
        <f>June!DB334</f>
        <v>831</v>
      </c>
      <c r="Q648" s="126">
        <f>June!CZ334</f>
        <v>2</v>
      </c>
      <c r="R648" s="436"/>
      <c r="S648" s="436"/>
      <c r="T648" s="18"/>
      <c r="U648" s="18"/>
      <c r="V648" s="18">
        <f t="shared" si="33"/>
        <v>2164</v>
      </c>
      <c r="W648" s="45"/>
      <c r="X648" s="67"/>
    </row>
    <row r="649" spans="1:24" s="4" customFormat="1" ht="15" customHeight="1">
      <c r="A649" s="427"/>
      <c r="B649" s="122" t="s">
        <v>375</v>
      </c>
      <c r="C649" s="157" t="s">
        <v>376</v>
      </c>
      <c r="D649" s="48" t="s">
        <v>248</v>
      </c>
      <c r="E649" s="441"/>
      <c r="F649" s="48" t="s">
        <v>64</v>
      </c>
      <c r="G649" s="122"/>
      <c r="H649" s="34"/>
      <c r="I649" s="34"/>
      <c r="J649" s="6"/>
      <c r="K649" s="211"/>
      <c r="L649" s="211"/>
      <c r="M649" s="211"/>
      <c r="N649" s="211"/>
      <c r="O649" s="34"/>
      <c r="P649" s="34"/>
      <c r="Q649" s="34"/>
      <c r="R649" s="436"/>
      <c r="S649" s="436"/>
      <c r="T649" s="211"/>
      <c r="U649" s="211"/>
      <c r="V649" s="211">
        <f t="shared" si="33"/>
        <v>75911</v>
      </c>
      <c r="W649" s="260"/>
      <c r="X649" s="67"/>
    </row>
    <row r="650" spans="1:24" s="4" customFormat="1" ht="15" customHeight="1">
      <c r="A650" s="427"/>
      <c r="B650" s="122" t="s">
        <v>421</v>
      </c>
      <c r="C650" s="157" t="s">
        <v>420</v>
      </c>
      <c r="D650" s="48" t="s">
        <v>248</v>
      </c>
      <c r="E650" s="441"/>
      <c r="F650" s="48" t="s">
        <v>64</v>
      </c>
      <c r="G650" s="122"/>
      <c r="H650" s="34"/>
      <c r="I650" s="34"/>
      <c r="J650" s="6"/>
      <c r="K650" s="211"/>
      <c r="L650" s="211"/>
      <c r="M650" s="211">
        <v>46200</v>
      </c>
      <c r="N650" s="211">
        <v>11</v>
      </c>
      <c r="O650" s="34"/>
      <c r="P650" s="34"/>
      <c r="Q650" s="34">
        <f>June!CZ337</f>
        <v>20</v>
      </c>
      <c r="R650" s="436"/>
      <c r="S650" s="436"/>
      <c r="T650" s="211"/>
      <c r="U650" s="211"/>
      <c r="V650" s="211">
        <f t="shared" si="33"/>
        <v>57857</v>
      </c>
      <c r="W650" s="260"/>
      <c r="X650" s="67"/>
    </row>
    <row r="651" spans="1:24" s="4" customFormat="1" ht="15" customHeight="1">
      <c r="A651" s="427"/>
      <c r="B651" s="442" t="s">
        <v>289</v>
      </c>
      <c r="C651" s="444" t="s">
        <v>290</v>
      </c>
      <c r="D651" s="48" t="s">
        <v>432</v>
      </c>
      <c r="E651" s="441"/>
      <c r="F651" s="48" t="s">
        <v>381</v>
      </c>
      <c r="G651" s="122"/>
      <c r="H651" s="34"/>
      <c r="I651" s="34"/>
      <c r="J651" s="6"/>
      <c r="K651" s="211"/>
      <c r="L651" s="211"/>
      <c r="M651" s="211"/>
      <c r="N651" s="211"/>
      <c r="O651" s="34"/>
      <c r="P651" s="34">
        <f>June!DB329</f>
        <v>226</v>
      </c>
      <c r="Q651" s="34">
        <f>June!CZ329</f>
        <v>1</v>
      </c>
      <c r="R651" s="436"/>
      <c r="S651" s="436"/>
      <c r="T651" s="211"/>
      <c r="U651" s="211"/>
      <c r="V651" s="211">
        <f t="shared" si="33"/>
        <v>0</v>
      </c>
      <c r="W651" s="260"/>
      <c r="X651" s="67"/>
    </row>
    <row r="652" spans="1:24" s="4" customFormat="1" ht="15" customHeight="1">
      <c r="A652" s="427"/>
      <c r="B652" s="443"/>
      <c r="C652" s="446"/>
      <c r="D652" s="48" t="s">
        <v>432</v>
      </c>
      <c r="E652" s="441"/>
      <c r="F652" s="48" t="s">
        <v>435</v>
      </c>
      <c r="G652" s="122"/>
      <c r="H652" s="34"/>
      <c r="I652" s="34"/>
      <c r="J652" s="6"/>
      <c r="K652" s="211"/>
      <c r="L652" s="211"/>
      <c r="M652" s="211"/>
      <c r="N652" s="211"/>
      <c r="O652" s="34"/>
      <c r="P652" s="34">
        <f>June!DB330</f>
        <v>301</v>
      </c>
      <c r="Q652" s="34">
        <f>June!CZ330</f>
        <v>1</v>
      </c>
      <c r="R652" s="436"/>
      <c r="S652" s="436"/>
      <c r="T652" s="211"/>
      <c r="U652" s="211"/>
      <c r="V652" s="211">
        <f t="shared" si="33"/>
        <v>0</v>
      </c>
      <c r="W652" s="260"/>
      <c r="X652" s="67"/>
    </row>
    <row r="653" spans="1:24" s="4" customFormat="1" ht="15" customHeight="1">
      <c r="A653" s="427"/>
      <c r="B653" s="268" t="s">
        <v>453</v>
      </c>
      <c r="C653" s="277" t="s">
        <v>438</v>
      </c>
      <c r="D653" s="48" t="s">
        <v>432</v>
      </c>
      <c r="E653" s="441"/>
      <c r="F653" s="48" t="s">
        <v>57</v>
      </c>
      <c r="G653" s="122"/>
      <c r="H653" s="34"/>
      <c r="I653" s="34"/>
      <c r="J653" s="6"/>
      <c r="K653" s="211"/>
      <c r="L653" s="211"/>
      <c r="M653" s="211"/>
      <c r="N653" s="211"/>
      <c r="O653" s="34"/>
      <c r="P653" s="34">
        <f>June!DB331</f>
        <v>319</v>
      </c>
      <c r="Q653" s="34">
        <f>June!CZ331</f>
        <v>1</v>
      </c>
      <c r="R653" s="436"/>
      <c r="S653" s="436"/>
      <c r="T653" s="211"/>
      <c r="U653" s="211"/>
      <c r="V653" s="211">
        <f>O653-T653-U653+V623</f>
        <v>0</v>
      </c>
      <c r="W653" s="260"/>
      <c r="X653" s="67"/>
    </row>
    <row r="654" spans="1:24" s="4" customFormat="1" ht="15" customHeight="1">
      <c r="A654" s="427"/>
      <c r="B654" s="442" t="s">
        <v>454</v>
      </c>
      <c r="C654" s="444" t="s">
        <v>438</v>
      </c>
      <c r="D654" s="48" t="s">
        <v>432</v>
      </c>
      <c r="E654" s="441"/>
      <c r="F654" s="48" t="s">
        <v>57</v>
      </c>
      <c r="G654" s="122"/>
      <c r="H654" s="34"/>
      <c r="I654" s="34"/>
      <c r="J654" s="6"/>
      <c r="K654" s="211"/>
      <c r="L654" s="211"/>
      <c r="M654" s="211"/>
      <c r="N654" s="211"/>
      <c r="O654" s="34"/>
      <c r="P654" s="34">
        <f>June!DB332</f>
        <v>294</v>
      </c>
      <c r="Q654" s="34">
        <f>June!CZ332</f>
        <v>1</v>
      </c>
      <c r="R654" s="436"/>
      <c r="S654" s="436"/>
      <c r="T654" s="211"/>
      <c r="U654" s="211"/>
      <c r="V654" s="211">
        <f>O654-T654-U654+V624</f>
        <v>684</v>
      </c>
      <c r="W654" s="260"/>
      <c r="X654" s="67"/>
    </row>
    <row r="655" spans="1:24" s="4" customFormat="1" ht="15" customHeight="1">
      <c r="A655" s="427"/>
      <c r="B655" s="443"/>
      <c r="C655" s="446"/>
      <c r="D655" s="48" t="s">
        <v>433</v>
      </c>
      <c r="E655" s="441"/>
      <c r="F655" s="48"/>
      <c r="G655" s="122"/>
      <c r="H655" s="293">
        <v>30.6</v>
      </c>
      <c r="I655" s="34"/>
      <c r="J655" s="6"/>
      <c r="K655" s="211"/>
      <c r="L655" s="211"/>
      <c r="M655" s="211"/>
      <c r="N655" s="211"/>
      <c r="O655" s="34"/>
      <c r="P655" s="34"/>
      <c r="Q655" s="34"/>
      <c r="R655" s="436"/>
      <c r="S655" s="436"/>
      <c r="T655" s="211"/>
      <c r="U655" s="211"/>
      <c r="V655" s="211"/>
      <c r="W655" s="260"/>
      <c r="X655" s="67"/>
    </row>
    <row r="656" spans="1:24" ht="15" customHeight="1">
      <c r="A656" s="427"/>
      <c r="B656" s="122" t="s">
        <v>103</v>
      </c>
      <c r="C656" s="157" t="s">
        <v>197</v>
      </c>
      <c r="D656" s="48" t="s">
        <v>104</v>
      </c>
      <c r="E656" s="441"/>
      <c r="F656" s="118" t="s">
        <v>105</v>
      </c>
      <c r="G656" s="119"/>
      <c r="H656" s="126"/>
      <c r="I656" s="126"/>
      <c r="J656" s="2"/>
      <c r="K656" s="18"/>
      <c r="L656" s="18"/>
      <c r="M656" s="18"/>
      <c r="N656" s="18"/>
      <c r="O656" s="126"/>
      <c r="P656" s="126"/>
      <c r="Q656" s="126">
        <f>June!CZ341</f>
        <v>1</v>
      </c>
      <c r="R656" s="436"/>
      <c r="S656" s="436"/>
      <c r="T656" s="18"/>
      <c r="U656" s="18"/>
      <c r="V656" s="18"/>
      <c r="W656" s="45"/>
      <c r="X656" s="67"/>
    </row>
    <row r="657" spans="1:25" ht="15" customHeight="1">
      <c r="A657" s="427"/>
      <c r="B657" s="137" t="s">
        <v>112</v>
      </c>
      <c r="C657" s="157" t="s">
        <v>197</v>
      </c>
      <c r="D657" s="48" t="s">
        <v>104</v>
      </c>
      <c r="E657" s="441"/>
      <c r="F657" s="118" t="s">
        <v>113</v>
      </c>
      <c r="G657" s="119"/>
      <c r="H657" s="126"/>
      <c r="I657" s="126"/>
      <c r="J657" s="2"/>
      <c r="K657" s="18"/>
      <c r="L657" s="18"/>
      <c r="M657" s="18"/>
      <c r="N657" s="18"/>
      <c r="O657" s="126"/>
      <c r="P657" s="126"/>
      <c r="Q657" s="126">
        <f>June!CZ341</f>
        <v>1</v>
      </c>
      <c r="R657" s="436"/>
      <c r="S657" s="436"/>
      <c r="T657" s="18"/>
      <c r="U657" s="18"/>
      <c r="V657" s="18"/>
      <c r="W657" s="45"/>
      <c r="X657" s="67"/>
    </row>
    <row r="658" spans="1:25" ht="15" customHeight="1" thickBot="1">
      <c r="A658" s="428"/>
      <c r="B658" s="44" t="s">
        <v>107</v>
      </c>
      <c r="C658" s="181" t="s">
        <v>386</v>
      </c>
      <c r="D658" s="61" t="s">
        <v>108</v>
      </c>
      <c r="E658" s="447"/>
      <c r="F658" s="133" t="s">
        <v>48</v>
      </c>
      <c r="G658" s="132"/>
      <c r="H658" s="134"/>
      <c r="I658" s="134"/>
      <c r="J658" s="129"/>
      <c r="K658" s="130"/>
      <c r="L658" s="130"/>
      <c r="M658" s="130">
        <v>13000</v>
      </c>
      <c r="N658" s="130">
        <v>2</v>
      </c>
      <c r="O658" s="134"/>
      <c r="P658" s="134"/>
      <c r="Q658" s="134">
        <f>June!CZ340</f>
        <v>2</v>
      </c>
      <c r="R658" s="437"/>
      <c r="S658" s="437"/>
      <c r="T658" s="130"/>
      <c r="U658" s="130"/>
      <c r="V658" s="128">
        <f t="shared" ref="V658:V673" si="34">O658-T658-U658+V627</f>
        <v>11956</v>
      </c>
      <c r="W658" s="85"/>
      <c r="X658" s="67"/>
    </row>
    <row r="659" spans="1:25" ht="15" customHeight="1">
      <c r="A659" s="426">
        <v>46199</v>
      </c>
      <c r="B659" s="429" t="s">
        <v>44</v>
      </c>
      <c r="C659" s="432" t="s">
        <v>240</v>
      </c>
      <c r="D659" s="19" t="s">
        <v>37</v>
      </c>
      <c r="E659" s="19" t="s">
        <v>25</v>
      </c>
      <c r="F659" s="39" t="s">
        <v>40</v>
      </c>
      <c r="G659" s="168">
        <v>5498.1</v>
      </c>
      <c r="H659" s="32"/>
      <c r="I659" s="32"/>
      <c r="J659" s="32"/>
      <c r="K659" s="20">
        <v>88000</v>
      </c>
      <c r="L659" s="20">
        <v>11</v>
      </c>
      <c r="M659" s="20">
        <v>112000</v>
      </c>
      <c r="N659" s="84">
        <v>14</v>
      </c>
      <c r="O659" s="32">
        <f>June!DD313</f>
        <v>57056</v>
      </c>
      <c r="P659" s="32">
        <f>June!DE313</f>
        <v>55674</v>
      </c>
      <c r="Q659" s="32">
        <f>June!DC313</f>
        <v>149</v>
      </c>
      <c r="R659" s="435">
        <f>June!DD346</f>
        <v>101816</v>
      </c>
      <c r="S659" s="435">
        <f>June!DE346</f>
        <v>75784</v>
      </c>
      <c r="T659" s="20">
        <v>44883</v>
      </c>
      <c r="U659" s="20"/>
      <c r="V659" s="20">
        <f t="shared" si="34"/>
        <v>126689</v>
      </c>
      <c r="W659" s="77"/>
      <c r="X659" s="36"/>
    </row>
    <row r="660" spans="1:25" ht="15" customHeight="1">
      <c r="A660" s="427"/>
      <c r="B660" s="431"/>
      <c r="C660" s="434"/>
      <c r="D660" s="113" t="s">
        <v>307</v>
      </c>
      <c r="E660" s="113" t="s">
        <v>24</v>
      </c>
      <c r="F660" s="118" t="s">
        <v>40</v>
      </c>
      <c r="G660" s="170"/>
      <c r="H660" s="135">
        <v>3037.5</v>
      </c>
      <c r="I660" s="125"/>
      <c r="J660" s="125"/>
      <c r="K660" s="127"/>
      <c r="L660" s="127"/>
      <c r="M660" s="216">
        <v>215400</v>
      </c>
      <c r="N660" s="238">
        <v>27</v>
      </c>
      <c r="O660" s="126">
        <f>June!DD314</f>
        <v>34735</v>
      </c>
      <c r="P660" s="125">
        <f>June!DE314</f>
        <v>15263</v>
      </c>
      <c r="Q660" s="125">
        <f>June!DC314</f>
        <v>40</v>
      </c>
      <c r="R660" s="436"/>
      <c r="S660" s="436"/>
      <c r="T660" s="127">
        <v>18020</v>
      </c>
      <c r="U660" s="127">
        <v>29</v>
      </c>
      <c r="V660" s="127">
        <f t="shared" si="34"/>
        <v>149670</v>
      </c>
      <c r="W660" s="46"/>
      <c r="X660" s="67"/>
    </row>
    <row r="661" spans="1:25" ht="15" customHeight="1">
      <c r="A661" s="427"/>
      <c r="B661" s="442" t="s">
        <v>45</v>
      </c>
      <c r="C661" s="448" t="s">
        <v>59</v>
      </c>
      <c r="D661" s="118" t="s">
        <v>75</v>
      </c>
      <c r="E661" s="131" t="s">
        <v>25</v>
      </c>
      <c r="F661" s="131" t="s">
        <v>57</v>
      </c>
      <c r="G661" s="87"/>
      <c r="H661" s="152"/>
      <c r="I661" s="126"/>
      <c r="J661" s="2"/>
      <c r="K661" s="127"/>
      <c r="L661" s="18"/>
      <c r="M661" s="18">
        <v>44680</v>
      </c>
      <c r="N661" s="80">
        <v>9</v>
      </c>
      <c r="O661" s="126"/>
      <c r="P661" s="126"/>
      <c r="Q661" s="2">
        <f>June!DC317</f>
        <v>11</v>
      </c>
      <c r="R661" s="436"/>
      <c r="S661" s="436"/>
      <c r="T661" s="18"/>
      <c r="U661" s="18"/>
      <c r="V661" s="127">
        <f t="shared" si="34"/>
        <v>11746</v>
      </c>
      <c r="W661" s="46"/>
      <c r="Y661" s="13"/>
    </row>
    <row r="662" spans="1:25">
      <c r="A662" s="427"/>
      <c r="B662" s="439"/>
      <c r="C662" s="440"/>
      <c r="D662" s="118" t="s">
        <v>72</v>
      </c>
      <c r="E662" s="155" t="s">
        <v>24</v>
      </c>
      <c r="F662" s="131" t="s">
        <v>57</v>
      </c>
      <c r="G662" s="224"/>
      <c r="H662" s="152"/>
      <c r="I662" s="126"/>
      <c r="J662" s="126"/>
      <c r="K662" s="127"/>
      <c r="L662" s="18"/>
      <c r="M662" s="18">
        <v>49600</v>
      </c>
      <c r="N662" s="80">
        <v>10</v>
      </c>
      <c r="O662" s="126"/>
      <c r="P662" s="126"/>
      <c r="Q662" s="126">
        <f>June!DC319</f>
        <v>8</v>
      </c>
      <c r="R662" s="436"/>
      <c r="S662" s="436"/>
      <c r="T662" s="18"/>
      <c r="U662" s="18"/>
      <c r="V662" s="127">
        <f t="shared" si="34"/>
        <v>23089</v>
      </c>
      <c r="W662" s="46"/>
      <c r="Y662" s="13"/>
    </row>
    <row r="663" spans="1:25" ht="14.25" customHeight="1">
      <c r="A663" s="427"/>
      <c r="B663" s="439"/>
      <c r="C663" s="440"/>
      <c r="D663" s="115" t="s">
        <v>79</v>
      </c>
      <c r="E663" s="155" t="s">
        <v>65</v>
      </c>
      <c r="F663" s="131" t="s">
        <v>57</v>
      </c>
      <c r="G663" s="224"/>
      <c r="H663" s="126"/>
      <c r="I663" s="126"/>
      <c r="J663" s="126"/>
      <c r="K663" s="18"/>
      <c r="L663" s="18"/>
      <c r="M663" s="18"/>
      <c r="N663" s="80"/>
      <c r="O663" s="126"/>
      <c r="P663" s="126"/>
      <c r="Q663" s="126"/>
      <c r="R663" s="436"/>
      <c r="S663" s="436"/>
      <c r="T663" s="18"/>
      <c r="U663" s="18"/>
      <c r="V663" s="127">
        <f t="shared" si="34"/>
        <v>10211</v>
      </c>
      <c r="W663" s="45"/>
      <c r="X663" s="36"/>
    </row>
    <row r="664" spans="1:25" ht="14.25" customHeight="1">
      <c r="A664" s="427"/>
      <c r="B664" s="439"/>
      <c r="C664" s="448" t="s">
        <v>299</v>
      </c>
      <c r="D664" s="115" t="s">
        <v>296</v>
      </c>
      <c r="E664" s="424" t="s">
        <v>25</v>
      </c>
      <c r="F664" s="131" t="s">
        <v>298</v>
      </c>
      <c r="G664" s="224"/>
      <c r="H664" s="37"/>
      <c r="I664" s="126"/>
      <c r="J664" s="126"/>
      <c r="K664" s="18"/>
      <c r="L664" s="18"/>
      <c r="M664" s="18"/>
      <c r="N664" s="80"/>
      <c r="O664" s="126"/>
      <c r="P664" s="126"/>
      <c r="Q664" s="126"/>
      <c r="R664" s="436"/>
      <c r="S664" s="436"/>
      <c r="T664" s="18"/>
      <c r="U664" s="18"/>
      <c r="V664" s="127">
        <f t="shared" si="34"/>
        <v>4427</v>
      </c>
      <c r="W664" s="45"/>
      <c r="X664" s="67"/>
    </row>
    <row r="665" spans="1:25" ht="14.25" customHeight="1">
      <c r="A665" s="427"/>
      <c r="B665" s="443"/>
      <c r="C665" s="449"/>
      <c r="D665" s="115" t="s">
        <v>75</v>
      </c>
      <c r="E665" s="425"/>
      <c r="F665" s="131" t="s">
        <v>298</v>
      </c>
      <c r="G665" s="224"/>
      <c r="H665" s="37"/>
      <c r="I665" s="126"/>
      <c r="J665" s="126"/>
      <c r="K665" s="18"/>
      <c r="L665" s="18"/>
      <c r="M665" s="18">
        <v>10000</v>
      </c>
      <c r="N665" s="80">
        <v>2</v>
      </c>
      <c r="O665" s="126"/>
      <c r="P665" s="126"/>
      <c r="Q665" s="126">
        <f>June!DC323</f>
        <v>4</v>
      </c>
      <c r="R665" s="436"/>
      <c r="S665" s="436"/>
      <c r="T665" s="18"/>
      <c r="U665" s="18"/>
      <c r="V665" s="127">
        <f t="shared" si="34"/>
        <v>14595</v>
      </c>
      <c r="W665" s="45"/>
      <c r="X665" s="67"/>
    </row>
    <row r="666" spans="1:25" ht="14.25" customHeight="1">
      <c r="A666" s="427"/>
      <c r="B666" s="439" t="s">
        <v>53</v>
      </c>
      <c r="C666" s="445" t="s">
        <v>60</v>
      </c>
      <c r="D666" s="43" t="s">
        <v>320</v>
      </c>
      <c r="E666" s="441" t="s">
        <v>66</v>
      </c>
      <c r="F666" s="118" t="s">
        <v>54</v>
      </c>
      <c r="G666" s="224"/>
      <c r="H666" s="37"/>
      <c r="I666" s="126"/>
      <c r="J666" s="126"/>
      <c r="K666" s="18"/>
      <c r="L666" s="18"/>
      <c r="M666" s="18"/>
      <c r="N666" s="80"/>
      <c r="O666" s="126"/>
      <c r="P666" s="126">
        <f>June!DE315</f>
        <v>1283</v>
      </c>
      <c r="Q666" s="126">
        <f>June!DC315</f>
        <v>8</v>
      </c>
      <c r="R666" s="436"/>
      <c r="S666" s="436"/>
      <c r="T666" s="18"/>
      <c r="U666" s="18"/>
      <c r="V666" s="127">
        <f t="shared" si="34"/>
        <v>42606</v>
      </c>
      <c r="W666" s="45"/>
      <c r="X666" s="67"/>
    </row>
    <row r="667" spans="1:25" ht="14.25" customHeight="1">
      <c r="A667" s="427"/>
      <c r="B667" s="439"/>
      <c r="C667" s="445"/>
      <c r="D667" s="43" t="s">
        <v>387</v>
      </c>
      <c r="E667" s="425"/>
      <c r="F667" s="118" t="s">
        <v>54</v>
      </c>
      <c r="G667" s="229"/>
      <c r="H667" s="182"/>
      <c r="I667" s="125"/>
      <c r="J667" s="125"/>
      <c r="K667" s="127"/>
      <c r="L667" s="127"/>
      <c r="M667" s="127">
        <v>64800</v>
      </c>
      <c r="N667" s="171">
        <v>11</v>
      </c>
      <c r="O667" s="125"/>
      <c r="P667" s="125"/>
      <c r="Q667" s="125"/>
      <c r="R667" s="436"/>
      <c r="S667" s="436"/>
      <c r="T667" s="18"/>
      <c r="U667" s="18"/>
      <c r="V667" s="127">
        <f t="shared" si="34"/>
        <v>666</v>
      </c>
      <c r="W667" s="45"/>
      <c r="X667" s="67"/>
    </row>
    <row r="668" spans="1:25" ht="14.25" customHeight="1">
      <c r="A668" s="427"/>
      <c r="B668" s="443"/>
      <c r="C668" s="446"/>
      <c r="D668" s="43" t="s">
        <v>199</v>
      </c>
      <c r="E668" s="114" t="s">
        <v>25</v>
      </c>
      <c r="F668" s="118" t="s">
        <v>54</v>
      </c>
      <c r="G668" s="224"/>
      <c r="H668" s="135"/>
      <c r="I668" s="158"/>
      <c r="J668" s="158"/>
      <c r="K668" s="128"/>
      <c r="L668" s="128"/>
      <c r="M668" s="128"/>
      <c r="N668" s="164"/>
      <c r="O668" s="158"/>
      <c r="P668" s="158"/>
      <c r="Q668" s="158"/>
      <c r="R668" s="436"/>
      <c r="S668" s="436"/>
      <c r="T668" s="18"/>
      <c r="U668" s="18"/>
      <c r="V668" s="127">
        <f t="shared" si="34"/>
        <v>68</v>
      </c>
      <c r="W668" s="45"/>
      <c r="X668" s="67"/>
    </row>
    <row r="669" spans="1:25" ht="15.75" customHeight="1">
      <c r="A669" s="427"/>
      <c r="B669" s="122" t="s">
        <v>55</v>
      </c>
      <c r="C669" s="180" t="s">
        <v>133</v>
      </c>
      <c r="D669" s="48" t="s">
        <v>56</v>
      </c>
      <c r="E669" s="424" t="s">
        <v>25</v>
      </c>
      <c r="F669" s="118" t="s">
        <v>67</v>
      </c>
      <c r="G669" s="226"/>
      <c r="H669" s="126"/>
      <c r="I669" s="126"/>
      <c r="J669" s="2"/>
      <c r="K669" s="18"/>
      <c r="L669" s="18"/>
      <c r="M669" s="18"/>
      <c r="N669" s="18"/>
      <c r="O669" s="126"/>
      <c r="P669" s="126"/>
      <c r="Q669" s="126"/>
      <c r="R669" s="436"/>
      <c r="S669" s="436"/>
      <c r="T669" s="18"/>
      <c r="U669" s="18"/>
      <c r="V669" s="127">
        <f t="shared" si="34"/>
        <v>7022</v>
      </c>
      <c r="W669" s="45"/>
      <c r="X669" s="67"/>
    </row>
    <row r="670" spans="1:25" ht="15" customHeight="1">
      <c r="A670" s="427"/>
      <c r="B670" s="122" t="s">
        <v>122</v>
      </c>
      <c r="C670" s="180" t="s">
        <v>123</v>
      </c>
      <c r="D670" s="48" t="s">
        <v>56</v>
      </c>
      <c r="E670" s="441"/>
      <c r="F670" s="155" t="s">
        <v>64</v>
      </c>
      <c r="G670" s="119"/>
      <c r="H670" s="126"/>
      <c r="I670" s="126"/>
      <c r="J670" s="2"/>
      <c r="K670" s="18"/>
      <c r="L670" s="18"/>
      <c r="M670" s="18">
        <v>6400</v>
      </c>
      <c r="N670" s="18">
        <v>2</v>
      </c>
      <c r="O670" s="126"/>
      <c r="P670" s="126"/>
      <c r="Q670" s="126"/>
      <c r="R670" s="436"/>
      <c r="S670" s="436"/>
      <c r="T670" s="18"/>
      <c r="U670" s="18"/>
      <c r="V670" s="127">
        <f t="shared" si="34"/>
        <v>18121</v>
      </c>
      <c r="W670" s="45"/>
      <c r="X670" s="67"/>
    </row>
    <row r="671" spans="1:25" ht="14.25" customHeight="1">
      <c r="A671" s="427"/>
      <c r="B671" s="137" t="s">
        <v>58</v>
      </c>
      <c r="C671" s="157" t="s">
        <v>243</v>
      </c>
      <c r="D671" s="48" t="s">
        <v>56</v>
      </c>
      <c r="E671" s="441"/>
      <c r="F671" s="118" t="s">
        <v>64</v>
      </c>
      <c r="G671" s="225"/>
      <c r="H671" s="126"/>
      <c r="I671" s="126"/>
      <c r="J671" s="126"/>
      <c r="K671" s="18"/>
      <c r="L671" s="18"/>
      <c r="M671" s="18"/>
      <c r="N671" s="80"/>
      <c r="O671" s="126"/>
      <c r="P671" s="126"/>
      <c r="Q671" s="126"/>
      <c r="R671" s="436"/>
      <c r="S671" s="436"/>
      <c r="T671" s="18"/>
      <c r="U671" s="18"/>
      <c r="V671" s="127">
        <f t="shared" si="34"/>
        <v>8144</v>
      </c>
      <c r="W671" s="45"/>
      <c r="X671" s="67"/>
    </row>
    <row r="672" spans="1:25" ht="14.25" customHeight="1">
      <c r="A672" s="427"/>
      <c r="B672" s="122" t="s">
        <v>61</v>
      </c>
      <c r="C672" s="180" t="s">
        <v>137</v>
      </c>
      <c r="D672" s="48" t="s">
        <v>56</v>
      </c>
      <c r="E672" s="441"/>
      <c r="F672" s="118" t="s">
        <v>67</v>
      </c>
      <c r="G672" s="225"/>
      <c r="H672" s="126"/>
      <c r="I672" s="126"/>
      <c r="J672" s="126"/>
      <c r="K672" s="18"/>
      <c r="L672" s="18"/>
      <c r="M672" s="18"/>
      <c r="N672" s="80"/>
      <c r="O672" s="126"/>
      <c r="P672" s="126"/>
      <c r="Q672" s="126"/>
      <c r="R672" s="436"/>
      <c r="S672" s="436"/>
      <c r="T672" s="18"/>
      <c r="U672" s="18"/>
      <c r="V672" s="127">
        <f t="shared" si="34"/>
        <v>5844</v>
      </c>
      <c r="W672" s="45"/>
      <c r="X672" s="67"/>
    </row>
    <row r="673" spans="1:24" ht="14.25" customHeight="1">
      <c r="A673" s="427"/>
      <c r="B673" s="122" t="s">
        <v>125</v>
      </c>
      <c r="C673" s="180" t="s">
        <v>88</v>
      </c>
      <c r="D673" s="48" t="s">
        <v>124</v>
      </c>
      <c r="E673" s="441"/>
      <c r="F673" s="118" t="s">
        <v>64</v>
      </c>
      <c r="G673" s="225"/>
      <c r="H673" s="126"/>
      <c r="I673" s="126"/>
      <c r="J673" s="126"/>
      <c r="K673" s="18"/>
      <c r="L673" s="18"/>
      <c r="M673" s="18">
        <v>51200</v>
      </c>
      <c r="N673" s="80">
        <v>7</v>
      </c>
      <c r="O673" s="126"/>
      <c r="P673" s="126"/>
      <c r="Q673" s="126"/>
      <c r="R673" s="436"/>
      <c r="S673" s="436"/>
      <c r="T673" s="18"/>
      <c r="U673" s="18"/>
      <c r="V673" s="127">
        <f t="shared" si="34"/>
        <v>23615</v>
      </c>
      <c r="W673" s="45"/>
      <c r="X673" s="67"/>
    </row>
    <row r="674" spans="1:24" ht="14.25" customHeight="1">
      <c r="A674" s="427"/>
      <c r="B674" s="137" t="s">
        <v>47</v>
      </c>
      <c r="C674" s="157" t="s">
        <v>100</v>
      </c>
      <c r="D674" s="48" t="s">
        <v>458</v>
      </c>
      <c r="E674" s="441"/>
      <c r="F674" s="118" t="s">
        <v>71</v>
      </c>
      <c r="G674" s="279">
        <v>1334.68</v>
      </c>
      <c r="H674" s="126"/>
      <c r="I674" s="126"/>
      <c r="J674" s="126"/>
      <c r="K674" s="18"/>
      <c r="L674" s="18"/>
      <c r="M674" s="18">
        <v>24400</v>
      </c>
      <c r="N674" s="80">
        <v>4</v>
      </c>
      <c r="O674" s="126"/>
      <c r="P674" s="126"/>
      <c r="Q674" s="126"/>
      <c r="R674" s="436"/>
      <c r="S674" s="436"/>
      <c r="T674" s="18"/>
      <c r="U674" s="18"/>
      <c r="V674" s="127">
        <f>O674-T674-U674</f>
        <v>0</v>
      </c>
      <c r="W674" s="45"/>
      <c r="X674" s="67"/>
    </row>
    <row r="675" spans="1:24" ht="14.25" customHeight="1">
      <c r="A675" s="427"/>
      <c r="B675" s="137" t="s">
        <v>47</v>
      </c>
      <c r="C675" s="157" t="s">
        <v>457</v>
      </c>
      <c r="D675" s="48" t="s">
        <v>458</v>
      </c>
      <c r="E675" s="441"/>
      <c r="F675" s="118" t="s">
        <v>459</v>
      </c>
      <c r="G675" s="225"/>
      <c r="H675" s="126"/>
      <c r="I675" s="126"/>
      <c r="J675" s="126"/>
      <c r="K675" s="18"/>
      <c r="L675" s="18"/>
      <c r="M675" s="18"/>
      <c r="N675" s="80"/>
      <c r="O675" s="126"/>
      <c r="P675" s="126">
        <f>June!DE326</f>
        <v>213</v>
      </c>
      <c r="Q675" s="126">
        <f>June!DC326</f>
        <v>1</v>
      </c>
      <c r="R675" s="436"/>
      <c r="S675" s="436"/>
      <c r="T675" s="18"/>
      <c r="U675" s="18"/>
      <c r="V675" s="127">
        <f t="shared" ref="V675:V686" si="35">O675-T675-U675+V643</f>
        <v>0</v>
      </c>
      <c r="W675" s="45"/>
      <c r="X675" s="67"/>
    </row>
    <row r="676" spans="1:24" ht="15" customHeight="1">
      <c r="A676" s="427"/>
      <c r="B676" s="122" t="s">
        <v>196</v>
      </c>
      <c r="C676" s="180" t="s">
        <v>63</v>
      </c>
      <c r="D676" s="48" t="s">
        <v>135</v>
      </c>
      <c r="E676" s="441"/>
      <c r="F676" s="118" t="s">
        <v>64</v>
      </c>
      <c r="G676" s="226"/>
      <c r="H676" s="126"/>
      <c r="I676" s="126"/>
      <c r="J676" s="2"/>
      <c r="K676" s="18"/>
      <c r="L676" s="18"/>
      <c r="M676" s="18"/>
      <c r="N676" s="18"/>
      <c r="O676" s="126">
        <f>June!DD338</f>
        <v>7625</v>
      </c>
      <c r="P676" s="126">
        <f>June!DE338</f>
        <v>1036</v>
      </c>
      <c r="Q676" s="126">
        <f>June!DC338</f>
        <v>5</v>
      </c>
      <c r="R676" s="436"/>
      <c r="S676" s="436"/>
      <c r="T676" s="18"/>
      <c r="U676" s="18"/>
      <c r="V676" s="127">
        <f t="shared" si="35"/>
        <v>49037</v>
      </c>
      <c r="W676" s="45"/>
      <c r="X676" s="67"/>
    </row>
    <row r="677" spans="1:24" ht="15" customHeight="1">
      <c r="A677" s="427"/>
      <c r="B677" s="122" t="s">
        <v>363</v>
      </c>
      <c r="C677" s="180" t="s">
        <v>325</v>
      </c>
      <c r="D677" s="48" t="s">
        <v>328</v>
      </c>
      <c r="E677" s="441"/>
      <c r="F677" s="118" t="s">
        <v>48</v>
      </c>
      <c r="G677" s="226"/>
      <c r="H677" s="126"/>
      <c r="I677" s="126"/>
      <c r="J677" s="2"/>
      <c r="K677" s="18"/>
      <c r="L677" s="18"/>
      <c r="M677" s="18"/>
      <c r="N677" s="18"/>
      <c r="O677" s="126"/>
      <c r="P677" s="126"/>
      <c r="Q677" s="126">
        <f>June!DC335</f>
        <v>2</v>
      </c>
      <c r="R677" s="436"/>
      <c r="S677" s="436"/>
      <c r="T677" s="18"/>
      <c r="U677" s="18"/>
      <c r="V677" s="127">
        <f t="shared" si="35"/>
        <v>15153</v>
      </c>
      <c r="W677" s="45"/>
      <c r="X677" s="67"/>
    </row>
    <row r="678" spans="1:24" ht="15" customHeight="1">
      <c r="A678" s="427"/>
      <c r="B678" s="122" t="s">
        <v>253</v>
      </c>
      <c r="C678" s="180" t="s">
        <v>365</v>
      </c>
      <c r="D678" s="48" t="s">
        <v>246</v>
      </c>
      <c r="E678" s="441"/>
      <c r="F678" s="118" t="s">
        <v>247</v>
      </c>
      <c r="G678" s="226"/>
      <c r="H678" s="126"/>
      <c r="I678" s="126"/>
      <c r="J678" s="2"/>
      <c r="K678" s="18"/>
      <c r="L678" s="18"/>
      <c r="M678" s="18"/>
      <c r="N678" s="18"/>
      <c r="O678" s="126"/>
      <c r="P678" s="126"/>
      <c r="Q678" s="126">
        <f>June!DC327</f>
        <v>3</v>
      </c>
      <c r="R678" s="436"/>
      <c r="S678" s="436"/>
      <c r="T678" s="18"/>
      <c r="U678" s="18"/>
      <c r="V678" s="127">
        <f t="shared" si="35"/>
        <v>12501</v>
      </c>
      <c r="W678" s="45"/>
      <c r="X678" s="67"/>
    </row>
    <row r="679" spans="1:24" ht="15" customHeight="1">
      <c r="A679" s="427"/>
      <c r="B679" s="122" t="s">
        <v>101</v>
      </c>
      <c r="C679" s="180" t="s">
        <v>327</v>
      </c>
      <c r="D679" s="48" t="s">
        <v>102</v>
      </c>
      <c r="E679" s="441"/>
      <c r="F679" s="118" t="s">
        <v>64</v>
      </c>
      <c r="G679" s="119"/>
      <c r="H679" s="126"/>
      <c r="I679" s="126"/>
      <c r="J679" s="2"/>
      <c r="K679" s="18"/>
      <c r="L679" s="18"/>
      <c r="M679" s="18"/>
      <c r="N679" s="18"/>
      <c r="O679" s="126"/>
      <c r="P679" s="126">
        <f>June!DE333</f>
        <v>809</v>
      </c>
      <c r="Q679" s="126">
        <f>June!DC333</f>
        <v>2</v>
      </c>
      <c r="R679" s="436"/>
      <c r="S679" s="436"/>
      <c r="T679" s="18"/>
      <c r="U679" s="18"/>
      <c r="V679" s="18">
        <f t="shared" si="35"/>
        <v>373</v>
      </c>
      <c r="W679" s="45"/>
      <c r="X679" s="67"/>
    </row>
    <row r="680" spans="1:24" ht="15" customHeight="1">
      <c r="A680" s="427"/>
      <c r="B680" s="122" t="s">
        <v>366</v>
      </c>
      <c r="C680" s="157" t="s">
        <v>367</v>
      </c>
      <c r="D680" s="48" t="s">
        <v>132</v>
      </c>
      <c r="E680" s="441"/>
      <c r="F680" s="118" t="s">
        <v>64</v>
      </c>
      <c r="G680" s="119"/>
      <c r="H680" s="126"/>
      <c r="I680" s="126"/>
      <c r="J680" s="2"/>
      <c r="K680" s="18"/>
      <c r="L680" s="18"/>
      <c r="M680" s="18"/>
      <c r="N680" s="18"/>
      <c r="O680" s="126">
        <f>June!DD334</f>
        <v>2400</v>
      </c>
      <c r="P680" s="126">
        <f>June!DE334</f>
        <v>818</v>
      </c>
      <c r="Q680" s="126">
        <f>June!DC334</f>
        <v>2</v>
      </c>
      <c r="R680" s="436"/>
      <c r="S680" s="436"/>
      <c r="T680" s="18"/>
      <c r="U680" s="18"/>
      <c r="V680" s="18">
        <f t="shared" si="35"/>
        <v>4564</v>
      </c>
      <c r="W680" s="45"/>
      <c r="X680" s="67"/>
    </row>
    <row r="681" spans="1:24" s="4" customFormat="1" ht="15" customHeight="1">
      <c r="A681" s="427"/>
      <c r="B681" s="122" t="s">
        <v>375</v>
      </c>
      <c r="C681" s="157" t="s">
        <v>376</v>
      </c>
      <c r="D681" s="48" t="s">
        <v>248</v>
      </c>
      <c r="E681" s="441"/>
      <c r="F681" s="48" t="s">
        <v>64</v>
      </c>
      <c r="G681" s="122"/>
      <c r="H681" s="34"/>
      <c r="I681" s="34"/>
      <c r="J681" s="6"/>
      <c r="K681" s="211"/>
      <c r="L681" s="211"/>
      <c r="M681" s="211"/>
      <c r="N681" s="211"/>
      <c r="O681" s="34"/>
      <c r="P681" s="34"/>
      <c r="Q681" s="34"/>
      <c r="R681" s="436"/>
      <c r="S681" s="436"/>
      <c r="T681" s="211"/>
      <c r="U681" s="211"/>
      <c r="V681" s="211">
        <f t="shared" si="35"/>
        <v>75911</v>
      </c>
      <c r="W681" s="260"/>
      <c r="X681" s="67"/>
    </row>
    <row r="682" spans="1:24" s="4" customFormat="1" ht="15" customHeight="1">
      <c r="A682" s="427"/>
      <c r="B682" s="122" t="s">
        <v>421</v>
      </c>
      <c r="C682" s="157" t="s">
        <v>420</v>
      </c>
      <c r="D682" s="48" t="s">
        <v>248</v>
      </c>
      <c r="E682" s="441"/>
      <c r="F682" s="48" t="s">
        <v>64</v>
      </c>
      <c r="G682" s="122"/>
      <c r="H682" s="34"/>
      <c r="I682" s="34"/>
      <c r="J682" s="6"/>
      <c r="K682" s="211"/>
      <c r="L682" s="211"/>
      <c r="M682" s="211">
        <v>46200</v>
      </c>
      <c r="N682" s="211">
        <v>11</v>
      </c>
      <c r="O682" s="34"/>
      <c r="P682" s="34"/>
      <c r="Q682" s="34">
        <f>June!DC337</f>
        <v>20</v>
      </c>
      <c r="R682" s="436"/>
      <c r="S682" s="436"/>
      <c r="T682" s="211"/>
      <c r="U682" s="211"/>
      <c r="V682" s="211">
        <f t="shared" si="35"/>
        <v>57857</v>
      </c>
      <c r="W682" s="260"/>
      <c r="X682" s="67"/>
    </row>
    <row r="683" spans="1:24" s="4" customFormat="1" ht="15" customHeight="1">
      <c r="A683" s="427"/>
      <c r="B683" s="442" t="s">
        <v>289</v>
      </c>
      <c r="C683" s="444" t="s">
        <v>290</v>
      </c>
      <c r="D683" s="48" t="s">
        <v>432</v>
      </c>
      <c r="E683" s="441"/>
      <c r="F683" s="48" t="s">
        <v>381</v>
      </c>
      <c r="G683" s="122"/>
      <c r="H683" s="34"/>
      <c r="I683" s="34"/>
      <c r="J683" s="6"/>
      <c r="K683" s="211"/>
      <c r="L683" s="211"/>
      <c r="M683" s="211"/>
      <c r="N683" s="211"/>
      <c r="O683" s="34"/>
      <c r="P683" s="34"/>
      <c r="Q683" s="34">
        <f>June!DC329</f>
        <v>1</v>
      </c>
      <c r="R683" s="436"/>
      <c r="S683" s="436"/>
      <c r="T683" s="211"/>
      <c r="U683" s="211"/>
      <c r="V683" s="211">
        <f t="shared" si="35"/>
        <v>0</v>
      </c>
      <c r="W683" s="260"/>
      <c r="X683" s="67"/>
    </row>
    <row r="684" spans="1:24" s="4" customFormat="1" ht="15" customHeight="1">
      <c r="A684" s="427"/>
      <c r="B684" s="443"/>
      <c r="C684" s="446"/>
      <c r="D684" s="48" t="s">
        <v>432</v>
      </c>
      <c r="E684" s="441"/>
      <c r="F684" s="48" t="s">
        <v>435</v>
      </c>
      <c r="G684" s="122"/>
      <c r="H684" s="34"/>
      <c r="I684" s="34"/>
      <c r="J684" s="6"/>
      <c r="K684" s="211"/>
      <c r="L684" s="211"/>
      <c r="M684" s="211"/>
      <c r="N684" s="211"/>
      <c r="O684" s="34"/>
      <c r="P684" s="34">
        <f>June!DE330</f>
        <v>231</v>
      </c>
      <c r="Q684" s="34">
        <f>June!DC330</f>
        <v>1</v>
      </c>
      <c r="R684" s="436"/>
      <c r="S684" s="436"/>
      <c r="T684" s="211"/>
      <c r="U684" s="211"/>
      <c r="V684" s="211">
        <f t="shared" si="35"/>
        <v>0</v>
      </c>
      <c r="W684" s="260"/>
      <c r="X684" s="67"/>
    </row>
    <row r="685" spans="1:24" s="4" customFormat="1" ht="15" customHeight="1">
      <c r="A685" s="427"/>
      <c r="B685" s="268" t="s">
        <v>453</v>
      </c>
      <c r="C685" s="277" t="s">
        <v>438</v>
      </c>
      <c r="D685" s="48" t="s">
        <v>432</v>
      </c>
      <c r="E685" s="441"/>
      <c r="F685" s="48" t="s">
        <v>57</v>
      </c>
      <c r="G685" s="122"/>
      <c r="H685" s="34"/>
      <c r="I685" s="34"/>
      <c r="J685" s="6"/>
      <c r="K685" s="211"/>
      <c r="L685" s="211"/>
      <c r="M685" s="211"/>
      <c r="N685" s="211"/>
      <c r="O685" s="34"/>
      <c r="P685" s="34">
        <f>June!DE331</f>
        <v>155</v>
      </c>
      <c r="Q685" s="34">
        <f>June!DC331</f>
        <v>1</v>
      </c>
      <c r="R685" s="436"/>
      <c r="S685" s="436"/>
      <c r="T685" s="211"/>
      <c r="U685" s="211"/>
      <c r="V685" s="211">
        <f t="shared" si="35"/>
        <v>0</v>
      </c>
      <c r="W685" s="260"/>
      <c r="X685" s="67"/>
    </row>
    <row r="686" spans="1:24" s="4" customFormat="1" ht="15" customHeight="1">
      <c r="A686" s="427"/>
      <c r="B686" s="122" t="s">
        <v>454</v>
      </c>
      <c r="C686" s="157" t="s">
        <v>438</v>
      </c>
      <c r="D686" s="48" t="s">
        <v>432</v>
      </c>
      <c r="E686" s="441"/>
      <c r="F686" s="48" t="s">
        <v>57</v>
      </c>
      <c r="G686" s="122"/>
      <c r="H686" s="34"/>
      <c r="I686" s="34"/>
      <c r="J686" s="6"/>
      <c r="K686" s="211"/>
      <c r="L686" s="211"/>
      <c r="M686" s="211"/>
      <c r="N686" s="211"/>
      <c r="O686" s="34"/>
      <c r="P686" s="34">
        <f>June!DE332</f>
        <v>302</v>
      </c>
      <c r="Q686" s="34">
        <f>June!DC332</f>
        <v>1</v>
      </c>
      <c r="R686" s="436"/>
      <c r="S686" s="436"/>
      <c r="T686" s="211"/>
      <c r="U686" s="211"/>
      <c r="V686" s="211">
        <f t="shared" si="35"/>
        <v>684</v>
      </c>
      <c r="W686" s="260"/>
      <c r="X686" s="67"/>
    </row>
    <row r="687" spans="1:24" ht="15" customHeight="1">
      <c r="A687" s="427"/>
      <c r="B687" s="122" t="s">
        <v>103</v>
      </c>
      <c r="C687" s="157" t="s">
        <v>197</v>
      </c>
      <c r="D687" s="48" t="s">
        <v>104</v>
      </c>
      <c r="E687" s="441"/>
      <c r="F687" s="118" t="s">
        <v>105</v>
      </c>
      <c r="G687" s="119"/>
      <c r="H687" s="126"/>
      <c r="I687" s="126"/>
      <c r="J687" s="2"/>
      <c r="K687" s="18"/>
      <c r="L687" s="18"/>
      <c r="M687" s="18"/>
      <c r="N687" s="18"/>
      <c r="O687" s="126"/>
      <c r="P687" s="126"/>
      <c r="Q687" s="126">
        <f>June!DC339</f>
        <v>1</v>
      </c>
      <c r="R687" s="436"/>
      <c r="S687" s="436"/>
      <c r="T687" s="18"/>
      <c r="U687" s="18"/>
      <c r="V687" s="18"/>
      <c r="W687" s="45"/>
      <c r="X687" s="67"/>
    </row>
    <row r="688" spans="1:24" ht="15" customHeight="1">
      <c r="A688" s="427"/>
      <c r="B688" s="137" t="s">
        <v>112</v>
      </c>
      <c r="C688" s="157" t="s">
        <v>197</v>
      </c>
      <c r="D688" s="48" t="s">
        <v>104</v>
      </c>
      <c r="E688" s="441"/>
      <c r="F688" s="118" t="s">
        <v>113</v>
      </c>
      <c r="G688" s="119"/>
      <c r="H688" s="126"/>
      <c r="I688" s="126"/>
      <c r="J688" s="2"/>
      <c r="K688" s="18"/>
      <c r="L688" s="18"/>
      <c r="M688" s="18"/>
      <c r="N688" s="18"/>
      <c r="O688" s="126"/>
      <c r="P688" s="126"/>
      <c r="Q688" s="126">
        <f>June!DC341</f>
        <v>1</v>
      </c>
      <c r="R688" s="436"/>
      <c r="S688" s="436"/>
      <c r="T688" s="18"/>
      <c r="U688" s="18"/>
      <c r="V688" s="18"/>
      <c r="W688" s="45"/>
      <c r="X688" s="67"/>
    </row>
    <row r="689" spans="1:25" ht="15" customHeight="1" thickBot="1">
      <c r="A689" s="428"/>
      <c r="B689" s="44" t="s">
        <v>107</v>
      </c>
      <c r="C689" s="181" t="s">
        <v>386</v>
      </c>
      <c r="D689" s="61" t="s">
        <v>108</v>
      </c>
      <c r="E689" s="447"/>
      <c r="F689" s="133" t="s">
        <v>48</v>
      </c>
      <c r="G689" s="132"/>
      <c r="H689" s="134"/>
      <c r="I689" s="134"/>
      <c r="J689" s="129"/>
      <c r="K689" s="130"/>
      <c r="L689" s="130"/>
      <c r="M689" s="130">
        <v>13000</v>
      </c>
      <c r="N689" s="130">
        <v>2</v>
      </c>
      <c r="O689" s="134"/>
      <c r="P689" s="134"/>
      <c r="Q689" s="134">
        <f>June!DC340</f>
        <v>2</v>
      </c>
      <c r="R689" s="437"/>
      <c r="S689" s="437"/>
      <c r="T689" s="130"/>
      <c r="U689" s="130"/>
      <c r="V689" s="128">
        <f t="shared" ref="V689:V717" si="36">O689-T689-U689+V658</f>
        <v>11956</v>
      </c>
      <c r="W689" s="85"/>
      <c r="X689" s="67"/>
    </row>
    <row r="690" spans="1:25" ht="15" customHeight="1">
      <c r="A690" s="426">
        <v>46200</v>
      </c>
      <c r="B690" s="429" t="s">
        <v>44</v>
      </c>
      <c r="C690" s="432" t="s">
        <v>240</v>
      </c>
      <c r="D690" s="19" t="s">
        <v>37</v>
      </c>
      <c r="E690" s="19" t="s">
        <v>25</v>
      </c>
      <c r="F690" s="39" t="s">
        <v>40</v>
      </c>
      <c r="G690" s="168">
        <v>5498.1</v>
      </c>
      <c r="H690" s="32"/>
      <c r="I690" s="32"/>
      <c r="J690" s="32"/>
      <c r="K690" s="20">
        <v>56000</v>
      </c>
      <c r="L690" s="20">
        <v>7</v>
      </c>
      <c r="M690" s="20">
        <v>136000</v>
      </c>
      <c r="N690" s="84">
        <v>17</v>
      </c>
      <c r="O690" s="32">
        <f>June!DG313</f>
        <v>46266</v>
      </c>
      <c r="P690" s="32">
        <f>June!DH313</f>
        <v>53252</v>
      </c>
      <c r="Q690" s="32">
        <f>June!DF313</f>
        <v>149</v>
      </c>
      <c r="R690" s="435">
        <f>June!DG346</f>
        <v>57538</v>
      </c>
      <c r="S690" s="435">
        <f>June!DH346</f>
        <v>73247</v>
      </c>
      <c r="T690" s="20">
        <v>46145</v>
      </c>
      <c r="U690" s="20"/>
      <c r="V690" s="20">
        <f t="shared" si="36"/>
        <v>126810</v>
      </c>
      <c r="W690" s="77"/>
      <c r="X690" s="36"/>
    </row>
    <row r="691" spans="1:25" ht="15" customHeight="1">
      <c r="A691" s="427"/>
      <c r="B691" s="431"/>
      <c r="C691" s="434"/>
      <c r="D691" s="113" t="s">
        <v>307</v>
      </c>
      <c r="E691" s="113" t="s">
        <v>24</v>
      </c>
      <c r="F691" s="118" t="s">
        <v>40</v>
      </c>
      <c r="G691" s="170"/>
      <c r="H691" s="158">
        <v>4608</v>
      </c>
      <c r="I691" s="125"/>
      <c r="J691" s="125"/>
      <c r="K691" s="127"/>
      <c r="L691" s="127"/>
      <c r="M691" s="216">
        <v>215400</v>
      </c>
      <c r="N691" s="238">
        <v>27</v>
      </c>
      <c r="O691" s="126">
        <f>June!DG314</f>
        <v>6869</v>
      </c>
      <c r="P691" s="125">
        <f>June!DH314</f>
        <v>14455</v>
      </c>
      <c r="Q691" s="125">
        <f>June!DF314</f>
        <v>40</v>
      </c>
      <c r="R691" s="436"/>
      <c r="S691" s="436"/>
      <c r="T691" s="127">
        <v>18485</v>
      </c>
      <c r="U691" s="127">
        <v>11</v>
      </c>
      <c r="V691" s="127">
        <f t="shared" si="36"/>
        <v>138043</v>
      </c>
      <c r="W691" s="46"/>
      <c r="X691" s="67"/>
    </row>
    <row r="692" spans="1:25" ht="15" customHeight="1">
      <c r="A692" s="427"/>
      <c r="B692" s="442" t="s">
        <v>45</v>
      </c>
      <c r="C692" s="448" t="s">
        <v>59</v>
      </c>
      <c r="D692" s="118" t="s">
        <v>75</v>
      </c>
      <c r="E692" s="131" t="s">
        <v>25</v>
      </c>
      <c r="F692" s="131" t="s">
        <v>57</v>
      </c>
      <c r="G692" s="87"/>
      <c r="H692" s="152"/>
      <c r="I692" s="126"/>
      <c r="J692" s="2"/>
      <c r="K692" s="127"/>
      <c r="L692" s="18"/>
      <c r="M692" s="18">
        <v>44680</v>
      </c>
      <c r="N692" s="80">
        <v>9</v>
      </c>
      <c r="O692" s="126"/>
      <c r="P692" s="126"/>
      <c r="Q692" s="2">
        <f>June!DF317</f>
        <v>11</v>
      </c>
      <c r="R692" s="436"/>
      <c r="S692" s="436"/>
      <c r="T692" s="1">
        <v>1103</v>
      </c>
      <c r="U692" s="18"/>
      <c r="V692" s="127">
        <f t="shared" si="36"/>
        <v>10643</v>
      </c>
      <c r="W692" s="46"/>
      <c r="Y692" s="13"/>
    </row>
    <row r="693" spans="1:25">
      <c r="A693" s="427"/>
      <c r="B693" s="439"/>
      <c r="C693" s="440"/>
      <c r="D693" s="118" t="s">
        <v>72</v>
      </c>
      <c r="E693" s="155" t="s">
        <v>24</v>
      </c>
      <c r="F693" s="131" t="s">
        <v>57</v>
      </c>
      <c r="G693" s="224"/>
      <c r="H693" s="152"/>
      <c r="I693" s="126"/>
      <c r="J693" s="126"/>
      <c r="K693" s="127"/>
      <c r="L693" s="18"/>
      <c r="M693" s="18">
        <v>49600</v>
      </c>
      <c r="N693" s="80">
        <v>10</v>
      </c>
      <c r="O693" s="126"/>
      <c r="P693" s="126"/>
      <c r="Q693" s="126">
        <f>June!DF319</f>
        <v>8</v>
      </c>
      <c r="R693" s="436"/>
      <c r="S693" s="436"/>
      <c r="T693" s="18"/>
      <c r="U693" s="18"/>
      <c r="V693" s="127">
        <f t="shared" si="36"/>
        <v>23089</v>
      </c>
      <c r="W693" s="46"/>
      <c r="Y693" s="13"/>
    </row>
    <row r="694" spans="1:25" ht="14.25" customHeight="1">
      <c r="A694" s="427"/>
      <c r="B694" s="439"/>
      <c r="C694" s="440"/>
      <c r="D694" s="115" t="s">
        <v>79</v>
      </c>
      <c r="E694" s="155" t="s">
        <v>65</v>
      </c>
      <c r="F694" s="131" t="s">
        <v>57</v>
      </c>
      <c r="G694" s="224"/>
      <c r="H694" s="126"/>
      <c r="I694" s="126"/>
      <c r="J694" s="126"/>
      <c r="K694" s="18"/>
      <c r="L694" s="18"/>
      <c r="M694" s="18"/>
      <c r="N694" s="80"/>
      <c r="O694" s="126"/>
      <c r="P694" s="126"/>
      <c r="Q694" s="126"/>
      <c r="R694" s="436"/>
      <c r="S694" s="436"/>
      <c r="T694" s="18"/>
      <c r="U694" s="18"/>
      <c r="V694" s="127">
        <f t="shared" si="36"/>
        <v>10211</v>
      </c>
      <c r="W694" s="45"/>
      <c r="X694" s="36"/>
    </row>
    <row r="695" spans="1:25" ht="14.25" customHeight="1">
      <c r="A695" s="427"/>
      <c r="B695" s="439"/>
      <c r="C695" s="448" t="s">
        <v>299</v>
      </c>
      <c r="D695" s="115" t="s">
        <v>296</v>
      </c>
      <c r="E695" s="424" t="s">
        <v>25</v>
      </c>
      <c r="F695" s="131" t="s">
        <v>298</v>
      </c>
      <c r="G695" s="224"/>
      <c r="H695" s="37"/>
      <c r="I695" s="126"/>
      <c r="J695" s="126"/>
      <c r="K695" s="18"/>
      <c r="L695" s="18"/>
      <c r="M695" s="18"/>
      <c r="N695" s="80"/>
      <c r="O695" s="126"/>
      <c r="P695" s="126"/>
      <c r="Q695" s="126"/>
      <c r="R695" s="436"/>
      <c r="S695" s="436"/>
      <c r="T695" s="18"/>
      <c r="U695" s="18"/>
      <c r="V695" s="127">
        <f t="shared" si="36"/>
        <v>4427</v>
      </c>
      <c r="W695" s="45"/>
      <c r="X695" s="67"/>
    </row>
    <row r="696" spans="1:25" ht="14.25" customHeight="1">
      <c r="A696" s="427"/>
      <c r="B696" s="443"/>
      <c r="C696" s="449"/>
      <c r="D696" s="115" t="s">
        <v>75</v>
      </c>
      <c r="E696" s="425"/>
      <c r="F696" s="131" t="s">
        <v>298</v>
      </c>
      <c r="G696" s="224"/>
      <c r="H696" s="37"/>
      <c r="I696" s="126"/>
      <c r="J696" s="126"/>
      <c r="K696" s="18"/>
      <c r="L696" s="18"/>
      <c r="M696" s="18">
        <v>10000</v>
      </c>
      <c r="N696" s="80">
        <v>2</v>
      </c>
      <c r="O696" s="126"/>
      <c r="P696" s="126"/>
      <c r="Q696" s="126">
        <f>June!DF323</f>
        <v>4</v>
      </c>
      <c r="R696" s="436"/>
      <c r="S696" s="436"/>
      <c r="T696" s="18"/>
      <c r="U696" s="18"/>
      <c r="V696" s="127">
        <f t="shared" si="36"/>
        <v>14595</v>
      </c>
      <c r="W696" s="45"/>
      <c r="X696" s="67"/>
    </row>
    <row r="697" spans="1:25" ht="14.25" customHeight="1">
      <c r="A697" s="427"/>
      <c r="B697" s="439" t="s">
        <v>53</v>
      </c>
      <c r="C697" s="445" t="s">
        <v>60</v>
      </c>
      <c r="D697" s="43" t="s">
        <v>320</v>
      </c>
      <c r="E697" s="441" t="s">
        <v>66</v>
      </c>
      <c r="F697" s="118" t="s">
        <v>54</v>
      </c>
      <c r="G697" s="224"/>
      <c r="H697" s="37"/>
      <c r="I697" s="126"/>
      <c r="J697" s="126"/>
      <c r="K697" s="18"/>
      <c r="L697" s="18"/>
      <c r="M697" s="18"/>
      <c r="N697" s="80"/>
      <c r="O697" s="126">
        <f>June!DG315</f>
        <v>2029</v>
      </c>
      <c r="P697" s="126">
        <f>June!DH315</f>
        <v>1596</v>
      </c>
      <c r="Q697" s="126">
        <f>June!DF315</f>
        <v>5</v>
      </c>
      <c r="R697" s="436"/>
      <c r="S697" s="436"/>
      <c r="T697" s="18"/>
      <c r="U697" s="18"/>
      <c r="V697" s="127">
        <f t="shared" si="36"/>
        <v>44635</v>
      </c>
      <c r="W697" s="45"/>
      <c r="X697" s="67"/>
    </row>
    <row r="698" spans="1:25" ht="14.25" customHeight="1">
      <c r="A698" s="427"/>
      <c r="B698" s="439"/>
      <c r="C698" s="445"/>
      <c r="D698" s="43" t="s">
        <v>387</v>
      </c>
      <c r="E698" s="425"/>
      <c r="F698" s="118" t="s">
        <v>54</v>
      </c>
      <c r="G698" s="229"/>
      <c r="H698" s="182"/>
      <c r="I698" s="125"/>
      <c r="J698" s="125"/>
      <c r="K698" s="127"/>
      <c r="L698" s="127"/>
      <c r="M698" s="127">
        <v>64800</v>
      </c>
      <c r="N698" s="171">
        <v>11</v>
      </c>
      <c r="O698" s="125"/>
      <c r="P698" s="125"/>
      <c r="Q698" s="125"/>
      <c r="R698" s="436"/>
      <c r="S698" s="436"/>
      <c r="T698" s="18"/>
      <c r="U698" s="18"/>
      <c r="V698" s="127">
        <f t="shared" si="36"/>
        <v>666</v>
      </c>
      <c r="W698" s="45"/>
      <c r="X698" s="67"/>
    </row>
    <row r="699" spans="1:25" ht="14.25" customHeight="1">
      <c r="A699" s="427"/>
      <c r="B699" s="443"/>
      <c r="C699" s="446"/>
      <c r="D699" s="43" t="s">
        <v>199</v>
      </c>
      <c r="E699" s="114" t="s">
        <v>25</v>
      </c>
      <c r="F699" s="118" t="s">
        <v>54</v>
      </c>
      <c r="G699" s="224"/>
      <c r="H699" s="135"/>
      <c r="I699" s="158"/>
      <c r="J699" s="158"/>
      <c r="K699" s="128"/>
      <c r="L699" s="128"/>
      <c r="M699" s="128"/>
      <c r="N699" s="164"/>
      <c r="O699" s="158"/>
      <c r="P699" s="158"/>
      <c r="Q699" s="158"/>
      <c r="R699" s="436"/>
      <c r="S699" s="436"/>
      <c r="T699" s="18"/>
      <c r="U699" s="18"/>
      <c r="V699" s="127">
        <f t="shared" si="36"/>
        <v>68</v>
      </c>
      <c r="W699" s="45"/>
      <c r="X699" s="67"/>
    </row>
    <row r="700" spans="1:25" ht="15.75" customHeight="1">
      <c r="A700" s="427"/>
      <c r="B700" s="122" t="s">
        <v>55</v>
      </c>
      <c r="C700" s="180" t="s">
        <v>133</v>
      </c>
      <c r="D700" s="48" t="s">
        <v>56</v>
      </c>
      <c r="E700" s="424" t="s">
        <v>25</v>
      </c>
      <c r="F700" s="118" t="s">
        <v>67</v>
      </c>
      <c r="G700" s="226"/>
      <c r="H700" s="126"/>
      <c r="I700" s="126"/>
      <c r="J700" s="2"/>
      <c r="K700" s="18"/>
      <c r="L700" s="18"/>
      <c r="M700" s="18"/>
      <c r="N700" s="18"/>
      <c r="O700" s="126"/>
      <c r="P700" s="126"/>
      <c r="Q700" s="126"/>
      <c r="R700" s="436"/>
      <c r="S700" s="436"/>
      <c r="T700" s="18"/>
      <c r="U700" s="18"/>
      <c r="V700" s="127">
        <f t="shared" si="36"/>
        <v>7022</v>
      </c>
      <c r="W700" s="45"/>
      <c r="X700" s="67"/>
    </row>
    <row r="701" spans="1:25" ht="15" customHeight="1">
      <c r="A701" s="427"/>
      <c r="B701" s="122" t="s">
        <v>122</v>
      </c>
      <c r="C701" s="180" t="s">
        <v>123</v>
      </c>
      <c r="D701" s="48" t="s">
        <v>56</v>
      </c>
      <c r="E701" s="441"/>
      <c r="F701" s="155" t="s">
        <v>64</v>
      </c>
      <c r="G701" s="119"/>
      <c r="H701" s="126"/>
      <c r="I701" s="126"/>
      <c r="J701" s="2"/>
      <c r="K701" s="18"/>
      <c r="L701" s="18"/>
      <c r="M701" s="18">
        <v>6400</v>
      </c>
      <c r="N701" s="18">
        <v>2</v>
      </c>
      <c r="O701" s="126"/>
      <c r="P701" s="126"/>
      <c r="Q701" s="126"/>
      <c r="R701" s="436"/>
      <c r="S701" s="436"/>
      <c r="T701" s="18"/>
      <c r="U701" s="18"/>
      <c r="V701" s="127">
        <f t="shared" si="36"/>
        <v>18121</v>
      </c>
      <c r="W701" s="45"/>
      <c r="X701" s="67"/>
    </row>
    <row r="702" spans="1:25" ht="14.25" customHeight="1">
      <c r="A702" s="427"/>
      <c r="B702" s="137" t="s">
        <v>58</v>
      </c>
      <c r="C702" s="157" t="s">
        <v>243</v>
      </c>
      <c r="D702" s="48" t="s">
        <v>56</v>
      </c>
      <c r="E702" s="441"/>
      <c r="F702" s="118" t="s">
        <v>64</v>
      </c>
      <c r="G702" s="225"/>
      <c r="H702" s="126"/>
      <c r="I702" s="126"/>
      <c r="J702" s="126"/>
      <c r="K702" s="18"/>
      <c r="L702" s="18"/>
      <c r="M702" s="18"/>
      <c r="N702" s="80"/>
      <c r="O702" s="126"/>
      <c r="P702" s="126"/>
      <c r="Q702" s="126"/>
      <c r="R702" s="436"/>
      <c r="S702" s="436"/>
      <c r="T702" s="18"/>
      <c r="U702" s="18"/>
      <c r="V702" s="127">
        <f t="shared" si="36"/>
        <v>8144</v>
      </c>
      <c r="W702" s="45"/>
      <c r="X702" s="67"/>
    </row>
    <row r="703" spans="1:25" ht="14.25" customHeight="1">
      <c r="A703" s="427"/>
      <c r="B703" s="122" t="s">
        <v>61</v>
      </c>
      <c r="C703" s="180" t="s">
        <v>137</v>
      </c>
      <c r="D703" s="48" t="s">
        <v>56</v>
      </c>
      <c r="E703" s="441"/>
      <c r="F703" s="118" t="s">
        <v>67</v>
      </c>
      <c r="G703" s="225"/>
      <c r="H703" s="126"/>
      <c r="I703" s="126"/>
      <c r="J703" s="126"/>
      <c r="K703" s="18"/>
      <c r="L703" s="18"/>
      <c r="M703" s="18"/>
      <c r="N703" s="80"/>
      <c r="O703" s="126"/>
      <c r="P703" s="126"/>
      <c r="Q703" s="126"/>
      <c r="R703" s="436"/>
      <c r="S703" s="436"/>
      <c r="T703" s="18"/>
      <c r="U703" s="18"/>
      <c r="V703" s="127">
        <f t="shared" si="36"/>
        <v>5844</v>
      </c>
      <c r="W703" s="45"/>
      <c r="X703" s="67"/>
    </row>
    <row r="704" spans="1:25" ht="14.25" customHeight="1">
      <c r="A704" s="427"/>
      <c r="B704" s="122" t="s">
        <v>125</v>
      </c>
      <c r="C704" s="180" t="s">
        <v>88</v>
      </c>
      <c r="D704" s="48" t="s">
        <v>124</v>
      </c>
      <c r="E704" s="441"/>
      <c r="F704" s="118" t="s">
        <v>64</v>
      </c>
      <c r="G704" s="225"/>
      <c r="H704" s="126"/>
      <c r="I704" s="126"/>
      <c r="J704" s="126"/>
      <c r="K704" s="18"/>
      <c r="L704" s="18"/>
      <c r="M704" s="18">
        <v>51200</v>
      </c>
      <c r="N704" s="80">
        <v>7</v>
      </c>
      <c r="O704" s="126"/>
      <c r="P704" s="126"/>
      <c r="Q704" s="126"/>
      <c r="R704" s="436"/>
      <c r="S704" s="436"/>
      <c r="T704" s="18"/>
      <c r="U704" s="18"/>
      <c r="V704" s="127">
        <f t="shared" si="36"/>
        <v>23615</v>
      </c>
      <c r="W704" s="45"/>
      <c r="X704" s="67"/>
    </row>
    <row r="705" spans="1:24" ht="14.25" customHeight="1">
      <c r="A705" s="427"/>
      <c r="B705" s="137" t="s">
        <v>47</v>
      </c>
      <c r="C705" s="157" t="s">
        <v>100</v>
      </c>
      <c r="D705" s="48" t="s">
        <v>458</v>
      </c>
      <c r="E705" s="441"/>
      <c r="F705" s="118" t="s">
        <v>71</v>
      </c>
      <c r="G705" s="279">
        <v>667.34</v>
      </c>
      <c r="H705" s="126"/>
      <c r="I705" s="126"/>
      <c r="J705" s="126"/>
      <c r="K705" s="18">
        <v>18300</v>
      </c>
      <c r="L705" s="18">
        <v>3</v>
      </c>
      <c r="M705" s="18">
        <v>24400</v>
      </c>
      <c r="N705" s="80">
        <v>4</v>
      </c>
      <c r="O705" s="126"/>
      <c r="P705" s="126">
        <f>June!DH325</f>
        <v>711</v>
      </c>
      <c r="Q705" s="126">
        <f>June!DF325</f>
        <v>3</v>
      </c>
      <c r="R705" s="436"/>
      <c r="S705" s="436"/>
      <c r="T705" s="18"/>
      <c r="U705" s="18"/>
      <c r="V705" s="127">
        <f t="shared" si="36"/>
        <v>0</v>
      </c>
      <c r="W705" s="45"/>
      <c r="X705" s="67"/>
    </row>
    <row r="706" spans="1:24" ht="14.25" customHeight="1">
      <c r="A706" s="427"/>
      <c r="B706" s="137" t="s">
        <v>47</v>
      </c>
      <c r="C706" s="157" t="s">
        <v>457</v>
      </c>
      <c r="D706" s="48" t="s">
        <v>458</v>
      </c>
      <c r="E706" s="441"/>
      <c r="F706" s="118" t="s">
        <v>459</v>
      </c>
      <c r="G706" s="225"/>
      <c r="H706" s="126"/>
      <c r="I706" s="126"/>
      <c r="J706" s="126"/>
      <c r="K706" s="18"/>
      <c r="L706" s="18"/>
      <c r="M706" s="18"/>
      <c r="N706" s="80"/>
      <c r="O706" s="126"/>
      <c r="P706" s="126">
        <f>June!DH326</f>
        <v>206</v>
      </c>
      <c r="Q706" s="126">
        <f>June!DF326</f>
        <v>1</v>
      </c>
      <c r="R706" s="436"/>
      <c r="S706" s="436"/>
      <c r="T706" s="18"/>
      <c r="U706" s="18"/>
      <c r="V706" s="127">
        <f t="shared" si="36"/>
        <v>0</v>
      </c>
      <c r="W706" s="45"/>
      <c r="X706" s="67"/>
    </row>
    <row r="707" spans="1:24" ht="15" customHeight="1">
      <c r="A707" s="427"/>
      <c r="B707" s="122" t="s">
        <v>196</v>
      </c>
      <c r="C707" s="180" t="s">
        <v>63</v>
      </c>
      <c r="D707" s="48" t="s">
        <v>135</v>
      </c>
      <c r="E707" s="441"/>
      <c r="F707" s="118" t="s">
        <v>64</v>
      </c>
      <c r="G707" s="226"/>
      <c r="H707" s="126"/>
      <c r="I707" s="126"/>
      <c r="J707" s="2"/>
      <c r="K707" s="18"/>
      <c r="L707" s="18"/>
      <c r="M707" s="18"/>
      <c r="N707" s="18"/>
      <c r="O707" s="126">
        <f>June!DG338</f>
        <v>419</v>
      </c>
      <c r="P707" s="126">
        <f>June!DH338</f>
        <v>1289</v>
      </c>
      <c r="Q707" s="126">
        <f>June!DF338</f>
        <v>5</v>
      </c>
      <c r="R707" s="436"/>
      <c r="S707" s="436"/>
      <c r="T707" s="18"/>
      <c r="U707" s="18"/>
      <c r="V707" s="127">
        <f t="shared" si="36"/>
        <v>49456</v>
      </c>
      <c r="W707" s="45"/>
      <c r="X707" s="67"/>
    </row>
    <row r="708" spans="1:24" ht="15" customHeight="1">
      <c r="A708" s="427"/>
      <c r="B708" s="122" t="s">
        <v>363</v>
      </c>
      <c r="C708" s="180" t="s">
        <v>325</v>
      </c>
      <c r="D708" s="48" t="s">
        <v>328</v>
      </c>
      <c r="E708" s="441"/>
      <c r="F708" s="118" t="s">
        <v>48</v>
      </c>
      <c r="G708" s="226"/>
      <c r="H708" s="126"/>
      <c r="I708" s="126"/>
      <c r="J708" s="2"/>
      <c r="K708" s="18"/>
      <c r="L708" s="18"/>
      <c r="M708" s="18"/>
      <c r="N708" s="18"/>
      <c r="O708" s="126">
        <f>June!DG335</f>
        <v>1301</v>
      </c>
      <c r="P708" s="126"/>
      <c r="Q708" s="126"/>
      <c r="R708" s="436"/>
      <c r="S708" s="436"/>
      <c r="T708" s="18"/>
      <c r="U708" s="18"/>
      <c r="V708" s="127">
        <f t="shared" si="36"/>
        <v>16454</v>
      </c>
      <c r="W708" s="45"/>
      <c r="X708" s="67"/>
    </row>
    <row r="709" spans="1:24" ht="15" customHeight="1">
      <c r="A709" s="427"/>
      <c r="B709" s="122" t="s">
        <v>253</v>
      </c>
      <c r="C709" s="180" t="s">
        <v>365</v>
      </c>
      <c r="D709" s="48" t="s">
        <v>246</v>
      </c>
      <c r="E709" s="441"/>
      <c r="F709" s="118" t="s">
        <v>247</v>
      </c>
      <c r="G709" s="226"/>
      <c r="H709" s="126"/>
      <c r="I709" s="126"/>
      <c r="J709" s="2"/>
      <c r="K709" s="18"/>
      <c r="L709" s="18"/>
      <c r="M709" s="18"/>
      <c r="N709" s="18"/>
      <c r="O709" s="126"/>
      <c r="P709" s="126"/>
      <c r="Q709" s="126">
        <f>June!DF327</f>
        <v>3</v>
      </c>
      <c r="R709" s="436"/>
      <c r="S709" s="436"/>
      <c r="T709" s="18"/>
      <c r="U709" s="18"/>
      <c r="V709" s="127">
        <f t="shared" si="36"/>
        <v>12501</v>
      </c>
      <c r="W709" s="45"/>
      <c r="X709" s="67"/>
    </row>
    <row r="710" spans="1:24" ht="15" customHeight="1">
      <c r="A710" s="427"/>
      <c r="B710" s="122" t="s">
        <v>101</v>
      </c>
      <c r="C710" s="180" t="s">
        <v>327</v>
      </c>
      <c r="D710" s="48" t="s">
        <v>102</v>
      </c>
      <c r="E710" s="441"/>
      <c r="F710" s="118" t="s">
        <v>64</v>
      </c>
      <c r="G710" s="119"/>
      <c r="H710" s="126"/>
      <c r="I710" s="126"/>
      <c r="J710" s="2"/>
      <c r="K710" s="18"/>
      <c r="L710" s="18"/>
      <c r="M710" s="18"/>
      <c r="N710" s="18"/>
      <c r="O710" s="126"/>
      <c r="P710" s="126">
        <f>June!DH333</f>
        <v>752</v>
      </c>
      <c r="Q710" s="126">
        <f>June!DF333</f>
        <v>2</v>
      </c>
      <c r="R710" s="436"/>
      <c r="S710" s="436"/>
      <c r="T710" s="18"/>
      <c r="U710" s="18"/>
      <c r="V710" s="18">
        <f t="shared" si="36"/>
        <v>373</v>
      </c>
      <c r="W710" s="45"/>
      <c r="X710" s="67"/>
    </row>
    <row r="711" spans="1:24" ht="15" customHeight="1">
      <c r="A711" s="427"/>
      <c r="B711" s="122" t="s">
        <v>366</v>
      </c>
      <c r="C711" s="157" t="s">
        <v>367</v>
      </c>
      <c r="D711" s="48" t="s">
        <v>132</v>
      </c>
      <c r="E711" s="441"/>
      <c r="F711" s="118" t="s">
        <v>64</v>
      </c>
      <c r="G711" s="119"/>
      <c r="H711" s="126"/>
      <c r="I711" s="126"/>
      <c r="J711" s="2"/>
      <c r="K711" s="18"/>
      <c r="L711" s="18"/>
      <c r="M711" s="18"/>
      <c r="N711" s="18"/>
      <c r="O711" s="126">
        <f>June!DG334</f>
        <v>654</v>
      </c>
      <c r="P711" s="126">
        <f>June!DH334</f>
        <v>775</v>
      </c>
      <c r="Q711" s="126">
        <f>June!DF334</f>
        <v>2</v>
      </c>
      <c r="R711" s="436"/>
      <c r="S711" s="436"/>
      <c r="T711" s="18"/>
      <c r="U711" s="18"/>
      <c r="V711" s="18">
        <f t="shared" si="36"/>
        <v>5218</v>
      </c>
      <c r="W711" s="45"/>
      <c r="X711" s="67"/>
    </row>
    <row r="712" spans="1:24" s="4" customFormat="1" ht="15" customHeight="1">
      <c r="A712" s="427"/>
      <c r="B712" s="122" t="s">
        <v>375</v>
      </c>
      <c r="C712" s="157" t="s">
        <v>376</v>
      </c>
      <c r="D712" s="48" t="s">
        <v>248</v>
      </c>
      <c r="E712" s="441"/>
      <c r="F712" s="48" t="s">
        <v>64</v>
      </c>
      <c r="G712" s="122"/>
      <c r="H712" s="34"/>
      <c r="I712" s="34"/>
      <c r="J712" s="6"/>
      <c r="K712" s="211"/>
      <c r="L712" s="211"/>
      <c r="M712" s="211"/>
      <c r="N712" s="211"/>
      <c r="O712" s="34"/>
      <c r="P712" s="34"/>
      <c r="Q712" s="34"/>
      <c r="R712" s="436"/>
      <c r="S712" s="436"/>
      <c r="T712" s="211"/>
      <c r="U712" s="211"/>
      <c r="V712" s="211">
        <f t="shared" si="36"/>
        <v>75911</v>
      </c>
      <c r="W712" s="260"/>
      <c r="X712" s="67"/>
    </row>
    <row r="713" spans="1:24" s="4" customFormat="1" ht="15" customHeight="1">
      <c r="A713" s="427"/>
      <c r="B713" s="122" t="s">
        <v>421</v>
      </c>
      <c r="C713" s="157" t="s">
        <v>420</v>
      </c>
      <c r="D713" s="48" t="s">
        <v>248</v>
      </c>
      <c r="E713" s="441"/>
      <c r="F713" s="48" t="s">
        <v>64</v>
      </c>
      <c r="G713" s="122"/>
      <c r="H713" s="34"/>
      <c r="I713" s="34"/>
      <c r="J713" s="6"/>
      <c r="K713" s="211"/>
      <c r="L713" s="211"/>
      <c r="M713" s="211">
        <v>46200</v>
      </c>
      <c r="N713" s="211">
        <v>11</v>
      </c>
      <c r="O713" s="34"/>
      <c r="P713" s="34"/>
      <c r="Q713" s="34">
        <f>June!DF337</f>
        <v>20</v>
      </c>
      <c r="R713" s="436"/>
      <c r="S713" s="436"/>
      <c r="T713" s="211"/>
      <c r="U713" s="211"/>
      <c r="V713" s="211">
        <f t="shared" si="36"/>
        <v>57857</v>
      </c>
      <c r="W713" s="260"/>
      <c r="X713" s="67"/>
    </row>
    <row r="714" spans="1:24" s="4" customFormat="1" ht="15" customHeight="1">
      <c r="A714" s="427"/>
      <c r="B714" s="442" t="s">
        <v>289</v>
      </c>
      <c r="C714" s="444" t="s">
        <v>290</v>
      </c>
      <c r="D714" s="48" t="s">
        <v>432</v>
      </c>
      <c r="E714" s="441"/>
      <c r="F714" s="48" t="s">
        <v>381</v>
      </c>
      <c r="G714" s="122"/>
      <c r="H714" s="34"/>
      <c r="I714" s="34"/>
      <c r="J714" s="6"/>
      <c r="K714" s="211"/>
      <c r="L714" s="211"/>
      <c r="M714" s="211"/>
      <c r="N714" s="211"/>
      <c r="O714" s="34"/>
      <c r="P714" s="34"/>
      <c r="Q714" s="34">
        <f>June!DF329</f>
        <v>1</v>
      </c>
      <c r="R714" s="436"/>
      <c r="S714" s="436"/>
      <c r="T714" s="211"/>
      <c r="U714" s="211"/>
      <c r="V714" s="211">
        <f t="shared" si="36"/>
        <v>0</v>
      </c>
      <c r="W714" s="260"/>
      <c r="X714" s="67"/>
    </row>
    <row r="715" spans="1:24" s="4" customFormat="1" ht="15" customHeight="1">
      <c r="A715" s="427"/>
      <c r="B715" s="443"/>
      <c r="C715" s="446"/>
      <c r="D715" s="48" t="s">
        <v>432</v>
      </c>
      <c r="E715" s="441"/>
      <c r="F715" s="48" t="s">
        <v>435</v>
      </c>
      <c r="G715" s="122"/>
      <c r="H715" s="34"/>
      <c r="I715" s="34"/>
      <c r="J715" s="6"/>
      <c r="K715" s="211"/>
      <c r="L715" s="211"/>
      <c r="M715" s="211"/>
      <c r="N715" s="211"/>
      <c r="O715" s="34"/>
      <c r="P715" s="34"/>
      <c r="Q715" s="34">
        <f>June!DF330</f>
        <v>1</v>
      </c>
      <c r="R715" s="436"/>
      <c r="S715" s="436"/>
      <c r="T715" s="211"/>
      <c r="U715" s="211"/>
      <c r="V715" s="211">
        <f t="shared" si="36"/>
        <v>0</v>
      </c>
      <c r="W715" s="260"/>
      <c r="X715" s="67"/>
    </row>
    <row r="716" spans="1:24" s="4" customFormat="1" ht="15" customHeight="1">
      <c r="A716" s="427"/>
      <c r="B716" s="268" t="s">
        <v>453</v>
      </c>
      <c r="C716" s="277" t="s">
        <v>438</v>
      </c>
      <c r="D716" s="48" t="s">
        <v>432</v>
      </c>
      <c r="E716" s="441"/>
      <c r="F716" s="48" t="s">
        <v>57</v>
      </c>
      <c r="G716" s="122"/>
      <c r="H716" s="34"/>
      <c r="I716" s="34"/>
      <c r="J716" s="6"/>
      <c r="K716" s="211"/>
      <c r="L716" s="211"/>
      <c r="M716" s="211"/>
      <c r="N716" s="211"/>
      <c r="O716" s="34"/>
      <c r="P716" s="34"/>
      <c r="Q716" s="34">
        <f>June!DF331</f>
        <v>1</v>
      </c>
      <c r="R716" s="436"/>
      <c r="S716" s="436"/>
      <c r="T716" s="211"/>
      <c r="U716" s="211"/>
      <c r="V716" s="211">
        <f t="shared" si="36"/>
        <v>0</v>
      </c>
      <c r="W716" s="260"/>
      <c r="X716" s="67"/>
    </row>
    <row r="717" spans="1:24" s="4" customFormat="1" ht="15" customHeight="1">
      <c r="A717" s="427"/>
      <c r="B717" s="122" t="s">
        <v>454</v>
      </c>
      <c r="C717" s="157" t="s">
        <v>438</v>
      </c>
      <c r="D717" s="48" t="s">
        <v>432</v>
      </c>
      <c r="E717" s="441"/>
      <c r="F717" s="48" t="s">
        <v>57</v>
      </c>
      <c r="G717" s="122"/>
      <c r="H717" s="34"/>
      <c r="I717" s="34"/>
      <c r="J717" s="6"/>
      <c r="K717" s="211"/>
      <c r="L717" s="211"/>
      <c r="M717" s="211"/>
      <c r="N717" s="211"/>
      <c r="O717" s="34"/>
      <c r="P717" s="34">
        <f>June!DH332</f>
        <v>211</v>
      </c>
      <c r="Q717" s="34">
        <f>June!DF332</f>
        <v>1</v>
      </c>
      <c r="R717" s="436"/>
      <c r="S717" s="436"/>
      <c r="T717" s="211"/>
      <c r="U717" s="211"/>
      <c r="V717" s="211">
        <f t="shared" si="36"/>
        <v>684</v>
      </c>
      <c r="W717" s="260"/>
      <c r="X717" s="67"/>
    </row>
    <row r="718" spans="1:24" ht="15" customHeight="1">
      <c r="A718" s="427"/>
      <c r="B718" s="122" t="s">
        <v>103</v>
      </c>
      <c r="C718" s="157" t="s">
        <v>197</v>
      </c>
      <c r="D718" s="48" t="s">
        <v>104</v>
      </c>
      <c r="E718" s="441"/>
      <c r="F718" s="118" t="s">
        <v>105</v>
      </c>
      <c r="G718" s="119"/>
      <c r="H718" s="126"/>
      <c r="I718" s="126"/>
      <c r="J718" s="2"/>
      <c r="K718" s="18"/>
      <c r="L718" s="18"/>
      <c r="M718" s="18"/>
      <c r="N718" s="18"/>
      <c r="O718" s="126"/>
      <c r="P718" s="126"/>
      <c r="Q718" s="126">
        <f>June!DF339</f>
        <v>1</v>
      </c>
      <c r="R718" s="436"/>
      <c r="S718" s="436"/>
      <c r="T718" s="18"/>
      <c r="U718" s="18"/>
      <c r="V718" s="18"/>
      <c r="W718" s="45"/>
      <c r="X718" s="67"/>
    </row>
    <row r="719" spans="1:24" ht="15" customHeight="1">
      <c r="A719" s="427"/>
      <c r="B719" s="137" t="s">
        <v>112</v>
      </c>
      <c r="C719" s="157" t="s">
        <v>197</v>
      </c>
      <c r="D719" s="48" t="s">
        <v>104</v>
      </c>
      <c r="E719" s="441"/>
      <c r="F719" s="118" t="s">
        <v>113</v>
      </c>
      <c r="G719" s="119"/>
      <c r="H719" s="126"/>
      <c r="I719" s="126"/>
      <c r="J719" s="2"/>
      <c r="K719" s="18"/>
      <c r="L719" s="18"/>
      <c r="M719" s="18"/>
      <c r="N719" s="18"/>
      <c r="O719" s="126"/>
      <c r="P719" s="126"/>
      <c r="Q719" s="126">
        <f>June!DF341</f>
        <v>1</v>
      </c>
      <c r="R719" s="436"/>
      <c r="S719" s="436"/>
      <c r="T719" s="18"/>
      <c r="U719" s="18"/>
      <c r="V719" s="18"/>
      <c r="W719" s="45"/>
      <c r="X719" s="67"/>
    </row>
    <row r="720" spans="1:24" ht="15" customHeight="1" thickBot="1">
      <c r="A720" s="428"/>
      <c r="B720" s="44" t="s">
        <v>107</v>
      </c>
      <c r="C720" s="181" t="s">
        <v>386</v>
      </c>
      <c r="D720" s="61" t="s">
        <v>108</v>
      </c>
      <c r="E720" s="447"/>
      <c r="F720" s="133" t="s">
        <v>48</v>
      </c>
      <c r="G720" s="132"/>
      <c r="H720" s="134"/>
      <c r="I720" s="134"/>
      <c r="J720" s="129"/>
      <c r="K720" s="130"/>
      <c r="L720" s="130"/>
      <c r="M720" s="130">
        <v>13000</v>
      </c>
      <c r="N720" s="130">
        <v>2</v>
      </c>
      <c r="O720" s="134"/>
      <c r="P720" s="134"/>
      <c r="Q720" s="134">
        <f>June!DF340</f>
        <v>2</v>
      </c>
      <c r="R720" s="437"/>
      <c r="S720" s="437"/>
      <c r="T720" s="130"/>
      <c r="U720" s="130"/>
      <c r="V720" s="128">
        <f t="shared" ref="V720:V736" si="37">O720-T720-U720+V689</f>
        <v>11956</v>
      </c>
      <c r="W720" s="85"/>
      <c r="X720" s="67"/>
    </row>
    <row r="721" spans="1:25" ht="15" customHeight="1">
      <c r="A721" s="426">
        <v>46202</v>
      </c>
      <c r="B721" s="429" t="s">
        <v>44</v>
      </c>
      <c r="C721" s="432" t="s">
        <v>240</v>
      </c>
      <c r="D721" s="19" t="s">
        <v>37</v>
      </c>
      <c r="E721" s="19" t="s">
        <v>25</v>
      </c>
      <c r="F721" s="39" t="s">
        <v>40</v>
      </c>
      <c r="G721" s="41">
        <v>7147.53</v>
      </c>
      <c r="H721" s="32">
        <v>7488</v>
      </c>
      <c r="I721" s="32"/>
      <c r="J721" s="32"/>
      <c r="K721" s="20">
        <v>64000</v>
      </c>
      <c r="L721" s="20">
        <v>8</v>
      </c>
      <c r="M721" s="20">
        <v>176000</v>
      </c>
      <c r="N721" s="84">
        <v>22</v>
      </c>
      <c r="O721" s="32">
        <f>June!DM313</f>
        <v>66095</v>
      </c>
      <c r="P721" s="32">
        <f>June!DN313</f>
        <v>56013</v>
      </c>
      <c r="Q721" s="32">
        <f>June!DL313</f>
        <v>149</v>
      </c>
      <c r="R721" s="435">
        <f>June!DM346</f>
        <v>78686</v>
      </c>
      <c r="S721" s="435">
        <f>June!DN346</f>
        <v>77680</v>
      </c>
      <c r="T721" s="20">
        <v>52268</v>
      </c>
      <c r="U721" s="20">
        <v>10</v>
      </c>
      <c r="V721" s="20">
        <f t="shared" si="37"/>
        <v>140627</v>
      </c>
      <c r="W721" s="77"/>
      <c r="X721" s="36"/>
    </row>
    <row r="722" spans="1:25" ht="15" customHeight="1">
      <c r="A722" s="427"/>
      <c r="B722" s="431"/>
      <c r="C722" s="434"/>
      <c r="D722" s="113" t="s">
        <v>307</v>
      </c>
      <c r="E722" s="113" t="s">
        <v>24</v>
      </c>
      <c r="F722" s="118" t="s">
        <v>40</v>
      </c>
      <c r="G722" s="170"/>
      <c r="H722" s="135"/>
      <c r="I722" s="125"/>
      <c r="J722" s="125"/>
      <c r="K722" s="127"/>
      <c r="L722" s="127"/>
      <c r="M722" s="216">
        <v>215400</v>
      </c>
      <c r="N722" s="238">
        <v>27</v>
      </c>
      <c r="O722" s="126">
        <f>June!DM314</f>
        <v>6240</v>
      </c>
      <c r="P722" s="125">
        <f>June!DN314</f>
        <v>15451</v>
      </c>
      <c r="Q722" s="125">
        <f>June!DL314</f>
        <v>40</v>
      </c>
      <c r="R722" s="436"/>
      <c r="S722" s="436"/>
      <c r="T722" s="127">
        <v>17394</v>
      </c>
      <c r="U722" s="127"/>
      <c r="V722" s="127">
        <f t="shared" si="37"/>
        <v>126889</v>
      </c>
      <c r="W722" s="46"/>
      <c r="X722" s="67"/>
    </row>
    <row r="723" spans="1:25" ht="15" customHeight="1">
      <c r="A723" s="427"/>
      <c r="B723" s="442" t="s">
        <v>45</v>
      </c>
      <c r="C723" s="448" t="s">
        <v>59</v>
      </c>
      <c r="D723" s="118" t="s">
        <v>75</v>
      </c>
      <c r="E723" s="131" t="s">
        <v>25</v>
      </c>
      <c r="F723" s="131" t="s">
        <v>57</v>
      </c>
      <c r="G723" s="87"/>
      <c r="H723" s="152"/>
      <c r="I723" s="126"/>
      <c r="J723" s="2"/>
      <c r="K723" s="127"/>
      <c r="L723" s="18"/>
      <c r="M723" s="18">
        <v>44680</v>
      </c>
      <c r="N723" s="80">
        <v>9</v>
      </c>
      <c r="O723" s="126"/>
      <c r="P723" s="126"/>
      <c r="Q723" s="2">
        <f>June!DL317</f>
        <v>11</v>
      </c>
      <c r="R723" s="436"/>
      <c r="S723" s="436"/>
      <c r="T723" s="18"/>
      <c r="U723" s="18"/>
      <c r="V723" s="127">
        <f t="shared" si="37"/>
        <v>10643</v>
      </c>
      <c r="W723" s="46"/>
      <c r="Y723" s="13"/>
    </row>
    <row r="724" spans="1:25">
      <c r="A724" s="427"/>
      <c r="B724" s="439"/>
      <c r="C724" s="440"/>
      <c r="D724" s="118" t="s">
        <v>72</v>
      </c>
      <c r="E724" s="155" t="s">
        <v>24</v>
      </c>
      <c r="F724" s="131" t="s">
        <v>57</v>
      </c>
      <c r="G724" s="224"/>
      <c r="H724" s="152"/>
      <c r="I724" s="126"/>
      <c r="J724" s="126"/>
      <c r="K724" s="127"/>
      <c r="L724" s="18"/>
      <c r="M724" s="18">
        <v>49600</v>
      </c>
      <c r="N724" s="80">
        <v>10</v>
      </c>
      <c r="O724" s="126"/>
      <c r="P724" s="126"/>
      <c r="Q724" s="126">
        <f>June!DL319</f>
        <v>8</v>
      </c>
      <c r="R724" s="436"/>
      <c r="S724" s="436"/>
      <c r="T724" s="18"/>
      <c r="U724" s="18"/>
      <c r="V724" s="127">
        <f t="shared" si="37"/>
        <v>23089</v>
      </c>
      <c r="W724" s="46"/>
      <c r="Y724" s="13"/>
    </row>
    <row r="725" spans="1:25" ht="14.25" customHeight="1">
      <c r="A725" s="427"/>
      <c r="B725" s="439"/>
      <c r="C725" s="440"/>
      <c r="D725" s="115" t="s">
        <v>79</v>
      </c>
      <c r="E725" s="155" t="s">
        <v>65</v>
      </c>
      <c r="F725" s="131" t="s">
        <v>57</v>
      </c>
      <c r="G725" s="224"/>
      <c r="H725" s="126"/>
      <c r="I725" s="126"/>
      <c r="J725" s="126"/>
      <c r="K725" s="18"/>
      <c r="L725" s="18"/>
      <c r="M725" s="18"/>
      <c r="N725" s="80"/>
      <c r="O725" s="126"/>
      <c r="P725" s="126"/>
      <c r="Q725" s="126"/>
      <c r="R725" s="436"/>
      <c r="S725" s="436"/>
      <c r="T725" s="18"/>
      <c r="U725" s="18"/>
      <c r="V725" s="127">
        <f t="shared" si="37"/>
        <v>10211</v>
      </c>
      <c r="W725" s="45"/>
      <c r="X725" s="36"/>
    </row>
    <row r="726" spans="1:25" ht="14.25" customHeight="1">
      <c r="A726" s="427"/>
      <c r="B726" s="439"/>
      <c r="C726" s="448" t="s">
        <v>299</v>
      </c>
      <c r="D726" s="115" t="s">
        <v>296</v>
      </c>
      <c r="E726" s="424" t="s">
        <v>25</v>
      </c>
      <c r="F726" s="131" t="s">
        <v>298</v>
      </c>
      <c r="G726" s="224"/>
      <c r="H726" s="37"/>
      <c r="I726" s="126"/>
      <c r="J726" s="126"/>
      <c r="K726" s="18"/>
      <c r="L726" s="18"/>
      <c r="M726" s="18"/>
      <c r="N726" s="80"/>
      <c r="O726" s="126"/>
      <c r="P726" s="126"/>
      <c r="Q726" s="126"/>
      <c r="R726" s="436"/>
      <c r="S726" s="436"/>
      <c r="T726" s="18"/>
      <c r="U726" s="18"/>
      <c r="V726" s="127">
        <f t="shared" si="37"/>
        <v>4427</v>
      </c>
      <c r="W726" s="45"/>
      <c r="X726" s="67"/>
    </row>
    <row r="727" spans="1:25" ht="14.25" customHeight="1">
      <c r="A727" s="427"/>
      <c r="B727" s="443"/>
      <c r="C727" s="449"/>
      <c r="D727" s="115" t="s">
        <v>75</v>
      </c>
      <c r="E727" s="425"/>
      <c r="F727" s="131" t="s">
        <v>298</v>
      </c>
      <c r="G727" s="224"/>
      <c r="H727" s="37"/>
      <c r="I727" s="126"/>
      <c r="J727" s="126"/>
      <c r="K727" s="18"/>
      <c r="L727" s="18"/>
      <c r="M727" s="18">
        <v>10000</v>
      </c>
      <c r="N727" s="80">
        <v>2</v>
      </c>
      <c r="O727" s="126"/>
      <c r="P727" s="126"/>
      <c r="Q727" s="126">
        <f>June!DL323</f>
        <v>4</v>
      </c>
      <c r="R727" s="436"/>
      <c r="S727" s="436"/>
      <c r="T727" s="18"/>
      <c r="U727" s="18"/>
      <c r="V727" s="127">
        <f t="shared" si="37"/>
        <v>14595</v>
      </c>
      <c r="W727" s="45"/>
      <c r="X727" s="67"/>
    </row>
    <row r="728" spans="1:25" ht="14.25" customHeight="1">
      <c r="A728" s="427"/>
      <c r="B728" s="439" t="s">
        <v>53</v>
      </c>
      <c r="C728" s="445" t="s">
        <v>60</v>
      </c>
      <c r="D728" s="43" t="s">
        <v>320</v>
      </c>
      <c r="E728" s="441" t="s">
        <v>66</v>
      </c>
      <c r="F728" s="118" t="s">
        <v>54</v>
      </c>
      <c r="G728" s="224"/>
      <c r="H728" s="37"/>
      <c r="I728" s="126"/>
      <c r="J728" s="126"/>
      <c r="K728" s="18"/>
      <c r="L728" s="18"/>
      <c r="M728" s="18"/>
      <c r="N728" s="80"/>
      <c r="O728" s="126">
        <f>June!DM315</f>
        <v>1429</v>
      </c>
      <c r="P728" s="126">
        <f>June!DN315</f>
        <v>1620</v>
      </c>
      <c r="Q728" s="126">
        <f>June!DL315</f>
        <v>5</v>
      </c>
      <c r="R728" s="436"/>
      <c r="S728" s="436"/>
      <c r="T728" s="18"/>
      <c r="U728" s="18"/>
      <c r="V728" s="127">
        <f t="shared" si="37"/>
        <v>46064</v>
      </c>
      <c r="W728" s="45"/>
      <c r="X728" s="67"/>
    </row>
    <row r="729" spans="1:25" ht="14.25" customHeight="1">
      <c r="A729" s="427"/>
      <c r="B729" s="439"/>
      <c r="C729" s="445"/>
      <c r="D729" s="43" t="s">
        <v>387</v>
      </c>
      <c r="E729" s="425"/>
      <c r="F729" s="118" t="s">
        <v>54</v>
      </c>
      <c r="G729" s="229"/>
      <c r="H729" s="182"/>
      <c r="I729" s="125"/>
      <c r="J729" s="125"/>
      <c r="K729" s="127"/>
      <c r="L729" s="127"/>
      <c r="M729" s="127">
        <v>64800</v>
      </c>
      <c r="N729" s="171">
        <v>11</v>
      </c>
      <c r="O729" s="125"/>
      <c r="P729" s="125"/>
      <c r="Q729" s="125"/>
      <c r="R729" s="436"/>
      <c r="S729" s="436"/>
      <c r="T729" s="18"/>
      <c r="U729" s="18"/>
      <c r="V729" s="127">
        <f t="shared" si="37"/>
        <v>666</v>
      </c>
      <c r="W729" s="45"/>
      <c r="X729" s="67"/>
    </row>
    <row r="730" spans="1:25" ht="14.25" customHeight="1">
      <c r="A730" s="427"/>
      <c r="B730" s="443"/>
      <c r="C730" s="446"/>
      <c r="D730" s="43" t="s">
        <v>199</v>
      </c>
      <c r="E730" s="114" t="s">
        <v>25</v>
      </c>
      <c r="F730" s="118" t="s">
        <v>54</v>
      </c>
      <c r="G730" s="224"/>
      <c r="H730" s="135"/>
      <c r="I730" s="158"/>
      <c r="J730" s="158"/>
      <c r="K730" s="128"/>
      <c r="L730" s="128"/>
      <c r="M730" s="128"/>
      <c r="N730" s="164"/>
      <c r="O730" s="158"/>
      <c r="P730" s="158"/>
      <c r="Q730" s="158"/>
      <c r="R730" s="436"/>
      <c r="S730" s="436"/>
      <c r="T730" s="18"/>
      <c r="U730" s="18"/>
      <c r="V730" s="127">
        <f t="shared" si="37"/>
        <v>68</v>
      </c>
      <c r="W730" s="45"/>
      <c r="X730" s="67"/>
    </row>
    <row r="731" spans="1:25" ht="15.75" customHeight="1">
      <c r="A731" s="427"/>
      <c r="B731" s="122" t="s">
        <v>55</v>
      </c>
      <c r="C731" s="180" t="s">
        <v>133</v>
      </c>
      <c r="D731" s="48" t="s">
        <v>56</v>
      </c>
      <c r="E731" s="424" t="s">
        <v>25</v>
      </c>
      <c r="F731" s="118" t="s">
        <v>67</v>
      </c>
      <c r="G731" s="226"/>
      <c r="H731" s="126"/>
      <c r="I731" s="126"/>
      <c r="J731" s="2"/>
      <c r="K731" s="18"/>
      <c r="L731" s="18"/>
      <c r="M731" s="18"/>
      <c r="N731" s="18"/>
      <c r="O731" s="126"/>
      <c r="P731" s="126"/>
      <c r="Q731" s="126"/>
      <c r="R731" s="436"/>
      <c r="S731" s="436"/>
      <c r="T731" s="18"/>
      <c r="U731" s="18"/>
      <c r="V731" s="127">
        <f t="shared" si="37"/>
        <v>7022</v>
      </c>
      <c r="W731" s="45"/>
      <c r="X731" s="67"/>
    </row>
    <row r="732" spans="1:25" ht="15" customHeight="1">
      <c r="A732" s="427"/>
      <c r="B732" s="122" t="s">
        <v>122</v>
      </c>
      <c r="C732" s="180" t="s">
        <v>123</v>
      </c>
      <c r="D732" s="48" t="s">
        <v>56</v>
      </c>
      <c r="E732" s="441"/>
      <c r="F732" s="155" t="s">
        <v>64</v>
      </c>
      <c r="G732" s="119"/>
      <c r="H732" s="126"/>
      <c r="I732" s="126"/>
      <c r="J732" s="2"/>
      <c r="K732" s="18"/>
      <c r="L732" s="18"/>
      <c r="M732" s="18">
        <v>6400</v>
      </c>
      <c r="N732" s="18">
        <v>2</v>
      </c>
      <c r="O732" s="126"/>
      <c r="P732" s="126"/>
      <c r="Q732" s="126"/>
      <c r="R732" s="436"/>
      <c r="S732" s="436"/>
      <c r="T732" s="18"/>
      <c r="U732" s="18"/>
      <c r="V732" s="127">
        <f t="shared" si="37"/>
        <v>18121</v>
      </c>
      <c r="W732" s="45"/>
      <c r="X732" s="67"/>
    </row>
    <row r="733" spans="1:25" ht="14.25" customHeight="1">
      <c r="A733" s="427"/>
      <c r="B733" s="137" t="s">
        <v>58</v>
      </c>
      <c r="C733" s="157" t="s">
        <v>243</v>
      </c>
      <c r="D733" s="48" t="s">
        <v>56</v>
      </c>
      <c r="E733" s="441"/>
      <c r="F733" s="118" t="s">
        <v>64</v>
      </c>
      <c r="G733" s="225"/>
      <c r="H733" s="126"/>
      <c r="I733" s="126"/>
      <c r="J733" s="126"/>
      <c r="K733" s="18"/>
      <c r="L733" s="18"/>
      <c r="M733" s="18"/>
      <c r="N733" s="80"/>
      <c r="O733" s="126"/>
      <c r="P733" s="126"/>
      <c r="Q733" s="126"/>
      <c r="R733" s="436"/>
      <c r="S733" s="436"/>
      <c r="T733" s="18"/>
      <c r="U733" s="18"/>
      <c r="V733" s="127">
        <f t="shared" si="37"/>
        <v>8144</v>
      </c>
      <c r="W733" s="45"/>
      <c r="X733" s="67"/>
    </row>
    <row r="734" spans="1:25" ht="14.25" customHeight="1">
      <c r="A734" s="427"/>
      <c r="B734" s="122" t="s">
        <v>61</v>
      </c>
      <c r="C734" s="180" t="s">
        <v>137</v>
      </c>
      <c r="D734" s="48" t="s">
        <v>56</v>
      </c>
      <c r="E734" s="441"/>
      <c r="F734" s="118" t="s">
        <v>67</v>
      </c>
      <c r="G734" s="225"/>
      <c r="H734" s="126"/>
      <c r="I734" s="126"/>
      <c r="J734" s="126"/>
      <c r="K734" s="18"/>
      <c r="L734" s="18"/>
      <c r="M734" s="18"/>
      <c r="N734" s="80"/>
      <c r="O734" s="126"/>
      <c r="P734" s="126"/>
      <c r="Q734" s="126"/>
      <c r="R734" s="436"/>
      <c r="S734" s="436"/>
      <c r="T734" s="18"/>
      <c r="U734" s="18"/>
      <c r="V734" s="127">
        <f t="shared" si="37"/>
        <v>5844</v>
      </c>
      <c r="W734" s="45"/>
      <c r="X734" s="67"/>
    </row>
    <row r="735" spans="1:25" ht="14.25" customHeight="1">
      <c r="A735" s="427"/>
      <c r="B735" s="122" t="s">
        <v>125</v>
      </c>
      <c r="C735" s="180" t="s">
        <v>88</v>
      </c>
      <c r="D735" s="48" t="s">
        <v>124</v>
      </c>
      <c r="E735" s="441"/>
      <c r="F735" s="118" t="s">
        <v>64</v>
      </c>
      <c r="G735" s="225"/>
      <c r="H735" s="126"/>
      <c r="I735" s="126"/>
      <c r="J735" s="126"/>
      <c r="K735" s="18"/>
      <c r="L735" s="18"/>
      <c r="M735" s="18">
        <v>51200</v>
      </c>
      <c r="N735" s="80">
        <v>7</v>
      </c>
      <c r="O735" s="126"/>
      <c r="P735" s="126"/>
      <c r="Q735" s="126"/>
      <c r="R735" s="436"/>
      <c r="S735" s="436"/>
      <c r="T735" s="18"/>
      <c r="U735" s="18"/>
      <c r="V735" s="127">
        <f t="shared" si="37"/>
        <v>23615</v>
      </c>
      <c r="W735" s="45"/>
      <c r="X735" s="67"/>
    </row>
    <row r="736" spans="1:25" ht="14.25" customHeight="1">
      <c r="A736" s="427"/>
      <c r="B736" s="442" t="s">
        <v>47</v>
      </c>
      <c r="C736" s="444" t="s">
        <v>100</v>
      </c>
      <c r="D736" s="48" t="s">
        <v>458</v>
      </c>
      <c r="E736" s="441"/>
      <c r="F736" s="118" t="s">
        <v>71</v>
      </c>
      <c r="G736" s="225"/>
      <c r="H736" s="126"/>
      <c r="I736" s="126"/>
      <c r="J736" s="126"/>
      <c r="K736" s="18">
        <v>12200</v>
      </c>
      <c r="L736" s="18">
        <v>3</v>
      </c>
      <c r="M736" s="18">
        <v>6100</v>
      </c>
      <c r="N736" s="80">
        <v>1</v>
      </c>
      <c r="O736" s="126"/>
      <c r="P736" s="126">
        <f>June!DN325</f>
        <v>1651</v>
      </c>
      <c r="Q736" s="126">
        <f>June!DL325</f>
        <v>6</v>
      </c>
      <c r="R736" s="436"/>
      <c r="S736" s="436"/>
      <c r="T736" s="18"/>
      <c r="U736" s="18"/>
      <c r="V736" s="127">
        <f t="shared" si="37"/>
        <v>0</v>
      </c>
      <c r="W736" s="45"/>
      <c r="X736" s="67"/>
    </row>
    <row r="737" spans="1:24" ht="14.25" customHeight="1">
      <c r="A737" s="427"/>
      <c r="B737" s="443"/>
      <c r="C737" s="446"/>
      <c r="D737" s="48" t="s">
        <v>121</v>
      </c>
      <c r="E737" s="441"/>
      <c r="F737" s="118"/>
      <c r="G737" s="225"/>
      <c r="H737" s="126">
        <v>612</v>
      </c>
      <c r="I737" s="126"/>
      <c r="J737" s="126"/>
      <c r="K737" s="18"/>
      <c r="L737" s="18"/>
      <c r="M737" s="18"/>
      <c r="N737" s="80"/>
      <c r="O737" s="126"/>
      <c r="P737" s="126"/>
      <c r="Q737" s="126"/>
      <c r="R737" s="436"/>
      <c r="S737" s="436"/>
      <c r="T737" s="18"/>
      <c r="U737" s="18"/>
      <c r="V737" s="127"/>
      <c r="W737" s="45"/>
      <c r="X737" s="67"/>
    </row>
    <row r="738" spans="1:24" ht="14.25" customHeight="1">
      <c r="A738" s="427"/>
      <c r="B738" s="137" t="s">
        <v>47</v>
      </c>
      <c r="C738" s="157" t="s">
        <v>457</v>
      </c>
      <c r="D738" s="48" t="s">
        <v>458</v>
      </c>
      <c r="E738" s="441"/>
      <c r="F738" s="118" t="s">
        <v>459</v>
      </c>
      <c r="G738" s="225"/>
      <c r="H738" s="126"/>
      <c r="I738" s="126"/>
      <c r="J738" s="126"/>
      <c r="K738" s="18"/>
      <c r="L738" s="18"/>
      <c r="M738" s="18"/>
      <c r="N738" s="80"/>
      <c r="O738" s="126"/>
      <c r="P738" s="126">
        <f>June!DN326</f>
        <v>222</v>
      </c>
      <c r="Q738" s="126">
        <f>June!DL326</f>
        <v>1</v>
      </c>
      <c r="R738" s="436"/>
      <c r="S738" s="436"/>
      <c r="T738" s="18"/>
      <c r="U738" s="18"/>
      <c r="V738" s="127">
        <f t="shared" ref="V738:V749" si="38">O738-T738-U738+V706</f>
        <v>0</v>
      </c>
      <c r="W738" s="45"/>
      <c r="X738" s="67"/>
    </row>
    <row r="739" spans="1:24" ht="15" customHeight="1">
      <c r="A739" s="427"/>
      <c r="B739" s="122" t="s">
        <v>196</v>
      </c>
      <c r="C739" s="180" t="s">
        <v>63</v>
      </c>
      <c r="D739" s="48" t="s">
        <v>135</v>
      </c>
      <c r="E739" s="441"/>
      <c r="F739" s="118" t="s">
        <v>64</v>
      </c>
      <c r="G739" s="226"/>
      <c r="H739" s="126"/>
      <c r="I739" s="126"/>
      <c r="J739" s="2"/>
      <c r="K739" s="18"/>
      <c r="L739" s="18"/>
      <c r="M739" s="18"/>
      <c r="N739" s="18"/>
      <c r="O739" s="126">
        <f>June!DM338</f>
        <v>668</v>
      </c>
      <c r="P739" s="126">
        <f>June!DN338</f>
        <v>1100</v>
      </c>
      <c r="Q739" s="126">
        <f>June!DL338</f>
        <v>4</v>
      </c>
      <c r="R739" s="436"/>
      <c r="S739" s="436"/>
      <c r="T739" s="18"/>
      <c r="U739" s="18"/>
      <c r="V739" s="127">
        <f t="shared" si="38"/>
        <v>50124</v>
      </c>
      <c r="W739" s="45"/>
      <c r="X739" s="67"/>
    </row>
    <row r="740" spans="1:24" ht="15" customHeight="1">
      <c r="A740" s="427"/>
      <c r="B740" s="122" t="s">
        <v>363</v>
      </c>
      <c r="C740" s="180" t="s">
        <v>325</v>
      </c>
      <c r="D740" s="48" t="s">
        <v>328</v>
      </c>
      <c r="E740" s="441"/>
      <c r="F740" s="118" t="s">
        <v>48</v>
      </c>
      <c r="G740" s="226"/>
      <c r="H740" s="126"/>
      <c r="I740" s="126"/>
      <c r="J740" s="2"/>
      <c r="K740" s="18"/>
      <c r="L740" s="18"/>
      <c r="M740" s="18"/>
      <c r="N740" s="18"/>
      <c r="O740" s="126"/>
      <c r="P740" s="126"/>
      <c r="Q740" s="126"/>
      <c r="R740" s="436"/>
      <c r="S740" s="436"/>
      <c r="T740" s="18"/>
      <c r="U740" s="18"/>
      <c r="V740" s="127">
        <f t="shared" si="38"/>
        <v>16454</v>
      </c>
      <c r="W740" s="45"/>
      <c r="X740" s="67"/>
    </row>
    <row r="741" spans="1:24" ht="15" customHeight="1">
      <c r="A741" s="427"/>
      <c r="B741" s="122" t="s">
        <v>253</v>
      </c>
      <c r="C741" s="180" t="s">
        <v>365</v>
      </c>
      <c r="D741" s="48" t="s">
        <v>246</v>
      </c>
      <c r="E741" s="441"/>
      <c r="F741" s="118" t="s">
        <v>247</v>
      </c>
      <c r="G741" s="226"/>
      <c r="H741" s="126"/>
      <c r="I741" s="126"/>
      <c r="J741" s="2"/>
      <c r="K741" s="18"/>
      <c r="L741" s="18"/>
      <c r="M741" s="18"/>
      <c r="N741" s="18"/>
      <c r="O741" s="126"/>
      <c r="P741" s="126"/>
      <c r="Q741" s="126">
        <f>June!DL327</f>
        <v>3</v>
      </c>
      <c r="R741" s="436"/>
      <c r="S741" s="436"/>
      <c r="T741" s="18"/>
      <c r="U741" s="18"/>
      <c r="V741" s="127">
        <f t="shared" si="38"/>
        <v>12501</v>
      </c>
      <c r="W741" s="45"/>
      <c r="X741" s="67"/>
    </row>
    <row r="742" spans="1:24" ht="15" customHeight="1">
      <c r="A742" s="427"/>
      <c r="B742" s="122" t="s">
        <v>101</v>
      </c>
      <c r="C742" s="180" t="s">
        <v>327</v>
      </c>
      <c r="D742" s="48" t="s">
        <v>102</v>
      </c>
      <c r="E742" s="441"/>
      <c r="F742" s="118" t="s">
        <v>64</v>
      </c>
      <c r="G742" s="119"/>
      <c r="H742" s="126"/>
      <c r="I742" s="126"/>
      <c r="J742" s="2"/>
      <c r="K742" s="18"/>
      <c r="L742" s="18"/>
      <c r="M742" s="18"/>
      <c r="N742" s="18"/>
      <c r="O742" s="126">
        <f>June!DM333</f>
        <v>1000</v>
      </c>
      <c r="P742" s="126">
        <f>June!DN333</f>
        <v>809</v>
      </c>
      <c r="Q742" s="126">
        <f>June!DL333</f>
        <v>2</v>
      </c>
      <c r="R742" s="436"/>
      <c r="S742" s="436"/>
      <c r="T742" s="18"/>
      <c r="U742" s="18"/>
      <c r="V742" s="18">
        <f t="shared" si="38"/>
        <v>1373</v>
      </c>
      <c r="W742" s="45"/>
      <c r="X742" s="67"/>
    </row>
    <row r="743" spans="1:24" ht="15" customHeight="1">
      <c r="A743" s="427"/>
      <c r="B743" s="122" t="s">
        <v>366</v>
      </c>
      <c r="C743" s="157" t="s">
        <v>367</v>
      </c>
      <c r="D743" s="48" t="s">
        <v>132</v>
      </c>
      <c r="E743" s="441"/>
      <c r="F743" s="118" t="s">
        <v>64</v>
      </c>
      <c r="G743" s="119"/>
      <c r="H743" s="37">
        <v>535.5</v>
      </c>
      <c r="I743" s="126"/>
      <c r="J743" s="2"/>
      <c r="K743" s="18"/>
      <c r="L743" s="18"/>
      <c r="M743" s="18"/>
      <c r="N743" s="18"/>
      <c r="O743" s="126">
        <f>June!DM334</f>
        <v>305</v>
      </c>
      <c r="P743" s="126">
        <f>June!DN334</f>
        <v>728</v>
      </c>
      <c r="Q743" s="126">
        <f>June!DL334</f>
        <v>2</v>
      </c>
      <c r="R743" s="436"/>
      <c r="S743" s="436"/>
      <c r="T743" s="18"/>
      <c r="U743" s="18"/>
      <c r="V743" s="18">
        <f t="shared" si="38"/>
        <v>5523</v>
      </c>
      <c r="W743" s="45"/>
      <c r="X743" s="67"/>
    </row>
    <row r="744" spans="1:24" s="4" customFormat="1" ht="15" customHeight="1">
      <c r="A744" s="427"/>
      <c r="B744" s="122" t="s">
        <v>375</v>
      </c>
      <c r="C744" s="157" t="s">
        <v>376</v>
      </c>
      <c r="D744" s="48" t="s">
        <v>248</v>
      </c>
      <c r="E744" s="441"/>
      <c r="F744" s="48" t="s">
        <v>64</v>
      </c>
      <c r="G744" s="122"/>
      <c r="H744" s="34"/>
      <c r="I744" s="34"/>
      <c r="J744" s="6"/>
      <c r="K744" s="211"/>
      <c r="L744" s="211"/>
      <c r="M744" s="211"/>
      <c r="N744" s="211"/>
      <c r="O744" s="34"/>
      <c r="P744" s="34"/>
      <c r="Q744" s="34"/>
      <c r="R744" s="436"/>
      <c r="S744" s="436"/>
      <c r="T744" s="211"/>
      <c r="U744" s="211"/>
      <c r="V744" s="211">
        <f t="shared" si="38"/>
        <v>75911</v>
      </c>
      <c r="W744" s="260"/>
      <c r="X744" s="67"/>
    </row>
    <row r="745" spans="1:24" s="4" customFormat="1" ht="15" customHeight="1">
      <c r="A745" s="427"/>
      <c r="B745" s="122" t="s">
        <v>421</v>
      </c>
      <c r="C745" s="157" t="s">
        <v>420</v>
      </c>
      <c r="D745" s="48" t="s">
        <v>248</v>
      </c>
      <c r="E745" s="441"/>
      <c r="F745" s="48" t="s">
        <v>64</v>
      </c>
      <c r="G745" s="122"/>
      <c r="H745" s="34"/>
      <c r="I745" s="34"/>
      <c r="J745" s="6"/>
      <c r="K745" s="211"/>
      <c r="L745" s="211"/>
      <c r="M745" s="211">
        <v>46200</v>
      </c>
      <c r="N745" s="211">
        <v>11</v>
      </c>
      <c r="O745" s="34"/>
      <c r="P745" s="34"/>
      <c r="Q745" s="34">
        <f>June!DL337</f>
        <v>20</v>
      </c>
      <c r="R745" s="436"/>
      <c r="S745" s="436"/>
      <c r="T745" s="211"/>
      <c r="U745" s="211"/>
      <c r="V745" s="211">
        <f t="shared" si="38"/>
        <v>57857</v>
      </c>
      <c r="W745" s="260"/>
      <c r="X745" s="67"/>
    </row>
    <row r="746" spans="1:24" s="4" customFormat="1" ht="15" customHeight="1">
      <c r="A746" s="427"/>
      <c r="B746" s="442" t="s">
        <v>289</v>
      </c>
      <c r="C746" s="444" t="s">
        <v>290</v>
      </c>
      <c r="D746" s="48" t="s">
        <v>432</v>
      </c>
      <c r="E746" s="441"/>
      <c r="F746" s="48" t="s">
        <v>381</v>
      </c>
      <c r="G746" s="122"/>
      <c r="H746" s="34"/>
      <c r="I746" s="34"/>
      <c r="J746" s="6"/>
      <c r="K746" s="211"/>
      <c r="L746" s="211"/>
      <c r="M746" s="211"/>
      <c r="N746" s="211"/>
      <c r="O746" s="34">
        <f>June!DM329</f>
        <v>454</v>
      </c>
      <c r="P746" s="34"/>
      <c r="Q746" s="34"/>
      <c r="R746" s="436"/>
      <c r="S746" s="436"/>
      <c r="T746" s="211">
        <v>454</v>
      </c>
      <c r="U746" s="211"/>
      <c r="V746" s="211">
        <f>O746-T746-U746+V714</f>
        <v>0</v>
      </c>
      <c r="W746" s="260"/>
      <c r="X746" s="67"/>
    </row>
    <row r="747" spans="1:24" s="4" customFormat="1" ht="15" customHeight="1">
      <c r="A747" s="427"/>
      <c r="B747" s="443"/>
      <c r="C747" s="446"/>
      <c r="D747" s="48" t="s">
        <v>432</v>
      </c>
      <c r="E747" s="441"/>
      <c r="F747" s="48" t="s">
        <v>435</v>
      </c>
      <c r="G747" s="122"/>
      <c r="H747" s="34"/>
      <c r="I747" s="34"/>
      <c r="J747" s="6"/>
      <c r="K747" s="211"/>
      <c r="L747" s="211"/>
      <c r="M747" s="211"/>
      <c r="N747" s="211"/>
      <c r="O747" s="34">
        <f>June!DM330</f>
        <v>800</v>
      </c>
      <c r="P747" s="34"/>
      <c r="Q747" s="34">
        <f>June!DL330</f>
        <v>1</v>
      </c>
      <c r="R747" s="436"/>
      <c r="S747" s="436"/>
      <c r="T747" s="211">
        <v>800</v>
      </c>
      <c r="U747" s="211"/>
      <c r="V747" s="211">
        <f t="shared" si="38"/>
        <v>0</v>
      </c>
      <c r="W747" s="260"/>
      <c r="X747" s="67"/>
    </row>
    <row r="748" spans="1:24" s="4" customFormat="1" ht="15" customHeight="1">
      <c r="A748" s="427"/>
      <c r="B748" s="268" t="s">
        <v>453</v>
      </c>
      <c r="C748" s="277" t="s">
        <v>438</v>
      </c>
      <c r="D748" s="48" t="s">
        <v>432</v>
      </c>
      <c r="E748" s="441"/>
      <c r="F748" s="48" t="s">
        <v>57</v>
      </c>
      <c r="G748" s="122"/>
      <c r="H748" s="34"/>
      <c r="I748" s="34"/>
      <c r="J748" s="6"/>
      <c r="K748" s="211"/>
      <c r="L748" s="211"/>
      <c r="M748" s="211"/>
      <c r="N748" s="211"/>
      <c r="O748" s="34">
        <f>June!DM331</f>
        <v>800</v>
      </c>
      <c r="P748" s="34"/>
      <c r="Q748" s="34">
        <f>June!DL331</f>
        <v>1</v>
      </c>
      <c r="R748" s="436"/>
      <c r="S748" s="436"/>
      <c r="T748" s="211">
        <v>800</v>
      </c>
      <c r="U748" s="211"/>
      <c r="V748" s="211">
        <f t="shared" si="38"/>
        <v>0</v>
      </c>
      <c r="W748" s="260"/>
      <c r="X748" s="67"/>
    </row>
    <row r="749" spans="1:24" s="4" customFormat="1" ht="15" customHeight="1">
      <c r="A749" s="427"/>
      <c r="B749" s="122" t="s">
        <v>454</v>
      </c>
      <c r="C749" s="157" t="s">
        <v>438</v>
      </c>
      <c r="D749" s="48" t="s">
        <v>432</v>
      </c>
      <c r="E749" s="441"/>
      <c r="F749" s="48" t="s">
        <v>57</v>
      </c>
      <c r="G749" s="122"/>
      <c r="H749" s="34"/>
      <c r="I749" s="34"/>
      <c r="J749" s="6"/>
      <c r="K749" s="211"/>
      <c r="L749" s="211"/>
      <c r="M749" s="211"/>
      <c r="N749" s="211"/>
      <c r="O749" s="34">
        <f>June!DM332</f>
        <v>895</v>
      </c>
      <c r="P749" s="34">
        <f>June!DN332</f>
        <v>86</v>
      </c>
      <c r="Q749" s="34">
        <f>June!DL332</f>
        <v>1</v>
      </c>
      <c r="R749" s="436"/>
      <c r="S749" s="436"/>
      <c r="T749" s="211">
        <v>684</v>
      </c>
      <c r="U749" s="211"/>
      <c r="V749" s="211">
        <f t="shared" si="38"/>
        <v>895</v>
      </c>
      <c r="W749" s="260"/>
      <c r="X749" s="67"/>
    </row>
    <row r="750" spans="1:24" ht="15" customHeight="1">
      <c r="A750" s="427"/>
      <c r="B750" s="122" t="s">
        <v>103</v>
      </c>
      <c r="C750" s="157" t="s">
        <v>197</v>
      </c>
      <c r="D750" s="48" t="s">
        <v>104</v>
      </c>
      <c r="E750" s="441"/>
      <c r="F750" s="118" t="s">
        <v>105</v>
      </c>
      <c r="G750" s="119"/>
      <c r="H750" s="126"/>
      <c r="I750" s="126"/>
      <c r="J750" s="2"/>
      <c r="K750" s="18"/>
      <c r="L750" s="18"/>
      <c r="M750" s="18"/>
      <c r="N750" s="18"/>
      <c r="O750" s="126"/>
      <c r="P750" s="126"/>
      <c r="Q750" s="126">
        <f>June!DL339</f>
        <v>1</v>
      </c>
      <c r="R750" s="436"/>
      <c r="S750" s="436"/>
      <c r="T750" s="18"/>
      <c r="U750" s="18"/>
      <c r="V750" s="18"/>
      <c r="W750" s="45"/>
      <c r="X750" s="67"/>
    </row>
    <row r="751" spans="1:24" ht="15" customHeight="1">
      <c r="A751" s="427"/>
      <c r="B751" s="137" t="s">
        <v>112</v>
      </c>
      <c r="C751" s="157" t="s">
        <v>197</v>
      </c>
      <c r="D751" s="48" t="s">
        <v>104</v>
      </c>
      <c r="E751" s="441"/>
      <c r="F751" s="118" t="s">
        <v>113</v>
      </c>
      <c r="G751" s="119"/>
      <c r="H751" s="126"/>
      <c r="I751" s="126"/>
      <c r="J751" s="2"/>
      <c r="K751" s="18"/>
      <c r="L751" s="18"/>
      <c r="M751" s="18"/>
      <c r="N751" s="18"/>
      <c r="O751" s="126"/>
      <c r="P751" s="126"/>
      <c r="Q751" s="126">
        <f>June!DL341</f>
        <v>1</v>
      </c>
      <c r="R751" s="436"/>
      <c r="S751" s="436"/>
      <c r="T751" s="18"/>
      <c r="U751" s="18"/>
      <c r="V751" s="18"/>
      <c r="W751" s="45"/>
      <c r="X751" s="67"/>
    </row>
    <row r="752" spans="1:24" ht="15" customHeight="1" thickBot="1">
      <c r="A752" s="428"/>
      <c r="B752" s="44" t="s">
        <v>107</v>
      </c>
      <c r="C752" s="181" t="s">
        <v>386</v>
      </c>
      <c r="D752" s="61" t="s">
        <v>108</v>
      </c>
      <c r="E752" s="447"/>
      <c r="F752" s="133" t="s">
        <v>48</v>
      </c>
      <c r="G752" s="132"/>
      <c r="H752" s="134"/>
      <c r="I752" s="134"/>
      <c r="J752" s="129"/>
      <c r="K752" s="130"/>
      <c r="L752" s="130"/>
      <c r="M752" s="130">
        <v>13000</v>
      </c>
      <c r="N752" s="130">
        <v>2</v>
      </c>
      <c r="O752" s="134"/>
      <c r="P752" s="134"/>
      <c r="Q752" s="134">
        <f>June!DL340</f>
        <v>2</v>
      </c>
      <c r="R752" s="437"/>
      <c r="S752" s="437"/>
      <c r="T752" s="130"/>
      <c r="U752" s="130"/>
      <c r="V752" s="128">
        <f t="shared" ref="V752:V767" si="39">O752-T752-U752+V720</f>
        <v>11956</v>
      </c>
      <c r="W752" s="85"/>
      <c r="X752" s="67"/>
    </row>
    <row r="753" spans="1:25" ht="15" customHeight="1">
      <c r="A753" s="426">
        <v>46203</v>
      </c>
      <c r="B753" s="429" t="s">
        <v>44</v>
      </c>
      <c r="C753" s="432" t="s">
        <v>240</v>
      </c>
      <c r="D753" s="19" t="s">
        <v>37</v>
      </c>
      <c r="E753" s="19" t="s">
        <v>25</v>
      </c>
      <c r="F753" s="39" t="s">
        <v>40</v>
      </c>
      <c r="G753" s="41">
        <v>5229.3500000000004</v>
      </c>
      <c r="H753" s="32"/>
      <c r="I753" s="32"/>
      <c r="J753" s="32"/>
      <c r="K753" s="20">
        <v>88000</v>
      </c>
      <c r="L753" s="20">
        <v>11</v>
      </c>
      <c r="M753" s="20">
        <v>160000</v>
      </c>
      <c r="N753" s="84">
        <v>20</v>
      </c>
      <c r="O753" s="32">
        <f>June!DP313</f>
        <v>50709</v>
      </c>
      <c r="P753" s="32">
        <f>June!DQ313</f>
        <v>52703</v>
      </c>
      <c r="Q753" s="32">
        <f>June!DO313</f>
        <v>150</v>
      </c>
      <c r="R753" s="435">
        <f>June!DP346</f>
        <v>59261</v>
      </c>
      <c r="S753" s="435">
        <f>June!DQ346</f>
        <v>72230</v>
      </c>
      <c r="T753" s="20">
        <v>45646</v>
      </c>
      <c r="U753" s="20"/>
      <c r="V753" s="20">
        <f t="shared" si="39"/>
        <v>145690</v>
      </c>
      <c r="W753" s="77"/>
      <c r="X753" s="36"/>
    </row>
    <row r="754" spans="1:25" ht="15" customHeight="1">
      <c r="A754" s="427"/>
      <c r="B754" s="431"/>
      <c r="C754" s="434"/>
      <c r="D754" s="113" t="s">
        <v>307</v>
      </c>
      <c r="E754" s="113" t="s">
        <v>24</v>
      </c>
      <c r="F754" s="118" t="s">
        <v>40</v>
      </c>
      <c r="G754" s="170"/>
      <c r="H754" s="135"/>
      <c r="I754" s="125"/>
      <c r="J754" s="125"/>
      <c r="K754" s="127"/>
      <c r="L754" s="127"/>
      <c r="M754" s="216">
        <v>215400</v>
      </c>
      <c r="N754" s="238">
        <v>27</v>
      </c>
      <c r="O754" s="126">
        <f>June!DP314</f>
        <v>5252</v>
      </c>
      <c r="P754" s="125">
        <f>June!DQ314</f>
        <v>13595</v>
      </c>
      <c r="Q754" s="125">
        <f>June!DO314</f>
        <v>40</v>
      </c>
      <c r="R754" s="436"/>
      <c r="S754" s="436"/>
      <c r="T754" s="127">
        <v>34510</v>
      </c>
      <c r="U754" s="127">
        <v>13</v>
      </c>
      <c r="V754" s="127">
        <f t="shared" si="39"/>
        <v>97618</v>
      </c>
      <c r="W754" s="46"/>
      <c r="X754" s="67"/>
    </row>
    <row r="755" spans="1:25" ht="15" customHeight="1">
      <c r="A755" s="427"/>
      <c r="B755" s="442" t="s">
        <v>45</v>
      </c>
      <c r="C755" s="448" t="s">
        <v>59</v>
      </c>
      <c r="D755" s="118" t="s">
        <v>75</v>
      </c>
      <c r="E755" s="131" t="s">
        <v>25</v>
      </c>
      <c r="F755" s="131" t="s">
        <v>57</v>
      </c>
      <c r="G755" s="87"/>
      <c r="H755" s="152"/>
      <c r="I755" s="126"/>
      <c r="J755" s="2"/>
      <c r="K755" s="127"/>
      <c r="L755" s="18"/>
      <c r="M755" s="18">
        <v>44680</v>
      </c>
      <c r="N755" s="80">
        <v>9</v>
      </c>
      <c r="O755" s="126"/>
      <c r="P755" s="126"/>
      <c r="Q755" s="2">
        <f>June!DO317</f>
        <v>11</v>
      </c>
      <c r="R755" s="436"/>
      <c r="S755" s="436"/>
      <c r="T755" s="18">
        <v>5832</v>
      </c>
      <c r="U755" s="18"/>
      <c r="V755" s="127">
        <f t="shared" si="39"/>
        <v>4811</v>
      </c>
      <c r="W755" s="46"/>
      <c r="Y755" s="13"/>
    </row>
    <row r="756" spans="1:25">
      <c r="A756" s="427"/>
      <c r="B756" s="439"/>
      <c r="C756" s="440"/>
      <c r="D756" s="118" t="s">
        <v>72</v>
      </c>
      <c r="E756" s="155" t="s">
        <v>24</v>
      </c>
      <c r="F756" s="131" t="s">
        <v>57</v>
      </c>
      <c r="G756" s="224"/>
      <c r="H756" s="152"/>
      <c r="I756" s="126"/>
      <c r="J756" s="126"/>
      <c r="K756" s="127"/>
      <c r="L756" s="18"/>
      <c r="M756" s="18">
        <v>49600</v>
      </c>
      <c r="N756" s="80">
        <v>10</v>
      </c>
      <c r="O756" s="126"/>
      <c r="P756" s="126"/>
      <c r="Q756" s="126">
        <f>June!DO319</f>
        <v>8</v>
      </c>
      <c r="R756" s="436"/>
      <c r="S756" s="436"/>
      <c r="T756" s="18"/>
      <c r="U756" s="18"/>
      <c r="V756" s="127">
        <f t="shared" si="39"/>
        <v>23089</v>
      </c>
      <c r="W756" s="46"/>
      <c r="Y756" s="13"/>
    </row>
    <row r="757" spans="1:25" ht="14.25" customHeight="1">
      <c r="A757" s="427"/>
      <c r="B757" s="439"/>
      <c r="C757" s="440"/>
      <c r="D757" s="115" t="s">
        <v>79</v>
      </c>
      <c r="E757" s="155" t="s">
        <v>65</v>
      </c>
      <c r="F757" s="131" t="s">
        <v>57</v>
      </c>
      <c r="G757" s="224"/>
      <c r="H757" s="126"/>
      <c r="I757" s="126"/>
      <c r="J757" s="126"/>
      <c r="K757" s="18"/>
      <c r="L757" s="18"/>
      <c r="M757" s="18"/>
      <c r="N757" s="80"/>
      <c r="O757" s="126"/>
      <c r="P757" s="126"/>
      <c r="Q757" s="126"/>
      <c r="R757" s="436"/>
      <c r="S757" s="436"/>
      <c r="T757" s="18"/>
      <c r="U757" s="18"/>
      <c r="V757" s="127">
        <f t="shared" si="39"/>
        <v>10211</v>
      </c>
      <c r="W757" s="45"/>
      <c r="X757" s="36"/>
    </row>
    <row r="758" spans="1:25" ht="14.25" customHeight="1">
      <c r="A758" s="427"/>
      <c r="B758" s="439"/>
      <c r="C758" s="448" t="s">
        <v>299</v>
      </c>
      <c r="D758" s="115" t="s">
        <v>296</v>
      </c>
      <c r="E758" s="424" t="s">
        <v>25</v>
      </c>
      <c r="F758" s="131" t="s">
        <v>298</v>
      </c>
      <c r="G758" s="224"/>
      <c r="H758" s="37"/>
      <c r="I758" s="126"/>
      <c r="J758" s="126"/>
      <c r="K758" s="18"/>
      <c r="L758" s="18"/>
      <c r="M758" s="18"/>
      <c r="N758" s="80"/>
      <c r="O758" s="126"/>
      <c r="P758" s="126"/>
      <c r="Q758" s="126"/>
      <c r="R758" s="436"/>
      <c r="S758" s="436"/>
      <c r="T758" s="18"/>
      <c r="U758" s="18"/>
      <c r="V758" s="127">
        <f t="shared" si="39"/>
        <v>4427</v>
      </c>
      <c r="W758" s="45"/>
      <c r="X758" s="67"/>
    </row>
    <row r="759" spans="1:25" ht="14.25" customHeight="1">
      <c r="A759" s="427"/>
      <c r="B759" s="443"/>
      <c r="C759" s="449"/>
      <c r="D759" s="115" t="s">
        <v>75</v>
      </c>
      <c r="E759" s="425"/>
      <c r="F759" s="131" t="s">
        <v>298</v>
      </c>
      <c r="G759" s="224"/>
      <c r="H759" s="37"/>
      <c r="I759" s="126"/>
      <c r="J759" s="126"/>
      <c r="K759" s="18"/>
      <c r="L759" s="18"/>
      <c r="M759" s="18">
        <v>10000</v>
      </c>
      <c r="N759" s="80">
        <v>2</v>
      </c>
      <c r="O759" s="126"/>
      <c r="P759" s="126"/>
      <c r="Q759" s="126">
        <f>June!DO323</f>
        <v>4</v>
      </c>
      <c r="R759" s="436"/>
      <c r="S759" s="436"/>
      <c r="T759" s="18"/>
      <c r="U759" s="18"/>
      <c r="V759" s="127">
        <f t="shared" si="39"/>
        <v>14595</v>
      </c>
      <c r="W759" s="45"/>
      <c r="X759" s="67"/>
    </row>
    <row r="760" spans="1:25" ht="14.25" customHeight="1">
      <c r="A760" s="427"/>
      <c r="B760" s="439" t="s">
        <v>53</v>
      </c>
      <c r="C760" s="445" t="s">
        <v>60</v>
      </c>
      <c r="D760" s="43" t="s">
        <v>320</v>
      </c>
      <c r="E760" s="441" t="s">
        <v>66</v>
      </c>
      <c r="F760" s="118" t="s">
        <v>54</v>
      </c>
      <c r="G760" s="224"/>
      <c r="H760" s="37"/>
      <c r="I760" s="126"/>
      <c r="J760" s="126"/>
      <c r="K760" s="18"/>
      <c r="L760" s="18"/>
      <c r="M760" s="18"/>
      <c r="N760" s="80"/>
      <c r="O760" s="126"/>
      <c r="P760" s="126">
        <f>June!DQ315</f>
        <v>1284</v>
      </c>
      <c r="Q760" s="126">
        <f>June!DO315</f>
        <v>4</v>
      </c>
      <c r="R760" s="436"/>
      <c r="S760" s="436"/>
      <c r="T760" s="18"/>
      <c r="U760" s="18"/>
      <c r="V760" s="127">
        <f t="shared" si="39"/>
        <v>46064</v>
      </c>
      <c r="W760" s="45"/>
      <c r="X760" s="67"/>
    </row>
    <row r="761" spans="1:25" ht="14.25" customHeight="1">
      <c r="A761" s="427"/>
      <c r="B761" s="439"/>
      <c r="C761" s="445"/>
      <c r="D761" s="43" t="s">
        <v>387</v>
      </c>
      <c r="E761" s="425"/>
      <c r="F761" s="118" t="s">
        <v>54</v>
      </c>
      <c r="G761" s="229"/>
      <c r="H761" s="182"/>
      <c r="I761" s="125"/>
      <c r="J761" s="125"/>
      <c r="K761" s="127"/>
      <c r="L761" s="127"/>
      <c r="M761" s="127">
        <v>64800</v>
      </c>
      <c r="N761" s="171">
        <v>11</v>
      </c>
      <c r="O761" s="125"/>
      <c r="P761" s="125"/>
      <c r="Q761" s="125"/>
      <c r="R761" s="436"/>
      <c r="S761" s="436"/>
      <c r="T761" s="18"/>
      <c r="U761" s="18"/>
      <c r="V761" s="127">
        <f t="shared" si="39"/>
        <v>666</v>
      </c>
      <c r="W761" s="45"/>
      <c r="X761" s="67"/>
    </row>
    <row r="762" spans="1:25" ht="14.25" customHeight="1">
      <c r="A762" s="427"/>
      <c r="B762" s="443"/>
      <c r="C762" s="446"/>
      <c r="D762" s="43" t="s">
        <v>199</v>
      </c>
      <c r="E762" s="114" t="s">
        <v>25</v>
      </c>
      <c r="F762" s="118" t="s">
        <v>54</v>
      </c>
      <c r="G762" s="224"/>
      <c r="H762" s="135"/>
      <c r="I762" s="158"/>
      <c r="J762" s="158"/>
      <c r="K762" s="128"/>
      <c r="L762" s="128"/>
      <c r="M762" s="128"/>
      <c r="N762" s="164"/>
      <c r="O762" s="158"/>
      <c r="P762" s="158"/>
      <c r="Q762" s="158"/>
      <c r="R762" s="436"/>
      <c r="S762" s="436"/>
      <c r="T762" s="18"/>
      <c r="U762" s="18"/>
      <c r="V762" s="127">
        <f t="shared" si="39"/>
        <v>68</v>
      </c>
      <c r="W762" s="45"/>
      <c r="X762" s="67"/>
    </row>
    <row r="763" spans="1:25" ht="15.75" customHeight="1">
      <c r="A763" s="427"/>
      <c r="B763" s="122" t="s">
        <v>55</v>
      </c>
      <c r="C763" s="180" t="s">
        <v>133</v>
      </c>
      <c r="D763" s="48" t="s">
        <v>56</v>
      </c>
      <c r="E763" s="424" t="s">
        <v>25</v>
      </c>
      <c r="F763" s="118" t="s">
        <v>67</v>
      </c>
      <c r="G763" s="226"/>
      <c r="H763" s="126"/>
      <c r="I763" s="126"/>
      <c r="J763" s="2"/>
      <c r="K763" s="18"/>
      <c r="L763" s="18"/>
      <c r="M763" s="18"/>
      <c r="N763" s="18"/>
      <c r="O763" s="126"/>
      <c r="P763" s="126"/>
      <c r="Q763" s="126"/>
      <c r="R763" s="436"/>
      <c r="S763" s="436"/>
      <c r="T763" s="18"/>
      <c r="U763" s="18"/>
      <c r="V763" s="127">
        <f t="shared" si="39"/>
        <v>7022</v>
      </c>
      <c r="W763" s="45"/>
      <c r="X763" s="67"/>
    </row>
    <row r="764" spans="1:25" ht="15" customHeight="1">
      <c r="A764" s="427"/>
      <c r="B764" s="122" t="s">
        <v>122</v>
      </c>
      <c r="C764" s="180" t="s">
        <v>123</v>
      </c>
      <c r="D764" s="48" t="s">
        <v>56</v>
      </c>
      <c r="E764" s="441"/>
      <c r="F764" s="155" t="s">
        <v>64</v>
      </c>
      <c r="G764" s="119"/>
      <c r="H764" s="126"/>
      <c r="I764" s="126"/>
      <c r="J764" s="2"/>
      <c r="K764" s="18"/>
      <c r="L764" s="18"/>
      <c r="M764" s="18">
        <v>6400</v>
      </c>
      <c r="N764" s="18">
        <v>2</v>
      </c>
      <c r="O764" s="126"/>
      <c r="P764" s="126"/>
      <c r="Q764" s="126"/>
      <c r="R764" s="436"/>
      <c r="S764" s="436"/>
      <c r="T764" s="18"/>
      <c r="U764" s="18"/>
      <c r="V764" s="127">
        <f t="shared" si="39"/>
        <v>18121</v>
      </c>
      <c r="W764" s="45"/>
      <c r="X764" s="67"/>
    </row>
    <row r="765" spans="1:25" ht="14.25" customHeight="1">
      <c r="A765" s="427"/>
      <c r="B765" s="137" t="s">
        <v>58</v>
      </c>
      <c r="C765" s="157" t="s">
        <v>243</v>
      </c>
      <c r="D765" s="48" t="s">
        <v>56</v>
      </c>
      <c r="E765" s="441"/>
      <c r="F765" s="118" t="s">
        <v>64</v>
      </c>
      <c r="G765" s="225"/>
      <c r="H765" s="126"/>
      <c r="I765" s="126"/>
      <c r="J765" s="126"/>
      <c r="K765" s="18"/>
      <c r="L765" s="18"/>
      <c r="M765" s="18"/>
      <c r="N765" s="80"/>
      <c r="O765" s="126"/>
      <c r="P765" s="126"/>
      <c r="Q765" s="126"/>
      <c r="R765" s="436"/>
      <c r="S765" s="436"/>
      <c r="T765" s="18"/>
      <c r="U765" s="18"/>
      <c r="V765" s="127">
        <f t="shared" si="39"/>
        <v>8144</v>
      </c>
      <c r="W765" s="45"/>
      <c r="X765" s="67"/>
    </row>
    <row r="766" spans="1:25" ht="14.25" customHeight="1">
      <c r="A766" s="427"/>
      <c r="B766" s="122" t="s">
        <v>61</v>
      </c>
      <c r="C766" s="180" t="s">
        <v>137</v>
      </c>
      <c r="D766" s="48" t="s">
        <v>56</v>
      </c>
      <c r="E766" s="441"/>
      <c r="F766" s="118" t="s">
        <v>67</v>
      </c>
      <c r="G766" s="225"/>
      <c r="H766" s="126"/>
      <c r="I766" s="126"/>
      <c r="J766" s="126"/>
      <c r="K766" s="18"/>
      <c r="L766" s="18"/>
      <c r="M766" s="18"/>
      <c r="N766" s="80"/>
      <c r="O766" s="126"/>
      <c r="P766" s="126"/>
      <c r="Q766" s="126"/>
      <c r="R766" s="436"/>
      <c r="S766" s="436"/>
      <c r="T766" s="18"/>
      <c r="U766" s="18"/>
      <c r="V766" s="127">
        <f t="shared" si="39"/>
        <v>5844</v>
      </c>
      <c r="W766" s="45"/>
      <c r="X766" s="67"/>
    </row>
    <row r="767" spans="1:25" ht="14.25" customHeight="1">
      <c r="A767" s="427"/>
      <c r="B767" s="122" t="s">
        <v>125</v>
      </c>
      <c r="C767" s="180" t="s">
        <v>88</v>
      </c>
      <c r="D767" s="48" t="s">
        <v>124</v>
      </c>
      <c r="E767" s="441"/>
      <c r="F767" s="118" t="s">
        <v>64</v>
      </c>
      <c r="G767" s="225"/>
      <c r="H767" s="126"/>
      <c r="I767" s="126"/>
      <c r="J767" s="126"/>
      <c r="K767" s="18"/>
      <c r="L767" s="18"/>
      <c r="M767" s="18">
        <v>51200</v>
      </c>
      <c r="N767" s="80">
        <v>7</v>
      </c>
      <c r="O767" s="126"/>
      <c r="P767" s="126"/>
      <c r="Q767" s="126"/>
      <c r="R767" s="436"/>
      <c r="S767" s="436"/>
      <c r="T767" s="18"/>
      <c r="U767" s="18"/>
      <c r="V767" s="127">
        <f t="shared" si="39"/>
        <v>23615</v>
      </c>
      <c r="W767" s="45"/>
      <c r="X767" s="67"/>
    </row>
    <row r="768" spans="1:25" ht="14.25" customHeight="1">
      <c r="A768" s="427"/>
      <c r="B768" s="122" t="s">
        <v>463</v>
      </c>
      <c r="C768" s="157" t="s">
        <v>464</v>
      </c>
      <c r="D768" s="48" t="s">
        <v>246</v>
      </c>
      <c r="E768" s="441"/>
      <c r="F768" s="118" t="s">
        <v>64</v>
      </c>
      <c r="G768" s="279">
        <v>281.06</v>
      </c>
      <c r="H768" s="126"/>
      <c r="I768" s="126"/>
      <c r="J768" s="126"/>
      <c r="K768" s="339"/>
      <c r="L768" s="18"/>
      <c r="M768" s="18">
        <v>6000</v>
      </c>
      <c r="N768" s="80">
        <v>1</v>
      </c>
      <c r="O768" s="126"/>
      <c r="P768" s="126"/>
      <c r="Q768" s="126"/>
      <c r="R768" s="436"/>
      <c r="S768" s="436"/>
      <c r="T768" s="18"/>
      <c r="U768" s="18"/>
      <c r="V768" s="127"/>
      <c r="W768" s="45"/>
      <c r="X768" s="67"/>
    </row>
    <row r="769" spans="1:24" ht="14.25" customHeight="1">
      <c r="A769" s="427"/>
      <c r="B769" s="137" t="s">
        <v>47</v>
      </c>
      <c r="C769" s="157" t="s">
        <v>100</v>
      </c>
      <c r="D769" s="48" t="s">
        <v>458</v>
      </c>
      <c r="E769" s="441"/>
      <c r="F769" s="118" t="s">
        <v>71</v>
      </c>
      <c r="G769" s="225"/>
      <c r="H769" s="126"/>
      <c r="I769" s="126"/>
      <c r="J769" s="126"/>
      <c r="K769" s="18"/>
      <c r="L769" s="18"/>
      <c r="M769" s="18">
        <v>6100</v>
      </c>
      <c r="N769" s="80">
        <v>1</v>
      </c>
      <c r="O769" s="126"/>
      <c r="P769" s="126">
        <f>June!DQ325</f>
        <v>1661</v>
      </c>
      <c r="Q769" s="126">
        <f>June!DO325</f>
        <v>6</v>
      </c>
      <c r="R769" s="436"/>
      <c r="S769" s="436"/>
      <c r="T769" s="18"/>
      <c r="U769" s="18"/>
      <c r="V769" s="127">
        <f>O769-T769-U769+V736</f>
        <v>0</v>
      </c>
      <c r="W769" s="45"/>
      <c r="X769" s="67"/>
    </row>
    <row r="770" spans="1:24" ht="14.25" customHeight="1">
      <c r="A770" s="427"/>
      <c r="B770" s="137" t="s">
        <v>47</v>
      </c>
      <c r="C770" s="157" t="s">
        <v>457</v>
      </c>
      <c r="D770" s="48" t="s">
        <v>458</v>
      </c>
      <c r="E770" s="441"/>
      <c r="F770" s="118" t="s">
        <v>459</v>
      </c>
      <c r="G770" s="225"/>
      <c r="H770" s="126"/>
      <c r="I770" s="126"/>
      <c r="J770" s="126"/>
      <c r="K770" s="18"/>
      <c r="L770" s="18"/>
      <c r="M770" s="18"/>
      <c r="N770" s="80"/>
      <c r="O770" s="126">
        <f>June!DP326</f>
        <v>843</v>
      </c>
      <c r="P770" s="126">
        <f>June!DQ326</f>
        <v>210</v>
      </c>
      <c r="Q770" s="126">
        <f>June!DO326</f>
        <v>1</v>
      </c>
      <c r="R770" s="436"/>
      <c r="S770" s="436"/>
      <c r="T770" s="18">
        <v>843</v>
      </c>
      <c r="U770" s="18"/>
      <c r="V770" s="127">
        <f t="shared" ref="V770:V781" si="40">O770-T770-U770+V738</f>
        <v>0</v>
      </c>
      <c r="W770" s="45"/>
      <c r="X770" s="67"/>
    </row>
    <row r="771" spans="1:24" ht="15" customHeight="1">
      <c r="A771" s="427"/>
      <c r="B771" s="122" t="s">
        <v>196</v>
      </c>
      <c r="C771" s="180" t="s">
        <v>63</v>
      </c>
      <c r="D771" s="48" t="s">
        <v>135</v>
      </c>
      <c r="E771" s="441"/>
      <c r="F771" s="118" t="s">
        <v>64</v>
      </c>
      <c r="G771" s="226"/>
      <c r="H771" s="126"/>
      <c r="I771" s="126"/>
      <c r="J771" s="2"/>
      <c r="K771" s="18"/>
      <c r="L771" s="18"/>
      <c r="M771" s="18"/>
      <c r="N771" s="18"/>
      <c r="O771" s="126"/>
      <c r="P771" s="126">
        <f>June!DQ338</f>
        <v>1013</v>
      </c>
      <c r="Q771" s="126">
        <f>June!DO338</f>
        <v>4</v>
      </c>
      <c r="R771" s="436"/>
      <c r="S771" s="436"/>
      <c r="T771" s="18"/>
      <c r="U771" s="18"/>
      <c r="V771" s="127">
        <f t="shared" si="40"/>
        <v>50124</v>
      </c>
      <c r="W771" s="45"/>
      <c r="X771" s="67"/>
    </row>
    <row r="772" spans="1:24" ht="15" customHeight="1">
      <c r="A772" s="427"/>
      <c r="B772" s="122" t="s">
        <v>363</v>
      </c>
      <c r="C772" s="180" t="s">
        <v>325</v>
      </c>
      <c r="D772" s="48" t="s">
        <v>328</v>
      </c>
      <c r="E772" s="441"/>
      <c r="F772" s="118" t="s">
        <v>48</v>
      </c>
      <c r="G772" s="226"/>
      <c r="H772" s="126"/>
      <c r="I772" s="126"/>
      <c r="J772" s="2"/>
      <c r="K772" s="18"/>
      <c r="L772" s="18"/>
      <c r="M772" s="18"/>
      <c r="N772" s="18"/>
      <c r="O772" s="126"/>
      <c r="P772" s="126"/>
      <c r="Q772" s="126"/>
      <c r="R772" s="436"/>
      <c r="S772" s="436"/>
      <c r="T772" s="18"/>
      <c r="U772" s="18"/>
      <c r="V772" s="127">
        <f t="shared" si="40"/>
        <v>16454</v>
      </c>
      <c r="W772" s="45"/>
      <c r="X772" s="67"/>
    </row>
    <row r="773" spans="1:24" ht="15" customHeight="1">
      <c r="A773" s="427"/>
      <c r="B773" s="122" t="s">
        <v>253</v>
      </c>
      <c r="C773" s="180" t="s">
        <v>365</v>
      </c>
      <c r="D773" s="48" t="s">
        <v>246</v>
      </c>
      <c r="E773" s="441"/>
      <c r="F773" s="118" t="s">
        <v>247</v>
      </c>
      <c r="G773" s="226"/>
      <c r="H773" s="126"/>
      <c r="I773" s="126"/>
      <c r="J773" s="2"/>
      <c r="K773" s="18"/>
      <c r="L773" s="18"/>
      <c r="M773" s="18"/>
      <c r="N773" s="18"/>
      <c r="O773" s="126"/>
      <c r="P773" s="126"/>
      <c r="Q773" s="126">
        <f>June!DO327</f>
        <v>3</v>
      </c>
      <c r="R773" s="436"/>
      <c r="S773" s="436"/>
      <c r="T773" s="18"/>
      <c r="U773" s="18"/>
      <c r="V773" s="127">
        <f t="shared" si="40"/>
        <v>12501</v>
      </c>
      <c r="W773" s="45"/>
      <c r="X773" s="67"/>
    </row>
    <row r="774" spans="1:24" ht="15" customHeight="1">
      <c r="A774" s="427"/>
      <c r="B774" s="122" t="s">
        <v>101</v>
      </c>
      <c r="C774" s="180" t="s">
        <v>327</v>
      </c>
      <c r="D774" s="48" t="s">
        <v>102</v>
      </c>
      <c r="E774" s="441"/>
      <c r="F774" s="118" t="s">
        <v>64</v>
      </c>
      <c r="G774" s="119"/>
      <c r="H774" s="126"/>
      <c r="I774" s="126"/>
      <c r="J774" s="2"/>
      <c r="K774" s="18"/>
      <c r="L774" s="18"/>
      <c r="M774" s="18"/>
      <c r="N774" s="18"/>
      <c r="O774" s="126">
        <f>June!DP333</f>
        <v>1255</v>
      </c>
      <c r="P774" s="126">
        <f>June!DQ333</f>
        <v>759</v>
      </c>
      <c r="Q774" s="126">
        <f>June!DO333</f>
        <v>2</v>
      </c>
      <c r="R774" s="436"/>
      <c r="S774" s="436"/>
      <c r="T774" s="18">
        <v>2255</v>
      </c>
      <c r="U774" s="18"/>
      <c r="V774" s="18">
        <f t="shared" si="40"/>
        <v>373</v>
      </c>
      <c r="W774" s="45"/>
      <c r="X774" s="67"/>
    </row>
    <row r="775" spans="1:24" ht="15" customHeight="1">
      <c r="A775" s="427"/>
      <c r="B775" s="122" t="s">
        <v>366</v>
      </c>
      <c r="C775" s="157" t="s">
        <v>367</v>
      </c>
      <c r="D775" s="48" t="s">
        <v>132</v>
      </c>
      <c r="E775" s="441"/>
      <c r="F775" s="118" t="s">
        <v>64</v>
      </c>
      <c r="G775" s="119"/>
      <c r="H775" s="126"/>
      <c r="I775" s="126"/>
      <c r="J775" s="2"/>
      <c r="K775" s="18"/>
      <c r="L775" s="18"/>
      <c r="M775" s="18"/>
      <c r="N775" s="18"/>
      <c r="O775" s="126">
        <f>June!DP334</f>
        <v>1202</v>
      </c>
      <c r="P775" s="126">
        <f>June!DQ334</f>
        <v>760</v>
      </c>
      <c r="Q775" s="126">
        <f>June!DO334</f>
        <v>2</v>
      </c>
      <c r="R775" s="436"/>
      <c r="S775" s="436"/>
      <c r="T775" s="18"/>
      <c r="U775" s="18"/>
      <c r="V775" s="18">
        <f t="shared" si="40"/>
        <v>6725</v>
      </c>
      <c r="W775" s="45"/>
      <c r="X775" s="67"/>
    </row>
    <row r="776" spans="1:24" s="4" customFormat="1" ht="15" customHeight="1">
      <c r="A776" s="427"/>
      <c r="B776" s="122" t="s">
        <v>375</v>
      </c>
      <c r="C776" s="157" t="s">
        <v>376</v>
      </c>
      <c r="D776" s="48" t="s">
        <v>248</v>
      </c>
      <c r="E776" s="441"/>
      <c r="F776" s="48" t="s">
        <v>64</v>
      </c>
      <c r="G776" s="122"/>
      <c r="H776" s="34"/>
      <c r="I776" s="34"/>
      <c r="J776" s="6"/>
      <c r="K776" s="211"/>
      <c r="L776" s="211"/>
      <c r="M776" s="211"/>
      <c r="N776" s="211"/>
      <c r="O776" s="34"/>
      <c r="P776" s="34"/>
      <c r="Q776" s="34"/>
      <c r="R776" s="436"/>
      <c r="S776" s="436"/>
      <c r="T776" s="211"/>
      <c r="U776" s="211"/>
      <c r="V776" s="211">
        <f t="shared" si="40"/>
        <v>75911</v>
      </c>
      <c r="W776" s="260"/>
      <c r="X776" s="67"/>
    </row>
    <row r="777" spans="1:24" s="4" customFormat="1" ht="15" customHeight="1">
      <c r="A777" s="427"/>
      <c r="B777" s="122" t="s">
        <v>421</v>
      </c>
      <c r="C777" s="157" t="s">
        <v>420</v>
      </c>
      <c r="D777" s="48" t="s">
        <v>248</v>
      </c>
      <c r="E777" s="441"/>
      <c r="F777" s="48" t="s">
        <v>64</v>
      </c>
      <c r="G777" s="122"/>
      <c r="H777" s="34"/>
      <c r="I777" s="34"/>
      <c r="J777" s="6"/>
      <c r="K777" s="211"/>
      <c r="L777" s="211"/>
      <c r="M777" s="211">
        <v>46200</v>
      </c>
      <c r="N777" s="211">
        <v>11</v>
      </c>
      <c r="O777" s="34"/>
      <c r="P777" s="34"/>
      <c r="Q777" s="34">
        <f>June!DO337</f>
        <v>20</v>
      </c>
      <c r="R777" s="436"/>
      <c r="S777" s="436"/>
      <c r="T777" s="211"/>
      <c r="U777" s="211"/>
      <c r="V777" s="211">
        <f t="shared" si="40"/>
        <v>57857</v>
      </c>
      <c r="W777" s="260"/>
      <c r="X777" s="67"/>
    </row>
    <row r="778" spans="1:24" s="4" customFormat="1" ht="15" customHeight="1">
      <c r="A778" s="427"/>
      <c r="B778" s="442" t="s">
        <v>289</v>
      </c>
      <c r="C778" s="444" t="s">
        <v>290</v>
      </c>
      <c r="D778" s="48" t="s">
        <v>432</v>
      </c>
      <c r="E778" s="441"/>
      <c r="F778" s="48" t="s">
        <v>381</v>
      </c>
      <c r="G778" s="122"/>
      <c r="H778" s="34"/>
      <c r="I778" s="34"/>
      <c r="J778" s="6"/>
      <c r="K778" s="211"/>
      <c r="L778" s="211"/>
      <c r="M778" s="211"/>
      <c r="N778" s="211"/>
      <c r="O778" s="34"/>
      <c r="P778" s="34"/>
      <c r="Q778" s="34"/>
      <c r="R778" s="436"/>
      <c r="S778" s="436"/>
      <c r="T778" s="211"/>
      <c r="U778" s="211"/>
      <c r="V778" s="211">
        <f t="shared" si="40"/>
        <v>0</v>
      </c>
      <c r="W778" s="260"/>
      <c r="X778" s="67"/>
    </row>
    <row r="779" spans="1:24" s="4" customFormat="1" ht="15" customHeight="1">
      <c r="A779" s="427"/>
      <c r="B779" s="443"/>
      <c r="C779" s="446"/>
      <c r="D779" s="48" t="s">
        <v>432</v>
      </c>
      <c r="E779" s="441"/>
      <c r="F779" s="48" t="s">
        <v>435</v>
      </c>
      <c r="G779" s="122"/>
      <c r="H779" s="34"/>
      <c r="I779" s="34"/>
      <c r="J779" s="6"/>
      <c r="K779" s="211"/>
      <c r="L779" s="211"/>
      <c r="M779" s="211"/>
      <c r="N779" s="211"/>
      <c r="O779" s="34"/>
      <c r="P779" s="34">
        <f>June!DQ330</f>
        <v>245</v>
      </c>
      <c r="Q779" s="34">
        <f>June!DO330</f>
        <v>1</v>
      </c>
      <c r="R779" s="436"/>
      <c r="S779" s="436"/>
      <c r="T779" s="211"/>
      <c r="U779" s="211"/>
      <c r="V779" s="211">
        <f t="shared" si="40"/>
        <v>0</v>
      </c>
      <c r="W779" s="260"/>
      <c r="X779" s="67"/>
    </row>
    <row r="780" spans="1:24" s="4" customFormat="1" ht="15" customHeight="1">
      <c r="A780" s="427"/>
      <c r="B780" s="268" t="s">
        <v>453</v>
      </c>
      <c r="C780" s="277" t="s">
        <v>438</v>
      </c>
      <c r="D780" s="48" t="s">
        <v>432</v>
      </c>
      <c r="E780" s="441"/>
      <c r="F780" s="48" t="s">
        <v>57</v>
      </c>
      <c r="G780" s="122"/>
      <c r="H780" s="34"/>
      <c r="I780" s="34"/>
      <c r="J780" s="6"/>
      <c r="K780" s="211"/>
      <c r="L780" s="211"/>
      <c r="M780" s="211"/>
      <c r="N780" s="211"/>
      <c r="O780" s="34"/>
      <c r="P780" s="34"/>
      <c r="Q780" s="34">
        <f>June!DO331</f>
        <v>1</v>
      </c>
      <c r="R780" s="436"/>
      <c r="S780" s="436"/>
      <c r="T780" s="211"/>
      <c r="U780" s="211"/>
      <c r="V780" s="211">
        <f t="shared" si="40"/>
        <v>0</v>
      </c>
      <c r="W780" s="260"/>
      <c r="X780" s="67"/>
    </row>
    <row r="781" spans="1:24" s="4" customFormat="1" ht="15" customHeight="1">
      <c r="A781" s="427"/>
      <c r="B781" s="122" t="s">
        <v>454</v>
      </c>
      <c r="C781" s="157" t="s">
        <v>438</v>
      </c>
      <c r="D781" s="48" t="s">
        <v>432</v>
      </c>
      <c r="E781" s="441"/>
      <c r="F781" s="48" t="s">
        <v>57</v>
      </c>
      <c r="G781" s="122"/>
      <c r="H781" s="34"/>
      <c r="I781" s="34"/>
      <c r="J781" s="6"/>
      <c r="K781" s="211"/>
      <c r="L781" s="211"/>
      <c r="M781" s="211"/>
      <c r="N781" s="211"/>
      <c r="O781" s="34"/>
      <c r="P781" s="34"/>
      <c r="Q781" s="34"/>
      <c r="R781" s="436"/>
      <c r="S781" s="436"/>
      <c r="T781" s="211"/>
      <c r="U781" s="211"/>
      <c r="V781" s="211">
        <f t="shared" si="40"/>
        <v>895</v>
      </c>
      <c r="W781" s="260"/>
      <c r="X781" s="67"/>
    </row>
    <row r="782" spans="1:24" ht="15" customHeight="1">
      <c r="A782" s="427"/>
      <c r="B782" s="122" t="s">
        <v>103</v>
      </c>
      <c r="C782" s="157" t="s">
        <v>197</v>
      </c>
      <c r="D782" s="48" t="s">
        <v>104</v>
      </c>
      <c r="E782" s="441"/>
      <c r="F782" s="118" t="s">
        <v>105</v>
      </c>
      <c r="G782" s="119"/>
      <c r="H782" s="126"/>
      <c r="I782" s="126"/>
      <c r="J782" s="2"/>
      <c r="K782" s="18"/>
      <c r="L782" s="18"/>
      <c r="M782" s="18"/>
      <c r="N782" s="18"/>
      <c r="O782" s="126"/>
      <c r="P782" s="126"/>
      <c r="Q782" s="126">
        <f>June!DO339</f>
        <v>1</v>
      </c>
      <c r="R782" s="436"/>
      <c r="S782" s="436"/>
      <c r="T782" s="18"/>
      <c r="U782" s="18"/>
      <c r="V782" s="18"/>
      <c r="W782" s="45"/>
      <c r="X782" s="67"/>
    </row>
    <row r="783" spans="1:24" ht="15" customHeight="1">
      <c r="A783" s="427"/>
      <c r="B783" s="137" t="s">
        <v>112</v>
      </c>
      <c r="C783" s="157" t="s">
        <v>197</v>
      </c>
      <c r="D783" s="48" t="s">
        <v>104</v>
      </c>
      <c r="E783" s="441"/>
      <c r="F783" s="118" t="s">
        <v>113</v>
      </c>
      <c r="G783" s="119"/>
      <c r="H783" s="126"/>
      <c r="I783" s="126"/>
      <c r="J783" s="2"/>
      <c r="K783" s="18"/>
      <c r="L783" s="18"/>
      <c r="M783" s="18"/>
      <c r="N783" s="18"/>
      <c r="O783" s="126"/>
      <c r="P783" s="126"/>
      <c r="Q783" s="126">
        <f>June!DO341</f>
        <v>1</v>
      </c>
      <c r="R783" s="436"/>
      <c r="S783" s="436"/>
      <c r="T783" s="18"/>
      <c r="U783" s="18"/>
      <c r="V783" s="18"/>
      <c r="W783" s="45"/>
      <c r="X783" s="67"/>
    </row>
    <row r="784" spans="1:24" ht="15" customHeight="1" thickBot="1">
      <c r="A784" s="428"/>
      <c r="B784" s="44" t="s">
        <v>107</v>
      </c>
      <c r="C784" s="181" t="s">
        <v>386</v>
      </c>
      <c r="D784" s="61" t="s">
        <v>108</v>
      </c>
      <c r="E784" s="447"/>
      <c r="F784" s="133" t="s">
        <v>48</v>
      </c>
      <c r="G784" s="132"/>
      <c r="H784" s="134"/>
      <c r="I784" s="134"/>
      <c r="J784" s="129"/>
      <c r="K784" s="130"/>
      <c r="L784" s="130"/>
      <c r="M784" s="130">
        <v>13000</v>
      </c>
      <c r="N784" s="130">
        <v>2</v>
      </c>
      <c r="O784" s="134"/>
      <c r="P784" s="134"/>
      <c r="Q784" s="134">
        <f>June!DO340</f>
        <v>2</v>
      </c>
      <c r="R784" s="437"/>
      <c r="S784" s="437"/>
      <c r="T784" s="130"/>
      <c r="U784" s="130"/>
      <c r="V784" s="128">
        <f>O784-T784-U784+V752</f>
        <v>11956</v>
      </c>
      <c r="W784" s="85"/>
      <c r="X784" s="67"/>
    </row>
    <row r="785" spans="1:30" ht="17.25" customHeight="1">
      <c r="A785" s="450" t="s">
        <v>424</v>
      </c>
      <c r="B785" s="429" t="s">
        <v>44</v>
      </c>
      <c r="C785" s="432" t="s">
        <v>241</v>
      </c>
      <c r="D785" s="19" t="s">
        <v>37</v>
      </c>
      <c r="E785" s="19" t="s">
        <v>25</v>
      </c>
      <c r="F785" s="39" t="s">
        <v>40</v>
      </c>
      <c r="G785" s="47">
        <f>SUMIF($D$4:$D$784,"SC-1020",$G$4:$G$784)</f>
        <v>112648.48000000004</v>
      </c>
      <c r="H785" s="183">
        <f>SUMIF($D$4:$D$784,"SC-1020",$H$4:$H$784)</f>
        <v>83376</v>
      </c>
      <c r="I785" s="481">
        <f>SUM(I4:I784)</f>
        <v>651</v>
      </c>
      <c r="J785" s="478">
        <f>SUM(J4:J784)</f>
        <v>22.3</v>
      </c>
      <c r="K785" s="30">
        <f>SUMIFS($K$4:$K$784,$D$4:$D$784,"SC-1020",$F$4:$F$784,"65""")</f>
        <v>1563000</v>
      </c>
      <c r="L785" s="30">
        <f>SUMIFS($L$4:$L$784,$D$4:$D$784,"SC-1020",$F$4:$F$784,"65""")</f>
        <v>196</v>
      </c>
      <c r="M785" s="30">
        <v>160000</v>
      </c>
      <c r="N785" s="30">
        <v>20</v>
      </c>
      <c r="O785" s="30">
        <f>SUMIFS($O$4:$O$784,$D$4:$D$784,"SC-1020",$F$4:$F$784,"65""")</f>
        <v>1220054</v>
      </c>
      <c r="P785" s="30">
        <f>SUMIFS($P$4:$P$784,$D$4:$D$784,"SC-1020",$F$4:$F$784,"65""")</f>
        <v>1259304</v>
      </c>
      <c r="Q785" s="30"/>
      <c r="R785" s="453">
        <f>SUM(R4:R784)</f>
        <v>2005778</v>
      </c>
      <c r="S785" s="453">
        <f>SUM(S4:S784)</f>
        <v>2027736</v>
      </c>
      <c r="T785" s="208">
        <f>SUMIFS($T$4:$T$784,$D$4:$D$784,"SC-1020",$F$4:$F$784,"65""")</f>
        <v>1324175</v>
      </c>
      <c r="U785" s="194">
        <f>SUMIFS($U$4:$U$784,$D$4:$D$784,"SC-1020",$F$4:$F$784,"65""")</f>
        <v>722</v>
      </c>
      <c r="V785" s="208">
        <f>V753</f>
        <v>145690</v>
      </c>
      <c r="W785" s="19"/>
    </row>
    <row r="786" spans="1:30" ht="17.25" customHeight="1">
      <c r="A786" s="451"/>
      <c r="B786" s="431"/>
      <c r="C786" s="434"/>
      <c r="D786" s="119" t="s">
        <v>307</v>
      </c>
      <c r="E786" s="115" t="s">
        <v>24</v>
      </c>
      <c r="F786" s="118" t="s">
        <v>40</v>
      </c>
      <c r="G786" s="47">
        <f>SUMIF($D$4:$D$784,"011-5",$G$4:$G$784)</f>
        <v>22459.729999999996</v>
      </c>
      <c r="H786" s="183">
        <f>SUMIF($D$4:$D$784,"011-5",$H$4:$H$784)</f>
        <v>32866.400000000001</v>
      </c>
      <c r="I786" s="482"/>
      <c r="J786" s="479"/>
      <c r="K786" s="12">
        <f>SUMIFS($K$4:$K$784,$D$4:$D$784,"011-5",$F$4:$F$784,"65""")</f>
        <v>268400</v>
      </c>
      <c r="L786" s="12">
        <f>SUMIFS($L$4:$L$784,$D$4:$D$784,"011-5",$F$4:$F$784,"65""")</f>
        <v>34</v>
      </c>
      <c r="M786" s="12">
        <v>215400</v>
      </c>
      <c r="N786" s="12">
        <v>27</v>
      </c>
      <c r="O786" s="12">
        <f>SUMIFS($O$4:$O$784,$D$4:$D$784,"011-5",$F$4:$F$784,"65""")</f>
        <v>463875</v>
      </c>
      <c r="P786" s="12">
        <f>SUMIFS($P$4:$P$784,$D$4:$D$784,"011-5",$F$4:$F$784,"65""")</f>
        <v>452541</v>
      </c>
      <c r="Q786" s="117"/>
      <c r="R786" s="454"/>
      <c r="S786" s="454"/>
      <c r="T786" s="194">
        <f>SUMIFS($T$4:$T$784,$D$4:$D$784,"011-5",$F$4:$F$784,"65""")</f>
        <v>388070</v>
      </c>
      <c r="U786" s="194">
        <f>SUMIFS($U$4:$U$784,$D$4:$D$784,"011-5",$F$4:$F$784,"65""")</f>
        <v>195</v>
      </c>
      <c r="V786" s="194">
        <f>V754</f>
        <v>97618</v>
      </c>
      <c r="W786" s="113"/>
    </row>
    <row r="787" spans="1:30" s="4" customFormat="1" ht="17.25" customHeight="1">
      <c r="A787" s="451"/>
      <c r="B787" s="442" t="s">
        <v>45</v>
      </c>
      <c r="C787" s="471" t="s">
        <v>59</v>
      </c>
      <c r="D787" s="48" t="s">
        <v>75</v>
      </c>
      <c r="E787" s="441" t="s">
        <v>25</v>
      </c>
      <c r="F787" s="122" t="s">
        <v>57</v>
      </c>
      <c r="G787" s="196">
        <f>SUMIFS($G$4:$G$784,$D$4:$D$784,"AAZ43",$F$4:$F$784,"66.5""")</f>
        <v>4542.51</v>
      </c>
      <c r="H787" s="183"/>
      <c r="I787" s="482"/>
      <c r="J787" s="479"/>
      <c r="K787" s="183">
        <f>SUMIFS($K$4:$K$784,$D$4:$D$784,"AAZ43",$F$4:$F$784,"66.5""")</f>
        <v>34540</v>
      </c>
      <c r="L787" s="183">
        <f>SUMIFS($L$4:$L$784,$D$4:$D$784,"AAZ43",$F$4:$F$784,"66.5""")</f>
        <v>7</v>
      </c>
      <c r="M787" s="12">
        <v>44680</v>
      </c>
      <c r="N787" s="12">
        <v>9</v>
      </c>
      <c r="O787" s="183">
        <f>SUMIFS($O$4:$O$784,$D$4:$D$784,"AAZ43",$F$4:$F$784,"66.5""")</f>
        <v>30170</v>
      </c>
      <c r="P787" s="183">
        <f>SUMIFS($P$4:$P$784,$D$4:$D$784,"AAZ43",$F$4:$F$784,"66.5""")</f>
        <v>30422</v>
      </c>
      <c r="Q787" s="183"/>
      <c r="R787" s="454"/>
      <c r="S787" s="454"/>
      <c r="T787" s="194">
        <f>SUMIFS($T$4:$T$784,$D$4:$D$784,"AAZ43",$F$4:$F$784,"66.5""")</f>
        <v>35709</v>
      </c>
      <c r="U787" s="194">
        <f>SUMIFS($U$753:$U$784,$D$753:$D$784,"AAZ43",$F$753:$F$784,"66.5""")</f>
        <v>0</v>
      </c>
      <c r="V787" s="183">
        <f>V755</f>
        <v>4811</v>
      </c>
      <c r="W787" s="122"/>
    </row>
    <row r="788" spans="1:30" s="4" customFormat="1" ht="17.25" customHeight="1">
      <c r="A788" s="451"/>
      <c r="B788" s="439"/>
      <c r="C788" s="471"/>
      <c r="D788" s="48" t="s">
        <v>291</v>
      </c>
      <c r="E788" s="441"/>
      <c r="F788" s="122" t="s">
        <v>57</v>
      </c>
      <c r="G788" s="183"/>
      <c r="H788" s="183"/>
      <c r="I788" s="482"/>
      <c r="J788" s="479"/>
      <c r="K788" s="183"/>
      <c r="L788" s="183"/>
      <c r="M788" s="183"/>
      <c r="N788" s="183"/>
      <c r="O788" s="183">
        <f>SUMIFS($O$4:$O$784,$D$4:$D$784,"RD242Z",$F$4:$F$784,"66.5""")</f>
        <v>4830</v>
      </c>
      <c r="P788" s="183">
        <f>SUMIFS($P$4:$P$784,$D$4:$D$784,"RD242Z",$F$4:$F$784,"66.5""")</f>
        <v>3512</v>
      </c>
      <c r="Q788" s="183"/>
      <c r="R788" s="454"/>
      <c r="S788" s="454"/>
      <c r="T788" s="194">
        <f>SUMIFS($T$3:$T$784,$D$3:$D$784,"RD242Z",$F$3:$F$784,"66.5""")</f>
        <v>10551</v>
      </c>
      <c r="U788" s="194">
        <f>SUMIFS($U$753:$U$784,$D$753:$D$784,"RD242Z",$F$753:$F$784,"66.5""")</f>
        <v>0</v>
      </c>
      <c r="V788" s="183"/>
      <c r="W788" s="122"/>
    </row>
    <row r="789" spans="1:30" ht="17.25" customHeight="1">
      <c r="A789" s="451"/>
      <c r="B789" s="439"/>
      <c r="C789" s="471"/>
      <c r="D789" s="48" t="s">
        <v>94</v>
      </c>
      <c r="E789" s="425"/>
      <c r="F789" s="119"/>
      <c r="G789" s="47"/>
      <c r="H789" s="183">
        <f>SUMIF($D$4:$D$784,"AAZ86",$H$4:$H$784)</f>
        <v>5022</v>
      </c>
      <c r="I789" s="482"/>
      <c r="J789" s="479"/>
      <c r="K789" s="12"/>
      <c r="L789" s="12"/>
      <c r="M789" s="12"/>
      <c r="N789" s="12"/>
      <c r="O789" s="12"/>
      <c r="P789" s="12"/>
      <c r="Q789" s="12"/>
      <c r="R789" s="454"/>
      <c r="S789" s="454"/>
      <c r="T789" s="117"/>
      <c r="U789" s="117"/>
      <c r="V789" s="183"/>
      <c r="W789" s="12"/>
    </row>
    <row r="790" spans="1:30" ht="17.25" customHeight="1">
      <c r="A790" s="451"/>
      <c r="B790" s="439"/>
      <c r="C790" s="471"/>
      <c r="D790" s="118" t="s">
        <v>72</v>
      </c>
      <c r="E790" s="424" t="s">
        <v>24</v>
      </c>
      <c r="F790" s="119" t="s">
        <v>57</v>
      </c>
      <c r="G790" s="31">
        <f>SUMIFS($G$4:$G$784,$D$4:$D$784,"1800A",$F$4:$F$784,"66.5""")</f>
        <v>1521.94</v>
      </c>
      <c r="H790" s="12"/>
      <c r="I790" s="482"/>
      <c r="J790" s="479"/>
      <c r="K790" s="12">
        <f>SUMIFS($K$4:$K$784,$D$4:$D$784,"1800A",$F$4:$F$784,"66.5""")</f>
        <v>10000</v>
      </c>
      <c r="L790" s="12">
        <f>SUMIFS($L$4:$L$784,$D$4:$D$784,"1800A",$F$4:$F$784,"66.5""")</f>
        <v>2</v>
      </c>
      <c r="M790" s="12">
        <v>49600</v>
      </c>
      <c r="N790" s="12">
        <v>10</v>
      </c>
      <c r="O790" s="12">
        <f>SUMIFS($O$4:$O$784,$D$4:$D$784,"1800A",$F$4:$F$784,"66.5""")</f>
        <v>26732</v>
      </c>
      <c r="P790" s="12">
        <f>SUMIFS($P$4:$P$784,$D$4:$D$784,"1800A",$F$4:$F$784,"66.5""")</f>
        <v>23795</v>
      </c>
      <c r="Q790" s="12"/>
      <c r="R790" s="454"/>
      <c r="S790" s="454"/>
      <c r="T790" s="194">
        <f>SUMIFS($T$3:$T$784,$D$3:$D$784,"1800A",$F$3:$F$784,"66.5""")</f>
        <v>6966</v>
      </c>
      <c r="U790" s="194">
        <f>SUMIFS($U$753:$U$784,$D$753:$D$784,"1800A",$F$753:$F$784,"66.5""")</f>
        <v>0</v>
      </c>
      <c r="V790" s="183">
        <f>V756</f>
        <v>23089</v>
      </c>
      <c r="W790" s="119"/>
    </row>
    <row r="791" spans="1:30" ht="17.25" customHeight="1">
      <c r="A791" s="451"/>
      <c r="B791" s="439"/>
      <c r="C791" s="471"/>
      <c r="D791" s="115" t="s">
        <v>73</v>
      </c>
      <c r="E791" s="425"/>
      <c r="F791" s="119"/>
      <c r="G791" s="12"/>
      <c r="H791" s="183">
        <f>SUMIF($D$4:$D$784,"1801D",$H$4:$H$784)</f>
        <v>2046</v>
      </c>
      <c r="I791" s="482"/>
      <c r="J791" s="479"/>
      <c r="K791" s="12"/>
      <c r="L791" s="12"/>
      <c r="M791" s="12"/>
      <c r="N791" s="12"/>
      <c r="O791" s="12"/>
      <c r="P791" s="12"/>
      <c r="Q791" s="12"/>
      <c r="R791" s="454"/>
      <c r="S791" s="454"/>
      <c r="T791" s="194"/>
      <c r="U791" s="194"/>
      <c r="V791" s="183"/>
      <c r="W791" s="119"/>
    </row>
    <row r="792" spans="1:30" s="4" customFormat="1" ht="17.25" customHeight="1">
      <c r="A792" s="451"/>
      <c r="B792" s="439"/>
      <c r="C792" s="471"/>
      <c r="D792" s="43" t="s">
        <v>79</v>
      </c>
      <c r="E792" s="424" t="s">
        <v>65</v>
      </c>
      <c r="F792" s="122" t="s">
        <v>57</v>
      </c>
      <c r="G792" s="196"/>
      <c r="H792" s="183"/>
      <c r="I792" s="482"/>
      <c r="J792" s="479"/>
      <c r="K792" s="183"/>
      <c r="L792" s="183"/>
      <c r="M792" s="183"/>
      <c r="N792" s="183"/>
      <c r="O792" s="183">
        <f>SUMIFS($O$4:$O$784,$D$4:$D$784,"DJ-234",$F$4:$F$784,"66.5""")</f>
        <v>4823</v>
      </c>
      <c r="P792" s="183">
        <f>SUMIFS($P$4:$P$784,$D$4:$D$784,"DJ-234",$F$4:$F$784,"66.5""")</f>
        <v>1305</v>
      </c>
      <c r="Q792" s="183"/>
      <c r="R792" s="454"/>
      <c r="S792" s="454"/>
      <c r="T792" s="194">
        <f>SUMIFS($T$3:$T$784,$D$3:$D$784,"DJ-234",$F$3:$F$784,"66.5""")</f>
        <v>50</v>
      </c>
      <c r="U792" s="194"/>
      <c r="V792" s="183">
        <f>V757</f>
        <v>10211</v>
      </c>
      <c r="W792" s="122"/>
    </row>
    <row r="793" spans="1:30" ht="17.25" customHeight="1">
      <c r="A793" s="451"/>
      <c r="B793" s="439"/>
      <c r="C793" s="471"/>
      <c r="D793" s="115" t="s">
        <v>80</v>
      </c>
      <c r="E793" s="441"/>
      <c r="F793" s="119"/>
      <c r="G793" s="122"/>
      <c r="H793" s="218">
        <f>SUMIF($D$4:$D$784,"DJ-232A",$H$4:$H$784)</f>
        <v>372.8</v>
      </c>
      <c r="I793" s="482"/>
      <c r="J793" s="479"/>
      <c r="K793" s="12"/>
      <c r="L793" s="12"/>
      <c r="M793" s="12"/>
      <c r="N793" s="12"/>
      <c r="O793" s="12"/>
      <c r="P793" s="12"/>
      <c r="Q793" s="119"/>
      <c r="R793" s="454"/>
      <c r="S793" s="454"/>
      <c r="T793" s="117"/>
      <c r="U793" s="117"/>
      <c r="V793" s="183"/>
      <c r="W793" s="119"/>
    </row>
    <row r="794" spans="1:30" s="4" customFormat="1" ht="17.25" customHeight="1">
      <c r="A794" s="451"/>
      <c r="B794" s="439"/>
      <c r="C794" s="471"/>
      <c r="D794" s="43" t="s">
        <v>443</v>
      </c>
      <c r="E794" s="441"/>
      <c r="F794" s="122" t="s">
        <v>57</v>
      </c>
      <c r="G794" s="196">
        <f>SUMIFS($G$4:$G$784,$D$4:$D$784,"RD340Z",$F$4:$F$784,"66.5""")</f>
        <v>77.650000000000006</v>
      </c>
      <c r="H794" s="218"/>
      <c r="I794" s="482"/>
      <c r="J794" s="479"/>
      <c r="K794" s="183">
        <f>SUMIFS($K$4:$K$784,$D$4:$D$784,"RD340Z",$F$4:$F$784,"66.5""")</f>
        <v>1000</v>
      </c>
      <c r="L794" s="183">
        <f>SUMIFS($L$4:$L$784,$D$4:$D$784,"RD340Z",$F$4:$F$784,"66.5""")</f>
        <v>1</v>
      </c>
      <c r="M794" s="183"/>
      <c r="N794" s="183"/>
      <c r="O794" s="183">
        <f>SUMIFS($O$4:$O$784,$D$4:$D$784,"RD340Z",$F$4:$F$784,"66.5""")</f>
        <v>948</v>
      </c>
      <c r="P794" s="183">
        <f>SUMIFS($P$4:$P$784,$D$4:$D$784,"RD340Z",$F$4:$F$784,"66.5""")</f>
        <v>948</v>
      </c>
      <c r="Q794" s="122"/>
      <c r="R794" s="454"/>
      <c r="S794" s="454"/>
      <c r="T794" s="183">
        <f>SUMIFS($T$4:$T$784,$D$4:$D$784,"RD340Z",$F$4:$F$784,"66.5""")</f>
        <v>948</v>
      </c>
      <c r="U794" s="194"/>
      <c r="V794" s="183"/>
      <c r="W794" s="122"/>
    </row>
    <row r="795" spans="1:30" ht="17.25" customHeight="1">
      <c r="A795" s="451"/>
      <c r="B795" s="439"/>
      <c r="C795" s="471"/>
      <c r="D795" s="115" t="s">
        <v>444</v>
      </c>
      <c r="E795" s="425"/>
      <c r="F795" s="119"/>
      <c r="G795" s="122"/>
      <c r="H795" s="218">
        <f>SUMIF($D$4:$D$784,"RD339Z",$H$4:$H$784)</f>
        <v>98.7</v>
      </c>
      <c r="I795" s="482"/>
      <c r="J795" s="479"/>
      <c r="K795" s="12"/>
      <c r="L795" s="12"/>
      <c r="M795" s="12"/>
      <c r="N795" s="12"/>
      <c r="O795" s="12"/>
      <c r="P795" s="12"/>
      <c r="Q795" s="119"/>
      <c r="R795" s="454"/>
      <c r="S795" s="454"/>
      <c r="T795" s="117"/>
      <c r="U795" s="117"/>
      <c r="V795" s="183"/>
      <c r="W795" s="119"/>
    </row>
    <row r="796" spans="1:30" ht="17.25" customHeight="1">
      <c r="A796" s="451"/>
      <c r="B796" s="439"/>
      <c r="C796" s="471"/>
      <c r="D796" s="115" t="s">
        <v>42</v>
      </c>
      <c r="E796" s="424" t="s">
        <v>25</v>
      </c>
      <c r="F796" s="119"/>
      <c r="G796" s="122"/>
      <c r="H796" s="183"/>
      <c r="I796" s="482"/>
      <c r="J796" s="479"/>
      <c r="K796" s="12"/>
      <c r="L796" s="12"/>
      <c r="M796" s="12">
        <v>2743</v>
      </c>
      <c r="N796" s="12">
        <v>1</v>
      </c>
      <c r="O796" s="12"/>
      <c r="P796" s="12"/>
      <c r="Q796" s="119"/>
      <c r="R796" s="454"/>
      <c r="S796" s="454"/>
      <c r="T796" s="117"/>
      <c r="U796" s="117"/>
      <c r="V796" s="183"/>
      <c r="W796" s="119"/>
    </row>
    <row r="797" spans="1:30" ht="21.75" customHeight="1">
      <c r="A797" s="451"/>
      <c r="B797" s="439"/>
      <c r="C797" s="448" t="s">
        <v>300</v>
      </c>
      <c r="D797" s="115" t="s">
        <v>296</v>
      </c>
      <c r="E797" s="425"/>
      <c r="F797" s="119" t="s">
        <v>298</v>
      </c>
      <c r="G797" s="196"/>
      <c r="H797" s="194"/>
      <c r="I797" s="482"/>
      <c r="J797" s="479"/>
      <c r="K797" s="183"/>
      <c r="L797" s="183"/>
      <c r="M797" s="183"/>
      <c r="N797" s="183"/>
      <c r="O797" s="183">
        <f>SUMIFS($O$4:$O$784,$D$4:$D$784,"RD176Z,RD242Z",$F$4:$F$784,"55.5""")</f>
        <v>949</v>
      </c>
      <c r="P797" s="183">
        <f>SUMIFS($P$4:$P$784,$D$4:$D$784,"RD176Z,RD242Z",$F$4:$F$784,"55.5""")</f>
        <v>221</v>
      </c>
      <c r="Q797" s="119"/>
      <c r="R797" s="454"/>
      <c r="S797" s="454"/>
      <c r="T797" s="194">
        <f>SUMIFS($T$4:$T$784,$D$4:$D$784,"RD176Z,RD242Z",$F$4:$F$784,"55.5""")</f>
        <v>3848</v>
      </c>
      <c r="U797" s="194"/>
      <c r="V797" s="183">
        <f>V758</f>
        <v>4427</v>
      </c>
      <c r="W797" s="119"/>
    </row>
    <row r="798" spans="1:30" s="4" customFormat="1" ht="21.75" customHeight="1">
      <c r="A798" s="451"/>
      <c r="B798" s="443"/>
      <c r="C798" s="449"/>
      <c r="D798" s="43" t="s">
        <v>75</v>
      </c>
      <c r="E798" s="89" t="s">
        <v>25</v>
      </c>
      <c r="F798" s="122" t="s">
        <v>298</v>
      </c>
      <c r="G798" s="196">
        <f>SUMIFS($G$4:$G$784,$D$4:$D$784,"AAZ43",$F$4:$F$784,"55.5""")</f>
        <v>652.08000000000004</v>
      </c>
      <c r="H798" s="194"/>
      <c r="I798" s="482"/>
      <c r="J798" s="479"/>
      <c r="K798" s="183">
        <f>SUMIFS($K$4:$K$784,$D$4:$D$784,"AAZ43",$F$4:$F$784,"55.5""")</f>
        <v>15000</v>
      </c>
      <c r="L798" s="183">
        <f>SUMIFS($L$4:$L$784,$D$4:$D$784,"AAZ43",$F$4:$F$784,"55.5""")</f>
        <v>3</v>
      </c>
      <c r="M798" s="183">
        <v>10000</v>
      </c>
      <c r="N798" s="183">
        <v>2</v>
      </c>
      <c r="O798" s="183">
        <f>SUMIFS($O$4:$O$784,$D$4:$D$784,"AAZ43",$F$4:$F$784,"55.5""")</f>
        <v>11654</v>
      </c>
      <c r="P798" s="183">
        <f>SUMIFS($P$4:$P$784,$D$4:$D$784,"AAZ43",$F$4:$F$784,"55.5""")</f>
        <v>12778</v>
      </c>
      <c r="Q798" s="122"/>
      <c r="R798" s="454"/>
      <c r="S798" s="454"/>
      <c r="T798" s="183">
        <f>SUMIFS($T$753:$T$784,$D$753:$D$784,"AAZ43",$F$753:$F$784,"55.5""")</f>
        <v>0</v>
      </c>
      <c r="U798" s="194"/>
      <c r="V798" s="183">
        <f>V759</f>
        <v>14595</v>
      </c>
      <c r="W798" s="122"/>
    </row>
    <row r="799" spans="1:30" ht="17.25" customHeight="1">
      <c r="A799" s="451"/>
      <c r="B799" s="439" t="s">
        <v>53</v>
      </c>
      <c r="C799" s="445" t="s">
        <v>60</v>
      </c>
      <c r="D799" s="43" t="s">
        <v>320</v>
      </c>
      <c r="E799" s="448" t="s">
        <v>66</v>
      </c>
      <c r="F799" s="118" t="s">
        <v>54</v>
      </c>
      <c r="G799" s="196"/>
      <c r="H799" s="268"/>
      <c r="I799" s="482"/>
      <c r="J799" s="479"/>
      <c r="K799" s="12">
        <f>SUMIFS($K$4:$K$784,$D$4:$D$784,"RD225Z,DR1177Z",$F$4:$F$784,"67""")</f>
        <v>12000</v>
      </c>
      <c r="L799" s="12">
        <f>SUMIFS($L$4:$L$784,$D$4:$D$784,"RD225Z,DR1177Z",$F$4:$F$784,"67""")</f>
        <v>2</v>
      </c>
      <c r="M799" s="12"/>
      <c r="N799" s="12"/>
      <c r="O799" s="12">
        <f>SUMIFS($O$4:$O$784,$D$4:$D$784,"RD225Z,DR1177Z",$F$4:$F$784,"67""")</f>
        <v>55950</v>
      </c>
      <c r="P799" s="12">
        <f>SUMIFS($P$4:$P$784,$D$4:$D$784,"RD225Z,DR1177Z",$F$4:$F$784,"67""")</f>
        <v>51078</v>
      </c>
      <c r="Q799" s="12"/>
      <c r="R799" s="454"/>
      <c r="S799" s="454"/>
      <c r="T799" s="194">
        <f>SUMIFS($T$4:$T$784,$D$4:$D$784,"RD225Z,DR1177Z",$F$4:$F$784,"67""")</f>
        <v>13750</v>
      </c>
      <c r="U799" s="194">
        <f>SUMIFS($U$753:$U$784,$D$753:$D$784,"RD225Z,DR1177Z",$F$753:$F$784,"67""")</f>
        <v>0</v>
      </c>
      <c r="V799" s="191">
        <f>V760</f>
        <v>46064</v>
      </c>
      <c r="W799" s="119"/>
      <c r="AD799" s="13"/>
    </row>
    <row r="800" spans="1:30" s="4" customFormat="1" ht="17.25" customHeight="1">
      <c r="A800" s="451"/>
      <c r="B800" s="439"/>
      <c r="C800" s="445"/>
      <c r="D800" s="43" t="s">
        <v>387</v>
      </c>
      <c r="E800" s="449"/>
      <c r="F800" s="48" t="s">
        <v>54</v>
      </c>
      <c r="G800" s="196">
        <f>SUMIF($D$4:$D$784,"DJ-6DH48,DR1177Z",$G$4:$G$784)</f>
        <v>2473.66</v>
      </c>
      <c r="H800" s="268"/>
      <c r="I800" s="482"/>
      <c r="J800" s="479"/>
      <c r="K800" s="183">
        <f>SUMIFS($K$4:$K$784,$D$4:$D$784,"DJ-6DH48,DR1177Z",$F$4:$F$784,"67""")</f>
        <v>6000</v>
      </c>
      <c r="L800" s="183">
        <f>SUMIFS($L$4:$L$784,$D$4:$D$784,"DJ-6DH48,DR1177Z",$F$4:$F$784,"67""")</f>
        <v>1</v>
      </c>
      <c r="M800" s="183">
        <v>64800</v>
      </c>
      <c r="N800" s="183">
        <v>11</v>
      </c>
      <c r="O800" s="183">
        <f>SUMIFS($O$4:$O$784,$D$4:$D$784,"DJ-6DH48,DR1177Z",$F$4:$F$784,"67""")</f>
        <v>666</v>
      </c>
      <c r="P800" s="183">
        <f>SUMIFS($P$4:$P$784,$D$4:$D$784,"DJ-6DH48,DR1177Z",$F$4:$F$784,"67""")</f>
        <v>666</v>
      </c>
      <c r="Q800" s="183"/>
      <c r="R800" s="454"/>
      <c r="S800" s="454"/>
      <c r="T800" s="194"/>
      <c r="U800" s="194"/>
      <c r="V800" s="191">
        <f>V761</f>
        <v>666</v>
      </c>
      <c r="W800" s="122"/>
      <c r="AD800" s="219"/>
    </row>
    <row r="801" spans="1:30" s="4" customFormat="1" ht="17.25" customHeight="1">
      <c r="A801" s="451"/>
      <c r="B801" s="439"/>
      <c r="C801" s="445"/>
      <c r="D801" s="48" t="s">
        <v>199</v>
      </c>
      <c r="E801" s="43" t="s">
        <v>25</v>
      </c>
      <c r="F801" s="48" t="s">
        <v>54</v>
      </c>
      <c r="G801" s="196"/>
      <c r="H801" s="268"/>
      <c r="I801" s="482"/>
      <c r="J801" s="479"/>
      <c r="K801" s="183"/>
      <c r="L801" s="183"/>
      <c r="M801" s="183"/>
      <c r="N801" s="183"/>
      <c r="O801" s="183"/>
      <c r="P801" s="183"/>
      <c r="Q801" s="183"/>
      <c r="R801" s="454"/>
      <c r="S801" s="454"/>
      <c r="T801" s="194"/>
      <c r="U801" s="194"/>
      <c r="V801" s="191">
        <f>V762</f>
        <v>68</v>
      </c>
      <c r="W801" s="122"/>
      <c r="AD801" s="219"/>
    </row>
    <row r="802" spans="1:30" ht="17.25" customHeight="1">
      <c r="A802" s="451"/>
      <c r="B802" s="439"/>
      <c r="C802" s="445"/>
      <c r="D802" s="48" t="s">
        <v>385</v>
      </c>
      <c r="E802" s="115"/>
      <c r="F802" s="119"/>
      <c r="G802" s="183"/>
      <c r="H802" s="183"/>
      <c r="I802" s="482"/>
      <c r="J802" s="479"/>
      <c r="K802" s="12"/>
      <c r="L802" s="12"/>
      <c r="M802" s="12"/>
      <c r="N802" s="12"/>
      <c r="O802" s="12"/>
      <c r="P802" s="117"/>
      <c r="Q802" s="119"/>
      <c r="R802" s="454"/>
      <c r="S802" s="454"/>
      <c r="T802" s="117"/>
      <c r="U802" s="117"/>
      <c r="V802" s="191"/>
      <c r="W802" s="119"/>
    </row>
    <row r="803" spans="1:30" ht="15.75" customHeight="1">
      <c r="A803" s="451"/>
      <c r="B803" s="443"/>
      <c r="C803" s="446"/>
      <c r="D803" s="43" t="s">
        <v>324</v>
      </c>
      <c r="E803" s="113"/>
      <c r="F803" s="119"/>
      <c r="G803" s="196"/>
      <c r="H803" s="183">
        <f>SUMIF($D$4:$D$784,"DR1178Z",$H$4:$H$784)</f>
        <v>612</v>
      </c>
      <c r="I803" s="482"/>
      <c r="J803" s="479"/>
      <c r="K803" s="12"/>
      <c r="L803" s="12"/>
      <c r="M803" s="117"/>
      <c r="N803" s="117"/>
      <c r="O803" s="12"/>
      <c r="P803" s="117"/>
      <c r="Q803" s="113"/>
      <c r="R803" s="454"/>
      <c r="S803" s="454"/>
      <c r="T803" s="117"/>
      <c r="U803" s="117"/>
      <c r="V803" s="191"/>
      <c r="W803" s="119"/>
    </row>
    <row r="804" spans="1:30" s="4" customFormat="1" ht="15.75" customHeight="1">
      <c r="A804" s="451"/>
      <c r="B804" s="442" t="s">
        <v>55</v>
      </c>
      <c r="C804" s="444" t="s">
        <v>133</v>
      </c>
      <c r="D804" s="43" t="s">
        <v>56</v>
      </c>
      <c r="E804" s="430" t="s">
        <v>25</v>
      </c>
      <c r="F804" s="48" t="s">
        <v>67</v>
      </c>
      <c r="G804" s="196">
        <f>SUMIFS($G$4:$G$784,$D$4:$D$784,"ACZ07",$F$4:$F$784,"56""",$C$4:$C$784,"P/OX 600D*300D, 64T, 135GR/SQM, recycle 67%")</f>
        <v>346.64</v>
      </c>
      <c r="H804" s="218"/>
      <c r="I804" s="482"/>
      <c r="J804" s="479"/>
      <c r="K804" s="183"/>
      <c r="L804" s="183"/>
      <c r="M804" s="194"/>
      <c r="N804" s="194"/>
      <c r="O804" s="183">
        <f>SUMIFS($O$4:$O$784,$D$4:$D$784,"ACZ07",$F$4:$F$784,"56""",$C$4:$C$784,"P/OX 600D*300D, 64T, 135GR/SQM, recycle 67%")</f>
        <v>5422</v>
      </c>
      <c r="P804" s="183">
        <f>SUMIFS($P$4:$P$784,$D$4:$D$784,"ACZ07",$F$4:$F$784,"56""",$C$4:$C$784,"P/OX 600D*300D, 64T, 135GR/SQM, recycle 67%")</f>
        <v>5076</v>
      </c>
      <c r="Q804" s="194"/>
      <c r="R804" s="454"/>
      <c r="S804" s="454"/>
      <c r="T804" s="183">
        <f>SUMIFS($T$4:$T$784,$D$4:$D$784,"ACZ07",$F$4:$F$784,"56""",$C$4:$C$784,"P/OX 600D*300D, 64T, 135GR/SQM, recycle 67%")</f>
        <v>1948</v>
      </c>
      <c r="U804" s="183"/>
      <c r="V804" s="183">
        <f>V763</f>
        <v>7022</v>
      </c>
      <c r="W804" s="6"/>
      <c r="Y804" s="219"/>
    </row>
    <row r="805" spans="1:30" ht="15.75" customHeight="1">
      <c r="A805" s="451"/>
      <c r="B805" s="443"/>
      <c r="C805" s="446"/>
      <c r="D805" s="43" t="s">
        <v>68</v>
      </c>
      <c r="E805" s="430"/>
      <c r="F805" s="48"/>
      <c r="G805" s="47"/>
      <c r="H805" s="183">
        <f>SUMIF($D$4:$D$784,"1T3035ZC-35",$H$4:$H$784)</f>
        <v>900</v>
      </c>
      <c r="I805" s="482"/>
      <c r="J805" s="479"/>
      <c r="K805" s="12"/>
      <c r="L805" s="12"/>
      <c r="M805" s="117"/>
      <c r="N805" s="117"/>
      <c r="O805" s="12"/>
      <c r="P805" s="12"/>
      <c r="Q805" s="117"/>
      <c r="R805" s="454"/>
      <c r="S805" s="454"/>
      <c r="T805" s="117"/>
      <c r="U805" s="117"/>
      <c r="V805" s="183"/>
      <c r="W805" s="2"/>
      <c r="Y805" s="13"/>
      <c r="Z805" s="13"/>
    </row>
    <row r="806" spans="1:30" s="4" customFormat="1" ht="15.75" customHeight="1">
      <c r="A806" s="451"/>
      <c r="B806" s="442" t="s">
        <v>122</v>
      </c>
      <c r="C806" s="444" t="s">
        <v>123</v>
      </c>
      <c r="D806" s="48" t="s">
        <v>56</v>
      </c>
      <c r="E806" s="430"/>
      <c r="F806" s="48" t="s">
        <v>64</v>
      </c>
      <c r="G806" s="196"/>
      <c r="H806" s="183"/>
      <c r="I806" s="482"/>
      <c r="J806" s="479"/>
      <c r="K806" s="183"/>
      <c r="L806" s="183"/>
      <c r="M806" s="194">
        <v>6400</v>
      </c>
      <c r="N806" s="194">
        <v>2</v>
      </c>
      <c r="O806" s="183"/>
      <c r="P806" s="183"/>
      <c r="Q806" s="194"/>
      <c r="R806" s="454"/>
      <c r="S806" s="454"/>
      <c r="T806" s="183">
        <f>SUMIFS($T$753:$T$784,$D$753:$D$784,"ACZ07",$F$753:$F$784,"60""",$C$753:$C$784,"P/OX 300D* P/SPUN 10'S, Recycle 60""")</f>
        <v>0</v>
      </c>
      <c r="U806" s="183">
        <f>SUMIFS($U$753:$U$784,$D$753:$D$784,"ACZ07",$F$753:$F$784,"60""",$C$753:$C$784,"P/OX 300D* P/SPUN 10'S, Recycle 60""")</f>
        <v>0</v>
      </c>
      <c r="V806" s="183">
        <f>V764</f>
        <v>18121</v>
      </c>
      <c r="W806" s="6"/>
      <c r="Y806" s="219"/>
    </row>
    <row r="807" spans="1:30" s="4" customFormat="1" ht="15.75" customHeight="1">
      <c r="A807" s="451"/>
      <c r="B807" s="443"/>
      <c r="C807" s="446"/>
      <c r="D807" s="48" t="s">
        <v>129</v>
      </c>
      <c r="E807" s="430"/>
      <c r="F807" s="48"/>
      <c r="G807" s="218"/>
      <c r="H807" s="183"/>
      <c r="I807" s="482"/>
      <c r="J807" s="479"/>
      <c r="K807" s="194"/>
      <c r="L807" s="194"/>
      <c r="M807" s="194"/>
      <c r="N807" s="194"/>
      <c r="O807" s="183"/>
      <c r="P807" s="183"/>
      <c r="Q807" s="194"/>
      <c r="R807" s="454"/>
      <c r="S807" s="454"/>
      <c r="T807" s="194"/>
      <c r="U807" s="194"/>
      <c r="V807" s="183"/>
      <c r="W807" s="6"/>
      <c r="Y807" s="219"/>
    </row>
    <row r="808" spans="1:30" s="4" customFormat="1" ht="15.75" customHeight="1">
      <c r="A808" s="451"/>
      <c r="B808" s="442" t="s">
        <v>58</v>
      </c>
      <c r="C808" s="444" t="s">
        <v>243</v>
      </c>
      <c r="D808" s="48" t="s">
        <v>56</v>
      </c>
      <c r="E808" s="430"/>
      <c r="F808" s="59" t="s">
        <v>64</v>
      </c>
      <c r="G808" s="183"/>
      <c r="H808" s="183"/>
      <c r="I808" s="482"/>
      <c r="J808" s="479"/>
      <c r="K808" s="183"/>
      <c r="L808" s="183"/>
      <c r="M808" s="191"/>
      <c r="N808" s="183"/>
      <c r="O808" s="183"/>
      <c r="P808" s="183"/>
      <c r="Q808" s="183"/>
      <c r="R808" s="454"/>
      <c r="S808" s="454"/>
      <c r="T808" s="183">
        <f>SUMIFS($T$753:$T$784,$D$753:$D$784,"ACZ07",$F$753:$F$784,"60""",$C$753:$C$784,"P/OX 300D* P/SPUN 16'S, Recycle 60""")</f>
        <v>0</v>
      </c>
      <c r="U808" s="183">
        <f>SUMIFS($U$753:$U$784,$D$753:$D$784,"ACZ07",$F$753:$F$784,"60""",$C$753:$C$784,"P/OX 300D* P/SPUN 16'S, Recycle 60""")</f>
        <v>0</v>
      </c>
      <c r="V808" s="191">
        <f>V765</f>
        <v>8144</v>
      </c>
      <c r="W808" s="122"/>
    </row>
    <row r="809" spans="1:30" s="4" customFormat="1" ht="15.75" customHeight="1">
      <c r="A809" s="451"/>
      <c r="B809" s="443"/>
      <c r="C809" s="446"/>
      <c r="D809" s="48" t="s">
        <v>92</v>
      </c>
      <c r="E809" s="430"/>
      <c r="F809" s="59"/>
      <c r="G809" s="191"/>
      <c r="H809" s="196"/>
      <c r="I809" s="482"/>
      <c r="J809" s="479"/>
      <c r="K809" s="218"/>
      <c r="L809" s="218"/>
      <c r="M809" s="191"/>
      <c r="N809" s="183"/>
      <c r="O809" s="183"/>
      <c r="P809" s="183"/>
      <c r="Q809" s="183"/>
      <c r="R809" s="454"/>
      <c r="S809" s="454"/>
      <c r="T809" s="194"/>
      <c r="U809" s="191"/>
      <c r="V809" s="191"/>
      <c r="W809" s="122"/>
    </row>
    <row r="810" spans="1:30" s="4" customFormat="1" ht="15.75" customHeight="1">
      <c r="A810" s="451"/>
      <c r="B810" s="122" t="s">
        <v>61</v>
      </c>
      <c r="C810" s="180" t="s">
        <v>137</v>
      </c>
      <c r="D810" s="48" t="s">
        <v>56</v>
      </c>
      <c r="E810" s="430"/>
      <c r="F810" s="59" t="s">
        <v>67</v>
      </c>
      <c r="G810" s="183"/>
      <c r="H810" s="191"/>
      <c r="I810" s="482"/>
      <c r="J810" s="479"/>
      <c r="K810" s="183"/>
      <c r="L810" s="183"/>
      <c r="M810" s="183"/>
      <c r="N810" s="183"/>
      <c r="O810" s="183"/>
      <c r="P810" s="183"/>
      <c r="Q810" s="183"/>
      <c r="R810" s="454"/>
      <c r="S810" s="454"/>
      <c r="T810" s="183"/>
      <c r="U810" s="183"/>
      <c r="V810" s="191">
        <f>V766</f>
        <v>5844</v>
      </c>
      <c r="W810" s="122"/>
    </row>
    <row r="811" spans="1:30" s="4" customFormat="1" ht="15.75" customHeight="1">
      <c r="A811" s="451"/>
      <c r="B811" s="122" t="s">
        <v>125</v>
      </c>
      <c r="C811" s="180" t="s">
        <v>88</v>
      </c>
      <c r="D811" s="48" t="s">
        <v>124</v>
      </c>
      <c r="E811" s="430"/>
      <c r="F811" s="48" t="s">
        <v>64</v>
      </c>
      <c r="G811" s="218"/>
      <c r="H811" s="183"/>
      <c r="I811" s="482"/>
      <c r="J811" s="479"/>
      <c r="K811" s="183"/>
      <c r="L811" s="183"/>
      <c r="M811" s="194">
        <v>51200</v>
      </c>
      <c r="N811" s="194">
        <v>7</v>
      </c>
      <c r="O811" s="183"/>
      <c r="P811" s="183"/>
      <c r="Q811" s="194"/>
      <c r="R811" s="454"/>
      <c r="S811" s="454"/>
      <c r="T811" s="194"/>
      <c r="U811" s="194"/>
      <c r="V811" s="183">
        <f>V767</f>
        <v>23615</v>
      </c>
      <c r="W811" s="6"/>
      <c r="Y811" s="219"/>
    </row>
    <row r="812" spans="1:30" s="4" customFormat="1" ht="15.75" customHeight="1">
      <c r="A812" s="451"/>
      <c r="B812" s="122" t="s">
        <v>463</v>
      </c>
      <c r="C812" s="157" t="s">
        <v>464</v>
      </c>
      <c r="D812" s="48" t="s">
        <v>246</v>
      </c>
      <c r="E812" s="430"/>
      <c r="F812" s="48" t="s">
        <v>64</v>
      </c>
      <c r="G812" s="196">
        <v>281.06</v>
      </c>
      <c r="H812" s="183"/>
      <c r="I812" s="482"/>
      <c r="J812" s="479"/>
      <c r="K812" s="183"/>
      <c r="L812" s="183"/>
      <c r="M812" s="194">
        <v>6000</v>
      </c>
      <c r="N812" s="194">
        <v>1</v>
      </c>
      <c r="O812" s="183"/>
      <c r="P812" s="183"/>
      <c r="Q812" s="194"/>
      <c r="R812" s="454"/>
      <c r="S812" s="454"/>
      <c r="T812" s="194"/>
      <c r="U812" s="194"/>
      <c r="V812" s="183"/>
      <c r="W812" s="6"/>
      <c r="Y812" s="219"/>
    </row>
    <row r="813" spans="1:30" s="281" customFormat="1" ht="15.75" customHeight="1">
      <c r="A813" s="451"/>
      <c r="B813" s="442" t="s">
        <v>47</v>
      </c>
      <c r="C813" s="444" t="s">
        <v>100</v>
      </c>
      <c r="D813" s="48" t="s">
        <v>99</v>
      </c>
      <c r="E813" s="430"/>
      <c r="F813" s="48" t="s">
        <v>71</v>
      </c>
      <c r="G813" s="196"/>
      <c r="H813" s="183"/>
      <c r="I813" s="482"/>
      <c r="J813" s="479"/>
      <c r="K813" s="183"/>
      <c r="L813" s="183"/>
      <c r="M813" s="183"/>
      <c r="N813" s="183"/>
      <c r="O813" s="183">
        <f>SUMIFS($O$4:$O$784,$D$4:$D$784,"RD159Z",$F$4:$F$784,"60.5""")</f>
        <v>7582</v>
      </c>
      <c r="P813" s="183">
        <f>SUMIFS($P$4:$P$784,$D$4:$D$784,"RD159Z",$F$4:$F$784,"60.5""")</f>
        <v>4946</v>
      </c>
      <c r="Q813" s="183"/>
      <c r="R813" s="454"/>
      <c r="S813" s="454"/>
      <c r="T813" s="194">
        <f>SUMIFS($T$4:$T$784,$D$4:$D$784,"RD159Z",$F$4:$F$784,"60.5""")</f>
        <v>55478</v>
      </c>
      <c r="U813" s="194">
        <f>SUMIFS($U$4:$U$784,$D$4:$D$784,"RD159Z",$F$4:$F$784,"60.5""")</f>
        <v>81</v>
      </c>
      <c r="V813" s="183"/>
      <c r="W813" s="122"/>
    </row>
    <row r="814" spans="1:30" s="281" customFormat="1" ht="15.75" customHeight="1">
      <c r="A814" s="451"/>
      <c r="B814" s="439"/>
      <c r="C814" s="445"/>
      <c r="D814" s="89" t="s">
        <v>458</v>
      </c>
      <c r="E814" s="430"/>
      <c r="F814" s="89" t="s">
        <v>71</v>
      </c>
      <c r="G814" s="196">
        <f>SUMIFS($G$4:$G$784,$D$4:$D$784,"RD330S",$F$4:$F$784,"60.5""",$C$4:$C$784,"P/T DTY 75D*100D, 181T(105*76), Recycle 60.5""")</f>
        <v>2002.02</v>
      </c>
      <c r="H814" s="221"/>
      <c r="I814" s="482"/>
      <c r="J814" s="479"/>
      <c r="K814" s="183">
        <f>SUMIFS($K$4:$K$784,$D$4:$D$784,"RD330S",$F$4:$F$784,"60.5""",$C$4:$C$784,"P/T DTY 75D*100D, 181T(105*76), Recycle 60.5""")</f>
        <v>30500</v>
      </c>
      <c r="L814" s="183">
        <f>SUMIFS($L$4:$L$784,$D$4:$D$784,"RD330S",$F$4:$F$784,"60.5""",$C$4:$C$784,"P/T DTY 75D*100D, 181T(105*76), Recycle 60.5""")</f>
        <v>6</v>
      </c>
      <c r="M814" s="221">
        <v>6100</v>
      </c>
      <c r="N814" s="221">
        <v>1</v>
      </c>
      <c r="O814" s="183">
        <f>SUMIFS($O$4:$O$784,$D$4:$D$784,"RD330S",$F$4:$F$784,"60.5""",$C$4:$C$784,"P/T DTY 75D*100D, 181T(105*76), Recycle 60.5""")</f>
        <v>0</v>
      </c>
      <c r="P814" s="183">
        <f>SUMIFS($P$4:$P$784,$D$4:$D$784,"RD330S",$F$4:$F$784,"60.5""",$C$4:$C$784,"P/T DTY 75D*100D, 181T(105*76), Recycle 60.5""")</f>
        <v>4023</v>
      </c>
      <c r="Q814" s="221"/>
      <c r="R814" s="454"/>
      <c r="S814" s="454"/>
      <c r="T814" s="183">
        <f>SUMIFS($T$4:$T$784,$D$4:$D$784,"RD330S",$F$4:$F$784,"60.5""",$C$4:$C$784,"P/T DTY 75D*100D, 181T(105*76), Recycle 60.5""")</f>
        <v>0</v>
      </c>
      <c r="U814" s="221"/>
      <c r="V814" s="191"/>
      <c r="W814" s="122"/>
    </row>
    <row r="815" spans="1:30" s="4" customFormat="1" ht="15.75" customHeight="1">
      <c r="A815" s="451"/>
      <c r="B815" s="443"/>
      <c r="C815" s="446"/>
      <c r="D815" s="59" t="s">
        <v>121</v>
      </c>
      <c r="E815" s="430"/>
      <c r="F815" s="59"/>
      <c r="G815" s="191"/>
      <c r="H815" s="183">
        <f>SUMIF($D$4:$D$784,"RD152Z",$H$4:$H$784)</f>
        <v>918</v>
      </c>
      <c r="I815" s="482"/>
      <c r="J815" s="479"/>
      <c r="K815" s="191"/>
      <c r="L815" s="191"/>
      <c r="M815" s="191"/>
      <c r="N815" s="191"/>
      <c r="O815" s="183"/>
      <c r="P815" s="183"/>
      <c r="Q815" s="183"/>
      <c r="R815" s="454"/>
      <c r="S815" s="454"/>
      <c r="T815" s="183"/>
      <c r="U815" s="191"/>
      <c r="V815" s="191"/>
      <c r="W815" s="122"/>
    </row>
    <row r="816" spans="1:30" s="4" customFormat="1" ht="15.75" customHeight="1">
      <c r="A816" s="451"/>
      <c r="B816" s="442" t="s">
        <v>47</v>
      </c>
      <c r="C816" s="444" t="s">
        <v>457</v>
      </c>
      <c r="D816" s="59" t="s">
        <v>458</v>
      </c>
      <c r="E816" s="430"/>
      <c r="F816" s="59" t="s">
        <v>459</v>
      </c>
      <c r="G816" s="183">
        <f>SUMIFS($G$4:$G$784,$D$4:$D$784,"RD330S",$F$4:$F$784,"100.79""",$C$4:$C$784,"P/T DTY 75D*100D, Recycle 100.79""")</f>
        <v>180</v>
      </c>
      <c r="H816" s="183"/>
      <c r="I816" s="482"/>
      <c r="J816" s="479"/>
      <c r="K816" s="183">
        <f>SUMIFS($K$4:$K$784,$D$4:$D$784,"RD330S",$F$4:$F$784,"100.79""",$C$4:$C$784,"P/T DTY 75D*100D, Recycle 100.79""")</f>
        <v>2000</v>
      </c>
      <c r="L816" s="183">
        <f>SUMIFS($L$4:$L$784,$D$4:$D$784,"RD330S",$F$4:$F$784,"100.79""",$C$4:$C$784,"P/T DTY 75D*100D, Recycle 100.79""")</f>
        <v>1</v>
      </c>
      <c r="M816" s="191"/>
      <c r="N816" s="191"/>
      <c r="O816" s="183">
        <f>SUMIFS($O$4:$O$784,$D$4:$D$784,"RD330S",$F$4:$F$784,"100.79""",$C$4:$C$784,"P/T DTY 75D*100D, Recycle 100.79""")</f>
        <v>843</v>
      </c>
      <c r="P816" s="183">
        <f>SUMIFS($P$4:$P$784,$D$4:$D$784,"RD330S",$F$4:$F$784,"100.79""",$C$4:$C$784,"P/T DTY 75D*100D, Recycle 100.79""")</f>
        <v>1028</v>
      </c>
      <c r="Q816" s="183"/>
      <c r="R816" s="454"/>
      <c r="S816" s="454"/>
      <c r="T816" s="183">
        <f>SUMIFS($T$4:$T$784,$D$4:$D$784,"RD330S",$F$4:$F$784,"100.79""",$C$4:$C$784,"P/T DTY 75D*100D, Recycle 100.79""")</f>
        <v>843</v>
      </c>
      <c r="U816" s="191"/>
      <c r="V816" s="191">
        <f>V738</f>
        <v>0</v>
      </c>
      <c r="W816" s="122"/>
    </row>
    <row r="817" spans="1:25" s="4" customFormat="1" ht="15.75" customHeight="1">
      <c r="A817" s="451"/>
      <c r="B817" s="439"/>
      <c r="C817" s="445"/>
      <c r="D817" s="59" t="s">
        <v>460</v>
      </c>
      <c r="E817" s="430"/>
      <c r="F817" s="59"/>
      <c r="G817" s="191"/>
      <c r="H817" s="218">
        <f>SUMIF($D$4:$D$784,"DR809Z",$H$4:$H$784)</f>
        <v>122.4</v>
      </c>
      <c r="I817" s="482"/>
      <c r="J817" s="479"/>
      <c r="K817" s="191"/>
      <c r="L817" s="191"/>
      <c r="M817" s="191"/>
      <c r="N817" s="191"/>
      <c r="O817" s="183"/>
      <c r="P817" s="183"/>
      <c r="Q817" s="183"/>
      <c r="R817" s="454"/>
      <c r="S817" s="454"/>
      <c r="T817" s="183"/>
      <c r="U817" s="191"/>
      <c r="V817" s="191"/>
      <c r="W817" s="122"/>
    </row>
    <row r="818" spans="1:25" s="4" customFormat="1" ht="18" customHeight="1">
      <c r="A818" s="451"/>
      <c r="B818" s="122" t="s">
        <v>196</v>
      </c>
      <c r="C818" s="180" t="s">
        <v>63</v>
      </c>
      <c r="D818" s="48" t="s">
        <v>135</v>
      </c>
      <c r="E818" s="430"/>
      <c r="F818" s="59" t="s">
        <v>64</v>
      </c>
      <c r="G818" s="183"/>
      <c r="H818" s="218">
        <f>SUMIF($D$4:$D$784,"XB080718",$H$4:$H$784)</f>
        <v>535.5</v>
      </c>
      <c r="I818" s="482"/>
      <c r="J818" s="479"/>
      <c r="K818" s="183"/>
      <c r="L818" s="183"/>
      <c r="M818" s="191"/>
      <c r="N818" s="183"/>
      <c r="O818" s="183">
        <f>SUMIFS($O$4:$O$784,$D$4:$D$784,"XB080718",$F$4:$F$784,"60""")</f>
        <v>22465</v>
      </c>
      <c r="P818" s="183">
        <f>SUMIFS($P$4:$P$784,$D$4:$D$784,"XB080718",$F$4:$F$784,"60""")</f>
        <v>22090</v>
      </c>
      <c r="Q818" s="183"/>
      <c r="R818" s="454"/>
      <c r="S818" s="454"/>
      <c r="T818" s="183">
        <f>SUMIFS($T$753:$T$784,$D$753:$D$784,"XB080718",$F$753:$F$784,"60""")</f>
        <v>0</v>
      </c>
      <c r="U818" s="191"/>
      <c r="V818" s="191">
        <f>V771</f>
        <v>50124</v>
      </c>
      <c r="W818" s="122"/>
    </row>
    <row r="819" spans="1:25" s="4" customFormat="1" ht="22.5" customHeight="1">
      <c r="A819" s="451"/>
      <c r="B819" s="122" t="s">
        <v>363</v>
      </c>
      <c r="C819" s="180" t="s">
        <v>325</v>
      </c>
      <c r="D819" s="48" t="s">
        <v>328</v>
      </c>
      <c r="E819" s="430"/>
      <c r="F819" s="59" t="s">
        <v>48</v>
      </c>
      <c r="G819" s="47"/>
      <c r="H819" s="183">
        <f>SUMIF($D$4:$D$784,"SC1039",$H$4:$H$784)</f>
        <v>864</v>
      </c>
      <c r="I819" s="482"/>
      <c r="J819" s="479"/>
      <c r="K819" s="183"/>
      <c r="L819" s="183"/>
      <c r="M819" s="191"/>
      <c r="N819" s="183"/>
      <c r="O819" s="183">
        <f>SUMIFS($O$4:$O$784,$D$4:$D$784,"SC1039",$F$4:$F$784,"61""")</f>
        <v>8016</v>
      </c>
      <c r="P819" s="183">
        <f>SUMIFS($P$4:$P$784,$D$4:$D$784,"SC1039",$F$4:$F$784,"61""")</f>
        <v>7259</v>
      </c>
      <c r="Q819" s="183"/>
      <c r="R819" s="454"/>
      <c r="S819" s="454"/>
      <c r="T819" s="183">
        <f>SUMIFS($T$753:$T$784,$D$753:$D$784,"SC1039",$F$753:$F$784,"61""")</f>
        <v>0</v>
      </c>
      <c r="U819" s="191"/>
      <c r="V819" s="191">
        <f>V772</f>
        <v>16454</v>
      </c>
      <c r="W819" s="122"/>
      <c r="X819" s="219"/>
    </row>
    <row r="820" spans="1:25" s="4" customFormat="1" ht="15.75" customHeight="1">
      <c r="A820" s="451"/>
      <c r="B820" s="442" t="s">
        <v>289</v>
      </c>
      <c r="C820" s="444" t="s">
        <v>290</v>
      </c>
      <c r="D820" s="48" t="s">
        <v>75</v>
      </c>
      <c r="E820" s="430"/>
      <c r="F820" s="59" t="s">
        <v>381</v>
      </c>
      <c r="G820" s="196"/>
      <c r="H820" s="218"/>
      <c r="I820" s="482"/>
      <c r="J820" s="479"/>
      <c r="K820" s="183"/>
      <c r="L820" s="183"/>
      <c r="M820" s="191"/>
      <c r="N820" s="183"/>
      <c r="O820" s="183">
        <f>SUMIFS($O$4:$O$784,$D$4:$D$784,"AAZ43",$F$4:$F$784,"94.5""")</f>
        <v>607</v>
      </c>
      <c r="P820" s="183">
        <f>SUMIFS($P$4:$P$784,$D$4:$D$784,"AAZ43",$F$4:$F$784,"94.5""")</f>
        <v>76</v>
      </c>
      <c r="Q820" s="183"/>
      <c r="R820" s="454"/>
      <c r="S820" s="454"/>
      <c r="T820" s="183">
        <f>SUMIFS($T$4:$T$784,$D$4:$D$784,"AAZ43",$F$4:$F$784,"94.5""")</f>
        <v>607</v>
      </c>
      <c r="U820" s="191"/>
      <c r="V820" s="191"/>
      <c r="W820" s="122"/>
    </row>
    <row r="821" spans="1:25" s="4" customFormat="1" ht="15.75" customHeight="1">
      <c r="A821" s="451"/>
      <c r="B821" s="439"/>
      <c r="C821" s="445"/>
      <c r="D821" s="48" t="s">
        <v>432</v>
      </c>
      <c r="E821" s="430"/>
      <c r="F821" s="59" t="s">
        <v>381</v>
      </c>
      <c r="G821" s="280">
        <f>SUMIFS($G$4:$G$784,$B$4:$B$784,"SAFFEROT",$D$4:$D$784,"RD230Z",$F$4:$F$784,"94.5""")</f>
        <v>167.88</v>
      </c>
      <c r="H821" s="218"/>
      <c r="I821" s="482"/>
      <c r="J821" s="479"/>
      <c r="K821" s="183">
        <f>SUMIFS($K$4:$K$784,$D$4:$D$784,"RD230Z",$F$4:$F$784,"94.5""")</f>
        <v>4000</v>
      </c>
      <c r="L821" s="183">
        <f>SUMIFS($L$4:$L$784,$D$4:$D$784,"RD230Z",$F$4:$F$784,"94.5""")</f>
        <v>2</v>
      </c>
      <c r="M821" s="191"/>
      <c r="N821" s="183"/>
      <c r="O821" s="183">
        <f>SUMIFS($O$4:$O$784,$D$4:$D$784,"RD230Z",$F$4:$F$784,"94.5""")</f>
        <v>3752</v>
      </c>
      <c r="P821" s="183">
        <f>SUMIFS($P$4:$P$784,$D$4:$D$784,"RD230Z",$F$4:$F$784,"94.5""")</f>
        <v>3752</v>
      </c>
      <c r="Q821" s="183"/>
      <c r="R821" s="454"/>
      <c r="S821" s="454"/>
      <c r="T821" s="183">
        <f>SUMIFS($T$4:$T$784,$D$4:$D$784,"RD230Z",$F$4:$F$784,"94.5""")</f>
        <v>3752</v>
      </c>
      <c r="U821" s="191"/>
      <c r="V821" s="191">
        <f>V746</f>
        <v>0</v>
      </c>
      <c r="W821" s="122"/>
    </row>
    <row r="822" spans="1:25" s="4" customFormat="1" ht="15.75" customHeight="1">
      <c r="A822" s="451"/>
      <c r="B822" s="439"/>
      <c r="C822" s="445"/>
      <c r="D822" s="48" t="s">
        <v>432</v>
      </c>
      <c r="E822" s="430"/>
      <c r="F822" s="59" t="s">
        <v>435</v>
      </c>
      <c r="G822" s="193">
        <f>SUMIFS($G$4:$G$784,$D$4:$D$784,"RD230Z",$F$4:$F$784,"86.61""")</f>
        <v>306.8</v>
      </c>
      <c r="H822" s="218"/>
      <c r="I822" s="482"/>
      <c r="J822" s="479"/>
      <c r="K822" s="183">
        <f>SUMIFS($K$4:$K$784,$D$4:$D$784,"RD230Z",$F$4:$F$784,"86.61""")</f>
        <v>4000</v>
      </c>
      <c r="L822" s="183">
        <f>SUMIFS($L$4:$L$784,$D$4:$D$784,"RD230Z",$F$4:$F$784,"86.61""")</f>
        <v>1</v>
      </c>
      <c r="M822" s="191"/>
      <c r="N822" s="183"/>
      <c r="O822" s="183">
        <f>SUMIFS($O$4:$O$784,$D$4:$D$784,"RD230Z",$F$4:$F$784,"86.61""")</f>
        <v>2153</v>
      </c>
      <c r="P822" s="183">
        <f>SUMIFS($P$4:$P$784,$D$4:$D$784,"RD230Z",$F$4:$F$784,"86.61""")</f>
        <v>2398</v>
      </c>
      <c r="Q822" s="183"/>
      <c r="R822" s="454"/>
      <c r="S822" s="454"/>
      <c r="T822" s="183">
        <f>SUMIFS($T$4:$T$784,$D$4:$D$784,"RD230Z",$F$4:$F$784,"86.61""")</f>
        <v>2153</v>
      </c>
      <c r="U822" s="191"/>
      <c r="V822" s="191">
        <f>V747</f>
        <v>0</v>
      </c>
      <c r="W822" s="122"/>
    </row>
    <row r="823" spans="1:25" s="4" customFormat="1" ht="15.75" customHeight="1">
      <c r="A823" s="451"/>
      <c r="B823" s="443"/>
      <c r="C823" s="446"/>
      <c r="D823" s="48" t="s">
        <v>433</v>
      </c>
      <c r="E823" s="430"/>
      <c r="F823" s="59"/>
      <c r="G823" s="218"/>
      <c r="H823" s="218">
        <f>SUMIF($D$4:$D$784,"RD278Z",$H$4:$H$784)</f>
        <v>1438.1999999999998</v>
      </c>
      <c r="I823" s="482"/>
      <c r="J823" s="479"/>
      <c r="K823" s="183"/>
      <c r="L823" s="183"/>
      <c r="M823" s="191"/>
      <c r="N823" s="183"/>
      <c r="O823" s="183"/>
      <c r="P823" s="183"/>
      <c r="Q823" s="183"/>
      <c r="R823" s="454"/>
      <c r="S823" s="454"/>
      <c r="T823" s="194"/>
      <c r="U823" s="191"/>
      <c r="V823" s="191"/>
      <c r="W823" s="122"/>
    </row>
    <row r="824" spans="1:25" s="4" customFormat="1" ht="15.75" customHeight="1">
      <c r="A824" s="451"/>
      <c r="B824" s="268" t="s">
        <v>453</v>
      </c>
      <c r="C824" s="335" t="s">
        <v>438</v>
      </c>
      <c r="D824" s="48" t="s">
        <v>432</v>
      </c>
      <c r="E824" s="430"/>
      <c r="F824" s="59" t="s">
        <v>57</v>
      </c>
      <c r="G824" s="193"/>
      <c r="H824" s="193"/>
      <c r="I824" s="482"/>
      <c r="J824" s="479"/>
      <c r="K824" s="183"/>
      <c r="L824" s="183"/>
      <c r="M824" s="191"/>
      <c r="N824" s="183"/>
      <c r="O824" s="191">
        <f>SUMIFS($O$4:$O$784,$B$4:$B$784,"SAFFEROT - 1",$D$4:$D$784,"RD230Z",$F$4:$F$784,"66.5""")</f>
        <v>1406</v>
      </c>
      <c r="P824" s="191">
        <f>SUMIFS($P$4:$P$784,$B$4:$B$784,"SAFFEROT - 1",$D$4:$D$784,"RD230Z",$F$4:$F$784,"66.5""")</f>
        <v>1406</v>
      </c>
      <c r="Q824" s="183"/>
      <c r="R824" s="454"/>
      <c r="S824" s="454"/>
      <c r="T824" s="183">
        <f>SUMIFS($T$4:$T$784,$B$4:$B$784,"SAFFEROT - 1",$D$4:$D$784,"RD230Z",$F$4:$F$784,"66.5""")</f>
        <v>1406</v>
      </c>
      <c r="U824" s="191"/>
      <c r="V824" s="191">
        <f>V748</f>
        <v>0</v>
      </c>
      <c r="W824" s="122"/>
    </row>
    <row r="825" spans="1:25" s="4" customFormat="1" ht="15.75" customHeight="1">
      <c r="A825" s="451"/>
      <c r="B825" s="268" t="s">
        <v>454</v>
      </c>
      <c r="C825" s="335" t="s">
        <v>438</v>
      </c>
      <c r="D825" s="48" t="s">
        <v>432</v>
      </c>
      <c r="E825" s="430"/>
      <c r="F825" s="59" t="s">
        <v>57</v>
      </c>
      <c r="G825" s="193"/>
      <c r="H825" s="193"/>
      <c r="I825" s="482"/>
      <c r="J825" s="479"/>
      <c r="K825" s="218"/>
      <c r="L825" s="183"/>
      <c r="M825" s="191"/>
      <c r="N825" s="183"/>
      <c r="O825" s="191">
        <f>SUMIFS($O$4:$O$784,$B$4:$B$784,"SAFFEROT - 2",$D$4:$D$784,"RD230Z",$F$4:$F$784,"66.5""")</f>
        <v>2129</v>
      </c>
      <c r="P825" s="191">
        <f>SUMIFS($P$4:$P$784,$B$4:$B$784,"SAFFEROT - 2",$D$4:$D$784,"RD230Z",$F$4:$F$784,"66.5""")</f>
        <v>2129</v>
      </c>
      <c r="Q825" s="183"/>
      <c r="R825" s="454"/>
      <c r="S825" s="454"/>
      <c r="T825" s="191">
        <f>SUMIFS($T$4:$T$784,$B$4:$B$784,"SAFFEROT - 2",$D$4:$D$784,"RD230Z",$F$4:$F$784,"66.5""")</f>
        <v>1234</v>
      </c>
      <c r="U825" s="191"/>
      <c r="V825" s="191">
        <f>V781</f>
        <v>895</v>
      </c>
      <c r="W825" s="122"/>
    </row>
    <row r="826" spans="1:25" s="4" customFormat="1" ht="23.25" customHeight="1">
      <c r="A826" s="451"/>
      <c r="B826" s="122" t="s">
        <v>253</v>
      </c>
      <c r="C826" s="180" t="s">
        <v>365</v>
      </c>
      <c r="D826" s="48" t="s">
        <v>246</v>
      </c>
      <c r="E826" s="430"/>
      <c r="F826" s="59" t="s">
        <v>247</v>
      </c>
      <c r="G826" s="196"/>
      <c r="H826" s="196">
        <f>SUMIFS($H$4:$H$784,$D$4:$D$784,"SC-1012",$F$4:$F$784,"76.8""")</f>
        <v>297.36</v>
      </c>
      <c r="I826" s="482"/>
      <c r="J826" s="479"/>
      <c r="K826" s="183"/>
      <c r="L826" s="183"/>
      <c r="M826" s="191"/>
      <c r="N826" s="183"/>
      <c r="O826" s="183">
        <f>SUMIFS($O$4:$O$784,$D$4:$D$784,"SC-1012",$F$4:$F$784,"76.8""")</f>
        <v>1534</v>
      </c>
      <c r="P826" s="183">
        <f>SUMIFS($P$4:$P$784,$D$4:$D$784,"SC-1012",$F$4:$F$784,"76.8""")</f>
        <v>4859</v>
      </c>
      <c r="Q826" s="183"/>
      <c r="R826" s="454"/>
      <c r="S826" s="454"/>
      <c r="T826" s="183">
        <f>SUMIFS($T$4:$T$784,$D$4:$D$784,"SC-1012",$F$4:$F$784,"76.8""")</f>
        <v>6260</v>
      </c>
      <c r="U826" s="191"/>
      <c r="V826" s="191">
        <f>V773</f>
        <v>12501</v>
      </c>
      <c r="W826" s="122"/>
    </row>
    <row r="827" spans="1:25" s="139" customFormat="1" ht="15.75" customHeight="1">
      <c r="A827" s="451"/>
      <c r="B827" s="295" t="s">
        <v>366</v>
      </c>
      <c r="C827" s="296" t="s">
        <v>367</v>
      </c>
      <c r="D827" s="297" t="s">
        <v>132</v>
      </c>
      <c r="E827" s="430"/>
      <c r="F827" s="298" t="s">
        <v>64</v>
      </c>
      <c r="G827" s="300">
        <f>SUMIFS($G$4:$G$784,$D$4:$D$784,"M5101413",$F$4:$F$784,"60""")</f>
        <v>857.66</v>
      </c>
      <c r="H827" s="300">
        <f>SUMIFS($H$4:$H$784,$D$4:$D$784,"M5101413",$F$4:$F$784,"60""")</f>
        <v>786.90000000000009</v>
      </c>
      <c r="I827" s="482"/>
      <c r="J827" s="479"/>
      <c r="K827" s="300">
        <f>SUMIFS($K$4:$K$784,$D$4:$D$784,"M5101413",$F$4:$F$784,"60""")</f>
        <v>10000</v>
      </c>
      <c r="L827" s="300">
        <f>SUMIFS($L$4:$L$784,$D$4:$D$784,"M5101413",$F$4:$F$784,"60""")</f>
        <v>2</v>
      </c>
      <c r="M827" s="300"/>
      <c r="N827" s="300"/>
      <c r="O827" s="300">
        <f>SUMIFS($O$4:$O$784,$D$4:$D$784,"M5101413",$F$4:$F$784,"60""")</f>
        <v>6725</v>
      </c>
      <c r="P827" s="300">
        <f>SUMIFS($P$4:$P$784,$D$4:$D$784,"M5101413",$F$4:$F$784,"60""")</f>
        <v>7489</v>
      </c>
      <c r="Q827" s="300"/>
      <c r="R827" s="454"/>
      <c r="S827" s="454"/>
      <c r="T827" s="300">
        <f>SUMIFS($T$753:$T$784,$D$753:$D$784,"M5101413",$F$753:$F$784,"60""")</f>
        <v>0</v>
      </c>
      <c r="U827" s="300">
        <f>SUMIFS($U$753:$U$784,$D$753:$D$784,"M5101413",$F$753:$F$784,"60""")</f>
        <v>0</v>
      </c>
      <c r="V827" s="301">
        <f>V775</f>
        <v>6725</v>
      </c>
      <c r="W827" s="295"/>
    </row>
    <row r="828" spans="1:25" s="4" customFormat="1" ht="17.25" customHeight="1">
      <c r="A828" s="451"/>
      <c r="B828" s="122" t="s">
        <v>101</v>
      </c>
      <c r="C828" s="180" t="s">
        <v>327</v>
      </c>
      <c r="D828" s="48" t="s">
        <v>102</v>
      </c>
      <c r="E828" s="430"/>
      <c r="F828" s="48" t="s">
        <v>64</v>
      </c>
      <c r="G828" s="196"/>
      <c r="H828" s="183">
        <f>SUMIF($D$4:$D$784,"XB061218",$H$4:$H$784)</f>
        <v>1606.5</v>
      </c>
      <c r="I828" s="482"/>
      <c r="J828" s="479"/>
      <c r="K828" s="183">
        <f>SUMIFS($K$4:$K$784,$D$4:$D$784,"XB061218",$F$4:$F$784,"60""")</f>
        <v>14000</v>
      </c>
      <c r="L828" s="183">
        <f>SUMIFS($L$4:$L$784,$D$4:$D$784,"XB061218",$F$4:$F$784,"60""")</f>
        <v>2</v>
      </c>
      <c r="M828" s="183"/>
      <c r="N828" s="183"/>
      <c r="O828" s="183">
        <f>SUMIFS($O$4:$O$784,$D$4:$D$784,"XB061218",$F$4:$F$784,"60""")</f>
        <v>36600</v>
      </c>
      <c r="P828" s="183">
        <f>SUMIFS($P$4:$P$784,$D$4:$D$784,"XB061218",$F$4:$F$784,"60""")</f>
        <v>35039</v>
      </c>
      <c r="Q828" s="183"/>
      <c r="R828" s="454"/>
      <c r="S828" s="454"/>
      <c r="T828" s="183">
        <f>SUMIFS($T$4:$T$784,$D$4:$D$784,"XB061218",$F$4:$F$784,"60""")</f>
        <v>41102</v>
      </c>
      <c r="U828" s="183">
        <f>SUMIFS($U$4:$U$784,$D$4:$D$784,"XB061218",$F$4:$F$784,"60""")</f>
        <v>25</v>
      </c>
      <c r="V828" s="183">
        <f>V774</f>
        <v>373</v>
      </c>
      <c r="W828" s="122"/>
      <c r="Y828" s="219"/>
    </row>
    <row r="829" spans="1:25" s="4" customFormat="1" ht="17.25" customHeight="1">
      <c r="A829" s="451"/>
      <c r="B829" s="122" t="s">
        <v>375</v>
      </c>
      <c r="C829" s="157" t="s">
        <v>376</v>
      </c>
      <c r="D829" s="48" t="s">
        <v>248</v>
      </c>
      <c r="E829" s="430"/>
      <c r="F829" s="59" t="s">
        <v>64</v>
      </c>
      <c r="G829" s="196"/>
      <c r="H829" s="183"/>
      <c r="I829" s="482"/>
      <c r="J829" s="479"/>
      <c r="K829" s="183"/>
      <c r="L829" s="183"/>
      <c r="M829" s="191"/>
      <c r="N829" s="191"/>
      <c r="O829" s="183">
        <f>SUMIFS($O$4:$O$784,$B$4:$B$784,"TGT 400D",$D$4:$D$784,"H20123")</f>
        <v>3764</v>
      </c>
      <c r="P829" s="183">
        <f>SUMIFS($P$4:$P$784,$B$4:$B$784,"TGT 400D",$D$4:$D$784,"H20123")</f>
        <v>1826</v>
      </c>
      <c r="Q829" s="183"/>
      <c r="R829" s="454"/>
      <c r="S829" s="454"/>
      <c r="T829" s="183">
        <f>SUMIFS($T$4:$T$784,$B$4:$B$784,"TGT 400D",$D$4:$D$784,"H20123")</f>
        <v>4784</v>
      </c>
      <c r="U829" s="183">
        <f>SUMIFS($U$4:$U$784,$B$4:$B$784,"TGT 400D",$D$4:$D$784,"H20123")</f>
        <v>6</v>
      </c>
      <c r="V829" s="191">
        <f>V776</f>
        <v>75911</v>
      </c>
      <c r="W829" s="122"/>
      <c r="Y829" s="219"/>
    </row>
    <row r="830" spans="1:25" s="4" customFormat="1" ht="17.25" customHeight="1">
      <c r="A830" s="451"/>
      <c r="B830" s="122" t="s">
        <v>421</v>
      </c>
      <c r="C830" s="157" t="s">
        <v>420</v>
      </c>
      <c r="D830" s="48" t="s">
        <v>248</v>
      </c>
      <c r="E830" s="430"/>
      <c r="F830" s="59" t="s">
        <v>64</v>
      </c>
      <c r="G830" s="196">
        <f>SUMIFS($G$4:$G$784,$B$4:$B$784,"WMT CHRISTMAS 60""",$D$4:$D$784,"H20123")</f>
        <v>16632.829999999998</v>
      </c>
      <c r="H830" s="183">
        <f>SUMIFS($H$4:$H$784,$B$4:$B$784,"WMT CHRISTMAS 60""",$D$4:$D$784,"H20123")</f>
        <v>8124</v>
      </c>
      <c r="I830" s="482"/>
      <c r="J830" s="479"/>
      <c r="K830" s="183">
        <f>SUMIFS($K$4:$K$784,$B$4:$B$784,"WMT CHRISTMAS 60""",$D$4:$D$784,"H20123")</f>
        <v>131250</v>
      </c>
      <c r="L830" s="183">
        <f>SUMIFS($L$4:$L$784,$B$4:$B$784,"WMT CHRISTMAS 60""",$D$4:$D$784,"H20123")</f>
        <v>33</v>
      </c>
      <c r="M830" s="191">
        <v>46200</v>
      </c>
      <c r="N830" s="191">
        <v>11</v>
      </c>
      <c r="O830" s="183">
        <f>SUMIFS($O$4:$O$784,$B$4:$B$784,"WMT CHRISTMAS 60""",$D$4:$D$784,"H20123")</f>
        <v>70251</v>
      </c>
      <c r="P830" s="183">
        <f>SUMIFS($P$4:$P$784,$B$4:$B$784,"WMT CHRISTMAS 60""",$D$4:$D$784,"H20123")</f>
        <v>75856</v>
      </c>
      <c r="Q830" s="183"/>
      <c r="R830" s="454"/>
      <c r="S830" s="454"/>
      <c r="T830" s="183">
        <f>SUMIFS($T$4:$T$784,$B$4:$B$784,"WMT CHRISTMAS 60""",$D$4:$D$784,"H20123")</f>
        <v>12394</v>
      </c>
      <c r="U830" s="183">
        <f>SUMIFS($U$4:$U$784,$B$4:$B$784,"WMT CHRISTMAS 60""",$D$4:$D$784,"H20123")</f>
        <v>0</v>
      </c>
      <c r="V830" s="191">
        <f>V777</f>
        <v>57857</v>
      </c>
      <c r="W830" s="122"/>
      <c r="Y830" s="219"/>
    </row>
    <row r="831" spans="1:25" s="4" customFormat="1" ht="17.25" customHeight="1">
      <c r="A831" s="451"/>
      <c r="B831" s="122" t="s">
        <v>425</v>
      </c>
      <c r="C831" s="157" t="s">
        <v>426</v>
      </c>
      <c r="D831" s="48" t="s">
        <v>246</v>
      </c>
      <c r="E831" s="430"/>
      <c r="F831" s="59" t="s">
        <v>64</v>
      </c>
      <c r="G831" s="196">
        <f>SUMIFS($G$4:$G$784,$B$4:$B$784,"GILIMAX 68D TAF",$D$4:$D$784,"SC-1012",$F$4:$F$784,"60""")</f>
        <v>57.16</v>
      </c>
      <c r="H831" s="183">
        <f>SUMIFS($H$4:$H$784,$B$4:$B$784,"GILIMAX 68D TAF",$D$4:$D$784,"SC-1012",$F$4:$F$784,"60""")</f>
        <v>80</v>
      </c>
      <c r="I831" s="482"/>
      <c r="J831" s="479"/>
      <c r="K831" s="183">
        <f>SUMIFS($K$4:$K$784,$B$4:$B$784,"GILIMAX 68D TAF",$D$4:$D$784,"SC-1012",$F$4:$F$784,"60""")</f>
        <v>1000</v>
      </c>
      <c r="L831" s="183">
        <f>SUMIFS($L$4:$L$784,$B$4:$B$784,"GILIMAX 68D TAF",$D$4:$D$784,"SC-1012",$F$4:$F$784,"60""")</f>
        <v>1</v>
      </c>
      <c r="M831" s="191"/>
      <c r="N831" s="191"/>
      <c r="O831" s="183">
        <f>SUMIFS($O$4:$O$784,$B$4:$B$784,"GILIMAX 68D TAF",$D$4:$D$784,"SC-1012",$F$4:$F$784,"60""")</f>
        <v>919</v>
      </c>
      <c r="P831" s="183">
        <f>SUMIFS($P$4:$P$784,$B$4:$B$784,"GILIMAX 68D TAF",$D$4:$D$784,"SC-1012",$F$4:$F$784,"60""")</f>
        <v>919</v>
      </c>
      <c r="Q831" s="183"/>
      <c r="R831" s="454"/>
      <c r="S831" s="454"/>
      <c r="T831" s="183">
        <f>SUMIFS($T$4:$T$784,$B$4:$B$784,"GILIMAX 68D TAF",$D$4:$D$784,"SC-1012",$F$4:$F$784,"60""")</f>
        <v>919</v>
      </c>
      <c r="U831" s="191"/>
      <c r="V831" s="191"/>
      <c r="W831" s="122"/>
      <c r="Y831" s="219"/>
    </row>
    <row r="832" spans="1:25" s="4" customFormat="1" ht="17.25" customHeight="1">
      <c r="A832" s="451"/>
      <c r="B832" s="122" t="s">
        <v>436</v>
      </c>
      <c r="C832" s="157" t="s">
        <v>438</v>
      </c>
      <c r="D832" s="48" t="s">
        <v>432</v>
      </c>
      <c r="E832" s="430"/>
      <c r="F832" s="59" t="s">
        <v>57</v>
      </c>
      <c r="G832" s="191">
        <f>SUMIFS($G$4:$G$784,$B$4:$B$784,"LAPPTAFEL - 1",$D$4:$D$784,"RD230Z",$F$4:$F$784,"66.5""")</f>
        <v>173</v>
      </c>
      <c r="H832" s="191"/>
      <c r="I832" s="482"/>
      <c r="J832" s="479"/>
      <c r="K832" s="191">
        <f>SUMIFS($K$4:$K$784,$B$4:$B$784,"LAPPTAFEL - 1",$D$4:$D$784,"RD230Z",$F$4:$F$784,"66.5""")</f>
        <v>3000</v>
      </c>
      <c r="L832" s="191">
        <f>SUMIFS($L$4:$L$784,$B$4:$B$784,"LAPPTAFEL - 1",$D$4:$D$784,"RD230Z",$F$4:$F$784,"66.5""")</f>
        <v>1</v>
      </c>
      <c r="M832" s="191"/>
      <c r="N832" s="191"/>
      <c r="O832" s="191">
        <f>SUMIFS($O$4:$O$784,$B$4:$B$784,"LAPPTAFEL - 1",$D$4:$D$784,"RD230Z",$F$4:$F$784,"66.5""")</f>
        <v>800</v>
      </c>
      <c r="P832" s="191">
        <f>SUMIFS($P$4:$P$784,$B$4:$B$784,"LAPPTAFEL - 1",$D$4:$D$784,"RD230Z",$F$4:$F$784,"66.5""")</f>
        <v>800</v>
      </c>
      <c r="Q832" s="183"/>
      <c r="R832" s="454"/>
      <c r="S832" s="454"/>
      <c r="T832" s="191">
        <f>SUMIFS($T$4:$T$784,$B$4:$B$784,"LAPPTAFEL - 1",$D$4:$D$784,"RD230Z",$F$4:$F$784,"66.5""")</f>
        <v>800</v>
      </c>
      <c r="U832" s="191"/>
      <c r="V832" s="191"/>
      <c r="W832" s="122"/>
      <c r="Y832" s="219"/>
    </row>
    <row r="833" spans="1:25" s="4" customFormat="1" ht="17.25" customHeight="1">
      <c r="A833" s="451"/>
      <c r="B833" s="122" t="s">
        <v>437</v>
      </c>
      <c r="C833" s="157" t="s">
        <v>438</v>
      </c>
      <c r="D833" s="48" t="s">
        <v>432</v>
      </c>
      <c r="E833" s="430"/>
      <c r="F833" s="59" t="s">
        <v>57</v>
      </c>
      <c r="G833" s="191">
        <f>SUMIFS($G$4:$G$784,$B$4:$B$784,"LAPPTAFEL - 2",$D$4:$D$784,"RD230Z",$F$4:$F$784,"66.5""")</f>
        <v>173</v>
      </c>
      <c r="H833" s="191"/>
      <c r="I833" s="482"/>
      <c r="J833" s="479"/>
      <c r="K833" s="191">
        <f>SUMIFS($K$4:$K$784,$B$4:$B$784,"LAPPTAFEL - 2",$D$4:$D$784,"RD230Z",$F$4:$F$784,"66.5""")</f>
        <v>3000</v>
      </c>
      <c r="L833" s="191">
        <f>SUMIFS($L$4:$L$784,$B$4:$B$784,"LAPPTAFEL - 2",$D$4:$D$784,"RD230Z",$F$4:$F$784,"66.5""")</f>
        <v>1</v>
      </c>
      <c r="M833" s="191"/>
      <c r="N833" s="191"/>
      <c r="O833" s="191">
        <f>SUMIFS($O$4:$O$784,$B$4:$B$784,"LAPPTAFEL - 2",$D$4:$D$784,"RD230Z",$F$4:$F$784,"66.5""")</f>
        <v>800</v>
      </c>
      <c r="P833" s="191">
        <f>SUMIFS($P$4:$P$784,$B$4:$B$784,"LAPPTAFEL - 2",$D$4:$D$784,"RD230Z",$F$4:$F$784,"66.5""")</f>
        <v>800</v>
      </c>
      <c r="Q833" s="183"/>
      <c r="R833" s="454"/>
      <c r="S833" s="454"/>
      <c r="T833" s="191">
        <f>SUMIFS($T$4:$T$784,$B$4:$B$784,"LAPPTAFEL - 2",$D$4:$D$784,"RD230Z",$F$4:$F$784,"66.5""")</f>
        <v>800</v>
      </c>
      <c r="U833" s="191"/>
      <c r="V833" s="191"/>
      <c r="W833" s="122"/>
      <c r="Y833" s="219"/>
    </row>
    <row r="834" spans="1:25" ht="17.25" customHeight="1">
      <c r="A834" s="451"/>
      <c r="B834" s="122" t="s">
        <v>103</v>
      </c>
      <c r="C834" s="157" t="s">
        <v>197</v>
      </c>
      <c r="D834" s="48" t="s">
        <v>104</v>
      </c>
      <c r="E834" s="430"/>
      <c r="F834" s="59" t="s">
        <v>105</v>
      </c>
      <c r="G834" s="116"/>
      <c r="H834" s="49"/>
      <c r="I834" s="482"/>
      <c r="J834" s="479"/>
      <c r="K834" s="12"/>
      <c r="L834" s="12"/>
      <c r="M834" s="116"/>
      <c r="N834" s="116"/>
      <c r="O834" s="183"/>
      <c r="P834" s="183"/>
      <c r="Q834" s="12"/>
      <c r="R834" s="454"/>
      <c r="S834" s="454"/>
      <c r="T834" s="12"/>
      <c r="U834" s="116"/>
      <c r="V834" s="191"/>
      <c r="W834" s="119"/>
    </row>
    <row r="835" spans="1:25" ht="17.25" customHeight="1">
      <c r="A835" s="451"/>
      <c r="B835" s="137" t="s">
        <v>112</v>
      </c>
      <c r="C835" s="157" t="s">
        <v>197</v>
      </c>
      <c r="D835" s="48" t="s">
        <v>104</v>
      </c>
      <c r="E835" s="430"/>
      <c r="F835" s="59" t="s">
        <v>113</v>
      </c>
      <c r="G835" s="116"/>
      <c r="H835" s="184"/>
      <c r="I835" s="482"/>
      <c r="J835" s="479"/>
      <c r="K835" s="12"/>
      <c r="L835" s="12"/>
      <c r="M835" s="116"/>
      <c r="N835" s="116"/>
      <c r="O835" s="183"/>
      <c r="P835" s="183"/>
      <c r="Q835" s="12"/>
      <c r="R835" s="454"/>
      <c r="S835" s="454"/>
      <c r="T835" s="12"/>
      <c r="U835" s="116"/>
      <c r="V835" s="191"/>
      <c r="W835" s="131"/>
    </row>
    <row r="836" spans="1:25" s="4" customFormat="1" ht="17.25" customHeight="1">
      <c r="A836" s="451"/>
      <c r="B836" s="442" t="s">
        <v>106</v>
      </c>
      <c r="C836" s="444" t="s">
        <v>141</v>
      </c>
      <c r="D836" s="48" t="s">
        <v>68</v>
      </c>
      <c r="E836" s="430"/>
      <c r="F836" s="59" t="s">
        <v>67</v>
      </c>
      <c r="G836" s="47"/>
      <c r="H836" s="193"/>
      <c r="I836" s="482"/>
      <c r="J836" s="479"/>
      <c r="K836" s="183"/>
      <c r="L836" s="183"/>
      <c r="M836" s="191"/>
      <c r="N836" s="191"/>
      <c r="O836" s="183"/>
      <c r="P836" s="183"/>
      <c r="Q836" s="183"/>
      <c r="R836" s="454"/>
      <c r="S836" s="454"/>
      <c r="T836" s="183"/>
      <c r="U836" s="191"/>
      <c r="V836" s="191"/>
      <c r="W836" s="137"/>
    </row>
    <row r="837" spans="1:25" ht="17.25" customHeight="1">
      <c r="A837" s="451"/>
      <c r="B837" s="443"/>
      <c r="C837" s="446"/>
      <c r="D837" s="59" t="s">
        <v>109</v>
      </c>
      <c r="E837" s="430"/>
      <c r="F837" s="59"/>
      <c r="G837" s="116"/>
      <c r="H837" s="183"/>
      <c r="I837" s="482"/>
      <c r="J837" s="479"/>
      <c r="K837" s="116"/>
      <c r="L837" s="116"/>
      <c r="M837" s="116"/>
      <c r="N837" s="116"/>
      <c r="O837" s="12"/>
      <c r="P837" s="12"/>
      <c r="Q837" s="12"/>
      <c r="R837" s="454"/>
      <c r="S837" s="454"/>
      <c r="T837" s="116"/>
      <c r="U837" s="116"/>
      <c r="V837" s="116"/>
      <c r="W837" s="131"/>
    </row>
    <row r="838" spans="1:25" ht="26.25" customHeight="1" thickBot="1">
      <c r="A838" s="451"/>
      <c r="B838" s="44" t="s">
        <v>107</v>
      </c>
      <c r="C838" s="181" t="s">
        <v>386</v>
      </c>
      <c r="D838" s="61" t="s">
        <v>108</v>
      </c>
      <c r="E838" s="430"/>
      <c r="F838" s="48" t="s">
        <v>48</v>
      </c>
      <c r="G838" s="196"/>
      <c r="H838" s="300">
        <f>SUMIFS($H$4:$H$784,$D$4:$D$784,"M5102014",$F$4:$F$784,"61""")</f>
        <v>1029</v>
      </c>
      <c r="I838" s="483"/>
      <c r="J838" s="480"/>
      <c r="K838" s="300"/>
      <c r="L838" s="300"/>
      <c r="M838" s="12">
        <v>13000</v>
      </c>
      <c r="N838" s="12">
        <v>2</v>
      </c>
      <c r="O838" s="183">
        <f>SUMIFS($O$4:$O$784,$D$4:$D$784,"M5102014",$F$4:$F$784,"61""")</f>
        <v>9359</v>
      </c>
      <c r="P838" s="183">
        <f>SUMIFS($P$4:$P$784,$D$4:$D$784,"M5102014",$F$4:$F$784,"61""")</f>
        <v>9395</v>
      </c>
      <c r="Q838" s="117"/>
      <c r="R838" s="454"/>
      <c r="S838" s="454"/>
      <c r="T838" s="183"/>
      <c r="U838" s="12"/>
      <c r="V838" s="12">
        <f>V784</f>
        <v>11956</v>
      </c>
      <c r="W838" s="119"/>
    </row>
    <row r="839" spans="1:25" s="247" customFormat="1" ht="17.25" customHeight="1" thickBot="1">
      <c r="A839" s="242" t="s">
        <v>5</v>
      </c>
      <c r="B839" s="243"/>
      <c r="C839" s="244"/>
      <c r="D839" s="243"/>
      <c r="E839" s="243"/>
      <c r="F839" s="243"/>
      <c r="G839" s="245">
        <f t="shared" ref="G839:P839" si="41">SUM(G785:G838)</f>
        <v>165554.1</v>
      </c>
      <c r="H839" s="245">
        <f t="shared" si="41"/>
        <v>141095.75999999998</v>
      </c>
      <c r="I839" s="246">
        <f t="shared" si="41"/>
        <v>651</v>
      </c>
      <c r="J839" s="308">
        <f t="shared" si="41"/>
        <v>22.3</v>
      </c>
      <c r="K839" s="246">
        <f t="shared" si="41"/>
        <v>2112690</v>
      </c>
      <c r="L839" s="246">
        <f t="shared" si="41"/>
        <v>296</v>
      </c>
      <c r="M839" s="310">
        <f t="shared" si="41"/>
        <v>676123</v>
      </c>
      <c r="N839" s="246">
        <f t="shared" si="41"/>
        <v>104</v>
      </c>
      <c r="O839" s="246">
        <f t="shared" si="41"/>
        <v>2005778</v>
      </c>
      <c r="P839" s="310">
        <f t="shared" si="41"/>
        <v>2027736</v>
      </c>
      <c r="Q839" s="310"/>
      <c r="R839" s="310">
        <f>SUM(R785:R838)</f>
        <v>2005778</v>
      </c>
      <c r="S839" s="310">
        <f>SUM(S785:S838)</f>
        <v>2027736</v>
      </c>
      <c r="T839" s="246">
        <f>SUM(T785:T838)</f>
        <v>1918547</v>
      </c>
      <c r="U839" s="246">
        <f>SUM(U785:U838)</f>
        <v>1029</v>
      </c>
      <c r="V839" s="246">
        <f>SUM(V785:V838)</f>
        <v>642781</v>
      </c>
      <c r="W839" s="243"/>
      <c r="Y839" s="248"/>
    </row>
    <row r="840" spans="1:25">
      <c r="G840" s="103"/>
      <c r="P840" s="29"/>
      <c r="Q840" s="13"/>
    </row>
    <row r="841" spans="1:25">
      <c r="G841" s="195"/>
      <c r="K841" s="13"/>
      <c r="L841" s="13"/>
      <c r="M841" s="13"/>
      <c r="N841" s="13"/>
      <c r="Q841" s="13"/>
    </row>
    <row r="842" spans="1:25">
      <c r="G842" s="197"/>
      <c r="H842" s="103"/>
      <c r="K842" s="13"/>
      <c r="L842" s="13"/>
      <c r="M842" s="13"/>
      <c r="N842" s="13"/>
      <c r="Q842" s="13"/>
      <c r="W842" s="13"/>
    </row>
    <row r="843" spans="1:25" ht="15.75">
      <c r="B843" s="241"/>
      <c r="G843" s="103"/>
      <c r="H843" s="103"/>
      <c r="K843" s="13"/>
      <c r="L843" s="13"/>
      <c r="M843" s="13"/>
      <c r="N843" s="13"/>
      <c r="Q843" s="13"/>
    </row>
    <row r="844" spans="1:25">
      <c r="K844" s="13"/>
      <c r="L844" s="13"/>
      <c r="M844" s="13"/>
      <c r="N844" s="13"/>
      <c r="Q844" s="13"/>
      <c r="W844" s="13"/>
    </row>
    <row r="845" spans="1:25">
      <c r="K845" s="13"/>
      <c r="L845" s="13"/>
      <c r="M845" s="13"/>
      <c r="N845" s="13"/>
      <c r="Q845" s="13"/>
    </row>
    <row r="846" spans="1:25">
      <c r="H846" s="103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</row>
    <row r="848" spans="1:25">
      <c r="X848" s="4"/>
    </row>
    <row r="853" spans="1:24" s="4" customFormat="1">
      <c r="A853" s="15"/>
      <c r="B853" s="1"/>
      <c r="C853" s="7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3"/>
      <c r="P853" s="13"/>
      <c r="Q853" s="1"/>
      <c r="R853" s="13"/>
      <c r="S853" s="13"/>
      <c r="T853" s="13"/>
      <c r="U853" s="13"/>
      <c r="V853" s="13"/>
      <c r="W853" s="1"/>
      <c r="X853" s="1"/>
    </row>
    <row r="857" spans="1:24">
      <c r="H857" s="103"/>
    </row>
  </sheetData>
  <mergeCells count="463">
    <mergeCell ref="C491:C492"/>
    <mergeCell ref="B491:B492"/>
    <mergeCell ref="C558:C559"/>
    <mergeCell ref="B558:B559"/>
    <mergeCell ref="C591:C592"/>
    <mergeCell ref="B591:B592"/>
    <mergeCell ref="C620:C622"/>
    <mergeCell ref="B620:B622"/>
    <mergeCell ref="A721:A752"/>
    <mergeCell ref="B721:B722"/>
    <mergeCell ref="C721:C722"/>
    <mergeCell ref="A690:A720"/>
    <mergeCell ref="B690:B691"/>
    <mergeCell ref="C690:C691"/>
    <mergeCell ref="A563:A595"/>
    <mergeCell ref="B563:B564"/>
    <mergeCell ref="C563:C564"/>
    <mergeCell ref="C497:C498"/>
    <mergeCell ref="A531:A562"/>
    <mergeCell ref="B531:B532"/>
    <mergeCell ref="C531:C532"/>
    <mergeCell ref="A628:A658"/>
    <mergeCell ref="B628:B629"/>
    <mergeCell ref="C628:C629"/>
    <mergeCell ref="R721:R752"/>
    <mergeCell ref="S721:S752"/>
    <mergeCell ref="B723:B727"/>
    <mergeCell ref="C723:C725"/>
    <mergeCell ref="C726:C727"/>
    <mergeCell ref="E726:E727"/>
    <mergeCell ref="B728:B730"/>
    <mergeCell ref="C728:C730"/>
    <mergeCell ref="E728:E729"/>
    <mergeCell ref="E731:E752"/>
    <mergeCell ref="B746:B747"/>
    <mergeCell ref="C746:C747"/>
    <mergeCell ref="C736:C737"/>
    <mergeCell ref="B736:B737"/>
    <mergeCell ref="R690:R720"/>
    <mergeCell ref="S690:S720"/>
    <mergeCell ref="B692:B696"/>
    <mergeCell ref="C692:C694"/>
    <mergeCell ref="C695:C696"/>
    <mergeCell ref="E695:E696"/>
    <mergeCell ref="B697:B699"/>
    <mergeCell ref="C697:C699"/>
    <mergeCell ref="E697:E698"/>
    <mergeCell ref="E700:E720"/>
    <mergeCell ref="B714:B715"/>
    <mergeCell ref="C714:C715"/>
    <mergeCell ref="S785:S838"/>
    <mergeCell ref="B787:B798"/>
    <mergeCell ref="C787:C796"/>
    <mergeCell ref="E787:E789"/>
    <mergeCell ref="E790:E791"/>
    <mergeCell ref="C611:C612"/>
    <mergeCell ref="B611:B612"/>
    <mergeCell ref="A596:A627"/>
    <mergeCell ref="B596:B597"/>
    <mergeCell ref="C596:C597"/>
    <mergeCell ref="R596:R627"/>
    <mergeCell ref="S596:S627"/>
    <mergeCell ref="B598:B602"/>
    <mergeCell ref="C598:C600"/>
    <mergeCell ref="C601:C602"/>
    <mergeCell ref="E601:E602"/>
    <mergeCell ref="B603:B605"/>
    <mergeCell ref="C603:C605"/>
    <mergeCell ref="E603:E604"/>
    <mergeCell ref="E606:E627"/>
    <mergeCell ref="E796:E797"/>
    <mergeCell ref="C797:C798"/>
    <mergeCell ref="B799:B803"/>
    <mergeCell ref="B785:B786"/>
    <mergeCell ref="R563:R595"/>
    <mergeCell ref="S563:S595"/>
    <mergeCell ref="B565:B570"/>
    <mergeCell ref="C565:C568"/>
    <mergeCell ref="E567:E568"/>
    <mergeCell ref="C569:C570"/>
    <mergeCell ref="E569:E570"/>
    <mergeCell ref="B571:B573"/>
    <mergeCell ref="C571:C573"/>
    <mergeCell ref="E571:E572"/>
    <mergeCell ref="E574:E595"/>
    <mergeCell ref="B588:B589"/>
    <mergeCell ref="C588:C589"/>
    <mergeCell ref="A433:A463"/>
    <mergeCell ref="B433:B434"/>
    <mergeCell ref="C433:C434"/>
    <mergeCell ref="R433:R463"/>
    <mergeCell ref="S433:S463"/>
    <mergeCell ref="B435:B441"/>
    <mergeCell ref="C435:C439"/>
    <mergeCell ref="E437:E439"/>
    <mergeCell ref="C440:C441"/>
    <mergeCell ref="E440:E441"/>
    <mergeCell ref="B442:B444"/>
    <mergeCell ref="C442:C444"/>
    <mergeCell ref="E442:E443"/>
    <mergeCell ref="E445:E463"/>
    <mergeCell ref="B457:B458"/>
    <mergeCell ref="C457:C458"/>
    <mergeCell ref="A370:A401"/>
    <mergeCell ref="B370:B371"/>
    <mergeCell ref="C370:C371"/>
    <mergeCell ref="R370:R401"/>
    <mergeCell ref="S370:S401"/>
    <mergeCell ref="B372:B376"/>
    <mergeCell ref="C372:C374"/>
    <mergeCell ref="C375:C376"/>
    <mergeCell ref="E375:E376"/>
    <mergeCell ref="B377:B379"/>
    <mergeCell ref="C377:C379"/>
    <mergeCell ref="E377:E378"/>
    <mergeCell ref="E380:E401"/>
    <mergeCell ref="C395:C396"/>
    <mergeCell ref="B395:B396"/>
    <mergeCell ref="C397:C398"/>
    <mergeCell ref="B397:B398"/>
    <mergeCell ref="C392:C394"/>
    <mergeCell ref="B392:B394"/>
    <mergeCell ref="A342:A369"/>
    <mergeCell ref="B342:B343"/>
    <mergeCell ref="C342:C343"/>
    <mergeCell ref="R342:R369"/>
    <mergeCell ref="S342:S369"/>
    <mergeCell ref="B344:B348"/>
    <mergeCell ref="C344:C346"/>
    <mergeCell ref="C347:C348"/>
    <mergeCell ref="E347:E348"/>
    <mergeCell ref="B349:B351"/>
    <mergeCell ref="C349:C351"/>
    <mergeCell ref="E349:E350"/>
    <mergeCell ref="E352:E369"/>
    <mergeCell ref="C364:C366"/>
    <mergeCell ref="B364:B366"/>
    <mergeCell ref="A316:A341"/>
    <mergeCell ref="B316:B317"/>
    <mergeCell ref="C316:C317"/>
    <mergeCell ref="R316:R341"/>
    <mergeCell ref="S316:S341"/>
    <mergeCell ref="B318:B322"/>
    <mergeCell ref="C318:C320"/>
    <mergeCell ref="C321:C322"/>
    <mergeCell ref="E321:E322"/>
    <mergeCell ref="B323:B325"/>
    <mergeCell ref="C323:C325"/>
    <mergeCell ref="E323:E324"/>
    <mergeCell ref="E326:E341"/>
    <mergeCell ref="R146:R175"/>
    <mergeCell ref="S146:S175"/>
    <mergeCell ref="B148:B154"/>
    <mergeCell ref="C148:C152"/>
    <mergeCell ref="E148:E150"/>
    <mergeCell ref="C153:C154"/>
    <mergeCell ref="E153:E154"/>
    <mergeCell ref="B155:B157"/>
    <mergeCell ref="C155:C157"/>
    <mergeCell ref="E155:E156"/>
    <mergeCell ref="E158:E175"/>
    <mergeCell ref="C158:C159"/>
    <mergeCell ref="B158:B159"/>
    <mergeCell ref="R90:R116"/>
    <mergeCell ref="S90:S116"/>
    <mergeCell ref="B92:B97"/>
    <mergeCell ref="C92:C95"/>
    <mergeCell ref="E92:E93"/>
    <mergeCell ref="C96:C97"/>
    <mergeCell ref="E96:E97"/>
    <mergeCell ref="B98:B100"/>
    <mergeCell ref="C98:C100"/>
    <mergeCell ref="E98:E99"/>
    <mergeCell ref="E101:E116"/>
    <mergeCell ref="R33:R60"/>
    <mergeCell ref="S33:S60"/>
    <mergeCell ref="B35:B41"/>
    <mergeCell ref="C35:C39"/>
    <mergeCell ref="E35:E37"/>
    <mergeCell ref="C40:C41"/>
    <mergeCell ref="E40:E41"/>
    <mergeCell ref="B42:B44"/>
    <mergeCell ref="C42:C44"/>
    <mergeCell ref="E42:E43"/>
    <mergeCell ref="E45:E60"/>
    <mergeCell ref="R4:R32"/>
    <mergeCell ref="S4:S32"/>
    <mergeCell ref="B6:B12"/>
    <mergeCell ref="E6:E7"/>
    <mergeCell ref="C11:C12"/>
    <mergeCell ref="E11:E12"/>
    <mergeCell ref="B13:B15"/>
    <mergeCell ref="C13:C15"/>
    <mergeCell ref="E13:E14"/>
    <mergeCell ref="E16:E32"/>
    <mergeCell ref="C6:C10"/>
    <mergeCell ref="E9:E10"/>
    <mergeCell ref="A4:A32"/>
    <mergeCell ref="B4:B5"/>
    <mergeCell ref="C4:C5"/>
    <mergeCell ref="B804:B805"/>
    <mergeCell ref="C804:C805"/>
    <mergeCell ref="A785:A838"/>
    <mergeCell ref="A753:A784"/>
    <mergeCell ref="C16:C17"/>
    <mergeCell ref="B16:B17"/>
    <mergeCell ref="A33:A60"/>
    <mergeCell ref="B33:B34"/>
    <mergeCell ref="C33:C34"/>
    <mergeCell ref="A61:A89"/>
    <mergeCell ref="B61:B62"/>
    <mergeCell ref="C61:C62"/>
    <mergeCell ref="C70:C73"/>
    <mergeCell ref="B70:B73"/>
    <mergeCell ref="A90:A116"/>
    <mergeCell ref="B90:B91"/>
    <mergeCell ref="C90:C91"/>
    <mergeCell ref="A117:A145"/>
    <mergeCell ref="A146:A175"/>
    <mergeCell ref="B146:B147"/>
    <mergeCell ref="C146:C147"/>
    <mergeCell ref="C785:C786"/>
    <mergeCell ref="I785:I838"/>
    <mergeCell ref="J785:J838"/>
    <mergeCell ref="R785:R838"/>
    <mergeCell ref="C799:C803"/>
    <mergeCell ref="E799:E800"/>
    <mergeCell ref="E804:E838"/>
    <mergeCell ref="B806:B807"/>
    <mergeCell ref="C806:C807"/>
    <mergeCell ref="B808:B809"/>
    <mergeCell ref="C808:C809"/>
    <mergeCell ref="B813:B815"/>
    <mergeCell ref="C813:C815"/>
    <mergeCell ref="B820:B823"/>
    <mergeCell ref="C820:C823"/>
    <mergeCell ref="E792:E795"/>
    <mergeCell ref="B836:B837"/>
    <mergeCell ref="C836:C837"/>
    <mergeCell ref="B816:B817"/>
    <mergeCell ref="C816:C817"/>
    <mergeCell ref="C760:C762"/>
    <mergeCell ref="E760:E761"/>
    <mergeCell ref="B753:B754"/>
    <mergeCell ref="C753:C754"/>
    <mergeCell ref="E763:E784"/>
    <mergeCell ref="C778:C779"/>
    <mergeCell ref="B778:B779"/>
    <mergeCell ref="C755:C757"/>
    <mergeCell ref="T2:T3"/>
    <mergeCell ref="L2:L3"/>
    <mergeCell ref="J2:J3"/>
    <mergeCell ref="K2:K3"/>
    <mergeCell ref="R61:R89"/>
    <mergeCell ref="S61:S89"/>
    <mergeCell ref="B63:B69"/>
    <mergeCell ref="C63:C67"/>
    <mergeCell ref="E63:E64"/>
    <mergeCell ref="C68:C69"/>
    <mergeCell ref="E68:E69"/>
    <mergeCell ref="E70:E71"/>
    <mergeCell ref="E74:E89"/>
    <mergeCell ref="E65:E66"/>
    <mergeCell ref="B117:B118"/>
    <mergeCell ref="C117:C118"/>
    <mergeCell ref="U2:U3"/>
    <mergeCell ref="V2:V3"/>
    <mergeCell ref="W2:W3"/>
    <mergeCell ref="M2:M3"/>
    <mergeCell ref="N2:N3"/>
    <mergeCell ref="O2:O3"/>
    <mergeCell ref="P2:P3"/>
    <mergeCell ref="Q2:Q3"/>
    <mergeCell ref="R2:S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R117:R145"/>
    <mergeCell ref="S117:S145"/>
    <mergeCell ref="B119:B125"/>
    <mergeCell ref="C119:C123"/>
    <mergeCell ref="E119:E121"/>
    <mergeCell ref="C124:C125"/>
    <mergeCell ref="E124:E125"/>
    <mergeCell ref="B126:B128"/>
    <mergeCell ref="C126:C128"/>
    <mergeCell ref="E126:E127"/>
    <mergeCell ref="E129:E145"/>
    <mergeCell ref="C134:C135"/>
    <mergeCell ref="B134:B135"/>
    <mergeCell ref="I117:I145"/>
    <mergeCell ref="J117:J145"/>
    <mergeCell ref="A176:A204"/>
    <mergeCell ref="B176:B177"/>
    <mergeCell ref="C176:C177"/>
    <mergeCell ref="R176:R204"/>
    <mergeCell ref="S176:S204"/>
    <mergeCell ref="B178:B183"/>
    <mergeCell ref="C178:C181"/>
    <mergeCell ref="E178:E179"/>
    <mergeCell ref="C182:C183"/>
    <mergeCell ref="E182:E183"/>
    <mergeCell ref="B184:B186"/>
    <mergeCell ref="C184:C186"/>
    <mergeCell ref="E184:E185"/>
    <mergeCell ref="E187:E204"/>
    <mergeCell ref="C199:C200"/>
    <mergeCell ref="B199:B200"/>
    <mergeCell ref="A205:A233"/>
    <mergeCell ref="B205:B206"/>
    <mergeCell ref="C205:C206"/>
    <mergeCell ref="R205:R233"/>
    <mergeCell ref="S205:S233"/>
    <mergeCell ref="B207:B213"/>
    <mergeCell ref="C207:C211"/>
    <mergeCell ref="E207:E209"/>
    <mergeCell ref="C212:C213"/>
    <mergeCell ref="E212:E213"/>
    <mergeCell ref="B214:B216"/>
    <mergeCell ref="C214:C216"/>
    <mergeCell ref="E214:E215"/>
    <mergeCell ref="E217:E233"/>
    <mergeCell ref="A234:A261"/>
    <mergeCell ref="B234:B235"/>
    <mergeCell ref="C234:C235"/>
    <mergeCell ref="R234:R261"/>
    <mergeCell ref="S234:S261"/>
    <mergeCell ref="B236:B241"/>
    <mergeCell ref="C236:C239"/>
    <mergeCell ref="E236:E237"/>
    <mergeCell ref="C240:C241"/>
    <mergeCell ref="E240:E241"/>
    <mergeCell ref="B242:B244"/>
    <mergeCell ref="C242:C244"/>
    <mergeCell ref="E242:E243"/>
    <mergeCell ref="E245:E261"/>
    <mergeCell ref="A262:A288"/>
    <mergeCell ref="B262:B263"/>
    <mergeCell ref="C262:C263"/>
    <mergeCell ref="R262:R288"/>
    <mergeCell ref="S262:S288"/>
    <mergeCell ref="B264:B268"/>
    <mergeCell ref="C264:C266"/>
    <mergeCell ref="C267:C268"/>
    <mergeCell ref="E267:E268"/>
    <mergeCell ref="B269:B271"/>
    <mergeCell ref="C269:C271"/>
    <mergeCell ref="E269:E270"/>
    <mergeCell ref="E272:E288"/>
    <mergeCell ref="A289:A315"/>
    <mergeCell ref="B289:B290"/>
    <mergeCell ref="C289:C290"/>
    <mergeCell ref="R289:R315"/>
    <mergeCell ref="S289:S315"/>
    <mergeCell ref="B291:B295"/>
    <mergeCell ref="C291:C293"/>
    <mergeCell ref="C294:C295"/>
    <mergeCell ref="E294:E295"/>
    <mergeCell ref="B296:B298"/>
    <mergeCell ref="C296:C298"/>
    <mergeCell ref="E296:E297"/>
    <mergeCell ref="E299:E315"/>
    <mergeCell ref="A402:A432"/>
    <mergeCell ref="B402:B403"/>
    <mergeCell ref="C402:C403"/>
    <mergeCell ref="R402:R432"/>
    <mergeCell ref="S402:S432"/>
    <mergeCell ref="B404:B410"/>
    <mergeCell ref="C404:C408"/>
    <mergeCell ref="E406:E408"/>
    <mergeCell ref="C409:C410"/>
    <mergeCell ref="E409:E410"/>
    <mergeCell ref="B411:B413"/>
    <mergeCell ref="C411:C413"/>
    <mergeCell ref="E411:E412"/>
    <mergeCell ref="E414:E432"/>
    <mergeCell ref="B426:B427"/>
    <mergeCell ref="C426:C427"/>
    <mergeCell ref="R753:R784"/>
    <mergeCell ref="S753:S784"/>
    <mergeCell ref="B755:B759"/>
    <mergeCell ref="C758:C759"/>
    <mergeCell ref="E758:E759"/>
    <mergeCell ref="B760:B762"/>
    <mergeCell ref="A464:A496"/>
    <mergeCell ref="B464:B465"/>
    <mergeCell ref="C464:C465"/>
    <mergeCell ref="R464:R496"/>
    <mergeCell ref="S464:S496"/>
    <mergeCell ref="B466:B472"/>
    <mergeCell ref="C466:C470"/>
    <mergeCell ref="E468:E470"/>
    <mergeCell ref="C471:C472"/>
    <mergeCell ref="E471:E472"/>
    <mergeCell ref="B473:B475"/>
    <mergeCell ref="C473:C475"/>
    <mergeCell ref="E473:E474"/>
    <mergeCell ref="E476:E496"/>
    <mergeCell ref="B489:B490"/>
    <mergeCell ref="C489:C490"/>
    <mergeCell ref="A497:A530"/>
    <mergeCell ref="B497:B498"/>
    <mergeCell ref="R497:R530"/>
    <mergeCell ref="S497:S530"/>
    <mergeCell ref="B499:B505"/>
    <mergeCell ref="C499:C503"/>
    <mergeCell ref="E501:E503"/>
    <mergeCell ref="C504:C505"/>
    <mergeCell ref="E504:E505"/>
    <mergeCell ref="B506:B508"/>
    <mergeCell ref="C506:C508"/>
    <mergeCell ref="E506:E507"/>
    <mergeCell ref="E509:E530"/>
    <mergeCell ref="B522:B523"/>
    <mergeCell ref="C522:C523"/>
    <mergeCell ref="R531:R562"/>
    <mergeCell ref="S531:S562"/>
    <mergeCell ref="B533:B538"/>
    <mergeCell ref="C533:C536"/>
    <mergeCell ref="E535:E536"/>
    <mergeCell ref="C537:C538"/>
    <mergeCell ref="E537:E538"/>
    <mergeCell ref="B539:B541"/>
    <mergeCell ref="C539:C541"/>
    <mergeCell ref="E539:E540"/>
    <mergeCell ref="E542:E562"/>
    <mergeCell ref="B555:B556"/>
    <mergeCell ref="C555:C556"/>
    <mergeCell ref="R628:R658"/>
    <mergeCell ref="S628:S658"/>
    <mergeCell ref="B630:B634"/>
    <mergeCell ref="C630:C632"/>
    <mergeCell ref="C633:C634"/>
    <mergeCell ref="E633:E634"/>
    <mergeCell ref="B635:B637"/>
    <mergeCell ref="C635:C637"/>
    <mergeCell ref="E635:E636"/>
    <mergeCell ref="E638:E658"/>
    <mergeCell ref="B651:B652"/>
    <mergeCell ref="C651:C652"/>
    <mergeCell ref="C654:C655"/>
    <mergeCell ref="B654:B655"/>
    <mergeCell ref="A659:A689"/>
    <mergeCell ref="B659:B660"/>
    <mergeCell ref="C659:C660"/>
    <mergeCell ref="R659:R689"/>
    <mergeCell ref="S659:S689"/>
    <mergeCell ref="B661:B665"/>
    <mergeCell ref="C661:C663"/>
    <mergeCell ref="C664:C665"/>
    <mergeCell ref="E664:E665"/>
    <mergeCell ref="B666:B668"/>
    <mergeCell ref="C666:C668"/>
    <mergeCell ref="E666:E667"/>
    <mergeCell ref="E669:E689"/>
    <mergeCell ref="B683:B684"/>
    <mergeCell ref="C683:C684"/>
  </mergeCells>
  <pageMargins left="0.16" right="0.16" top="0.16" bottom="1.29" header="0.16" footer="0.16"/>
  <pageSetup paperSize="9" scale="5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K337"/>
  <sheetViews>
    <sheetView zoomScale="80" zoomScaleNormal="80" workbookViewId="0">
      <pane xSplit="1" ySplit="4" topLeftCell="B160" activePane="bottomRight" state="frozen"/>
      <selection activeCell="K16" sqref="K16"/>
      <selection pane="topRight" activeCell="K16" sqref="K16"/>
      <selection pane="bottomLeft" activeCell="K16" sqref="K16"/>
      <selection pane="bottomRight" activeCell="D3" sqref="D3"/>
    </sheetView>
  </sheetViews>
  <sheetFormatPr defaultRowHeight="15"/>
  <cols>
    <col min="1" max="1" width="111" style="4" customWidth="1"/>
    <col min="2" max="2" width="10.7109375" style="4" customWidth="1"/>
    <col min="3" max="3" width="9.140625" style="4" customWidth="1"/>
    <col min="4" max="4" width="9.7109375" style="4" customWidth="1"/>
    <col min="5" max="6" width="22.42578125" style="139" customWidth="1"/>
    <col min="7" max="19" width="22.42578125" style="343" customWidth="1"/>
    <col min="20" max="20" width="19" style="343" customWidth="1"/>
    <col min="21" max="22" width="9.140625" style="4" customWidth="1"/>
    <col min="23" max="23" width="10.28515625" style="4" customWidth="1"/>
    <col min="24" max="25" width="9.140625" style="4" customWidth="1"/>
    <col min="26" max="26" width="10.28515625" style="4" customWidth="1"/>
    <col min="27" max="28" width="9.140625" style="4" customWidth="1"/>
    <col min="29" max="29" width="9.7109375" style="4" customWidth="1"/>
    <col min="30" max="30" width="9.140625" style="4" customWidth="1"/>
    <col min="31" max="31" width="10.5703125" style="4" customWidth="1"/>
    <col min="32" max="32" width="10.85546875" style="4" customWidth="1"/>
    <col min="33" max="34" width="9.140625" style="4" customWidth="1"/>
    <col min="35" max="35" width="9.85546875" style="4" customWidth="1"/>
    <col min="36" max="37" width="9.140625" style="4" customWidth="1"/>
    <col min="38" max="38" width="9.7109375" style="4" customWidth="1"/>
    <col min="39" max="40" width="9.140625" style="4" customWidth="1"/>
    <col min="41" max="41" width="9.7109375" style="4" customWidth="1"/>
    <col min="42" max="43" width="9.140625" style="4" customWidth="1"/>
    <col min="44" max="44" width="9.85546875" style="4" customWidth="1"/>
    <col min="45" max="46" width="9.140625" style="4" customWidth="1"/>
    <col min="47" max="47" width="9.5703125" style="4" customWidth="1"/>
    <col min="48" max="49" width="9.140625" style="4" customWidth="1"/>
    <col min="50" max="50" width="10.28515625" style="4" customWidth="1"/>
    <col min="51" max="51" width="9.7109375" style="4" customWidth="1"/>
    <col min="52" max="52" width="9.140625" style="4" customWidth="1"/>
    <col min="53" max="53" width="10.28515625" style="4" customWidth="1"/>
    <col min="54" max="55" width="9.140625" style="4" customWidth="1"/>
    <col min="56" max="56" width="10.42578125" style="4" customWidth="1"/>
    <col min="57" max="57" width="9.140625" style="4" customWidth="1"/>
    <col min="58" max="58" width="10.28515625" style="4" customWidth="1"/>
    <col min="59" max="59" width="10.42578125" style="4" customWidth="1"/>
    <col min="60" max="61" width="9.140625" style="4" customWidth="1"/>
    <col min="62" max="62" width="10" style="4" customWidth="1"/>
    <col min="63" max="64" width="9.140625" style="4" customWidth="1"/>
    <col min="65" max="65" width="9.85546875" style="4" customWidth="1"/>
    <col min="66" max="67" width="9.140625" style="4" customWidth="1"/>
    <col min="68" max="68" width="9.5703125" style="4" customWidth="1"/>
    <col min="69" max="70" width="9.140625" style="4" customWidth="1"/>
    <col min="71" max="71" width="10.28515625" style="4" customWidth="1"/>
    <col min="72" max="72" width="9.7109375" style="4" customWidth="1"/>
    <col min="73" max="73" width="9.140625" style="4" customWidth="1"/>
    <col min="74" max="74" width="10.42578125" style="4" customWidth="1"/>
    <col min="75" max="76" width="9.140625" style="4" customWidth="1"/>
    <col min="77" max="77" width="9.5703125" style="4" customWidth="1"/>
    <col min="78" max="79" width="9.140625" style="4" customWidth="1"/>
    <col min="80" max="80" width="10.28515625" style="4" customWidth="1"/>
    <col min="81" max="81" width="10.7109375" style="4" customWidth="1"/>
    <col min="82" max="82" width="9.140625" style="4" customWidth="1"/>
    <col min="83" max="83" width="10.42578125" style="4" customWidth="1"/>
    <col min="84" max="84" width="9.140625" style="4" customWidth="1"/>
    <col min="85" max="85" width="10.7109375" style="4" customWidth="1"/>
    <col min="86" max="86" width="9.85546875" style="4" customWidth="1"/>
    <col min="87" max="88" width="9.140625" style="4" customWidth="1"/>
    <col min="89" max="89" width="10.7109375" style="4" customWidth="1"/>
    <col min="90" max="91" width="9.140625" style="4" customWidth="1"/>
    <col min="92" max="92" width="10.7109375" style="4" customWidth="1"/>
    <col min="93" max="93" width="9.7109375" style="4" customWidth="1"/>
    <col min="94" max="94" width="9.140625" style="4" customWidth="1"/>
    <col min="95" max="95" width="9.85546875" style="4" customWidth="1"/>
    <col min="96" max="97" width="9.140625" style="4" customWidth="1"/>
    <col min="98" max="98" width="9.5703125" style="4" customWidth="1"/>
    <col min="99" max="100" width="9.140625" style="4" customWidth="1"/>
    <col min="101" max="101" width="9.7109375" style="4" customWidth="1"/>
    <col min="102" max="102" width="10.7109375" style="4" customWidth="1"/>
    <col min="103" max="103" width="9.140625" style="4" customWidth="1"/>
    <col min="104" max="104" width="9.7109375" style="4" customWidth="1"/>
    <col min="105" max="105" width="10.7109375" style="4" customWidth="1"/>
    <col min="106" max="106" width="9.140625" style="4" customWidth="1"/>
    <col min="107" max="107" width="9.7109375" style="4" customWidth="1"/>
    <col min="108" max="108" width="10.7109375" style="4" customWidth="1"/>
    <col min="109" max="109" width="9.140625" style="4" customWidth="1"/>
    <col min="110" max="110" width="9.7109375" style="4" customWidth="1"/>
    <col min="111" max="111" width="10.7109375" style="4" customWidth="1"/>
    <col min="112" max="112" width="9.140625" style="4" customWidth="1"/>
    <col min="113" max="113" width="9.7109375" style="4" customWidth="1"/>
    <col min="114" max="16384" width="9.140625" style="5"/>
  </cols>
  <sheetData>
    <row r="1" spans="1:113" ht="44.25" customHeight="1">
      <c r="A1" s="21" t="s">
        <v>524</v>
      </c>
      <c r="E1" s="138"/>
      <c r="F1" s="138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X1" s="21"/>
      <c r="AA1" s="21"/>
      <c r="AD1" s="21"/>
      <c r="AG1" s="21"/>
      <c r="AJ1" s="21"/>
      <c r="AN1" s="29"/>
      <c r="AP1" s="21"/>
      <c r="AS1" s="21"/>
      <c r="AV1" s="21"/>
      <c r="AY1" s="21"/>
      <c r="BB1" s="14"/>
      <c r="BE1" s="14"/>
      <c r="BH1" s="14"/>
      <c r="BK1" s="14"/>
      <c r="BN1" s="14"/>
      <c r="BQ1" s="14"/>
      <c r="BR1" s="14"/>
      <c r="BS1" s="14"/>
      <c r="BT1" s="14"/>
      <c r="BW1" s="14"/>
      <c r="BZ1" s="14"/>
      <c r="CI1" s="14"/>
      <c r="CO1" s="14"/>
      <c r="CU1" s="14"/>
    </row>
    <row r="2" spans="1:113">
      <c r="E2" s="4"/>
      <c r="F2" s="4"/>
      <c r="BH2" s="306"/>
      <c r="BN2" s="306"/>
      <c r="BQ2" s="306"/>
      <c r="BR2" s="306"/>
      <c r="BS2" s="306"/>
      <c r="BT2" s="306"/>
      <c r="BU2" s="306"/>
      <c r="BV2" s="306"/>
      <c r="BW2" s="306"/>
      <c r="BX2" s="306"/>
      <c r="BY2" s="306"/>
      <c r="BZ2" s="306"/>
      <c r="CA2" s="306"/>
      <c r="CB2" s="306"/>
      <c r="CC2" s="306"/>
      <c r="CD2" s="306"/>
      <c r="CF2" s="306"/>
      <c r="CG2" s="306"/>
      <c r="CH2" s="306"/>
    </row>
    <row r="3" spans="1:113" ht="20.25" customHeight="1">
      <c r="A3" s="6"/>
      <c r="B3" s="240">
        <v>46203</v>
      </c>
      <c r="C3" s="6" t="s">
        <v>26</v>
      </c>
      <c r="D3" s="6" t="s">
        <v>2</v>
      </c>
      <c r="E3" s="33" t="s">
        <v>36</v>
      </c>
      <c r="F3" s="33" t="s">
        <v>36</v>
      </c>
      <c r="G3" s="344" t="s">
        <v>36</v>
      </c>
      <c r="H3" s="344" t="s">
        <v>36</v>
      </c>
      <c r="I3" s="344" t="s">
        <v>36</v>
      </c>
      <c r="J3" s="344" t="s">
        <v>36</v>
      </c>
      <c r="K3" s="344" t="s">
        <v>36</v>
      </c>
      <c r="L3" s="344" t="s">
        <v>36</v>
      </c>
      <c r="M3" s="344" t="s">
        <v>36</v>
      </c>
      <c r="N3" s="344" t="s">
        <v>36</v>
      </c>
      <c r="O3" s="344" t="s">
        <v>36</v>
      </c>
      <c r="P3" s="344" t="s">
        <v>36</v>
      </c>
      <c r="Q3" s="344" t="s">
        <v>36</v>
      </c>
      <c r="R3" s="344" t="s">
        <v>36</v>
      </c>
      <c r="S3" s="344" t="s">
        <v>36</v>
      </c>
      <c r="T3" s="344" t="s">
        <v>36</v>
      </c>
      <c r="U3" s="6" t="s">
        <v>465</v>
      </c>
      <c r="V3" s="6" t="s">
        <v>4</v>
      </c>
      <c r="W3" s="6" t="s">
        <v>2</v>
      </c>
      <c r="X3" s="6" t="s">
        <v>466</v>
      </c>
      <c r="Y3" s="6" t="s">
        <v>4</v>
      </c>
      <c r="Z3" s="6" t="s">
        <v>0</v>
      </c>
      <c r="AA3" s="6" t="s">
        <v>467</v>
      </c>
      <c r="AB3" s="6" t="s">
        <v>4</v>
      </c>
      <c r="AC3" s="6" t="s">
        <v>2</v>
      </c>
      <c r="AD3" s="6" t="s">
        <v>468</v>
      </c>
      <c r="AE3" s="6" t="s">
        <v>26</v>
      </c>
      <c r="AF3" s="6" t="s">
        <v>0</v>
      </c>
      <c r="AG3" s="6" t="s">
        <v>469</v>
      </c>
      <c r="AH3" s="6" t="s">
        <v>4</v>
      </c>
      <c r="AI3" s="6" t="s">
        <v>0</v>
      </c>
      <c r="AJ3" s="6" t="s">
        <v>470</v>
      </c>
      <c r="AK3" s="6" t="s">
        <v>4</v>
      </c>
      <c r="AL3" s="6" t="s">
        <v>0</v>
      </c>
      <c r="AM3" s="6" t="s">
        <v>471</v>
      </c>
      <c r="AN3" s="6" t="s">
        <v>4</v>
      </c>
      <c r="AO3" s="6" t="s">
        <v>0</v>
      </c>
      <c r="AP3" s="6" t="s">
        <v>472</v>
      </c>
      <c r="AQ3" s="6" t="s">
        <v>4</v>
      </c>
      <c r="AR3" s="6" t="s">
        <v>0</v>
      </c>
      <c r="AS3" s="6" t="s">
        <v>473</v>
      </c>
      <c r="AT3" s="6" t="s">
        <v>4</v>
      </c>
      <c r="AU3" s="6" t="s">
        <v>0</v>
      </c>
      <c r="AV3" s="6" t="s">
        <v>474</v>
      </c>
      <c r="AW3" s="6" t="s">
        <v>4</v>
      </c>
      <c r="AX3" s="6" t="s">
        <v>0</v>
      </c>
      <c r="AY3" s="6" t="s">
        <v>475</v>
      </c>
      <c r="AZ3" s="6" t="s">
        <v>26</v>
      </c>
      <c r="BA3" s="6" t="s">
        <v>2</v>
      </c>
      <c r="BB3" s="6" t="s">
        <v>476</v>
      </c>
      <c r="BC3" s="6" t="s">
        <v>26</v>
      </c>
      <c r="BD3" s="6" t="s">
        <v>2</v>
      </c>
      <c r="BE3" s="6" t="s">
        <v>477</v>
      </c>
      <c r="BF3" s="6" t="s">
        <v>26</v>
      </c>
      <c r="BG3" s="6" t="s">
        <v>2</v>
      </c>
      <c r="BH3" s="6" t="s">
        <v>478</v>
      </c>
      <c r="BI3" s="6" t="s">
        <v>26</v>
      </c>
      <c r="BJ3" s="6" t="s">
        <v>2</v>
      </c>
      <c r="BK3" s="6" t="s">
        <v>479</v>
      </c>
      <c r="BL3" s="6" t="s">
        <v>26</v>
      </c>
      <c r="BM3" s="6" t="s">
        <v>2</v>
      </c>
      <c r="BN3" s="6" t="s">
        <v>480</v>
      </c>
      <c r="BO3" s="6" t="s">
        <v>26</v>
      </c>
      <c r="BP3" s="6" t="s">
        <v>0</v>
      </c>
      <c r="BQ3" s="6" t="s">
        <v>481</v>
      </c>
      <c r="BR3" s="6" t="s">
        <v>26</v>
      </c>
      <c r="BS3" s="6" t="s">
        <v>0</v>
      </c>
      <c r="BT3" s="6" t="s">
        <v>482</v>
      </c>
      <c r="BU3" s="6" t="s">
        <v>26</v>
      </c>
      <c r="BV3" s="6" t="s">
        <v>0</v>
      </c>
      <c r="BW3" s="6" t="s">
        <v>483</v>
      </c>
      <c r="BX3" s="6" t="s">
        <v>26</v>
      </c>
      <c r="BY3" s="6" t="s">
        <v>0</v>
      </c>
      <c r="BZ3" s="6" t="s">
        <v>484</v>
      </c>
      <c r="CA3" s="6" t="s">
        <v>26</v>
      </c>
      <c r="CB3" s="6" t="s">
        <v>0</v>
      </c>
      <c r="CC3" s="6" t="s">
        <v>485</v>
      </c>
      <c r="CD3" s="6" t="s">
        <v>26</v>
      </c>
      <c r="CE3" s="6" t="s">
        <v>0</v>
      </c>
      <c r="CF3" s="6" t="s">
        <v>486</v>
      </c>
      <c r="CG3" s="6" t="s">
        <v>26</v>
      </c>
      <c r="CH3" s="6" t="s">
        <v>0</v>
      </c>
      <c r="CI3" s="6" t="s">
        <v>487</v>
      </c>
      <c r="CJ3" s="6" t="s">
        <v>26</v>
      </c>
      <c r="CK3" s="6" t="s">
        <v>0</v>
      </c>
      <c r="CL3" s="6" t="s">
        <v>488</v>
      </c>
      <c r="CM3" s="6" t="s">
        <v>26</v>
      </c>
      <c r="CN3" s="6" t="s">
        <v>0</v>
      </c>
      <c r="CO3" s="6" t="s">
        <v>489</v>
      </c>
      <c r="CP3" s="6" t="s">
        <v>26</v>
      </c>
      <c r="CQ3" s="6" t="s">
        <v>0</v>
      </c>
      <c r="CR3" s="6" t="s">
        <v>490</v>
      </c>
      <c r="CS3" s="6" t="s">
        <v>26</v>
      </c>
      <c r="CT3" s="6" t="s">
        <v>0</v>
      </c>
      <c r="CU3" s="6" t="s">
        <v>491</v>
      </c>
      <c r="CV3" s="6" t="s">
        <v>4</v>
      </c>
      <c r="CW3" s="6" t="s">
        <v>0</v>
      </c>
      <c r="CX3" s="6" t="s">
        <v>492</v>
      </c>
      <c r="CY3" s="6" t="s">
        <v>26</v>
      </c>
      <c r="CZ3" s="6" t="s">
        <v>0</v>
      </c>
      <c r="DA3" s="6" t="s">
        <v>493</v>
      </c>
      <c r="DB3" s="6" t="s">
        <v>26</v>
      </c>
      <c r="DC3" s="6" t="s">
        <v>0</v>
      </c>
      <c r="DD3" s="6" t="s">
        <v>494</v>
      </c>
      <c r="DE3" s="6" t="s">
        <v>26</v>
      </c>
      <c r="DF3" s="6" t="s">
        <v>0</v>
      </c>
      <c r="DG3" s="6" t="s">
        <v>495</v>
      </c>
      <c r="DH3" s="6" t="s">
        <v>26</v>
      </c>
      <c r="DI3" s="6" t="s">
        <v>0</v>
      </c>
    </row>
    <row r="4" spans="1:113">
      <c r="A4" s="6" t="s">
        <v>35</v>
      </c>
      <c r="B4" s="6"/>
      <c r="C4" s="6"/>
      <c r="D4" s="6"/>
      <c r="E4" s="140">
        <v>46203</v>
      </c>
      <c r="F4" s="140">
        <v>46204</v>
      </c>
      <c r="G4" s="345">
        <v>46205</v>
      </c>
      <c r="H4" s="345">
        <v>46206</v>
      </c>
      <c r="I4" s="345">
        <v>46207</v>
      </c>
      <c r="J4" s="345">
        <v>46209</v>
      </c>
      <c r="K4" s="345">
        <v>46210</v>
      </c>
      <c r="L4" s="345">
        <v>46211</v>
      </c>
      <c r="M4" s="345">
        <v>46212</v>
      </c>
      <c r="N4" s="345">
        <v>46213</v>
      </c>
      <c r="O4" s="345">
        <v>46214</v>
      </c>
      <c r="P4" s="345">
        <v>46216</v>
      </c>
      <c r="Q4" s="345">
        <v>46217</v>
      </c>
      <c r="R4" s="345">
        <v>46218</v>
      </c>
      <c r="S4" s="345">
        <v>46219</v>
      </c>
      <c r="T4" s="345">
        <v>46220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</row>
    <row r="5" spans="1:113">
      <c r="A5" s="274">
        <v>1</v>
      </c>
      <c r="B5" s="6">
        <v>591</v>
      </c>
      <c r="C5" s="6"/>
      <c r="D5" s="6">
        <v>357</v>
      </c>
      <c r="E5" s="33" t="s">
        <v>37</v>
      </c>
      <c r="F5" s="33" t="s">
        <v>37</v>
      </c>
      <c r="G5" s="344" t="s">
        <v>37</v>
      </c>
      <c r="H5" s="344" t="s">
        <v>37</v>
      </c>
      <c r="I5" s="346" t="s">
        <v>37</v>
      </c>
      <c r="J5" s="344" t="s">
        <v>37</v>
      </c>
      <c r="K5" s="344" t="s">
        <v>37</v>
      </c>
      <c r="L5" s="344" t="s">
        <v>37</v>
      </c>
      <c r="M5" s="344" t="s">
        <v>37</v>
      </c>
      <c r="N5" s="344" t="s">
        <v>37</v>
      </c>
      <c r="O5" s="344" t="s">
        <v>37</v>
      </c>
      <c r="P5" s="344" t="s">
        <v>37</v>
      </c>
      <c r="Q5" s="344" t="s">
        <v>37</v>
      </c>
      <c r="R5" s="344" t="s">
        <v>37</v>
      </c>
      <c r="S5" s="344" t="s">
        <v>37</v>
      </c>
      <c r="T5" s="344" t="s">
        <v>37</v>
      </c>
      <c r="U5" s="6">
        <v>354</v>
      </c>
      <c r="V5" s="6">
        <v>619</v>
      </c>
      <c r="W5" s="35">
        <f>V5+U5-B5</f>
        <v>382</v>
      </c>
      <c r="X5" s="6">
        <v>741</v>
      </c>
      <c r="Y5" s="6"/>
      <c r="Z5" s="35">
        <f>Y5+X5-U5</f>
        <v>387</v>
      </c>
      <c r="AA5" s="35">
        <v>1120</v>
      </c>
      <c r="AB5" s="35"/>
      <c r="AC5" s="35">
        <f>AB5+AA5-X5</f>
        <v>379</v>
      </c>
      <c r="AD5" s="35">
        <v>241</v>
      </c>
      <c r="AE5" s="6">
        <v>1202</v>
      </c>
      <c r="AF5" s="35">
        <f>AE5+AD5-AA5</f>
        <v>323</v>
      </c>
      <c r="AG5" s="6"/>
      <c r="AH5" s="6"/>
      <c r="AI5" s="34"/>
      <c r="AJ5" s="35">
        <v>187</v>
      </c>
      <c r="AK5" s="35">
        <v>400</v>
      </c>
      <c r="AL5" s="35">
        <f>AK5+AJ5-AD5</f>
        <v>346</v>
      </c>
      <c r="AM5" s="6">
        <v>571</v>
      </c>
      <c r="AN5" s="6"/>
      <c r="AO5" s="35">
        <f>AN5+AM5-AJ5</f>
        <v>384</v>
      </c>
      <c r="AP5" s="6">
        <v>337</v>
      </c>
      <c r="AQ5" s="6">
        <v>601</v>
      </c>
      <c r="AR5" s="35">
        <f>AQ5+AP5-AM5</f>
        <v>367</v>
      </c>
      <c r="AS5" s="35">
        <v>724</v>
      </c>
      <c r="AT5" s="35"/>
      <c r="AU5" s="35">
        <f>AT5+AS5-AP5</f>
        <v>387</v>
      </c>
      <c r="AV5" s="6">
        <v>1107</v>
      </c>
      <c r="AW5" s="6"/>
      <c r="AX5" s="35">
        <f>AW5+AV5-AS5</f>
        <v>383</v>
      </c>
      <c r="AY5" s="6">
        <v>1481</v>
      </c>
      <c r="AZ5" s="6"/>
      <c r="BA5" s="35">
        <f>AZ5+AY5-AV5</f>
        <v>374</v>
      </c>
      <c r="BB5" s="6"/>
      <c r="BC5" s="6"/>
      <c r="BD5" s="6"/>
      <c r="BE5" s="6">
        <v>311</v>
      </c>
      <c r="BF5" s="6">
        <v>1561</v>
      </c>
      <c r="BG5" s="6">
        <f>BF5+BE5-AY5</f>
        <v>391</v>
      </c>
      <c r="BH5" s="6">
        <v>96</v>
      </c>
      <c r="BI5" s="6">
        <v>575</v>
      </c>
      <c r="BJ5" s="35">
        <f>BI5+BH5-BE5</f>
        <v>360</v>
      </c>
      <c r="BK5" s="6">
        <v>482</v>
      </c>
      <c r="BL5" s="6"/>
      <c r="BM5" s="6">
        <f>BL5+BK5-BH5</f>
        <v>386</v>
      </c>
      <c r="BN5" s="6">
        <v>859</v>
      </c>
      <c r="BO5" s="6"/>
      <c r="BP5" s="35">
        <f>BO5+BN5-BK5</f>
        <v>377</v>
      </c>
      <c r="BQ5" s="6">
        <v>1233</v>
      </c>
      <c r="BR5" s="6"/>
      <c r="BS5" s="6">
        <f>BR5+BQ5-BN5</f>
        <v>374</v>
      </c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</row>
    <row r="6" spans="1:113">
      <c r="A6" s="6">
        <v>2</v>
      </c>
      <c r="B6" s="6">
        <v>1415</v>
      </c>
      <c r="C6" s="6"/>
      <c r="D6" s="6">
        <v>332</v>
      </c>
      <c r="E6" s="33" t="s">
        <v>37</v>
      </c>
      <c r="F6" s="33" t="s">
        <v>37</v>
      </c>
      <c r="G6" s="346" t="s">
        <v>37</v>
      </c>
      <c r="H6" s="344" t="s">
        <v>37</v>
      </c>
      <c r="I6" s="344" t="s">
        <v>37</v>
      </c>
      <c r="J6" s="344" t="s">
        <v>37</v>
      </c>
      <c r="K6" s="344" t="s">
        <v>37</v>
      </c>
      <c r="L6" s="344" t="s">
        <v>37</v>
      </c>
      <c r="M6" s="344" t="s">
        <v>37</v>
      </c>
      <c r="N6" s="344" t="s">
        <v>37</v>
      </c>
      <c r="O6" s="344" t="s">
        <v>37</v>
      </c>
      <c r="P6" s="344" t="s">
        <v>37</v>
      </c>
      <c r="Q6" s="344" t="s">
        <v>37</v>
      </c>
      <c r="R6" s="344" t="s">
        <v>37</v>
      </c>
      <c r="S6" s="344" t="s">
        <v>37</v>
      </c>
      <c r="T6" s="344" t="s">
        <v>37</v>
      </c>
      <c r="U6" s="6">
        <v>0</v>
      </c>
      <c r="V6" s="6">
        <v>1740</v>
      </c>
      <c r="W6" s="35">
        <f t="shared" ref="W6:W69" si="0">V6+U6-B6</f>
        <v>325</v>
      </c>
      <c r="X6" s="6">
        <v>376</v>
      </c>
      <c r="Y6" s="6"/>
      <c r="Z6" s="35">
        <f t="shared" ref="Z6:Z69" si="1">Y6+X6-U6</f>
        <v>376</v>
      </c>
      <c r="AA6" s="35">
        <v>148</v>
      </c>
      <c r="AB6" s="35">
        <v>613</v>
      </c>
      <c r="AC6" s="35">
        <f t="shared" ref="AC6:AC68" si="2">AB6+AA6-X6</f>
        <v>385</v>
      </c>
      <c r="AD6" s="6">
        <v>518</v>
      </c>
      <c r="AE6" s="6"/>
      <c r="AF6" s="35">
        <f t="shared" ref="AF6:AF68" si="3">AE6+AD6-AA6</f>
        <v>370</v>
      </c>
      <c r="AG6" s="6"/>
      <c r="AH6" s="6"/>
      <c r="AI6" s="34"/>
      <c r="AJ6" s="35">
        <v>157</v>
      </c>
      <c r="AK6" s="35">
        <v>738</v>
      </c>
      <c r="AL6" s="35">
        <f t="shared" ref="AL6:AL69" si="4">AK6+AJ6-AD6</f>
        <v>377</v>
      </c>
      <c r="AM6" s="6">
        <f>382+157</f>
        <v>539</v>
      </c>
      <c r="AN6" s="6"/>
      <c r="AO6" s="35">
        <f t="shared" ref="AO6:AO69" si="5">AN6+AM6-AJ6</f>
        <v>382</v>
      </c>
      <c r="AP6" s="6">
        <f>768+157</f>
        <v>925</v>
      </c>
      <c r="AQ6" s="6"/>
      <c r="AR6" s="35">
        <f t="shared" ref="AR6:AR69" si="6">AQ6+AP6-AM6</f>
        <v>386</v>
      </c>
      <c r="AS6" s="35">
        <f>1156+157</f>
        <v>1313</v>
      </c>
      <c r="AT6" s="35"/>
      <c r="AU6" s="35">
        <f t="shared" ref="AU6:AU69" si="7">AT6+AS6-AP6</f>
        <v>388</v>
      </c>
      <c r="AV6" s="6">
        <v>138</v>
      </c>
      <c r="AW6" s="6">
        <f>1404+157</f>
        <v>1561</v>
      </c>
      <c r="AX6" s="35">
        <f t="shared" ref="AX6:AX69" si="8">AW6+AV6-AS6</f>
        <v>386</v>
      </c>
      <c r="AY6" s="6">
        <v>511</v>
      </c>
      <c r="AZ6" s="6"/>
      <c r="BA6" s="35">
        <f t="shared" ref="BA6:BA69" si="9">AZ6+AY6-AV6</f>
        <v>373</v>
      </c>
      <c r="BB6" s="6"/>
      <c r="BC6" s="6"/>
      <c r="BD6" s="6"/>
      <c r="BE6" s="6">
        <v>902</v>
      </c>
      <c r="BF6" s="6"/>
      <c r="BG6" s="6">
        <f t="shared" ref="BG6:BG69" si="10">BF6+BE6-AY6</f>
        <v>391</v>
      </c>
      <c r="BH6" s="6">
        <v>1283</v>
      </c>
      <c r="BI6" s="6"/>
      <c r="BJ6" s="35">
        <f t="shared" ref="BJ6:BJ69" si="11">BI6+BH6-BE6</f>
        <v>381</v>
      </c>
      <c r="BK6" s="6">
        <v>89</v>
      </c>
      <c r="BL6" s="6">
        <v>1560</v>
      </c>
      <c r="BM6" s="6">
        <f t="shared" ref="BM6:BM69" si="12">BL6+BK6-BH6</f>
        <v>366</v>
      </c>
      <c r="BN6" s="6">
        <v>456</v>
      </c>
      <c r="BO6" s="6"/>
      <c r="BP6" s="35">
        <f t="shared" ref="BP6:BP69" si="13">BO6+BN6-BK6</f>
        <v>367</v>
      </c>
      <c r="BQ6" s="6">
        <v>842</v>
      </c>
      <c r="BR6" s="6"/>
      <c r="BS6" s="6">
        <f t="shared" ref="BS6:BS69" si="14">BR6+BQ6-BN6</f>
        <v>386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</row>
    <row r="7" spans="1:113">
      <c r="A7" s="6">
        <v>3</v>
      </c>
      <c r="B7" s="6">
        <v>684</v>
      </c>
      <c r="C7" s="6"/>
      <c r="D7" s="6">
        <v>358</v>
      </c>
      <c r="E7" s="33" t="s">
        <v>37</v>
      </c>
      <c r="F7" s="33" t="s">
        <v>37</v>
      </c>
      <c r="G7" s="344" t="s">
        <v>37</v>
      </c>
      <c r="H7" s="344" t="s">
        <v>37</v>
      </c>
      <c r="I7" s="344" t="s">
        <v>37</v>
      </c>
      <c r="J7" s="344" t="s">
        <v>37</v>
      </c>
      <c r="K7" s="344" t="s">
        <v>37</v>
      </c>
      <c r="L7" s="344" t="s">
        <v>37</v>
      </c>
      <c r="M7" s="344" t="s">
        <v>37</v>
      </c>
      <c r="N7" s="344" t="s">
        <v>37</v>
      </c>
      <c r="O7" s="344" t="s">
        <v>37</v>
      </c>
      <c r="P7" s="344" t="s">
        <v>37</v>
      </c>
      <c r="Q7" s="344" t="s">
        <v>37</v>
      </c>
      <c r="R7" s="344" t="s">
        <v>37</v>
      </c>
      <c r="S7" s="344" t="s">
        <v>37</v>
      </c>
      <c r="T7" s="344" t="s">
        <v>37</v>
      </c>
      <c r="U7" s="6">
        <v>1090</v>
      </c>
      <c r="V7" s="6"/>
      <c r="W7" s="35">
        <f t="shared" si="0"/>
        <v>406</v>
      </c>
      <c r="X7" s="6">
        <v>173</v>
      </c>
      <c r="Y7" s="6">
        <v>1297</v>
      </c>
      <c r="Z7" s="35">
        <f t="shared" si="1"/>
        <v>380</v>
      </c>
      <c r="AA7" s="35">
        <v>554</v>
      </c>
      <c r="AB7" s="35"/>
      <c r="AC7" s="35">
        <f t="shared" si="2"/>
        <v>381</v>
      </c>
      <c r="AD7" s="35">
        <v>925</v>
      </c>
      <c r="AE7" s="6"/>
      <c r="AF7" s="35">
        <f t="shared" si="3"/>
        <v>371</v>
      </c>
      <c r="AG7" s="6"/>
      <c r="AH7" s="6"/>
      <c r="AI7" s="34"/>
      <c r="AJ7" s="35">
        <v>1309</v>
      </c>
      <c r="AK7" s="35"/>
      <c r="AL7" s="35">
        <f t="shared" si="4"/>
        <v>384</v>
      </c>
      <c r="AM7" s="6">
        <v>128</v>
      </c>
      <c r="AN7" s="6">
        <v>1560</v>
      </c>
      <c r="AO7" s="35">
        <f t="shared" si="5"/>
        <v>379</v>
      </c>
      <c r="AP7" s="6">
        <v>508</v>
      </c>
      <c r="AQ7" s="6"/>
      <c r="AR7" s="35">
        <f t="shared" si="6"/>
        <v>380</v>
      </c>
      <c r="AS7" s="35">
        <v>888</v>
      </c>
      <c r="AT7" s="35"/>
      <c r="AU7" s="35">
        <f t="shared" si="7"/>
        <v>380</v>
      </c>
      <c r="AV7" s="6">
        <v>1259</v>
      </c>
      <c r="AW7" s="6"/>
      <c r="AX7" s="35">
        <f t="shared" si="8"/>
        <v>371</v>
      </c>
      <c r="AY7" s="6">
        <v>56</v>
      </c>
      <c r="AZ7" s="6">
        <v>1560</v>
      </c>
      <c r="BA7" s="35">
        <f t="shared" si="9"/>
        <v>357</v>
      </c>
      <c r="BB7" s="6"/>
      <c r="BC7" s="6"/>
      <c r="BD7" s="6"/>
      <c r="BE7" s="6">
        <v>450</v>
      </c>
      <c r="BF7" s="6"/>
      <c r="BG7" s="6">
        <f t="shared" si="10"/>
        <v>394</v>
      </c>
      <c r="BH7" s="6">
        <v>831</v>
      </c>
      <c r="BI7" s="6"/>
      <c r="BJ7" s="35">
        <f t="shared" si="11"/>
        <v>381</v>
      </c>
      <c r="BK7" s="6">
        <v>44</v>
      </c>
      <c r="BL7" s="6">
        <v>1144</v>
      </c>
      <c r="BM7" s="6">
        <f t="shared" si="12"/>
        <v>357</v>
      </c>
      <c r="BN7" s="6">
        <v>425</v>
      </c>
      <c r="BO7" s="6"/>
      <c r="BP7" s="35">
        <f t="shared" si="13"/>
        <v>381</v>
      </c>
      <c r="BQ7" s="6">
        <v>0</v>
      </c>
      <c r="BR7" s="6">
        <v>705</v>
      </c>
      <c r="BS7" s="6">
        <f t="shared" si="14"/>
        <v>280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</row>
    <row r="8" spans="1:113">
      <c r="A8" s="274">
        <v>4</v>
      </c>
      <c r="B8" s="6">
        <v>127</v>
      </c>
      <c r="C8" s="6">
        <v>1563</v>
      </c>
      <c r="D8" s="6">
        <v>353</v>
      </c>
      <c r="E8" s="33" t="s">
        <v>37</v>
      </c>
      <c r="F8" s="33" t="s">
        <v>37</v>
      </c>
      <c r="G8" s="344" t="s">
        <v>37</v>
      </c>
      <c r="H8" s="344" t="s">
        <v>37</v>
      </c>
      <c r="I8" s="344" t="s">
        <v>37</v>
      </c>
      <c r="J8" s="344" t="s">
        <v>37</v>
      </c>
      <c r="K8" s="344" t="s">
        <v>37</v>
      </c>
      <c r="L8" s="344" t="s">
        <v>37</v>
      </c>
      <c r="M8" s="344" t="s">
        <v>37</v>
      </c>
      <c r="N8" s="346" t="s">
        <v>37</v>
      </c>
      <c r="O8" s="344" t="s">
        <v>37</v>
      </c>
      <c r="P8" s="344" t="s">
        <v>37</v>
      </c>
      <c r="Q8" s="344" t="s">
        <v>37</v>
      </c>
      <c r="R8" s="344" t="s">
        <v>37</v>
      </c>
      <c r="S8" s="344" t="s">
        <v>37</v>
      </c>
      <c r="T8" s="344" t="s">
        <v>37</v>
      </c>
      <c r="U8" s="6">
        <v>527</v>
      </c>
      <c r="V8" s="6"/>
      <c r="W8" s="35">
        <f t="shared" si="0"/>
        <v>400</v>
      </c>
      <c r="X8" s="6">
        <v>908</v>
      </c>
      <c r="Y8" s="6"/>
      <c r="Z8" s="35">
        <f t="shared" si="1"/>
        <v>381</v>
      </c>
      <c r="AA8" s="35">
        <v>1278</v>
      </c>
      <c r="AB8" s="35"/>
      <c r="AC8" s="35">
        <f t="shared" si="2"/>
        <v>370</v>
      </c>
      <c r="AD8" s="6">
        <v>189</v>
      </c>
      <c r="AE8" s="6">
        <v>1452</v>
      </c>
      <c r="AF8" s="35">
        <f t="shared" si="3"/>
        <v>363</v>
      </c>
      <c r="AG8" s="6"/>
      <c r="AH8" s="6"/>
      <c r="AI8" s="34"/>
      <c r="AJ8" s="35">
        <v>568</v>
      </c>
      <c r="AK8" s="35"/>
      <c r="AL8" s="35">
        <f t="shared" si="4"/>
        <v>379</v>
      </c>
      <c r="AM8" s="6">
        <v>939</v>
      </c>
      <c r="AN8" s="6"/>
      <c r="AO8" s="35">
        <f t="shared" si="5"/>
        <v>371</v>
      </c>
      <c r="AP8" s="6">
        <v>1314</v>
      </c>
      <c r="AQ8" s="6"/>
      <c r="AR8" s="35">
        <f t="shared" si="6"/>
        <v>375</v>
      </c>
      <c r="AS8" s="35">
        <v>1669</v>
      </c>
      <c r="AT8" s="35"/>
      <c r="AU8" s="35">
        <f t="shared" si="7"/>
        <v>355</v>
      </c>
      <c r="AV8" s="6">
        <v>272</v>
      </c>
      <c r="AW8" s="6">
        <v>1748</v>
      </c>
      <c r="AX8" s="35">
        <f t="shared" si="8"/>
        <v>351</v>
      </c>
      <c r="AY8" s="6">
        <v>630</v>
      </c>
      <c r="AZ8" s="6"/>
      <c r="BA8" s="35">
        <f t="shared" si="9"/>
        <v>358</v>
      </c>
      <c r="BB8" s="6"/>
      <c r="BC8" s="6"/>
      <c r="BD8" s="6"/>
      <c r="BE8" s="6">
        <v>996</v>
      </c>
      <c r="BF8" s="6"/>
      <c r="BG8" s="6">
        <f t="shared" si="10"/>
        <v>366</v>
      </c>
      <c r="BH8" s="6">
        <v>1376</v>
      </c>
      <c r="BI8" s="6"/>
      <c r="BJ8" s="35">
        <f t="shared" si="11"/>
        <v>380</v>
      </c>
      <c r="BK8" s="6">
        <v>203</v>
      </c>
      <c r="BL8" s="6">
        <v>1560</v>
      </c>
      <c r="BM8" s="6">
        <f t="shared" si="12"/>
        <v>387</v>
      </c>
      <c r="BN8" s="6">
        <v>585</v>
      </c>
      <c r="BO8" s="6"/>
      <c r="BP8" s="35">
        <f t="shared" si="13"/>
        <v>382</v>
      </c>
      <c r="BQ8" s="6">
        <v>971</v>
      </c>
      <c r="BR8" s="6"/>
      <c r="BS8" s="6">
        <f t="shared" si="14"/>
        <v>386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</row>
    <row r="9" spans="1:113">
      <c r="A9" s="6">
        <v>5</v>
      </c>
      <c r="B9" s="6">
        <v>346</v>
      </c>
      <c r="C9" s="6">
        <v>1508</v>
      </c>
      <c r="D9" s="6">
        <v>359</v>
      </c>
      <c r="E9" s="33" t="s">
        <v>37</v>
      </c>
      <c r="F9" s="33" t="s">
        <v>37</v>
      </c>
      <c r="G9" s="344" t="s">
        <v>37</v>
      </c>
      <c r="H9" s="344" t="s">
        <v>37</v>
      </c>
      <c r="I9" s="344" t="s">
        <v>37</v>
      </c>
      <c r="J9" s="344" t="s">
        <v>37</v>
      </c>
      <c r="K9" s="344" t="s">
        <v>37</v>
      </c>
      <c r="L9" s="344" t="s">
        <v>37</v>
      </c>
      <c r="M9" s="344" t="s">
        <v>37</v>
      </c>
      <c r="N9" s="344" t="s">
        <v>37</v>
      </c>
      <c r="O9" s="344" t="s">
        <v>37</v>
      </c>
      <c r="P9" s="344" t="s">
        <v>37</v>
      </c>
      <c r="Q9" s="344" t="s">
        <v>37</v>
      </c>
      <c r="R9" s="344" t="s">
        <v>37</v>
      </c>
      <c r="S9" s="344" t="s">
        <v>37</v>
      </c>
      <c r="T9" s="344" t="s">
        <v>37</v>
      </c>
      <c r="U9" s="6">
        <v>750</v>
      </c>
      <c r="V9" s="6"/>
      <c r="W9" s="35">
        <f t="shared" si="0"/>
        <v>404</v>
      </c>
      <c r="X9" s="6">
        <v>1128</v>
      </c>
      <c r="Y9" s="6"/>
      <c r="Z9" s="35">
        <f t="shared" si="1"/>
        <v>378</v>
      </c>
      <c r="AA9" s="35">
        <v>1514</v>
      </c>
      <c r="AB9" s="35"/>
      <c r="AC9" s="35">
        <f t="shared" si="2"/>
        <v>386</v>
      </c>
      <c r="AD9" s="35">
        <v>326</v>
      </c>
      <c r="AE9" s="6">
        <v>1560</v>
      </c>
      <c r="AF9" s="35">
        <f t="shared" si="3"/>
        <v>372</v>
      </c>
      <c r="AG9" s="6"/>
      <c r="AH9" s="6"/>
      <c r="AI9" s="34"/>
      <c r="AJ9" s="35">
        <v>715</v>
      </c>
      <c r="AK9" s="35"/>
      <c r="AL9" s="35">
        <f t="shared" si="4"/>
        <v>389</v>
      </c>
      <c r="AM9" s="6">
        <v>1101</v>
      </c>
      <c r="AN9" s="6"/>
      <c r="AO9" s="35">
        <f t="shared" si="5"/>
        <v>386</v>
      </c>
      <c r="AP9" s="6">
        <v>1485</v>
      </c>
      <c r="AQ9" s="6"/>
      <c r="AR9" s="35">
        <f t="shared" si="6"/>
        <v>384</v>
      </c>
      <c r="AS9" s="35">
        <v>306</v>
      </c>
      <c r="AT9" s="35">
        <v>1560</v>
      </c>
      <c r="AU9" s="35">
        <f t="shared" si="7"/>
        <v>381</v>
      </c>
      <c r="AV9" s="6">
        <v>688</v>
      </c>
      <c r="AW9" s="6"/>
      <c r="AX9" s="35">
        <f t="shared" si="8"/>
        <v>382</v>
      </c>
      <c r="AY9" s="6">
        <v>1059</v>
      </c>
      <c r="AZ9" s="6"/>
      <c r="BA9" s="35">
        <f t="shared" si="9"/>
        <v>371</v>
      </c>
      <c r="BB9" s="6"/>
      <c r="BC9" s="6"/>
      <c r="BD9" s="6"/>
      <c r="BE9" s="6">
        <v>1445</v>
      </c>
      <c r="BF9" s="6"/>
      <c r="BG9" s="6">
        <f t="shared" si="10"/>
        <v>386</v>
      </c>
      <c r="BH9" s="6">
        <v>256</v>
      </c>
      <c r="BI9" s="6">
        <v>1560</v>
      </c>
      <c r="BJ9" s="35">
        <f t="shared" si="11"/>
        <v>371</v>
      </c>
      <c r="BK9" s="6">
        <v>642</v>
      </c>
      <c r="BL9" s="6"/>
      <c r="BM9" s="6">
        <f t="shared" si="12"/>
        <v>386</v>
      </c>
      <c r="BN9" s="6">
        <v>1015</v>
      </c>
      <c r="BO9" s="6"/>
      <c r="BP9" s="35">
        <f t="shared" si="13"/>
        <v>373</v>
      </c>
      <c r="BQ9" s="6">
        <v>1402</v>
      </c>
      <c r="BR9" s="6"/>
      <c r="BS9" s="6">
        <f t="shared" si="14"/>
        <v>387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</row>
    <row r="10" spans="1:113">
      <c r="A10" s="6">
        <v>6</v>
      </c>
      <c r="B10" s="6">
        <v>1210</v>
      </c>
      <c r="C10" s="6"/>
      <c r="D10" s="6">
        <v>357</v>
      </c>
      <c r="E10" s="33" t="s">
        <v>307</v>
      </c>
      <c r="F10" s="33" t="s">
        <v>307</v>
      </c>
      <c r="G10" s="344" t="s">
        <v>307</v>
      </c>
      <c r="H10" s="344" t="s">
        <v>307</v>
      </c>
      <c r="I10" s="344" t="s">
        <v>307</v>
      </c>
      <c r="J10" s="344" t="s">
        <v>307</v>
      </c>
      <c r="K10" s="344" t="s">
        <v>307</v>
      </c>
      <c r="L10" s="344" t="s">
        <v>307</v>
      </c>
      <c r="M10" s="344" t="s">
        <v>307</v>
      </c>
      <c r="N10" s="344" t="s">
        <v>307</v>
      </c>
      <c r="O10" s="344" t="s">
        <v>307</v>
      </c>
      <c r="P10" s="344" t="s">
        <v>307</v>
      </c>
      <c r="Q10" s="344" t="s">
        <v>307</v>
      </c>
      <c r="R10" s="346" t="s">
        <v>307</v>
      </c>
      <c r="S10" s="344" t="s">
        <v>307</v>
      </c>
      <c r="T10" s="344" t="s">
        <v>307</v>
      </c>
      <c r="U10" s="6">
        <v>0</v>
      </c>
      <c r="V10" s="6">
        <v>1560</v>
      </c>
      <c r="W10" s="35">
        <f t="shared" si="0"/>
        <v>350</v>
      </c>
      <c r="X10" s="6">
        <v>0</v>
      </c>
      <c r="Y10" s="6"/>
      <c r="Z10" s="35">
        <f t="shared" si="1"/>
        <v>0</v>
      </c>
      <c r="AA10" s="35">
        <v>0</v>
      </c>
      <c r="AB10" s="35"/>
      <c r="AC10" s="35">
        <f t="shared" si="2"/>
        <v>0</v>
      </c>
      <c r="AD10" s="6">
        <v>363</v>
      </c>
      <c r="AE10" s="6"/>
      <c r="AF10" s="35">
        <f t="shared" si="3"/>
        <v>363</v>
      </c>
      <c r="AG10" s="6"/>
      <c r="AH10" s="6"/>
      <c r="AI10" s="34"/>
      <c r="AJ10" s="35">
        <v>755</v>
      </c>
      <c r="AK10" s="35"/>
      <c r="AL10" s="35">
        <f t="shared" si="4"/>
        <v>392</v>
      </c>
      <c r="AM10" s="6">
        <v>1138</v>
      </c>
      <c r="AN10" s="6"/>
      <c r="AO10" s="35">
        <f t="shared" si="5"/>
        <v>383</v>
      </c>
      <c r="AP10" s="6">
        <v>133</v>
      </c>
      <c r="AQ10" s="6">
        <v>1387</v>
      </c>
      <c r="AR10" s="35">
        <f t="shared" si="6"/>
        <v>382</v>
      </c>
      <c r="AS10" s="35">
        <f>382+133</f>
        <v>515</v>
      </c>
      <c r="AT10" s="35"/>
      <c r="AU10" s="35">
        <f t="shared" si="7"/>
        <v>382</v>
      </c>
      <c r="AV10" s="6">
        <f>774+133</f>
        <v>907</v>
      </c>
      <c r="AW10" s="6"/>
      <c r="AX10" s="35">
        <f t="shared" si="8"/>
        <v>392</v>
      </c>
      <c r="AY10" s="6">
        <f>1139+133</f>
        <v>1272</v>
      </c>
      <c r="AZ10" s="6"/>
      <c r="BA10" s="35">
        <f t="shared" si="9"/>
        <v>365</v>
      </c>
      <c r="BB10" s="6"/>
      <c r="BC10" s="6"/>
      <c r="BD10" s="6"/>
      <c r="BE10" s="6">
        <f>1525+133</f>
        <v>1658</v>
      </c>
      <c r="BF10" s="6"/>
      <c r="BG10" s="6">
        <f t="shared" si="10"/>
        <v>386</v>
      </c>
      <c r="BH10" s="6">
        <v>0</v>
      </c>
      <c r="BI10" s="6">
        <f>1820+158</f>
        <v>1978</v>
      </c>
      <c r="BJ10" s="35">
        <f t="shared" si="11"/>
        <v>320</v>
      </c>
      <c r="BK10" s="6">
        <v>338</v>
      </c>
      <c r="BL10" s="6"/>
      <c r="BM10" s="6">
        <f t="shared" si="12"/>
        <v>338</v>
      </c>
      <c r="BN10" s="6">
        <v>728</v>
      </c>
      <c r="BO10" s="6"/>
      <c r="BP10" s="35">
        <f t="shared" si="13"/>
        <v>390</v>
      </c>
      <c r="BQ10" s="6">
        <v>1118</v>
      </c>
      <c r="BR10" s="6"/>
      <c r="BS10" s="6">
        <f t="shared" si="14"/>
        <v>390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</row>
    <row r="11" spans="1:113">
      <c r="A11" s="6">
        <v>7</v>
      </c>
      <c r="B11" s="6">
        <v>160</v>
      </c>
      <c r="C11" s="6">
        <v>1560</v>
      </c>
      <c r="D11" s="6">
        <v>358</v>
      </c>
      <c r="E11" s="33" t="s">
        <v>37</v>
      </c>
      <c r="F11" s="33" t="s">
        <v>37</v>
      </c>
      <c r="G11" s="344" t="s">
        <v>37</v>
      </c>
      <c r="H11" s="344" t="s">
        <v>37</v>
      </c>
      <c r="I11" s="344" t="s">
        <v>37</v>
      </c>
      <c r="J11" s="344" t="s">
        <v>37</v>
      </c>
      <c r="K11" s="344" t="s">
        <v>37</v>
      </c>
      <c r="L11" s="344" t="s">
        <v>37</v>
      </c>
      <c r="M11" s="344" t="s">
        <v>37</v>
      </c>
      <c r="N11" s="344" t="s">
        <v>37</v>
      </c>
      <c r="O11" s="344" t="s">
        <v>37</v>
      </c>
      <c r="P11" s="344" t="s">
        <v>37</v>
      </c>
      <c r="Q11" s="344" t="s">
        <v>37</v>
      </c>
      <c r="R11" s="344" t="s">
        <v>37</v>
      </c>
      <c r="S11" s="344" t="s">
        <v>37</v>
      </c>
      <c r="T11" s="344" t="s">
        <v>37</v>
      </c>
      <c r="U11" s="6">
        <v>570</v>
      </c>
      <c r="V11" s="35"/>
      <c r="W11" s="35">
        <f t="shared" si="0"/>
        <v>410</v>
      </c>
      <c r="X11" s="6">
        <v>957</v>
      </c>
      <c r="Y11" s="35"/>
      <c r="Z11" s="35">
        <f t="shared" si="1"/>
        <v>387</v>
      </c>
      <c r="AA11" s="35">
        <v>1345</v>
      </c>
      <c r="AB11" s="35"/>
      <c r="AC11" s="35">
        <f t="shared" si="2"/>
        <v>388</v>
      </c>
      <c r="AD11" s="35">
        <v>155</v>
      </c>
      <c r="AE11" s="6">
        <v>1560</v>
      </c>
      <c r="AF11" s="35">
        <f t="shared" si="3"/>
        <v>370</v>
      </c>
      <c r="AG11" s="6"/>
      <c r="AH11" s="6"/>
      <c r="AI11" s="34"/>
      <c r="AJ11" s="35">
        <v>0</v>
      </c>
      <c r="AK11" s="35">
        <v>534</v>
      </c>
      <c r="AL11" s="35">
        <f t="shared" si="4"/>
        <v>379</v>
      </c>
      <c r="AM11" s="6">
        <v>347</v>
      </c>
      <c r="AN11" s="6"/>
      <c r="AO11" s="35">
        <f t="shared" si="5"/>
        <v>347</v>
      </c>
      <c r="AP11" s="6">
        <v>728</v>
      </c>
      <c r="AQ11" s="6"/>
      <c r="AR11" s="35">
        <f t="shared" si="6"/>
        <v>381</v>
      </c>
      <c r="AS11" s="35">
        <v>1112</v>
      </c>
      <c r="AT11" s="35"/>
      <c r="AU11" s="35">
        <f t="shared" si="7"/>
        <v>384</v>
      </c>
      <c r="AV11" s="6">
        <v>1495</v>
      </c>
      <c r="AW11" s="6"/>
      <c r="AX11" s="35">
        <f t="shared" si="8"/>
        <v>383</v>
      </c>
      <c r="AY11" s="6">
        <v>307</v>
      </c>
      <c r="AZ11" s="6">
        <v>1561</v>
      </c>
      <c r="BA11" s="35">
        <f t="shared" si="9"/>
        <v>373</v>
      </c>
      <c r="BB11" s="6"/>
      <c r="BC11" s="6"/>
      <c r="BD11" s="6"/>
      <c r="BE11" s="6">
        <v>697</v>
      </c>
      <c r="BF11" s="6"/>
      <c r="BG11" s="6">
        <f t="shared" si="10"/>
        <v>390</v>
      </c>
      <c r="BH11" s="6">
        <v>1081</v>
      </c>
      <c r="BI11" s="6"/>
      <c r="BJ11" s="35">
        <f t="shared" si="11"/>
        <v>384</v>
      </c>
      <c r="BK11" s="6">
        <v>1465</v>
      </c>
      <c r="BL11" s="6"/>
      <c r="BM11" s="6">
        <f t="shared" si="12"/>
        <v>384</v>
      </c>
      <c r="BN11" s="6">
        <v>289</v>
      </c>
      <c r="BO11" s="6">
        <v>1561</v>
      </c>
      <c r="BP11" s="35">
        <f t="shared" si="13"/>
        <v>385</v>
      </c>
      <c r="BQ11" s="6">
        <v>673</v>
      </c>
      <c r="BR11" s="6"/>
      <c r="BS11" s="6">
        <f t="shared" si="14"/>
        <v>384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</row>
    <row r="12" spans="1:113">
      <c r="A12" s="6">
        <v>8</v>
      </c>
      <c r="B12" s="6">
        <v>0</v>
      </c>
      <c r="C12" s="6">
        <v>1591</v>
      </c>
      <c r="D12" s="6">
        <v>316</v>
      </c>
      <c r="E12" s="33" t="s">
        <v>37</v>
      </c>
      <c r="F12" s="148" t="s">
        <v>37</v>
      </c>
      <c r="G12" s="344" t="s">
        <v>37</v>
      </c>
      <c r="H12" s="344" t="s">
        <v>37</v>
      </c>
      <c r="I12" s="344" t="s">
        <v>37</v>
      </c>
      <c r="J12" s="344" t="s">
        <v>37</v>
      </c>
      <c r="K12" s="344" t="s">
        <v>37</v>
      </c>
      <c r="L12" s="344" t="s">
        <v>37</v>
      </c>
      <c r="M12" s="344" t="s">
        <v>37</v>
      </c>
      <c r="N12" s="344" t="s">
        <v>37</v>
      </c>
      <c r="O12" s="344" t="s">
        <v>37</v>
      </c>
      <c r="P12" s="344" t="s">
        <v>37</v>
      </c>
      <c r="Q12" s="344" t="s">
        <v>37</v>
      </c>
      <c r="R12" s="344" t="s">
        <v>37</v>
      </c>
      <c r="S12" s="344" t="s">
        <v>37</v>
      </c>
      <c r="T12" s="344" t="s">
        <v>37</v>
      </c>
      <c r="U12" s="35">
        <v>381</v>
      </c>
      <c r="V12" s="35"/>
      <c r="W12" s="35">
        <f t="shared" si="0"/>
        <v>381</v>
      </c>
      <c r="X12" s="35">
        <v>769</v>
      </c>
      <c r="Y12" s="35"/>
      <c r="Z12" s="35">
        <f t="shared" si="1"/>
        <v>388</v>
      </c>
      <c r="AA12" s="35">
        <v>1152</v>
      </c>
      <c r="AB12" s="35"/>
      <c r="AC12" s="35">
        <f t="shared" si="2"/>
        <v>383</v>
      </c>
      <c r="AD12" s="35">
        <v>1519</v>
      </c>
      <c r="AE12" s="35"/>
      <c r="AF12" s="35">
        <f t="shared" si="3"/>
        <v>367</v>
      </c>
      <c r="AG12" s="35"/>
      <c r="AH12" s="35"/>
      <c r="AI12" s="34"/>
      <c r="AJ12" s="35">
        <v>246</v>
      </c>
      <c r="AK12" s="35">
        <v>1660</v>
      </c>
      <c r="AL12" s="35">
        <f t="shared" si="4"/>
        <v>387</v>
      </c>
      <c r="AM12" s="6">
        <v>634</v>
      </c>
      <c r="AN12" s="6"/>
      <c r="AO12" s="35">
        <f t="shared" si="5"/>
        <v>388</v>
      </c>
      <c r="AP12" s="35">
        <v>1020</v>
      </c>
      <c r="AQ12" s="35"/>
      <c r="AR12" s="35">
        <f t="shared" si="6"/>
        <v>386</v>
      </c>
      <c r="AS12" s="35">
        <v>1409</v>
      </c>
      <c r="AT12" s="35"/>
      <c r="AU12" s="35">
        <f t="shared" si="7"/>
        <v>389</v>
      </c>
      <c r="AV12" s="6">
        <v>235</v>
      </c>
      <c r="AW12" s="6">
        <v>1561</v>
      </c>
      <c r="AX12" s="35">
        <f t="shared" si="8"/>
        <v>387</v>
      </c>
      <c r="AY12" s="6">
        <v>608</v>
      </c>
      <c r="AZ12" s="6"/>
      <c r="BA12" s="35">
        <f t="shared" si="9"/>
        <v>373</v>
      </c>
      <c r="BB12" s="6"/>
      <c r="BC12" s="35"/>
      <c r="BD12" s="6"/>
      <c r="BE12" s="6">
        <v>1004</v>
      </c>
      <c r="BF12" s="6"/>
      <c r="BG12" s="6">
        <f t="shared" si="10"/>
        <v>396</v>
      </c>
      <c r="BH12" s="6">
        <v>1390</v>
      </c>
      <c r="BI12" s="6"/>
      <c r="BJ12" s="35">
        <f t="shared" si="11"/>
        <v>386</v>
      </c>
      <c r="BK12" s="6">
        <v>208</v>
      </c>
      <c r="BL12" s="6">
        <v>1560</v>
      </c>
      <c r="BM12" s="6">
        <f t="shared" si="12"/>
        <v>378</v>
      </c>
      <c r="BN12" s="6">
        <v>595</v>
      </c>
      <c r="BO12" s="6"/>
      <c r="BP12" s="35">
        <f t="shared" si="13"/>
        <v>387</v>
      </c>
      <c r="BQ12" s="6">
        <v>980</v>
      </c>
      <c r="BR12" s="35"/>
      <c r="BS12" s="6">
        <f t="shared" si="14"/>
        <v>385</v>
      </c>
      <c r="BT12" s="6"/>
      <c r="BU12" s="6"/>
      <c r="BV12" s="6"/>
      <c r="BW12" s="6"/>
      <c r="BX12" s="35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</row>
    <row r="13" spans="1:113">
      <c r="A13" s="6">
        <v>9</v>
      </c>
      <c r="B13" s="6">
        <v>1226</v>
      </c>
      <c r="C13" s="6"/>
      <c r="D13" s="6">
        <v>361</v>
      </c>
      <c r="E13" s="33" t="s">
        <v>307</v>
      </c>
      <c r="F13" s="33" t="s">
        <v>307</v>
      </c>
      <c r="G13" s="344" t="s">
        <v>307</v>
      </c>
      <c r="H13" s="344" t="s">
        <v>307</v>
      </c>
      <c r="I13" s="344" t="s">
        <v>307</v>
      </c>
      <c r="J13" s="344" t="s">
        <v>307</v>
      </c>
      <c r="K13" s="344" t="s">
        <v>307</v>
      </c>
      <c r="L13" s="344" t="s">
        <v>307</v>
      </c>
      <c r="M13" s="344" t="s">
        <v>307</v>
      </c>
      <c r="N13" s="344" t="s">
        <v>307</v>
      </c>
      <c r="O13" s="344" t="s">
        <v>307</v>
      </c>
      <c r="P13" s="344" t="s">
        <v>307</v>
      </c>
      <c r="Q13" s="344" t="s">
        <v>307</v>
      </c>
      <c r="R13" s="344" t="s">
        <v>307</v>
      </c>
      <c r="S13" s="344" t="s">
        <v>307</v>
      </c>
      <c r="T13" s="344" t="s">
        <v>307</v>
      </c>
      <c r="U13" s="35">
        <v>0</v>
      </c>
      <c r="V13" s="35">
        <v>1560</v>
      </c>
      <c r="W13" s="35">
        <f t="shared" si="0"/>
        <v>334</v>
      </c>
      <c r="X13" s="35">
        <v>0</v>
      </c>
      <c r="Y13" s="35"/>
      <c r="Z13" s="35">
        <f t="shared" si="1"/>
        <v>0</v>
      </c>
      <c r="AA13" s="35">
        <v>0</v>
      </c>
      <c r="AB13" s="35"/>
      <c r="AC13" s="35">
        <f t="shared" si="2"/>
        <v>0</v>
      </c>
      <c r="AD13" s="35">
        <v>360</v>
      </c>
      <c r="AE13" s="35"/>
      <c r="AF13" s="35">
        <f t="shared" si="3"/>
        <v>360</v>
      </c>
      <c r="AG13" s="6"/>
      <c r="AH13" s="6"/>
      <c r="AI13" s="34"/>
      <c r="AJ13" s="35">
        <v>747</v>
      </c>
      <c r="AK13" s="35"/>
      <c r="AL13" s="35">
        <f t="shared" si="4"/>
        <v>387</v>
      </c>
      <c r="AM13" s="6">
        <v>1132</v>
      </c>
      <c r="AN13" s="6"/>
      <c r="AO13" s="35">
        <f t="shared" si="5"/>
        <v>385</v>
      </c>
      <c r="AP13" s="6">
        <v>1519</v>
      </c>
      <c r="AQ13" s="6"/>
      <c r="AR13" s="35">
        <f t="shared" si="6"/>
        <v>387</v>
      </c>
      <c r="AS13" s="6">
        <v>74</v>
      </c>
      <c r="AT13" s="6">
        <v>1820</v>
      </c>
      <c r="AU13" s="35">
        <f t="shared" si="7"/>
        <v>375</v>
      </c>
      <c r="AV13" s="6">
        <v>464</v>
      </c>
      <c r="AW13" s="6"/>
      <c r="AX13" s="35">
        <f t="shared" si="8"/>
        <v>390</v>
      </c>
      <c r="AY13" s="6">
        <v>844</v>
      </c>
      <c r="AZ13" s="6"/>
      <c r="BA13" s="35">
        <f t="shared" si="9"/>
        <v>380</v>
      </c>
      <c r="BB13" s="6"/>
      <c r="BC13" s="35"/>
      <c r="BD13" s="6"/>
      <c r="BE13" s="6">
        <v>1216</v>
      </c>
      <c r="BF13" s="6"/>
      <c r="BG13" s="6">
        <f t="shared" si="10"/>
        <v>372</v>
      </c>
      <c r="BH13" s="6">
        <v>1597</v>
      </c>
      <c r="BI13" s="6"/>
      <c r="BJ13" s="35">
        <f t="shared" si="11"/>
        <v>381</v>
      </c>
      <c r="BK13" s="6">
        <v>168</v>
      </c>
      <c r="BL13" s="6">
        <v>1820</v>
      </c>
      <c r="BM13" s="6">
        <f t="shared" si="12"/>
        <v>391</v>
      </c>
      <c r="BN13" s="6">
        <v>545</v>
      </c>
      <c r="BO13" s="6"/>
      <c r="BP13" s="35">
        <f t="shared" si="13"/>
        <v>377</v>
      </c>
      <c r="BQ13" s="6">
        <v>0</v>
      </c>
      <c r="BR13" s="35">
        <v>854</v>
      </c>
      <c r="BS13" s="6">
        <f t="shared" si="14"/>
        <v>309</v>
      </c>
      <c r="BT13" s="6"/>
      <c r="BU13" s="6"/>
      <c r="BV13" s="6"/>
      <c r="BW13" s="6"/>
      <c r="BX13" s="35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</row>
    <row r="14" spans="1:113">
      <c r="A14" s="6">
        <v>10</v>
      </c>
      <c r="B14" s="6">
        <v>557</v>
      </c>
      <c r="C14" s="6"/>
      <c r="D14" s="6">
        <v>359</v>
      </c>
      <c r="E14" s="33" t="s">
        <v>37</v>
      </c>
      <c r="F14" s="33" t="s">
        <v>37</v>
      </c>
      <c r="G14" s="344" t="s">
        <v>37</v>
      </c>
      <c r="H14" s="344" t="s">
        <v>37</v>
      </c>
      <c r="I14" s="344" t="s">
        <v>37</v>
      </c>
      <c r="J14" s="344" t="s">
        <v>37</v>
      </c>
      <c r="K14" s="344" t="s">
        <v>37</v>
      </c>
      <c r="L14" s="344" t="s">
        <v>37</v>
      </c>
      <c r="M14" s="344" t="s">
        <v>37</v>
      </c>
      <c r="N14" s="344" t="s">
        <v>37</v>
      </c>
      <c r="O14" s="344" t="s">
        <v>37</v>
      </c>
      <c r="P14" s="344" t="s">
        <v>37</v>
      </c>
      <c r="Q14" s="344" t="s">
        <v>37</v>
      </c>
      <c r="R14" s="344" t="s">
        <v>37</v>
      </c>
      <c r="S14" s="344" t="s">
        <v>37</v>
      </c>
      <c r="T14" s="344" t="s">
        <v>37</v>
      </c>
      <c r="U14" s="6">
        <v>961</v>
      </c>
      <c r="V14" s="6"/>
      <c r="W14" s="35">
        <f t="shared" si="0"/>
        <v>404</v>
      </c>
      <c r="X14" s="6">
        <v>1343</v>
      </c>
      <c r="Y14" s="6"/>
      <c r="Z14" s="35">
        <f t="shared" si="1"/>
        <v>382</v>
      </c>
      <c r="AA14" s="35">
        <v>165</v>
      </c>
      <c r="AB14" s="35">
        <v>1560</v>
      </c>
      <c r="AC14" s="35">
        <f t="shared" si="2"/>
        <v>382</v>
      </c>
      <c r="AD14" s="6">
        <v>540</v>
      </c>
      <c r="AE14" s="6"/>
      <c r="AF14" s="35">
        <f t="shared" si="3"/>
        <v>375</v>
      </c>
      <c r="AG14" s="6"/>
      <c r="AH14" s="6"/>
      <c r="AI14" s="34"/>
      <c r="AJ14" s="35">
        <v>931</v>
      </c>
      <c r="AK14" s="35"/>
      <c r="AL14" s="35">
        <f t="shared" si="4"/>
        <v>391</v>
      </c>
      <c r="AM14" s="6">
        <v>1319</v>
      </c>
      <c r="AN14" s="6"/>
      <c r="AO14" s="35">
        <f t="shared" si="5"/>
        <v>388</v>
      </c>
      <c r="AP14" s="6">
        <v>147</v>
      </c>
      <c r="AQ14" s="6">
        <v>1560</v>
      </c>
      <c r="AR14" s="35">
        <f t="shared" si="6"/>
        <v>388</v>
      </c>
      <c r="AS14" s="35">
        <v>537</v>
      </c>
      <c r="AT14" s="35"/>
      <c r="AU14" s="35">
        <f t="shared" si="7"/>
        <v>390</v>
      </c>
      <c r="AV14" s="6">
        <v>927</v>
      </c>
      <c r="AW14" s="6"/>
      <c r="AX14" s="35">
        <f t="shared" si="8"/>
        <v>390</v>
      </c>
      <c r="AY14" s="6">
        <v>6</v>
      </c>
      <c r="AZ14" s="6">
        <v>1291</v>
      </c>
      <c r="BA14" s="35">
        <f t="shared" si="9"/>
        <v>370</v>
      </c>
      <c r="BB14" s="6"/>
      <c r="BC14" s="6"/>
      <c r="BD14" s="6"/>
      <c r="BE14" s="6">
        <v>396</v>
      </c>
      <c r="BF14" s="6"/>
      <c r="BG14" s="6">
        <f t="shared" si="10"/>
        <v>390</v>
      </c>
      <c r="BH14" s="6">
        <v>784</v>
      </c>
      <c r="BI14" s="6"/>
      <c r="BJ14" s="35">
        <f t="shared" si="11"/>
        <v>388</v>
      </c>
      <c r="BK14" s="6">
        <v>1176</v>
      </c>
      <c r="BL14" s="6"/>
      <c r="BM14" s="6">
        <f t="shared" si="12"/>
        <v>392</v>
      </c>
      <c r="BN14" s="6">
        <v>1568</v>
      </c>
      <c r="BO14" s="6"/>
      <c r="BP14" s="35">
        <f t="shared" si="13"/>
        <v>392</v>
      </c>
      <c r="BQ14" s="6">
        <v>0</v>
      </c>
      <c r="BR14" s="6">
        <v>1905</v>
      </c>
      <c r="BS14" s="6">
        <f t="shared" si="14"/>
        <v>337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</row>
    <row r="15" spans="1:113">
      <c r="A15" s="274">
        <v>11</v>
      </c>
      <c r="B15" s="6">
        <v>765</v>
      </c>
      <c r="C15" s="6"/>
      <c r="D15" s="6">
        <v>360</v>
      </c>
      <c r="E15" s="326" t="s">
        <v>37</v>
      </c>
      <c r="F15" s="326" t="s">
        <v>37</v>
      </c>
      <c r="G15" s="344" t="s">
        <v>37</v>
      </c>
      <c r="H15" s="346" t="s">
        <v>37</v>
      </c>
      <c r="I15" s="344" t="s">
        <v>37</v>
      </c>
      <c r="J15" s="344" t="s">
        <v>37</v>
      </c>
      <c r="K15" s="344" t="s">
        <v>37</v>
      </c>
      <c r="L15" s="344" t="s">
        <v>37</v>
      </c>
      <c r="M15" s="344" t="s">
        <v>37</v>
      </c>
      <c r="N15" s="344" t="s">
        <v>37</v>
      </c>
      <c r="O15" s="344" t="s">
        <v>37</v>
      </c>
      <c r="P15" s="344" t="s">
        <v>37</v>
      </c>
      <c r="Q15" s="344" t="s">
        <v>37</v>
      </c>
      <c r="R15" s="344" t="s">
        <v>37</v>
      </c>
      <c r="S15" s="344" t="s">
        <v>37</v>
      </c>
      <c r="T15" s="344" t="s">
        <v>37</v>
      </c>
      <c r="U15" s="6">
        <v>352</v>
      </c>
      <c r="V15" s="6">
        <v>815</v>
      </c>
      <c r="W15" s="35">
        <f t="shared" si="0"/>
        <v>402</v>
      </c>
      <c r="X15" s="6">
        <v>728</v>
      </c>
      <c r="Y15" s="6"/>
      <c r="Z15" s="35">
        <f t="shared" si="1"/>
        <v>376</v>
      </c>
      <c r="AA15" s="35">
        <v>277</v>
      </c>
      <c r="AB15" s="35">
        <v>801</v>
      </c>
      <c r="AC15" s="35">
        <f t="shared" si="2"/>
        <v>350</v>
      </c>
      <c r="AD15" s="6">
        <v>649</v>
      </c>
      <c r="AE15" s="6"/>
      <c r="AF15" s="35">
        <f t="shared" si="3"/>
        <v>372</v>
      </c>
      <c r="AG15" s="6"/>
      <c r="AH15" s="6"/>
      <c r="AI15" s="34"/>
      <c r="AJ15" s="35">
        <v>1041</v>
      </c>
      <c r="AK15" s="35"/>
      <c r="AL15" s="35">
        <f t="shared" si="4"/>
        <v>392</v>
      </c>
      <c r="AM15" s="6">
        <v>1431</v>
      </c>
      <c r="AN15" s="6"/>
      <c r="AO15" s="35">
        <f t="shared" si="5"/>
        <v>390</v>
      </c>
      <c r="AP15" s="6">
        <v>253</v>
      </c>
      <c r="AQ15" s="6">
        <v>1560</v>
      </c>
      <c r="AR15" s="35">
        <f t="shared" si="6"/>
        <v>382</v>
      </c>
      <c r="AS15" s="6">
        <v>645</v>
      </c>
      <c r="AT15" s="6"/>
      <c r="AU15" s="35">
        <f t="shared" si="7"/>
        <v>392</v>
      </c>
      <c r="AV15" s="6">
        <v>1031</v>
      </c>
      <c r="AW15" s="6"/>
      <c r="AX15" s="35">
        <f t="shared" si="8"/>
        <v>386</v>
      </c>
      <c r="AY15" s="6">
        <v>1401</v>
      </c>
      <c r="AZ15" s="6"/>
      <c r="BA15" s="35">
        <f t="shared" si="9"/>
        <v>370</v>
      </c>
      <c r="BB15" s="6"/>
      <c r="BC15" s="35"/>
      <c r="BD15" s="6"/>
      <c r="BE15" s="6">
        <v>233</v>
      </c>
      <c r="BF15" s="6">
        <v>1560</v>
      </c>
      <c r="BG15" s="6">
        <f t="shared" si="10"/>
        <v>392</v>
      </c>
      <c r="BH15" s="6">
        <v>617</v>
      </c>
      <c r="BI15" s="6"/>
      <c r="BJ15" s="35">
        <f t="shared" si="11"/>
        <v>384</v>
      </c>
      <c r="BK15" s="6">
        <v>997</v>
      </c>
      <c r="BL15" s="6"/>
      <c r="BM15" s="6">
        <f t="shared" si="12"/>
        <v>380</v>
      </c>
      <c r="BN15" s="6">
        <v>1386</v>
      </c>
      <c r="BO15" s="6"/>
      <c r="BP15" s="35">
        <f t="shared" si="13"/>
        <v>389</v>
      </c>
      <c r="BQ15" s="6">
        <v>210</v>
      </c>
      <c r="BR15" s="35">
        <v>1560</v>
      </c>
      <c r="BS15" s="6">
        <f t="shared" si="14"/>
        <v>384</v>
      </c>
      <c r="BT15" s="6"/>
      <c r="BU15" s="6"/>
      <c r="BV15" s="6"/>
      <c r="BW15" s="6"/>
      <c r="BX15" s="35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</row>
    <row r="16" spans="1:113">
      <c r="A16" s="6">
        <v>12</v>
      </c>
      <c r="B16" s="6">
        <v>1542</v>
      </c>
      <c r="C16" s="6"/>
      <c r="D16" s="6">
        <v>355</v>
      </c>
      <c r="E16" s="230" t="s">
        <v>37</v>
      </c>
      <c r="F16" s="227" t="s">
        <v>37</v>
      </c>
      <c r="G16" s="344" t="s">
        <v>37</v>
      </c>
      <c r="H16" s="344" t="s">
        <v>37</v>
      </c>
      <c r="I16" s="344" t="s">
        <v>37</v>
      </c>
      <c r="J16" s="344" t="s">
        <v>37</v>
      </c>
      <c r="K16" s="344" t="s">
        <v>37</v>
      </c>
      <c r="L16" s="344" t="s">
        <v>37</v>
      </c>
      <c r="M16" s="344" t="s">
        <v>37</v>
      </c>
      <c r="N16" s="344" t="s">
        <v>37</v>
      </c>
      <c r="O16" s="344" t="s">
        <v>37</v>
      </c>
      <c r="P16" s="344" t="s">
        <v>37</v>
      </c>
      <c r="Q16" s="344" t="s">
        <v>37</v>
      </c>
      <c r="R16" s="344" t="s">
        <v>37</v>
      </c>
      <c r="S16" s="344" t="s">
        <v>37</v>
      </c>
      <c r="T16" s="344" t="s">
        <v>37</v>
      </c>
      <c r="U16" s="35">
        <v>347</v>
      </c>
      <c r="V16" s="35">
        <v>1587</v>
      </c>
      <c r="W16" s="35">
        <f t="shared" si="0"/>
        <v>392</v>
      </c>
      <c r="X16" s="35">
        <v>731</v>
      </c>
      <c r="Y16" s="35"/>
      <c r="Z16" s="35">
        <f t="shared" si="1"/>
        <v>384</v>
      </c>
      <c r="AA16" s="35">
        <v>1109</v>
      </c>
      <c r="AB16" s="35"/>
      <c r="AC16" s="35">
        <f t="shared" si="2"/>
        <v>378</v>
      </c>
      <c r="AD16" s="6">
        <v>1476</v>
      </c>
      <c r="AE16" s="35"/>
      <c r="AF16" s="35">
        <f t="shared" si="3"/>
        <v>367</v>
      </c>
      <c r="AG16" s="6"/>
      <c r="AH16" s="6"/>
      <c r="AI16" s="34"/>
      <c r="AJ16" s="35">
        <v>302</v>
      </c>
      <c r="AK16" s="35">
        <v>1560</v>
      </c>
      <c r="AL16" s="35">
        <f t="shared" si="4"/>
        <v>386</v>
      </c>
      <c r="AM16" s="6">
        <v>684</v>
      </c>
      <c r="AN16" s="6"/>
      <c r="AO16" s="35">
        <f t="shared" si="5"/>
        <v>382</v>
      </c>
      <c r="AP16" s="6">
        <v>1066</v>
      </c>
      <c r="AQ16" s="6"/>
      <c r="AR16" s="35">
        <f t="shared" si="6"/>
        <v>382</v>
      </c>
      <c r="AS16" s="6">
        <v>1451</v>
      </c>
      <c r="AT16" s="6"/>
      <c r="AU16" s="35">
        <f t="shared" si="7"/>
        <v>385</v>
      </c>
      <c r="AV16" s="6">
        <v>277</v>
      </c>
      <c r="AW16" s="6">
        <v>1560</v>
      </c>
      <c r="AX16" s="35">
        <f t="shared" si="8"/>
        <v>386</v>
      </c>
      <c r="AY16" s="6">
        <v>647</v>
      </c>
      <c r="AZ16" s="6"/>
      <c r="BA16" s="35">
        <f t="shared" si="9"/>
        <v>370</v>
      </c>
      <c r="BB16" s="6"/>
      <c r="BC16" s="35"/>
      <c r="BD16" s="6"/>
      <c r="BE16" s="6">
        <v>1032</v>
      </c>
      <c r="BF16" s="6"/>
      <c r="BG16" s="6">
        <f t="shared" si="10"/>
        <v>385</v>
      </c>
      <c r="BH16" s="6">
        <v>1418</v>
      </c>
      <c r="BI16" s="6"/>
      <c r="BJ16" s="35">
        <f t="shared" si="11"/>
        <v>386</v>
      </c>
      <c r="BK16" s="6">
        <v>229</v>
      </c>
      <c r="BL16" s="6">
        <v>1560</v>
      </c>
      <c r="BM16" s="6">
        <f t="shared" si="12"/>
        <v>371</v>
      </c>
      <c r="BN16" s="6">
        <v>611</v>
      </c>
      <c r="BO16" s="6"/>
      <c r="BP16" s="35">
        <f t="shared" si="13"/>
        <v>382</v>
      </c>
      <c r="BQ16" s="6">
        <v>996</v>
      </c>
      <c r="BR16" s="35"/>
      <c r="BS16" s="6">
        <f t="shared" si="14"/>
        <v>385</v>
      </c>
      <c r="BT16" s="6"/>
      <c r="BU16" s="6"/>
      <c r="BV16" s="6"/>
      <c r="BW16" s="6"/>
      <c r="BX16" s="35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</row>
    <row r="17" spans="1:113">
      <c r="A17" s="6">
        <v>13</v>
      </c>
      <c r="B17" s="6">
        <v>339</v>
      </c>
      <c r="C17" s="6"/>
      <c r="D17" s="6">
        <v>339</v>
      </c>
      <c r="E17" s="217" t="s">
        <v>37</v>
      </c>
      <c r="F17" s="222" t="s">
        <v>37</v>
      </c>
      <c r="G17" s="344" t="s">
        <v>37</v>
      </c>
      <c r="H17" s="344" t="s">
        <v>37</v>
      </c>
      <c r="I17" s="344" t="s">
        <v>37</v>
      </c>
      <c r="J17" s="344" t="s">
        <v>37</v>
      </c>
      <c r="K17" s="344" t="s">
        <v>37</v>
      </c>
      <c r="L17" s="344" t="s">
        <v>37</v>
      </c>
      <c r="M17" s="344" t="s">
        <v>37</v>
      </c>
      <c r="N17" s="344" t="s">
        <v>37</v>
      </c>
      <c r="O17" s="344" t="s">
        <v>37</v>
      </c>
      <c r="P17" s="344" t="s">
        <v>37</v>
      </c>
      <c r="Q17" s="344" t="s">
        <v>37</v>
      </c>
      <c r="R17" s="344" t="s">
        <v>37</v>
      </c>
      <c r="S17" s="344" t="s">
        <v>37</v>
      </c>
      <c r="T17" s="344" t="s">
        <v>37</v>
      </c>
      <c r="U17" s="6">
        <v>749</v>
      </c>
      <c r="V17" s="6"/>
      <c r="W17" s="35">
        <f t="shared" si="0"/>
        <v>410</v>
      </c>
      <c r="X17" s="6">
        <v>1135</v>
      </c>
      <c r="Y17" s="6"/>
      <c r="Z17" s="35">
        <f t="shared" si="1"/>
        <v>386</v>
      </c>
      <c r="AA17" s="35">
        <v>1501</v>
      </c>
      <c r="AB17" s="35"/>
      <c r="AC17" s="35">
        <f t="shared" si="2"/>
        <v>366</v>
      </c>
      <c r="AD17" s="6">
        <v>306</v>
      </c>
      <c r="AE17" s="6">
        <v>1560</v>
      </c>
      <c r="AF17" s="35">
        <f t="shared" si="3"/>
        <v>365</v>
      </c>
      <c r="AG17" s="6"/>
      <c r="AH17" s="6"/>
      <c r="AI17" s="34"/>
      <c r="AJ17" s="35">
        <v>695</v>
      </c>
      <c r="AK17" s="35"/>
      <c r="AL17" s="35">
        <f t="shared" si="4"/>
        <v>389</v>
      </c>
      <c r="AM17" s="6">
        <v>1073</v>
      </c>
      <c r="AN17" s="6"/>
      <c r="AO17" s="35">
        <f t="shared" si="5"/>
        <v>378</v>
      </c>
      <c r="AP17" s="6">
        <v>1438</v>
      </c>
      <c r="AQ17" s="6"/>
      <c r="AR17" s="35">
        <f t="shared" si="6"/>
        <v>365</v>
      </c>
      <c r="AS17" s="35">
        <v>265</v>
      </c>
      <c r="AT17" s="35">
        <v>1560</v>
      </c>
      <c r="AU17" s="35">
        <f t="shared" si="7"/>
        <v>387</v>
      </c>
      <c r="AV17" s="6">
        <v>652</v>
      </c>
      <c r="AW17" s="6"/>
      <c r="AX17" s="35">
        <f t="shared" si="8"/>
        <v>387</v>
      </c>
      <c r="AY17" s="35">
        <v>1022</v>
      </c>
      <c r="AZ17" s="6"/>
      <c r="BA17" s="35">
        <f t="shared" si="9"/>
        <v>370</v>
      </c>
      <c r="BB17" s="6"/>
      <c r="BC17" s="6"/>
      <c r="BD17" s="6"/>
      <c r="BE17" s="6">
        <v>1414</v>
      </c>
      <c r="BF17" s="6"/>
      <c r="BG17" s="6">
        <f t="shared" si="10"/>
        <v>392</v>
      </c>
      <c r="BH17" s="6">
        <v>225</v>
      </c>
      <c r="BI17" s="6">
        <v>1560</v>
      </c>
      <c r="BJ17" s="35">
        <f t="shared" si="11"/>
        <v>371</v>
      </c>
      <c r="BK17" s="6">
        <v>612</v>
      </c>
      <c r="BL17" s="6"/>
      <c r="BM17" s="6">
        <f t="shared" si="12"/>
        <v>387</v>
      </c>
      <c r="BN17" s="6">
        <v>993</v>
      </c>
      <c r="BO17" s="6"/>
      <c r="BP17" s="35">
        <f t="shared" si="13"/>
        <v>381</v>
      </c>
      <c r="BQ17" s="6">
        <v>1370</v>
      </c>
      <c r="BR17" s="6"/>
      <c r="BS17" s="6">
        <f t="shared" si="14"/>
        <v>377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</row>
    <row r="18" spans="1:113">
      <c r="A18" s="6">
        <v>14</v>
      </c>
      <c r="B18" s="6">
        <v>1341</v>
      </c>
      <c r="C18" s="6"/>
      <c r="D18" s="6">
        <v>349</v>
      </c>
      <c r="E18" s="33" t="s">
        <v>37</v>
      </c>
      <c r="F18" s="33" t="s">
        <v>37</v>
      </c>
      <c r="G18" s="344" t="s">
        <v>37</v>
      </c>
      <c r="H18" s="344" t="s">
        <v>37</v>
      </c>
      <c r="I18" s="344" t="s">
        <v>37</v>
      </c>
      <c r="J18" s="344" t="s">
        <v>37</v>
      </c>
      <c r="K18" s="344" t="s">
        <v>37</v>
      </c>
      <c r="L18" s="344" t="s">
        <v>37</v>
      </c>
      <c r="M18" s="344" t="s">
        <v>37</v>
      </c>
      <c r="N18" s="344" t="s">
        <v>37</v>
      </c>
      <c r="O18" s="344" t="s">
        <v>37</v>
      </c>
      <c r="P18" s="344" t="s">
        <v>37</v>
      </c>
      <c r="Q18" s="344" t="s">
        <v>37</v>
      </c>
      <c r="R18" s="344" t="s">
        <v>37</v>
      </c>
      <c r="S18" s="344" t="s">
        <v>37</v>
      </c>
      <c r="T18" s="344" t="s">
        <v>37</v>
      </c>
      <c r="U18" s="35">
        <v>187</v>
      </c>
      <c r="V18" s="35">
        <v>1560</v>
      </c>
      <c r="W18" s="35">
        <f t="shared" si="0"/>
        <v>406</v>
      </c>
      <c r="X18" s="35">
        <v>576</v>
      </c>
      <c r="Y18" s="35"/>
      <c r="Z18" s="35">
        <f t="shared" si="1"/>
        <v>389</v>
      </c>
      <c r="AA18" s="35">
        <v>964</v>
      </c>
      <c r="AB18" s="35"/>
      <c r="AC18" s="35">
        <f t="shared" si="2"/>
        <v>388</v>
      </c>
      <c r="AD18" s="35">
        <v>1327</v>
      </c>
      <c r="AE18" s="35"/>
      <c r="AF18" s="35">
        <f t="shared" si="3"/>
        <v>363</v>
      </c>
      <c r="AG18" s="35"/>
      <c r="AH18" s="35"/>
      <c r="AI18" s="34"/>
      <c r="AJ18" s="35">
        <v>150</v>
      </c>
      <c r="AK18" s="35">
        <v>1560</v>
      </c>
      <c r="AL18" s="35">
        <f t="shared" si="4"/>
        <v>383</v>
      </c>
      <c r="AM18" s="6">
        <v>536</v>
      </c>
      <c r="AN18" s="6"/>
      <c r="AO18" s="35">
        <f t="shared" si="5"/>
        <v>386</v>
      </c>
      <c r="AP18" s="6">
        <v>914</v>
      </c>
      <c r="AQ18" s="6"/>
      <c r="AR18" s="35">
        <f t="shared" si="6"/>
        <v>378</v>
      </c>
      <c r="AS18" s="35">
        <v>1300</v>
      </c>
      <c r="AT18" s="35"/>
      <c r="AU18" s="35">
        <f t="shared" si="7"/>
        <v>386</v>
      </c>
      <c r="AV18" s="6">
        <v>125</v>
      </c>
      <c r="AW18" s="6">
        <v>1560</v>
      </c>
      <c r="AX18" s="35">
        <f t="shared" si="8"/>
        <v>385</v>
      </c>
      <c r="AY18" s="6">
        <v>490</v>
      </c>
      <c r="AZ18" s="6"/>
      <c r="BA18" s="35">
        <f t="shared" si="9"/>
        <v>365</v>
      </c>
      <c r="BB18" s="6"/>
      <c r="BC18" s="6"/>
      <c r="BD18" s="6"/>
      <c r="BE18" s="6">
        <v>854</v>
      </c>
      <c r="BF18" s="6"/>
      <c r="BG18" s="6">
        <f t="shared" si="10"/>
        <v>364</v>
      </c>
      <c r="BH18" s="6">
        <v>1244</v>
      </c>
      <c r="BI18" s="6"/>
      <c r="BJ18" s="35">
        <f t="shared" si="11"/>
        <v>390</v>
      </c>
      <c r="BK18" s="6">
        <v>73</v>
      </c>
      <c r="BL18" s="6">
        <v>1560</v>
      </c>
      <c r="BM18" s="6">
        <f t="shared" si="12"/>
        <v>389</v>
      </c>
      <c r="BN18" s="6">
        <v>462</v>
      </c>
      <c r="BO18" s="6"/>
      <c r="BP18" s="35">
        <f t="shared" si="13"/>
        <v>389</v>
      </c>
      <c r="BQ18" s="6">
        <v>840</v>
      </c>
      <c r="BR18" s="6"/>
      <c r="BS18" s="6">
        <f t="shared" si="14"/>
        <v>378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</row>
    <row r="19" spans="1:113">
      <c r="A19" s="6">
        <v>15</v>
      </c>
      <c r="B19" s="6">
        <v>1361</v>
      </c>
      <c r="C19" s="6"/>
      <c r="D19" s="6">
        <v>365</v>
      </c>
      <c r="E19" s="33" t="s">
        <v>307</v>
      </c>
      <c r="F19" s="33" t="s">
        <v>307</v>
      </c>
      <c r="G19" s="344" t="s">
        <v>307</v>
      </c>
      <c r="H19" s="344" t="s">
        <v>307</v>
      </c>
      <c r="I19" s="344" t="s">
        <v>307</v>
      </c>
      <c r="J19" s="344" t="s">
        <v>307</v>
      </c>
      <c r="K19" s="344" t="s">
        <v>307</v>
      </c>
      <c r="L19" s="344" t="s">
        <v>307</v>
      </c>
      <c r="M19" s="344" t="s">
        <v>307</v>
      </c>
      <c r="N19" s="344" t="s">
        <v>307</v>
      </c>
      <c r="O19" s="344" t="s">
        <v>307</v>
      </c>
      <c r="P19" s="344" t="s">
        <v>307</v>
      </c>
      <c r="Q19" s="344" t="s">
        <v>307</v>
      </c>
      <c r="R19" s="344" t="s">
        <v>307</v>
      </c>
      <c r="S19" s="344" t="s">
        <v>307</v>
      </c>
      <c r="T19" s="344" t="s">
        <v>307</v>
      </c>
      <c r="U19" s="35">
        <v>0</v>
      </c>
      <c r="V19" s="35">
        <v>1561</v>
      </c>
      <c r="W19" s="35">
        <f t="shared" si="0"/>
        <v>200</v>
      </c>
      <c r="X19" s="35">
        <v>0</v>
      </c>
      <c r="Y19" s="35"/>
      <c r="Z19" s="35">
        <f t="shared" si="1"/>
        <v>0</v>
      </c>
      <c r="AA19" s="35">
        <v>0</v>
      </c>
      <c r="AB19" s="35"/>
      <c r="AC19" s="35">
        <f t="shared" si="2"/>
        <v>0</v>
      </c>
      <c r="AD19" s="35">
        <v>362</v>
      </c>
      <c r="AE19" s="35"/>
      <c r="AF19" s="35">
        <f t="shared" si="3"/>
        <v>362</v>
      </c>
      <c r="AG19" s="35"/>
      <c r="AH19" s="35"/>
      <c r="AI19" s="34"/>
      <c r="AJ19" s="35">
        <v>751</v>
      </c>
      <c r="AK19" s="35"/>
      <c r="AL19" s="35">
        <f t="shared" si="4"/>
        <v>389</v>
      </c>
      <c r="AM19" s="6">
        <v>1129</v>
      </c>
      <c r="AN19" s="6"/>
      <c r="AO19" s="35">
        <f t="shared" si="5"/>
        <v>378</v>
      </c>
      <c r="AP19" s="35">
        <v>1517</v>
      </c>
      <c r="AQ19" s="35"/>
      <c r="AR19" s="35">
        <f t="shared" si="6"/>
        <v>388</v>
      </c>
      <c r="AS19" s="35">
        <v>81</v>
      </c>
      <c r="AT19" s="35">
        <v>1820</v>
      </c>
      <c r="AU19" s="35">
        <f t="shared" si="7"/>
        <v>384</v>
      </c>
      <c r="AV19" s="35">
        <v>469</v>
      </c>
      <c r="AW19" s="35"/>
      <c r="AX19" s="35">
        <f t="shared" si="8"/>
        <v>388</v>
      </c>
      <c r="AY19" s="35">
        <v>848</v>
      </c>
      <c r="AZ19" s="35"/>
      <c r="BA19" s="35">
        <f t="shared" si="9"/>
        <v>379</v>
      </c>
      <c r="BB19" s="35"/>
      <c r="BC19" s="35"/>
      <c r="BD19" s="6"/>
      <c r="BE19" s="35">
        <v>1237</v>
      </c>
      <c r="BF19" s="6"/>
      <c r="BG19" s="6">
        <f t="shared" si="10"/>
        <v>389</v>
      </c>
      <c r="BH19" s="6">
        <v>1619</v>
      </c>
      <c r="BI19" s="6"/>
      <c r="BJ19" s="35">
        <f t="shared" si="11"/>
        <v>382</v>
      </c>
      <c r="BK19" s="6">
        <v>186</v>
      </c>
      <c r="BL19" s="6">
        <v>1820</v>
      </c>
      <c r="BM19" s="6">
        <f t="shared" si="12"/>
        <v>387</v>
      </c>
      <c r="BN19" s="6">
        <v>568</v>
      </c>
      <c r="BO19" s="6"/>
      <c r="BP19" s="35">
        <f t="shared" si="13"/>
        <v>382</v>
      </c>
      <c r="BQ19" s="6">
        <v>938</v>
      </c>
      <c r="BR19" s="6"/>
      <c r="BS19" s="6">
        <f t="shared" si="14"/>
        <v>370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</row>
    <row r="20" spans="1:113" s="65" customFormat="1">
      <c r="A20" s="63">
        <v>16</v>
      </c>
      <c r="B20" s="63">
        <v>230</v>
      </c>
      <c r="C20" s="63">
        <v>1560</v>
      </c>
      <c r="D20" s="6">
        <v>361</v>
      </c>
      <c r="E20" s="33" t="s">
        <v>37</v>
      </c>
      <c r="F20" s="33" t="s">
        <v>37</v>
      </c>
      <c r="G20" s="344" t="s">
        <v>37</v>
      </c>
      <c r="H20" s="344" t="s">
        <v>37</v>
      </c>
      <c r="I20" s="344" t="s">
        <v>37</v>
      </c>
      <c r="J20" s="357" t="s">
        <v>307</v>
      </c>
      <c r="K20" s="362" t="s">
        <v>307</v>
      </c>
      <c r="L20" s="362" t="s">
        <v>307</v>
      </c>
      <c r="M20" s="362" t="s">
        <v>307</v>
      </c>
      <c r="N20" s="362" t="s">
        <v>307</v>
      </c>
      <c r="O20" s="362" t="s">
        <v>307</v>
      </c>
      <c r="P20" s="362" t="s">
        <v>307</v>
      </c>
      <c r="Q20" s="362" t="s">
        <v>307</v>
      </c>
      <c r="R20" s="362" t="s">
        <v>307</v>
      </c>
      <c r="S20" s="362" t="s">
        <v>307</v>
      </c>
      <c r="T20" s="362" t="s">
        <v>307</v>
      </c>
      <c r="U20" s="63">
        <v>638</v>
      </c>
      <c r="V20" s="63"/>
      <c r="W20" s="35">
        <f t="shared" si="0"/>
        <v>408</v>
      </c>
      <c r="X20" s="63">
        <v>1025</v>
      </c>
      <c r="Y20" s="63"/>
      <c r="Z20" s="35">
        <f t="shared" si="1"/>
        <v>387</v>
      </c>
      <c r="AA20" s="66">
        <v>1409</v>
      </c>
      <c r="AB20" s="66"/>
      <c r="AC20" s="35">
        <f t="shared" si="2"/>
        <v>384</v>
      </c>
      <c r="AD20" s="63">
        <v>0</v>
      </c>
      <c r="AE20" s="63">
        <v>1758</v>
      </c>
      <c r="AF20" s="35">
        <f t="shared" si="3"/>
        <v>349</v>
      </c>
      <c r="AG20" s="6"/>
      <c r="AH20" s="6"/>
      <c r="AI20" s="34"/>
      <c r="AJ20" s="66">
        <v>298</v>
      </c>
      <c r="AK20" s="66"/>
      <c r="AL20" s="35">
        <f t="shared" si="4"/>
        <v>298</v>
      </c>
      <c r="AM20" s="63">
        <v>669</v>
      </c>
      <c r="AN20" s="63"/>
      <c r="AO20" s="35">
        <f t="shared" si="5"/>
        <v>371</v>
      </c>
      <c r="AP20" s="63">
        <v>1045</v>
      </c>
      <c r="AQ20" s="63"/>
      <c r="AR20" s="35">
        <f t="shared" si="6"/>
        <v>376</v>
      </c>
      <c r="AS20" s="66">
        <v>1420</v>
      </c>
      <c r="AT20" s="66"/>
      <c r="AU20" s="35">
        <f t="shared" si="7"/>
        <v>375</v>
      </c>
      <c r="AV20" s="63">
        <v>1814</v>
      </c>
      <c r="AW20" s="63"/>
      <c r="AX20" s="35">
        <f t="shared" si="8"/>
        <v>394</v>
      </c>
      <c r="AY20" s="63">
        <v>371</v>
      </c>
      <c r="AZ20" s="63">
        <v>1820</v>
      </c>
      <c r="BA20" s="35">
        <f t="shared" si="9"/>
        <v>377</v>
      </c>
      <c r="BB20" s="66"/>
      <c r="BC20" s="63"/>
      <c r="BD20" s="6"/>
      <c r="BE20" s="63">
        <v>768</v>
      </c>
      <c r="BF20" s="63"/>
      <c r="BG20" s="6">
        <f t="shared" si="10"/>
        <v>397</v>
      </c>
      <c r="BH20" s="63">
        <v>1136</v>
      </c>
      <c r="BI20" s="63"/>
      <c r="BJ20" s="35">
        <f t="shared" si="11"/>
        <v>368</v>
      </c>
      <c r="BK20" s="63">
        <v>1526</v>
      </c>
      <c r="BL20" s="63"/>
      <c r="BM20" s="6">
        <f t="shared" si="12"/>
        <v>390</v>
      </c>
      <c r="BN20" s="63">
        <v>99</v>
      </c>
      <c r="BO20" s="63">
        <v>1820</v>
      </c>
      <c r="BP20" s="35">
        <f t="shared" si="13"/>
        <v>393</v>
      </c>
      <c r="BQ20" s="63">
        <v>482</v>
      </c>
      <c r="BR20" s="63"/>
      <c r="BS20" s="6">
        <f t="shared" si="14"/>
        <v>383</v>
      </c>
      <c r="BT20" s="63"/>
      <c r="BU20" s="63"/>
      <c r="BV20" s="6"/>
      <c r="BW20" s="63"/>
      <c r="BX20" s="63"/>
      <c r="BY20" s="6"/>
      <c r="BZ20" s="63"/>
      <c r="CA20" s="63"/>
      <c r="CB20" s="6"/>
      <c r="CC20" s="63"/>
      <c r="CD20" s="63"/>
      <c r="CE20" s="6"/>
      <c r="CF20" s="63"/>
      <c r="CG20" s="63"/>
      <c r="CH20" s="6"/>
      <c r="CI20" s="63"/>
      <c r="CJ20" s="63"/>
      <c r="CK20" s="6"/>
      <c r="CL20" s="63"/>
      <c r="CM20" s="63"/>
      <c r="CN20" s="6"/>
      <c r="CO20" s="63"/>
      <c r="CP20" s="63"/>
      <c r="CQ20" s="6"/>
      <c r="CR20" s="63"/>
      <c r="CS20" s="63"/>
      <c r="CT20" s="6"/>
      <c r="CU20" s="63"/>
      <c r="CV20" s="63"/>
      <c r="CW20" s="6"/>
      <c r="CX20" s="63"/>
      <c r="CY20" s="63"/>
      <c r="CZ20" s="6"/>
      <c r="DA20" s="63"/>
      <c r="DB20" s="63"/>
      <c r="DC20" s="6"/>
      <c r="DD20" s="63"/>
      <c r="DE20" s="63"/>
      <c r="DF20" s="6"/>
      <c r="DG20" s="63"/>
      <c r="DH20" s="63"/>
      <c r="DI20" s="6"/>
    </row>
    <row r="21" spans="1:113">
      <c r="A21" s="6">
        <v>17</v>
      </c>
      <c r="B21" s="6">
        <v>1176</v>
      </c>
      <c r="C21" s="6"/>
      <c r="D21" s="6">
        <v>353</v>
      </c>
      <c r="E21" s="33" t="s">
        <v>37</v>
      </c>
      <c r="F21" s="33" t="s">
        <v>37</v>
      </c>
      <c r="G21" s="346" t="s">
        <v>37</v>
      </c>
      <c r="H21" s="344" t="s">
        <v>37</v>
      </c>
      <c r="I21" s="344" t="s">
        <v>37</v>
      </c>
      <c r="J21" s="344" t="s">
        <v>37</v>
      </c>
      <c r="K21" s="344" t="s">
        <v>37</v>
      </c>
      <c r="L21" s="344" t="s">
        <v>37</v>
      </c>
      <c r="M21" s="344" t="s">
        <v>37</v>
      </c>
      <c r="N21" s="344" t="s">
        <v>37</v>
      </c>
      <c r="O21" s="344" t="s">
        <v>37</v>
      </c>
      <c r="P21" s="344" t="s">
        <v>37</v>
      </c>
      <c r="Q21" s="344" t="s">
        <v>37</v>
      </c>
      <c r="R21" s="344" t="s">
        <v>37</v>
      </c>
      <c r="S21" s="344" t="s">
        <v>37</v>
      </c>
      <c r="T21" s="344" t="s">
        <v>37</v>
      </c>
      <c r="U21" s="6">
        <v>0</v>
      </c>
      <c r="V21" s="6">
        <v>1348</v>
      </c>
      <c r="W21" s="35">
        <f t="shared" si="0"/>
        <v>172</v>
      </c>
      <c r="X21" s="6">
        <v>363</v>
      </c>
      <c r="Y21" s="6"/>
      <c r="Z21" s="35">
        <f t="shared" si="1"/>
        <v>363</v>
      </c>
      <c r="AA21" s="35">
        <v>748</v>
      </c>
      <c r="AB21" s="35"/>
      <c r="AC21" s="35">
        <f t="shared" si="2"/>
        <v>385</v>
      </c>
      <c r="AD21" s="6">
        <v>1113</v>
      </c>
      <c r="AE21" s="6"/>
      <c r="AF21" s="35">
        <f t="shared" si="3"/>
        <v>365</v>
      </c>
      <c r="AG21" s="6"/>
      <c r="AH21" s="6"/>
      <c r="AI21" s="34"/>
      <c r="AJ21" s="35">
        <v>1502</v>
      </c>
      <c r="AK21" s="35"/>
      <c r="AL21" s="35">
        <f t="shared" si="4"/>
        <v>389</v>
      </c>
      <c r="AM21" s="6">
        <v>321</v>
      </c>
      <c r="AN21" s="6">
        <v>1560</v>
      </c>
      <c r="AO21" s="35">
        <f t="shared" si="5"/>
        <v>379</v>
      </c>
      <c r="AP21" s="6">
        <v>708</v>
      </c>
      <c r="AQ21" s="6"/>
      <c r="AR21" s="35">
        <f t="shared" si="6"/>
        <v>387</v>
      </c>
      <c r="AS21" s="35">
        <v>1097</v>
      </c>
      <c r="AT21" s="35"/>
      <c r="AU21" s="35">
        <f t="shared" si="7"/>
        <v>389</v>
      </c>
      <c r="AV21" s="6">
        <v>1483</v>
      </c>
      <c r="AW21" s="6"/>
      <c r="AX21" s="35">
        <f t="shared" si="8"/>
        <v>386</v>
      </c>
      <c r="AY21" s="6">
        <v>295</v>
      </c>
      <c r="AZ21" s="6">
        <v>1560</v>
      </c>
      <c r="BA21" s="35">
        <f t="shared" si="9"/>
        <v>372</v>
      </c>
      <c r="BB21" s="6"/>
      <c r="BC21" s="6"/>
      <c r="BD21" s="6"/>
      <c r="BE21" s="6">
        <v>685</v>
      </c>
      <c r="BF21" s="6"/>
      <c r="BG21" s="6">
        <f t="shared" si="10"/>
        <v>390</v>
      </c>
      <c r="BH21" s="6">
        <v>1059</v>
      </c>
      <c r="BI21" s="6"/>
      <c r="BJ21" s="35">
        <f t="shared" si="11"/>
        <v>374</v>
      </c>
      <c r="BK21" s="6">
        <v>369</v>
      </c>
      <c r="BL21" s="6">
        <v>1073</v>
      </c>
      <c r="BM21" s="6">
        <f t="shared" si="12"/>
        <v>383</v>
      </c>
      <c r="BN21" s="6">
        <v>755</v>
      </c>
      <c r="BO21" s="6"/>
      <c r="BP21" s="35">
        <f t="shared" si="13"/>
        <v>386</v>
      </c>
      <c r="BQ21" s="6">
        <v>1139</v>
      </c>
      <c r="BR21" s="6"/>
      <c r="BS21" s="6">
        <f t="shared" si="14"/>
        <v>384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</row>
    <row r="22" spans="1:113">
      <c r="A22" s="6">
        <v>18</v>
      </c>
      <c r="B22" s="6">
        <v>0</v>
      </c>
      <c r="C22" s="6">
        <v>1560</v>
      </c>
      <c r="D22" s="6">
        <v>65</v>
      </c>
      <c r="E22" s="33" t="s">
        <v>307</v>
      </c>
      <c r="F22" s="33" t="s">
        <v>307</v>
      </c>
      <c r="G22" s="344" t="s">
        <v>307</v>
      </c>
      <c r="H22" s="344" t="s">
        <v>307</v>
      </c>
      <c r="I22" s="344" t="s">
        <v>307</v>
      </c>
      <c r="J22" s="344" t="s">
        <v>307</v>
      </c>
      <c r="K22" s="344" t="s">
        <v>307</v>
      </c>
      <c r="L22" s="344" t="s">
        <v>307</v>
      </c>
      <c r="M22" s="344" t="s">
        <v>307</v>
      </c>
      <c r="N22" s="344" t="s">
        <v>307</v>
      </c>
      <c r="O22" s="344" t="s">
        <v>307</v>
      </c>
      <c r="P22" s="344" t="s">
        <v>307</v>
      </c>
      <c r="Q22" s="344" t="s">
        <v>307</v>
      </c>
      <c r="R22" s="344" t="s">
        <v>307</v>
      </c>
      <c r="S22" s="344" t="s">
        <v>307</v>
      </c>
      <c r="T22" s="344" t="s">
        <v>307</v>
      </c>
      <c r="U22" s="6">
        <v>0</v>
      </c>
      <c r="V22" s="6"/>
      <c r="W22" s="35">
        <f t="shared" si="0"/>
        <v>0</v>
      </c>
      <c r="X22" s="6">
        <v>0</v>
      </c>
      <c r="Y22" s="6"/>
      <c r="Z22" s="35">
        <f t="shared" si="1"/>
        <v>0</v>
      </c>
      <c r="AA22" s="35">
        <v>0</v>
      </c>
      <c r="AB22" s="35"/>
      <c r="AC22" s="35">
        <f t="shared" si="2"/>
        <v>0</v>
      </c>
      <c r="AD22" s="6">
        <v>360</v>
      </c>
      <c r="AE22" s="6"/>
      <c r="AF22" s="35">
        <f t="shared" si="3"/>
        <v>360</v>
      </c>
      <c r="AG22" s="6"/>
      <c r="AH22" s="6"/>
      <c r="AI22" s="34"/>
      <c r="AJ22" s="35">
        <v>745</v>
      </c>
      <c r="AK22" s="35"/>
      <c r="AL22" s="35">
        <f t="shared" si="4"/>
        <v>385</v>
      </c>
      <c r="AM22" s="6">
        <v>1131</v>
      </c>
      <c r="AN22" s="6"/>
      <c r="AO22" s="35">
        <f t="shared" si="5"/>
        <v>386</v>
      </c>
      <c r="AP22" s="6">
        <v>1517</v>
      </c>
      <c r="AQ22" s="6"/>
      <c r="AR22" s="35">
        <f t="shared" si="6"/>
        <v>386</v>
      </c>
      <c r="AS22" s="35">
        <v>84</v>
      </c>
      <c r="AT22" s="35">
        <v>1820</v>
      </c>
      <c r="AU22" s="35">
        <f t="shared" si="7"/>
        <v>387</v>
      </c>
      <c r="AV22" s="6">
        <v>467</v>
      </c>
      <c r="AW22" s="6"/>
      <c r="AX22" s="35">
        <f t="shared" si="8"/>
        <v>383</v>
      </c>
      <c r="AY22" s="6">
        <v>841</v>
      </c>
      <c r="AZ22" s="6"/>
      <c r="BA22" s="35">
        <f t="shared" si="9"/>
        <v>374</v>
      </c>
      <c r="BB22" s="6"/>
      <c r="BC22" s="6"/>
      <c r="BD22" s="6"/>
      <c r="BE22" s="6">
        <v>1227</v>
      </c>
      <c r="BF22" s="6"/>
      <c r="BG22" s="6">
        <f t="shared" si="10"/>
        <v>386</v>
      </c>
      <c r="BH22" s="6">
        <v>1611</v>
      </c>
      <c r="BI22" s="6"/>
      <c r="BJ22" s="35">
        <f t="shared" si="11"/>
        <v>384</v>
      </c>
      <c r="BK22" s="6">
        <v>169</v>
      </c>
      <c r="BL22" s="6">
        <v>1820</v>
      </c>
      <c r="BM22" s="6">
        <f t="shared" si="12"/>
        <v>378</v>
      </c>
      <c r="BN22" s="6">
        <v>544</v>
      </c>
      <c r="BO22" s="6"/>
      <c r="BP22" s="35">
        <f t="shared" si="13"/>
        <v>375</v>
      </c>
      <c r="BQ22" s="6">
        <v>934</v>
      </c>
      <c r="BR22" s="6"/>
      <c r="BS22" s="6">
        <f t="shared" si="14"/>
        <v>390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</row>
    <row r="23" spans="1:113">
      <c r="A23" s="274">
        <v>19</v>
      </c>
      <c r="B23" s="6">
        <v>140</v>
      </c>
      <c r="C23" s="6">
        <v>1560</v>
      </c>
      <c r="D23" s="6">
        <v>363</v>
      </c>
      <c r="E23" s="33" t="s">
        <v>37</v>
      </c>
      <c r="F23" s="33" t="s">
        <v>37</v>
      </c>
      <c r="G23" s="344" t="s">
        <v>37</v>
      </c>
      <c r="H23" s="344" t="s">
        <v>37</v>
      </c>
      <c r="I23" s="344" t="s">
        <v>37</v>
      </c>
      <c r="J23" s="346" t="s">
        <v>37</v>
      </c>
      <c r="K23" s="344" t="s">
        <v>37</v>
      </c>
      <c r="L23" s="344" t="s">
        <v>37</v>
      </c>
      <c r="M23" s="344" t="s">
        <v>37</v>
      </c>
      <c r="N23" s="344" t="s">
        <v>37</v>
      </c>
      <c r="O23" s="344" t="s">
        <v>37</v>
      </c>
      <c r="P23" s="344" t="s">
        <v>37</v>
      </c>
      <c r="Q23" s="344" t="s">
        <v>37</v>
      </c>
      <c r="R23" s="344" t="s">
        <v>37</v>
      </c>
      <c r="S23" s="344" t="s">
        <v>37</v>
      </c>
      <c r="T23" s="344" t="s">
        <v>37</v>
      </c>
      <c r="U23" s="6">
        <v>548</v>
      </c>
      <c r="V23" s="35"/>
      <c r="W23" s="35">
        <f t="shared" si="0"/>
        <v>408</v>
      </c>
      <c r="X23" s="6">
        <v>938</v>
      </c>
      <c r="Y23" s="35"/>
      <c r="Z23" s="35">
        <f t="shared" si="1"/>
        <v>390</v>
      </c>
      <c r="AA23" s="35">
        <v>1323</v>
      </c>
      <c r="AB23" s="35"/>
      <c r="AC23" s="35">
        <f t="shared" si="2"/>
        <v>385</v>
      </c>
      <c r="AD23" s="6">
        <v>0</v>
      </c>
      <c r="AE23" s="6">
        <v>1635</v>
      </c>
      <c r="AF23" s="35">
        <f t="shared" si="3"/>
        <v>312</v>
      </c>
      <c r="AG23" s="6"/>
      <c r="AH23" s="6"/>
      <c r="AI23" s="34"/>
      <c r="AJ23" s="35">
        <v>351</v>
      </c>
      <c r="AK23" s="35"/>
      <c r="AL23" s="35">
        <f t="shared" si="4"/>
        <v>351</v>
      </c>
      <c r="AM23" s="6">
        <v>724</v>
      </c>
      <c r="AN23" s="6"/>
      <c r="AO23" s="35">
        <f t="shared" si="5"/>
        <v>373</v>
      </c>
      <c r="AP23" s="6">
        <v>1112</v>
      </c>
      <c r="AQ23" s="6"/>
      <c r="AR23" s="35">
        <f t="shared" si="6"/>
        <v>388</v>
      </c>
      <c r="AS23" s="35">
        <v>1501</v>
      </c>
      <c r="AT23" s="35"/>
      <c r="AU23" s="35">
        <f t="shared" si="7"/>
        <v>389</v>
      </c>
      <c r="AV23" s="6">
        <v>323</v>
      </c>
      <c r="AW23" s="6">
        <v>1563</v>
      </c>
      <c r="AX23" s="35">
        <f t="shared" si="8"/>
        <v>385</v>
      </c>
      <c r="AY23" s="6">
        <v>696</v>
      </c>
      <c r="AZ23" s="6"/>
      <c r="BA23" s="35">
        <f t="shared" si="9"/>
        <v>373</v>
      </c>
      <c r="BB23" s="6"/>
      <c r="BC23" s="6"/>
      <c r="BD23" s="6"/>
      <c r="BE23" s="6">
        <v>1089</v>
      </c>
      <c r="BF23" s="6"/>
      <c r="BG23" s="6">
        <f t="shared" si="10"/>
        <v>393</v>
      </c>
      <c r="BH23" s="6">
        <v>1469</v>
      </c>
      <c r="BI23" s="6"/>
      <c r="BJ23" s="35">
        <f t="shared" si="11"/>
        <v>380</v>
      </c>
      <c r="BK23" s="6">
        <v>287</v>
      </c>
      <c r="BL23" s="6">
        <v>1561</v>
      </c>
      <c r="BM23" s="6">
        <f t="shared" si="12"/>
        <v>379</v>
      </c>
      <c r="BN23" s="6">
        <v>675</v>
      </c>
      <c r="BO23" s="6"/>
      <c r="BP23" s="35">
        <f t="shared" si="13"/>
        <v>388</v>
      </c>
      <c r="BQ23" s="6">
        <v>1061</v>
      </c>
      <c r="BR23" s="6"/>
      <c r="BS23" s="6">
        <f t="shared" si="14"/>
        <v>386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</row>
    <row r="24" spans="1:113">
      <c r="A24" s="6">
        <v>20</v>
      </c>
      <c r="B24" s="6">
        <v>575</v>
      </c>
      <c r="C24" s="6"/>
      <c r="D24" s="6">
        <v>360</v>
      </c>
      <c r="E24" s="257" t="s">
        <v>37</v>
      </c>
      <c r="F24" s="257" t="s">
        <v>37</v>
      </c>
      <c r="G24" s="344" t="s">
        <v>37</v>
      </c>
      <c r="H24" s="344" t="s">
        <v>37</v>
      </c>
      <c r="I24" s="344" t="s">
        <v>37</v>
      </c>
      <c r="J24" s="344" t="s">
        <v>37</v>
      </c>
      <c r="K24" s="344" t="s">
        <v>37</v>
      </c>
      <c r="L24" s="344" t="s">
        <v>37</v>
      </c>
      <c r="M24" s="344" t="s">
        <v>37</v>
      </c>
      <c r="N24" s="344" t="s">
        <v>37</v>
      </c>
      <c r="O24" s="344" t="s">
        <v>37</v>
      </c>
      <c r="P24" s="344" t="s">
        <v>37</v>
      </c>
      <c r="Q24" s="344" t="s">
        <v>37</v>
      </c>
      <c r="R24" s="344" t="s">
        <v>37</v>
      </c>
      <c r="S24" s="344" t="s">
        <v>37</v>
      </c>
      <c r="T24" s="344" t="s">
        <v>37</v>
      </c>
      <c r="U24" s="6">
        <v>979</v>
      </c>
      <c r="V24" s="6"/>
      <c r="W24" s="35">
        <f t="shared" si="0"/>
        <v>404</v>
      </c>
      <c r="X24" s="6">
        <v>1365</v>
      </c>
      <c r="Y24" s="6"/>
      <c r="Z24" s="35">
        <f t="shared" si="1"/>
        <v>386</v>
      </c>
      <c r="AA24" s="35">
        <v>186</v>
      </c>
      <c r="AB24" s="35">
        <v>1560</v>
      </c>
      <c r="AC24" s="35">
        <f t="shared" si="2"/>
        <v>381</v>
      </c>
      <c r="AD24" s="35">
        <v>553</v>
      </c>
      <c r="AE24" s="6"/>
      <c r="AF24" s="35">
        <f t="shared" si="3"/>
        <v>367</v>
      </c>
      <c r="AG24" s="6"/>
      <c r="AH24" s="6"/>
      <c r="AI24" s="34"/>
      <c r="AJ24" s="35">
        <v>922</v>
      </c>
      <c r="AK24" s="35"/>
      <c r="AL24" s="35">
        <f t="shared" si="4"/>
        <v>369</v>
      </c>
      <c r="AM24" s="6">
        <v>1285</v>
      </c>
      <c r="AN24" s="6"/>
      <c r="AO24" s="35">
        <f t="shared" si="5"/>
        <v>363</v>
      </c>
      <c r="AP24" s="6">
        <v>91</v>
      </c>
      <c r="AQ24" s="6">
        <v>1560</v>
      </c>
      <c r="AR24" s="35">
        <f t="shared" si="6"/>
        <v>366</v>
      </c>
      <c r="AS24" s="35">
        <v>463</v>
      </c>
      <c r="AT24" s="35"/>
      <c r="AU24" s="35">
        <f t="shared" si="7"/>
        <v>372</v>
      </c>
      <c r="AV24" s="6">
        <v>837</v>
      </c>
      <c r="AW24" s="6"/>
      <c r="AX24" s="35">
        <f t="shared" si="8"/>
        <v>374</v>
      </c>
      <c r="AY24" s="6">
        <v>1212</v>
      </c>
      <c r="AZ24" s="6"/>
      <c r="BA24" s="35">
        <f t="shared" si="9"/>
        <v>375</v>
      </c>
      <c r="BB24" s="6"/>
      <c r="BC24" s="6"/>
      <c r="BD24" s="6"/>
      <c r="BE24" s="6">
        <v>39</v>
      </c>
      <c r="BF24" s="6">
        <v>1560</v>
      </c>
      <c r="BG24" s="6">
        <f t="shared" si="10"/>
        <v>387</v>
      </c>
      <c r="BH24" s="6">
        <v>421</v>
      </c>
      <c r="BI24" s="6"/>
      <c r="BJ24" s="35">
        <f t="shared" si="11"/>
        <v>382</v>
      </c>
      <c r="BK24" s="6">
        <v>805</v>
      </c>
      <c r="BL24" s="6"/>
      <c r="BM24" s="6">
        <f t="shared" si="12"/>
        <v>384</v>
      </c>
      <c r="BN24" s="6">
        <v>1187</v>
      </c>
      <c r="BO24" s="6"/>
      <c r="BP24" s="35">
        <f t="shared" si="13"/>
        <v>382</v>
      </c>
      <c r="BQ24" s="6">
        <v>1571</v>
      </c>
      <c r="BR24" s="6"/>
      <c r="BS24" s="6">
        <f t="shared" si="14"/>
        <v>384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</row>
    <row r="25" spans="1:113">
      <c r="A25" s="6">
        <v>21</v>
      </c>
      <c r="B25" s="6">
        <v>1210</v>
      </c>
      <c r="C25" s="6"/>
      <c r="D25" s="6">
        <v>359</v>
      </c>
      <c r="E25" s="33" t="s">
        <v>307</v>
      </c>
      <c r="F25" s="33" t="s">
        <v>307</v>
      </c>
      <c r="G25" s="344" t="s">
        <v>307</v>
      </c>
      <c r="H25" s="344" t="s">
        <v>307</v>
      </c>
      <c r="I25" s="344" t="s">
        <v>307</v>
      </c>
      <c r="J25" s="344" t="s">
        <v>307</v>
      </c>
      <c r="K25" s="344" t="s">
        <v>307</v>
      </c>
      <c r="L25" s="344" t="s">
        <v>307</v>
      </c>
      <c r="M25" s="344" t="s">
        <v>307</v>
      </c>
      <c r="N25" s="344" t="s">
        <v>307</v>
      </c>
      <c r="O25" s="344" t="s">
        <v>307</v>
      </c>
      <c r="P25" s="344" t="s">
        <v>307</v>
      </c>
      <c r="Q25" s="344" t="s">
        <v>307</v>
      </c>
      <c r="R25" s="344" t="s">
        <v>307</v>
      </c>
      <c r="S25" s="344" t="s">
        <v>307</v>
      </c>
      <c r="T25" s="344" t="s">
        <v>307</v>
      </c>
      <c r="U25" s="6">
        <v>0</v>
      </c>
      <c r="V25" s="6">
        <v>1317</v>
      </c>
      <c r="W25" s="35">
        <f t="shared" si="0"/>
        <v>107</v>
      </c>
      <c r="X25" s="6">
        <v>0</v>
      </c>
      <c r="Y25" s="6"/>
      <c r="Z25" s="35">
        <f t="shared" si="1"/>
        <v>0</v>
      </c>
      <c r="AA25" s="35">
        <v>0</v>
      </c>
      <c r="AB25" s="35"/>
      <c r="AC25" s="35">
        <f t="shared" si="2"/>
        <v>0</v>
      </c>
      <c r="AD25" s="6">
        <v>353</v>
      </c>
      <c r="AE25" s="6"/>
      <c r="AF25" s="35">
        <f t="shared" si="3"/>
        <v>353</v>
      </c>
      <c r="AG25" s="6"/>
      <c r="AH25" s="6"/>
      <c r="AI25" s="34"/>
      <c r="AJ25" s="35">
        <v>33</v>
      </c>
      <c r="AK25" s="35">
        <v>695</v>
      </c>
      <c r="AL25" s="35">
        <f t="shared" si="4"/>
        <v>375</v>
      </c>
      <c r="AM25" s="6">
        <v>415</v>
      </c>
      <c r="AN25" s="6"/>
      <c r="AO25" s="35">
        <f t="shared" si="5"/>
        <v>382</v>
      </c>
      <c r="AP25" s="6">
        <v>802</v>
      </c>
      <c r="AQ25" s="6"/>
      <c r="AR25" s="35">
        <f t="shared" si="6"/>
        <v>387</v>
      </c>
      <c r="AS25" s="35">
        <v>1169</v>
      </c>
      <c r="AT25" s="35"/>
      <c r="AU25" s="35">
        <f t="shared" si="7"/>
        <v>367</v>
      </c>
      <c r="AV25" s="6">
        <v>1530</v>
      </c>
      <c r="AW25" s="6"/>
      <c r="AX25" s="35">
        <f t="shared" si="8"/>
        <v>361</v>
      </c>
      <c r="AY25" s="6">
        <v>74</v>
      </c>
      <c r="AZ25" s="6">
        <v>1820</v>
      </c>
      <c r="BA25" s="35">
        <f t="shared" si="9"/>
        <v>364</v>
      </c>
      <c r="BB25" s="6"/>
      <c r="BC25" s="6"/>
      <c r="BD25" s="6"/>
      <c r="BE25" s="6">
        <v>418</v>
      </c>
      <c r="BF25" s="6"/>
      <c r="BG25" s="6">
        <f t="shared" si="10"/>
        <v>344</v>
      </c>
      <c r="BH25" s="6">
        <v>752</v>
      </c>
      <c r="BI25" s="6"/>
      <c r="BJ25" s="35">
        <f t="shared" si="11"/>
        <v>334</v>
      </c>
      <c r="BK25" s="6">
        <v>1112</v>
      </c>
      <c r="BL25" s="6"/>
      <c r="BM25" s="6">
        <f t="shared" si="12"/>
        <v>360</v>
      </c>
      <c r="BN25" s="6">
        <v>1475</v>
      </c>
      <c r="BO25" s="6"/>
      <c r="BP25" s="35">
        <f t="shared" si="13"/>
        <v>363</v>
      </c>
      <c r="BQ25" s="6">
        <v>268</v>
      </c>
      <c r="BR25" s="6">
        <v>1550</v>
      </c>
      <c r="BS25" s="6">
        <f t="shared" si="14"/>
        <v>343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</row>
    <row r="26" spans="1:113">
      <c r="A26" s="274">
        <v>22</v>
      </c>
      <c r="B26" s="6">
        <v>115</v>
      </c>
      <c r="C26" s="6">
        <v>1560</v>
      </c>
      <c r="D26" s="6">
        <v>356</v>
      </c>
      <c r="E26" s="33" t="s">
        <v>37</v>
      </c>
      <c r="F26" s="33" t="s">
        <v>37</v>
      </c>
      <c r="G26" s="344" t="s">
        <v>37</v>
      </c>
      <c r="H26" s="344" t="s">
        <v>37</v>
      </c>
      <c r="I26" s="344" t="s">
        <v>37</v>
      </c>
      <c r="J26" s="346" t="s">
        <v>37</v>
      </c>
      <c r="K26" s="344" t="s">
        <v>37</v>
      </c>
      <c r="L26" s="344" t="s">
        <v>37</v>
      </c>
      <c r="M26" s="344" t="s">
        <v>37</v>
      </c>
      <c r="N26" s="344" t="s">
        <v>37</v>
      </c>
      <c r="O26" s="344" t="s">
        <v>37</v>
      </c>
      <c r="P26" s="344" t="s">
        <v>37</v>
      </c>
      <c r="Q26" s="344" t="s">
        <v>37</v>
      </c>
      <c r="R26" s="344" t="s">
        <v>37</v>
      </c>
      <c r="S26" s="344" t="s">
        <v>37</v>
      </c>
      <c r="T26" s="344" t="s">
        <v>37</v>
      </c>
      <c r="U26" s="6">
        <v>525</v>
      </c>
      <c r="V26" s="6"/>
      <c r="W26" s="35">
        <f t="shared" si="0"/>
        <v>410</v>
      </c>
      <c r="X26" s="6">
        <v>915</v>
      </c>
      <c r="Y26" s="6"/>
      <c r="Z26" s="35">
        <f t="shared" si="1"/>
        <v>390</v>
      </c>
      <c r="AA26" s="35">
        <v>1303</v>
      </c>
      <c r="AB26" s="35"/>
      <c r="AC26" s="35">
        <f t="shared" si="2"/>
        <v>388</v>
      </c>
      <c r="AD26" s="6">
        <v>0</v>
      </c>
      <c r="AE26" s="6">
        <v>1646</v>
      </c>
      <c r="AF26" s="35">
        <f t="shared" si="3"/>
        <v>343</v>
      </c>
      <c r="AG26" s="6"/>
      <c r="AH26" s="6"/>
      <c r="AI26" s="34"/>
      <c r="AJ26" s="35">
        <v>360</v>
      </c>
      <c r="AK26" s="35"/>
      <c r="AL26" s="35">
        <f t="shared" si="4"/>
        <v>360</v>
      </c>
      <c r="AM26" s="6">
        <v>746</v>
      </c>
      <c r="AN26" s="6"/>
      <c r="AO26" s="35">
        <f t="shared" si="5"/>
        <v>386</v>
      </c>
      <c r="AP26" s="6">
        <v>1133</v>
      </c>
      <c r="AQ26" s="6"/>
      <c r="AR26" s="35">
        <f t="shared" si="6"/>
        <v>387</v>
      </c>
      <c r="AS26" s="35">
        <v>1509</v>
      </c>
      <c r="AT26" s="35"/>
      <c r="AU26" s="35">
        <f t="shared" si="7"/>
        <v>376</v>
      </c>
      <c r="AV26" s="6">
        <v>331</v>
      </c>
      <c r="AW26" s="6">
        <v>1565</v>
      </c>
      <c r="AX26" s="35">
        <f t="shared" si="8"/>
        <v>387</v>
      </c>
      <c r="AY26" s="6">
        <v>707</v>
      </c>
      <c r="AZ26" s="6"/>
      <c r="BA26" s="35">
        <f t="shared" si="9"/>
        <v>376</v>
      </c>
      <c r="BB26" s="6"/>
      <c r="BC26" s="6"/>
      <c r="BD26" s="6"/>
      <c r="BE26" s="6">
        <v>1093</v>
      </c>
      <c r="BF26" s="6"/>
      <c r="BG26" s="6">
        <f t="shared" si="10"/>
        <v>386</v>
      </c>
      <c r="BH26" s="6">
        <v>1475</v>
      </c>
      <c r="BI26" s="6"/>
      <c r="BJ26" s="35">
        <f t="shared" si="11"/>
        <v>382</v>
      </c>
      <c r="BK26" s="6">
        <v>277</v>
      </c>
      <c r="BL26" s="6">
        <v>1561</v>
      </c>
      <c r="BM26" s="6">
        <f t="shared" si="12"/>
        <v>363</v>
      </c>
      <c r="BN26" s="6">
        <v>660</v>
      </c>
      <c r="BO26" s="6"/>
      <c r="BP26" s="35">
        <f t="shared" si="13"/>
        <v>383</v>
      </c>
      <c r="BQ26" s="6">
        <v>1047</v>
      </c>
      <c r="BR26" s="6"/>
      <c r="BS26" s="6">
        <f t="shared" si="14"/>
        <v>387</v>
      </c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</row>
    <row r="27" spans="1:113">
      <c r="A27" s="6">
        <v>23</v>
      </c>
      <c r="B27" s="6">
        <v>689</v>
      </c>
      <c r="C27" s="6"/>
      <c r="D27" s="6">
        <v>362</v>
      </c>
      <c r="E27" s="33" t="s">
        <v>37</v>
      </c>
      <c r="F27" s="33" t="s">
        <v>37</v>
      </c>
      <c r="G27" s="344" t="s">
        <v>37</v>
      </c>
      <c r="H27" s="344" t="s">
        <v>37</v>
      </c>
      <c r="I27" s="344" t="s">
        <v>37</v>
      </c>
      <c r="J27" s="344" t="s">
        <v>37</v>
      </c>
      <c r="K27" s="344" t="s">
        <v>37</v>
      </c>
      <c r="L27" s="344" t="s">
        <v>37</v>
      </c>
      <c r="M27" s="344" t="s">
        <v>37</v>
      </c>
      <c r="N27" s="344" t="s">
        <v>37</v>
      </c>
      <c r="O27" s="344" t="s">
        <v>37</v>
      </c>
      <c r="P27" s="344" t="s">
        <v>37</v>
      </c>
      <c r="Q27" s="344" t="s">
        <v>37</v>
      </c>
      <c r="R27" s="344" t="s">
        <v>37</v>
      </c>
      <c r="S27" s="344" t="s">
        <v>37</v>
      </c>
      <c r="T27" s="344" t="s">
        <v>37</v>
      </c>
      <c r="U27" s="35">
        <v>1097</v>
      </c>
      <c r="V27" s="35"/>
      <c r="W27" s="35">
        <f t="shared" si="0"/>
        <v>408</v>
      </c>
      <c r="X27" s="35">
        <v>1484</v>
      </c>
      <c r="Y27" s="35"/>
      <c r="Z27" s="35">
        <f t="shared" si="1"/>
        <v>387</v>
      </c>
      <c r="AA27" s="35">
        <v>310</v>
      </c>
      <c r="AB27" s="35">
        <v>1560</v>
      </c>
      <c r="AC27" s="35">
        <f t="shared" si="2"/>
        <v>386</v>
      </c>
      <c r="AD27" s="35">
        <v>680</v>
      </c>
      <c r="AE27" s="35"/>
      <c r="AF27" s="35">
        <f t="shared" si="3"/>
        <v>370</v>
      </c>
      <c r="AG27" s="35"/>
      <c r="AH27" s="35"/>
      <c r="AI27" s="34"/>
      <c r="AJ27" s="35">
        <v>1057</v>
      </c>
      <c r="AK27" s="35"/>
      <c r="AL27" s="35">
        <f t="shared" si="4"/>
        <v>377</v>
      </c>
      <c r="AM27" s="6">
        <v>1442</v>
      </c>
      <c r="AN27" s="6"/>
      <c r="AO27" s="35">
        <f t="shared" si="5"/>
        <v>385</v>
      </c>
      <c r="AP27" s="35">
        <v>264</v>
      </c>
      <c r="AQ27" s="35">
        <v>1560</v>
      </c>
      <c r="AR27" s="35">
        <f t="shared" si="6"/>
        <v>382</v>
      </c>
      <c r="AS27" s="35">
        <v>651</v>
      </c>
      <c r="AT27" s="35"/>
      <c r="AU27" s="35">
        <f t="shared" si="7"/>
        <v>387</v>
      </c>
      <c r="AV27" s="35">
        <v>1036</v>
      </c>
      <c r="AW27" s="35"/>
      <c r="AX27" s="35">
        <f t="shared" si="8"/>
        <v>385</v>
      </c>
      <c r="AY27" s="35">
        <v>1409</v>
      </c>
      <c r="AZ27" s="35"/>
      <c r="BA27" s="35">
        <f t="shared" si="9"/>
        <v>373</v>
      </c>
      <c r="BB27" s="35"/>
      <c r="BC27" s="35"/>
      <c r="BD27" s="6"/>
      <c r="BE27" s="35">
        <v>238</v>
      </c>
      <c r="BF27" s="35">
        <v>1560</v>
      </c>
      <c r="BG27" s="6">
        <f t="shared" si="10"/>
        <v>389</v>
      </c>
      <c r="BH27" s="6">
        <v>619</v>
      </c>
      <c r="BI27" s="6"/>
      <c r="BJ27" s="35">
        <f t="shared" si="11"/>
        <v>381</v>
      </c>
      <c r="BK27" s="35">
        <v>1003</v>
      </c>
      <c r="BL27" s="35"/>
      <c r="BM27" s="6">
        <f t="shared" si="12"/>
        <v>384</v>
      </c>
      <c r="BN27" s="35">
        <v>1385</v>
      </c>
      <c r="BO27" s="6"/>
      <c r="BP27" s="35">
        <f t="shared" si="13"/>
        <v>382</v>
      </c>
      <c r="BQ27" s="35">
        <v>0</v>
      </c>
      <c r="BR27" s="35">
        <v>1648</v>
      </c>
      <c r="BS27" s="6">
        <f t="shared" si="14"/>
        <v>263</v>
      </c>
      <c r="BT27" s="35"/>
      <c r="BU27" s="35"/>
      <c r="BV27" s="6"/>
      <c r="BW27" s="6"/>
      <c r="BX27" s="35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</row>
    <row r="28" spans="1:113">
      <c r="A28" s="6">
        <v>24</v>
      </c>
      <c r="B28" s="6">
        <v>1418</v>
      </c>
      <c r="C28" s="6"/>
      <c r="D28" s="6">
        <v>364</v>
      </c>
      <c r="E28" s="33" t="s">
        <v>37</v>
      </c>
      <c r="F28" s="33" t="s">
        <v>37</v>
      </c>
      <c r="G28" s="344" t="s">
        <v>37</v>
      </c>
      <c r="H28" s="344" t="s">
        <v>37</v>
      </c>
      <c r="I28" s="344" t="s">
        <v>37</v>
      </c>
      <c r="J28" s="344" t="s">
        <v>37</v>
      </c>
      <c r="K28" s="344" t="s">
        <v>37</v>
      </c>
      <c r="L28" s="344" t="s">
        <v>37</v>
      </c>
      <c r="M28" s="344" t="s">
        <v>37</v>
      </c>
      <c r="N28" s="344" t="s">
        <v>37</v>
      </c>
      <c r="O28" s="344" t="s">
        <v>37</v>
      </c>
      <c r="P28" s="344" t="s">
        <v>37</v>
      </c>
      <c r="Q28" s="344" t="s">
        <v>37</v>
      </c>
      <c r="R28" s="344" t="s">
        <v>37</v>
      </c>
      <c r="S28" s="346" t="s">
        <v>37</v>
      </c>
      <c r="T28" s="344" t="s">
        <v>37</v>
      </c>
      <c r="U28" s="6">
        <v>263</v>
      </c>
      <c r="V28" s="6">
        <v>1560</v>
      </c>
      <c r="W28" s="35">
        <f t="shared" si="0"/>
        <v>405</v>
      </c>
      <c r="X28" s="6">
        <v>642</v>
      </c>
      <c r="Y28" s="6"/>
      <c r="Z28" s="35">
        <f t="shared" si="1"/>
        <v>379</v>
      </c>
      <c r="AA28" s="35">
        <v>1030</v>
      </c>
      <c r="AB28" s="35"/>
      <c r="AC28" s="35">
        <f t="shared" si="2"/>
        <v>388</v>
      </c>
      <c r="AD28" s="6">
        <v>1400</v>
      </c>
      <c r="AE28" s="6"/>
      <c r="AF28" s="35">
        <f t="shared" si="3"/>
        <v>370</v>
      </c>
      <c r="AG28" s="6"/>
      <c r="AH28" s="6"/>
      <c r="AI28" s="34"/>
      <c r="AJ28" s="35">
        <v>230</v>
      </c>
      <c r="AK28" s="35">
        <v>1560</v>
      </c>
      <c r="AL28" s="35">
        <f t="shared" si="4"/>
        <v>390</v>
      </c>
      <c r="AM28" s="6">
        <v>619</v>
      </c>
      <c r="AN28" s="6"/>
      <c r="AO28" s="35">
        <f t="shared" si="5"/>
        <v>389</v>
      </c>
      <c r="AP28" s="6">
        <v>995</v>
      </c>
      <c r="AQ28" s="6"/>
      <c r="AR28" s="35">
        <f t="shared" si="6"/>
        <v>376</v>
      </c>
      <c r="AS28" s="6">
        <v>1384</v>
      </c>
      <c r="AT28" s="6"/>
      <c r="AU28" s="35">
        <f t="shared" si="7"/>
        <v>389</v>
      </c>
      <c r="AV28" s="6">
        <v>208</v>
      </c>
      <c r="AW28" s="6">
        <v>1561</v>
      </c>
      <c r="AX28" s="35">
        <f t="shared" si="8"/>
        <v>385</v>
      </c>
      <c r="AY28" s="6">
        <v>568</v>
      </c>
      <c r="AZ28" s="6"/>
      <c r="BA28" s="35">
        <f t="shared" si="9"/>
        <v>360</v>
      </c>
      <c r="BB28" s="6"/>
      <c r="BC28" s="35"/>
      <c r="BD28" s="6"/>
      <c r="BE28" s="6">
        <v>960</v>
      </c>
      <c r="BF28" s="6"/>
      <c r="BG28" s="6">
        <f t="shared" si="10"/>
        <v>392</v>
      </c>
      <c r="BH28" s="6">
        <v>1329</v>
      </c>
      <c r="BI28" s="6"/>
      <c r="BJ28" s="35">
        <f t="shared" si="11"/>
        <v>369</v>
      </c>
      <c r="BK28" s="6">
        <v>0</v>
      </c>
      <c r="BL28" s="6">
        <v>1612</v>
      </c>
      <c r="BM28" s="6">
        <f t="shared" si="12"/>
        <v>283</v>
      </c>
      <c r="BN28" s="6">
        <v>359</v>
      </c>
      <c r="BO28" s="6"/>
      <c r="BP28" s="35">
        <f t="shared" si="13"/>
        <v>359</v>
      </c>
      <c r="BQ28" s="6">
        <v>745</v>
      </c>
      <c r="BR28" s="35"/>
      <c r="BS28" s="6">
        <f t="shared" si="14"/>
        <v>386</v>
      </c>
      <c r="BT28" s="6"/>
      <c r="BU28" s="6"/>
      <c r="BV28" s="6"/>
      <c r="BW28" s="6"/>
      <c r="BX28" s="35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</row>
    <row r="29" spans="1:113">
      <c r="A29" s="274">
        <v>25</v>
      </c>
      <c r="B29" s="6">
        <v>1449</v>
      </c>
      <c r="C29" s="6"/>
      <c r="D29" s="6">
        <v>366</v>
      </c>
      <c r="E29" s="33" t="s">
        <v>307</v>
      </c>
      <c r="F29" s="33" t="s">
        <v>307</v>
      </c>
      <c r="G29" s="344" t="s">
        <v>307</v>
      </c>
      <c r="H29" s="344" t="s">
        <v>307</v>
      </c>
      <c r="I29" s="344" t="s">
        <v>307</v>
      </c>
      <c r="J29" s="344" t="s">
        <v>307</v>
      </c>
      <c r="K29" s="344" t="s">
        <v>307</v>
      </c>
      <c r="L29" s="344" t="s">
        <v>307</v>
      </c>
      <c r="M29" s="344" t="s">
        <v>307</v>
      </c>
      <c r="N29" s="344" t="s">
        <v>307</v>
      </c>
      <c r="O29" s="399" t="s">
        <v>37</v>
      </c>
      <c r="P29" s="401" t="s">
        <v>37</v>
      </c>
      <c r="Q29" s="401" t="s">
        <v>37</v>
      </c>
      <c r="R29" s="401" t="s">
        <v>37</v>
      </c>
      <c r="S29" s="401" t="s">
        <v>37</v>
      </c>
      <c r="T29" s="401" t="s">
        <v>37</v>
      </c>
      <c r="U29" s="6">
        <v>0</v>
      </c>
      <c r="V29" s="6">
        <v>1560</v>
      </c>
      <c r="W29" s="35">
        <f t="shared" si="0"/>
        <v>111</v>
      </c>
      <c r="X29" s="6">
        <v>0</v>
      </c>
      <c r="Y29" s="6"/>
      <c r="Z29" s="35">
        <f t="shared" si="1"/>
        <v>0</v>
      </c>
      <c r="AA29" s="35">
        <v>0</v>
      </c>
      <c r="AB29" s="35"/>
      <c r="AC29" s="35">
        <f t="shared" si="2"/>
        <v>0</v>
      </c>
      <c r="AD29" s="6">
        <v>354</v>
      </c>
      <c r="AE29" s="6"/>
      <c r="AF29" s="35">
        <f t="shared" si="3"/>
        <v>354</v>
      </c>
      <c r="AG29" s="6"/>
      <c r="AH29" s="6"/>
      <c r="AI29" s="34"/>
      <c r="AJ29" s="35">
        <v>735</v>
      </c>
      <c r="AK29" s="35"/>
      <c r="AL29" s="35">
        <f t="shared" si="4"/>
        <v>381</v>
      </c>
      <c r="AM29" s="6">
        <v>1122</v>
      </c>
      <c r="AN29" s="6"/>
      <c r="AO29" s="35">
        <f t="shared" si="5"/>
        <v>387</v>
      </c>
      <c r="AP29" s="6">
        <v>1512</v>
      </c>
      <c r="AQ29" s="6"/>
      <c r="AR29" s="35">
        <f t="shared" si="6"/>
        <v>390</v>
      </c>
      <c r="AS29" s="35">
        <v>83</v>
      </c>
      <c r="AT29" s="35">
        <v>1820</v>
      </c>
      <c r="AU29" s="35">
        <f t="shared" si="7"/>
        <v>391</v>
      </c>
      <c r="AV29" s="6">
        <v>471</v>
      </c>
      <c r="AW29" s="6"/>
      <c r="AX29" s="35">
        <f t="shared" si="8"/>
        <v>388</v>
      </c>
      <c r="AY29" s="6">
        <v>270</v>
      </c>
      <c r="AZ29" s="6">
        <v>559</v>
      </c>
      <c r="BA29" s="35">
        <f t="shared" si="9"/>
        <v>358</v>
      </c>
      <c r="BB29" s="35"/>
      <c r="BC29" s="6"/>
      <c r="BD29" s="6"/>
      <c r="BE29" s="6">
        <v>661</v>
      </c>
      <c r="BF29" s="6"/>
      <c r="BG29" s="6">
        <f t="shared" si="10"/>
        <v>391</v>
      </c>
      <c r="BH29" s="6">
        <v>1033</v>
      </c>
      <c r="BI29" s="6"/>
      <c r="BJ29" s="35">
        <f t="shared" si="11"/>
        <v>372</v>
      </c>
      <c r="BK29" s="6">
        <v>1425</v>
      </c>
      <c r="BL29" s="6"/>
      <c r="BM29" s="6">
        <f t="shared" si="12"/>
        <v>392</v>
      </c>
      <c r="BN29" s="6">
        <v>253</v>
      </c>
      <c r="BO29" s="6">
        <v>1560</v>
      </c>
      <c r="BP29" s="35">
        <f t="shared" si="13"/>
        <v>388</v>
      </c>
      <c r="BQ29" s="6">
        <v>626</v>
      </c>
      <c r="BR29" s="6"/>
      <c r="BS29" s="6">
        <f t="shared" si="14"/>
        <v>373</v>
      </c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</row>
    <row r="30" spans="1:113">
      <c r="A30" s="274">
        <v>26</v>
      </c>
      <c r="B30" s="6">
        <v>1137</v>
      </c>
      <c r="C30" s="6"/>
      <c r="D30" s="6">
        <v>363</v>
      </c>
      <c r="E30" s="33" t="s">
        <v>307</v>
      </c>
      <c r="F30" s="33" t="s">
        <v>307</v>
      </c>
      <c r="G30" s="344" t="s">
        <v>307</v>
      </c>
      <c r="H30" s="344" t="s">
        <v>307</v>
      </c>
      <c r="I30" s="344" t="s">
        <v>307</v>
      </c>
      <c r="J30" s="344" t="s">
        <v>307</v>
      </c>
      <c r="K30" s="344" t="s">
        <v>307</v>
      </c>
      <c r="L30" s="344" t="s">
        <v>307</v>
      </c>
      <c r="M30" s="344" t="s">
        <v>307</v>
      </c>
      <c r="N30" s="344" t="s">
        <v>307</v>
      </c>
      <c r="O30" s="344" t="s">
        <v>307</v>
      </c>
      <c r="P30" s="405" t="s">
        <v>37</v>
      </c>
      <c r="Q30" s="406" t="s">
        <v>37</v>
      </c>
      <c r="R30" s="406" t="s">
        <v>37</v>
      </c>
      <c r="S30" s="406" t="s">
        <v>37</v>
      </c>
      <c r="T30" s="406" t="s">
        <v>37</v>
      </c>
      <c r="U30" s="6">
        <v>1547</v>
      </c>
      <c r="V30" s="6"/>
      <c r="W30" s="35">
        <f t="shared" si="0"/>
        <v>410</v>
      </c>
      <c r="X30" s="6">
        <v>0</v>
      </c>
      <c r="Y30" s="6">
        <v>1560</v>
      </c>
      <c r="Z30" s="35">
        <f t="shared" si="1"/>
        <v>13</v>
      </c>
      <c r="AA30" s="35">
        <v>0</v>
      </c>
      <c r="AB30" s="35"/>
      <c r="AC30" s="35">
        <f t="shared" si="2"/>
        <v>0</v>
      </c>
      <c r="AD30" s="6">
        <v>366</v>
      </c>
      <c r="AE30" s="6"/>
      <c r="AF30" s="35">
        <f t="shared" si="3"/>
        <v>366</v>
      </c>
      <c r="AG30" s="6"/>
      <c r="AH30" s="6"/>
      <c r="AI30" s="34"/>
      <c r="AJ30" s="35">
        <v>755</v>
      </c>
      <c r="AK30" s="35"/>
      <c r="AL30" s="35">
        <f t="shared" si="4"/>
        <v>389</v>
      </c>
      <c r="AM30" s="6">
        <v>1144</v>
      </c>
      <c r="AN30" s="6"/>
      <c r="AO30" s="35">
        <f t="shared" si="5"/>
        <v>389</v>
      </c>
      <c r="AP30" s="6">
        <v>1529</v>
      </c>
      <c r="AQ30" s="6"/>
      <c r="AR30" s="35">
        <f t="shared" si="6"/>
        <v>385</v>
      </c>
      <c r="AS30" s="35">
        <v>94</v>
      </c>
      <c r="AT30" s="35">
        <v>1820</v>
      </c>
      <c r="AU30" s="35">
        <f t="shared" si="7"/>
        <v>385</v>
      </c>
      <c r="AV30" s="6">
        <v>478</v>
      </c>
      <c r="AW30" s="6"/>
      <c r="AX30" s="35">
        <f t="shared" si="8"/>
        <v>384</v>
      </c>
      <c r="AY30" s="6">
        <v>820</v>
      </c>
      <c r="AZ30" s="6"/>
      <c r="BA30" s="35">
        <f t="shared" si="9"/>
        <v>342</v>
      </c>
      <c r="BB30" s="6"/>
      <c r="BC30" s="6"/>
      <c r="BD30" s="6"/>
      <c r="BE30" s="6">
        <v>375</v>
      </c>
      <c r="BF30" s="6">
        <v>830</v>
      </c>
      <c r="BG30" s="6">
        <f t="shared" si="10"/>
        <v>385</v>
      </c>
      <c r="BH30" s="6">
        <v>757</v>
      </c>
      <c r="BI30" s="6"/>
      <c r="BJ30" s="35">
        <f t="shared" si="11"/>
        <v>382</v>
      </c>
      <c r="BK30" s="6">
        <v>1135</v>
      </c>
      <c r="BL30" s="6"/>
      <c r="BM30" s="6">
        <f t="shared" si="12"/>
        <v>378</v>
      </c>
      <c r="BN30" s="6">
        <v>148</v>
      </c>
      <c r="BO30" s="6">
        <v>1350</v>
      </c>
      <c r="BP30" s="35">
        <f t="shared" si="13"/>
        <v>363</v>
      </c>
      <c r="BQ30" s="6">
        <v>522</v>
      </c>
      <c r="BR30" s="6"/>
      <c r="BS30" s="6">
        <f t="shared" si="14"/>
        <v>374</v>
      </c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</row>
    <row r="31" spans="1:113">
      <c r="A31" s="274">
        <v>27</v>
      </c>
      <c r="B31" s="6">
        <v>1318</v>
      </c>
      <c r="C31" s="6"/>
      <c r="D31" s="6">
        <v>369</v>
      </c>
      <c r="E31" s="33" t="s">
        <v>307</v>
      </c>
      <c r="F31" s="33" t="s">
        <v>307</v>
      </c>
      <c r="G31" s="344" t="s">
        <v>307</v>
      </c>
      <c r="H31" s="344" t="s">
        <v>307</v>
      </c>
      <c r="I31" s="344" t="s">
        <v>307</v>
      </c>
      <c r="J31" s="344" t="s">
        <v>307</v>
      </c>
      <c r="K31" s="344" t="s">
        <v>307</v>
      </c>
      <c r="L31" s="381" t="s">
        <v>37</v>
      </c>
      <c r="M31" s="387" t="s">
        <v>37</v>
      </c>
      <c r="N31" s="387" t="s">
        <v>37</v>
      </c>
      <c r="O31" s="387" t="s">
        <v>37</v>
      </c>
      <c r="P31" s="387" t="s">
        <v>37</v>
      </c>
      <c r="Q31" s="387" t="s">
        <v>37</v>
      </c>
      <c r="R31" s="387" t="s">
        <v>37</v>
      </c>
      <c r="S31" s="387" t="s">
        <v>37</v>
      </c>
      <c r="T31" s="387" t="s">
        <v>37</v>
      </c>
      <c r="U31" s="6">
        <v>0</v>
      </c>
      <c r="V31" s="6">
        <v>1560</v>
      </c>
      <c r="W31" s="35">
        <f t="shared" si="0"/>
        <v>242</v>
      </c>
      <c r="X31" s="6">
        <v>0</v>
      </c>
      <c r="Y31" s="6"/>
      <c r="Z31" s="35">
        <f t="shared" si="1"/>
        <v>0</v>
      </c>
      <c r="AA31" s="35">
        <v>0</v>
      </c>
      <c r="AB31" s="35"/>
      <c r="AC31" s="35">
        <f t="shared" si="2"/>
        <v>0</v>
      </c>
      <c r="AD31" s="6">
        <v>371</v>
      </c>
      <c r="AE31" s="6"/>
      <c r="AF31" s="35">
        <f t="shared" si="3"/>
        <v>371</v>
      </c>
      <c r="AG31" s="6"/>
      <c r="AH31" s="6"/>
      <c r="AI31" s="34"/>
      <c r="AJ31" s="35">
        <v>764</v>
      </c>
      <c r="AK31" s="35"/>
      <c r="AL31" s="35">
        <f t="shared" si="4"/>
        <v>393</v>
      </c>
      <c r="AM31" s="6">
        <v>1156</v>
      </c>
      <c r="AN31" s="6"/>
      <c r="AO31" s="35">
        <f t="shared" si="5"/>
        <v>392</v>
      </c>
      <c r="AP31" s="6">
        <v>299</v>
      </c>
      <c r="AQ31" s="6">
        <v>1187</v>
      </c>
      <c r="AR31" s="35">
        <f t="shared" si="6"/>
        <v>330</v>
      </c>
      <c r="AS31" s="35">
        <v>681</v>
      </c>
      <c r="AT31" s="35"/>
      <c r="AU31" s="35">
        <f t="shared" si="7"/>
        <v>382</v>
      </c>
      <c r="AV31" s="6">
        <v>1073</v>
      </c>
      <c r="AW31" s="6"/>
      <c r="AX31" s="35">
        <f t="shared" si="8"/>
        <v>392</v>
      </c>
      <c r="AY31" s="6">
        <v>1446</v>
      </c>
      <c r="AZ31" s="6"/>
      <c r="BA31" s="35">
        <f t="shared" si="9"/>
        <v>373</v>
      </c>
      <c r="BB31" s="6"/>
      <c r="BC31" s="6"/>
      <c r="BD31" s="6"/>
      <c r="BE31" s="6">
        <v>283</v>
      </c>
      <c r="BF31" s="6">
        <v>1560</v>
      </c>
      <c r="BG31" s="6">
        <f t="shared" si="10"/>
        <v>397</v>
      </c>
      <c r="BH31" s="6">
        <v>673</v>
      </c>
      <c r="BI31" s="6"/>
      <c r="BJ31" s="35">
        <f t="shared" si="11"/>
        <v>390</v>
      </c>
      <c r="BK31" s="6">
        <v>1063</v>
      </c>
      <c r="BL31" s="6"/>
      <c r="BM31" s="6">
        <f t="shared" si="12"/>
        <v>390</v>
      </c>
      <c r="BN31" s="6">
        <v>1455</v>
      </c>
      <c r="BO31" s="6"/>
      <c r="BP31" s="35">
        <f t="shared" si="13"/>
        <v>392</v>
      </c>
      <c r="BQ31" s="6">
        <v>282</v>
      </c>
      <c r="BR31" s="6">
        <v>1560</v>
      </c>
      <c r="BS31" s="6">
        <f t="shared" si="14"/>
        <v>387</v>
      </c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</row>
    <row r="32" spans="1:113">
      <c r="A32" s="6">
        <v>28</v>
      </c>
      <c r="B32" s="6">
        <v>279</v>
      </c>
      <c r="C32" s="6">
        <v>1773</v>
      </c>
      <c r="D32" s="6">
        <v>331</v>
      </c>
      <c r="E32" s="148" t="s">
        <v>37</v>
      </c>
      <c r="F32" s="33" t="s">
        <v>37</v>
      </c>
      <c r="G32" s="344" t="s">
        <v>37</v>
      </c>
      <c r="H32" s="344" t="s">
        <v>37</v>
      </c>
      <c r="I32" s="344" t="s">
        <v>37</v>
      </c>
      <c r="J32" s="344" t="s">
        <v>37</v>
      </c>
      <c r="K32" s="344" t="s">
        <v>37</v>
      </c>
      <c r="L32" s="344" t="s">
        <v>37</v>
      </c>
      <c r="M32" s="344" t="s">
        <v>37</v>
      </c>
      <c r="N32" s="344" t="s">
        <v>37</v>
      </c>
      <c r="O32" s="344" t="s">
        <v>37</v>
      </c>
      <c r="P32" s="344" t="s">
        <v>37</v>
      </c>
      <c r="Q32" s="344" t="s">
        <v>37</v>
      </c>
      <c r="R32" s="344" t="s">
        <v>37</v>
      </c>
      <c r="S32" s="344" t="s">
        <v>37</v>
      </c>
      <c r="T32" s="344" t="s">
        <v>37</v>
      </c>
      <c r="U32" s="35">
        <v>684</v>
      </c>
      <c r="V32" s="35"/>
      <c r="W32" s="35">
        <f t="shared" si="0"/>
        <v>405</v>
      </c>
      <c r="X32" s="35">
        <v>1066</v>
      </c>
      <c r="Y32" s="35"/>
      <c r="Z32" s="35">
        <f t="shared" si="1"/>
        <v>382</v>
      </c>
      <c r="AA32" s="35">
        <v>1434</v>
      </c>
      <c r="AB32" s="35"/>
      <c r="AC32" s="35">
        <f t="shared" si="2"/>
        <v>368</v>
      </c>
      <c r="AD32" s="35">
        <v>236</v>
      </c>
      <c r="AE32" s="35">
        <v>1560</v>
      </c>
      <c r="AF32" s="35">
        <f t="shared" si="3"/>
        <v>362</v>
      </c>
      <c r="AG32" s="6"/>
      <c r="AH32" s="6"/>
      <c r="AI32" s="34"/>
      <c r="AJ32" s="35">
        <v>620</v>
      </c>
      <c r="AK32" s="35"/>
      <c r="AL32" s="35">
        <f t="shared" si="4"/>
        <v>384</v>
      </c>
      <c r="AM32" s="6">
        <v>988</v>
      </c>
      <c r="AN32" s="6"/>
      <c r="AO32" s="35">
        <f t="shared" si="5"/>
        <v>368</v>
      </c>
      <c r="AP32" s="6">
        <v>1369</v>
      </c>
      <c r="AQ32" s="6"/>
      <c r="AR32" s="35">
        <f t="shared" si="6"/>
        <v>381</v>
      </c>
      <c r="AS32" s="6">
        <v>189</v>
      </c>
      <c r="AT32" s="6">
        <v>1561</v>
      </c>
      <c r="AU32" s="35">
        <f t="shared" si="7"/>
        <v>381</v>
      </c>
      <c r="AV32" s="6">
        <v>571</v>
      </c>
      <c r="AW32" s="6"/>
      <c r="AX32" s="35">
        <f t="shared" si="8"/>
        <v>382</v>
      </c>
      <c r="AY32" s="6">
        <v>948</v>
      </c>
      <c r="AZ32" s="6"/>
      <c r="BA32" s="35">
        <f t="shared" si="9"/>
        <v>377</v>
      </c>
      <c r="BB32" s="6"/>
      <c r="BC32" s="35"/>
      <c r="BD32" s="6"/>
      <c r="BE32" s="6">
        <v>1340</v>
      </c>
      <c r="BF32" s="6"/>
      <c r="BG32" s="6">
        <f t="shared" si="10"/>
        <v>392</v>
      </c>
      <c r="BH32" s="6">
        <v>163</v>
      </c>
      <c r="BI32" s="6">
        <v>1560</v>
      </c>
      <c r="BJ32" s="35">
        <f t="shared" si="11"/>
        <v>383</v>
      </c>
      <c r="BK32" s="6">
        <v>549</v>
      </c>
      <c r="BL32" s="6"/>
      <c r="BM32" s="6">
        <f t="shared" si="12"/>
        <v>386</v>
      </c>
      <c r="BN32" s="6">
        <v>938</v>
      </c>
      <c r="BO32" s="6"/>
      <c r="BP32" s="35">
        <f t="shared" si="13"/>
        <v>389</v>
      </c>
      <c r="BQ32" s="6">
        <v>1323</v>
      </c>
      <c r="BR32" s="35"/>
      <c r="BS32" s="6">
        <f t="shared" si="14"/>
        <v>385</v>
      </c>
      <c r="BT32" s="6"/>
      <c r="BU32" s="6"/>
      <c r="BV32" s="6"/>
      <c r="BW32" s="6"/>
      <c r="BX32" s="35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</row>
    <row r="33" spans="1:113">
      <c r="A33" s="6">
        <v>29</v>
      </c>
      <c r="B33" s="6">
        <v>0</v>
      </c>
      <c r="C33" s="6">
        <v>987</v>
      </c>
      <c r="D33" s="6">
        <v>247</v>
      </c>
      <c r="E33" s="33" t="s">
        <v>307</v>
      </c>
      <c r="F33" s="33" t="s">
        <v>307</v>
      </c>
      <c r="G33" s="344" t="s">
        <v>307</v>
      </c>
      <c r="H33" s="344" t="s">
        <v>307</v>
      </c>
      <c r="I33" s="344" t="s">
        <v>307</v>
      </c>
      <c r="J33" s="344" t="s">
        <v>307</v>
      </c>
      <c r="K33" s="344" t="s">
        <v>307</v>
      </c>
      <c r="L33" s="344" t="s">
        <v>307</v>
      </c>
      <c r="M33" s="344" t="s">
        <v>307</v>
      </c>
      <c r="N33" s="344" t="s">
        <v>307</v>
      </c>
      <c r="O33" s="344" t="s">
        <v>307</v>
      </c>
      <c r="P33" s="344" t="s">
        <v>307</v>
      </c>
      <c r="Q33" s="344" t="s">
        <v>307</v>
      </c>
      <c r="R33" s="344" t="s">
        <v>307</v>
      </c>
      <c r="S33" s="344" t="s">
        <v>307</v>
      </c>
      <c r="T33" s="344" t="s">
        <v>307</v>
      </c>
      <c r="U33" s="35">
        <v>0</v>
      </c>
      <c r="V33" s="35"/>
      <c r="W33" s="35">
        <f t="shared" si="0"/>
        <v>0</v>
      </c>
      <c r="X33" s="35">
        <v>0</v>
      </c>
      <c r="Y33" s="35"/>
      <c r="Z33" s="35">
        <f t="shared" si="1"/>
        <v>0</v>
      </c>
      <c r="AA33" s="35">
        <v>0</v>
      </c>
      <c r="AB33" s="35"/>
      <c r="AC33" s="35">
        <f t="shared" si="2"/>
        <v>0</v>
      </c>
      <c r="AD33" s="35">
        <v>349</v>
      </c>
      <c r="AE33" s="35"/>
      <c r="AF33" s="35">
        <f t="shared" si="3"/>
        <v>349</v>
      </c>
      <c r="AG33" s="35"/>
      <c r="AH33" s="35"/>
      <c r="AI33" s="34"/>
      <c r="AJ33" s="35">
        <v>720</v>
      </c>
      <c r="AK33" s="35"/>
      <c r="AL33" s="35">
        <f t="shared" si="4"/>
        <v>371</v>
      </c>
      <c r="AM33" s="6">
        <v>216</v>
      </c>
      <c r="AN33" s="6">
        <v>851</v>
      </c>
      <c r="AO33" s="35">
        <f t="shared" si="5"/>
        <v>347</v>
      </c>
      <c r="AP33" s="6">
        <v>561</v>
      </c>
      <c r="AQ33" s="6"/>
      <c r="AR33" s="35">
        <f t="shared" si="6"/>
        <v>345</v>
      </c>
      <c r="AS33" s="6">
        <v>858</v>
      </c>
      <c r="AT33" s="6"/>
      <c r="AU33" s="35">
        <f t="shared" si="7"/>
        <v>297</v>
      </c>
      <c r="AV33" s="6">
        <v>1200</v>
      </c>
      <c r="AW33" s="6"/>
      <c r="AX33" s="35">
        <f t="shared" si="8"/>
        <v>342</v>
      </c>
      <c r="AY33" s="6">
        <v>1562</v>
      </c>
      <c r="AZ33" s="6"/>
      <c r="BA33" s="35">
        <f t="shared" si="9"/>
        <v>362</v>
      </c>
      <c r="BB33" s="6"/>
      <c r="BC33" s="35"/>
      <c r="BD33" s="6"/>
      <c r="BE33" s="6">
        <v>103</v>
      </c>
      <c r="BF33" s="6">
        <v>1820</v>
      </c>
      <c r="BG33" s="6">
        <f t="shared" si="10"/>
        <v>361</v>
      </c>
      <c r="BH33" s="6">
        <v>476</v>
      </c>
      <c r="BI33" s="6"/>
      <c r="BJ33" s="35">
        <f t="shared" si="11"/>
        <v>373</v>
      </c>
      <c r="BK33" s="6">
        <v>858</v>
      </c>
      <c r="BL33" s="6"/>
      <c r="BM33" s="6">
        <f t="shared" si="12"/>
        <v>382</v>
      </c>
      <c r="BN33" s="6">
        <v>1231</v>
      </c>
      <c r="BO33" s="6"/>
      <c r="BP33" s="35">
        <f t="shared" si="13"/>
        <v>373</v>
      </c>
      <c r="BQ33" s="6">
        <v>1599</v>
      </c>
      <c r="BR33" s="35"/>
      <c r="BS33" s="6">
        <f t="shared" si="14"/>
        <v>368</v>
      </c>
      <c r="BT33" s="6"/>
      <c r="BU33" s="6"/>
      <c r="BV33" s="6"/>
      <c r="BW33" s="6"/>
      <c r="BX33" s="35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</row>
    <row r="34" spans="1:113">
      <c r="A34" s="6">
        <v>30</v>
      </c>
      <c r="B34" s="6">
        <v>952</v>
      </c>
      <c r="C34" s="6"/>
      <c r="D34" s="6">
        <v>357</v>
      </c>
      <c r="E34" s="33" t="s">
        <v>37</v>
      </c>
      <c r="F34" s="33" t="s">
        <v>37</v>
      </c>
      <c r="G34" s="344" t="s">
        <v>37</v>
      </c>
      <c r="H34" s="344" t="s">
        <v>37</v>
      </c>
      <c r="I34" s="344" t="s">
        <v>37</v>
      </c>
      <c r="J34" s="344" t="s">
        <v>37</v>
      </c>
      <c r="K34" s="344" t="s">
        <v>37</v>
      </c>
      <c r="L34" s="344" t="s">
        <v>37</v>
      </c>
      <c r="M34" s="344" t="s">
        <v>37</v>
      </c>
      <c r="N34" s="344" t="s">
        <v>37</v>
      </c>
      <c r="O34" s="344" t="s">
        <v>37</v>
      </c>
      <c r="P34" s="344" t="s">
        <v>37</v>
      </c>
      <c r="Q34" s="344" t="s">
        <v>37</v>
      </c>
      <c r="R34" s="344" t="s">
        <v>37</v>
      </c>
      <c r="S34" s="344" t="s">
        <v>37</v>
      </c>
      <c r="T34" s="346" t="s">
        <v>37</v>
      </c>
      <c r="U34" s="6">
        <v>1351</v>
      </c>
      <c r="V34" s="6"/>
      <c r="W34" s="35">
        <f t="shared" si="0"/>
        <v>399</v>
      </c>
      <c r="X34" s="6">
        <v>251</v>
      </c>
      <c r="Y34" s="6">
        <v>1488</v>
      </c>
      <c r="Z34" s="35">
        <f t="shared" si="1"/>
        <v>388</v>
      </c>
      <c r="AA34" s="35">
        <v>634</v>
      </c>
      <c r="AB34" s="35"/>
      <c r="AC34" s="35">
        <f t="shared" si="2"/>
        <v>383</v>
      </c>
      <c r="AD34" s="6">
        <v>1007</v>
      </c>
      <c r="AE34" s="6"/>
      <c r="AF34" s="35">
        <f t="shared" si="3"/>
        <v>373</v>
      </c>
      <c r="AG34" s="6"/>
      <c r="AH34" s="6"/>
      <c r="AI34" s="34"/>
      <c r="AJ34" s="35">
        <v>7</v>
      </c>
      <c r="AK34" s="35">
        <v>1373</v>
      </c>
      <c r="AL34" s="35">
        <f t="shared" si="4"/>
        <v>373</v>
      </c>
      <c r="AM34" s="6">
        <v>392</v>
      </c>
      <c r="AN34" s="6"/>
      <c r="AO34" s="35">
        <f t="shared" si="5"/>
        <v>385</v>
      </c>
      <c r="AP34" s="6">
        <v>776</v>
      </c>
      <c r="AQ34" s="6"/>
      <c r="AR34" s="35">
        <f t="shared" si="6"/>
        <v>384</v>
      </c>
      <c r="AS34" s="35">
        <v>1164</v>
      </c>
      <c r="AT34" s="35"/>
      <c r="AU34" s="35">
        <f t="shared" si="7"/>
        <v>388</v>
      </c>
      <c r="AV34" s="6">
        <v>1550</v>
      </c>
      <c r="AW34" s="6"/>
      <c r="AX34" s="35">
        <f t="shared" si="8"/>
        <v>386</v>
      </c>
      <c r="AY34" s="6">
        <v>366</v>
      </c>
      <c r="AZ34" s="6">
        <v>1561</v>
      </c>
      <c r="BA34" s="35">
        <f t="shared" si="9"/>
        <v>377</v>
      </c>
      <c r="BB34" s="6"/>
      <c r="BC34" s="6"/>
      <c r="BD34" s="6"/>
      <c r="BE34" s="6">
        <v>756</v>
      </c>
      <c r="BF34" s="6"/>
      <c r="BG34" s="6">
        <f t="shared" si="10"/>
        <v>390</v>
      </c>
      <c r="BH34" s="6">
        <v>1141</v>
      </c>
      <c r="BI34" s="6"/>
      <c r="BJ34" s="35">
        <f t="shared" si="11"/>
        <v>385</v>
      </c>
      <c r="BK34" s="6">
        <v>1520</v>
      </c>
      <c r="BL34" s="6"/>
      <c r="BM34" s="6">
        <f t="shared" si="12"/>
        <v>379</v>
      </c>
      <c r="BN34" s="6">
        <v>0</v>
      </c>
      <c r="BO34" s="6">
        <v>1856</v>
      </c>
      <c r="BP34" s="35">
        <f t="shared" si="13"/>
        <v>336</v>
      </c>
      <c r="BQ34" s="6">
        <v>367</v>
      </c>
      <c r="BR34" s="6"/>
      <c r="BS34" s="6">
        <f t="shared" si="14"/>
        <v>367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</row>
    <row r="35" spans="1:113">
      <c r="A35" s="6">
        <v>31</v>
      </c>
      <c r="B35" s="6">
        <v>997</v>
      </c>
      <c r="C35" s="6"/>
      <c r="D35" s="6">
        <v>364</v>
      </c>
      <c r="E35" s="33" t="s">
        <v>37</v>
      </c>
      <c r="F35" s="33" t="s">
        <v>37</v>
      </c>
      <c r="G35" s="344" t="s">
        <v>37</v>
      </c>
      <c r="H35" s="344" t="s">
        <v>37</v>
      </c>
      <c r="I35" s="344" t="s">
        <v>37</v>
      </c>
      <c r="J35" s="344" t="s">
        <v>37</v>
      </c>
      <c r="K35" s="344" t="s">
        <v>37</v>
      </c>
      <c r="L35" s="344" t="s">
        <v>37</v>
      </c>
      <c r="M35" s="344" t="s">
        <v>37</v>
      </c>
      <c r="N35" s="344" t="s">
        <v>37</v>
      </c>
      <c r="O35" s="344" t="s">
        <v>37</v>
      </c>
      <c r="P35" s="344" t="s">
        <v>37</v>
      </c>
      <c r="Q35" s="344" t="s">
        <v>37</v>
      </c>
      <c r="R35" s="344" t="s">
        <v>37</v>
      </c>
      <c r="S35" s="346" t="s">
        <v>37</v>
      </c>
      <c r="T35" s="344" t="s">
        <v>37</v>
      </c>
      <c r="U35" s="6">
        <v>85</v>
      </c>
      <c r="V35" s="6">
        <v>1311</v>
      </c>
      <c r="W35" s="35">
        <f t="shared" si="0"/>
        <v>399</v>
      </c>
      <c r="X35" s="6">
        <v>475</v>
      </c>
      <c r="Y35" s="6"/>
      <c r="Z35" s="35">
        <f t="shared" si="1"/>
        <v>390</v>
      </c>
      <c r="AA35" s="35">
        <v>854</v>
      </c>
      <c r="AB35" s="35"/>
      <c r="AC35" s="35">
        <f t="shared" si="2"/>
        <v>379</v>
      </c>
      <c r="AD35" s="6">
        <v>1218</v>
      </c>
      <c r="AE35" s="6"/>
      <c r="AF35" s="35">
        <f t="shared" si="3"/>
        <v>364</v>
      </c>
      <c r="AG35" s="6"/>
      <c r="AH35" s="6"/>
      <c r="AI35" s="34"/>
      <c r="AJ35" s="35">
        <v>36</v>
      </c>
      <c r="AK35" s="35">
        <v>1560</v>
      </c>
      <c r="AL35" s="35">
        <f t="shared" si="4"/>
        <v>378</v>
      </c>
      <c r="AM35" s="6">
        <v>423</v>
      </c>
      <c r="AN35" s="6"/>
      <c r="AO35" s="35">
        <f t="shared" si="5"/>
        <v>387</v>
      </c>
      <c r="AP35" s="6">
        <v>799</v>
      </c>
      <c r="AQ35" s="6"/>
      <c r="AR35" s="35">
        <f t="shared" si="6"/>
        <v>376</v>
      </c>
      <c r="AS35" s="35">
        <v>1183</v>
      </c>
      <c r="AT35" s="35"/>
      <c r="AU35" s="35">
        <f t="shared" si="7"/>
        <v>384</v>
      </c>
      <c r="AV35" s="6">
        <v>1559</v>
      </c>
      <c r="AW35" s="6"/>
      <c r="AX35" s="35">
        <f t="shared" si="8"/>
        <v>376</v>
      </c>
      <c r="AY35" s="6">
        <v>372</v>
      </c>
      <c r="AZ35" s="6">
        <v>1560</v>
      </c>
      <c r="BA35" s="35">
        <f t="shared" si="9"/>
        <v>373</v>
      </c>
      <c r="BB35" s="6"/>
      <c r="BC35" s="6"/>
      <c r="BD35" s="6"/>
      <c r="BE35" s="6">
        <v>761</v>
      </c>
      <c r="BF35" s="6"/>
      <c r="BG35" s="6">
        <f t="shared" si="10"/>
        <v>389</v>
      </c>
      <c r="BH35" s="6">
        <v>1146</v>
      </c>
      <c r="BI35" s="6"/>
      <c r="BJ35" s="35">
        <f t="shared" si="11"/>
        <v>385</v>
      </c>
      <c r="BK35" s="6">
        <v>0</v>
      </c>
      <c r="BL35" s="6">
        <v>1458</v>
      </c>
      <c r="BM35" s="6">
        <f t="shared" si="12"/>
        <v>312</v>
      </c>
      <c r="BN35" s="6">
        <v>376</v>
      </c>
      <c r="BO35" s="6"/>
      <c r="BP35" s="35">
        <f t="shared" si="13"/>
        <v>376</v>
      </c>
      <c r="BQ35" s="6">
        <v>761</v>
      </c>
      <c r="BR35" s="6"/>
      <c r="BS35" s="6">
        <f t="shared" si="14"/>
        <v>385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</row>
    <row r="36" spans="1:113">
      <c r="A36" s="6">
        <v>32</v>
      </c>
      <c r="B36" s="6">
        <v>1045</v>
      </c>
      <c r="C36" s="6"/>
      <c r="D36" s="6">
        <v>367</v>
      </c>
      <c r="E36" s="33" t="s">
        <v>37</v>
      </c>
      <c r="F36" s="33" t="s">
        <v>37</v>
      </c>
      <c r="G36" s="344" t="s">
        <v>37</v>
      </c>
      <c r="H36" s="344" t="s">
        <v>37</v>
      </c>
      <c r="I36" s="344" t="s">
        <v>37</v>
      </c>
      <c r="J36" s="344" t="s">
        <v>37</v>
      </c>
      <c r="K36" s="344" t="s">
        <v>37</v>
      </c>
      <c r="L36" s="344" t="s">
        <v>37</v>
      </c>
      <c r="M36" s="344" t="s">
        <v>37</v>
      </c>
      <c r="N36" s="344" t="s">
        <v>37</v>
      </c>
      <c r="O36" s="344" t="s">
        <v>37</v>
      </c>
      <c r="P36" s="344" t="s">
        <v>37</v>
      </c>
      <c r="Q36" s="344" t="s">
        <v>37</v>
      </c>
      <c r="R36" s="344" t="s">
        <v>37</v>
      </c>
      <c r="S36" s="344" t="s">
        <v>37</v>
      </c>
      <c r="T36" s="346" t="s">
        <v>37</v>
      </c>
      <c r="U36" s="6">
        <v>1457</v>
      </c>
      <c r="V36" s="6"/>
      <c r="W36" s="35">
        <f t="shared" si="0"/>
        <v>412</v>
      </c>
      <c r="X36" s="6">
        <v>266</v>
      </c>
      <c r="Y36" s="6">
        <v>1561</v>
      </c>
      <c r="Z36" s="35">
        <f t="shared" si="1"/>
        <v>370</v>
      </c>
      <c r="AA36" s="35">
        <v>649</v>
      </c>
      <c r="AB36" s="35"/>
      <c r="AC36" s="35">
        <f t="shared" si="2"/>
        <v>383</v>
      </c>
      <c r="AD36" s="6">
        <v>1007</v>
      </c>
      <c r="AE36" s="6"/>
      <c r="AF36" s="35">
        <f t="shared" si="3"/>
        <v>358</v>
      </c>
      <c r="AG36" s="6"/>
      <c r="AH36" s="6"/>
      <c r="AI36" s="34"/>
      <c r="AJ36" s="35">
        <v>1395</v>
      </c>
      <c r="AK36" s="35"/>
      <c r="AL36" s="35">
        <f t="shared" si="4"/>
        <v>388</v>
      </c>
      <c r="AM36" s="6">
        <v>223</v>
      </c>
      <c r="AN36" s="6">
        <v>1560</v>
      </c>
      <c r="AO36" s="35">
        <f t="shared" si="5"/>
        <v>388</v>
      </c>
      <c r="AP36" s="6">
        <v>607</v>
      </c>
      <c r="AQ36" s="6"/>
      <c r="AR36" s="35">
        <f t="shared" si="6"/>
        <v>384</v>
      </c>
      <c r="AS36" s="35">
        <v>995</v>
      </c>
      <c r="AT36" s="35"/>
      <c r="AU36" s="35">
        <f t="shared" si="7"/>
        <v>388</v>
      </c>
      <c r="AV36" s="6">
        <v>1368</v>
      </c>
      <c r="AW36" s="6"/>
      <c r="AX36" s="35">
        <f t="shared" si="8"/>
        <v>373</v>
      </c>
      <c r="AY36" s="6">
        <v>178</v>
      </c>
      <c r="AZ36" s="6">
        <v>1561</v>
      </c>
      <c r="BA36" s="35">
        <f t="shared" si="9"/>
        <v>371</v>
      </c>
      <c r="BB36" s="6"/>
      <c r="BC36" s="6"/>
      <c r="BD36" s="6"/>
      <c r="BE36" s="6">
        <v>569</v>
      </c>
      <c r="BF36" s="6"/>
      <c r="BG36" s="6">
        <f t="shared" si="10"/>
        <v>391</v>
      </c>
      <c r="BH36" s="6">
        <v>954</v>
      </c>
      <c r="BI36" s="6"/>
      <c r="BJ36" s="35">
        <f t="shared" si="11"/>
        <v>385</v>
      </c>
      <c r="BK36" s="6">
        <v>1341</v>
      </c>
      <c r="BL36" s="6"/>
      <c r="BM36" s="6">
        <f t="shared" si="12"/>
        <v>387</v>
      </c>
      <c r="BN36" s="6">
        <v>0</v>
      </c>
      <c r="BO36" s="6">
        <f>1560+53</f>
        <v>1613</v>
      </c>
      <c r="BP36" s="35">
        <f t="shared" si="13"/>
        <v>272</v>
      </c>
      <c r="BQ36" s="6">
        <v>379</v>
      </c>
      <c r="BR36" s="6"/>
      <c r="BS36" s="6">
        <f t="shared" si="14"/>
        <v>379</v>
      </c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</row>
    <row r="37" spans="1:113">
      <c r="A37" s="6">
        <v>33</v>
      </c>
      <c r="B37" s="6">
        <v>1238</v>
      </c>
      <c r="C37" s="6"/>
      <c r="D37" s="6">
        <v>368</v>
      </c>
      <c r="E37" s="33" t="s">
        <v>307</v>
      </c>
      <c r="F37" s="33" t="s">
        <v>307</v>
      </c>
      <c r="G37" s="344" t="s">
        <v>307</v>
      </c>
      <c r="H37" s="344" t="s">
        <v>307</v>
      </c>
      <c r="I37" s="344" t="s">
        <v>307</v>
      </c>
      <c r="J37" s="344" t="s">
        <v>307</v>
      </c>
      <c r="K37" s="344" t="s">
        <v>307</v>
      </c>
      <c r="L37" s="344" t="s">
        <v>307</v>
      </c>
      <c r="M37" s="344" t="s">
        <v>307</v>
      </c>
      <c r="N37" s="344" t="s">
        <v>307</v>
      </c>
      <c r="O37" s="344" t="s">
        <v>307</v>
      </c>
      <c r="P37" s="344" t="s">
        <v>307</v>
      </c>
      <c r="Q37" s="344" t="s">
        <v>307</v>
      </c>
      <c r="R37" s="344" t="s">
        <v>307</v>
      </c>
      <c r="S37" s="344" t="s">
        <v>307</v>
      </c>
      <c r="T37" s="346" t="s">
        <v>307</v>
      </c>
      <c r="U37" s="35">
        <v>0</v>
      </c>
      <c r="V37" s="35">
        <v>1560</v>
      </c>
      <c r="W37" s="35">
        <f t="shared" si="0"/>
        <v>322</v>
      </c>
      <c r="X37" s="35">
        <v>0</v>
      </c>
      <c r="Y37" s="35"/>
      <c r="Z37" s="35">
        <f t="shared" si="1"/>
        <v>0</v>
      </c>
      <c r="AA37" s="35">
        <v>0</v>
      </c>
      <c r="AB37" s="35"/>
      <c r="AC37" s="35">
        <f t="shared" si="2"/>
        <v>0</v>
      </c>
      <c r="AD37" s="35">
        <v>371</v>
      </c>
      <c r="AE37" s="35"/>
      <c r="AF37" s="35">
        <f t="shared" si="3"/>
        <v>371</v>
      </c>
      <c r="AG37" s="35"/>
      <c r="AH37" s="35"/>
      <c r="AI37" s="34"/>
      <c r="AJ37" s="35">
        <v>765</v>
      </c>
      <c r="AK37" s="35"/>
      <c r="AL37" s="35">
        <f t="shared" si="4"/>
        <v>394</v>
      </c>
      <c r="AM37" s="6">
        <v>1154</v>
      </c>
      <c r="AN37" s="6"/>
      <c r="AO37" s="35">
        <f t="shared" si="5"/>
        <v>389</v>
      </c>
      <c r="AP37" s="35">
        <v>1541</v>
      </c>
      <c r="AQ37" s="35"/>
      <c r="AR37" s="35">
        <f t="shared" si="6"/>
        <v>387</v>
      </c>
      <c r="AS37" s="6">
        <v>115</v>
      </c>
      <c r="AT37" s="6">
        <v>1820</v>
      </c>
      <c r="AU37" s="35">
        <f t="shared" si="7"/>
        <v>394</v>
      </c>
      <c r="AV37" s="6">
        <v>506</v>
      </c>
      <c r="AW37" s="6"/>
      <c r="AX37" s="35">
        <f t="shared" si="8"/>
        <v>391</v>
      </c>
      <c r="AY37" s="6">
        <v>885</v>
      </c>
      <c r="AZ37" s="6"/>
      <c r="BA37" s="35">
        <f t="shared" si="9"/>
        <v>379</v>
      </c>
      <c r="BB37" s="6"/>
      <c r="BC37" s="6"/>
      <c r="BD37" s="6"/>
      <c r="BE37" s="6">
        <v>1285</v>
      </c>
      <c r="BF37" s="6"/>
      <c r="BG37" s="6">
        <f t="shared" si="10"/>
        <v>400</v>
      </c>
      <c r="BH37" s="6">
        <v>1676</v>
      </c>
      <c r="BI37" s="6"/>
      <c r="BJ37" s="35">
        <f t="shared" si="11"/>
        <v>391</v>
      </c>
      <c r="BK37" s="6">
        <v>238</v>
      </c>
      <c r="BL37" s="6">
        <v>1820</v>
      </c>
      <c r="BM37" s="6">
        <f t="shared" si="12"/>
        <v>382</v>
      </c>
      <c r="BN37" s="6">
        <v>0</v>
      </c>
      <c r="BO37" s="6">
        <v>528</v>
      </c>
      <c r="BP37" s="35">
        <f t="shared" si="13"/>
        <v>290</v>
      </c>
      <c r="BQ37" s="6">
        <v>367</v>
      </c>
      <c r="BR37" s="6"/>
      <c r="BS37" s="6">
        <f t="shared" si="14"/>
        <v>367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</row>
    <row r="38" spans="1:113">
      <c r="A38" s="6">
        <v>34</v>
      </c>
      <c r="B38" s="6">
        <v>1148</v>
      </c>
      <c r="C38" s="6"/>
      <c r="D38" s="6">
        <v>366</v>
      </c>
      <c r="E38" s="33" t="s">
        <v>307</v>
      </c>
      <c r="F38" s="33" t="s">
        <v>307</v>
      </c>
      <c r="G38" s="344" t="s">
        <v>307</v>
      </c>
      <c r="H38" s="344" t="s">
        <v>307</v>
      </c>
      <c r="I38" s="344" t="s">
        <v>307</v>
      </c>
      <c r="J38" s="344" t="s">
        <v>307</v>
      </c>
      <c r="K38" s="344" t="s">
        <v>307</v>
      </c>
      <c r="L38" s="344" t="s">
        <v>307</v>
      </c>
      <c r="M38" s="344" t="s">
        <v>307</v>
      </c>
      <c r="N38" s="344" t="s">
        <v>307</v>
      </c>
      <c r="O38" s="344" t="s">
        <v>307</v>
      </c>
      <c r="P38" s="344" t="s">
        <v>307</v>
      </c>
      <c r="Q38" s="344" t="s">
        <v>307</v>
      </c>
      <c r="R38" s="344" t="s">
        <v>307</v>
      </c>
      <c r="S38" s="344" t="s">
        <v>307</v>
      </c>
      <c r="T38" s="344" t="s">
        <v>307</v>
      </c>
      <c r="U38" s="35">
        <v>0</v>
      </c>
      <c r="V38" s="35">
        <v>1436</v>
      </c>
      <c r="W38" s="35">
        <f t="shared" si="0"/>
        <v>288</v>
      </c>
      <c r="X38" s="35">
        <v>0</v>
      </c>
      <c r="Y38" s="35"/>
      <c r="Z38" s="35">
        <f t="shared" si="1"/>
        <v>0</v>
      </c>
      <c r="AA38" s="35">
        <v>0</v>
      </c>
      <c r="AB38" s="35"/>
      <c r="AC38" s="35">
        <f t="shared" si="2"/>
        <v>0</v>
      </c>
      <c r="AD38" s="35">
        <v>371</v>
      </c>
      <c r="AE38" s="35"/>
      <c r="AF38" s="35">
        <f t="shared" si="3"/>
        <v>371</v>
      </c>
      <c r="AG38" s="35"/>
      <c r="AH38" s="35"/>
      <c r="AI38" s="34"/>
      <c r="AJ38" s="35">
        <v>764</v>
      </c>
      <c r="AK38" s="35"/>
      <c r="AL38" s="35">
        <f t="shared" si="4"/>
        <v>393</v>
      </c>
      <c r="AM38" s="6">
        <v>1155</v>
      </c>
      <c r="AN38" s="6"/>
      <c r="AO38" s="35">
        <f t="shared" si="5"/>
        <v>391</v>
      </c>
      <c r="AP38" s="35">
        <v>1545</v>
      </c>
      <c r="AQ38" s="6"/>
      <c r="AR38" s="35">
        <f t="shared" si="6"/>
        <v>390</v>
      </c>
      <c r="AS38" s="6">
        <v>115</v>
      </c>
      <c r="AT38" s="6">
        <v>1820</v>
      </c>
      <c r="AU38" s="35">
        <f t="shared" si="7"/>
        <v>390</v>
      </c>
      <c r="AV38" s="6">
        <v>499</v>
      </c>
      <c r="AW38" s="6"/>
      <c r="AX38" s="35">
        <f t="shared" si="8"/>
        <v>384</v>
      </c>
      <c r="AY38" s="6">
        <v>873</v>
      </c>
      <c r="AZ38" s="6"/>
      <c r="BA38" s="35">
        <f t="shared" si="9"/>
        <v>374</v>
      </c>
      <c r="BB38" s="6"/>
      <c r="BC38" s="6"/>
      <c r="BD38" s="6"/>
      <c r="BE38" s="6">
        <v>1272</v>
      </c>
      <c r="BF38" s="6"/>
      <c r="BG38" s="6">
        <f t="shared" si="10"/>
        <v>399</v>
      </c>
      <c r="BH38" s="6">
        <v>1655</v>
      </c>
      <c r="BI38" s="6"/>
      <c r="BJ38" s="35">
        <f t="shared" si="11"/>
        <v>383</v>
      </c>
      <c r="BK38" s="6">
        <v>221</v>
      </c>
      <c r="BL38" s="6">
        <v>1820</v>
      </c>
      <c r="BM38" s="6">
        <f t="shared" si="12"/>
        <v>386</v>
      </c>
      <c r="BN38" s="6">
        <v>616</v>
      </c>
      <c r="BO38" s="6"/>
      <c r="BP38" s="35">
        <f t="shared" si="13"/>
        <v>395</v>
      </c>
      <c r="BQ38" s="6">
        <v>0</v>
      </c>
      <c r="BR38" s="6">
        <v>968</v>
      </c>
      <c r="BS38" s="6">
        <f t="shared" si="14"/>
        <v>352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</row>
    <row r="39" spans="1:113">
      <c r="A39" s="6">
        <v>35</v>
      </c>
      <c r="B39" s="6">
        <v>1089</v>
      </c>
      <c r="C39" s="6"/>
      <c r="D39" s="6">
        <v>362</v>
      </c>
      <c r="E39" s="33" t="s">
        <v>307</v>
      </c>
      <c r="F39" s="33" t="s">
        <v>307</v>
      </c>
      <c r="G39" s="344" t="s">
        <v>307</v>
      </c>
      <c r="H39" s="344" t="s">
        <v>307</v>
      </c>
      <c r="I39" s="344" t="s">
        <v>307</v>
      </c>
      <c r="J39" s="344" t="s">
        <v>307</v>
      </c>
      <c r="K39" s="344" t="s">
        <v>307</v>
      </c>
      <c r="L39" s="344" t="s">
        <v>307</v>
      </c>
      <c r="M39" s="344" t="s">
        <v>307</v>
      </c>
      <c r="N39" s="344" t="s">
        <v>307</v>
      </c>
      <c r="O39" s="344" t="s">
        <v>307</v>
      </c>
      <c r="P39" s="344" t="s">
        <v>307</v>
      </c>
      <c r="Q39" s="344" t="s">
        <v>307</v>
      </c>
      <c r="R39" s="344" t="s">
        <v>307</v>
      </c>
      <c r="S39" s="344" t="s">
        <v>307</v>
      </c>
      <c r="T39" s="344" t="s">
        <v>307</v>
      </c>
      <c r="U39" s="6">
        <v>1492</v>
      </c>
      <c r="V39" s="6"/>
      <c r="W39" s="35">
        <f t="shared" si="0"/>
        <v>403</v>
      </c>
      <c r="X39" s="6">
        <v>0</v>
      </c>
      <c r="Y39" s="6">
        <v>1560</v>
      </c>
      <c r="Z39" s="35">
        <f t="shared" si="1"/>
        <v>68</v>
      </c>
      <c r="AA39" s="35">
        <v>0</v>
      </c>
      <c r="AB39" s="35"/>
      <c r="AC39" s="35">
        <f t="shared" si="2"/>
        <v>0</v>
      </c>
      <c r="AD39" s="6">
        <v>322</v>
      </c>
      <c r="AE39" s="6"/>
      <c r="AF39" s="35">
        <f t="shared" si="3"/>
        <v>322</v>
      </c>
      <c r="AG39" s="6"/>
      <c r="AH39" s="6"/>
      <c r="AI39" s="34"/>
      <c r="AJ39" s="35">
        <v>703</v>
      </c>
      <c r="AK39" s="35"/>
      <c r="AL39" s="35">
        <f t="shared" si="4"/>
        <v>381</v>
      </c>
      <c r="AM39" s="6">
        <v>1082</v>
      </c>
      <c r="AN39" s="6"/>
      <c r="AO39" s="35">
        <f t="shared" si="5"/>
        <v>379</v>
      </c>
      <c r="AP39" s="6">
        <v>1462</v>
      </c>
      <c r="AQ39" s="6"/>
      <c r="AR39" s="35">
        <f t="shared" si="6"/>
        <v>380</v>
      </c>
      <c r="AS39" s="35">
        <v>319</v>
      </c>
      <c r="AT39" s="35">
        <v>1517</v>
      </c>
      <c r="AU39" s="35">
        <f t="shared" si="7"/>
        <v>374</v>
      </c>
      <c r="AV39" s="6">
        <v>121</v>
      </c>
      <c r="AW39" s="6">
        <v>576</v>
      </c>
      <c r="AX39" s="35">
        <f t="shared" si="8"/>
        <v>378</v>
      </c>
      <c r="AY39" s="6">
        <v>488</v>
      </c>
      <c r="AZ39" s="6"/>
      <c r="BA39" s="35">
        <f t="shared" si="9"/>
        <v>367</v>
      </c>
      <c r="BB39" s="6"/>
      <c r="BC39" s="6"/>
      <c r="BD39" s="6"/>
      <c r="BE39" s="6">
        <v>865</v>
      </c>
      <c r="BF39" s="6"/>
      <c r="BG39" s="6">
        <f t="shared" si="10"/>
        <v>377</v>
      </c>
      <c r="BH39" s="6">
        <v>288</v>
      </c>
      <c r="BI39" s="6">
        <v>911</v>
      </c>
      <c r="BJ39" s="35">
        <f t="shared" si="11"/>
        <v>334</v>
      </c>
      <c r="BK39" s="6">
        <v>651</v>
      </c>
      <c r="BL39" s="6"/>
      <c r="BM39" s="6">
        <f t="shared" si="12"/>
        <v>363</v>
      </c>
      <c r="BN39" s="6">
        <v>1015</v>
      </c>
      <c r="BO39" s="6"/>
      <c r="BP39" s="35">
        <f t="shared" si="13"/>
        <v>364</v>
      </c>
      <c r="BQ39" s="35">
        <v>0</v>
      </c>
      <c r="BR39" s="6">
        <v>1365</v>
      </c>
      <c r="BS39" s="6">
        <f t="shared" si="14"/>
        <v>350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</row>
    <row r="40" spans="1:113" ht="14.25" customHeight="1">
      <c r="A40" s="274">
        <v>36</v>
      </c>
      <c r="B40" s="6">
        <v>527</v>
      </c>
      <c r="C40" s="6"/>
      <c r="D40" s="6">
        <v>362</v>
      </c>
      <c r="E40" s="33" t="s">
        <v>37</v>
      </c>
      <c r="F40" s="33" t="s">
        <v>37</v>
      </c>
      <c r="G40" s="344" t="s">
        <v>37</v>
      </c>
      <c r="H40" s="344" t="s">
        <v>37</v>
      </c>
      <c r="I40" s="344" t="s">
        <v>37</v>
      </c>
      <c r="J40" s="344" t="s">
        <v>37</v>
      </c>
      <c r="K40" s="344" t="s">
        <v>37</v>
      </c>
      <c r="L40" s="344" t="s">
        <v>37</v>
      </c>
      <c r="M40" s="346" t="s">
        <v>37</v>
      </c>
      <c r="N40" s="344" t="s">
        <v>37</v>
      </c>
      <c r="O40" s="344" t="s">
        <v>37</v>
      </c>
      <c r="P40" s="344" t="s">
        <v>37</v>
      </c>
      <c r="Q40" s="344" t="s">
        <v>37</v>
      </c>
      <c r="R40" s="344" t="s">
        <v>37</v>
      </c>
      <c r="S40" s="344" t="s">
        <v>37</v>
      </c>
      <c r="T40" s="344" t="s">
        <v>37</v>
      </c>
      <c r="U40" s="6">
        <v>906</v>
      </c>
      <c r="V40" s="6"/>
      <c r="W40" s="35">
        <f t="shared" si="0"/>
        <v>379</v>
      </c>
      <c r="X40" s="6">
        <v>1289</v>
      </c>
      <c r="Y40" s="6"/>
      <c r="Z40" s="35">
        <f t="shared" si="1"/>
        <v>383</v>
      </c>
      <c r="AA40" s="35">
        <v>114</v>
      </c>
      <c r="AB40" s="35">
        <v>1560</v>
      </c>
      <c r="AC40" s="35">
        <f t="shared" si="2"/>
        <v>385</v>
      </c>
      <c r="AD40" s="6">
        <v>476</v>
      </c>
      <c r="AE40" s="6"/>
      <c r="AF40" s="35">
        <f t="shared" si="3"/>
        <v>362</v>
      </c>
      <c r="AG40" s="6"/>
      <c r="AH40" s="6"/>
      <c r="AI40" s="34"/>
      <c r="AJ40" s="35">
        <v>858</v>
      </c>
      <c r="AK40" s="35"/>
      <c r="AL40" s="35">
        <f t="shared" si="4"/>
        <v>382</v>
      </c>
      <c r="AM40" s="6">
        <v>1240</v>
      </c>
      <c r="AN40" s="6"/>
      <c r="AO40" s="35">
        <f t="shared" si="5"/>
        <v>382</v>
      </c>
      <c r="AP40" s="6">
        <v>1621</v>
      </c>
      <c r="AQ40" s="6"/>
      <c r="AR40" s="35">
        <f t="shared" si="6"/>
        <v>381</v>
      </c>
      <c r="AS40" s="35">
        <v>347</v>
      </c>
      <c r="AT40" s="35">
        <v>1627</v>
      </c>
      <c r="AU40" s="35">
        <f t="shared" si="7"/>
        <v>353</v>
      </c>
      <c r="AV40" s="6">
        <v>721</v>
      </c>
      <c r="AW40" s="6"/>
      <c r="AX40" s="35">
        <f t="shared" si="8"/>
        <v>374</v>
      </c>
      <c r="AY40" s="6">
        <v>1069</v>
      </c>
      <c r="AZ40" s="6"/>
      <c r="BA40" s="35">
        <f t="shared" si="9"/>
        <v>348</v>
      </c>
      <c r="BB40" s="6"/>
      <c r="BC40" s="6"/>
      <c r="BD40" s="6"/>
      <c r="BE40" s="6">
        <v>1454</v>
      </c>
      <c r="BF40" s="6"/>
      <c r="BG40" s="6">
        <f t="shared" si="10"/>
        <v>385</v>
      </c>
      <c r="BH40" s="6">
        <v>267</v>
      </c>
      <c r="BI40" s="6">
        <v>1560</v>
      </c>
      <c r="BJ40" s="35">
        <f t="shared" si="11"/>
        <v>373</v>
      </c>
      <c r="BK40" s="6">
        <v>624</v>
      </c>
      <c r="BL40" s="6"/>
      <c r="BM40" s="6">
        <f t="shared" si="12"/>
        <v>357</v>
      </c>
      <c r="BN40" s="6">
        <v>987</v>
      </c>
      <c r="BO40" s="6"/>
      <c r="BP40" s="35">
        <f t="shared" si="13"/>
        <v>363</v>
      </c>
      <c r="BQ40" s="6">
        <v>1345</v>
      </c>
      <c r="BR40" s="6"/>
      <c r="BS40" s="6">
        <f t="shared" si="14"/>
        <v>358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</row>
    <row r="41" spans="1:113">
      <c r="A41" s="6">
        <v>37</v>
      </c>
      <c r="B41" s="6">
        <v>0</v>
      </c>
      <c r="C41" s="6"/>
      <c r="D41" s="6">
        <v>0</v>
      </c>
      <c r="E41" s="33" t="s">
        <v>307</v>
      </c>
      <c r="F41" s="33" t="s">
        <v>307</v>
      </c>
      <c r="G41" s="344" t="s">
        <v>307</v>
      </c>
      <c r="H41" s="344" t="s">
        <v>307</v>
      </c>
      <c r="I41" s="344" t="s">
        <v>307</v>
      </c>
      <c r="J41" s="344" t="s">
        <v>307</v>
      </c>
      <c r="K41" s="344" t="s">
        <v>307</v>
      </c>
      <c r="L41" s="344" t="s">
        <v>307</v>
      </c>
      <c r="M41" s="344" t="s">
        <v>307</v>
      </c>
      <c r="N41" s="344" t="s">
        <v>307</v>
      </c>
      <c r="O41" s="344" t="s">
        <v>307</v>
      </c>
      <c r="P41" s="344" t="s">
        <v>307</v>
      </c>
      <c r="Q41" s="344" t="s">
        <v>307</v>
      </c>
      <c r="R41" s="344" t="s">
        <v>307</v>
      </c>
      <c r="S41" s="346" t="s">
        <v>307</v>
      </c>
      <c r="T41" s="344" t="s">
        <v>307</v>
      </c>
      <c r="U41" s="6">
        <v>0</v>
      </c>
      <c r="V41" s="6"/>
      <c r="W41" s="35">
        <f t="shared" si="0"/>
        <v>0</v>
      </c>
      <c r="X41" s="6">
        <v>0</v>
      </c>
      <c r="Y41" s="6"/>
      <c r="Z41" s="35">
        <f t="shared" si="1"/>
        <v>0</v>
      </c>
      <c r="AA41" s="35">
        <v>0</v>
      </c>
      <c r="AB41" s="35"/>
      <c r="AC41" s="35">
        <f t="shared" si="2"/>
        <v>0</v>
      </c>
      <c r="AD41" s="6">
        <v>320</v>
      </c>
      <c r="AE41" s="6"/>
      <c r="AF41" s="35">
        <f t="shared" si="3"/>
        <v>320</v>
      </c>
      <c r="AG41" s="6"/>
      <c r="AH41" s="6"/>
      <c r="AI41" s="34"/>
      <c r="AJ41" s="35">
        <v>698</v>
      </c>
      <c r="AK41" s="35"/>
      <c r="AL41" s="35">
        <f t="shared" si="4"/>
        <v>378</v>
      </c>
      <c r="AM41" s="6">
        <v>1082</v>
      </c>
      <c r="AN41" s="6"/>
      <c r="AO41" s="35">
        <f t="shared" si="5"/>
        <v>384</v>
      </c>
      <c r="AP41" s="6">
        <v>1467</v>
      </c>
      <c r="AQ41" s="6"/>
      <c r="AR41" s="35">
        <f t="shared" si="6"/>
        <v>385</v>
      </c>
      <c r="AS41" s="35">
        <v>21</v>
      </c>
      <c r="AT41" s="35">
        <v>1820</v>
      </c>
      <c r="AU41" s="35">
        <f t="shared" si="7"/>
        <v>374</v>
      </c>
      <c r="AV41" s="6">
        <v>383</v>
      </c>
      <c r="AW41" s="6"/>
      <c r="AX41" s="35">
        <f t="shared" si="8"/>
        <v>362</v>
      </c>
      <c r="AY41" s="6">
        <v>17</v>
      </c>
      <c r="AZ41" s="6">
        <v>740</v>
      </c>
      <c r="BA41" s="35">
        <f t="shared" si="9"/>
        <v>374</v>
      </c>
      <c r="BB41" s="6"/>
      <c r="BC41" s="6"/>
      <c r="BD41" s="6"/>
      <c r="BE41" s="6">
        <v>387</v>
      </c>
      <c r="BF41" s="6"/>
      <c r="BG41" s="6">
        <f t="shared" si="10"/>
        <v>370</v>
      </c>
      <c r="BH41" s="6">
        <v>773</v>
      </c>
      <c r="BI41" s="6"/>
      <c r="BJ41" s="35">
        <f t="shared" si="11"/>
        <v>386</v>
      </c>
      <c r="BK41" s="6">
        <v>0</v>
      </c>
      <c r="BL41" s="6">
        <v>1088</v>
      </c>
      <c r="BM41" s="6">
        <f t="shared" si="12"/>
        <v>315</v>
      </c>
      <c r="BN41" s="6">
        <v>374</v>
      </c>
      <c r="BO41" s="6"/>
      <c r="BP41" s="35">
        <f t="shared" si="13"/>
        <v>374</v>
      </c>
      <c r="BQ41" s="6">
        <v>763</v>
      </c>
      <c r="BR41" s="6"/>
      <c r="BS41" s="6">
        <f t="shared" si="14"/>
        <v>389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</row>
    <row r="42" spans="1:113">
      <c r="A42" s="6">
        <v>38</v>
      </c>
      <c r="B42" s="6">
        <v>1434</v>
      </c>
      <c r="C42" s="6"/>
      <c r="D42" s="6">
        <v>365</v>
      </c>
      <c r="E42" s="33" t="s">
        <v>307</v>
      </c>
      <c r="F42" s="33" t="s">
        <v>307</v>
      </c>
      <c r="G42" s="344" t="s">
        <v>307</v>
      </c>
      <c r="H42" s="344" t="s">
        <v>307</v>
      </c>
      <c r="I42" s="344" t="s">
        <v>307</v>
      </c>
      <c r="J42" s="344" t="s">
        <v>307</v>
      </c>
      <c r="K42" s="344" t="s">
        <v>307</v>
      </c>
      <c r="L42" s="344" t="s">
        <v>307</v>
      </c>
      <c r="M42" s="344" t="s">
        <v>307</v>
      </c>
      <c r="N42" s="344" t="s">
        <v>307</v>
      </c>
      <c r="O42" s="344" t="s">
        <v>307</v>
      </c>
      <c r="P42" s="344" t="s">
        <v>307</v>
      </c>
      <c r="Q42" s="344" t="s">
        <v>307</v>
      </c>
      <c r="R42" s="344" t="s">
        <v>307</v>
      </c>
      <c r="S42" s="344" t="s">
        <v>307</v>
      </c>
      <c r="T42" s="344" t="s">
        <v>307</v>
      </c>
      <c r="U42" s="6">
        <v>0</v>
      </c>
      <c r="V42" s="6">
        <v>1560</v>
      </c>
      <c r="W42" s="35">
        <f t="shared" si="0"/>
        <v>126</v>
      </c>
      <c r="X42" s="6">
        <v>0</v>
      </c>
      <c r="Y42" s="6"/>
      <c r="Z42" s="35">
        <f t="shared" si="1"/>
        <v>0</v>
      </c>
      <c r="AA42" s="35">
        <v>0</v>
      </c>
      <c r="AB42" s="35"/>
      <c r="AC42" s="35">
        <f t="shared" si="2"/>
        <v>0</v>
      </c>
      <c r="AD42" s="6">
        <v>366</v>
      </c>
      <c r="AE42" s="6"/>
      <c r="AF42" s="35">
        <f t="shared" si="3"/>
        <v>366</v>
      </c>
      <c r="AG42" s="6"/>
      <c r="AH42" s="6"/>
      <c r="AI42" s="34"/>
      <c r="AJ42" s="35">
        <v>755</v>
      </c>
      <c r="AK42" s="35"/>
      <c r="AL42" s="35">
        <f t="shared" si="4"/>
        <v>389</v>
      </c>
      <c r="AM42" s="6">
        <v>1146</v>
      </c>
      <c r="AN42" s="6"/>
      <c r="AO42" s="35">
        <f t="shared" si="5"/>
        <v>391</v>
      </c>
      <c r="AP42" s="6">
        <v>1533</v>
      </c>
      <c r="AQ42" s="6"/>
      <c r="AR42" s="35">
        <f t="shared" si="6"/>
        <v>387</v>
      </c>
      <c r="AS42" s="35">
        <v>102</v>
      </c>
      <c r="AT42" s="35">
        <v>1820</v>
      </c>
      <c r="AU42" s="35">
        <f t="shared" si="7"/>
        <v>389</v>
      </c>
      <c r="AV42" s="6">
        <v>483</v>
      </c>
      <c r="AW42" s="6"/>
      <c r="AX42" s="35">
        <f t="shared" si="8"/>
        <v>381</v>
      </c>
      <c r="AY42" s="6">
        <v>854</v>
      </c>
      <c r="AZ42" s="6"/>
      <c r="BA42" s="35">
        <f t="shared" si="9"/>
        <v>371</v>
      </c>
      <c r="BB42" s="6"/>
      <c r="BC42" s="6"/>
      <c r="BD42" s="6"/>
      <c r="BE42" s="6">
        <v>1243</v>
      </c>
      <c r="BF42" s="6"/>
      <c r="BG42" s="6">
        <f t="shared" si="10"/>
        <v>389</v>
      </c>
      <c r="BH42" s="6">
        <v>1631</v>
      </c>
      <c r="BI42" s="6"/>
      <c r="BJ42" s="35">
        <f t="shared" si="11"/>
        <v>388</v>
      </c>
      <c r="BK42" s="6">
        <v>198</v>
      </c>
      <c r="BL42" s="6">
        <v>1820</v>
      </c>
      <c r="BM42" s="6">
        <f t="shared" si="12"/>
        <v>387</v>
      </c>
      <c r="BN42" s="6">
        <v>586</v>
      </c>
      <c r="BO42" s="6"/>
      <c r="BP42" s="35">
        <f t="shared" si="13"/>
        <v>388</v>
      </c>
      <c r="BQ42" s="35">
        <v>0</v>
      </c>
      <c r="BR42" s="6">
        <v>794</v>
      </c>
      <c r="BS42" s="6">
        <f t="shared" si="14"/>
        <v>208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</row>
    <row r="43" spans="1:113">
      <c r="A43" s="6">
        <v>39</v>
      </c>
      <c r="B43" s="6">
        <v>1180</v>
      </c>
      <c r="C43" s="6"/>
      <c r="D43" s="6">
        <v>361</v>
      </c>
      <c r="E43" s="33" t="s">
        <v>307</v>
      </c>
      <c r="F43" s="33" t="s">
        <v>307</v>
      </c>
      <c r="G43" s="344" t="s">
        <v>307</v>
      </c>
      <c r="H43" s="344" t="s">
        <v>307</v>
      </c>
      <c r="I43" s="344" t="s">
        <v>307</v>
      </c>
      <c r="J43" s="344" t="s">
        <v>307</v>
      </c>
      <c r="K43" s="344" t="s">
        <v>307</v>
      </c>
      <c r="L43" s="344" t="s">
        <v>307</v>
      </c>
      <c r="M43" s="344" t="s">
        <v>307</v>
      </c>
      <c r="N43" s="344" t="s">
        <v>307</v>
      </c>
      <c r="O43" s="344" t="s">
        <v>307</v>
      </c>
      <c r="P43" s="344" t="s">
        <v>307</v>
      </c>
      <c r="Q43" s="344" t="s">
        <v>307</v>
      </c>
      <c r="R43" s="344" t="s">
        <v>307</v>
      </c>
      <c r="S43" s="344" t="s">
        <v>307</v>
      </c>
      <c r="T43" s="344" t="s">
        <v>307</v>
      </c>
      <c r="U43" s="6">
        <v>0</v>
      </c>
      <c r="V43" s="6">
        <v>1560</v>
      </c>
      <c r="W43" s="35">
        <f t="shared" si="0"/>
        <v>380</v>
      </c>
      <c r="X43" s="6">
        <v>0</v>
      </c>
      <c r="Y43" s="6"/>
      <c r="Z43" s="35">
        <f t="shared" si="1"/>
        <v>0</v>
      </c>
      <c r="AA43" s="35">
        <v>0</v>
      </c>
      <c r="AB43" s="35"/>
      <c r="AC43" s="35">
        <f t="shared" si="2"/>
        <v>0</v>
      </c>
      <c r="AD43" s="6">
        <v>363</v>
      </c>
      <c r="AE43" s="6"/>
      <c r="AF43" s="35">
        <f t="shared" si="3"/>
        <v>363</v>
      </c>
      <c r="AG43" s="6"/>
      <c r="AH43" s="6"/>
      <c r="AI43" s="34"/>
      <c r="AJ43" s="35">
        <v>745</v>
      </c>
      <c r="AK43" s="35"/>
      <c r="AL43" s="35">
        <f t="shared" si="4"/>
        <v>382</v>
      </c>
      <c r="AM43" s="6">
        <v>1137</v>
      </c>
      <c r="AN43" s="6"/>
      <c r="AO43" s="35">
        <f t="shared" si="5"/>
        <v>392</v>
      </c>
      <c r="AP43" s="6">
        <v>1531</v>
      </c>
      <c r="AQ43" s="6"/>
      <c r="AR43" s="35">
        <f t="shared" si="6"/>
        <v>394</v>
      </c>
      <c r="AS43" s="35">
        <v>97</v>
      </c>
      <c r="AT43" s="35">
        <v>1820</v>
      </c>
      <c r="AU43" s="35">
        <f t="shared" si="7"/>
        <v>386</v>
      </c>
      <c r="AV43" s="6">
        <v>483</v>
      </c>
      <c r="AW43" s="6"/>
      <c r="AX43" s="35">
        <f t="shared" si="8"/>
        <v>386</v>
      </c>
      <c r="AY43" s="6">
        <v>858</v>
      </c>
      <c r="AZ43" s="6"/>
      <c r="BA43" s="35">
        <f t="shared" si="9"/>
        <v>375</v>
      </c>
      <c r="BB43" s="6"/>
      <c r="BC43" s="6"/>
      <c r="BD43" s="6"/>
      <c r="BE43" s="6">
        <v>1249</v>
      </c>
      <c r="BF43" s="6"/>
      <c r="BG43" s="6">
        <f t="shared" si="10"/>
        <v>391</v>
      </c>
      <c r="BH43" s="6">
        <v>1638</v>
      </c>
      <c r="BI43" s="6"/>
      <c r="BJ43" s="35">
        <f t="shared" si="11"/>
        <v>389</v>
      </c>
      <c r="BK43" s="6">
        <v>198</v>
      </c>
      <c r="BL43" s="6">
        <v>1820</v>
      </c>
      <c r="BM43" s="6">
        <f t="shared" si="12"/>
        <v>380</v>
      </c>
      <c r="BN43" s="6">
        <v>590</v>
      </c>
      <c r="BO43" s="6"/>
      <c r="BP43" s="35">
        <f t="shared" si="13"/>
        <v>392</v>
      </c>
      <c r="BQ43" s="6">
        <v>0</v>
      </c>
      <c r="BR43" s="6">
        <v>814</v>
      </c>
      <c r="BS43" s="6">
        <f t="shared" si="14"/>
        <v>224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</row>
    <row r="44" spans="1:113">
      <c r="A44" s="6">
        <v>40</v>
      </c>
      <c r="B44" s="6">
        <v>606</v>
      </c>
      <c r="C44" s="6"/>
      <c r="D44" s="6">
        <v>362</v>
      </c>
      <c r="E44" s="290" t="s">
        <v>37</v>
      </c>
      <c r="F44" s="290" t="s">
        <v>37</v>
      </c>
      <c r="G44" s="344" t="s">
        <v>37</v>
      </c>
      <c r="H44" s="344" t="s">
        <v>37</v>
      </c>
      <c r="I44" s="344" t="s">
        <v>37</v>
      </c>
      <c r="J44" s="344" t="s">
        <v>37</v>
      </c>
      <c r="K44" s="344" t="s">
        <v>37</v>
      </c>
      <c r="L44" s="344" t="s">
        <v>37</v>
      </c>
      <c r="M44" s="344" t="s">
        <v>37</v>
      </c>
      <c r="N44" s="344" t="s">
        <v>37</v>
      </c>
      <c r="O44" s="344" t="s">
        <v>37</v>
      </c>
      <c r="P44" s="344" t="s">
        <v>37</v>
      </c>
      <c r="Q44" s="344" t="s">
        <v>37</v>
      </c>
      <c r="R44" s="344" t="s">
        <v>37</v>
      </c>
      <c r="S44" s="344" t="s">
        <v>37</v>
      </c>
      <c r="T44" s="344" t="s">
        <v>37</v>
      </c>
      <c r="U44" s="6">
        <v>1017</v>
      </c>
      <c r="V44" s="6"/>
      <c r="W44" s="35">
        <f t="shared" si="0"/>
        <v>411</v>
      </c>
      <c r="X44" s="6">
        <v>1389</v>
      </c>
      <c r="Y44" s="6"/>
      <c r="Z44" s="35">
        <f t="shared" si="1"/>
        <v>372</v>
      </c>
      <c r="AA44" s="35">
        <v>207</v>
      </c>
      <c r="AB44" s="35">
        <v>1567</v>
      </c>
      <c r="AC44" s="35">
        <f t="shared" si="2"/>
        <v>385</v>
      </c>
      <c r="AD44" s="6">
        <v>571</v>
      </c>
      <c r="AE44" s="6"/>
      <c r="AF44" s="35">
        <f t="shared" si="3"/>
        <v>364</v>
      </c>
      <c r="AG44" s="6"/>
      <c r="AH44" s="6"/>
      <c r="AI44" s="34"/>
      <c r="AJ44" s="35">
        <v>961</v>
      </c>
      <c r="AK44" s="35"/>
      <c r="AL44" s="35">
        <f t="shared" si="4"/>
        <v>390</v>
      </c>
      <c r="AM44" s="6">
        <v>1347</v>
      </c>
      <c r="AN44" s="6"/>
      <c r="AO44" s="35">
        <f t="shared" si="5"/>
        <v>386</v>
      </c>
      <c r="AP44" s="6">
        <v>173</v>
      </c>
      <c r="AQ44" s="6">
        <v>1560</v>
      </c>
      <c r="AR44" s="35">
        <f t="shared" si="6"/>
        <v>386</v>
      </c>
      <c r="AS44" s="35">
        <v>548</v>
      </c>
      <c r="AT44" s="35"/>
      <c r="AU44" s="35">
        <f t="shared" si="7"/>
        <v>375</v>
      </c>
      <c r="AV44" s="6">
        <v>934</v>
      </c>
      <c r="AW44" s="6"/>
      <c r="AX44" s="35">
        <f t="shared" si="8"/>
        <v>386</v>
      </c>
      <c r="AY44" s="6">
        <v>1306</v>
      </c>
      <c r="AZ44" s="6"/>
      <c r="BA44" s="35">
        <f t="shared" si="9"/>
        <v>372</v>
      </c>
      <c r="BB44" s="6"/>
      <c r="BC44" s="6"/>
      <c r="BD44" s="6"/>
      <c r="BE44" s="6">
        <v>137</v>
      </c>
      <c r="BF44" s="6">
        <v>1560</v>
      </c>
      <c r="BG44" s="6">
        <f t="shared" si="10"/>
        <v>391</v>
      </c>
      <c r="BH44" s="6">
        <v>506</v>
      </c>
      <c r="BI44" s="6"/>
      <c r="BJ44" s="35">
        <f t="shared" si="11"/>
        <v>369</v>
      </c>
      <c r="BK44" s="6">
        <v>892</v>
      </c>
      <c r="BL44" s="6"/>
      <c r="BM44" s="6">
        <f t="shared" si="12"/>
        <v>386</v>
      </c>
      <c r="BN44" s="6">
        <v>1279</v>
      </c>
      <c r="BO44" s="6"/>
      <c r="BP44" s="35">
        <f t="shared" si="13"/>
        <v>387</v>
      </c>
      <c r="BQ44" s="6">
        <v>0</v>
      </c>
      <c r="BR44" s="6">
        <v>1615</v>
      </c>
      <c r="BS44" s="6">
        <f t="shared" si="14"/>
        <v>336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</row>
    <row r="45" spans="1:113">
      <c r="A45" s="6">
        <v>41</v>
      </c>
      <c r="B45" s="6">
        <v>1451</v>
      </c>
      <c r="C45" s="6"/>
      <c r="D45" s="6">
        <v>363</v>
      </c>
      <c r="E45" s="33" t="s">
        <v>37</v>
      </c>
      <c r="F45" s="33" t="s">
        <v>37</v>
      </c>
      <c r="G45" s="346" t="s">
        <v>37</v>
      </c>
      <c r="H45" s="344" t="s">
        <v>37</v>
      </c>
      <c r="I45" s="344" t="s">
        <v>37</v>
      </c>
      <c r="J45" s="344" t="s">
        <v>37</v>
      </c>
      <c r="K45" s="344" t="s">
        <v>37</v>
      </c>
      <c r="L45" s="344" t="s">
        <v>37</v>
      </c>
      <c r="M45" s="344" t="s">
        <v>37</v>
      </c>
      <c r="N45" s="344" t="s">
        <v>37</v>
      </c>
      <c r="O45" s="344" t="s">
        <v>37</v>
      </c>
      <c r="P45" s="344" t="s">
        <v>37</v>
      </c>
      <c r="Q45" s="344" t="s">
        <v>37</v>
      </c>
      <c r="R45" s="344" t="s">
        <v>37</v>
      </c>
      <c r="S45" s="344" t="s">
        <v>37</v>
      </c>
      <c r="T45" s="344" t="s">
        <v>37</v>
      </c>
      <c r="U45" s="6">
        <v>0</v>
      </c>
      <c r="V45" s="6">
        <v>1751</v>
      </c>
      <c r="W45" s="35">
        <f t="shared" si="0"/>
        <v>300</v>
      </c>
      <c r="X45" s="6">
        <v>378</v>
      </c>
      <c r="Y45" s="6"/>
      <c r="Z45" s="35">
        <f t="shared" si="1"/>
        <v>378</v>
      </c>
      <c r="AA45" s="35">
        <v>763</v>
      </c>
      <c r="AB45" s="35"/>
      <c r="AC45" s="35">
        <f t="shared" si="2"/>
        <v>385</v>
      </c>
      <c r="AD45" s="6">
        <v>240</v>
      </c>
      <c r="AE45" s="6">
        <v>896</v>
      </c>
      <c r="AF45" s="35">
        <f t="shared" si="3"/>
        <v>373</v>
      </c>
      <c r="AG45" s="6"/>
      <c r="AH45" s="6"/>
      <c r="AI45" s="34"/>
      <c r="AJ45" s="35">
        <v>104</v>
      </c>
      <c r="AK45" s="35">
        <v>470</v>
      </c>
      <c r="AL45" s="35">
        <f t="shared" si="4"/>
        <v>334</v>
      </c>
      <c r="AM45" s="6">
        <v>490</v>
      </c>
      <c r="AN45" s="6"/>
      <c r="AO45" s="35">
        <f t="shared" si="5"/>
        <v>386</v>
      </c>
      <c r="AP45" s="6">
        <v>873</v>
      </c>
      <c r="AQ45" s="6"/>
      <c r="AR45" s="35">
        <f t="shared" si="6"/>
        <v>383</v>
      </c>
      <c r="AS45" s="35">
        <v>1261</v>
      </c>
      <c r="AT45" s="35"/>
      <c r="AU45" s="35">
        <f t="shared" si="7"/>
        <v>388</v>
      </c>
      <c r="AV45" s="6">
        <v>82</v>
      </c>
      <c r="AW45" s="6">
        <v>1560</v>
      </c>
      <c r="AX45" s="35">
        <f t="shared" si="8"/>
        <v>381</v>
      </c>
      <c r="AY45" s="6">
        <v>451</v>
      </c>
      <c r="AZ45" s="6"/>
      <c r="BA45" s="35">
        <f t="shared" si="9"/>
        <v>369</v>
      </c>
      <c r="BB45" s="6"/>
      <c r="BC45" s="6"/>
      <c r="BD45" s="6"/>
      <c r="BE45" s="6">
        <v>843</v>
      </c>
      <c r="BF45" s="6"/>
      <c r="BG45" s="6">
        <f t="shared" si="10"/>
        <v>392</v>
      </c>
      <c r="BH45" s="6">
        <v>1227</v>
      </c>
      <c r="BI45" s="6"/>
      <c r="BJ45" s="35">
        <f t="shared" si="11"/>
        <v>384</v>
      </c>
      <c r="BK45" s="6">
        <v>54</v>
      </c>
      <c r="BL45" s="6">
        <v>1560</v>
      </c>
      <c r="BM45" s="6">
        <f t="shared" si="12"/>
        <v>387</v>
      </c>
      <c r="BN45" s="6">
        <v>443</v>
      </c>
      <c r="BO45" s="6"/>
      <c r="BP45" s="35">
        <f t="shared" si="13"/>
        <v>389</v>
      </c>
      <c r="BQ45" s="6">
        <v>829</v>
      </c>
      <c r="BR45" s="6"/>
      <c r="BS45" s="6">
        <f t="shared" si="14"/>
        <v>386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</row>
    <row r="46" spans="1:113">
      <c r="A46" s="6">
        <v>42</v>
      </c>
      <c r="B46" s="6">
        <v>1474</v>
      </c>
      <c r="C46" s="6"/>
      <c r="D46" s="6">
        <v>363</v>
      </c>
      <c r="E46" s="33" t="s">
        <v>307</v>
      </c>
      <c r="F46" s="33" t="s">
        <v>307</v>
      </c>
      <c r="G46" s="344" t="s">
        <v>307</v>
      </c>
      <c r="H46" s="344" t="s">
        <v>307</v>
      </c>
      <c r="I46" s="344" t="s">
        <v>307</v>
      </c>
      <c r="J46" s="344" t="s">
        <v>307</v>
      </c>
      <c r="K46" s="344" t="s">
        <v>307</v>
      </c>
      <c r="L46" s="344" t="s">
        <v>307</v>
      </c>
      <c r="M46" s="344" t="s">
        <v>307</v>
      </c>
      <c r="N46" s="344" t="s">
        <v>307</v>
      </c>
      <c r="O46" s="344" t="s">
        <v>307</v>
      </c>
      <c r="P46" s="344" t="s">
        <v>307</v>
      </c>
      <c r="Q46" s="344" t="s">
        <v>307</v>
      </c>
      <c r="R46" s="344" t="s">
        <v>307</v>
      </c>
      <c r="S46" s="344" t="s">
        <v>307</v>
      </c>
      <c r="T46" s="344" t="s">
        <v>307</v>
      </c>
      <c r="U46" s="6">
        <v>0</v>
      </c>
      <c r="V46" s="6">
        <v>1560</v>
      </c>
      <c r="W46" s="35">
        <f t="shared" si="0"/>
        <v>86</v>
      </c>
      <c r="X46" s="6">
        <v>0</v>
      </c>
      <c r="Y46" s="6"/>
      <c r="Z46" s="35">
        <f t="shared" si="1"/>
        <v>0</v>
      </c>
      <c r="AA46" s="35">
        <v>0</v>
      </c>
      <c r="AB46" s="35"/>
      <c r="AC46" s="35">
        <f t="shared" si="2"/>
        <v>0</v>
      </c>
      <c r="AD46" s="6">
        <v>361</v>
      </c>
      <c r="AE46" s="6"/>
      <c r="AF46" s="35">
        <f t="shared" si="3"/>
        <v>361</v>
      </c>
      <c r="AG46" s="6"/>
      <c r="AH46" s="6"/>
      <c r="AI46" s="34"/>
      <c r="AJ46" s="35">
        <v>753</v>
      </c>
      <c r="AK46" s="35"/>
      <c r="AL46" s="35">
        <f t="shared" si="4"/>
        <v>392</v>
      </c>
      <c r="AM46" s="35">
        <v>1143</v>
      </c>
      <c r="AN46" s="6"/>
      <c r="AO46" s="35">
        <f t="shared" si="5"/>
        <v>390</v>
      </c>
      <c r="AP46" s="6">
        <v>1526</v>
      </c>
      <c r="AQ46" s="6"/>
      <c r="AR46" s="35">
        <f t="shared" si="6"/>
        <v>383</v>
      </c>
      <c r="AS46" s="35">
        <v>95</v>
      </c>
      <c r="AT46" s="35">
        <v>1820</v>
      </c>
      <c r="AU46" s="35">
        <f t="shared" si="7"/>
        <v>389</v>
      </c>
      <c r="AV46" s="6">
        <v>485</v>
      </c>
      <c r="AW46" s="6"/>
      <c r="AX46" s="35">
        <f t="shared" si="8"/>
        <v>390</v>
      </c>
      <c r="AY46" s="6">
        <v>858</v>
      </c>
      <c r="AZ46" s="6"/>
      <c r="BA46" s="35">
        <f t="shared" si="9"/>
        <v>373</v>
      </c>
      <c r="BB46" s="6"/>
      <c r="BC46" s="6"/>
      <c r="BD46" s="6"/>
      <c r="BE46" s="6">
        <v>1249</v>
      </c>
      <c r="BF46" s="6"/>
      <c r="BG46" s="6">
        <f t="shared" si="10"/>
        <v>391</v>
      </c>
      <c r="BH46" s="6">
        <v>1633</v>
      </c>
      <c r="BI46" s="6"/>
      <c r="BJ46" s="35">
        <f t="shared" si="11"/>
        <v>384</v>
      </c>
      <c r="BK46" s="6">
        <v>202</v>
      </c>
      <c r="BL46" s="6">
        <v>1820</v>
      </c>
      <c r="BM46" s="6">
        <f t="shared" si="12"/>
        <v>389</v>
      </c>
      <c r="BN46" s="6">
        <v>591</v>
      </c>
      <c r="BO46" s="6"/>
      <c r="BP46" s="35">
        <f t="shared" si="13"/>
        <v>389</v>
      </c>
      <c r="BQ46" s="6">
        <v>971</v>
      </c>
      <c r="BR46" s="6"/>
      <c r="BS46" s="6">
        <f t="shared" si="14"/>
        <v>380</v>
      </c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</row>
    <row r="47" spans="1:113">
      <c r="A47" s="6">
        <v>43</v>
      </c>
      <c r="B47" s="6">
        <v>0</v>
      </c>
      <c r="C47" s="6">
        <v>1625</v>
      </c>
      <c r="D47" s="6">
        <v>278</v>
      </c>
      <c r="E47" s="33" t="s">
        <v>37</v>
      </c>
      <c r="F47" s="148" t="s">
        <v>37</v>
      </c>
      <c r="G47" s="344" t="s">
        <v>37</v>
      </c>
      <c r="H47" s="344" t="s">
        <v>37</v>
      </c>
      <c r="I47" s="344" t="s">
        <v>37</v>
      </c>
      <c r="J47" s="344" t="s">
        <v>37</v>
      </c>
      <c r="K47" s="344" t="s">
        <v>37</v>
      </c>
      <c r="L47" s="344" t="s">
        <v>37</v>
      </c>
      <c r="M47" s="344" t="s">
        <v>37</v>
      </c>
      <c r="N47" s="344" t="s">
        <v>37</v>
      </c>
      <c r="O47" s="344" t="s">
        <v>37</v>
      </c>
      <c r="P47" s="344" t="s">
        <v>37</v>
      </c>
      <c r="Q47" s="344" t="s">
        <v>37</v>
      </c>
      <c r="R47" s="344" t="s">
        <v>37</v>
      </c>
      <c r="S47" s="344" t="s">
        <v>37</v>
      </c>
      <c r="T47" s="344" t="s">
        <v>37</v>
      </c>
      <c r="U47" s="6">
        <v>381</v>
      </c>
      <c r="V47" s="6"/>
      <c r="W47" s="35">
        <f t="shared" si="0"/>
        <v>381</v>
      </c>
      <c r="X47" s="6">
        <v>766</v>
      </c>
      <c r="Y47" s="6"/>
      <c r="Z47" s="35">
        <f t="shared" si="1"/>
        <v>385</v>
      </c>
      <c r="AA47" s="35">
        <v>1150</v>
      </c>
      <c r="AB47" s="35"/>
      <c r="AC47" s="35">
        <f t="shared" si="2"/>
        <v>384</v>
      </c>
      <c r="AD47" s="6">
        <v>1514</v>
      </c>
      <c r="AE47" s="6"/>
      <c r="AF47" s="35">
        <f t="shared" si="3"/>
        <v>364</v>
      </c>
      <c r="AG47" s="6"/>
      <c r="AH47" s="6"/>
      <c r="AI47" s="34"/>
      <c r="AJ47" s="35">
        <v>334</v>
      </c>
      <c r="AK47" s="35">
        <v>1566</v>
      </c>
      <c r="AL47" s="35">
        <f t="shared" si="4"/>
        <v>386</v>
      </c>
      <c r="AM47" s="6">
        <v>719</v>
      </c>
      <c r="AN47" s="6"/>
      <c r="AO47" s="35">
        <f t="shared" si="5"/>
        <v>385</v>
      </c>
      <c r="AP47" s="6">
        <v>1100</v>
      </c>
      <c r="AQ47" s="6"/>
      <c r="AR47" s="35">
        <f t="shared" si="6"/>
        <v>381</v>
      </c>
      <c r="AS47" s="35">
        <v>1487</v>
      </c>
      <c r="AT47" s="35"/>
      <c r="AU47" s="35">
        <f t="shared" si="7"/>
        <v>387</v>
      </c>
      <c r="AV47" s="6">
        <v>302</v>
      </c>
      <c r="AW47" s="6">
        <v>1560</v>
      </c>
      <c r="AX47" s="35">
        <f t="shared" si="8"/>
        <v>375</v>
      </c>
      <c r="AY47" s="6">
        <v>662</v>
      </c>
      <c r="AZ47" s="6"/>
      <c r="BA47" s="35">
        <f t="shared" si="9"/>
        <v>360</v>
      </c>
      <c r="BB47" s="6"/>
      <c r="BC47" s="6"/>
      <c r="BD47" s="6"/>
      <c r="BE47" s="6">
        <v>1050</v>
      </c>
      <c r="BF47" s="6"/>
      <c r="BG47" s="6">
        <f t="shared" si="10"/>
        <v>388</v>
      </c>
      <c r="BH47" s="6">
        <v>1430</v>
      </c>
      <c r="BI47" s="6"/>
      <c r="BJ47" s="35">
        <f t="shared" si="11"/>
        <v>380</v>
      </c>
      <c r="BK47" s="6">
        <v>256</v>
      </c>
      <c r="BL47" s="6">
        <v>1560</v>
      </c>
      <c r="BM47" s="6">
        <f t="shared" si="12"/>
        <v>386</v>
      </c>
      <c r="BN47" s="6">
        <v>636</v>
      </c>
      <c r="BO47" s="6"/>
      <c r="BP47" s="35">
        <f t="shared" si="13"/>
        <v>380</v>
      </c>
      <c r="BQ47" s="6">
        <v>1016</v>
      </c>
      <c r="BR47" s="6"/>
      <c r="BS47" s="6">
        <f t="shared" si="14"/>
        <v>380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</row>
    <row r="48" spans="1:113">
      <c r="A48" s="274">
        <v>44</v>
      </c>
      <c r="B48" s="6">
        <v>734</v>
      </c>
      <c r="C48" s="6"/>
      <c r="D48" s="6">
        <v>354</v>
      </c>
      <c r="E48" s="33" t="s">
        <v>37</v>
      </c>
      <c r="F48" s="33" t="s">
        <v>37</v>
      </c>
      <c r="G48" s="344" t="s">
        <v>37</v>
      </c>
      <c r="H48" s="346" t="s">
        <v>37</v>
      </c>
      <c r="I48" s="344" t="s">
        <v>37</v>
      </c>
      <c r="J48" s="344" t="s">
        <v>37</v>
      </c>
      <c r="K48" s="344" t="s">
        <v>37</v>
      </c>
      <c r="L48" s="344" t="s">
        <v>37</v>
      </c>
      <c r="M48" s="344" t="s">
        <v>37</v>
      </c>
      <c r="N48" s="344" t="s">
        <v>37</v>
      </c>
      <c r="O48" s="344" t="s">
        <v>37</v>
      </c>
      <c r="P48" s="344" t="s">
        <v>37</v>
      </c>
      <c r="Q48" s="344" t="s">
        <v>37</v>
      </c>
      <c r="R48" s="344" t="s">
        <v>37</v>
      </c>
      <c r="S48" s="344" t="s">
        <v>37</v>
      </c>
      <c r="T48" s="344" t="s">
        <v>37</v>
      </c>
      <c r="U48" s="6">
        <v>1147</v>
      </c>
      <c r="V48" s="6"/>
      <c r="W48" s="35">
        <f t="shared" si="0"/>
        <v>413</v>
      </c>
      <c r="X48" s="6">
        <v>1535</v>
      </c>
      <c r="Y48" s="6"/>
      <c r="Z48" s="35">
        <f t="shared" si="1"/>
        <v>388</v>
      </c>
      <c r="AA48" s="35">
        <v>270</v>
      </c>
      <c r="AB48" s="35">
        <v>1636</v>
      </c>
      <c r="AC48" s="35">
        <f t="shared" si="2"/>
        <v>371</v>
      </c>
      <c r="AD48" s="6">
        <v>643</v>
      </c>
      <c r="AE48" s="6"/>
      <c r="AF48" s="35">
        <f t="shared" si="3"/>
        <v>373</v>
      </c>
      <c r="AG48" s="6"/>
      <c r="AH48" s="6"/>
      <c r="AI48" s="34"/>
      <c r="AJ48" s="35">
        <v>1033</v>
      </c>
      <c r="AK48" s="35"/>
      <c r="AL48" s="35">
        <f t="shared" si="4"/>
        <v>390</v>
      </c>
      <c r="AM48" s="6">
        <v>1411</v>
      </c>
      <c r="AN48" s="6"/>
      <c r="AO48" s="35">
        <f t="shared" si="5"/>
        <v>378</v>
      </c>
      <c r="AP48" s="6">
        <v>233</v>
      </c>
      <c r="AQ48" s="6">
        <v>1560</v>
      </c>
      <c r="AR48" s="35">
        <f t="shared" si="6"/>
        <v>382</v>
      </c>
      <c r="AS48" s="35">
        <v>597</v>
      </c>
      <c r="AT48" s="35"/>
      <c r="AU48" s="35">
        <f t="shared" si="7"/>
        <v>364</v>
      </c>
      <c r="AV48" s="35">
        <v>982</v>
      </c>
      <c r="AW48" s="6"/>
      <c r="AX48" s="35">
        <f t="shared" si="8"/>
        <v>385</v>
      </c>
      <c r="AY48" s="6">
        <v>1349</v>
      </c>
      <c r="AZ48" s="6"/>
      <c r="BA48" s="35">
        <f t="shared" si="9"/>
        <v>367</v>
      </c>
      <c r="BB48" s="6"/>
      <c r="BC48" s="6"/>
      <c r="BD48" s="6"/>
      <c r="BE48" s="6">
        <v>180</v>
      </c>
      <c r="BF48" s="6">
        <v>1560</v>
      </c>
      <c r="BG48" s="6">
        <f t="shared" si="10"/>
        <v>391</v>
      </c>
      <c r="BH48" s="6">
        <v>552</v>
      </c>
      <c r="BI48" s="6"/>
      <c r="BJ48" s="35">
        <f t="shared" si="11"/>
        <v>372</v>
      </c>
      <c r="BK48" s="6">
        <v>928</v>
      </c>
      <c r="BL48" s="6"/>
      <c r="BM48" s="6">
        <f t="shared" si="12"/>
        <v>376</v>
      </c>
      <c r="BN48" s="6">
        <v>1311</v>
      </c>
      <c r="BO48" s="6"/>
      <c r="BP48" s="35">
        <f t="shared" si="13"/>
        <v>383</v>
      </c>
      <c r="BQ48" s="6">
        <v>138</v>
      </c>
      <c r="BR48" s="6">
        <v>1560</v>
      </c>
      <c r="BS48" s="6">
        <f t="shared" si="14"/>
        <v>387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</row>
    <row r="49" spans="1:113">
      <c r="A49" s="6">
        <v>45</v>
      </c>
      <c r="B49" s="6">
        <v>1382</v>
      </c>
      <c r="C49" s="6"/>
      <c r="D49" s="6">
        <v>365</v>
      </c>
      <c r="E49" s="33" t="s">
        <v>37</v>
      </c>
      <c r="F49" s="33" t="s">
        <v>37</v>
      </c>
      <c r="G49" s="346" t="s">
        <v>37</v>
      </c>
      <c r="H49" s="344" t="s">
        <v>37</v>
      </c>
      <c r="I49" s="344" t="s">
        <v>37</v>
      </c>
      <c r="J49" s="344" t="s">
        <v>37</v>
      </c>
      <c r="K49" s="344" t="s">
        <v>37</v>
      </c>
      <c r="L49" s="344" t="s">
        <v>37</v>
      </c>
      <c r="M49" s="344" t="s">
        <v>37</v>
      </c>
      <c r="N49" s="344" t="s">
        <v>37</v>
      </c>
      <c r="O49" s="344" t="s">
        <v>37</v>
      </c>
      <c r="P49" s="344" t="s">
        <v>37</v>
      </c>
      <c r="Q49" s="344" t="s">
        <v>37</v>
      </c>
      <c r="R49" s="344" t="s">
        <v>37</v>
      </c>
      <c r="S49" s="344" t="s">
        <v>37</v>
      </c>
      <c r="T49" s="344" t="s">
        <v>37</v>
      </c>
      <c r="U49" s="6">
        <v>1602</v>
      </c>
      <c r="V49" s="6"/>
      <c r="W49" s="35">
        <f t="shared" si="0"/>
        <v>220</v>
      </c>
      <c r="X49" s="6">
        <v>374</v>
      </c>
      <c r="Y49" s="6">
        <v>1602</v>
      </c>
      <c r="Z49" s="35">
        <f t="shared" si="1"/>
        <v>374</v>
      </c>
      <c r="AA49" s="35">
        <v>754</v>
      </c>
      <c r="AB49" s="35"/>
      <c r="AC49" s="35">
        <f t="shared" si="2"/>
        <v>380</v>
      </c>
      <c r="AD49" s="6">
        <v>1125</v>
      </c>
      <c r="AE49" s="6"/>
      <c r="AF49" s="35">
        <f t="shared" si="3"/>
        <v>371</v>
      </c>
      <c r="AG49" s="6"/>
      <c r="AH49" s="6"/>
      <c r="AI49" s="34"/>
      <c r="AJ49" s="35">
        <v>1513</v>
      </c>
      <c r="AK49" s="35"/>
      <c r="AL49" s="35">
        <f t="shared" si="4"/>
        <v>388</v>
      </c>
      <c r="AM49" s="6">
        <v>74</v>
      </c>
      <c r="AN49" s="6">
        <v>1820</v>
      </c>
      <c r="AO49" s="35">
        <f t="shared" si="5"/>
        <v>381</v>
      </c>
      <c r="AP49" s="6">
        <v>457</v>
      </c>
      <c r="AQ49" s="6"/>
      <c r="AR49" s="35">
        <f t="shared" si="6"/>
        <v>383</v>
      </c>
      <c r="AS49" s="35">
        <v>839</v>
      </c>
      <c r="AT49" s="35"/>
      <c r="AU49" s="35">
        <f t="shared" si="7"/>
        <v>382</v>
      </c>
      <c r="AV49" s="6">
        <v>1221</v>
      </c>
      <c r="AW49" s="6"/>
      <c r="AX49" s="35">
        <f t="shared" si="8"/>
        <v>382</v>
      </c>
      <c r="AY49" s="6">
        <v>30</v>
      </c>
      <c r="AZ49" s="6">
        <v>1560</v>
      </c>
      <c r="BA49" s="35">
        <f t="shared" si="9"/>
        <v>369</v>
      </c>
      <c r="BB49" s="6"/>
      <c r="BC49" s="6"/>
      <c r="BD49" s="6"/>
      <c r="BE49" s="6">
        <v>419</v>
      </c>
      <c r="BF49" s="6"/>
      <c r="BG49" s="6">
        <f t="shared" si="10"/>
        <v>389</v>
      </c>
      <c r="BH49" s="6">
        <v>802</v>
      </c>
      <c r="BI49" s="6"/>
      <c r="BJ49" s="35">
        <f t="shared" si="11"/>
        <v>383</v>
      </c>
      <c r="BK49" s="6">
        <v>1186</v>
      </c>
      <c r="BL49" s="6"/>
      <c r="BM49" s="6">
        <f t="shared" si="12"/>
        <v>384</v>
      </c>
      <c r="BN49" s="6">
        <v>2</v>
      </c>
      <c r="BO49" s="6">
        <v>1561</v>
      </c>
      <c r="BP49" s="35">
        <f t="shared" si="13"/>
        <v>377</v>
      </c>
      <c r="BQ49" s="6">
        <v>375</v>
      </c>
      <c r="BR49" s="6"/>
      <c r="BS49" s="6">
        <f t="shared" si="14"/>
        <v>373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</row>
    <row r="50" spans="1:113">
      <c r="A50" s="6">
        <v>46</v>
      </c>
      <c r="B50" s="6">
        <v>1123</v>
      </c>
      <c r="C50" s="6"/>
      <c r="D50" s="6">
        <v>363</v>
      </c>
      <c r="E50" s="33" t="s">
        <v>37</v>
      </c>
      <c r="F50" s="33" t="s">
        <v>37</v>
      </c>
      <c r="G50" s="344" t="s">
        <v>37</v>
      </c>
      <c r="H50" s="344" t="s">
        <v>37</v>
      </c>
      <c r="I50" s="344" t="s">
        <v>37</v>
      </c>
      <c r="J50" s="344" t="s">
        <v>37</v>
      </c>
      <c r="K50" s="344" t="s">
        <v>37</v>
      </c>
      <c r="L50" s="344" t="s">
        <v>37</v>
      </c>
      <c r="M50" s="344" t="s">
        <v>37</v>
      </c>
      <c r="N50" s="344" t="s">
        <v>37</v>
      </c>
      <c r="O50" s="344" t="s">
        <v>37</v>
      </c>
      <c r="P50" s="344" t="s">
        <v>37</v>
      </c>
      <c r="Q50" s="344" t="s">
        <v>37</v>
      </c>
      <c r="R50" s="344" t="s">
        <v>37</v>
      </c>
      <c r="S50" s="344" t="s">
        <v>37</v>
      </c>
      <c r="T50" s="346" t="s">
        <v>37</v>
      </c>
      <c r="U50" s="6">
        <v>1530</v>
      </c>
      <c r="V50" s="6"/>
      <c r="W50" s="35">
        <f t="shared" si="0"/>
        <v>407</v>
      </c>
      <c r="X50" s="6">
        <v>355</v>
      </c>
      <c r="Y50" s="6">
        <v>1560</v>
      </c>
      <c r="Z50" s="35">
        <f t="shared" si="1"/>
        <v>385</v>
      </c>
      <c r="AA50" s="35">
        <v>742</v>
      </c>
      <c r="AB50" s="35"/>
      <c r="AC50" s="35">
        <f t="shared" si="2"/>
        <v>387</v>
      </c>
      <c r="AD50" s="6">
        <v>1113</v>
      </c>
      <c r="AE50" s="6"/>
      <c r="AF50" s="35">
        <f t="shared" si="3"/>
        <v>371</v>
      </c>
      <c r="AG50" s="6"/>
      <c r="AH50" s="6"/>
      <c r="AI50" s="34"/>
      <c r="AJ50" s="35">
        <v>1499</v>
      </c>
      <c r="AK50" s="35"/>
      <c r="AL50" s="35">
        <f t="shared" si="4"/>
        <v>386</v>
      </c>
      <c r="AM50" s="6">
        <v>323</v>
      </c>
      <c r="AN50" s="6">
        <v>1560</v>
      </c>
      <c r="AO50" s="35">
        <f t="shared" si="5"/>
        <v>384</v>
      </c>
      <c r="AP50" s="6">
        <v>707</v>
      </c>
      <c r="AQ50" s="6"/>
      <c r="AR50" s="35">
        <f t="shared" si="6"/>
        <v>384</v>
      </c>
      <c r="AS50" s="35">
        <v>1095</v>
      </c>
      <c r="AT50" s="35"/>
      <c r="AU50" s="35">
        <f t="shared" si="7"/>
        <v>388</v>
      </c>
      <c r="AV50" s="35">
        <v>1464</v>
      </c>
      <c r="AW50" s="6"/>
      <c r="AX50" s="35">
        <f t="shared" si="8"/>
        <v>369</v>
      </c>
      <c r="AY50" s="6">
        <v>273</v>
      </c>
      <c r="AZ50" s="6">
        <v>1560</v>
      </c>
      <c r="BA50" s="35">
        <f t="shared" si="9"/>
        <v>369</v>
      </c>
      <c r="BB50" s="6"/>
      <c r="BC50" s="6"/>
      <c r="BD50" s="6"/>
      <c r="BE50" s="6">
        <v>660</v>
      </c>
      <c r="BF50" s="6"/>
      <c r="BG50" s="6">
        <f t="shared" si="10"/>
        <v>387</v>
      </c>
      <c r="BH50" s="6">
        <v>1039</v>
      </c>
      <c r="BI50" s="6"/>
      <c r="BJ50" s="35">
        <f t="shared" si="11"/>
        <v>379</v>
      </c>
      <c r="BK50" s="6">
        <v>1421</v>
      </c>
      <c r="BL50" s="6"/>
      <c r="BM50" s="6">
        <f t="shared" si="12"/>
        <v>382</v>
      </c>
      <c r="BN50" s="6">
        <v>0</v>
      </c>
      <c r="BO50" s="6">
        <v>1754</v>
      </c>
      <c r="BP50" s="35">
        <f t="shared" si="13"/>
        <v>333</v>
      </c>
      <c r="BQ50" s="6">
        <v>356</v>
      </c>
      <c r="BR50" s="6"/>
      <c r="BS50" s="6">
        <f t="shared" si="14"/>
        <v>356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</row>
    <row r="51" spans="1:113">
      <c r="A51" s="274">
        <v>47</v>
      </c>
      <c r="B51" s="6">
        <v>1293</v>
      </c>
      <c r="C51" s="6"/>
      <c r="D51" s="6">
        <v>369</v>
      </c>
      <c r="E51" s="33" t="s">
        <v>307</v>
      </c>
      <c r="F51" s="33" t="s">
        <v>307</v>
      </c>
      <c r="G51" s="344" t="s">
        <v>307</v>
      </c>
      <c r="H51" s="344" t="s">
        <v>307</v>
      </c>
      <c r="I51" s="344" t="s">
        <v>307</v>
      </c>
      <c r="J51" s="344" t="s">
        <v>307</v>
      </c>
      <c r="K51" s="344" t="s">
        <v>307</v>
      </c>
      <c r="L51" s="344" t="s">
        <v>307</v>
      </c>
      <c r="M51" s="344" t="s">
        <v>307</v>
      </c>
      <c r="N51" s="344" t="s">
        <v>307</v>
      </c>
      <c r="O51" s="344" t="s">
        <v>307</v>
      </c>
      <c r="P51" s="405" t="s">
        <v>37</v>
      </c>
      <c r="Q51" s="406" t="s">
        <v>37</v>
      </c>
      <c r="R51" s="406" t="s">
        <v>37</v>
      </c>
      <c r="S51" s="406" t="s">
        <v>37</v>
      </c>
      <c r="T51" s="406" t="s">
        <v>37</v>
      </c>
      <c r="U51" s="35">
        <v>0</v>
      </c>
      <c r="V51" s="35">
        <v>1560</v>
      </c>
      <c r="W51" s="35">
        <f t="shared" si="0"/>
        <v>267</v>
      </c>
      <c r="X51" s="35">
        <v>0</v>
      </c>
      <c r="Y51" s="35"/>
      <c r="Z51" s="35">
        <f t="shared" si="1"/>
        <v>0</v>
      </c>
      <c r="AA51" s="35">
        <v>0</v>
      </c>
      <c r="AB51" s="35"/>
      <c r="AC51" s="35">
        <f t="shared" si="2"/>
        <v>0</v>
      </c>
      <c r="AD51" s="6">
        <v>363</v>
      </c>
      <c r="AE51" s="6"/>
      <c r="AF51" s="35">
        <f t="shared" si="3"/>
        <v>363</v>
      </c>
      <c r="AG51" s="6"/>
      <c r="AH51" s="6"/>
      <c r="AI51" s="34"/>
      <c r="AJ51" s="35">
        <v>756</v>
      </c>
      <c r="AK51" s="35"/>
      <c r="AL51" s="35">
        <f t="shared" si="4"/>
        <v>393</v>
      </c>
      <c r="AM51" s="6">
        <v>1146</v>
      </c>
      <c r="AN51" s="6"/>
      <c r="AO51" s="35">
        <f t="shared" si="5"/>
        <v>390</v>
      </c>
      <c r="AP51" s="6">
        <v>1533</v>
      </c>
      <c r="AQ51" s="6"/>
      <c r="AR51" s="35">
        <f t="shared" si="6"/>
        <v>387</v>
      </c>
      <c r="AS51" s="6">
        <v>104</v>
      </c>
      <c r="AT51" s="6">
        <v>1822</v>
      </c>
      <c r="AU51" s="35">
        <f t="shared" si="7"/>
        <v>393</v>
      </c>
      <c r="AV51" s="6">
        <v>495</v>
      </c>
      <c r="AW51" s="6"/>
      <c r="AX51" s="35">
        <f t="shared" si="8"/>
        <v>391</v>
      </c>
      <c r="AY51" s="6">
        <v>0</v>
      </c>
      <c r="AZ51" s="6">
        <v>844</v>
      </c>
      <c r="BA51" s="35">
        <f t="shared" si="9"/>
        <v>349</v>
      </c>
      <c r="BB51" s="6"/>
      <c r="BC51" s="35"/>
      <c r="BD51" s="6"/>
      <c r="BE51" s="6">
        <v>383</v>
      </c>
      <c r="BF51" s="6"/>
      <c r="BG51" s="6">
        <f t="shared" si="10"/>
        <v>383</v>
      </c>
      <c r="BH51" s="6">
        <v>773</v>
      </c>
      <c r="BI51" s="6"/>
      <c r="BJ51" s="35">
        <f t="shared" si="11"/>
        <v>390</v>
      </c>
      <c r="BK51" s="6">
        <v>1159</v>
      </c>
      <c r="BL51" s="6"/>
      <c r="BM51" s="6">
        <f t="shared" si="12"/>
        <v>386</v>
      </c>
      <c r="BN51" s="6">
        <v>1545</v>
      </c>
      <c r="BO51" s="6"/>
      <c r="BP51" s="35">
        <f t="shared" si="13"/>
        <v>386</v>
      </c>
      <c r="BQ51" s="35">
        <v>368</v>
      </c>
      <c r="BR51" s="35">
        <v>1561</v>
      </c>
      <c r="BS51" s="6">
        <f t="shared" si="14"/>
        <v>384</v>
      </c>
      <c r="BT51" s="6"/>
      <c r="BU51" s="6"/>
      <c r="BV51" s="6"/>
      <c r="BW51" s="6"/>
      <c r="BX51" s="35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</row>
    <row r="52" spans="1:113">
      <c r="A52" s="6">
        <v>48</v>
      </c>
      <c r="B52" s="6">
        <v>1419</v>
      </c>
      <c r="C52" s="6"/>
      <c r="D52" s="6">
        <v>362</v>
      </c>
      <c r="E52" s="33" t="s">
        <v>37</v>
      </c>
      <c r="F52" s="33" t="s">
        <v>37</v>
      </c>
      <c r="G52" s="346" t="s">
        <v>37</v>
      </c>
      <c r="H52" s="344" t="s">
        <v>37</v>
      </c>
      <c r="I52" s="344" t="s">
        <v>37</v>
      </c>
      <c r="J52" s="344" t="s">
        <v>37</v>
      </c>
      <c r="K52" s="344" t="s">
        <v>37</v>
      </c>
      <c r="L52" s="344" t="s">
        <v>37</v>
      </c>
      <c r="M52" s="344" t="s">
        <v>37</v>
      </c>
      <c r="N52" s="344" t="s">
        <v>37</v>
      </c>
      <c r="O52" s="344" t="s">
        <v>37</v>
      </c>
      <c r="P52" s="344" t="s">
        <v>37</v>
      </c>
      <c r="Q52" s="344" t="s">
        <v>37</v>
      </c>
      <c r="R52" s="344" t="s">
        <v>37</v>
      </c>
      <c r="S52" s="344" t="s">
        <v>37</v>
      </c>
      <c r="T52" s="344" t="s">
        <v>37</v>
      </c>
      <c r="U52" s="35">
        <v>0</v>
      </c>
      <c r="V52" s="35">
        <v>1631</v>
      </c>
      <c r="W52" s="35">
        <f t="shared" si="0"/>
        <v>212</v>
      </c>
      <c r="X52" s="35">
        <v>372</v>
      </c>
      <c r="Y52" s="35"/>
      <c r="Z52" s="35">
        <f t="shared" si="1"/>
        <v>372</v>
      </c>
      <c r="AA52" s="35">
        <v>759</v>
      </c>
      <c r="AB52" s="35"/>
      <c r="AC52" s="35">
        <f t="shared" si="2"/>
        <v>387</v>
      </c>
      <c r="AD52" s="35">
        <v>1134</v>
      </c>
      <c r="AE52" s="35"/>
      <c r="AF52" s="35">
        <f t="shared" si="3"/>
        <v>375</v>
      </c>
      <c r="AG52" s="6"/>
      <c r="AH52" s="6"/>
      <c r="AI52" s="34"/>
      <c r="AJ52" s="35">
        <v>1523</v>
      </c>
      <c r="AK52" s="35"/>
      <c r="AL52" s="35">
        <f t="shared" si="4"/>
        <v>389</v>
      </c>
      <c r="AM52" s="6">
        <v>352</v>
      </c>
      <c r="AN52" s="6">
        <v>1560</v>
      </c>
      <c r="AO52" s="35">
        <f t="shared" si="5"/>
        <v>389</v>
      </c>
      <c r="AP52" s="6">
        <v>739</v>
      </c>
      <c r="AQ52" s="6"/>
      <c r="AR52" s="35">
        <f t="shared" si="6"/>
        <v>387</v>
      </c>
      <c r="AS52" s="35">
        <v>1128</v>
      </c>
      <c r="AT52" s="35"/>
      <c r="AU52" s="35">
        <f t="shared" si="7"/>
        <v>389</v>
      </c>
      <c r="AV52" s="6">
        <v>1515</v>
      </c>
      <c r="AW52" s="6"/>
      <c r="AX52" s="35">
        <f t="shared" si="8"/>
        <v>387</v>
      </c>
      <c r="AY52" s="6">
        <v>317</v>
      </c>
      <c r="AZ52" s="6">
        <v>1570</v>
      </c>
      <c r="BA52" s="35">
        <f t="shared" si="9"/>
        <v>372</v>
      </c>
      <c r="BB52" s="6"/>
      <c r="BC52" s="6"/>
      <c r="BD52" s="6"/>
      <c r="BE52" s="6">
        <v>709</v>
      </c>
      <c r="BF52" s="6"/>
      <c r="BG52" s="6">
        <f t="shared" si="10"/>
        <v>392</v>
      </c>
      <c r="BH52" s="6">
        <v>1095</v>
      </c>
      <c r="BI52" s="6"/>
      <c r="BJ52" s="35">
        <f t="shared" si="11"/>
        <v>386</v>
      </c>
      <c r="BK52" s="35">
        <v>1473</v>
      </c>
      <c r="BL52" s="6"/>
      <c r="BM52" s="6">
        <f t="shared" si="12"/>
        <v>378</v>
      </c>
      <c r="BN52" s="6">
        <v>296</v>
      </c>
      <c r="BO52" s="6">
        <v>1561</v>
      </c>
      <c r="BP52" s="35">
        <f t="shared" si="13"/>
        <v>384</v>
      </c>
      <c r="BQ52" s="6">
        <v>471</v>
      </c>
      <c r="BR52" s="6"/>
      <c r="BS52" s="6">
        <f t="shared" si="14"/>
        <v>175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</row>
    <row r="53" spans="1:113">
      <c r="A53" s="6">
        <v>49</v>
      </c>
      <c r="B53" s="6">
        <v>802</v>
      </c>
      <c r="C53" s="6"/>
      <c r="D53" s="6">
        <v>364</v>
      </c>
      <c r="E53" s="33" t="s">
        <v>37</v>
      </c>
      <c r="F53" s="33" t="s">
        <v>37</v>
      </c>
      <c r="G53" s="344" t="s">
        <v>37</v>
      </c>
      <c r="H53" s="344" t="s">
        <v>37</v>
      </c>
      <c r="I53" s="344" t="s">
        <v>37</v>
      </c>
      <c r="J53" s="344" t="s">
        <v>37</v>
      </c>
      <c r="K53" s="344" t="s">
        <v>37</v>
      </c>
      <c r="L53" s="344" t="s">
        <v>37</v>
      </c>
      <c r="M53" s="344" t="s">
        <v>37</v>
      </c>
      <c r="N53" s="344" t="s">
        <v>37</v>
      </c>
      <c r="O53" s="344" t="s">
        <v>37</v>
      </c>
      <c r="P53" s="344" t="s">
        <v>37</v>
      </c>
      <c r="Q53" s="344" t="s">
        <v>37</v>
      </c>
      <c r="R53" s="344" t="s">
        <v>37</v>
      </c>
      <c r="S53" s="344" t="s">
        <v>37</v>
      </c>
      <c r="T53" s="344" t="s">
        <v>37</v>
      </c>
      <c r="U53" s="35">
        <v>1214</v>
      </c>
      <c r="V53" s="35"/>
      <c r="W53" s="35">
        <f t="shared" si="0"/>
        <v>412</v>
      </c>
      <c r="X53" s="35">
        <v>39</v>
      </c>
      <c r="Y53" s="35">
        <v>1560</v>
      </c>
      <c r="Z53" s="35">
        <f t="shared" si="1"/>
        <v>385</v>
      </c>
      <c r="AA53" s="35">
        <v>415</v>
      </c>
      <c r="AB53" s="35"/>
      <c r="AC53" s="35">
        <f t="shared" si="2"/>
        <v>376</v>
      </c>
      <c r="AD53" s="35">
        <v>785</v>
      </c>
      <c r="AE53" s="35"/>
      <c r="AF53" s="35">
        <f t="shared" si="3"/>
        <v>370</v>
      </c>
      <c r="AG53" s="6"/>
      <c r="AH53" s="35"/>
      <c r="AI53" s="34"/>
      <c r="AJ53" s="35">
        <v>1173</v>
      </c>
      <c r="AK53" s="35"/>
      <c r="AL53" s="35">
        <f t="shared" si="4"/>
        <v>388</v>
      </c>
      <c r="AM53" s="6">
        <v>1557</v>
      </c>
      <c r="AN53" s="6"/>
      <c r="AO53" s="35">
        <f t="shared" si="5"/>
        <v>384</v>
      </c>
      <c r="AP53" s="6">
        <v>379</v>
      </c>
      <c r="AQ53" s="6">
        <v>1560</v>
      </c>
      <c r="AR53" s="35">
        <f t="shared" si="6"/>
        <v>382</v>
      </c>
      <c r="AS53" s="6">
        <v>757</v>
      </c>
      <c r="AT53" s="6"/>
      <c r="AU53" s="35">
        <f t="shared" si="7"/>
        <v>378</v>
      </c>
      <c r="AV53" s="6">
        <v>1145</v>
      </c>
      <c r="AW53" s="6"/>
      <c r="AX53" s="35">
        <f t="shared" si="8"/>
        <v>388</v>
      </c>
      <c r="AY53" s="6">
        <v>1513</v>
      </c>
      <c r="AZ53" s="6"/>
      <c r="BA53" s="35">
        <f t="shared" si="9"/>
        <v>368</v>
      </c>
      <c r="BB53" s="6"/>
      <c r="BC53" s="35"/>
      <c r="BD53" s="6"/>
      <c r="BE53" s="6">
        <v>305</v>
      </c>
      <c r="BF53" s="6">
        <v>1561</v>
      </c>
      <c r="BG53" s="6">
        <f t="shared" si="10"/>
        <v>353</v>
      </c>
      <c r="BH53" s="6">
        <v>336</v>
      </c>
      <c r="BI53" s="6">
        <v>324</v>
      </c>
      <c r="BJ53" s="35">
        <f t="shared" si="11"/>
        <v>355</v>
      </c>
      <c r="BK53" s="6">
        <v>703</v>
      </c>
      <c r="BL53" s="6"/>
      <c r="BM53" s="6">
        <f t="shared" si="12"/>
        <v>367</v>
      </c>
      <c r="BN53" s="6">
        <v>1076</v>
      </c>
      <c r="BO53" s="6"/>
      <c r="BP53" s="35">
        <f t="shared" si="13"/>
        <v>373</v>
      </c>
      <c r="BQ53" s="6">
        <v>1441</v>
      </c>
      <c r="BR53" s="35"/>
      <c r="BS53" s="6">
        <f t="shared" si="14"/>
        <v>365</v>
      </c>
      <c r="BT53" s="6"/>
      <c r="BU53" s="6"/>
      <c r="BV53" s="6"/>
      <c r="BW53" s="6"/>
      <c r="BX53" s="35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</row>
    <row r="54" spans="1:113">
      <c r="A54" s="6">
        <v>50</v>
      </c>
      <c r="B54" s="6">
        <v>522</v>
      </c>
      <c r="C54" s="6"/>
      <c r="D54" s="6">
        <v>361</v>
      </c>
      <c r="E54" s="284" t="s">
        <v>37</v>
      </c>
      <c r="F54" s="284" t="s">
        <v>37</v>
      </c>
      <c r="G54" s="344" t="s">
        <v>37</v>
      </c>
      <c r="H54" s="344" t="s">
        <v>37</v>
      </c>
      <c r="I54" s="344" t="s">
        <v>37</v>
      </c>
      <c r="J54" s="344" t="s">
        <v>37</v>
      </c>
      <c r="K54" s="344" t="s">
        <v>37</v>
      </c>
      <c r="L54" s="344" t="s">
        <v>37</v>
      </c>
      <c r="M54" s="344" t="s">
        <v>37</v>
      </c>
      <c r="N54" s="344" t="s">
        <v>37</v>
      </c>
      <c r="O54" s="344" t="s">
        <v>37</v>
      </c>
      <c r="P54" s="344" t="s">
        <v>37</v>
      </c>
      <c r="Q54" s="344" t="s">
        <v>37</v>
      </c>
      <c r="R54" s="344" t="s">
        <v>37</v>
      </c>
      <c r="S54" s="344" t="s">
        <v>37</v>
      </c>
      <c r="T54" s="346" t="s">
        <v>37</v>
      </c>
      <c r="U54" s="6">
        <v>935</v>
      </c>
      <c r="V54" s="6"/>
      <c r="W54" s="35">
        <f t="shared" si="0"/>
        <v>413</v>
      </c>
      <c r="X54" s="6">
        <v>1323</v>
      </c>
      <c r="Y54" s="6"/>
      <c r="Z54" s="35">
        <f t="shared" si="1"/>
        <v>388</v>
      </c>
      <c r="AA54" s="35">
        <v>145</v>
      </c>
      <c r="AB54" s="35">
        <v>1560</v>
      </c>
      <c r="AC54" s="35">
        <f t="shared" si="2"/>
        <v>382</v>
      </c>
      <c r="AD54" s="6">
        <v>499</v>
      </c>
      <c r="AE54" s="6"/>
      <c r="AF54" s="35">
        <f t="shared" si="3"/>
        <v>354</v>
      </c>
      <c r="AG54" s="6"/>
      <c r="AH54" s="6"/>
      <c r="AI54" s="34"/>
      <c r="AJ54" s="35">
        <v>104</v>
      </c>
      <c r="AK54" s="35">
        <v>756</v>
      </c>
      <c r="AL54" s="35">
        <f t="shared" si="4"/>
        <v>361</v>
      </c>
      <c r="AM54" s="6">
        <v>483</v>
      </c>
      <c r="AN54" s="6"/>
      <c r="AO54" s="35">
        <f t="shared" si="5"/>
        <v>379</v>
      </c>
      <c r="AP54" s="6">
        <v>868</v>
      </c>
      <c r="AQ54" s="6"/>
      <c r="AR54" s="35">
        <f t="shared" si="6"/>
        <v>385</v>
      </c>
      <c r="AS54" s="35">
        <v>1247</v>
      </c>
      <c r="AT54" s="35"/>
      <c r="AU54" s="35">
        <f t="shared" si="7"/>
        <v>379</v>
      </c>
      <c r="AV54" s="6">
        <v>71</v>
      </c>
      <c r="AW54" s="6">
        <v>1560</v>
      </c>
      <c r="AX54" s="35">
        <f t="shared" si="8"/>
        <v>384</v>
      </c>
      <c r="AY54" s="6">
        <v>446</v>
      </c>
      <c r="AZ54" s="6"/>
      <c r="BA54" s="35">
        <f t="shared" si="9"/>
        <v>375</v>
      </c>
      <c r="BB54" s="6"/>
      <c r="BC54" s="6"/>
      <c r="BD54" s="6"/>
      <c r="BE54" s="6">
        <v>195</v>
      </c>
      <c r="BF54" s="6">
        <v>617</v>
      </c>
      <c r="BG54" s="6">
        <f t="shared" si="10"/>
        <v>366</v>
      </c>
      <c r="BH54" s="6">
        <v>577</v>
      </c>
      <c r="BI54" s="6"/>
      <c r="BJ54" s="35">
        <f t="shared" si="11"/>
        <v>382</v>
      </c>
      <c r="BK54" s="6">
        <v>157</v>
      </c>
      <c r="BL54" s="6">
        <v>760</v>
      </c>
      <c r="BM54" s="6">
        <f t="shared" si="12"/>
        <v>340</v>
      </c>
      <c r="BN54" s="6">
        <v>523</v>
      </c>
      <c r="BO54" s="6"/>
      <c r="BP54" s="35">
        <f t="shared" si="13"/>
        <v>366</v>
      </c>
      <c r="BQ54" s="6">
        <v>366</v>
      </c>
      <c r="BR54" s="6">
        <v>524</v>
      </c>
      <c r="BS54" s="6">
        <f t="shared" si="14"/>
        <v>367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</row>
    <row r="55" spans="1:113">
      <c r="A55" s="274">
        <v>51</v>
      </c>
      <c r="B55" s="6">
        <v>1052</v>
      </c>
      <c r="C55" s="6"/>
      <c r="D55" s="6">
        <v>367</v>
      </c>
      <c r="E55" s="33" t="s">
        <v>307</v>
      </c>
      <c r="F55" s="33" t="s">
        <v>307</v>
      </c>
      <c r="G55" s="344" t="s">
        <v>307</v>
      </c>
      <c r="H55" s="344" t="s">
        <v>307</v>
      </c>
      <c r="I55" s="344" t="s">
        <v>307</v>
      </c>
      <c r="J55" s="344" t="s">
        <v>307</v>
      </c>
      <c r="K55" s="344" t="s">
        <v>307</v>
      </c>
      <c r="L55" s="344" t="s">
        <v>307</v>
      </c>
      <c r="M55" s="344" t="s">
        <v>307</v>
      </c>
      <c r="N55" s="344" t="s">
        <v>307</v>
      </c>
      <c r="O55" s="344" t="s">
        <v>307</v>
      </c>
      <c r="P55" s="344" t="s">
        <v>307</v>
      </c>
      <c r="Q55" s="408" t="s">
        <v>37</v>
      </c>
      <c r="R55" s="410" t="s">
        <v>37</v>
      </c>
      <c r="S55" s="410" t="s">
        <v>37</v>
      </c>
      <c r="T55" s="410" t="s">
        <v>37</v>
      </c>
      <c r="U55" s="6">
        <v>0</v>
      </c>
      <c r="V55" s="6">
        <v>1240</v>
      </c>
      <c r="W55" s="35">
        <f t="shared" si="0"/>
        <v>188</v>
      </c>
      <c r="X55" s="6">
        <v>0</v>
      </c>
      <c r="Y55" s="6"/>
      <c r="Z55" s="35">
        <f t="shared" si="1"/>
        <v>0</v>
      </c>
      <c r="AA55" s="35">
        <v>0</v>
      </c>
      <c r="AB55" s="35"/>
      <c r="AC55" s="35">
        <f t="shared" si="2"/>
        <v>0</v>
      </c>
      <c r="AD55" s="6">
        <v>367</v>
      </c>
      <c r="AE55" s="6"/>
      <c r="AF55" s="35">
        <f t="shared" si="3"/>
        <v>367</v>
      </c>
      <c r="AG55" s="6"/>
      <c r="AH55" s="6"/>
      <c r="AI55" s="34"/>
      <c r="AJ55" s="35">
        <v>762</v>
      </c>
      <c r="AK55" s="35"/>
      <c r="AL55" s="35">
        <f t="shared" si="4"/>
        <v>395</v>
      </c>
      <c r="AM55" s="6">
        <v>1155</v>
      </c>
      <c r="AN55" s="6"/>
      <c r="AO55" s="35">
        <f t="shared" si="5"/>
        <v>393</v>
      </c>
      <c r="AP55" s="6">
        <v>7</v>
      </c>
      <c r="AQ55" s="6">
        <v>1539</v>
      </c>
      <c r="AR55" s="35">
        <f t="shared" si="6"/>
        <v>391</v>
      </c>
      <c r="AS55" s="35">
        <v>391</v>
      </c>
      <c r="AT55" s="35"/>
      <c r="AU55" s="35">
        <f t="shared" si="7"/>
        <v>384</v>
      </c>
      <c r="AV55" s="6">
        <v>778</v>
      </c>
      <c r="AW55" s="6"/>
      <c r="AX55" s="35">
        <f t="shared" si="8"/>
        <v>387</v>
      </c>
      <c r="AY55" s="6">
        <v>1154</v>
      </c>
      <c r="AZ55" s="6"/>
      <c r="BA55" s="35">
        <f t="shared" si="9"/>
        <v>376</v>
      </c>
      <c r="BB55" s="6"/>
      <c r="BC55" s="6"/>
      <c r="BD55" s="6"/>
      <c r="BE55" s="6">
        <v>0</v>
      </c>
      <c r="BF55" s="6">
        <v>1347</v>
      </c>
      <c r="BG55" s="6">
        <f t="shared" si="10"/>
        <v>193</v>
      </c>
      <c r="BH55" s="6">
        <v>353</v>
      </c>
      <c r="BI55" s="6"/>
      <c r="BJ55" s="35">
        <f t="shared" si="11"/>
        <v>353</v>
      </c>
      <c r="BK55" s="6">
        <v>740</v>
      </c>
      <c r="BL55" s="6"/>
      <c r="BM55" s="6">
        <f t="shared" si="12"/>
        <v>387</v>
      </c>
      <c r="BN55" s="6">
        <v>1133</v>
      </c>
      <c r="BO55" s="6"/>
      <c r="BP55" s="35">
        <f t="shared" si="13"/>
        <v>393</v>
      </c>
      <c r="BQ55" s="6">
        <v>1521</v>
      </c>
      <c r="BR55" s="6"/>
      <c r="BS55" s="6">
        <f t="shared" si="14"/>
        <v>388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</row>
    <row r="56" spans="1:113">
      <c r="A56" s="6">
        <v>52</v>
      </c>
      <c r="B56" s="6">
        <v>1062</v>
      </c>
      <c r="C56" s="6"/>
      <c r="D56" s="6">
        <v>363</v>
      </c>
      <c r="E56" s="33" t="s">
        <v>37</v>
      </c>
      <c r="F56" s="33" t="s">
        <v>37</v>
      </c>
      <c r="G56" s="344" t="s">
        <v>37</v>
      </c>
      <c r="H56" s="344" t="s">
        <v>37</v>
      </c>
      <c r="I56" s="344" t="s">
        <v>37</v>
      </c>
      <c r="J56" s="344" t="s">
        <v>37</v>
      </c>
      <c r="K56" s="344" t="s">
        <v>37</v>
      </c>
      <c r="L56" s="344" t="s">
        <v>37</v>
      </c>
      <c r="M56" s="344" t="s">
        <v>37</v>
      </c>
      <c r="N56" s="344" t="s">
        <v>37</v>
      </c>
      <c r="O56" s="344" t="s">
        <v>37</v>
      </c>
      <c r="P56" s="344" t="s">
        <v>37</v>
      </c>
      <c r="Q56" s="344" t="s">
        <v>37</v>
      </c>
      <c r="R56" s="344" t="s">
        <v>37</v>
      </c>
      <c r="S56" s="344" t="s">
        <v>37</v>
      </c>
      <c r="T56" s="344" t="s">
        <v>37</v>
      </c>
      <c r="U56" s="6">
        <v>1466</v>
      </c>
      <c r="V56" s="6"/>
      <c r="W56" s="35">
        <f t="shared" si="0"/>
        <v>404</v>
      </c>
      <c r="X56" s="6">
        <v>290</v>
      </c>
      <c r="Y56" s="6">
        <v>1560</v>
      </c>
      <c r="Z56" s="35">
        <f t="shared" si="1"/>
        <v>384</v>
      </c>
      <c r="AA56" s="35">
        <v>679</v>
      </c>
      <c r="AB56" s="35"/>
      <c r="AC56" s="35">
        <f t="shared" si="2"/>
        <v>389</v>
      </c>
      <c r="AD56" s="6">
        <v>1036</v>
      </c>
      <c r="AE56" s="6"/>
      <c r="AF56" s="35">
        <f t="shared" si="3"/>
        <v>357</v>
      </c>
      <c r="AG56" s="6"/>
      <c r="AH56" s="6"/>
      <c r="AI56" s="34"/>
      <c r="AJ56" s="35">
        <v>1393</v>
      </c>
      <c r="AK56" s="35"/>
      <c r="AL56" s="35">
        <f t="shared" si="4"/>
        <v>357</v>
      </c>
      <c r="AM56" s="6">
        <v>219</v>
      </c>
      <c r="AN56" s="6">
        <v>1560</v>
      </c>
      <c r="AO56" s="35">
        <f t="shared" si="5"/>
        <v>386</v>
      </c>
      <c r="AP56" s="6">
        <v>609</v>
      </c>
      <c r="AQ56" s="6"/>
      <c r="AR56" s="35">
        <f t="shared" si="6"/>
        <v>390</v>
      </c>
      <c r="AS56" s="35">
        <v>995</v>
      </c>
      <c r="AT56" s="35"/>
      <c r="AU56" s="35">
        <f t="shared" si="7"/>
        <v>386</v>
      </c>
      <c r="AV56" s="35">
        <v>1382</v>
      </c>
      <c r="AW56" s="6"/>
      <c r="AX56" s="35">
        <f t="shared" si="8"/>
        <v>387</v>
      </c>
      <c r="AY56" s="35">
        <v>184</v>
      </c>
      <c r="AZ56" s="6">
        <v>1561</v>
      </c>
      <c r="BA56" s="35">
        <f t="shared" si="9"/>
        <v>363</v>
      </c>
      <c r="BB56" s="6"/>
      <c r="BC56" s="6"/>
      <c r="BD56" s="6"/>
      <c r="BE56" s="6">
        <v>576</v>
      </c>
      <c r="BF56" s="6"/>
      <c r="BG56" s="6">
        <f t="shared" si="10"/>
        <v>392</v>
      </c>
      <c r="BH56" s="6">
        <v>961</v>
      </c>
      <c r="BI56" s="6"/>
      <c r="BJ56" s="35">
        <f t="shared" si="11"/>
        <v>385</v>
      </c>
      <c r="BK56" s="6">
        <v>1348</v>
      </c>
      <c r="BL56" s="6"/>
      <c r="BM56" s="6">
        <f t="shared" si="12"/>
        <v>387</v>
      </c>
      <c r="BN56" s="6">
        <v>175</v>
      </c>
      <c r="BO56" s="6">
        <v>1560</v>
      </c>
      <c r="BP56" s="35">
        <f t="shared" si="13"/>
        <v>387</v>
      </c>
      <c r="BQ56" s="6">
        <v>560</v>
      </c>
      <c r="BR56" s="6"/>
      <c r="BS56" s="6">
        <f t="shared" si="14"/>
        <v>385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</row>
    <row r="57" spans="1:113">
      <c r="A57" s="6">
        <v>53</v>
      </c>
      <c r="B57" s="6">
        <v>654</v>
      </c>
      <c r="C57" s="6"/>
      <c r="D57" s="6">
        <v>309</v>
      </c>
      <c r="E57" s="312" t="s">
        <v>320</v>
      </c>
      <c r="F57" s="340" t="s">
        <v>496</v>
      </c>
      <c r="G57" s="344" t="s">
        <v>496</v>
      </c>
      <c r="H57" s="344" t="s">
        <v>496</v>
      </c>
      <c r="I57" s="344" t="s">
        <v>496</v>
      </c>
      <c r="J57" s="344" t="s">
        <v>496</v>
      </c>
      <c r="K57" s="344" t="s">
        <v>496</v>
      </c>
      <c r="L57" s="344" t="s">
        <v>496</v>
      </c>
      <c r="M57" s="344" t="s">
        <v>496</v>
      </c>
      <c r="N57" s="344" t="s">
        <v>496</v>
      </c>
      <c r="O57" s="344" t="s">
        <v>496</v>
      </c>
      <c r="P57" s="344" t="s">
        <v>496</v>
      </c>
      <c r="Q57" s="344" t="s">
        <v>496</v>
      </c>
      <c r="R57" s="344" t="s">
        <v>496</v>
      </c>
      <c r="S57" s="344" t="s">
        <v>496</v>
      </c>
      <c r="T57" s="344" t="s">
        <v>496</v>
      </c>
      <c r="U57" s="6">
        <v>0</v>
      </c>
      <c r="V57" s="6">
        <v>685</v>
      </c>
      <c r="W57" s="35">
        <f t="shared" si="0"/>
        <v>31</v>
      </c>
      <c r="X57" s="6">
        <v>241</v>
      </c>
      <c r="Y57" s="6"/>
      <c r="Z57" s="35">
        <f t="shared" si="1"/>
        <v>241</v>
      </c>
      <c r="AA57" s="35">
        <v>487</v>
      </c>
      <c r="AB57" s="35"/>
      <c r="AC57" s="35">
        <f t="shared" si="2"/>
        <v>246</v>
      </c>
      <c r="AD57" s="6">
        <v>733</v>
      </c>
      <c r="AE57" s="6"/>
      <c r="AF57" s="35">
        <f t="shared" si="3"/>
        <v>246</v>
      </c>
      <c r="AG57" s="6"/>
      <c r="AH57" s="6"/>
      <c r="AI57" s="34"/>
      <c r="AJ57" s="35">
        <v>988</v>
      </c>
      <c r="AK57" s="35"/>
      <c r="AL57" s="35">
        <f t="shared" si="4"/>
        <v>255</v>
      </c>
      <c r="AM57" s="6">
        <v>1243</v>
      </c>
      <c r="AN57" s="6"/>
      <c r="AO57" s="35">
        <f t="shared" si="5"/>
        <v>255</v>
      </c>
      <c r="AP57" s="6">
        <v>1497</v>
      </c>
      <c r="AQ57" s="6"/>
      <c r="AR57" s="35">
        <f t="shared" si="6"/>
        <v>254</v>
      </c>
      <c r="AS57" s="35">
        <v>1751</v>
      </c>
      <c r="AT57" s="35"/>
      <c r="AU57" s="35">
        <f t="shared" si="7"/>
        <v>254</v>
      </c>
      <c r="AV57" s="6">
        <v>1990</v>
      </c>
      <c r="AW57" s="6"/>
      <c r="AX57" s="35">
        <f t="shared" si="8"/>
        <v>239</v>
      </c>
      <c r="AY57" s="6">
        <v>223</v>
      </c>
      <c r="AZ57" s="6">
        <v>2000</v>
      </c>
      <c r="BA57" s="35">
        <f t="shared" si="9"/>
        <v>233</v>
      </c>
      <c r="BB57" s="6"/>
      <c r="BC57" s="6"/>
      <c r="BD57" s="6"/>
      <c r="BE57" s="6">
        <v>468</v>
      </c>
      <c r="BF57" s="6"/>
      <c r="BG57" s="6">
        <f t="shared" si="10"/>
        <v>245</v>
      </c>
      <c r="BH57" s="6">
        <v>722</v>
      </c>
      <c r="BI57" s="6"/>
      <c r="BJ57" s="35">
        <f t="shared" si="11"/>
        <v>254</v>
      </c>
      <c r="BK57" s="6">
        <v>978</v>
      </c>
      <c r="BL57" s="6"/>
      <c r="BM57" s="6">
        <f t="shared" si="12"/>
        <v>256</v>
      </c>
      <c r="BN57" s="6">
        <v>1235</v>
      </c>
      <c r="BO57" s="6"/>
      <c r="BP57" s="35">
        <f t="shared" si="13"/>
        <v>257</v>
      </c>
      <c r="BQ57" s="6">
        <v>1490</v>
      </c>
      <c r="BR57" s="6"/>
      <c r="BS57" s="6">
        <f t="shared" si="14"/>
        <v>255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</row>
    <row r="58" spans="1:113">
      <c r="A58" s="274">
        <v>54</v>
      </c>
      <c r="B58" s="6">
        <v>862</v>
      </c>
      <c r="C58" s="6"/>
      <c r="D58" s="6">
        <v>362</v>
      </c>
      <c r="E58" s="33" t="s">
        <v>37</v>
      </c>
      <c r="F58" s="33" t="s">
        <v>37</v>
      </c>
      <c r="G58" s="344" t="s">
        <v>37</v>
      </c>
      <c r="H58" s="346" t="s">
        <v>37</v>
      </c>
      <c r="I58" s="344" t="s">
        <v>37</v>
      </c>
      <c r="J58" s="344" t="s">
        <v>37</v>
      </c>
      <c r="K58" s="344" t="s">
        <v>37</v>
      </c>
      <c r="L58" s="344" t="s">
        <v>37</v>
      </c>
      <c r="M58" s="344" t="s">
        <v>37</v>
      </c>
      <c r="N58" s="344" t="s">
        <v>37</v>
      </c>
      <c r="O58" s="344" t="s">
        <v>37</v>
      </c>
      <c r="P58" s="344" t="s">
        <v>37</v>
      </c>
      <c r="Q58" s="344" t="s">
        <v>37</v>
      </c>
      <c r="R58" s="344" t="s">
        <v>37</v>
      </c>
      <c r="S58" s="344" t="s">
        <v>37</v>
      </c>
      <c r="T58" s="344" t="s">
        <v>37</v>
      </c>
      <c r="U58" s="35">
        <v>1276</v>
      </c>
      <c r="V58" s="35"/>
      <c r="W58" s="35">
        <f t="shared" si="0"/>
        <v>414</v>
      </c>
      <c r="X58" s="35">
        <v>0</v>
      </c>
      <c r="Y58" s="35">
        <v>1632</v>
      </c>
      <c r="Z58" s="35">
        <f t="shared" si="1"/>
        <v>356</v>
      </c>
      <c r="AA58" s="35">
        <v>328</v>
      </c>
      <c r="AB58" s="35"/>
      <c r="AC58" s="35">
        <f t="shared" si="2"/>
        <v>328</v>
      </c>
      <c r="AD58" s="6">
        <v>693</v>
      </c>
      <c r="AE58" s="35"/>
      <c r="AF58" s="35">
        <f t="shared" si="3"/>
        <v>365</v>
      </c>
      <c r="AG58" s="6"/>
      <c r="AH58" s="6"/>
      <c r="AI58" s="34"/>
      <c r="AJ58" s="35">
        <v>1076</v>
      </c>
      <c r="AK58" s="35"/>
      <c r="AL58" s="35">
        <f t="shared" si="4"/>
        <v>383</v>
      </c>
      <c r="AM58" s="6">
        <v>1450</v>
      </c>
      <c r="AN58" s="6"/>
      <c r="AO58" s="35">
        <f t="shared" si="5"/>
        <v>374</v>
      </c>
      <c r="AP58" s="35">
        <v>266</v>
      </c>
      <c r="AQ58" s="6">
        <v>1560</v>
      </c>
      <c r="AR58" s="35">
        <f t="shared" si="6"/>
        <v>376</v>
      </c>
      <c r="AS58" s="6">
        <v>644</v>
      </c>
      <c r="AT58" s="6"/>
      <c r="AU58" s="35">
        <f t="shared" si="7"/>
        <v>378</v>
      </c>
      <c r="AV58" s="35">
        <v>1020</v>
      </c>
      <c r="AW58" s="6"/>
      <c r="AX58" s="35">
        <f t="shared" si="8"/>
        <v>376</v>
      </c>
      <c r="AY58" s="6">
        <v>1383</v>
      </c>
      <c r="AZ58" s="6"/>
      <c r="BA58" s="35">
        <f t="shared" si="9"/>
        <v>363</v>
      </c>
      <c r="BB58" s="6"/>
      <c r="BC58" s="35"/>
      <c r="BD58" s="6"/>
      <c r="BE58" s="6">
        <v>206</v>
      </c>
      <c r="BF58" s="6">
        <v>1560</v>
      </c>
      <c r="BG58" s="6">
        <f t="shared" si="10"/>
        <v>383</v>
      </c>
      <c r="BH58" s="6">
        <v>584</v>
      </c>
      <c r="BI58" s="6"/>
      <c r="BJ58" s="35">
        <f t="shared" si="11"/>
        <v>378</v>
      </c>
      <c r="BK58" s="6">
        <v>946</v>
      </c>
      <c r="BL58" s="6"/>
      <c r="BM58" s="6">
        <f t="shared" si="12"/>
        <v>362</v>
      </c>
      <c r="BN58" s="6">
        <v>1329</v>
      </c>
      <c r="BO58" s="6"/>
      <c r="BP58" s="35">
        <f t="shared" si="13"/>
        <v>383</v>
      </c>
      <c r="BQ58" s="6">
        <v>153</v>
      </c>
      <c r="BR58" s="35">
        <v>1562</v>
      </c>
      <c r="BS58" s="6">
        <f t="shared" si="14"/>
        <v>386</v>
      </c>
      <c r="BT58" s="6"/>
      <c r="BU58" s="6"/>
      <c r="BV58" s="6"/>
      <c r="BW58" s="6"/>
      <c r="BX58" s="35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</row>
    <row r="59" spans="1:113">
      <c r="A59" s="6">
        <v>55</v>
      </c>
      <c r="B59" s="6">
        <v>0</v>
      </c>
      <c r="C59" s="6">
        <v>1144</v>
      </c>
      <c r="D59" s="6">
        <v>260</v>
      </c>
      <c r="E59" s="33"/>
      <c r="F59" s="33"/>
      <c r="G59" s="344"/>
      <c r="H59" s="344"/>
      <c r="I59" s="344"/>
      <c r="J59" s="357" t="s">
        <v>307</v>
      </c>
      <c r="K59" s="362" t="s">
        <v>307</v>
      </c>
      <c r="L59" s="362" t="s">
        <v>307</v>
      </c>
      <c r="M59" s="362" t="s">
        <v>307</v>
      </c>
      <c r="N59" s="362" t="s">
        <v>307</v>
      </c>
      <c r="O59" s="362" t="s">
        <v>307</v>
      </c>
      <c r="P59" s="362" t="s">
        <v>307</v>
      </c>
      <c r="Q59" s="362" t="s">
        <v>307</v>
      </c>
      <c r="R59" s="362" t="s">
        <v>307</v>
      </c>
      <c r="S59" s="362" t="s">
        <v>307</v>
      </c>
      <c r="T59" s="362" t="s">
        <v>307</v>
      </c>
      <c r="U59" s="6"/>
      <c r="V59" s="6"/>
      <c r="W59" s="35"/>
      <c r="X59" s="6"/>
      <c r="Y59" s="6"/>
      <c r="Z59" s="35"/>
      <c r="AA59" s="35"/>
      <c r="AB59" s="35"/>
      <c r="AC59" s="35"/>
      <c r="AD59" s="6"/>
      <c r="AE59" s="6"/>
      <c r="AF59" s="35"/>
      <c r="AG59" s="6"/>
      <c r="AH59" s="6"/>
      <c r="AI59" s="34"/>
      <c r="AJ59" s="35">
        <v>361</v>
      </c>
      <c r="AK59" s="35"/>
      <c r="AL59" s="35">
        <f t="shared" si="4"/>
        <v>361</v>
      </c>
      <c r="AM59" s="6">
        <v>748</v>
      </c>
      <c r="AN59" s="6"/>
      <c r="AO59" s="35">
        <f t="shared" si="5"/>
        <v>387</v>
      </c>
      <c r="AP59" s="6">
        <v>1139</v>
      </c>
      <c r="AQ59" s="6"/>
      <c r="AR59" s="35">
        <f t="shared" si="6"/>
        <v>391</v>
      </c>
      <c r="AS59" s="35">
        <v>1529</v>
      </c>
      <c r="AT59" s="35"/>
      <c r="AU59" s="35">
        <f t="shared" si="7"/>
        <v>390</v>
      </c>
      <c r="AV59" s="6">
        <v>96</v>
      </c>
      <c r="AW59" s="6">
        <v>1820</v>
      </c>
      <c r="AX59" s="35">
        <f t="shared" si="8"/>
        <v>387</v>
      </c>
      <c r="AY59" s="6">
        <v>465</v>
      </c>
      <c r="AZ59" s="6"/>
      <c r="BA59" s="35">
        <f t="shared" si="9"/>
        <v>369</v>
      </c>
      <c r="BB59" s="6"/>
      <c r="BC59" s="6"/>
      <c r="BD59" s="6"/>
      <c r="BE59" s="6">
        <v>854</v>
      </c>
      <c r="BF59" s="6"/>
      <c r="BG59" s="6">
        <f t="shared" si="10"/>
        <v>389</v>
      </c>
      <c r="BH59" s="6">
        <v>1207</v>
      </c>
      <c r="BI59" s="6"/>
      <c r="BJ59" s="35">
        <f t="shared" si="11"/>
        <v>353</v>
      </c>
      <c r="BK59" s="6">
        <v>1570</v>
      </c>
      <c r="BL59" s="6"/>
      <c r="BM59" s="6">
        <f t="shared" si="12"/>
        <v>363</v>
      </c>
      <c r="BN59" s="6">
        <v>126</v>
      </c>
      <c r="BO59" s="6">
        <v>1820</v>
      </c>
      <c r="BP59" s="35">
        <f t="shared" si="13"/>
        <v>376</v>
      </c>
      <c r="BQ59" s="6">
        <v>503</v>
      </c>
      <c r="BR59" s="6"/>
      <c r="BS59" s="6">
        <f t="shared" si="14"/>
        <v>377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</row>
    <row r="60" spans="1:113">
      <c r="A60" s="6">
        <v>56</v>
      </c>
      <c r="B60" s="6">
        <v>767</v>
      </c>
      <c r="C60" s="6"/>
      <c r="D60" s="6">
        <v>270</v>
      </c>
      <c r="E60" s="33" t="s">
        <v>462</v>
      </c>
      <c r="F60" s="33" t="s">
        <v>462</v>
      </c>
      <c r="G60" s="344" t="s">
        <v>462</v>
      </c>
      <c r="H60" s="344" t="s">
        <v>462</v>
      </c>
      <c r="I60" s="344" t="s">
        <v>462</v>
      </c>
      <c r="J60" s="344" t="s">
        <v>462</v>
      </c>
      <c r="K60" s="344" t="s">
        <v>462</v>
      </c>
      <c r="L60" s="344" t="s">
        <v>462</v>
      </c>
      <c r="M60" s="344" t="s">
        <v>462</v>
      </c>
      <c r="N60" s="344" t="s">
        <v>462</v>
      </c>
      <c r="O60" s="344" t="s">
        <v>462</v>
      </c>
      <c r="P60" s="344" t="s">
        <v>462</v>
      </c>
      <c r="Q60" s="344" t="s">
        <v>462</v>
      </c>
      <c r="R60" s="344" t="s">
        <v>462</v>
      </c>
      <c r="S60" s="344" t="s">
        <v>462</v>
      </c>
      <c r="T60" s="344" t="s">
        <v>462</v>
      </c>
      <c r="U60" s="35">
        <v>787</v>
      </c>
      <c r="V60" s="35"/>
      <c r="W60" s="35">
        <f t="shared" si="0"/>
        <v>20</v>
      </c>
      <c r="X60" s="35">
        <v>1076</v>
      </c>
      <c r="Y60" s="35"/>
      <c r="Z60" s="35">
        <f t="shared" si="1"/>
        <v>289</v>
      </c>
      <c r="AA60" s="35">
        <v>170</v>
      </c>
      <c r="AB60" s="35">
        <v>1200</v>
      </c>
      <c r="AC60" s="35">
        <f t="shared" si="2"/>
        <v>294</v>
      </c>
      <c r="AD60" s="6">
        <v>454</v>
      </c>
      <c r="AE60" s="35"/>
      <c r="AF60" s="35">
        <f t="shared" si="3"/>
        <v>284</v>
      </c>
      <c r="AG60" s="6"/>
      <c r="AH60" s="6"/>
      <c r="AI60" s="34"/>
      <c r="AJ60" s="35">
        <v>749</v>
      </c>
      <c r="AK60" s="35"/>
      <c r="AL60" s="35">
        <f t="shared" si="4"/>
        <v>295</v>
      </c>
      <c r="AM60" s="6">
        <v>1042</v>
      </c>
      <c r="AN60" s="6"/>
      <c r="AO60" s="35">
        <f t="shared" si="5"/>
        <v>293</v>
      </c>
      <c r="AP60" s="6">
        <v>134</v>
      </c>
      <c r="AQ60" s="6">
        <v>1200</v>
      </c>
      <c r="AR60" s="35">
        <f t="shared" si="6"/>
        <v>292</v>
      </c>
      <c r="AS60" s="6">
        <v>427</v>
      </c>
      <c r="AT60" s="6"/>
      <c r="AU60" s="35">
        <f t="shared" si="7"/>
        <v>293</v>
      </c>
      <c r="AV60" s="6">
        <v>717</v>
      </c>
      <c r="AW60" s="6"/>
      <c r="AX60" s="35">
        <f t="shared" si="8"/>
        <v>290</v>
      </c>
      <c r="AY60" s="6">
        <v>1</v>
      </c>
      <c r="AZ60" s="6">
        <v>1000</v>
      </c>
      <c r="BA60" s="35">
        <f t="shared" si="9"/>
        <v>284</v>
      </c>
      <c r="BB60" s="6"/>
      <c r="BC60" s="35"/>
      <c r="BD60" s="6"/>
      <c r="BE60" s="6">
        <v>307</v>
      </c>
      <c r="BF60" s="6"/>
      <c r="BG60" s="6">
        <f t="shared" si="10"/>
        <v>306</v>
      </c>
      <c r="BH60" s="6">
        <v>609</v>
      </c>
      <c r="BI60" s="6"/>
      <c r="BJ60" s="35">
        <f t="shared" si="11"/>
        <v>302</v>
      </c>
      <c r="BK60" s="6">
        <v>915</v>
      </c>
      <c r="BL60" s="6"/>
      <c r="BM60" s="6">
        <f t="shared" si="12"/>
        <v>306</v>
      </c>
      <c r="BN60" s="6">
        <v>20</v>
      </c>
      <c r="BO60" s="6">
        <v>1201</v>
      </c>
      <c r="BP60" s="35">
        <f t="shared" si="13"/>
        <v>306</v>
      </c>
      <c r="BQ60" s="6">
        <v>323</v>
      </c>
      <c r="BR60" s="35"/>
      <c r="BS60" s="6">
        <f t="shared" si="14"/>
        <v>303</v>
      </c>
      <c r="BT60" s="6"/>
      <c r="BU60" s="6"/>
      <c r="BV60" s="6"/>
      <c r="BW60" s="6"/>
      <c r="BX60" s="35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</row>
    <row r="61" spans="1:113" s="51" customFormat="1">
      <c r="A61" s="50">
        <v>57</v>
      </c>
      <c r="B61" s="50">
        <v>513</v>
      </c>
      <c r="C61" s="50"/>
      <c r="D61" s="6">
        <v>279</v>
      </c>
      <c r="E61" s="33" t="s">
        <v>462</v>
      </c>
      <c r="F61" s="33" t="s">
        <v>462</v>
      </c>
      <c r="G61" s="344" t="s">
        <v>462</v>
      </c>
      <c r="H61" s="344" t="s">
        <v>462</v>
      </c>
      <c r="I61" s="344" t="s">
        <v>462</v>
      </c>
      <c r="J61" s="344" t="s">
        <v>462</v>
      </c>
      <c r="K61" s="344" t="s">
        <v>462</v>
      </c>
      <c r="L61" s="344" t="s">
        <v>462</v>
      </c>
      <c r="M61" s="344" t="s">
        <v>462</v>
      </c>
      <c r="N61" s="344" t="s">
        <v>462</v>
      </c>
      <c r="O61" s="344" t="s">
        <v>462</v>
      </c>
      <c r="P61" s="344" t="s">
        <v>462</v>
      </c>
      <c r="Q61" s="344" t="s">
        <v>462</v>
      </c>
      <c r="R61" s="344" t="s">
        <v>462</v>
      </c>
      <c r="S61" s="346" t="s">
        <v>462</v>
      </c>
      <c r="T61" s="344" t="s">
        <v>462</v>
      </c>
      <c r="U61" s="50">
        <v>533</v>
      </c>
      <c r="V61" s="50"/>
      <c r="W61" s="35">
        <f t="shared" si="0"/>
        <v>20</v>
      </c>
      <c r="X61" s="50">
        <v>841</v>
      </c>
      <c r="Y61" s="50"/>
      <c r="Z61" s="35">
        <f t="shared" si="1"/>
        <v>308</v>
      </c>
      <c r="AA61" s="96">
        <v>1155</v>
      </c>
      <c r="AB61" s="96"/>
      <c r="AC61" s="35">
        <f t="shared" si="2"/>
        <v>314</v>
      </c>
      <c r="AD61" s="50">
        <v>257</v>
      </c>
      <c r="AE61" s="50">
        <v>1200</v>
      </c>
      <c r="AF61" s="35">
        <f t="shared" si="3"/>
        <v>302</v>
      </c>
      <c r="AG61" s="6"/>
      <c r="AH61" s="6"/>
      <c r="AI61" s="34"/>
      <c r="AJ61" s="96">
        <v>573</v>
      </c>
      <c r="AK61" s="96"/>
      <c r="AL61" s="35">
        <f t="shared" si="4"/>
        <v>316</v>
      </c>
      <c r="AM61" s="50">
        <v>885</v>
      </c>
      <c r="AN61" s="50"/>
      <c r="AO61" s="35">
        <f t="shared" si="5"/>
        <v>312</v>
      </c>
      <c r="AP61" s="50">
        <v>1197</v>
      </c>
      <c r="AQ61" s="50"/>
      <c r="AR61" s="35">
        <f t="shared" si="6"/>
        <v>312</v>
      </c>
      <c r="AS61" s="96">
        <v>309</v>
      </c>
      <c r="AT61" s="96">
        <v>1200</v>
      </c>
      <c r="AU61" s="35">
        <f t="shared" si="7"/>
        <v>312</v>
      </c>
      <c r="AV61" s="50">
        <v>620</v>
      </c>
      <c r="AW61" s="50"/>
      <c r="AX61" s="35">
        <f t="shared" si="8"/>
        <v>311</v>
      </c>
      <c r="AY61" s="50">
        <v>108</v>
      </c>
      <c r="AZ61" s="50">
        <v>812</v>
      </c>
      <c r="BA61" s="35">
        <f t="shared" si="9"/>
        <v>300</v>
      </c>
      <c r="BB61" s="50"/>
      <c r="BC61" s="50"/>
      <c r="BD61" s="6"/>
      <c r="BE61" s="50">
        <v>438</v>
      </c>
      <c r="BF61" s="50"/>
      <c r="BG61" s="6">
        <f t="shared" si="10"/>
        <v>330</v>
      </c>
      <c r="BH61" s="50">
        <v>763</v>
      </c>
      <c r="BI61" s="50"/>
      <c r="BJ61" s="35">
        <f t="shared" si="11"/>
        <v>325</v>
      </c>
      <c r="BK61" s="50">
        <v>0</v>
      </c>
      <c r="BL61" s="50">
        <v>999</v>
      </c>
      <c r="BM61" s="6">
        <f t="shared" si="12"/>
        <v>236</v>
      </c>
      <c r="BN61" s="50">
        <v>252</v>
      </c>
      <c r="BO61" s="50"/>
      <c r="BP61" s="35">
        <f t="shared" si="13"/>
        <v>252</v>
      </c>
      <c r="BQ61" s="50">
        <v>567</v>
      </c>
      <c r="BR61" s="50"/>
      <c r="BS61" s="6">
        <f t="shared" si="14"/>
        <v>315</v>
      </c>
      <c r="BT61" s="50"/>
      <c r="BU61" s="50"/>
      <c r="BV61" s="6"/>
      <c r="BW61" s="50"/>
      <c r="BX61" s="50"/>
      <c r="BY61" s="6"/>
      <c r="BZ61" s="50"/>
      <c r="CA61" s="50"/>
      <c r="CB61" s="6"/>
      <c r="CC61" s="50"/>
      <c r="CD61" s="50"/>
      <c r="CE61" s="6"/>
      <c r="CF61" s="50"/>
      <c r="CG61" s="50"/>
      <c r="CH61" s="6"/>
      <c r="CI61" s="50"/>
      <c r="CJ61" s="50"/>
      <c r="CK61" s="6"/>
      <c r="CL61" s="50"/>
      <c r="CM61" s="50"/>
      <c r="CN61" s="6"/>
      <c r="CO61" s="50"/>
      <c r="CP61" s="50"/>
      <c r="CQ61" s="6"/>
      <c r="CR61" s="50"/>
      <c r="CS61" s="50"/>
      <c r="CT61" s="6"/>
      <c r="CU61" s="50"/>
      <c r="CV61" s="50"/>
      <c r="CW61" s="6"/>
      <c r="CX61" s="50"/>
      <c r="CY61" s="50"/>
      <c r="CZ61" s="6"/>
      <c r="DA61" s="50"/>
      <c r="DB61" s="50"/>
      <c r="DC61" s="6"/>
      <c r="DD61" s="50"/>
      <c r="DE61" s="50"/>
      <c r="DF61" s="6"/>
      <c r="DG61" s="50"/>
      <c r="DH61" s="50"/>
      <c r="DI61" s="6"/>
    </row>
    <row r="62" spans="1:113">
      <c r="A62" s="274">
        <v>58</v>
      </c>
      <c r="B62" s="6">
        <v>892</v>
      </c>
      <c r="C62" s="6"/>
      <c r="D62" s="6">
        <v>327</v>
      </c>
      <c r="E62" s="33" t="s">
        <v>320</v>
      </c>
      <c r="F62" s="33" t="s">
        <v>320</v>
      </c>
      <c r="G62" s="344" t="s">
        <v>320</v>
      </c>
      <c r="H62" s="344" t="s">
        <v>320</v>
      </c>
      <c r="I62" s="344" t="s">
        <v>320</v>
      </c>
      <c r="J62" s="344" t="s">
        <v>320</v>
      </c>
      <c r="K62" s="364" t="s">
        <v>37</v>
      </c>
      <c r="L62" s="378" t="s">
        <v>37</v>
      </c>
      <c r="M62" s="378" t="s">
        <v>37</v>
      </c>
      <c r="N62" s="378" t="s">
        <v>37</v>
      </c>
      <c r="O62" s="378" t="s">
        <v>37</v>
      </c>
      <c r="P62" s="378" t="s">
        <v>37</v>
      </c>
      <c r="Q62" s="378" t="s">
        <v>37</v>
      </c>
      <c r="R62" s="378" t="s">
        <v>37</v>
      </c>
      <c r="S62" s="378" t="s">
        <v>37</v>
      </c>
      <c r="T62" s="378" t="s">
        <v>37</v>
      </c>
      <c r="U62" s="35">
        <v>916</v>
      </c>
      <c r="V62" s="35"/>
      <c r="W62" s="35">
        <f t="shared" si="0"/>
        <v>24</v>
      </c>
      <c r="X62" s="35">
        <v>916</v>
      </c>
      <c r="Y62" s="35"/>
      <c r="Z62" s="35">
        <f t="shared" si="1"/>
        <v>0</v>
      </c>
      <c r="AA62" s="35">
        <v>916</v>
      </c>
      <c r="AB62" s="35"/>
      <c r="AC62" s="35">
        <f t="shared" si="2"/>
        <v>0</v>
      </c>
      <c r="AD62" s="6">
        <v>916</v>
      </c>
      <c r="AE62" s="35"/>
      <c r="AF62" s="35">
        <f t="shared" si="3"/>
        <v>0</v>
      </c>
      <c r="AG62" s="6"/>
      <c r="AH62" s="6"/>
      <c r="AI62" s="34"/>
      <c r="AJ62" s="35">
        <v>0</v>
      </c>
      <c r="AK62" s="35">
        <v>916</v>
      </c>
      <c r="AL62" s="35">
        <f t="shared" si="4"/>
        <v>0</v>
      </c>
      <c r="AM62" s="6">
        <v>274</v>
      </c>
      <c r="AN62" s="6"/>
      <c r="AO62" s="35">
        <f t="shared" si="5"/>
        <v>274</v>
      </c>
      <c r="AP62" s="6">
        <v>652</v>
      </c>
      <c r="AQ62" s="6"/>
      <c r="AR62" s="35">
        <f t="shared" si="6"/>
        <v>378</v>
      </c>
      <c r="AS62" s="6">
        <v>1030</v>
      </c>
      <c r="AT62" s="6"/>
      <c r="AU62" s="35">
        <f t="shared" si="7"/>
        <v>378</v>
      </c>
      <c r="AV62" s="6">
        <v>1422</v>
      </c>
      <c r="AW62" s="6"/>
      <c r="AX62" s="35">
        <f t="shared" si="8"/>
        <v>392</v>
      </c>
      <c r="AY62" s="6">
        <v>240</v>
      </c>
      <c r="AZ62" s="6">
        <v>1561</v>
      </c>
      <c r="BA62" s="35">
        <f t="shared" si="9"/>
        <v>379</v>
      </c>
      <c r="BB62" s="6"/>
      <c r="BC62" s="35"/>
      <c r="BD62" s="6"/>
      <c r="BE62" s="6">
        <v>633</v>
      </c>
      <c r="BF62" s="6"/>
      <c r="BG62" s="6">
        <f t="shared" si="10"/>
        <v>393</v>
      </c>
      <c r="BH62" s="6">
        <v>1024</v>
      </c>
      <c r="BI62" s="6"/>
      <c r="BJ62" s="35">
        <f t="shared" si="11"/>
        <v>391</v>
      </c>
      <c r="BK62" s="6">
        <v>1416</v>
      </c>
      <c r="BL62" s="6"/>
      <c r="BM62" s="6">
        <f t="shared" si="12"/>
        <v>392</v>
      </c>
      <c r="BN62" s="6">
        <v>246</v>
      </c>
      <c r="BO62" s="6">
        <v>1560</v>
      </c>
      <c r="BP62" s="35">
        <f t="shared" si="13"/>
        <v>390</v>
      </c>
      <c r="BQ62" s="6">
        <v>629</v>
      </c>
      <c r="BR62" s="35"/>
      <c r="BS62" s="6">
        <f t="shared" si="14"/>
        <v>383</v>
      </c>
      <c r="BT62" s="6"/>
      <c r="BU62" s="6"/>
      <c r="BV62" s="6"/>
      <c r="BW62" s="6"/>
      <c r="BX62" s="35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</row>
    <row r="63" spans="1:113">
      <c r="A63" s="274">
        <v>59</v>
      </c>
      <c r="B63" s="6">
        <v>630</v>
      </c>
      <c r="C63" s="6"/>
      <c r="D63" s="6">
        <v>310</v>
      </c>
      <c r="E63" s="33" t="s">
        <v>320</v>
      </c>
      <c r="F63" s="33" t="s">
        <v>320</v>
      </c>
      <c r="G63" s="344" t="s">
        <v>320</v>
      </c>
      <c r="H63" s="344" t="s">
        <v>320</v>
      </c>
      <c r="I63" s="344" t="s">
        <v>320</v>
      </c>
      <c r="J63" s="344" t="s">
        <v>320</v>
      </c>
      <c r="K63" s="364" t="s">
        <v>37</v>
      </c>
      <c r="L63" s="378" t="s">
        <v>37</v>
      </c>
      <c r="M63" s="378" t="s">
        <v>37</v>
      </c>
      <c r="N63" s="378" t="s">
        <v>37</v>
      </c>
      <c r="O63" s="378" t="s">
        <v>37</v>
      </c>
      <c r="P63" s="378" t="s">
        <v>37</v>
      </c>
      <c r="Q63" s="378" t="s">
        <v>37</v>
      </c>
      <c r="R63" s="378" t="s">
        <v>37</v>
      </c>
      <c r="S63" s="378" t="s">
        <v>37</v>
      </c>
      <c r="T63" s="378" t="s">
        <v>37</v>
      </c>
      <c r="U63" s="35">
        <v>651</v>
      </c>
      <c r="V63" s="35"/>
      <c r="W63" s="35">
        <f t="shared" si="0"/>
        <v>21</v>
      </c>
      <c r="X63" s="35">
        <v>651</v>
      </c>
      <c r="Y63" s="35"/>
      <c r="Z63" s="35">
        <f t="shared" si="1"/>
        <v>0</v>
      </c>
      <c r="AA63" s="35">
        <v>651</v>
      </c>
      <c r="AB63" s="35"/>
      <c r="AC63" s="35">
        <f t="shared" si="2"/>
        <v>0</v>
      </c>
      <c r="AD63" s="35">
        <v>651</v>
      </c>
      <c r="AE63" s="35"/>
      <c r="AF63" s="35">
        <f t="shared" si="3"/>
        <v>0</v>
      </c>
      <c r="AG63" s="6"/>
      <c r="AH63" s="6"/>
      <c r="AI63" s="34"/>
      <c r="AJ63" s="35">
        <v>651</v>
      </c>
      <c r="AK63" s="35"/>
      <c r="AL63" s="35">
        <f t="shared" si="4"/>
        <v>0</v>
      </c>
      <c r="AM63" s="6">
        <v>321</v>
      </c>
      <c r="AN63" s="6">
        <v>651</v>
      </c>
      <c r="AO63" s="35">
        <f t="shared" si="5"/>
        <v>321</v>
      </c>
      <c r="AP63" s="6">
        <v>687</v>
      </c>
      <c r="AQ63" s="6"/>
      <c r="AR63" s="35">
        <f t="shared" si="6"/>
        <v>366</v>
      </c>
      <c r="AS63" s="6">
        <v>1053</v>
      </c>
      <c r="AT63" s="6"/>
      <c r="AU63" s="35">
        <f t="shared" si="7"/>
        <v>366</v>
      </c>
      <c r="AV63" s="6">
        <v>1419</v>
      </c>
      <c r="AW63" s="6"/>
      <c r="AX63" s="35">
        <f t="shared" si="8"/>
        <v>366</v>
      </c>
      <c r="AY63" s="6">
        <v>212</v>
      </c>
      <c r="AZ63" s="6">
        <v>1561</v>
      </c>
      <c r="BA63" s="35">
        <f t="shared" si="9"/>
        <v>354</v>
      </c>
      <c r="BB63" s="6"/>
      <c r="BC63" s="35"/>
      <c r="BD63" s="6"/>
      <c r="BE63" s="6">
        <v>582</v>
      </c>
      <c r="BF63" s="6"/>
      <c r="BG63" s="6">
        <f t="shared" si="10"/>
        <v>370</v>
      </c>
      <c r="BH63" s="6">
        <v>945</v>
      </c>
      <c r="BI63" s="6"/>
      <c r="BJ63" s="35">
        <f t="shared" si="11"/>
        <v>363</v>
      </c>
      <c r="BK63" s="6">
        <v>1310</v>
      </c>
      <c r="BL63" s="6"/>
      <c r="BM63" s="6">
        <f t="shared" si="12"/>
        <v>365</v>
      </c>
      <c r="BN63" s="6">
        <v>114</v>
      </c>
      <c r="BO63" s="6">
        <v>1561</v>
      </c>
      <c r="BP63" s="35">
        <f t="shared" si="13"/>
        <v>365</v>
      </c>
      <c r="BQ63" s="6">
        <v>477</v>
      </c>
      <c r="BR63" s="35"/>
      <c r="BS63" s="6">
        <f t="shared" si="14"/>
        <v>363</v>
      </c>
      <c r="BT63" s="6"/>
      <c r="BU63" s="6"/>
      <c r="BV63" s="6"/>
      <c r="BW63" s="6"/>
      <c r="BX63" s="35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</row>
    <row r="64" spans="1:113">
      <c r="A64" s="274">
        <v>60</v>
      </c>
      <c r="B64" s="6">
        <v>238</v>
      </c>
      <c r="C64" s="6">
        <v>1342</v>
      </c>
      <c r="D64" s="6">
        <v>360</v>
      </c>
      <c r="E64" s="33" t="s">
        <v>37</v>
      </c>
      <c r="F64" s="33" t="s">
        <v>37</v>
      </c>
      <c r="G64" s="344" t="s">
        <v>37</v>
      </c>
      <c r="H64" s="346" t="s">
        <v>37</v>
      </c>
      <c r="I64" s="344" t="s">
        <v>37</v>
      </c>
      <c r="J64" s="344" t="s">
        <v>37</v>
      </c>
      <c r="K64" s="344" t="s">
        <v>37</v>
      </c>
      <c r="L64" s="344" t="s">
        <v>37</v>
      </c>
      <c r="M64" s="344" t="s">
        <v>37</v>
      </c>
      <c r="N64" s="344" t="s">
        <v>37</v>
      </c>
      <c r="O64" s="344" t="s">
        <v>37</v>
      </c>
      <c r="P64" s="344" t="s">
        <v>37</v>
      </c>
      <c r="Q64" s="344" t="s">
        <v>37</v>
      </c>
      <c r="R64" s="344" t="s">
        <v>37</v>
      </c>
      <c r="S64" s="344" t="s">
        <v>37</v>
      </c>
      <c r="T64" s="344" t="s">
        <v>37</v>
      </c>
      <c r="U64" s="6">
        <v>651</v>
      </c>
      <c r="V64" s="6"/>
      <c r="W64" s="35">
        <f t="shared" si="0"/>
        <v>413</v>
      </c>
      <c r="X64" s="6">
        <v>0</v>
      </c>
      <c r="Y64" s="6">
        <v>855</v>
      </c>
      <c r="Z64" s="35">
        <f t="shared" si="1"/>
        <v>204</v>
      </c>
      <c r="AA64" s="35">
        <v>345</v>
      </c>
      <c r="AB64" s="35"/>
      <c r="AC64" s="35">
        <f t="shared" si="2"/>
        <v>345</v>
      </c>
      <c r="AD64" s="6">
        <v>673</v>
      </c>
      <c r="AE64" s="6"/>
      <c r="AF64" s="35">
        <f t="shared" si="3"/>
        <v>328</v>
      </c>
      <c r="AG64" s="6"/>
      <c r="AH64" s="6"/>
      <c r="AI64" s="34"/>
      <c r="AJ64" s="35">
        <v>1059</v>
      </c>
      <c r="AK64" s="35"/>
      <c r="AL64" s="35">
        <f t="shared" si="4"/>
        <v>386</v>
      </c>
      <c r="AM64" s="35">
        <v>1439</v>
      </c>
      <c r="AN64" s="6"/>
      <c r="AO64" s="35">
        <f t="shared" si="5"/>
        <v>380</v>
      </c>
      <c r="AP64" s="6">
        <v>266</v>
      </c>
      <c r="AQ64" s="6">
        <v>1560</v>
      </c>
      <c r="AR64" s="35">
        <f t="shared" si="6"/>
        <v>387</v>
      </c>
      <c r="AS64" s="35">
        <v>642</v>
      </c>
      <c r="AT64" s="35"/>
      <c r="AU64" s="35">
        <f t="shared" si="7"/>
        <v>376</v>
      </c>
      <c r="AV64" s="6">
        <v>1026</v>
      </c>
      <c r="AW64" s="6"/>
      <c r="AX64" s="35">
        <f t="shared" si="8"/>
        <v>384</v>
      </c>
      <c r="AY64" s="6">
        <v>1401</v>
      </c>
      <c r="AZ64" s="6"/>
      <c r="BA64" s="35">
        <f t="shared" si="9"/>
        <v>375</v>
      </c>
      <c r="BB64" s="6"/>
      <c r="BC64" s="6"/>
      <c r="BD64" s="6"/>
      <c r="BE64" s="6">
        <v>232</v>
      </c>
      <c r="BF64" s="6">
        <v>1560</v>
      </c>
      <c r="BG64" s="6">
        <f t="shared" si="10"/>
        <v>391</v>
      </c>
      <c r="BH64" s="6">
        <v>612</v>
      </c>
      <c r="BI64" s="6"/>
      <c r="BJ64" s="35">
        <f t="shared" si="11"/>
        <v>380</v>
      </c>
      <c r="BK64" s="6">
        <v>993</v>
      </c>
      <c r="BL64" s="6"/>
      <c r="BM64" s="6">
        <f t="shared" si="12"/>
        <v>381</v>
      </c>
      <c r="BN64" s="6">
        <v>1381</v>
      </c>
      <c r="BO64" s="6"/>
      <c r="BP64" s="35">
        <f t="shared" si="13"/>
        <v>388</v>
      </c>
      <c r="BQ64" s="6">
        <v>205</v>
      </c>
      <c r="BR64" s="6">
        <v>1560</v>
      </c>
      <c r="BS64" s="6">
        <f t="shared" si="14"/>
        <v>384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</row>
    <row r="65" spans="1:113">
      <c r="A65" s="274">
        <v>61</v>
      </c>
      <c r="B65" s="6">
        <v>980</v>
      </c>
      <c r="C65" s="6"/>
      <c r="D65" s="6">
        <v>356</v>
      </c>
      <c r="E65" s="33" t="s">
        <v>37</v>
      </c>
      <c r="F65" s="33" t="s">
        <v>37</v>
      </c>
      <c r="G65" s="344" t="s">
        <v>37</v>
      </c>
      <c r="H65" s="346" t="s">
        <v>37</v>
      </c>
      <c r="I65" s="344" t="s">
        <v>37</v>
      </c>
      <c r="J65" s="344" t="s">
        <v>37</v>
      </c>
      <c r="K65" s="344" t="s">
        <v>37</v>
      </c>
      <c r="L65" s="344" t="s">
        <v>37</v>
      </c>
      <c r="M65" s="344" t="s">
        <v>37</v>
      </c>
      <c r="N65" s="344" t="s">
        <v>37</v>
      </c>
      <c r="O65" s="344" t="s">
        <v>37</v>
      </c>
      <c r="P65" s="344" t="s">
        <v>37</v>
      </c>
      <c r="Q65" s="344" t="s">
        <v>37</v>
      </c>
      <c r="R65" s="344" t="s">
        <v>37</v>
      </c>
      <c r="S65" s="344" t="s">
        <v>37</v>
      </c>
      <c r="T65" s="344" t="s">
        <v>37</v>
      </c>
      <c r="U65" s="6">
        <v>340</v>
      </c>
      <c r="V65" s="6">
        <v>1032</v>
      </c>
      <c r="W65" s="35">
        <f t="shared" si="0"/>
        <v>392</v>
      </c>
      <c r="X65" s="6">
        <v>571</v>
      </c>
      <c r="Y65" s="6"/>
      <c r="Z65" s="35">
        <f t="shared" si="1"/>
        <v>231</v>
      </c>
      <c r="AA65" s="35">
        <v>356</v>
      </c>
      <c r="AB65" s="35">
        <v>572</v>
      </c>
      <c r="AC65" s="35">
        <f t="shared" si="2"/>
        <v>357</v>
      </c>
      <c r="AD65" s="6">
        <v>725</v>
      </c>
      <c r="AE65" s="6"/>
      <c r="AF65" s="35">
        <f t="shared" si="3"/>
        <v>369</v>
      </c>
      <c r="AG65" s="6"/>
      <c r="AH65" s="6"/>
      <c r="AI65" s="34"/>
      <c r="AJ65" s="35">
        <v>1112</v>
      </c>
      <c r="AK65" s="35"/>
      <c r="AL65" s="35">
        <f t="shared" si="4"/>
        <v>387</v>
      </c>
      <c r="AM65" s="6">
        <v>1499</v>
      </c>
      <c r="AN65" s="6"/>
      <c r="AO65" s="35">
        <f t="shared" si="5"/>
        <v>387</v>
      </c>
      <c r="AP65" s="6">
        <v>325</v>
      </c>
      <c r="AQ65" s="6">
        <v>1560</v>
      </c>
      <c r="AR65" s="35">
        <f t="shared" si="6"/>
        <v>386</v>
      </c>
      <c r="AS65" s="35">
        <v>710</v>
      </c>
      <c r="AT65" s="35"/>
      <c r="AU65" s="35">
        <f t="shared" si="7"/>
        <v>385</v>
      </c>
      <c r="AV65" s="6">
        <v>1093</v>
      </c>
      <c r="AW65" s="6"/>
      <c r="AX65" s="35">
        <f t="shared" si="8"/>
        <v>383</v>
      </c>
      <c r="AY65" s="6">
        <v>1467</v>
      </c>
      <c r="AZ65" s="6"/>
      <c r="BA65" s="35">
        <f t="shared" si="9"/>
        <v>374</v>
      </c>
      <c r="BB65" s="6"/>
      <c r="BC65" s="6"/>
      <c r="BD65" s="6"/>
      <c r="BE65" s="6">
        <v>294</v>
      </c>
      <c r="BF65" s="6">
        <v>1561</v>
      </c>
      <c r="BG65" s="6">
        <f t="shared" si="10"/>
        <v>388</v>
      </c>
      <c r="BH65" s="6">
        <v>679</v>
      </c>
      <c r="BI65" s="6"/>
      <c r="BJ65" s="35">
        <f t="shared" si="11"/>
        <v>385</v>
      </c>
      <c r="BK65" s="6">
        <v>1067</v>
      </c>
      <c r="BL65" s="6"/>
      <c r="BM65" s="6">
        <f t="shared" si="12"/>
        <v>388</v>
      </c>
      <c r="BN65" s="6">
        <v>1448</v>
      </c>
      <c r="BO65" s="6"/>
      <c r="BP65" s="35">
        <f t="shared" si="13"/>
        <v>381</v>
      </c>
      <c r="BQ65" s="6">
        <v>266</v>
      </c>
      <c r="BR65" s="6">
        <v>1560</v>
      </c>
      <c r="BS65" s="6">
        <f t="shared" si="14"/>
        <v>378</v>
      </c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</row>
    <row r="66" spans="1:113">
      <c r="A66" s="6">
        <v>62</v>
      </c>
      <c r="B66" s="6">
        <v>260</v>
      </c>
      <c r="C66" s="6"/>
      <c r="D66" s="6">
        <v>260</v>
      </c>
      <c r="E66" s="148" t="s">
        <v>37</v>
      </c>
      <c r="F66" s="33" t="s">
        <v>37</v>
      </c>
      <c r="G66" s="344" t="s">
        <v>37</v>
      </c>
      <c r="H66" s="344" t="s">
        <v>37</v>
      </c>
      <c r="I66" s="344" t="s">
        <v>37</v>
      </c>
      <c r="J66" s="344" t="s">
        <v>37</v>
      </c>
      <c r="K66" s="344" t="s">
        <v>37</v>
      </c>
      <c r="L66" s="344" t="s">
        <v>37</v>
      </c>
      <c r="M66" s="344" t="s">
        <v>37</v>
      </c>
      <c r="N66" s="344" t="s">
        <v>37</v>
      </c>
      <c r="O66" s="344" t="s">
        <v>37</v>
      </c>
      <c r="P66" s="344" t="s">
        <v>37</v>
      </c>
      <c r="Q66" s="344" t="s">
        <v>37</v>
      </c>
      <c r="R66" s="344" t="s">
        <v>37</v>
      </c>
      <c r="S66" s="344" t="s">
        <v>37</v>
      </c>
      <c r="T66" s="344" t="s">
        <v>37</v>
      </c>
      <c r="U66" s="35">
        <v>673</v>
      </c>
      <c r="V66" s="35"/>
      <c r="W66" s="35">
        <f t="shared" si="0"/>
        <v>413</v>
      </c>
      <c r="X66" s="35">
        <v>1055</v>
      </c>
      <c r="Y66" s="35"/>
      <c r="Z66" s="35">
        <f t="shared" si="1"/>
        <v>382</v>
      </c>
      <c r="AA66" s="35">
        <v>1446</v>
      </c>
      <c r="AB66" s="35"/>
      <c r="AC66" s="35">
        <f t="shared" si="2"/>
        <v>391</v>
      </c>
      <c r="AD66" s="35">
        <v>258</v>
      </c>
      <c r="AE66" s="35">
        <v>1560</v>
      </c>
      <c r="AF66" s="35">
        <f t="shared" si="3"/>
        <v>372</v>
      </c>
      <c r="AG66" s="6"/>
      <c r="AH66" s="35"/>
      <c r="AI66" s="34"/>
      <c r="AJ66" s="35">
        <v>648</v>
      </c>
      <c r="AK66" s="35"/>
      <c r="AL66" s="35">
        <f t="shared" si="4"/>
        <v>390</v>
      </c>
      <c r="AM66" s="6">
        <v>1036</v>
      </c>
      <c r="AN66" s="6"/>
      <c r="AO66" s="35">
        <f t="shared" si="5"/>
        <v>388</v>
      </c>
      <c r="AP66" s="6">
        <v>1423</v>
      </c>
      <c r="AQ66" s="6"/>
      <c r="AR66" s="35">
        <f t="shared" si="6"/>
        <v>387</v>
      </c>
      <c r="AS66" s="6">
        <v>245</v>
      </c>
      <c r="AT66" s="6">
        <v>1561</v>
      </c>
      <c r="AU66" s="35">
        <f t="shared" si="7"/>
        <v>383</v>
      </c>
      <c r="AV66" s="6">
        <v>629</v>
      </c>
      <c r="AW66" s="6"/>
      <c r="AX66" s="35">
        <f t="shared" si="8"/>
        <v>384</v>
      </c>
      <c r="AY66" s="6">
        <v>1002</v>
      </c>
      <c r="AZ66" s="6"/>
      <c r="BA66" s="35">
        <f t="shared" si="9"/>
        <v>373</v>
      </c>
      <c r="BB66" s="6"/>
      <c r="BC66" s="35"/>
      <c r="BD66" s="6"/>
      <c r="BE66" s="6">
        <v>1394</v>
      </c>
      <c r="BF66" s="6"/>
      <c r="BG66" s="6">
        <f t="shared" si="10"/>
        <v>392</v>
      </c>
      <c r="BH66" s="6">
        <v>266</v>
      </c>
      <c r="BI66" s="6">
        <v>1508</v>
      </c>
      <c r="BJ66" s="35">
        <f t="shared" si="11"/>
        <v>380</v>
      </c>
      <c r="BK66" s="6">
        <v>636</v>
      </c>
      <c r="BL66" s="6"/>
      <c r="BM66" s="6">
        <f t="shared" si="12"/>
        <v>370</v>
      </c>
      <c r="BN66" s="6">
        <v>1003</v>
      </c>
      <c r="BO66" s="6"/>
      <c r="BP66" s="35">
        <f t="shared" si="13"/>
        <v>367</v>
      </c>
      <c r="BQ66" s="6">
        <v>1376</v>
      </c>
      <c r="BR66" s="35"/>
      <c r="BS66" s="6">
        <f t="shared" si="14"/>
        <v>373</v>
      </c>
      <c r="BT66" s="6"/>
      <c r="BU66" s="6"/>
      <c r="BV66" s="6"/>
      <c r="BW66" s="6"/>
      <c r="BX66" s="35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</row>
    <row r="67" spans="1:113">
      <c r="A67" s="6">
        <v>63</v>
      </c>
      <c r="B67" s="6">
        <v>1318</v>
      </c>
      <c r="C67" s="6"/>
      <c r="D67" s="6">
        <v>338</v>
      </c>
      <c r="E67" s="33" t="s">
        <v>320</v>
      </c>
      <c r="F67" s="33" t="s">
        <v>320</v>
      </c>
      <c r="G67" s="344" t="s">
        <v>320</v>
      </c>
      <c r="H67" s="344"/>
      <c r="I67" s="344"/>
      <c r="J67" s="357" t="s">
        <v>307</v>
      </c>
      <c r="K67" s="362" t="s">
        <v>307</v>
      </c>
      <c r="L67" s="362" t="s">
        <v>307</v>
      </c>
      <c r="M67" s="362" t="s">
        <v>307</v>
      </c>
      <c r="N67" s="362" t="s">
        <v>307</v>
      </c>
      <c r="O67" s="362" t="s">
        <v>307</v>
      </c>
      <c r="P67" s="362" t="s">
        <v>307</v>
      </c>
      <c r="Q67" s="362" t="s">
        <v>307</v>
      </c>
      <c r="R67" s="362" t="s">
        <v>307</v>
      </c>
      <c r="S67" s="362" t="s">
        <v>307</v>
      </c>
      <c r="T67" s="362" t="s">
        <v>307</v>
      </c>
      <c r="U67" s="35">
        <v>0</v>
      </c>
      <c r="V67" s="35">
        <v>1390</v>
      </c>
      <c r="W67" s="35">
        <f t="shared" si="0"/>
        <v>72</v>
      </c>
      <c r="X67" s="35"/>
      <c r="Y67" s="35"/>
      <c r="Z67" s="35"/>
      <c r="AA67" s="35"/>
      <c r="AB67" s="35"/>
      <c r="AC67" s="35"/>
      <c r="AD67" s="35"/>
      <c r="AE67" s="35"/>
      <c r="AF67" s="35"/>
      <c r="AG67" s="6"/>
      <c r="AH67" s="35"/>
      <c r="AI67" s="34"/>
      <c r="AJ67" s="35">
        <v>366</v>
      </c>
      <c r="AK67" s="35"/>
      <c r="AL67" s="35">
        <f t="shared" si="4"/>
        <v>366</v>
      </c>
      <c r="AM67" s="6">
        <v>744</v>
      </c>
      <c r="AN67" s="6"/>
      <c r="AO67" s="35">
        <f t="shared" si="5"/>
        <v>378</v>
      </c>
      <c r="AP67" s="6">
        <v>103</v>
      </c>
      <c r="AQ67" s="6">
        <v>1016</v>
      </c>
      <c r="AR67" s="35">
        <f t="shared" si="6"/>
        <v>375</v>
      </c>
      <c r="AS67" s="6">
        <v>477</v>
      </c>
      <c r="AT67" s="6"/>
      <c r="AU67" s="35">
        <f t="shared" si="7"/>
        <v>374</v>
      </c>
      <c r="AV67" s="6">
        <v>75</v>
      </c>
      <c r="AW67" s="6">
        <v>769</v>
      </c>
      <c r="AX67" s="35">
        <f t="shared" si="8"/>
        <v>367</v>
      </c>
      <c r="AY67" s="6">
        <v>423</v>
      </c>
      <c r="AZ67" s="6"/>
      <c r="BA67" s="35">
        <f t="shared" si="9"/>
        <v>348</v>
      </c>
      <c r="BB67" s="6"/>
      <c r="BC67" s="35"/>
      <c r="BD67" s="6"/>
      <c r="BE67" s="6">
        <v>788</v>
      </c>
      <c r="BF67" s="6"/>
      <c r="BG67" s="6">
        <f t="shared" si="10"/>
        <v>365</v>
      </c>
      <c r="BH67" s="6">
        <v>1149</v>
      </c>
      <c r="BI67" s="6"/>
      <c r="BJ67" s="35">
        <f t="shared" si="11"/>
        <v>361</v>
      </c>
      <c r="BK67" s="6">
        <v>1511</v>
      </c>
      <c r="BL67" s="6"/>
      <c r="BM67" s="6">
        <f t="shared" si="12"/>
        <v>362</v>
      </c>
      <c r="BN67" s="6">
        <v>54</v>
      </c>
      <c r="BO67" s="6">
        <v>1820</v>
      </c>
      <c r="BP67" s="35">
        <f t="shared" si="13"/>
        <v>363</v>
      </c>
      <c r="BQ67" s="6">
        <v>411</v>
      </c>
      <c r="BR67" s="35"/>
      <c r="BS67" s="6">
        <f t="shared" si="14"/>
        <v>357</v>
      </c>
      <c r="BT67" s="6"/>
      <c r="BU67" s="6"/>
      <c r="BV67" s="6"/>
      <c r="BW67" s="6"/>
      <c r="BX67" s="35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</row>
    <row r="68" spans="1:113">
      <c r="A68" s="274">
        <v>64</v>
      </c>
      <c r="B68" s="6">
        <v>1152</v>
      </c>
      <c r="C68" s="6"/>
      <c r="D68" s="6">
        <v>358</v>
      </c>
      <c r="E68" s="33" t="s">
        <v>37</v>
      </c>
      <c r="F68" s="33" t="s">
        <v>37</v>
      </c>
      <c r="G68" s="346" t="s">
        <v>37</v>
      </c>
      <c r="H68" s="344" t="s">
        <v>37</v>
      </c>
      <c r="I68" s="344" t="s">
        <v>37</v>
      </c>
      <c r="J68" s="344" t="s">
        <v>37</v>
      </c>
      <c r="K68" s="344" t="s">
        <v>37</v>
      </c>
      <c r="L68" s="344" t="s">
        <v>37</v>
      </c>
      <c r="M68" s="344" t="s">
        <v>37</v>
      </c>
      <c r="N68" s="344" t="s">
        <v>37</v>
      </c>
      <c r="O68" s="344" t="s">
        <v>37</v>
      </c>
      <c r="P68" s="344" t="s">
        <v>37</v>
      </c>
      <c r="Q68" s="344" t="s">
        <v>37</v>
      </c>
      <c r="R68" s="344" t="s">
        <v>37</v>
      </c>
      <c r="S68" s="344" t="s">
        <v>37</v>
      </c>
      <c r="T68" s="344" t="s">
        <v>37</v>
      </c>
      <c r="U68" s="6">
        <v>1562</v>
      </c>
      <c r="V68" s="6"/>
      <c r="W68" s="35">
        <f t="shared" si="0"/>
        <v>410</v>
      </c>
      <c r="X68" s="6">
        <v>323</v>
      </c>
      <c r="Y68" s="6">
        <v>1572</v>
      </c>
      <c r="Z68" s="35">
        <f t="shared" si="1"/>
        <v>333</v>
      </c>
      <c r="AA68" s="35">
        <v>703</v>
      </c>
      <c r="AB68" s="35"/>
      <c r="AC68" s="35">
        <f t="shared" si="2"/>
        <v>380</v>
      </c>
      <c r="AD68" s="6">
        <v>1074</v>
      </c>
      <c r="AE68" s="6"/>
      <c r="AF68" s="35">
        <f t="shared" si="3"/>
        <v>371</v>
      </c>
      <c r="AG68" s="6"/>
      <c r="AH68" s="6"/>
      <c r="AI68" s="34"/>
      <c r="AJ68" s="35">
        <v>1464</v>
      </c>
      <c r="AK68" s="35"/>
      <c r="AL68" s="35">
        <f t="shared" si="4"/>
        <v>390</v>
      </c>
      <c r="AM68" s="6">
        <v>292</v>
      </c>
      <c r="AN68" s="6">
        <v>1560</v>
      </c>
      <c r="AO68" s="35">
        <f t="shared" si="5"/>
        <v>388</v>
      </c>
      <c r="AP68" s="6">
        <v>673</v>
      </c>
      <c r="AQ68" s="6"/>
      <c r="AR68" s="35">
        <f t="shared" si="6"/>
        <v>381</v>
      </c>
      <c r="AS68" s="35">
        <v>1060</v>
      </c>
      <c r="AT68" s="6"/>
      <c r="AU68" s="35">
        <f t="shared" si="7"/>
        <v>387</v>
      </c>
      <c r="AV68" s="6">
        <v>1440</v>
      </c>
      <c r="AW68" s="6"/>
      <c r="AX68" s="35">
        <f t="shared" si="8"/>
        <v>380</v>
      </c>
      <c r="AY68" s="6">
        <v>239</v>
      </c>
      <c r="AZ68" s="6">
        <v>1561</v>
      </c>
      <c r="BA68" s="35">
        <f t="shared" si="9"/>
        <v>360</v>
      </c>
      <c r="BB68" s="6"/>
      <c r="BC68" s="35"/>
      <c r="BD68" s="6"/>
      <c r="BE68" s="6">
        <v>626</v>
      </c>
      <c r="BF68" s="6"/>
      <c r="BG68" s="6">
        <f t="shared" si="10"/>
        <v>387</v>
      </c>
      <c r="BH68" s="6">
        <v>1001</v>
      </c>
      <c r="BI68" s="6"/>
      <c r="BJ68" s="35">
        <f t="shared" si="11"/>
        <v>375</v>
      </c>
      <c r="BK68" s="6">
        <v>1386</v>
      </c>
      <c r="BL68" s="6"/>
      <c r="BM68" s="6">
        <f t="shared" si="12"/>
        <v>385</v>
      </c>
      <c r="BN68" s="6">
        <v>213</v>
      </c>
      <c r="BO68" s="6">
        <v>1560</v>
      </c>
      <c r="BP68" s="35">
        <f t="shared" si="13"/>
        <v>387</v>
      </c>
      <c r="BQ68" s="6">
        <v>598</v>
      </c>
      <c r="BR68" s="35"/>
      <c r="BS68" s="6">
        <f t="shared" si="14"/>
        <v>385</v>
      </c>
      <c r="BT68" s="6"/>
      <c r="BU68" s="6"/>
      <c r="BV68" s="6"/>
      <c r="BW68" s="6"/>
      <c r="BX68" s="35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35"/>
      <c r="CZ68" s="6"/>
      <c r="DA68" s="6"/>
      <c r="DB68" s="35"/>
      <c r="DC68" s="6"/>
      <c r="DD68" s="6"/>
      <c r="DE68" s="35"/>
      <c r="DF68" s="6"/>
      <c r="DG68" s="6"/>
      <c r="DH68" s="35"/>
      <c r="DI68" s="6"/>
    </row>
    <row r="69" spans="1:113">
      <c r="A69" s="6">
        <v>65</v>
      </c>
      <c r="B69" s="6">
        <v>1015</v>
      </c>
      <c r="C69" s="6"/>
      <c r="D69" s="6">
        <v>252</v>
      </c>
      <c r="E69" s="33" t="s">
        <v>135</v>
      </c>
      <c r="F69" s="33" t="s">
        <v>135</v>
      </c>
      <c r="G69" s="344" t="s">
        <v>135</v>
      </c>
      <c r="H69" s="344"/>
      <c r="I69" s="344"/>
      <c r="J69" s="357" t="s">
        <v>307</v>
      </c>
      <c r="K69" s="362" t="s">
        <v>307</v>
      </c>
      <c r="L69" s="362" t="s">
        <v>307</v>
      </c>
      <c r="M69" s="362" t="s">
        <v>307</v>
      </c>
      <c r="N69" s="362" t="s">
        <v>307</v>
      </c>
      <c r="O69" s="362" t="s">
        <v>307</v>
      </c>
      <c r="P69" s="362" t="s">
        <v>307</v>
      </c>
      <c r="Q69" s="362" t="s">
        <v>307</v>
      </c>
      <c r="R69" s="362" t="s">
        <v>307</v>
      </c>
      <c r="S69" s="362" t="s">
        <v>307</v>
      </c>
      <c r="T69" s="362" t="s">
        <v>307</v>
      </c>
      <c r="U69" s="6">
        <v>1300</v>
      </c>
      <c r="V69" s="6"/>
      <c r="W69" s="35">
        <f t="shared" si="0"/>
        <v>285</v>
      </c>
      <c r="X69" s="6">
        <v>0</v>
      </c>
      <c r="Y69" s="6">
        <v>1358</v>
      </c>
      <c r="Z69" s="35">
        <f t="shared" si="1"/>
        <v>58</v>
      </c>
      <c r="AA69" s="35"/>
      <c r="AB69" s="35"/>
      <c r="AC69" s="35"/>
      <c r="AD69" s="6"/>
      <c r="AE69" s="6"/>
      <c r="AF69" s="35"/>
      <c r="AG69" s="6"/>
      <c r="AH69" s="6"/>
      <c r="AI69" s="34"/>
      <c r="AJ69" s="35">
        <v>344</v>
      </c>
      <c r="AK69" s="35"/>
      <c r="AL69" s="35">
        <f t="shared" si="4"/>
        <v>344</v>
      </c>
      <c r="AM69" s="6">
        <v>705</v>
      </c>
      <c r="AN69" s="6"/>
      <c r="AO69" s="35">
        <f t="shared" si="5"/>
        <v>361</v>
      </c>
      <c r="AP69" s="6">
        <v>1069</v>
      </c>
      <c r="AQ69" s="6"/>
      <c r="AR69" s="35">
        <f t="shared" si="6"/>
        <v>364</v>
      </c>
      <c r="AS69" s="35">
        <v>1433</v>
      </c>
      <c r="AT69" s="35"/>
      <c r="AU69" s="35">
        <f t="shared" si="7"/>
        <v>364</v>
      </c>
      <c r="AV69" s="6">
        <v>1795</v>
      </c>
      <c r="AW69" s="6"/>
      <c r="AX69" s="35">
        <f t="shared" si="8"/>
        <v>362</v>
      </c>
      <c r="AY69" s="6">
        <v>315</v>
      </c>
      <c r="AZ69" s="6">
        <v>1820</v>
      </c>
      <c r="BA69" s="35">
        <f t="shared" si="9"/>
        <v>340</v>
      </c>
      <c r="BB69" s="6"/>
      <c r="BC69" s="6"/>
      <c r="BD69" s="6"/>
      <c r="BE69" s="6">
        <v>680</v>
      </c>
      <c r="BF69" s="6"/>
      <c r="BG69" s="6">
        <f t="shared" si="10"/>
        <v>365</v>
      </c>
      <c r="BH69" s="6">
        <v>1030</v>
      </c>
      <c r="BI69" s="6"/>
      <c r="BJ69" s="35">
        <f t="shared" si="11"/>
        <v>350</v>
      </c>
      <c r="BK69" s="6">
        <v>1367</v>
      </c>
      <c r="BL69" s="6"/>
      <c r="BM69" s="6">
        <f t="shared" si="12"/>
        <v>337</v>
      </c>
      <c r="BN69" s="6">
        <v>1691</v>
      </c>
      <c r="BO69" s="6"/>
      <c r="BP69" s="35">
        <f t="shared" si="13"/>
        <v>324</v>
      </c>
      <c r="BQ69" s="6">
        <v>215</v>
      </c>
      <c r="BR69" s="6">
        <v>1820</v>
      </c>
      <c r="BS69" s="6">
        <f t="shared" si="14"/>
        <v>344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</row>
    <row r="70" spans="1:113">
      <c r="A70" s="6">
        <v>66</v>
      </c>
      <c r="B70" s="6">
        <v>837</v>
      </c>
      <c r="C70" s="6"/>
      <c r="D70" s="6">
        <v>286</v>
      </c>
      <c r="E70" s="33" t="s">
        <v>462</v>
      </c>
      <c r="F70" s="33" t="s">
        <v>462</v>
      </c>
      <c r="G70" s="344" t="s">
        <v>462</v>
      </c>
      <c r="H70" s="344" t="s">
        <v>462</v>
      </c>
      <c r="I70" s="344" t="s">
        <v>462</v>
      </c>
      <c r="J70" s="344" t="s">
        <v>462</v>
      </c>
      <c r="K70" s="344" t="s">
        <v>462</v>
      </c>
      <c r="L70" s="344" t="s">
        <v>462</v>
      </c>
      <c r="M70" s="344" t="s">
        <v>462</v>
      </c>
      <c r="N70" s="344" t="s">
        <v>462</v>
      </c>
      <c r="O70" s="344" t="s">
        <v>462</v>
      </c>
      <c r="P70" s="344" t="s">
        <v>462</v>
      </c>
      <c r="Q70" s="344" t="s">
        <v>462</v>
      </c>
      <c r="R70" s="344" t="s">
        <v>462</v>
      </c>
      <c r="S70" s="344" t="s">
        <v>462</v>
      </c>
      <c r="T70" s="344" t="s">
        <v>462</v>
      </c>
      <c r="U70" s="6">
        <v>859</v>
      </c>
      <c r="V70" s="6"/>
      <c r="W70" s="35">
        <f t="shared" ref="W70:W133" si="15">V70+U70-B70</f>
        <v>22</v>
      </c>
      <c r="X70" s="6">
        <v>1166</v>
      </c>
      <c r="Y70" s="6"/>
      <c r="Z70" s="35">
        <f t="shared" ref="Z70:Z133" si="16">Y70+X70-U70</f>
        <v>307</v>
      </c>
      <c r="AA70" s="35">
        <v>280</v>
      </c>
      <c r="AB70" s="35">
        <v>1200</v>
      </c>
      <c r="AC70" s="35">
        <f t="shared" ref="AC70:AC133" si="17">AB70+AA70-X70</f>
        <v>314</v>
      </c>
      <c r="AD70" s="6">
        <v>584</v>
      </c>
      <c r="AE70" s="6"/>
      <c r="AF70" s="35">
        <f t="shared" ref="AF70:AF133" si="18">AE70+AD70-AA70</f>
        <v>304</v>
      </c>
      <c r="AG70" s="6"/>
      <c r="AH70" s="6"/>
      <c r="AI70" s="34"/>
      <c r="AJ70" s="35">
        <v>899</v>
      </c>
      <c r="AK70" s="35"/>
      <c r="AL70" s="35">
        <f t="shared" ref="AL70:AL133" si="19">AK70+AJ70-AD70</f>
        <v>315</v>
      </c>
      <c r="AM70" s="6">
        <v>8</v>
      </c>
      <c r="AN70" s="6">
        <v>1200</v>
      </c>
      <c r="AO70" s="35">
        <f t="shared" ref="AO70:AO133" si="20">AN70+AM70-AJ70</f>
        <v>309</v>
      </c>
      <c r="AP70" s="6">
        <v>321</v>
      </c>
      <c r="AQ70" s="6"/>
      <c r="AR70" s="35">
        <f t="shared" ref="AR70:AR133" si="21">AQ70+AP70-AM70</f>
        <v>313</v>
      </c>
      <c r="AS70" s="35">
        <v>620</v>
      </c>
      <c r="AT70" s="35"/>
      <c r="AU70" s="35">
        <f t="shared" ref="AU70:AU133" si="22">AT70+AS70-AP70</f>
        <v>299</v>
      </c>
      <c r="AV70" s="6">
        <v>929</v>
      </c>
      <c r="AW70" s="6"/>
      <c r="AX70" s="35">
        <f t="shared" ref="AX70:AX133" si="23">AW70+AV70-AS70</f>
        <v>309</v>
      </c>
      <c r="AY70" s="6">
        <v>242</v>
      </c>
      <c r="AZ70" s="6">
        <v>1000</v>
      </c>
      <c r="BA70" s="35">
        <f t="shared" ref="BA70:BA133" si="24">AZ70+AY70-AV70</f>
        <v>313</v>
      </c>
      <c r="BB70" s="6"/>
      <c r="BC70" s="6"/>
      <c r="BD70" s="6"/>
      <c r="BE70" s="6">
        <v>575</v>
      </c>
      <c r="BF70" s="6"/>
      <c r="BG70" s="6">
        <f t="shared" ref="BG70:BG133" si="25">BF70+BE70-AY70</f>
        <v>333</v>
      </c>
      <c r="BH70" s="6">
        <v>899</v>
      </c>
      <c r="BI70" s="6"/>
      <c r="BJ70" s="35">
        <f t="shared" ref="BJ70:BJ133" si="26">BI70+BH70-BE70</f>
        <v>324</v>
      </c>
      <c r="BK70" s="6">
        <v>20</v>
      </c>
      <c r="BL70" s="6">
        <v>1200</v>
      </c>
      <c r="BM70" s="6">
        <f t="shared" ref="BM70:BM133" si="27">BL70+BK70-BH70</f>
        <v>321</v>
      </c>
      <c r="BN70" s="6">
        <v>345</v>
      </c>
      <c r="BO70" s="6"/>
      <c r="BP70" s="35">
        <f t="shared" ref="BP70:BP133" si="28">BO70+BN70-BK70</f>
        <v>325</v>
      </c>
      <c r="BQ70" s="6">
        <v>671</v>
      </c>
      <c r="BR70" s="6"/>
      <c r="BS70" s="6">
        <f t="shared" ref="BS70:BS133" si="29">BR70+BQ70-BN70</f>
        <v>326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</row>
    <row r="71" spans="1:113">
      <c r="A71" s="6">
        <v>67</v>
      </c>
      <c r="B71" s="6">
        <v>831</v>
      </c>
      <c r="C71" s="6"/>
      <c r="D71" s="6">
        <v>280</v>
      </c>
      <c r="E71" s="33" t="s">
        <v>462</v>
      </c>
      <c r="F71" s="33" t="s">
        <v>462</v>
      </c>
      <c r="G71" s="344" t="s">
        <v>462</v>
      </c>
      <c r="H71" s="344" t="s">
        <v>462</v>
      </c>
      <c r="I71" s="344" t="s">
        <v>462</v>
      </c>
      <c r="J71" s="344" t="s">
        <v>462</v>
      </c>
      <c r="K71" s="344" t="s">
        <v>462</v>
      </c>
      <c r="L71" s="344" t="s">
        <v>462</v>
      </c>
      <c r="M71" s="344" t="s">
        <v>462</v>
      </c>
      <c r="N71" s="344" t="s">
        <v>462</v>
      </c>
      <c r="O71" s="344" t="s">
        <v>462</v>
      </c>
      <c r="P71" s="344" t="s">
        <v>462</v>
      </c>
      <c r="Q71" s="344" t="s">
        <v>462</v>
      </c>
      <c r="R71" s="344" t="s">
        <v>462</v>
      </c>
      <c r="S71" s="344" t="s">
        <v>462</v>
      </c>
      <c r="T71" s="344" t="s">
        <v>462</v>
      </c>
      <c r="U71" s="6">
        <v>850</v>
      </c>
      <c r="V71" s="6"/>
      <c r="W71" s="35">
        <f t="shared" si="15"/>
        <v>19</v>
      </c>
      <c r="X71" s="6">
        <v>1147</v>
      </c>
      <c r="Y71" s="6"/>
      <c r="Z71" s="35">
        <f t="shared" si="16"/>
        <v>297</v>
      </c>
      <c r="AA71" s="35">
        <v>248</v>
      </c>
      <c r="AB71" s="35">
        <v>1200</v>
      </c>
      <c r="AC71" s="35">
        <f t="shared" si="17"/>
        <v>301</v>
      </c>
      <c r="AD71" s="6">
        <v>542</v>
      </c>
      <c r="AE71" s="6"/>
      <c r="AF71" s="35">
        <f t="shared" si="18"/>
        <v>294</v>
      </c>
      <c r="AG71" s="6"/>
      <c r="AH71" s="6"/>
      <c r="AI71" s="34"/>
      <c r="AJ71" s="35">
        <v>846</v>
      </c>
      <c r="AK71" s="35"/>
      <c r="AL71" s="35">
        <f t="shared" si="19"/>
        <v>304</v>
      </c>
      <c r="AM71" s="6">
        <v>1150</v>
      </c>
      <c r="AN71" s="6"/>
      <c r="AO71" s="35">
        <f t="shared" si="20"/>
        <v>304</v>
      </c>
      <c r="AP71" s="6">
        <v>255</v>
      </c>
      <c r="AQ71" s="6">
        <v>1200</v>
      </c>
      <c r="AR71" s="35">
        <f t="shared" si="21"/>
        <v>305</v>
      </c>
      <c r="AS71" s="35">
        <v>557</v>
      </c>
      <c r="AT71" s="35"/>
      <c r="AU71" s="35">
        <f t="shared" si="22"/>
        <v>302</v>
      </c>
      <c r="AV71" s="6">
        <v>849</v>
      </c>
      <c r="AW71" s="6"/>
      <c r="AX71" s="35">
        <f t="shared" si="23"/>
        <v>292</v>
      </c>
      <c r="AY71" s="6">
        <v>151</v>
      </c>
      <c r="AZ71" s="6">
        <v>1000</v>
      </c>
      <c r="BA71" s="35">
        <f t="shared" si="24"/>
        <v>302</v>
      </c>
      <c r="BB71" s="6"/>
      <c r="BC71" s="6"/>
      <c r="BD71" s="6"/>
      <c r="BE71" s="6">
        <v>473</v>
      </c>
      <c r="BF71" s="6"/>
      <c r="BG71" s="6">
        <f t="shared" si="25"/>
        <v>322</v>
      </c>
      <c r="BH71" s="6">
        <v>786</v>
      </c>
      <c r="BI71" s="6"/>
      <c r="BJ71" s="35">
        <f t="shared" si="26"/>
        <v>313</v>
      </c>
      <c r="BK71" s="6">
        <v>1101</v>
      </c>
      <c r="BL71" s="6"/>
      <c r="BM71" s="6">
        <f t="shared" si="27"/>
        <v>315</v>
      </c>
      <c r="BN71" s="6">
        <v>212</v>
      </c>
      <c r="BO71" s="6">
        <v>1200</v>
      </c>
      <c r="BP71" s="35">
        <f t="shared" si="28"/>
        <v>311</v>
      </c>
      <c r="BQ71" s="6">
        <v>522</v>
      </c>
      <c r="BR71" s="6"/>
      <c r="BS71" s="6">
        <f t="shared" si="29"/>
        <v>310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35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</row>
    <row r="72" spans="1:113">
      <c r="A72" s="274">
        <v>68</v>
      </c>
      <c r="B72" s="6">
        <v>828</v>
      </c>
      <c r="C72" s="6"/>
      <c r="D72" s="6">
        <v>351</v>
      </c>
      <c r="E72" s="33" t="s">
        <v>37</v>
      </c>
      <c r="F72" s="33" t="s">
        <v>37</v>
      </c>
      <c r="G72" s="344" t="s">
        <v>37</v>
      </c>
      <c r="H72" s="346" t="s">
        <v>37</v>
      </c>
      <c r="I72" s="344" t="s">
        <v>37</v>
      </c>
      <c r="J72" s="344" t="s">
        <v>37</v>
      </c>
      <c r="K72" s="344" t="s">
        <v>37</v>
      </c>
      <c r="L72" s="344" t="s">
        <v>37</v>
      </c>
      <c r="M72" s="344" t="s">
        <v>37</v>
      </c>
      <c r="N72" s="344" t="s">
        <v>37</v>
      </c>
      <c r="O72" s="344" t="s">
        <v>37</v>
      </c>
      <c r="P72" s="344" t="s">
        <v>37</v>
      </c>
      <c r="Q72" s="344" t="s">
        <v>37</v>
      </c>
      <c r="R72" s="344" t="s">
        <v>37</v>
      </c>
      <c r="S72" s="344" t="s">
        <v>37</v>
      </c>
      <c r="T72" s="344" t="s">
        <v>37</v>
      </c>
      <c r="U72" s="6">
        <v>1227</v>
      </c>
      <c r="V72" s="6"/>
      <c r="W72" s="35">
        <f t="shared" si="15"/>
        <v>399</v>
      </c>
      <c r="X72" s="6">
        <v>1616</v>
      </c>
      <c r="Y72" s="6"/>
      <c r="Z72" s="35">
        <f t="shared" si="16"/>
        <v>389</v>
      </c>
      <c r="AA72" s="35">
        <v>336</v>
      </c>
      <c r="AB72" s="35">
        <v>1644</v>
      </c>
      <c r="AC72" s="35">
        <f t="shared" si="17"/>
        <v>364</v>
      </c>
      <c r="AD72" s="6">
        <v>704</v>
      </c>
      <c r="AE72" s="6"/>
      <c r="AF72" s="35">
        <f t="shared" si="18"/>
        <v>368</v>
      </c>
      <c r="AG72" s="6"/>
      <c r="AH72" s="6"/>
      <c r="AI72" s="34"/>
      <c r="AJ72" s="35">
        <v>1091</v>
      </c>
      <c r="AK72" s="35"/>
      <c r="AL72" s="35">
        <f t="shared" si="19"/>
        <v>387</v>
      </c>
      <c r="AM72" s="6">
        <v>1475</v>
      </c>
      <c r="AN72" s="6"/>
      <c r="AO72" s="35">
        <f t="shared" si="20"/>
        <v>384</v>
      </c>
      <c r="AP72" s="6">
        <v>299</v>
      </c>
      <c r="AQ72" s="6">
        <v>1560</v>
      </c>
      <c r="AR72" s="35">
        <f t="shared" si="21"/>
        <v>384</v>
      </c>
      <c r="AS72" s="35">
        <v>686</v>
      </c>
      <c r="AT72" s="35"/>
      <c r="AU72" s="35">
        <f t="shared" si="22"/>
        <v>387</v>
      </c>
      <c r="AV72" s="35">
        <v>1071</v>
      </c>
      <c r="AW72" s="6"/>
      <c r="AX72" s="35">
        <f t="shared" si="23"/>
        <v>385</v>
      </c>
      <c r="AY72" s="6">
        <v>1446</v>
      </c>
      <c r="AZ72" s="6"/>
      <c r="BA72" s="35">
        <f t="shared" si="24"/>
        <v>375</v>
      </c>
      <c r="BB72" s="6"/>
      <c r="BC72" s="6"/>
      <c r="BD72" s="6"/>
      <c r="BE72" s="6">
        <v>272</v>
      </c>
      <c r="BF72" s="6">
        <v>1560</v>
      </c>
      <c r="BG72" s="6">
        <f t="shared" si="25"/>
        <v>386</v>
      </c>
      <c r="BH72" s="6">
        <v>656</v>
      </c>
      <c r="BI72" s="6"/>
      <c r="BJ72" s="35">
        <f t="shared" si="26"/>
        <v>384</v>
      </c>
      <c r="BK72" s="6">
        <v>1040</v>
      </c>
      <c r="BL72" s="6"/>
      <c r="BM72" s="6">
        <f t="shared" si="27"/>
        <v>384</v>
      </c>
      <c r="BN72" s="6">
        <v>1427</v>
      </c>
      <c r="BO72" s="6"/>
      <c r="BP72" s="35">
        <f t="shared" si="28"/>
        <v>387</v>
      </c>
      <c r="BQ72" s="6">
        <v>249</v>
      </c>
      <c r="BR72" s="6">
        <v>1560</v>
      </c>
      <c r="BS72" s="6">
        <f t="shared" si="29"/>
        <v>382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</row>
    <row r="73" spans="1:113">
      <c r="A73" s="6">
        <v>69</v>
      </c>
      <c r="B73" s="6">
        <v>1010</v>
      </c>
      <c r="C73" s="6"/>
      <c r="D73" s="6">
        <v>263</v>
      </c>
      <c r="E73" s="33" t="s">
        <v>135</v>
      </c>
      <c r="F73" s="33" t="s">
        <v>135</v>
      </c>
      <c r="G73" s="346" t="s">
        <v>102</v>
      </c>
      <c r="H73" s="344" t="s">
        <v>102</v>
      </c>
      <c r="I73" s="344" t="s">
        <v>102</v>
      </c>
      <c r="J73" s="344" t="s">
        <v>102</v>
      </c>
      <c r="K73" s="344" t="s">
        <v>102</v>
      </c>
      <c r="L73" s="344" t="s">
        <v>102</v>
      </c>
      <c r="M73" s="344" t="s">
        <v>102</v>
      </c>
      <c r="N73" s="344" t="s">
        <v>102</v>
      </c>
      <c r="O73" s="344" t="s">
        <v>102</v>
      </c>
      <c r="P73" s="344" t="s">
        <v>102</v>
      </c>
      <c r="Q73" s="344" t="s">
        <v>102</v>
      </c>
      <c r="R73" s="344" t="s">
        <v>102</v>
      </c>
      <c r="S73" s="344" t="s">
        <v>102</v>
      </c>
      <c r="T73" s="344" t="s">
        <v>102</v>
      </c>
      <c r="U73" s="6">
        <v>0</v>
      </c>
      <c r="V73" s="6">
        <v>1186</v>
      </c>
      <c r="W73" s="35">
        <f t="shared" si="15"/>
        <v>176</v>
      </c>
      <c r="X73" s="6">
        <v>405</v>
      </c>
      <c r="Y73" s="6"/>
      <c r="Z73" s="35">
        <f t="shared" si="16"/>
        <v>405</v>
      </c>
      <c r="AA73" s="35">
        <v>848</v>
      </c>
      <c r="AB73" s="35"/>
      <c r="AC73" s="35">
        <f t="shared" si="17"/>
        <v>443</v>
      </c>
      <c r="AD73" s="6">
        <v>1226</v>
      </c>
      <c r="AE73" s="6"/>
      <c r="AF73" s="35">
        <f t="shared" si="18"/>
        <v>378</v>
      </c>
      <c r="AG73" s="6"/>
      <c r="AH73" s="6"/>
      <c r="AI73" s="34"/>
      <c r="AJ73" s="35">
        <v>133</v>
      </c>
      <c r="AK73" s="35">
        <v>1500</v>
      </c>
      <c r="AL73" s="35">
        <f t="shared" si="19"/>
        <v>407</v>
      </c>
      <c r="AM73" s="6">
        <v>537</v>
      </c>
      <c r="AN73" s="6"/>
      <c r="AO73" s="35">
        <f t="shared" si="20"/>
        <v>404</v>
      </c>
      <c r="AP73" s="6">
        <v>322</v>
      </c>
      <c r="AQ73" s="6">
        <v>611</v>
      </c>
      <c r="AR73" s="35">
        <f t="shared" si="21"/>
        <v>396</v>
      </c>
      <c r="AS73" s="6">
        <v>726</v>
      </c>
      <c r="AT73" s="6"/>
      <c r="AU73" s="35">
        <f t="shared" si="22"/>
        <v>404</v>
      </c>
      <c r="AV73" s="6">
        <v>1130</v>
      </c>
      <c r="AW73" s="6"/>
      <c r="AX73" s="35">
        <f t="shared" si="23"/>
        <v>404</v>
      </c>
      <c r="AY73" s="6">
        <v>28</v>
      </c>
      <c r="AZ73" s="6">
        <v>1500</v>
      </c>
      <c r="BA73" s="35">
        <f t="shared" si="24"/>
        <v>398</v>
      </c>
      <c r="BB73" s="6"/>
      <c r="BC73" s="6"/>
      <c r="BD73" s="6"/>
      <c r="BE73" s="6">
        <v>427</v>
      </c>
      <c r="BF73" s="6"/>
      <c r="BG73" s="6">
        <f t="shared" si="25"/>
        <v>399</v>
      </c>
      <c r="BH73" s="6">
        <v>815</v>
      </c>
      <c r="BI73" s="6"/>
      <c r="BJ73" s="35">
        <f t="shared" si="26"/>
        <v>388</v>
      </c>
      <c r="BK73" s="6">
        <v>1213</v>
      </c>
      <c r="BL73" s="6"/>
      <c r="BM73" s="6">
        <f t="shared" si="27"/>
        <v>398</v>
      </c>
      <c r="BN73" s="6">
        <v>370</v>
      </c>
      <c r="BO73" s="6">
        <v>1223</v>
      </c>
      <c r="BP73" s="35">
        <f t="shared" si="28"/>
        <v>380</v>
      </c>
      <c r="BQ73" s="6">
        <v>774</v>
      </c>
      <c r="BR73" s="6"/>
      <c r="BS73" s="6">
        <f t="shared" si="29"/>
        <v>404</v>
      </c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35"/>
      <c r="CJ73" s="6"/>
      <c r="CK73" s="6"/>
      <c r="CL73" s="6"/>
      <c r="CM73" s="6"/>
      <c r="CN73" s="6"/>
      <c r="CO73" s="6"/>
      <c r="CP73" s="35"/>
      <c r="CQ73" s="6"/>
      <c r="CR73" s="6"/>
      <c r="CS73" s="6"/>
      <c r="CT73" s="6"/>
      <c r="CU73" s="6"/>
      <c r="CV73" s="35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</row>
    <row r="74" spans="1:113">
      <c r="A74" s="274">
        <v>70</v>
      </c>
      <c r="B74" s="6">
        <v>315</v>
      </c>
      <c r="C74" s="6"/>
      <c r="D74" s="6">
        <v>244</v>
      </c>
      <c r="E74" s="33" t="s">
        <v>135</v>
      </c>
      <c r="F74" s="33" t="s">
        <v>135</v>
      </c>
      <c r="G74" s="344" t="s">
        <v>135</v>
      </c>
      <c r="H74" s="344"/>
      <c r="I74" s="344"/>
      <c r="J74" s="357" t="s">
        <v>307</v>
      </c>
      <c r="K74" s="362" t="s">
        <v>307</v>
      </c>
      <c r="L74" s="362" t="s">
        <v>307</v>
      </c>
      <c r="M74" s="362" t="s">
        <v>307</v>
      </c>
      <c r="N74" s="362" t="s">
        <v>307</v>
      </c>
      <c r="O74" s="399" t="s">
        <v>37</v>
      </c>
      <c r="P74" s="401" t="s">
        <v>37</v>
      </c>
      <c r="Q74" s="401" t="s">
        <v>37</v>
      </c>
      <c r="R74" s="401" t="s">
        <v>37</v>
      </c>
      <c r="S74" s="401" t="s">
        <v>37</v>
      </c>
      <c r="T74" s="401" t="s">
        <v>37</v>
      </c>
      <c r="U74" s="6">
        <v>588</v>
      </c>
      <c r="V74" s="6"/>
      <c r="W74" s="35">
        <f t="shared" si="15"/>
        <v>273</v>
      </c>
      <c r="X74" s="6">
        <v>0</v>
      </c>
      <c r="Y74" s="6">
        <v>616</v>
      </c>
      <c r="Z74" s="35">
        <f t="shared" si="16"/>
        <v>28</v>
      </c>
      <c r="AA74" s="35"/>
      <c r="AB74" s="35"/>
      <c r="AC74" s="35"/>
      <c r="AD74" s="6"/>
      <c r="AE74" s="6"/>
      <c r="AF74" s="35"/>
      <c r="AG74" s="6"/>
      <c r="AH74" s="6"/>
      <c r="AI74" s="34"/>
      <c r="AJ74" s="35">
        <v>371</v>
      </c>
      <c r="AK74" s="35"/>
      <c r="AL74" s="35">
        <f t="shared" si="19"/>
        <v>371</v>
      </c>
      <c r="AM74" s="6">
        <v>762</v>
      </c>
      <c r="AN74" s="6"/>
      <c r="AO74" s="35">
        <f t="shared" si="20"/>
        <v>391</v>
      </c>
      <c r="AP74" s="6">
        <v>1154</v>
      </c>
      <c r="AQ74" s="6"/>
      <c r="AR74" s="35">
        <f t="shared" si="21"/>
        <v>392</v>
      </c>
      <c r="AS74" s="35">
        <v>1546</v>
      </c>
      <c r="AT74" s="35"/>
      <c r="AU74" s="35">
        <f t="shared" si="22"/>
        <v>392</v>
      </c>
      <c r="AV74" s="6">
        <v>374</v>
      </c>
      <c r="AW74" s="6">
        <v>1560</v>
      </c>
      <c r="AX74" s="35">
        <f t="shared" si="23"/>
        <v>388</v>
      </c>
      <c r="AY74" s="6">
        <v>278</v>
      </c>
      <c r="AZ74" s="6">
        <v>453</v>
      </c>
      <c r="BA74" s="35">
        <f t="shared" si="24"/>
        <v>357</v>
      </c>
      <c r="BB74" s="35"/>
      <c r="BC74" s="6"/>
      <c r="BD74" s="6"/>
      <c r="BE74" s="6">
        <v>671</v>
      </c>
      <c r="BF74" s="6"/>
      <c r="BG74" s="6">
        <f t="shared" si="25"/>
        <v>393</v>
      </c>
      <c r="BH74" s="6">
        <v>1057</v>
      </c>
      <c r="BI74" s="6"/>
      <c r="BJ74" s="35">
        <f t="shared" si="26"/>
        <v>386</v>
      </c>
      <c r="BK74" s="6">
        <v>1449</v>
      </c>
      <c r="BL74" s="6"/>
      <c r="BM74" s="6">
        <f t="shared" si="27"/>
        <v>392</v>
      </c>
      <c r="BN74" s="6">
        <v>279</v>
      </c>
      <c r="BO74" s="6">
        <v>1560</v>
      </c>
      <c r="BP74" s="35">
        <f t="shared" si="28"/>
        <v>390</v>
      </c>
      <c r="BQ74" s="6">
        <v>666</v>
      </c>
      <c r="BR74" s="6"/>
      <c r="BS74" s="6">
        <f t="shared" si="29"/>
        <v>387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35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</row>
    <row r="75" spans="1:113">
      <c r="A75" s="274">
        <v>71</v>
      </c>
      <c r="B75" s="6">
        <v>1084</v>
      </c>
      <c r="C75" s="6"/>
      <c r="D75" s="6">
        <v>363</v>
      </c>
      <c r="E75" s="33" t="s">
        <v>37</v>
      </c>
      <c r="F75" s="33" t="s">
        <v>37</v>
      </c>
      <c r="G75" s="344" t="s">
        <v>37</v>
      </c>
      <c r="H75" s="346" t="s">
        <v>37</v>
      </c>
      <c r="I75" s="344" t="s">
        <v>37</v>
      </c>
      <c r="J75" s="344" t="s">
        <v>37</v>
      </c>
      <c r="K75" s="344" t="s">
        <v>37</v>
      </c>
      <c r="L75" s="344" t="s">
        <v>37</v>
      </c>
      <c r="M75" s="344" t="s">
        <v>37</v>
      </c>
      <c r="N75" s="344" t="s">
        <v>37</v>
      </c>
      <c r="O75" s="344" t="s">
        <v>37</v>
      </c>
      <c r="P75" s="344" t="s">
        <v>37</v>
      </c>
      <c r="Q75" s="344" t="s">
        <v>37</v>
      </c>
      <c r="R75" s="344" t="s">
        <v>37</v>
      </c>
      <c r="S75" s="344" t="s">
        <v>37</v>
      </c>
      <c r="T75" s="344" t="s">
        <v>37</v>
      </c>
      <c r="U75" s="6">
        <v>1483</v>
      </c>
      <c r="V75" s="6"/>
      <c r="W75" s="35">
        <f t="shared" si="15"/>
        <v>399</v>
      </c>
      <c r="X75" s="6">
        <v>0</v>
      </c>
      <c r="Y75" s="6">
        <v>1784</v>
      </c>
      <c r="Z75" s="35">
        <f t="shared" si="16"/>
        <v>301</v>
      </c>
      <c r="AA75" s="35">
        <v>350</v>
      </c>
      <c r="AB75" s="35"/>
      <c r="AC75" s="35">
        <f t="shared" si="17"/>
        <v>350</v>
      </c>
      <c r="AD75" s="6">
        <v>724</v>
      </c>
      <c r="AE75" s="6"/>
      <c r="AF75" s="35">
        <f t="shared" si="18"/>
        <v>374</v>
      </c>
      <c r="AG75" s="6"/>
      <c r="AH75" s="6"/>
      <c r="AI75" s="34"/>
      <c r="AJ75" s="35">
        <v>1097</v>
      </c>
      <c r="AK75" s="35"/>
      <c r="AL75" s="35">
        <f t="shared" si="19"/>
        <v>373</v>
      </c>
      <c r="AM75" s="6">
        <v>1479</v>
      </c>
      <c r="AN75" s="6"/>
      <c r="AO75" s="35">
        <f t="shared" si="20"/>
        <v>382</v>
      </c>
      <c r="AP75" s="6">
        <v>304</v>
      </c>
      <c r="AQ75" s="6">
        <v>1560</v>
      </c>
      <c r="AR75" s="35">
        <f t="shared" si="21"/>
        <v>385</v>
      </c>
      <c r="AS75" s="6">
        <v>690</v>
      </c>
      <c r="AT75" s="6"/>
      <c r="AU75" s="35">
        <f t="shared" si="22"/>
        <v>386</v>
      </c>
      <c r="AV75" s="35">
        <v>1077</v>
      </c>
      <c r="AW75" s="6"/>
      <c r="AX75" s="35">
        <f t="shared" si="23"/>
        <v>387</v>
      </c>
      <c r="AY75" s="6">
        <v>364</v>
      </c>
      <c r="AZ75" s="6">
        <v>1088</v>
      </c>
      <c r="BA75" s="35">
        <f t="shared" si="24"/>
        <v>375</v>
      </c>
      <c r="BB75" s="6"/>
      <c r="BC75" s="6"/>
      <c r="BD75" s="6"/>
      <c r="BE75" s="6">
        <v>756</v>
      </c>
      <c r="BF75" s="6"/>
      <c r="BG75" s="6">
        <f t="shared" si="25"/>
        <v>392</v>
      </c>
      <c r="BH75" s="6">
        <v>222</v>
      </c>
      <c r="BI75" s="6">
        <v>890</v>
      </c>
      <c r="BJ75" s="35">
        <f t="shared" si="26"/>
        <v>356</v>
      </c>
      <c r="BK75" s="6">
        <v>603</v>
      </c>
      <c r="BL75" s="6"/>
      <c r="BM75" s="6">
        <f t="shared" si="27"/>
        <v>381</v>
      </c>
      <c r="BN75" s="6">
        <v>990</v>
      </c>
      <c r="BO75" s="6"/>
      <c r="BP75" s="35">
        <f t="shared" si="28"/>
        <v>387</v>
      </c>
      <c r="BQ75" s="6">
        <v>1373</v>
      </c>
      <c r="BR75" s="6"/>
      <c r="BS75" s="6">
        <f t="shared" si="29"/>
        <v>383</v>
      </c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</row>
    <row r="76" spans="1:113">
      <c r="A76" s="6">
        <v>72</v>
      </c>
      <c r="B76" s="6">
        <v>1008</v>
      </c>
      <c r="C76" s="6"/>
      <c r="D76" s="6">
        <v>254</v>
      </c>
      <c r="E76" s="33" t="s">
        <v>135</v>
      </c>
      <c r="F76" s="33" t="s">
        <v>135</v>
      </c>
      <c r="G76" s="346" t="s">
        <v>102</v>
      </c>
      <c r="H76" s="344" t="s">
        <v>102</v>
      </c>
      <c r="I76" s="344" t="s">
        <v>102</v>
      </c>
      <c r="J76" s="344" t="s">
        <v>102</v>
      </c>
      <c r="K76" s="344" t="s">
        <v>102</v>
      </c>
      <c r="L76" s="344" t="s">
        <v>102</v>
      </c>
      <c r="M76" s="344" t="s">
        <v>102</v>
      </c>
      <c r="N76" s="344" t="s">
        <v>102</v>
      </c>
      <c r="O76" s="344" t="s">
        <v>102</v>
      </c>
      <c r="P76" s="344" t="s">
        <v>102</v>
      </c>
      <c r="Q76" s="344" t="s">
        <v>102</v>
      </c>
      <c r="R76" s="344" t="s">
        <v>102</v>
      </c>
      <c r="S76" s="344" t="s">
        <v>102</v>
      </c>
      <c r="T76" s="344" t="s">
        <v>102</v>
      </c>
      <c r="U76" s="6">
        <v>0</v>
      </c>
      <c r="V76" s="6">
        <v>1203</v>
      </c>
      <c r="W76" s="35">
        <f t="shared" si="15"/>
        <v>195</v>
      </c>
      <c r="X76" s="6">
        <v>388</v>
      </c>
      <c r="Y76" s="6"/>
      <c r="Z76" s="35">
        <f t="shared" si="16"/>
        <v>388</v>
      </c>
      <c r="AA76" s="35">
        <v>842</v>
      </c>
      <c r="AB76" s="35"/>
      <c r="AC76" s="35">
        <f t="shared" si="17"/>
        <v>454</v>
      </c>
      <c r="AD76" s="6">
        <v>1271</v>
      </c>
      <c r="AE76" s="6"/>
      <c r="AF76" s="35">
        <f t="shared" si="18"/>
        <v>429</v>
      </c>
      <c r="AG76" s="6"/>
      <c r="AH76" s="6"/>
      <c r="AI76" s="34"/>
      <c r="AJ76" s="35">
        <v>204</v>
      </c>
      <c r="AK76" s="35">
        <v>1500</v>
      </c>
      <c r="AL76" s="35">
        <f t="shared" si="19"/>
        <v>433</v>
      </c>
      <c r="AM76" s="6">
        <v>629</v>
      </c>
      <c r="AN76" s="6"/>
      <c r="AO76" s="35">
        <f t="shared" si="20"/>
        <v>425</v>
      </c>
      <c r="AP76" s="6">
        <v>1008</v>
      </c>
      <c r="AQ76" s="6"/>
      <c r="AR76" s="35">
        <f t="shared" si="21"/>
        <v>379</v>
      </c>
      <c r="AS76" s="6">
        <v>1401</v>
      </c>
      <c r="AT76" s="6"/>
      <c r="AU76" s="35">
        <f t="shared" si="22"/>
        <v>393</v>
      </c>
      <c r="AV76" s="6">
        <v>298</v>
      </c>
      <c r="AW76" s="6">
        <v>1500</v>
      </c>
      <c r="AX76" s="35">
        <f t="shared" si="23"/>
        <v>397</v>
      </c>
      <c r="AY76" s="6">
        <v>19</v>
      </c>
      <c r="AZ76" s="6">
        <v>657</v>
      </c>
      <c r="BA76" s="35">
        <f t="shared" si="24"/>
        <v>378</v>
      </c>
      <c r="BB76" s="6"/>
      <c r="BC76" s="6"/>
      <c r="BD76" s="6"/>
      <c r="BE76" s="6">
        <v>407</v>
      </c>
      <c r="BF76" s="6"/>
      <c r="BG76" s="6">
        <f t="shared" si="25"/>
        <v>388</v>
      </c>
      <c r="BH76" s="6">
        <v>798</v>
      </c>
      <c r="BI76" s="6"/>
      <c r="BJ76" s="35">
        <f t="shared" si="26"/>
        <v>391</v>
      </c>
      <c r="BK76" s="35">
        <v>1192</v>
      </c>
      <c r="BL76" s="6"/>
      <c r="BM76" s="6">
        <f t="shared" si="27"/>
        <v>394</v>
      </c>
      <c r="BN76" s="6">
        <v>99</v>
      </c>
      <c r="BO76" s="6">
        <v>1500</v>
      </c>
      <c r="BP76" s="35">
        <f t="shared" si="28"/>
        <v>407</v>
      </c>
      <c r="BQ76" s="6">
        <v>516</v>
      </c>
      <c r="BR76" s="6"/>
      <c r="BS76" s="6">
        <f t="shared" si="29"/>
        <v>417</v>
      </c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</row>
    <row r="77" spans="1:113">
      <c r="A77" s="6">
        <v>73</v>
      </c>
      <c r="B77" s="6">
        <v>1455</v>
      </c>
      <c r="C77" s="6"/>
      <c r="D77" s="6">
        <v>362</v>
      </c>
      <c r="E77" s="33" t="s">
        <v>307</v>
      </c>
      <c r="F77" s="33" t="s">
        <v>307</v>
      </c>
      <c r="G77" s="344" t="s">
        <v>307</v>
      </c>
      <c r="H77" s="344" t="s">
        <v>307</v>
      </c>
      <c r="I77" s="344" t="s">
        <v>307</v>
      </c>
      <c r="J77" s="344" t="s">
        <v>307</v>
      </c>
      <c r="K77" s="344" t="s">
        <v>307</v>
      </c>
      <c r="L77" s="344" t="s">
        <v>307</v>
      </c>
      <c r="M77" s="344" t="s">
        <v>307</v>
      </c>
      <c r="N77" s="344" t="s">
        <v>307</v>
      </c>
      <c r="O77" s="344" t="s">
        <v>307</v>
      </c>
      <c r="P77" s="344" t="s">
        <v>307</v>
      </c>
      <c r="Q77" s="344" t="s">
        <v>307</v>
      </c>
      <c r="R77" s="344" t="s">
        <v>307</v>
      </c>
      <c r="S77" s="344" t="s">
        <v>307</v>
      </c>
      <c r="T77" s="344" t="s">
        <v>307</v>
      </c>
      <c r="U77" s="6">
        <v>0</v>
      </c>
      <c r="V77" s="6">
        <v>1560</v>
      </c>
      <c r="W77" s="35">
        <f t="shared" si="15"/>
        <v>105</v>
      </c>
      <c r="X77" s="6">
        <v>0</v>
      </c>
      <c r="Y77" s="6"/>
      <c r="Z77" s="35">
        <f t="shared" si="16"/>
        <v>0</v>
      </c>
      <c r="AA77" s="35">
        <v>0</v>
      </c>
      <c r="AB77" s="35"/>
      <c r="AC77" s="35">
        <f t="shared" si="17"/>
        <v>0</v>
      </c>
      <c r="AD77" s="6">
        <v>358</v>
      </c>
      <c r="AE77" s="6"/>
      <c r="AF77" s="35">
        <f t="shared" si="18"/>
        <v>358</v>
      </c>
      <c r="AG77" s="6"/>
      <c r="AH77" s="6"/>
      <c r="AI77" s="34"/>
      <c r="AJ77" s="35">
        <v>746</v>
      </c>
      <c r="AK77" s="35"/>
      <c r="AL77" s="35">
        <f t="shared" si="19"/>
        <v>388</v>
      </c>
      <c r="AM77" s="6">
        <v>1124</v>
      </c>
      <c r="AN77" s="6"/>
      <c r="AO77" s="35">
        <f t="shared" si="20"/>
        <v>378</v>
      </c>
      <c r="AP77" s="6">
        <v>1510</v>
      </c>
      <c r="AQ77" s="6"/>
      <c r="AR77" s="35">
        <f t="shared" si="21"/>
        <v>386</v>
      </c>
      <c r="AS77" s="35">
        <v>78</v>
      </c>
      <c r="AT77" s="35">
        <v>1820</v>
      </c>
      <c r="AU77" s="35">
        <f t="shared" si="22"/>
        <v>388</v>
      </c>
      <c r="AV77" s="6">
        <v>463</v>
      </c>
      <c r="AW77" s="6"/>
      <c r="AX77" s="35">
        <f t="shared" si="23"/>
        <v>385</v>
      </c>
      <c r="AY77" s="35">
        <v>836</v>
      </c>
      <c r="AZ77" s="6"/>
      <c r="BA77" s="35">
        <f t="shared" si="24"/>
        <v>373</v>
      </c>
      <c r="BB77" s="6"/>
      <c r="BC77" s="6"/>
      <c r="BD77" s="6"/>
      <c r="BE77" s="6">
        <v>1228</v>
      </c>
      <c r="BF77" s="6"/>
      <c r="BG77" s="6">
        <f t="shared" si="25"/>
        <v>392</v>
      </c>
      <c r="BH77" s="6">
        <v>1614</v>
      </c>
      <c r="BI77" s="6"/>
      <c r="BJ77" s="35">
        <f t="shared" si="26"/>
        <v>386</v>
      </c>
      <c r="BK77" s="6">
        <v>184</v>
      </c>
      <c r="BL77" s="6">
        <v>1820</v>
      </c>
      <c r="BM77" s="6">
        <f t="shared" si="27"/>
        <v>390</v>
      </c>
      <c r="BN77" s="6">
        <v>575</v>
      </c>
      <c r="BO77" s="6"/>
      <c r="BP77" s="35">
        <f t="shared" si="28"/>
        <v>391</v>
      </c>
      <c r="BQ77" s="6">
        <v>965</v>
      </c>
      <c r="BR77" s="6"/>
      <c r="BS77" s="6">
        <f t="shared" si="29"/>
        <v>390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</row>
    <row r="78" spans="1:113">
      <c r="A78" s="6">
        <v>74</v>
      </c>
      <c r="B78" s="6">
        <v>1313</v>
      </c>
      <c r="C78" s="6"/>
      <c r="D78" s="6">
        <v>360</v>
      </c>
      <c r="E78" s="33" t="s">
        <v>307</v>
      </c>
      <c r="F78" s="33" t="s">
        <v>307</v>
      </c>
      <c r="G78" s="344" t="s">
        <v>307</v>
      </c>
      <c r="H78" s="344" t="s">
        <v>307</v>
      </c>
      <c r="I78" s="344" t="s">
        <v>307</v>
      </c>
      <c r="J78" s="344" t="s">
        <v>307</v>
      </c>
      <c r="K78" s="344" t="s">
        <v>307</v>
      </c>
      <c r="L78" s="344" t="s">
        <v>307</v>
      </c>
      <c r="M78" s="344" t="s">
        <v>307</v>
      </c>
      <c r="N78" s="344" t="s">
        <v>307</v>
      </c>
      <c r="O78" s="344" t="s">
        <v>307</v>
      </c>
      <c r="P78" s="344" t="s">
        <v>307</v>
      </c>
      <c r="Q78" s="344" t="s">
        <v>307</v>
      </c>
      <c r="R78" s="344" t="s">
        <v>307</v>
      </c>
      <c r="S78" s="344" t="s">
        <v>307</v>
      </c>
      <c r="T78" s="344" t="s">
        <v>307</v>
      </c>
      <c r="U78" s="35">
        <v>0</v>
      </c>
      <c r="V78" s="35">
        <v>1560</v>
      </c>
      <c r="W78" s="35">
        <f t="shared" si="15"/>
        <v>247</v>
      </c>
      <c r="X78" s="35">
        <v>0</v>
      </c>
      <c r="Y78" s="35"/>
      <c r="Z78" s="35">
        <f t="shared" si="16"/>
        <v>0</v>
      </c>
      <c r="AA78" s="35">
        <v>0</v>
      </c>
      <c r="AB78" s="35"/>
      <c r="AC78" s="35">
        <f t="shared" si="17"/>
        <v>0</v>
      </c>
      <c r="AD78" s="35">
        <v>359</v>
      </c>
      <c r="AE78" s="35"/>
      <c r="AF78" s="35">
        <f t="shared" si="18"/>
        <v>359</v>
      </c>
      <c r="AG78" s="6"/>
      <c r="AH78" s="6"/>
      <c r="AI78" s="34"/>
      <c r="AJ78" s="35">
        <v>738</v>
      </c>
      <c r="AK78" s="35"/>
      <c r="AL78" s="35">
        <f t="shared" si="19"/>
        <v>379</v>
      </c>
      <c r="AM78" s="6">
        <v>1125</v>
      </c>
      <c r="AN78" s="6"/>
      <c r="AO78" s="35">
        <f t="shared" si="20"/>
        <v>387</v>
      </c>
      <c r="AP78" s="6">
        <v>1511</v>
      </c>
      <c r="AQ78" s="6"/>
      <c r="AR78" s="35">
        <f t="shared" si="21"/>
        <v>386</v>
      </c>
      <c r="AS78" s="6">
        <v>73</v>
      </c>
      <c r="AT78" s="6">
        <v>1820</v>
      </c>
      <c r="AU78" s="35">
        <f t="shared" si="22"/>
        <v>382</v>
      </c>
      <c r="AV78" s="6">
        <v>459</v>
      </c>
      <c r="AW78" s="6"/>
      <c r="AX78" s="35">
        <f t="shared" si="23"/>
        <v>386</v>
      </c>
      <c r="AY78" s="6">
        <v>830</v>
      </c>
      <c r="AZ78" s="6"/>
      <c r="BA78" s="35">
        <f t="shared" si="24"/>
        <v>371</v>
      </c>
      <c r="BB78" s="6"/>
      <c r="BC78" s="35"/>
      <c r="BD78" s="6"/>
      <c r="BE78" s="6">
        <v>1221</v>
      </c>
      <c r="BF78" s="6"/>
      <c r="BG78" s="6">
        <f t="shared" si="25"/>
        <v>391</v>
      </c>
      <c r="BH78" s="6">
        <v>1598</v>
      </c>
      <c r="BI78" s="6"/>
      <c r="BJ78" s="35">
        <f t="shared" si="26"/>
        <v>377</v>
      </c>
      <c r="BK78" s="6">
        <v>154</v>
      </c>
      <c r="BL78" s="6">
        <v>1820</v>
      </c>
      <c r="BM78" s="6">
        <f t="shared" si="27"/>
        <v>376</v>
      </c>
      <c r="BN78" s="6">
        <v>537</v>
      </c>
      <c r="BO78" s="6"/>
      <c r="BP78" s="35">
        <f t="shared" si="28"/>
        <v>383</v>
      </c>
      <c r="BQ78" s="6">
        <v>921</v>
      </c>
      <c r="BR78" s="35"/>
      <c r="BS78" s="6">
        <f t="shared" si="29"/>
        <v>384</v>
      </c>
      <c r="BT78" s="6"/>
      <c r="BU78" s="6"/>
      <c r="BV78" s="6"/>
      <c r="BW78" s="6"/>
      <c r="BX78" s="35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</row>
    <row r="79" spans="1:113">
      <c r="A79" s="274">
        <v>75</v>
      </c>
      <c r="B79" s="6">
        <v>1524</v>
      </c>
      <c r="C79" s="6"/>
      <c r="D79" s="6">
        <v>370</v>
      </c>
      <c r="E79" s="33" t="s">
        <v>307</v>
      </c>
      <c r="F79" s="33" t="s">
        <v>307</v>
      </c>
      <c r="G79" s="344" t="s">
        <v>307</v>
      </c>
      <c r="H79" s="344" t="s">
        <v>307</v>
      </c>
      <c r="I79" s="344" t="s">
        <v>307</v>
      </c>
      <c r="J79" s="344" t="s">
        <v>307</v>
      </c>
      <c r="K79" s="344" t="s">
        <v>307</v>
      </c>
      <c r="L79" s="344" t="s">
        <v>307</v>
      </c>
      <c r="M79" s="389" t="s">
        <v>37</v>
      </c>
      <c r="N79" s="391" t="s">
        <v>37</v>
      </c>
      <c r="O79" s="391" t="s">
        <v>37</v>
      </c>
      <c r="P79" s="391" t="s">
        <v>37</v>
      </c>
      <c r="Q79" s="391" t="s">
        <v>37</v>
      </c>
      <c r="R79" s="391" t="s">
        <v>37</v>
      </c>
      <c r="S79" s="391" t="s">
        <v>37</v>
      </c>
      <c r="T79" s="391" t="s">
        <v>37</v>
      </c>
      <c r="U79" s="6">
        <v>0</v>
      </c>
      <c r="V79" s="6">
        <v>1560</v>
      </c>
      <c r="W79" s="35">
        <f t="shared" si="15"/>
        <v>36</v>
      </c>
      <c r="X79" s="6">
        <v>0</v>
      </c>
      <c r="Y79" s="6"/>
      <c r="Z79" s="35">
        <f t="shared" si="16"/>
        <v>0</v>
      </c>
      <c r="AA79" s="35">
        <v>0</v>
      </c>
      <c r="AB79" s="35"/>
      <c r="AC79" s="35">
        <f t="shared" si="17"/>
        <v>0</v>
      </c>
      <c r="AD79" s="6">
        <v>366</v>
      </c>
      <c r="AE79" s="6"/>
      <c r="AF79" s="35">
        <f t="shared" si="18"/>
        <v>366</v>
      </c>
      <c r="AG79" s="6"/>
      <c r="AH79" s="6"/>
      <c r="AI79" s="34"/>
      <c r="AJ79" s="35">
        <v>759</v>
      </c>
      <c r="AK79" s="35"/>
      <c r="AL79" s="35">
        <f t="shared" si="19"/>
        <v>393</v>
      </c>
      <c r="AM79" s="6">
        <v>1152</v>
      </c>
      <c r="AN79" s="6"/>
      <c r="AO79" s="35">
        <f t="shared" si="20"/>
        <v>393</v>
      </c>
      <c r="AP79" s="6">
        <v>0</v>
      </c>
      <c r="AQ79" s="6">
        <v>1490</v>
      </c>
      <c r="AR79" s="35">
        <f t="shared" si="21"/>
        <v>338</v>
      </c>
      <c r="AS79" s="35">
        <v>378</v>
      </c>
      <c r="AT79" s="35"/>
      <c r="AU79" s="35">
        <f t="shared" si="22"/>
        <v>378</v>
      </c>
      <c r="AV79" s="6">
        <v>759</v>
      </c>
      <c r="AW79" s="6"/>
      <c r="AX79" s="35">
        <f t="shared" si="23"/>
        <v>381</v>
      </c>
      <c r="AY79" s="6">
        <v>1125</v>
      </c>
      <c r="AZ79" s="6"/>
      <c r="BA79" s="35">
        <f t="shared" si="24"/>
        <v>366</v>
      </c>
      <c r="BB79" s="6"/>
      <c r="BC79" s="6"/>
      <c r="BD79" s="6"/>
      <c r="BE79" s="6">
        <v>269</v>
      </c>
      <c r="BF79" s="6">
        <v>1229</v>
      </c>
      <c r="BG79" s="6">
        <f t="shared" si="25"/>
        <v>373</v>
      </c>
      <c r="BH79" s="6">
        <v>655</v>
      </c>
      <c r="BI79" s="6"/>
      <c r="BJ79" s="35">
        <f t="shared" si="26"/>
        <v>386</v>
      </c>
      <c r="BK79" s="6">
        <v>1045</v>
      </c>
      <c r="BL79" s="6"/>
      <c r="BM79" s="6">
        <f t="shared" si="27"/>
        <v>390</v>
      </c>
      <c r="BN79" s="6">
        <v>1429</v>
      </c>
      <c r="BO79" s="6"/>
      <c r="BP79" s="35">
        <f t="shared" si="28"/>
        <v>384</v>
      </c>
      <c r="BQ79" s="6">
        <v>251</v>
      </c>
      <c r="BR79" s="6">
        <v>1560</v>
      </c>
      <c r="BS79" s="6">
        <f t="shared" si="29"/>
        <v>382</v>
      </c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</row>
    <row r="80" spans="1:113">
      <c r="A80" s="6">
        <v>76</v>
      </c>
      <c r="B80" s="6">
        <v>283</v>
      </c>
      <c r="C80" s="6">
        <v>1560</v>
      </c>
      <c r="D80" s="6">
        <v>356</v>
      </c>
      <c r="E80" s="33" t="s">
        <v>37</v>
      </c>
      <c r="F80" s="33" t="s">
        <v>37</v>
      </c>
      <c r="G80" s="344" t="s">
        <v>37</v>
      </c>
      <c r="H80" s="344" t="s">
        <v>37</v>
      </c>
      <c r="I80" s="344" t="s">
        <v>37</v>
      </c>
      <c r="J80" s="357" t="s">
        <v>307</v>
      </c>
      <c r="K80" s="362" t="s">
        <v>307</v>
      </c>
      <c r="L80" s="362" t="s">
        <v>307</v>
      </c>
      <c r="M80" s="362" t="s">
        <v>307</v>
      </c>
      <c r="N80" s="362" t="s">
        <v>307</v>
      </c>
      <c r="O80" s="362" t="s">
        <v>307</v>
      </c>
      <c r="P80" s="362" t="s">
        <v>307</v>
      </c>
      <c r="Q80" s="362" t="s">
        <v>307</v>
      </c>
      <c r="R80" s="362" t="s">
        <v>307</v>
      </c>
      <c r="S80" s="362" t="s">
        <v>307</v>
      </c>
      <c r="T80" s="362" t="s">
        <v>307</v>
      </c>
      <c r="U80" s="6">
        <v>687</v>
      </c>
      <c r="V80" s="6"/>
      <c r="W80" s="35">
        <f t="shared" si="15"/>
        <v>404</v>
      </c>
      <c r="X80" s="6">
        <v>1071</v>
      </c>
      <c r="Y80" s="6"/>
      <c r="Z80" s="35">
        <f t="shared" si="16"/>
        <v>384</v>
      </c>
      <c r="AA80" s="35">
        <v>1458</v>
      </c>
      <c r="AB80" s="35"/>
      <c r="AC80" s="35">
        <f t="shared" si="17"/>
        <v>387</v>
      </c>
      <c r="AD80" s="6">
        <v>0</v>
      </c>
      <c r="AE80" s="6">
        <v>1615</v>
      </c>
      <c r="AF80" s="35">
        <f t="shared" si="18"/>
        <v>157</v>
      </c>
      <c r="AG80" s="6"/>
      <c r="AH80" s="6"/>
      <c r="AI80" s="34"/>
      <c r="AJ80" s="35">
        <v>283</v>
      </c>
      <c r="AK80" s="35"/>
      <c r="AL80" s="35">
        <f t="shared" si="19"/>
        <v>283</v>
      </c>
      <c r="AM80" s="6">
        <v>687</v>
      </c>
      <c r="AN80" s="6"/>
      <c r="AO80" s="35">
        <f t="shared" si="20"/>
        <v>404</v>
      </c>
      <c r="AP80" s="6">
        <v>1075</v>
      </c>
      <c r="AQ80" s="6"/>
      <c r="AR80" s="35">
        <f t="shared" si="21"/>
        <v>388</v>
      </c>
      <c r="AS80" s="35">
        <v>1464</v>
      </c>
      <c r="AT80" s="35"/>
      <c r="AU80" s="35">
        <f t="shared" si="22"/>
        <v>389</v>
      </c>
      <c r="AV80" s="6">
        <v>24</v>
      </c>
      <c r="AW80" s="6">
        <v>1821</v>
      </c>
      <c r="AX80" s="35">
        <f t="shared" si="23"/>
        <v>381</v>
      </c>
      <c r="AY80" s="6">
        <v>400</v>
      </c>
      <c r="AZ80" s="6"/>
      <c r="BA80" s="35">
        <f t="shared" si="24"/>
        <v>376</v>
      </c>
      <c r="BB80" s="6"/>
      <c r="BC80" s="6"/>
      <c r="BD80" s="6"/>
      <c r="BE80" s="6">
        <v>792</v>
      </c>
      <c r="BF80" s="6"/>
      <c r="BG80" s="6">
        <f t="shared" si="25"/>
        <v>392</v>
      </c>
      <c r="BH80" s="6">
        <v>1171</v>
      </c>
      <c r="BI80" s="6"/>
      <c r="BJ80" s="35">
        <f t="shared" si="26"/>
        <v>379</v>
      </c>
      <c r="BK80" s="6">
        <v>1560</v>
      </c>
      <c r="BL80" s="6"/>
      <c r="BM80" s="6">
        <f t="shared" si="27"/>
        <v>389</v>
      </c>
      <c r="BN80" s="6">
        <v>123</v>
      </c>
      <c r="BO80" s="6">
        <v>1820</v>
      </c>
      <c r="BP80" s="35">
        <f t="shared" si="28"/>
        <v>383</v>
      </c>
      <c r="BQ80" s="6">
        <v>493</v>
      </c>
      <c r="BR80" s="6"/>
      <c r="BS80" s="6">
        <f t="shared" si="29"/>
        <v>370</v>
      </c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</row>
    <row r="81" spans="1:113">
      <c r="A81" s="274">
        <v>77</v>
      </c>
      <c r="B81" s="6">
        <v>258</v>
      </c>
      <c r="C81" s="6">
        <v>1565</v>
      </c>
      <c r="D81" s="6">
        <v>363</v>
      </c>
      <c r="E81" s="33" t="s">
        <v>37</v>
      </c>
      <c r="F81" s="33" t="s">
        <v>37</v>
      </c>
      <c r="G81" s="344" t="s">
        <v>37</v>
      </c>
      <c r="H81" s="344" t="s">
        <v>37</v>
      </c>
      <c r="I81" s="344" t="s">
        <v>37</v>
      </c>
      <c r="J81" s="344" t="s">
        <v>37</v>
      </c>
      <c r="K81" s="344" t="s">
        <v>37</v>
      </c>
      <c r="L81" s="344" t="s">
        <v>37</v>
      </c>
      <c r="M81" s="344" t="s">
        <v>37</v>
      </c>
      <c r="N81" s="344" t="s">
        <v>37</v>
      </c>
      <c r="O81" s="344" t="s">
        <v>37</v>
      </c>
      <c r="P81" s="344" t="s">
        <v>37</v>
      </c>
      <c r="Q81" s="344" t="s">
        <v>37</v>
      </c>
      <c r="R81" s="346" t="s">
        <v>37</v>
      </c>
      <c r="S81" s="344" t="s">
        <v>37</v>
      </c>
      <c r="T81" s="344" t="s">
        <v>37</v>
      </c>
      <c r="U81" s="6">
        <v>646</v>
      </c>
      <c r="V81" s="6"/>
      <c r="W81" s="35">
        <f t="shared" si="15"/>
        <v>388</v>
      </c>
      <c r="X81" s="6">
        <v>1028</v>
      </c>
      <c r="Y81" s="6"/>
      <c r="Z81" s="35">
        <f t="shared" si="16"/>
        <v>382</v>
      </c>
      <c r="AA81" s="35">
        <v>1412</v>
      </c>
      <c r="AB81" s="35"/>
      <c r="AC81" s="35">
        <f t="shared" si="17"/>
        <v>384</v>
      </c>
      <c r="AD81" s="35">
        <v>212</v>
      </c>
      <c r="AE81" s="6">
        <v>1560</v>
      </c>
      <c r="AF81" s="35">
        <f t="shared" si="18"/>
        <v>360</v>
      </c>
      <c r="AG81" s="6"/>
      <c r="AH81" s="6"/>
      <c r="AI81" s="34"/>
      <c r="AJ81" s="35">
        <v>576</v>
      </c>
      <c r="AK81" s="35"/>
      <c r="AL81" s="35">
        <f t="shared" si="19"/>
        <v>364</v>
      </c>
      <c r="AM81" s="6">
        <v>938</v>
      </c>
      <c r="AN81" s="6"/>
      <c r="AO81" s="35">
        <f t="shared" si="20"/>
        <v>362</v>
      </c>
      <c r="AP81" s="6">
        <v>1327</v>
      </c>
      <c r="AQ81" s="6"/>
      <c r="AR81" s="35">
        <f t="shared" si="21"/>
        <v>389</v>
      </c>
      <c r="AS81" s="6">
        <v>152</v>
      </c>
      <c r="AT81" s="6">
        <v>1560</v>
      </c>
      <c r="AU81" s="35">
        <f t="shared" si="22"/>
        <v>385</v>
      </c>
      <c r="AV81" s="6">
        <v>533</v>
      </c>
      <c r="AW81" s="6"/>
      <c r="AX81" s="35">
        <f t="shared" si="23"/>
        <v>381</v>
      </c>
      <c r="AY81" s="6">
        <v>884</v>
      </c>
      <c r="AZ81" s="6"/>
      <c r="BA81" s="35">
        <f t="shared" si="24"/>
        <v>351</v>
      </c>
      <c r="BB81" s="6"/>
      <c r="BC81" s="35"/>
      <c r="BD81" s="6"/>
      <c r="BE81" s="6">
        <v>1269</v>
      </c>
      <c r="BF81" s="6"/>
      <c r="BG81" s="6">
        <f t="shared" si="25"/>
        <v>385</v>
      </c>
      <c r="BH81" s="6">
        <v>0</v>
      </c>
      <c r="BI81" s="6">
        <v>1610</v>
      </c>
      <c r="BJ81" s="35">
        <f t="shared" si="26"/>
        <v>341</v>
      </c>
      <c r="BK81" s="6">
        <v>368</v>
      </c>
      <c r="BL81" s="6"/>
      <c r="BM81" s="6">
        <f t="shared" si="27"/>
        <v>368</v>
      </c>
      <c r="BN81" s="6">
        <v>750</v>
      </c>
      <c r="BO81" s="6"/>
      <c r="BP81" s="35">
        <f t="shared" si="28"/>
        <v>382</v>
      </c>
      <c r="BQ81" s="6">
        <v>1135</v>
      </c>
      <c r="BR81" s="35"/>
      <c r="BS81" s="6">
        <f t="shared" si="29"/>
        <v>385</v>
      </c>
      <c r="BT81" s="6"/>
      <c r="BU81" s="6"/>
      <c r="BV81" s="6"/>
      <c r="BW81" s="6"/>
      <c r="BX81" s="35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</row>
    <row r="82" spans="1:113">
      <c r="A82" s="6">
        <v>78</v>
      </c>
      <c r="B82" s="6">
        <v>1287</v>
      </c>
      <c r="C82" s="6"/>
      <c r="D82" s="6">
        <v>369</v>
      </c>
      <c r="E82" s="33" t="s">
        <v>307</v>
      </c>
      <c r="F82" s="33" t="s">
        <v>307</v>
      </c>
      <c r="G82" s="344" t="s">
        <v>307</v>
      </c>
      <c r="H82" s="344" t="s">
        <v>307</v>
      </c>
      <c r="I82" s="344" t="s">
        <v>307</v>
      </c>
      <c r="J82" s="344" t="s">
        <v>307</v>
      </c>
      <c r="K82" s="344" t="s">
        <v>307</v>
      </c>
      <c r="L82" s="344" t="s">
        <v>307</v>
      </c>
      <c r="M82" s="344" t="s">
        <v>307</v>
      </c>
      <c r="N82" s="344" t="s">
        <v>307</v>
      </c>
      <c r="O82" s="344" t="s">
        <v>307</v>
      </c>
      <c r="P82" s="344" t="s">
        <v>307</v>
      </c>
      <c r="Q82" s="344" t="s">
        <v>307</v>
      </c>
      <c r="R82" s="344" t="s">
        <v>307</v>
      </c>
      <c r="S82" s="344" t="s">
        <v>307</v>
      </c>
      <c r="T82" s="346" t="s">
        <v>307</v>
      </c>
      <c r="U82" s="6">
        <v>0</v>
      </c>
      <c r="V82" s="6">
        <v>1560</v>
      </c>
      <c r="W82" s="35">
        <f t="shared" si="15"/>
        <v>273</v>
      </c>
      <c r="X82" s="6">
        <v>0</v>
      </c>
      <c r="Y82" s="6"/>
      <c r="Z82" s="35">
        <f t="shared" si="16"/>
        <v>0</v>
      </c>
      <c r="AA82" s="35">
        <v>0</v>
      </c>
      <c r="AB82" s="35"/>
      <c r="AC82" s="35">
        <f t="shared" si="17"/>
        <v>0</v>
      </c>
      <c r="AD82" s="6">
        <v>372</v>
      </c>
      <c r="AE82" s="6"/>
      <c r="AF82" s="35">
        <f t="shared" si="18"/>
        <v>372</v>
      </c>
      <c r="AG82" s="6"/>
      <c r="AH82" s="6"/>
      <c r="AI82" s="34"/>
      <c r="AJ82" s="35">
        <v>767</v>
      </c>
      <c r="AK82" s="35"/>
      <c r="AL82" s="35">
        <f t="shared" si="19"/>
        <v>395</v>
      </c>
      <c r="AM82" s="6">
        <v>1153</v>
      </c>
      <c r="AN82" s="6"/>
      <c r="AO82" s="35">
        <f t="shared" si="20"/>
        <v>386</v>
      </c>
      <c r="AP82" s="6">
        <v>1546</v>
      </c>
      <c r="AQ82" s="6"/>
      <c r="AR82" s="35">
        <f t="shared" si="21"/>
        <v>393</v>
      </c>
      <c r="AS82" s="35">
        <v>258</v>
      </c>
      <c r="AT82" s="35">
        <v>1673</v>
      </c>
      <c r="AU82" s="35">
        <f t="shared" si="22"/>
        <v>385</v>
      </c>
      <c r="AV82" s="6">
        <v>646</v>
      </c>
      <c r="AW82" s="6"/>
      <c r="AX82" s="35">
        <f t="shared" si="23"/>
        <v>388</v>
      </c>
      <c r="AY82" s="6">
        <v>1026</v>
      </c>
      <c r="AZ82" s="6"/>
      <c r="BA82" s="35">
        <f t="shared" si="24"/>
        <v>380</v>
      </c>
      <c r="BB82" s="6"/>
      <c r="BC82" s="6"/>
      <c r="BD82" s="6"/>
      <c r="BE82" s="6">
        <v>1420</v>
      </c>
      <c r="BF82" s="6"/>
      <c r="BG82" s="6">
        <f t="shared" si="25"/>
        <v>394</v>
      </c>
      <c r="BH82" s="6">
        <v>1804</v>
      </c>
      <c r="BI82" s="6"/>
      <c r="BJ82" s="35">
        <f t="shared" si="26"/>
        <v>384</v>
      </c>
      <c r="BK82" s="6">
        <v>368</v>
      </c>
      <c r="BL82" s="6">
        <v>1820</v>
      </c>
      <c r="BM82" s="6">
        <f t="shared" si="27"/>
        <v>384</v>
      </c>
      <c r="BN82" s="6">
        <v>0</v>
      </c>
      <c r="BO82" s="6">
        <v>624</v>
      </c>
      <c r="BP82" s="35">
        <f t="shared" si="28"/>
        <v>256</v>
      </c>
      <c r="BQ82" s="6">
        <v>365</v>
      </c>
      <c r="BR82" s="6"/>
      <c r="BS82" s="6">
        <f t="shared" si="29"/>
        <v>365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</row>
    <row r="83" spans="1:113">
      <c r="A83" s="274">
        <v>79</v>
      </c>
      <c r="B83" s="6">
        <v>896</v>
      </c>
      <c r="C83" s="6"/>
      <c r="D83" s="6">
        <v>358</v>
      </c>
      <c r="E83" s="33" t="s">
        <v>37</v>
      </c>
      <c r="F83" s="33" t="s">
        <v>37</v>
      </c>
      <c r="G83" s="344" t="s">
        <v>37</v>
      </c>
      <c r="H83" s="344" t="s">
        <v>37</v>
      </c>
      <c r="I83" s="344" t="s">
        <v>37</v>
      </c>
      <c r="J83" s="344" t="s">
        <v>37</v>
      </c>
      <c r="K83" s="344" t="s">
        <v>37</v>
      </c>
      <c r="L83" s="344" t="s">
        <v>37</v>
      </c>
      <c r="M83" s="344" t="s">
        <v>37</v>
      </c>
      <c r="N83" s="346" t="s">
        <v>37</v>
      </c>
      <c r="O83" s="344" t="s">
        <v>37</v>
      </c>
      <c r="P83" s="344" t="s">
        <v>37</v>
      </c>
      <c r="Q83" s="344" t="s">
        <v>37</v>
      </c>
      <c r="R83" s="344" t="s">
        <v>37</v>
      </c>
      <c r="S83" s="344" t="s">
        <v>37</v>
      </c>
      <c r="T83" s="344" t="s">
        <v>37</v>
      </c>
      <c r="U83" s="6">
        <v>1307</v>
      </c>
      <c r="V83" s="6"/>
      <c r="W83" s="35">
        <f t="shared" si="15"/>
        <v>411</v>
      </c>
      <c r="X83" s="6">
        <v>121</v>
      </c>
      <c r="Y83" s="6">
        <v>1561</v>
      </c>
      <c r="Z83" s="35">
        <f t="shared" si="16"/>
        <v>375</v>
      </c>
      <c r="AA83" s="35">
        <v>509</v>
      </c>
      <c r="AB83" s="35"/>
      <c r="AC83" s="35">
        <f t="shared" si="17"/>
        <v>388</v>
      </c>
      <c r="AD83" s="6">
        <v>883</v>
      </c>
      <c r="AE83" s="6"/>
      <c r="AF83" s="35">
        <f t="shared" si="18"/>
        <v>374</v>
      </c>
      <c r="AG83" s="6"/>
      <c r="AH83" s="6"/>
      <c r="AI83" s="34"/>
      <c r="AJ83" s="35">
        <v>1272</v>
      </c>
      <c r="AK83" s="35"/>
      <c r="AL83" s="35">
        <f t="shared" si="19"/>
        <v>389</v>
      </c>
      <c r="AM83" s="6">
        <v>24</v>
      </c>
      <c r="AN83" s="6">
        <v>1633</v>
      </c>
      <c r="AO83" s="35">
        <f t="shared" si="20"/>
        <v>385</v>
      </c>
      <c r="AP83" s="6">
        <v>412</v>
      </c>
      <c r="AQ83" s="6"/>
      <c r="AR83" s="35">
        <f t="shared" si="21"/>
        <v>388</v>
      </c>
      <c r="AS83" s="35">
        <v>0</v>
      </c>
      <c r="AT83" s="35">
        <v>650</v>
      </c>
      <c r="AU83" s="35">
        <f t="shared" si="22"/>
        <v>238</v>
      </c>
      <c r="AV83" s="6">
        <v>372</v>
      </c>
      <c r="AW83" s="6"/>
      <c r="AX83" s="35">
        <f t="shared" si="23"/>
        <v>372</v>
      </c>
      <c r="AY83" s="6">
        <v>745</v>
      </c>
      <c r="AZ83" s="6"/>
      <c r="BA83" s="35">
        <f t="shared" si="24"/>
        <v>373</v>
      </c>
      <c r="BB83" s="6"/>
      <c r="BC83" s="107"/>
      <c r="BD83" s="6"/>
      <c r="BE83" s="6">
        <v>1134</v>
      </c>
      <c r="BF83" s="6"/>
      <c r="BG83" s="6">
        <f t="shared" si="25"/>
        <v>389</v>
      </c>
      <c r="BH83" s="6">
        <v>1513</v>
      </c>
      <c r="BI83" s="6"/>
      <c r="BJ83" s="35">
        <f t="shared" si="26"/>
        <v>379</v>
      </c>
      <c r="BK83" s="6">
        <v>338</v>
      </c>
      <c r="BL83" s="6">
        <v>1561</v>
      </c>
      <c r="BM83" s="6">
        <f t="shared" si="27"/>
        <v>386</v>
      </c>
      <c r="BN83" s="6">
        <v>709</v>
      </c>
      <c r="BO83" s="6"/>
      <c r="BP83" s="35">
        <f t="shared" si="28"/>
        <v>371</v>
      </c>
      <c r="BQ83" s="6">
        <v>1082</v>
      </c>
      <c r="BR83" s="6"/>
      <c r="BS83" s="6">
        <f t="shared" si="29"/>
        <v>373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</row>
    <row r="84" spans="1:113">
      <c r="A84" s="6">
        <v>80</v>
      </c>
      <c r="B84" s="6">
        <v>1409</v>
      </c>
      <c r="C84" s="6"/>
      <c r="D84" s="6">
        <v>360</v>
      </c>
      <c r="E84" s="169" t="s">
        <v>37</v>
      </c>
      <c r="F84" s="169" t="s">
        <v>37</v>
      </c>
      <c r="G84" s="344" t="s">
        <v>37</v>
      </c>
      <c r="H84" s="344" t="s">
        <v>37</v>
      </c>
      <c r="I84" s="344" t="s">
        <v>37</v>
      </c>
      <c r="J84" s="344" t="s">
        <v>37</v>
      </c>
      <c r="K84" s="344" t="s">
        <v>37</v>
      </c>
      <c r="L84" s="344" t="s">
        <v>37</v>
      </c>
      <c r="M84" s="344" t="s">
        <v>37</v>
      </c>
      <c r="N84" s="344" t="s">
        <v>37</v>
      </c>
      <c r="O84" s="344" t="s">
        <v>37</v>
      </c>
      <c r="P84" s="344" t="s">
        <v>37</v>
      </c>
      <c r="Q84" s="344" t="s">
        <v>37</v>
      </c>
      <c r="R84" s="344" t="s">
        <v>37</v>
      </c>
      <c r="S84" s="346" t="s">
        <v>37</v>
      </c>
      <c r="T84" s="344" t="s">
        <v>37</v>
      </c>
      <c r="U84" s="6">
        <v>257</v>
      </c>
      <c r="V84" s="6">
        <v>1560</v>
      </c>
      <c r="W84" s="35">
        <f t="shared" si="15"/>
        <v>408</v>
      </c>
      <c r="X84" s="6">
        <v>641</v>
      </c>
      <c r="Y84" s="6"/>
      <c r="Z84" s="35">
        <f t="shared" si="16"/>
        <v>384</v>
      </c>
      <c r="AA84" s="35">
        <v>1024</v>
      </c>
      <c r="AB84" s="35"/>
      <c r="AC84" s="35">
        <f t="shared" si="17"/>
        <v>383</v>
      </c>
      <c r="AD84" s="6">
        <v>1398</v>
      </c>
      <c r="AE84" s="6"/>
      <c r="AF84" s="35">
        <f t="shared" si="18"/>
        <v>374</v>
      </c>
      <c r="AG84" s="6"/>
      <c r="AH84" s="6"/>
      <c r="AI84" s="34"/>
      <c r="AJ84" s="35">
        <v>213</v>
      </c>
      <c r="AK84" s="35">
        <v>1560</v>
      </c>
      <c r="AL84" s="35">
        <f t="shared" si="19"/>
        <v>375</v>
      </c>
      <c r="AM84" s="6">
        <v>596</v>
      </c>
      <c r="AN84" s="6"/>
      <c r="AO84" s="35">
        <f t="shared" si="20"/>
        <v>383</v>
      </c>
      <c r="AP84" s="6">
        <v>984</v>
      </c>
      <c r="AQ84" s="6"/>
      <c r="AR84" s="35">
        <f t="shared" si="21"/>
        <v>388</v>
      </c>
      <c r="AS84" s="35">
        <v>1374</v>
      </c>
      <c r="AT84" s="35"/>
      <c r="AU84" s="35">
        <f t="shared" si="22"/>
        <v>390</v>
      </c>
      <c r="AV84" s="6">
        <v>191</v>
      </c>
      <c r="AW84" s="6">
        <v>1561</v>
      </c>
      <c r="AX84" s="35">
        <f t="shared" si="23"/>
        <v>378</v>
      </c>
      <c r="AY84" s="6">
        <v>568</v>
      </c>
      <c r="AZ84" s="6"/>
      <c r="BA84" s="35">
        <f t="shared" si="24"/>
        <v>377</v>
      </c>
      <c r="BB84" s="6"/>
      <c r="BC84" s="107"/>
      <c r="BD84" s="6"/>
      <c r="BE84" s="6">
        <v>229</v>
      </c>
      <c r="BF84" s="6">
        <v>714</v>
      </c>
      <c r="BG84" s="6">
        <f t="shared" si="25"/>
        <v>375</v>
      </c>
      <c r="BH84" s="6">
        <v>600</v>
      </c>
      <c r="BI84" s="6"/>
      <c r="BJ84" s="35">
        <f t="shared" si="26"/>
        <v>371</v>
      </c>
      <c r="BK84" s="6">
        <v>0</v>
      </c>
      <c r="BL84" s="6">
        <v>927</v>
      </c>
      <c r="BM84" s="6">
        <f t="shared" si="27"/>
        <v>327</v>
      </c>
      <c r="BN84" s="6">
        <v>353</v>
      </c>
      <c r="BO84" s="6"/>
      <c r="BP84" s="35">
        <f t="shared" si="28"/>
        <v>353</v>
      </c>
      <c r="BQ84" s="6">
        <v>740</v>
      </c>
      <c r="BR84" s="6"/>
      <c r="BS84" s="6">
        <f t="shared" si="29"/>
        <v>387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</row>
    <row r="85" spans="1:113">
      <c r="A85" s="6">
        <v>81</v>
      </c>
      <c r="B85" s="6">
        <v>1019</v>
      </c>
      <c r="C85" s="6"/>
      <c r="D85" s="6">
        <v>360</v>
      </c>
      <c r="E85" s="33" t="s">
        <v>37</v>
      </c>
      <c r="F85" s="33" t="s">
        <v>37</v>
      </c>
      <c r="G85" s="344" t="s">
        <v>37</v>
      </c>
      <c r="H85" s="344" t="s">
        <v>37</v>
      </c>
      <c r="I85" s="344" t="s">
        <v>37</v>
      </c>
      <c r="J85" s="344" t="s">
        <v>37</v>
      </c>
      <c r="K85" s="344" t="s">
        <v>37</v>
      </c>
      <c r="L85" s="344" t="s">
        <v>37</v>
      </c>
      <c r="M85" s="344" t="s">
        <v>37</v>
      </c>
      <c r="N85" s="344" t="s">
        <v>37</v>
      </c>
      <c r="O85" s="344" t="s">
        <v>37</v>
      </c>
      <c r="P85" s="344" t="s">
        <v>37</v>
      </c>
      <c r="Q85" s="344" t="s">
        <v>37</v>
      </c>
      <c r="R85" s="344" t="s">
        <v>37</v>
      </c>
      <c r="S85" s="344" t="s">
        <v>37</v>
      </c>
      <c r="T85" s="346" t="s">
        <v>37</v>
      </c>
      <c r="U85" s="35">
        <v>1429</v>
      </c>
      <c r="V85" s="35"/>
      <c r="W85" s="35">
        <f t="shared" si="15"/>
        <v>410</v>
      </c>
      <c r="X85" s="35">
        <v>9</v>
      </c>
      <c r="Y85" s="35">
        <f>1532+264</f>
        <v>1796</v>
      </c>
      <c r="Z85" s="35">
        <f t="shared" si="16"/>
        <v>376</v>
      </c>
      <c r="AA85" s="35">
        <v>394</v>
      </c>
      <c r="AB85" s="35"/>
      <c r="AC85" s="35">
        <f t="shared" si="17"/>
        <v>385</v>
      </c>
      <c r="AD85" s="35">
        <v>766</v>
      </c>
      <c r="AE85" s="35"/>
      <c r="AF85" s="35">
        <f t="shared" si="18"/>
        <v>372</v>
      </c>
      <c r="AG85" s="35"/>
      <c r="AH85" s="35"/>
      <c r="AI85" s="34"/>
      <c r="AJ85" s="35">
        <v>1155</v>
      </c>
      <c r="AK85" s="35"/>
      <c r="AL85" s="35">
        <f t="shared" si="19"/>
        <v>389</v>
      </c>
      <c r="AM85" s="6">
        <v>185</v>
      </c>
      <c r="AN85" s="6">
        <v>1321</v>
      </c>
      <c r="AO85" s="35">
        <f t="shared" si="20"/>
        <v>351</v>
      </c>
      <c r="AP85" s="6">
        <v>573</v>
      </c>
      <c r="AQ85" s="6"/>
      <c r="AR85" s="35">
        <f t="shared" si="21"/>
        <v>388</v>
      </c>
      <c r="AS85" s="6">
        <v>960</v>
      </c>
      <c r="AT85" s="6"/>
      <c r="AU85" s="35">
        <f t="shared" si="22"/>
        <v>387</v>
      </c>
      <c r="AV85" s="6">
        <v>1345</v>
      </c>
      <c r="AW85" s="6"/>
      <c r="AX85" s="35">
        <f t="shared" si="23"/>
        <v>385</v>
      </c>
      <c r="AY85" s="6">
        <v>255</v>
      </c>
      <c r="AZ85" s="6">
        <v>1458</v>
      </c>
      <c r="BA85" s="35">
        <f t="shared" si="24"/>
        <v>368</v>
      </c>
      <c r="BB85" s="6"/>
      <c r="BC85" s="35"/>
      <c r="BD85" s="6"/>
      <c r="BE85" s="6">
        <v>644</v>
      </c>
      <c r="BF85" s="6"/>
      <c r="BG85" s="6">
        <f t="shared" si="25"/>
        <v>389</v>
      </c>
      <c r="BH85" s="6">
        <v>1020</v>
      </c>
      <c r="BI85" s="6"/>
      <c r="BJ85" s="35">
        <f t="shared" si="26"/>
        <v>376</v>
      </c>
      <c r="BK85" s="6">
        <v>1406</v>
      </c>
      <c r="BL85" s="6"/>
      <c r="BM85" s="6">
        <f t="shared" si="27"/>
        <v>386</v>
      </c>
      <c r="BN85" s="6">
        <v>0</v>
      </c>
      <c r="BO85" s="6">
        <v>1713</v>
      </c>
      <c r="BP85" s="35">
        <f t="shared" si="28"/>
        <v>307</v>
      </c>
      <c r="BQ85" s="6">
        <v>357</v>
      </c>
      <c r="BR85" s="35"/>
      <c r="BS85" s="6">
        <f t="shared" si="29"/>
        <v>357</v>
      </c>
      <c r="BT85" s="6"/>
      <c r="BU85" s="6"/>
      <c r="BV85" s="6"/>
      <c r="BW85" s="6"/>
      <c r="BX85" s="35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</row>
    <row r="86" spans="1:113">
      <c r="A86" s="274">
        <v>82</v>
      </c>
      <c r="B86" s="6">
        <v>549</v>
      </c>
      <c r="C86" s="6"/>
      <c r="D86" s="6">
        <v>355</v>
      </c>
      <c r="E86" s="33" t="s">
        <v>37</v>
      </c>
      <c r="F86" s="33" t="s">
        <v>37</v>
      </c>
      <c r="G86" s="344" t="s">
        <v>37</v>
      </c>
      <c r="H86" s="344" t="s">
        <v>37</v>
      </c>
      <c r="I86" s="346" t="s">
        <v>37</v>
      </c>
      <c r="J86" s="344" t="s">
        <v>37</v>
      </c>
      <c r="K86" s="344" t="s">
        <v>37</v>
      </c>
      <c r="L86" s="344" t="s">
        <v>37</v>
      </c>
      <c r="M86" s="344" t="s">
        <v>37</v>
      </c>
      <c r="N86" s="344" t="s">
        <v>37</v>
      </c>
      <c r="O86" s="344" t="s">
        <v>37</v>
      </c>
      <c r="P86" s="344" t="s">
        <v>37</v>
      </c>
      <c r="Q86" s="344" t="s">
        <v>37</v>
      </c>
      <c r="R86" s="344" t="s">
        <v>37</v>
      </c>
      <c r="S86" s="344" t="s">
        <v>37</v>
      </c>
      <c r="T86" s="344" t="s">
        <v>37</v>
      </c>
      <c r="U86" s="6">
        <v>940</v>
      </c>
      <c r="V86" s="6"/>
      <c r="W86" s="35">
        <f t="shared" si="15"/>
        <v>391</v>
      </c>
      <c r="X86" s="6">
        <v>1318</v>
      </c>
      <c r="Y86" s="6"/>
      <c r="Z86" s="35">
        <f t="shared" si="16"/>
        <v>378</v>
      </c>
      <c r="AA86" s="35">
        <v>0</v>
      </c>
      <c r="AB86" s="35">
        <v>1628</v>
      </c>
      <c r="AC86" s="35">
        <f t="shared" si="17"/>
        <v>310</v>
      </c>
      <c r="AD86" s="6">
        <v>355</v>
      </c>
      <c r="AE86" s="6"/>
      <c r="AF86" s="35">
        <f t="shared" si="18"/>
        <v>355</v>
      </c>
      <c r="AG86" s="6"/>
      <c r="AH86" s="6"/>
      <c r="AI86" s="34"/>
      <c r="AJ86" s="35">
        <v>732</v>
      </c>
      <c r="AK86" s="35"/>
      <c r="AL86" s="35">
        <f t="shared" si="19"/>
        <v>377</v>
      </c>
      <c r="AM86" s="6">
        <v>1113</v>
      </c>
      <c r="AN86" s="6"/>
      <c r="AO86" s="35">
        <f t="shared" si="20"/>
        <v>381</v>
      </c>
      <c r="AP86" s="6">
        <v>1499</v>
      </c>
      <c r="AQ86" s="6"/>
      <c r="AR86" s="35">
        <f t="shared" si="21"/>
        <v>386</v>
      </c>
      <c r="AS86" s="35">
        <v>62</v>
      </c>
      <c r="AT86" s="35">
        <v>1820</v>
      </c>
      <c r="AU86" s="35">
        <f t="shared" si="22"/>
        <v>383</v>
      </c>
      <c r="AV86" s="6">
        <v>450</v>
      </c>
      <c r="AW86" s="6"/>
      <c r="AX86" s="35">
        <f t="shared" si="23"/>
        <v>388</v>
      </c>
      <c r="AY86" s="6">
        <v>796</v>
      </c>
      <c r="AZ86" s="6"/>
      <c r="BA86" s="35">
        <f t="shared" si="24"/>
        <v>346</v>
      </c>
      <c r="BB86" s="6"/>
      <c r="BC86" s="6"/>
      <c r="BD86" s="6"/>
      <c r="BE86" s="6">
        <v>1179</v>
      </c>
      <c r="BF86" s="6"/>
      <c r="BG86" s="6">
        <f t="shared" si="25"/>
        <v>383</v>
      </c>
      <c r="BH86" s="6">
        <v>1554</v>
      </c>
      <c r="BI86" s="6"/>
      <c r="BJ86" s="35">
        <f t="shared" si="26"/>
        <v>375</v>
      </c>
      <c r="BK86" s="6">
        <v>373</v>
      </c>
      <c r="BL86" s="6">
        <v>1561</v>
      </c>
      <c r="BM86" s="6">
        <f t="shared" si="27"/>
        <v>380</v>
      </c>
      <c r="BN86" s="6">
        <v>750</v>
      </c>
      <c r="BO86" s="6"/>
      <c r="BP86" s="35">
        <f t="shared" si="28"/>
        <v>377</v>
      </c>
      <c r="BQ86" s="6">
        <v>1124</v>
      </c>
      <c r="BR86" s="6"/>
      <c r="BS86" s="6">
        <f t="shared" si="29"/>
        <v>374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</row>
    <row r="87" spans="1:113">
      <c r="A87" s="6">
        <v>83</v>
      </c>
      <c r="B87" s="6">
        <v>1497</v>
      </c>
      <c r="C87" s="6"/>
      <c r="D87" s="6">
        <v>364</v>
      </c>
      <c r="E87" s="33" t="s">
        <v>307</v>
      </c>
      <c r="F87" s="33" t="s">
        <v>307</v>
      </c>
      <c r="G87" s="344" t="s">
        <v>307</v>
      </c>
      <c r="H87" s="344" t="s">
        <v>307</v>
      </c>
      <c r="I87" s="344" t="s">
        <v>307</v>
      </c>
      <c r="J87" s="344" t="s">
        <v>307</v>
      </c>
      <c r="K87" s="344" t="s">
        <v>307</v>
      </c>
      <c r="L87" s="344" t="s">
        <v>307</v>
      </c>
      <c r="M87" s="344" t="s">
        <v>307</v>
      </c>
      <c r="N87" s="344" t="s">
        <v>307</v>
      </c>
      <c r="O87" s="344" t="s">
        <v>307</v>
      </c>
      <c r="P87" s="344" t="s">
        <v>307</v>
      </c>
      <c r="Q87" s="344" t="s">
        <v>307</v>
      </c>
      <c r="R87" s="344" t="s">
        <v>307</v>
      </c>
      <c r="S87" s="346" t="s">
        <v>307</v>
      </c>
      <c r="T87" s="344" t="s">
        <v>307</v>
      </c>
      <c r="U87" s="6">
        <v>0</v>
      </c>
      <c r="V87" s="6">
        <v>1560</v>
      </c>
      <c r="W87" s="35">
        <f t="shared" si="15"/>
        <v>63</v>
      </c>
      <c r="X87" s="6">
        <v>0</v>
      </c>
      <c r="Y87" s="6"/>
      <c r="Z87" s="35">
        <f t="shared" si="16"/>
        <v>0</v>
      </c>
      <c r="AA87" s="35">
        <v>0</v>
      </c>
      <c r="AB87" s="35"/>
      <c r="AC87" s="35">
        <f t="shared" si="17"/>
        <v>0</v>
      </c>
      <c r="AD87" s="35">
        <v>370</v>
      </c>
      <c r="AE87" s="6"/>
      <c r="AF87" s="35">
        <f t="shared" si="18"/>
        <v>370</v>
      </c>
      <c r="AG87" s="6"/>
      <c r="AH87" s="6"/>
      <c r="AI87" s="34"/>
      <c r="AJ87" s="35">
        <v>756</v>
      </c>
      <c r="AK87" s="35"/>
      <c r="AL87" s="35">
        <f t="shared" si="19"/>
        <v>386</v>
      </c>
      <c r="AM87" s="6">
        <v>1151</v>
      </c>
      <c r="AN87" s="6"/>
      <c r="AO87" s="35">
        <f t="shared" si="20"/>
        <v>395</v>
      </c>
      <c r="AP87" s="6">
        <v>1545</v>
      </c>
      <c r="AQ87" s="6"/>
      <c r="AR87" s="35">
        <f t="shared" si="21"/>
        <v>394</v>
      </c>
      <c r="AS87" s="35">
        <v>124</v>
      </c>
      <c r="AT87" s="35">
        <v>1820</v>
      </c>
      <c r="AU87" s="35">
        <f t="shared" si="22"/>
        <v>399</v>
      </c>
      <c r="AV87" s="6">
        <v>513</v>
      </c>
      <c r="AW87" s="6"/>
      <c r="AX87" s="35">
        <f t="shared" si="23"/>
        <v>389</v>
      </c>
      <c r="AY87" s="6">
        <v>900</v>
      </c>
      <c r="AZ87" s="6"/>
      <c r="BA87" s="35">
        <f t="shared" si="24"/>
        <v>387</v>
      </c>
      <c r="BB87" s="6"/>
      <c r="BC87" s="6"/>
      <c r="BD87" s="6"/>
      <c r="BE87" s="6">
        <v>1304</v>
      </c>
      <c r="BF87" s="6"/>
      <c r="BG87" s="6">
        <f t="shared" si="25"/>
        <v>404</v>
      </c>
      <c r="BH87" s="6">
        <v>1697</v>
      </c>
      <c r="BI87" s="6"/>
      <c r="BJ87" s="35">
        <f t="shared" si="26"/>
        <v>393</v>
      </c>
      <c r="BK87" s="6">
        <v>0</v>
      </c>
      <c r="BL87" s="6">
        <v>1911</v>
      </c>
      <c r="BM87" s="6">
        <f t="shared" si="27"/>
        <v>214</v>
      </c>
      <c r="BN87" s="6">
        <v>363</v>
      </c>
      <c r="BO87" s="6"/>
      <c r="BP87" s="35">
        <f t="shared" si="28"/>
        <v>363</v>
      </c>
      <c r="BQ87" s="6">
        <v>754</v>
      </c>
      <c r="BR87" s="6"/>
      <c r="BS87" s="6">
        <f t="shared" si="29"/>
        <v>391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</row>
    <row r="88" spans="1:113">
      <c r="A88" s="6">
        <v>84</v>
      </c>
      <c r="B88" s="6">
        <v>1296</v>
      </c>
      <c r="C88" s="6"/>
      <c r="D88" s="6">
        <v>342</v>
      </c>
      <c r="E88" s="33" t="s">
        <v>37</v>
      </c>
      <c r="F88" s="33" t="s">
        <v>37</v>
      </c>
      <c r="G88" s="344" t="s">
        <v>37</v>
      </c>
      <c r="H88" s="344" t="s">
        <v>37</v>
      </c>
      <c r="I88" s="344" t="s">
        <v>37</v>
      </c>
      <c r="J88" s="344" t="s">
        <v>37</v>
      </c>
      <c r="K88" s="344" t="s">
        <v>37</v>
      </c>
      <c r="L88" s="344" t="s">
        <v>37</v>
      </c>
      <c r="M88" s="344" t="s">
        <v>37</v>
      </c>
      <c r="N88" s="344" t="s">
        <v>37</v>
      </c>
      <c r="O88" s="344" t="s">
        <v>37</v>
      </c>
      <c r="P88" s="344" t="s">
        <v>37</v>
      </c>
      <c r="Q88" s="344" t="s">
        <v>37</v>
      </c>
      <c r="R88" s="344" t="s">
        <v>37</v>
      </c>
      <c r="S88" s="346" t="s">
        <v>37</v>
      </c>
      <c r="T88" s="344" t="s">
        <v>37</v>
      </c>
      <c r="U88" s="35">
        <v>121</v>
      </c>
      <c r="V88" s="35">
        <v>1561</v>
      </c>
      <c r="W88" s="35">
        <f t="shared" si="15"/>
        <v>386</v>
      </c>
      <c r="X88" s="35">
        <v>494</v>
      </c>
      <c r="Y88" s="35"/>
      <c r="Z88" s="35">
        <f t="shared" si="16"/>
        <v>373</v>
      </c>
      <c r="AA88" s="35">
        <v>866</v>
      </c>
      <c r="AB88" s="35"/>
      <c r="AC88" s="35">
        <f t="shared" si="17"/>
        <v>372</v>
      </c>
      <c r="AD88" s="35">
        <v>1216</v>
      </c>
      <c r="AE88" s="35"/>
      <c r="AF88" s="35">
        <f t="shared" si="18"/>
        <v>350</v>
      </c>
      <c r="AG88" s="6"/>
      <c r="AH88" s="6"/>
      <c r="AI88" s="34"/>
      <c r="AJ88" s="35">
        <v>35</v>
      </c>
      <c r="AK88" s="35">
        <v>1560</v>
      </c>
      <c r="AL88" s="35">
        <f t="shared" si="19"/>
        <v>379</v>
      </c>
      <c r="AM88" s="6">
        <v>421</v>
      </c>
      <c r="AN88" s="6"/>
      <c r="AO88" s="35">
        <f t="shared" si="20"/>
        <v>386</v>
      </c>
      <c r="AP88" s="6">
        <v>808</v>
      </c>
      <c r="AQ88" s="6"/>
      <c r="AR88" s="35">
        <f t="shared" si="21"/>
        <v>387</v>
      </c>
      <c r="AS88" s="6">
        <v>1194</v>
      </c>
      <c r="AT88" s="6"/>
      <c r="AU88" s="35">
        <f t="shared" si="22"/>
        <v>386</v>
      </c>
      <c r="AV88" s="6">
        <v>20</v>
      </c>
      <c r="AW88" s="6">
        <v>1560</v>
      </c>
      <c r="AX88" s="35">
        <f t="shared" si="23"/>
        <v>386</v>
      </c>
      <c r="AY88" s="6">
        <v>383</v>
      </c>
      <c r="AZ88" s="6"/>
      <c r="BA88" s="35">
        <f t="shared" si="24"/>
        <v>363</v>
      </c>
      <c r="BB88" s="6"/>
      <c r="BC88" s="35"/>
      <c r="BD88" s="6"/>
      <c r="BE88" s="6">
        <v>773</v>
      </c>
      <c r="BF88" s="6"/>
      <c r="BG88" s="6">
        <f t="shared" si="25"/>
        <v>390</v>
      </c>
      <c r="BH88" s="6">
        <v>1155</v>
      </c>
      <c r="BI88" s="6"/>
      <c r="BJ88" s="35">
        <f t="shared" si="26"/>
        <v>382</v>
      </c>
      <c r="BK88" s="6">
        <v>1531</v>
      </c>
      <c r="BL88" s="6"/>
      <c r="BM88" s="6">
        <f t="shared" si="27"/>
        <v>376</v>
      </c>
      <c r="BN88" s="6">
        <v>287</v>
      </c>
      <c r="BO88" s="6">
        <f>1561+54</f>
        <v>1615</v>
      </c>
      <c r="BP88" s="35">
        <f t="shared" si="28"/>
        <v>371</v>
      </c>
      <c r="BQ88" s="6">
        <v>674</v>
      </c>
      <c r="BR88" s="35"/>
      <c r="BS88" s="6">
        <f t="shared" si="29"/>
        <v>387</v>
      </c>
      <c r="BT88" s="6"/>
      <c r="BU88" s="6"/>
      <c r="BV88" s="6"/>
      <c r="BW88" s="6"/>
      <c r="BX88" s="35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</row>
    <row r="89" spans="1:113">
      <c r="A89" s="274">
        <v>85</v>
      </c>
      <c r="B89" s="6">
        <v>0</v>
      </c>
      <c r="C89" s="6">
        <v>1561</v>
      </c>
      <c r="D89" s="6">
        <v>262</v>
      </c>
      <c r="E89" s="33" t="s">
        <v>307</v>
      </c>
      <c r="F89" s="33" t="s">
        <v>307</v>
      </c>
      <c r="G89" s="344" t="s">
        <v>307</v>
      </c>
      <c r="H89" s="344" t="s">
        <v>307</v>
      </c>
      <c r="I89" s="344" t="s">
        <v>307</v>
      </c>
      <c r="J89" s="344" t="s">
        <v>307</v>
      </c>
      <c r="K89" s="344" t="s">
        <v>307</v>
      </c>
      <c r="L89" s="344" t="s">
        <v>307</v>
      </c>
      <c r="M89" s="344" t="s">
        <v>307</v>
      </c>
      <c r="N89" s="344" t="s">
        <v>307</v>
      </c>
      <c r="O89" s="344" t="s">
        <v>307</v>
      </c>
      <c r="P89" s="344" t="s">
        <v>307</v>
      </c>
      <c r="Q89" s="408" t="s">
        <v>37</v>
      </c>
      <c r="R89" s="410" t="s">
        <v>37</v>
      </c>
      <c r="S89" s="410" t="s">
        <v>37</v>
      </c>
      <c r="T89" s="410" t="s">
        <v>37</v>
      </c>
      <c r="U89" s="6">
        <v>0</v>
      </c>
      <c r="V89" s="6"/>
      <c r="W89" s="35">
        <f t="shared" si="15"/>
        <v>0</v>
      </c>
      <c r="X89" s="6">
        <v>0</v>
      </c>
      <c r="Y89" s="6"/>
      <c r="Z89" s="35">
        <f t="shared" si="16"/>
        <v>0</v>
      </c>
      <c r="AA89" s="35">
        <v>0</v>
      </c>
      <c r="AB89" s="35"/>
      <c r="AC89" s="35">
        <f t="shared" si="17"/>
        <v>0</v>
      </c>
      <c r="AD89" s="6">
        <v>372</v>
      </c>
      <c r="AE89" s="6"/>
      <c r="AF89" s="35">
        <f t="shared" si="18"/>
        <v>372</v>
      </c>
      <c r="AG89" s="6"/>
      <c r="AH89" s="6"/>
      <c r="AI89" s="34"/>
      <c r="AJ89" s="35">
        <v>767</v>
      </c>
      <c r="AK89" s="35"/>
      <c r="AL89" s="35">
        <f t="shared" si="19"/>
        <v>395</v>
      </c>
      <c r="AM89" s="6">
        <v>102</v>
      </c>
      <c r="AN89" s="6">
        <v>1045</v>
      </c>
      <c r="AO89" s="35">
        <f t="shared" si="20"/>
        <v>380</v>
      </c>
      <c r="AP89" s="6">
        <f>395+102</f>
        <v>497</v>
      </c>
      <c r="AQ89" s="6"/>
      <c r="AR89" s="35">
        <f t="shared" si="21"/>
        <v>395</v>
      </c>
      <c r="AS89" s="35">
        <f>788+102</f>
        <v>890</v>
      </c>
      <c r="AT89" s="35"/>
      <c r="AU89" s="35">
        <f t="shared" si="22"/>
        <v>393</v>
      </c>
      <c r="AV89" s="6">
        <v>160</v>
      </c>
      <c r="AW89" s="6">
        <v>1108</v>
      </c>
      <c r="AX89" s="35">
        <f t="shared" si="23"/>
        <v>378</v>
      </c>
      <c r="AY89" s="6">
        <v>536</v>
      </c>
      <c r="AZ89" s="6"/>
      <c r="BA89" s="35">
        <f t="shared" si="24"/>
        <v>376</v>
      </c>
      <c r="BB89" s="6"/>
      <c r="BC89" s="6"/>
      <c r="BD89" s="6"/>
      <c r="BE89" s="6">
        <v>0</v>
      </c>
      <c r="BF89" s="6">
        <v>835</v>
      </c>
      <c r="BG89" s="6">
        <f t="shared" si="25"/>
        <v>299</v>
      </c>
      <c r="BH89" s="6">
        <v>373</v>
      </c>
      <c r="BI89" s="6"/>
      <c r="BJ89" s="35">
        <f t="shared" si="26"/>
        <v>373</v>
      </c>
      <c r="BK89" s="6">
        <v>760</v>
      </c>
      <c r="BL89" s="6"/>
      <c r="BM89" s="6">
        <f t="shared" si="27"/>
        <v>387</v>
      </c>
      <c r="BN89" s="6">
        <v>1153</v>
      </c>
      <c r="BO89" s="6"/>
      <c r="BP89" s="35">
        <f t="shared" si="28"/>
        <v>393</v>
      </c>
      <c r="BQ89" s="35">
        <v>1540</v>
      </c>
      <c r="BR89" s="6"/>
      <c r="BS89" s="6">
        <f t="shared" si="29"/>
        <v>387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</row>
    <row r="90" spans="1:113">
      <c r="A90" s="6">
        <v>86</v>
      </c>
      <c r="B90" s="6">
        <v>206</v>
      </c>
      <c r="C90" s="6">
        <v>1246</v>
      </c>
      <c r="D90" s="6">
        <v>341</v>
      </c>
      <c r="E90" s="33" t="s">
        <v>37</v>
      </c>
      <c r="F90" s="33" t="s">
        <v>37</v>
      </c>
      <c r="G90" s="344" t="s">
        <v>37</v>
      </c>
      <c r="H90" s="344" t="s">
        <v>37</v>
      </c>
      <c r="I90" s="344" t="s">
        <v>37</v>
      </c>
      <c r="J90" s="344" t="s">
        <v>37</v>
      </c>
      <c r="K90" s="344" t="s">
        <v>37</v>
      </c>
      <c r="L90" s="344" t="s">
        <v>37</v>
      </c>
      <c r="M90" s="344" t="s">
        <v>37</v>
      </c>
      <c r="N90" s="344" t="s">
        <v>37</v>
      </c>
      <c r="O90" s="344" t="s">
        <v>37</v>
      </c>
      <c r="P90" s="344" t="s">
        <v>37</v>
      </c>
      <c r="Q90" s="344" t="s">
        <v>37</v>
      </c>
      <c r="R90" s="344" t="s">
        <v>37</v>
      </c>
      <c r="S90" s="344" t="s">
        <v>37</v>
      </c>
      <c r="T90" s="344" t="s">
        <v>37</v>
      </c>
      <c r="U90" s="6">
        <v>596</v>
      </c>
      <c r="V90" s="6"/>
      <c r="W90" s="35">
        <f t="shared" si="15"/>
        <v>390</v>
      </c>
      <c r="X90" s="6">
        <v>968</v>
      </c>
      <c r="Y90" s="6"/>
      <c r="Z90" s="35">
        <f t="shared" si="16"/>
        <v>372</v>
      </c>
      <c r="AA90" s="35">
        <v>1346</v>
      </c>
      <c r="AB90" s="35"/>
      <c r="AC90" s="35">
        <f t="shared" si="17"/>
        <v>378</v>
      </c>
      <c r="AD90" s="6">
        <v>153</v>
      </c>
      <c r="AE90" s="6">
        <v>1560</v>
      </c>
      <c r="AF90" s="35">
        <f t="shared" si="18"/>
        <v>367</v>
      </c>
      <c r="AG90" s="6"/>
      <c r="AH90" s="6"/>
      <c r="AI90" s="34"/>
      <c r="AJ90" s="35">
        <v>539</v>
      </c>
      <c r="AK90" s="35"/>
      <c r="AL90" s="35">
        <f t="shared" si="19"/>
        <v>386</v>
      </c>
      <c r="AM90" s="6">
        <v>927</v>
      </c>
      <c r="AN90" s="6"/>
      <c r="AO90" s="35">
        <f t="shared" si="20"/>
        <v>388</v>
      </c>
      <c r="AP90" s="6">
        <v>1315</v>
      </c>
      <c r="AQ90" s="6"/>
      <c r="AR90" s="35">
        <f t="shared" si="21"/>
        <v>388</v>
      </c>
      <c r="AS90" s="35">
        <v>140</v>
      </c>
      <c r="AT90" s="35">
        <v>1560</v>
      </c>
      <c r="AU90" s="35">
        <f t="shared" si="22"/>
        <v>385</v>
      </c>
      <c r="AV90" s="6">
        <v>527</v>
      </c>
      <c r="AW90" s="6"/>
      <c r="AX90" s="35">
        <f t="shared" si="23"/>
        <v>387</v>
      </c>
      <c r="AY90" s="6">
        <v>24</v>
      </c>
      <c r="AZ90" s="6">
        <v>862</v>
      </c>
      <c r="BA90" s="35">
        <f t="shared" si="24"/>
        <v>359</v>
      </c>
      <c r="BB90" s="6"/>
      <c r="BC90" s="6"/>
      <c r="BD90" s="6"/>
      <c r="BE90" s="6">
        <v>413</v>
      </c>
      <c r="BF90" s="6"/>
      <c r="BG90" s="6">
        <f t="shared" si="25"/>
        <v>389</v>
      </c>
      <c r="BH90" s="6">
        <v>794</v>
      </c>
      <c r="BI90" s="6"/>
      <c r="BJ90" s="35">
        <f t="shared" si="26"/>
        <v>381</v>
      </c>
      <c r="BK90" s="6">
        <v>1181</v>
      </c>
      <c r="BL90" s="6"/>
      <c r="BM90" s="6">
        <f t="shared" si="27"/>
        <v>387</v>
      </c>
      <c r="BN90" s="6">
        <v>4</v>
      </c>
      <c r="BO90" s="6">
        <v>1561</v>
      </c>
      <c r="BP90" s="35">
        <f t="shared" si="28"/>
        <v>384</v>
      </c>
      <c r="BQ90" s="6">
        <v>386</v>
      </c>
      <c r="BR90" s="6"/>
      <c r="BS90" s="6">
        <f t="shared" si="29"/>
        <v>382</v>
      </c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</row>
    <row r="91" spans="1:113">
      <c r="A91" s="274">
        <v>87</v>
      </c>
      <c r="B91" s="6">
        <v>617</v>
      </c>
      <c r="C91" s="6"/>
      <c r="D91" s="6">
        <v>358</v>
      </c>
      <c r="E91" s="33" t="s">
        <v>37</v>
      </c>
      <c r="F91" s="33" t="s">
        <v>37</v>
      </c>
      <c r="G91" s="344" t="s">
        <v>37</v>
      </c>
      <c r="H91" s="344" t="s">
        <v>37</v>
      </c>
      <c r="I91" s="344" t="s">
        <v>37</v>
      </c>
      <c r="J91" s="344" t="s">
        <v>37</v>
      </c>
      <c r="K91" s="344" t="s">
        <v>37</v>
      </c>
      <c r="L91" s="344" t="s">
        <v>37</v>
      </c>
      <c r="M91" s="344" t="s">
        <v>37</v>
      </c>
      <c r="N91" s="344" t="s">
        <v>37</v>
      </c>
      <c r="O91" s="344" t="s">
        <v>37</v>
      </c>
      <c r="P91" s="344" t="s">
        <v>37</v>
      </c>
      <c r="Q91" s="346" t="s">
        <v>37</v>
      </c>
      <c r="R91" s="344" t="s">
        <v>37</v>
      </c>
      <c r="S91" s="344" t="s">
        <v>37</v>
      </c>
      <c r="T91" s="344" t="s">
        <v>37</v>
      </c>
      <c r="U91" s="6">
        <v>1019</v>
      </c>
      <c r="V91" s="6"/>
      <c r="W91" s="35">
        <f t="shared" si="15"/>
        <v>402</v>
      </c>
      <c r="X91" s="6">
        <v>1399</v>
      </c>
      <c r="Y91" s="6"/>
      <c r="Z91" s="35">
        <f t="shared" si="16"/>
        <v>380</v>
      </c>
      <c r="AA91" s="35">
        <v>220</v>
      </c>
      <c r="AB91" s="35">
        <v>1560</v>
      </c>
      <c r="AC91" s="35">
        <f t="shared" si="17"/>
        <v>381</v>
      </c>
      <c r="AD91" s="6">
        <v>580</v>
      </c>
      <c r="AE91" s="6"/>
      <c r="AF91" s="35">
        <f t="shared" si="18"/>
        <v>360</v>
      </c>
      <c r="AG91" s="6"/>
      <c r="AH91" s="6"/>
      <c r="AI91" s="34"/>
      <c r="AJ91" s="35">
        <v>965</v>
      </c>
      <c r="AK91" s="35"/>
      <c r="AL91" s="35">
        <f t="shared" si="19"/>
        <v>385</v>
      </c>
      <c r="AM91" s="6">
        <v>1345</v>
      </c>
      <c r="AN91" s="6"/>
      <c r="AO91" s="35">
        <f t="shared" si="20"/>
        <v>380</v>
      </c>
      <c r="AP91" s="6">
        <v>159</v>
      </c>
      <c r="AQ91" s="6">
        <v>1560</v>
      </c>
      <c r="AR91" s="35">
        <f t="shared" si="21"/>
        <v>374</v>
      </c>
      <c r="AS91" s="35">
        <v>537</v>
      </c>
      <c r="AT91" s="35"/>
      <c r="AU91" s="35">
        <f t="shared" si="22"/>
        <v>378</v>
      </c>
      <c r="AV91" s="6">
        <v>909</v>
      </c>
      <c r="AW91" s="6"/>
      <c r="AX91" s="35">
        <f t="shared" si="23"/>
        <v>372</v>
      </c>
      <c r="AY91" s="6">
        <v>1279</v>
      </c>
      <c r="AZ91" s="6"/>
      <c r="BA91" s="35">
        <f t="shared" si="24"/>
        <v>370</v>
      </c>
      <c r="BB91" s="6"/>
      <c r="BC91" s="6"/>
      <c r="BD91" s="6"/>
      <c r="BE91" s="6">
        <v>1</v>
      </c>
      <c r="BF91" s="6">
        <v>1560</v>
      </c>
      <c r="BG91" s="6">
        <f t="shared" si="25"/>
        <v>282</v>
      </c>
      <c r="BH91" s="6">
        <v>344</v>
      </c>
      <c r="BI91" s="6"/>
      <c r="BJ91" s="35">
        <f t="shared" si="26"/>
        <v>343</v>
      </c>
      <c r="BK91" s="6">
        <v>727</v>
      </c>
      <c r="BL91" s="6"/>
      <c r="BM91" s="6">
        <f t="shared" si="27"/>
        <v>383</v>
      </c>
      <c r="BN91" s="6">
        <v>1100</v>
      </c>
      <c r="BO91" s="6"/>
      <c r="BP91" s="35">
        <f t="shared" si="28"/>
        <v>373</v>
      </c>
      <c r="BQ91" s="6">
        <v>1486</v>
      </c>
      <c r="BR91" s="6"/>
      <c r="BS91" s="6">
        <f t="shared" si="29"/>
        <v>386</v>
      </c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</row>
    <row r="92" spans="1:113">
      <c r="A92" s="274">
        <v>88</v>
      </c>
      <c r="B92" s="6">
        <v>690</v>
      </c>
      <c r="C92" s="6"/>
      <c r="D92" s="6">
        <v>354</v>
      </c>
      <c r="E92" s="33" t="s">
        <v>37</v>
      </c>
      <c r="F92" s="33" t="s">
        <v>37</v>
      </c>
      <c r="G92" s="344" t="s">
        <v>37</v>
      </c>
      <c r="H92" s="344" t="s">
        <v>37</v>
      </c>
      <c r="I92" s="346" t="s">
        <v>37</v>
      </c>
      <c r="J92" s="344" t="s">
        <v>37</v>
      </c>
      <c r="K92" s="344" t="s">
        <v>37</v>
      </c>
      <c r="L92" s="344" t="s">
        <v>37</v>
      </c>
      <c r="M92" s="344" t="s">
        <v>37</v>
      </c>
      <c r="N92" s="344" t="s">
        <v>37</v>
      </c>
      <c r="O92" s="344" t="s">
        <v>37</v>
      </c>
      <c r="P92" s="344" t="s">
        <v>37</v>
      </c>
      <c r="Q92" s="344" t="s">
        <v>37</v>
      </c>
      <c r="R92" s="344" t="s">
        <v>37</v>
      </c>
      <c r="S92" s="344" t="s">
        <v>37</v>
      </c>
      <c r="T92" s="344" t="s">
        <v>37</v>
      </c>
      <c r="U92" s="6">
        <v>1102</v>
      </c>
      <c r="V92" s="6"/>
      <c r="W92" s="35">
        <f t="shared" si="15"/>
        <v>412</v>
      </c>
      <c r="X92" s="6">
        <v>1488</v>
      </c>
      <c r="Y92" s="6"/>
      <c r="Z92" s="35">
        <f t="shared" si="16"/>
        <v>386</v>
      </c>
      <c r="AA92" s="35">
        <v>0</v>
      </c>
      <c r="AB92" s="35">
        <v>1635</v>
      </c>
      <c r="AC92" s="35">
        <f t="shared" si="17"/>
        <v>147</v>
      </c>
      <c r="AD92" s="6">
        <v>354</v>
      </c>
      <c r="AE92" s="6"/>
      <c r="AF92" s="35">
        <f t="shared" si="18"/>
        <v>354</v>
      </c>
      <c r="AG92" s="6"/>
      <c r="AH92" s="6"/>
      <c r="AI92" s="34"/>
      <c r="AJ92" s="35">
        <v>744</v>
      </c>
      <c r="AK92" s="35"/>
      <c r="AL92" s="35">
        <f t="shared" si="19"/>
        <v>390</v>
      </c>
      <c r="AM92" s="6">
        <v>1129</v>
      </c>
      <c r="AN92" s="6"/>
      <c r="AO92" s="35">
        <f t="shared" si="20"/>
        <v>385</v>
      </c>
      <c r="AP92" s="6">
        <v>1519</v>
      </c>
      <c r="AQ92" s="6"/>
      <c r="AR92" s="35">
        <f t="shared" si="21"/>
        <v>390</v>
      </c>
      <c r="AS92" s="35">
        <v>345</v>
      </c>
      <c r="AT92" s="35">
        <v>1560</v>
      </c>
      <c r="AU92" s="35">
        <f t="shared" si="22"/>
        <v>386</v>
      </c>
      <c r="AV92" s="6">
        <v>731</v>
      </c>
      <c r="AW92" s="6"/>
      <c r="AX92" s="35">
        <f t="shared" si="23"/>
        <v>386</v>
      </c>
      <c r="AY92" s="6">
        <v>1107</v>
      </c>
      <c r="AZ92" s="6"/>
      <c r="BA92" s="35">
        <f t="shared" si="24"/>
        <v>376</v>
      </c>
      <c r="BB92" s="6"/>
      <c r="BC92" s="6"/>
      <c r="BD92" s="6"/>
      <c r="BE92" s="6">
        <v>1499</v>
      </c>
      <c r="BF92" s="6"/>
      <c r="BG92" s="6">
        <f t="shared" si="25"/>
        <v>392</v>
      </c>
      <c r="BH92" s="6">
        <v>323</v>
      </c>
      <c r="BI92" s="6">
        <v>1561</v>
      </c>
      <c r="BJ92" s="35">
        <f t="shared" si="26"/>
        <v>385</v>
      </c>
      <c r="BK92" s="6">
        <v>711</v>
      </c>
      <c r="BL92" s="6"/>
      <c r="BM92" s="6">
        <f t="shared" si="27"/>
        <v>388</v>
      </c>
      <c r="BN92" s="6">
        <v>1093</v>
      </c>
      <c r="BO92" s="6"/>
      <c r="BP92" s="35">
        <f t="shared" si="28"/>
        <v>382</v>
      </c>
      <c r="BQ92" s="6">
        <v>1478</v>
      </c>
      <c r="BR92" s="6"/>
      <c r="BS92" s="6">
        <f t="shared" si="29"/>
        <v>385</v>
      </c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</row>
    <row r="93" spans="1:113">
      <c r="A93" s="6">
        <v>89</v>
      </c>
      <c r="B93" s="6">
        <v>1100</v>
      </c>
      <c r="C93" s="6"/>
      <c r="D93" s="6">
        <v>362</v>
      </c>
      <c r="E93" s="33" t="s">
        <v>37</v>
      </c>
      <c r="F93" s="33" t="s">
        <v>37</v>
      </c>
      <c r="G93" s="344" t="s">
        <v>37</v>
      </c>
      <c r="H93" s="344" t="s">
        <v>37</v>
      </c>
      <c r="I93" s="344" t="s">
        <v>37</v>
      </c>
      <c r="J93" s="344" t="s">
        <v>37</v>
      </c>
      <c r="K93" s="344" t="s">
        <v>37</v>
      </c>
      <c r="L93" s="344" t="s">
        <v>37</v>
      </c>
      <c r="M93" s="344" t="s">
        <v>37</v>
      </c>
      <c r="N93" s="344" t="s">
        <v>37</v>
      </c>
      <c r="O93" s="344" t="s">
        <v>37</v>
      </c>
      <c r="P93" s="344" t="s">
        <v>37</v>
      </c>
      <c r="Q93" s="344" t="s">
        <v>37</v>
      </c>
      <c r="R93" s="344" t="s">
        <v>37</v>
      </c>
      <c r="S93" s="344" t="s">
        <v>37</v>
      </c>
      <c r="T93" s="344" t="s">
        <v>37</v>
      </c>
      <c r="U93" s="6">
        <v>1511</v>
      </c>
      <c r="V93" s="6"/>
      <c r="W93" s="35">
        <f t="shared" si="15"/>
        <v>411</v>
      </c>
      <c r="X93" s="6">
        <v>334</v>
      </c>
      <c r="Y93" s="6">
        <v>1560</v>
      </c>
      <c r="Z93" s="35">
        <f t="shared" si="16"/>
        <v>383</v>
      </c>
      <c r="AA93" s="35">
        <v>722</v>
      </c>
      <c r="AB93" s="35"/>
      <c r="AC93" s="35">
        <f t="shared" si="17"/>
        <v>388</v>
      </c>
      <c r="AD93" s="6">
        <v>1092</v>
      </c>
      <c r="AE93" s="6"/>
      <c r="AF93" s="35">
        <f t="shared" si="18"/>
        <v>370</v>
      </c>
      <c r="AG93" s="6"/>
      <c r="AH93" s="6"/>
      <c r="AI93" s="34"/>
      <c r="AJ93" s="35">
        <v>1480</v>
      </c>
      <c r="AK93" s="35"/>
      <c r="AL93" s="35">
        <f t="shared" si="19"/>
        <v>388</v>
      </c>
      <c r="AM93" s="6">
        <v>307</v>
      </c>
      <c r="AN93" s="6">
        <v>1560</v>
      </c>
      <c r="AO93" s="35">
        <f t="shared" si="20"/>
        <v>387</v>
      </c>
      <c r="AP93" s="6">
        <v>697</v>
      </c>
      <c r="AQ93" s="6"/>
      <c r="AR93" s="35">
        <f t="shared" si="21"/>
        <v>390</v>
      </c>
      <c r="AS93" s="35">
        <v>1085</v>
      </c>
      <c r="AT93" s="35"/>
      <c r="AU93" s="35">
        <f t="shared" si="22"/>
        <v>388</v>
      </c>
      <c r="AV93" s="6">
        <v>1473</v>
      </c>
      <c r="AW93" s="6"/>
      <c r="AX93" s="35">
        <f t="shared" si="23"/>
        <v>388</v>
      </c>
      <c r="AY93" s="6">
        <v>286</v>
      </c>
      <c r="AZ93" s="6">
        <v>1562</v>
      </c>
      <c r="BA93" s="35">
        <f t="shared" si="24"/>
        <v>375</v>
      </c>
      <c r="BB93" s="6"/>
      <c r="BC93" s="6"/>
      <c r="BD93" s="6"/>
      <c r="BE93" s="6">
        <v>679</v>
      </c>
      <c r="BF93" s="6"/>
      <c r="BG93" s="6">
        <f t="shared" si="25"/>
        <v>393</v>
      </c>
      <c r="BH93" s="6">
        <v>1057</v>
      </c>
      <c r="BI93" s="6"/>
      <c r="BJ93" s="35">
        <f t="shared" si="26"/>
        <v>378</v>
      </c>
      <c r="BK93" s="6">
        <v>1438</v>
      </c>
      <c r="BL93" s="6"/>
      <c r="BM93" s="6">
        <f t="shared" si="27"/>
        <v>381</v>
      </c>
      <c r="BN93" s="6">
        <v>261</v>
      </c>
      <c r="BO93" s="6">
        <v>1560</v>
      </c>
      <c r="BP93" s="35">
        <f t="shared" si="28"/>
        <v>383</v>
      </c>
      <c r="BQ93" s="6">
        <v>638</v>
      </c>
      <c r="BR93" s="6"/>
      <c r="BS93" s="6">
        <f t="shared" si="29"/>
        <v>377</v>
      </c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</row>
    <row r="94" spans="1:113">
      <c r="A94" s="274">
        <v>90</v>
      </c>
      <c r="B94" s="6">
        <v>550</v>
      </c>
      <c r="C94" s="6"/>
      <c r="D94" s="6">
        <v>360</v>
      </c>
      <c r="E94" s="33" t="s">
        <v>37</v>
      </c>
      <c r="F94" s="33" t="s">
        <v>37</v>
      </c>
      <c r="G94" s="344" t="s">
        <v>37</v>
      </c>
      <c r="H94" s="344" t="s">
        <v>37</v>
      </c>
      <c r="I94" s="344" t="s">
        <v>37</v>
      </c>
      <c r="J94" s="344" t="s">
        <v>37</v>
      </c>
      <c r="K94" s="344" t="s">
        <v>37</v>
      </c>
      <c r="L94" s="344" t="s">
        <v>37</v>
      </c>
      <c r="M94" s="346" t="s">
        <v>37</v>
      </c>
      <c r="N94" s="344" t="s">
        <v>37</v>
      </c>
      <c r="O94" s="344" t="s">
        <v>37</v>
      </c>
      <c r="P94" s="344" t="s">
        <v>37</v>
      </c>
      <c r="Q94" s="344" t="s">
        <v>37</v>
      </c>
      <c r="R94" s="344" t="s">
        <v>37</v>
      </c>
      <c r="S94" s="344" t="s">
        <v>37</v>
      </c>
      <c r="T94" s="344" t="s">
        <v>37</v>
      </c>
      <c r="U94" s="6">
        <v>959</v>
      </c>
      <c r="V94" s="6"/>
      <c r="W94" s="35">
        <f t="shared" si="15"/>
        <v>409</v>
      </c>
      <c r="X94" s="6">
        <v>1343</v>
      </c>
      <c r="Y94" s="6"/>
      <c r="Z94" s="35">
        <f t="shared" si="16"/>
        <v>384</v>
      </c>
      <c r="AA94" s="35">
        <v>170</v>
      </c>
      <c r="AB94" s="35">
        <v>1560</v>
      </c>
      <c r="AC94" s="35">
        <f t="shared" si="17"/>
        <v>387</v>
      </c>
      <c r="AD94" s="6">
        <v>1</v>
      </c>
      <c r="AE94" s="6">
        <v>535</v>
      </c>
      <c r="AF94" s="35">
        <f t="shared" si="18"/>
        <v>366</v>
      </c>
      <c r="AG94" s="6"/>
      <c r="AH94" s="6"/>
      <c r="AI94" s="34"/>
      <c r="AJ94" s="35">
        <v>385</v>
      </c>
      <c r="AK94" s="35"/>
      <c r="AL94" s="35">
        <f t="shared" si="19"/>
        <v>384</v>
      </c>
      <c r="AM94" s="6">
        <v>773</v>
      </c>
      <c r="AN94" s="6"/>
      <c r="AO94" s="35">
        <f t="shared" si="20"/>
        <v>388</v>
      </c>
      <c r="AP94" s="6">
        <v>0</v>
      </c>
      <c r="AQ94" s="6">
        <v>1072</v>
      </c>
      <c r="AR94" s="35">
        <f t="shared" si="21"/>
        <v>299</v>
      </c>
      <c r="AS94" s="35">
        <v>372</v>
      </c>
      <c r="AT94" s="35"/>
      <c r="AU94" s="35">
        <f t="shared" si="22"/>
        <v>372</v>
      </c>
      <c r="AV94" s="6">
        <v>757</v>
      </c>
      <c r="AW94" s="6"/>
      <c r="AX94" s="35">
        <f t="shared" si="23"/>
        <v>385</v>
      </c>
      <c r="AY94" s="6">
        <v>1134</v>
      </c>
      <c r="AZ94" s="6"/>
      <c r="BA94" s="35">
        <f t="shared" si="24"/>
        <v>377</v>
      </c>
      <c r="BB94" s="6"/>
      <c r="BC94" s="6"/>
      <c r="BD94" s="6"/>
      <c r="BE94" s="6">
        <v>1526</v>
      </c>
      <c r="BF94" s="6"/>
      <c r="BG94" s="6">
        <f t="shared" si="25"/>
        <v>392</v>
      </c>
      <c r="BH94" s="6">
        <v>349</v>
      </c>
      <c r="BI94" s="6">
        <v>1561</v>
      </c>
      <c r="BJ94" s="35">
        <f t="shared" si="26"/>
        <v>384</v>
      </c>
      <c r="BK94" s="6">
        <v>274</v>
      </c>
      <c r="BL94" s="6">
        <v>449</v>
      </c>
      <c r="BM94" s="6">
        <f t="shared" si="27"/>
        <v>374</v>
      </c>
      <c r="BN94" s="6">
        <v>660</v>
      </c>
      <c r="BO94" s="6"/>
      <c r="BP94" s="35">
        <f t="shared" si="28"/>
        <v>386</v>
      </c>
      <c r="BQ94" s="6">
        <v>1043</v>
      </c>
      <c r="BR94" s="6"/>
      <c r="BS94" s="6">
        <f t="shared" si="29"/>
        <v>383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</row>
    <row r="95" spans="1:113">
      <c r="A95" s="6">
        <v>91</v>
      </c>
      <c r="B95" s="6">
        <v>754</v>
      </c>
      <c r="C95" s="6"/>
      <c r="D95" s="6">
        <v>365</v>
      </c>
      <c r="E95" s="33" t="s">
        <v>307</v>
      </c>
      <c r="F95" s="33" t="s">
        <v>307</v>
      </c>
      <c r="G95" s="344" t="s">
        <v>307</v>
      </c>
      <c r="H95" s="344" t="s">
        <v>307</v>
      </c>
      <c r="I95" s="344" t="s">
        <v>307</v>
      </c>
      <c r="J95" s="344" t="s">
        <v>307</v>
      </c>
      <c r="K95" s="344" t="s">
        <v>307</v>
      </c>
      <c r="L95" s="344" t="s">
        <v>307</v>
      </c>
      <c r="M95" s="344" t="s">
        <v>307</v>
      </c>
      <c r="N95" s="344" t="s">
        <v>307</v>
      </c>
      <c r="O95" s="344" t="s">
        <v>307</v>
      </c>
      <c r="P95" s="344" t="s">
        <v>307</v>
      </c>
      <c r="Q95" s="344" t="s">
        <v>307</v>
      </c>
      <c r="R95" s="344" t="s">
        <v>307</v>
      </c>
      <c r="S95" s="346" t="s">
        <v>307</v>
      </c>
      <c r="T95" s="344" t="s">
        <v>307</v>
      </c>
      <c r="U95" s="6">
        <v>1167</v>
      </c>
      <c r="V95" s="6"/>
      <c r="W95" s="35">
        <f t="shared" si="15"/>
        <v>413</v>
      </c>
      <c r="X95" s="6">
        <v>1556</v>
      </c>
      <c r="Y95" s="6"/>
      <c r="Z95" s="35">
        <f t="shared" si="16"/>
        <v>389</v>
      </c>
      <c r="AA95" s="35">
        <v>0</v>
      </c>
      <c r="AB95" s="35">
        <v>1560</v>
      </c>
      <c r="AC95" s="35">
        <f t="shared" si="17"/>
        <v>4</v>
      </c>
      <c r="AD95" s="6">
        <v>353</v>
      </c>
      <c r="AE95" s="6"/>
      <c r="AF95" s="35">
        <f t="shared" si="18"/>
        <v>353</v>
      </c>
      <c r="AG95" s="6"/>
      <c r="AH95" s="6"/>
      <c r="AI95" s="34"/>
      <c r="AJ95" s="35">
        <v>747</v>
      </c>
      <c r="AK95" s="35"/>
      <c r="AL95" s="35">
        <f t="shared" si="19"/>
        <v>394</v>
      </c>
      <c r="AM95" s="6">
        <v>1141</v>
      </c>
      <c r="AN95" s="6"/>
      <c r="AO95" s="35">
        <f t="shared" si="20"/>
        <v>394</v>
      </c>
      <c r="AP95" s="6">
        <v>1536</v>
      </c>
      <c r="AQ95" s="6"/>
      <c r="AR95" s="35">
        <f t="shared" si="21"/>
        <v>395</v>
      </c>
      <c r="AS95" s="35">
        <v>108</v>
      </c>
      <c r="AT95" s="35">
        <v>1820</v>
      </c>
      <c r="AU95" s="35">
        <f t="shared" si="22"/>
        <v>392</v>
      </c>
      <c r="AV95" s="6">
        <v>500</v>
      </c>
      <c r="AW95" s="6"/>
      <c r="AX95" s="35">
        <f t="shared" si="23"/>
        <v>392</v>
      </c>
      <c r="AY95" s="6">
        <v>365</v>
      </c>
      <c r="AZ95" s="6">
        <v>509</v>
      </c>
      <c r="BA95" s="35">
        <f t="shared" si="24"/>
        <v>374</v>
      </c>
      <c r="BB95" s="6"/>
      <c r="BC95" s="6"/>
      <c r="BD95" s="6"/>
      <c r="BE95" s="6">
        <v>62</v>
      </c>
      <c r="BF95" s="6">
        <v>695</v>
      </c>
      <c r="BG95" s="6">
        <f t="shared" si="25"/>
        <v>392</v>
      </c>
      <c r="BH95" s="6">
        <v>436</v>
      </c>
      <c r="BI95" s="6"/>
      <c r="BJ95" s="35">
        <f t="shared" si="26"/>
        <v>374</v>
      </c>
      <c r="BK95" s="6">
        <v>831</v>
      </c>
      <c r="BL95" s="6"/>
      <c r="BM95" s="6">
        <f t="shared" si="27"/>
        <v>395</v>
      </c>
      <c r="BN95" s="6">
        <v>268</v>
      </c>
      <c r="BO95" s="6">
        <v>943</v>
      </c>
      <c r="BP95" s="35">
        <f t="shared" si="28"/>
        <v>380</v>
      </c>
      <c r="BQ95" s="6">
        <v>660</v>
      </c>
      <c r="BR95" s="6"/>
      <c r="BS95" s="6">
        <f t="shared" si="29"/>
        <v>392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</row>
    <row r="96" spans="1:113" ht="15.75" customHeight="1">
      <c r="A96" s="6">
        <v>92</v>
      </c>
      <c r="B96" s="6">
        <v>1499</v>
      </c>
      <c r="C96" s="6"/>
      <c r="D96" s="6">
        <v>362</v>
      </c>
      <c r="E96" s="199" t="s">
        <v>37</v>
      </c>
      <c r="F96" s="199" t="s">
        <v>37</v>
      </c>
      <c r="G96" s="344" t="s">
        <v>37</v>
      </c>
      <c r="H96" s="344" t="s">
        <v>37</v>
      </c>
      <c r="I96" s="344" t="s">
        <v>37</v>
      </c>
      <c r="J96" s="344" t="s">
        <v>37</v>
      </c>
      <c r="K96" s="344" t="s">
        <v>37</v>
      </c>
      <c r="L96" s="344" t="s">
        <v>37</v>
      </c>
      <c r="M96" s="344" t="s">
        <v>37</v>
      </c>
      <c r="N96" s="344" t="s">
        <v>37</v>
      </c>
      <c r="O96" s="344" t="s">
        <v>37</v>
      </c>
      <c r="P96" s="344" t="s">
        <v>37</v>
      </c>
      <c r="Q96" s="344" t="s">
        <v>37</v>
      </c>
      <c r="R96" s="344" t="s">
        <v>37</v>
      </c>
      <c r="S96" s="346" t="s">
        <v>37</v>
      </c>
      <c r="T96" s="344" t="s">
        <v>37</v>
      </c>
      <c r="U96" s="6">
        <v>349</v>
      </c>
      <c r="V96" s="6">
        <v>1560</v>
      </c>
      <c r="W96" s="35">
        <f t="shared" si="15"/>
        <v>410</v>
      </c>
      <c r="X96" s="6">
        <v>732</v>
      </c>
      <c r="Y96" s="6"/>
      <c r="Z96" s="35">
        <f t="shared" si="16"/>
        <v>383</v>
      </c>
      <c r="AA96" s="35">
        <v>1117</v>
      </c>
      <c r="AB96" s="35"/>
      <c r="AC96" s="35">
        <f t="shared" si="17"/>
        <v>385</v>
      </c>
      <c r="AD96" s="6">
        <v>12</v>
      </c>
      <c r="AE96" s="6">
        <v>1474</v>
      </c>
      <c r="AF96" s="35">
        <f t="shared" si="18"/>
        <v>369</v>
      </c>
      <c r="AG96" s="6"/>
      <c r="AH96" s="6"/>
      <c r="AI96" s="34"/>
      <c r="AJ96" s="35">
        <v>377</v>
      </c>
      <c r="AK96" s="35"/>
      <c r="AL96" s="35">
        <f t="shared" si="19"/>
        <v>365</v>
      </c>
      <c r="AM96" s="6">
        <v>760</v>
      </c>
      <c r="AN96" s="6"/>
      <c r="AO96" s="35">
        <f t="shared" si="20"/>
        <v>383</v>
      </c>
      <c r="AP96" s="6">
        <v>1146</v>
      </c>
      <c r="AQ96" s="6"/>
      <c r="AR96" s="35">
        <f t="shared" si="21"/>
        <v>386</v>
      </c>
      <c r="AS96" s="35">
        <v>1529</v>
      </c>
      <c r="AT96" s="35"/>
      <c r="AU96" s="35">
        <f t="shared" si="22"/>
        <v>383</v>
      </c>
      <c r="AV96" s="6">
        <v>354</v>
      </c>
      <c r="AW96" s="6">
        <v>1560</v>
      </c>
      <c r="AX96" s="35">
        <f t="shared" si="23"/>
        <v>385</v>
      </c>
      <c r="AY96" s="6">
        <v>723</v>
      </c>
      <c r="AZ96" s="6"/>
      <c r="BA96" s="35">
        <f t="shared" si="24"/>
        <v>369</v>
      </c>
      <c r="BB96" s="6"/>
      <c r="BC96" s="6"/>
      <c r="BD96" s="6"/>
      <c r="BE96" s="6">
        <v>1110</v>
      </c>
      <c r="BF96" s="6"/>
      <c r="BG96" s="6">
        <f t="shared" si="25"/>
        <v>387</v>
      </c>
      <c r="BH96" s="6">
        <v>103</v>
      </c>
      <c r="BI96" s="6">
        <v>1305</v>
      </c>
      <c r="BJ96" s="35">
        <f t="shared" si="26"/>
        <v>298</v>
      </c>
      <c r="BK96" s="6">
        <v>0</v>
      </c>
      <c r="BL96" s="6">
        <v>411</v>
      </c>
      <c r="BM96" s="6">
        <f t="shared" si="27"/>
        <v>308</v>
      </c>
      <c r="BN96" s="6">
        <v>337</v>
      </c>
      <c r="BO96" s="6"/>
      <c r="BP96" s="35">
        <f t="shared" si="28"/>
        <v>337</v>
      </c>
      <c r="BQ96" s="6">
        <v>714</v>
      </c>
      <c r="BR96" s="6"/>
      <c r="BS96" s="6">
        <f t="shared" si="29"/>
        <v>377</v>
      </c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</row>
    <row r="97" spans="1:113">
      <c r="A97" s="6">
        <v>93</v>
      </c>
      <c r="B97" s="6">
        <v>1553</v>
      </c>
      <c r="C97" s="6"/>
      <c r="D97" s="6">
        <v>372</v>
      </c>
      <c r="E97" s="33" t="s">
        <v>307</v>
      </c>
      <c r="F97" s="33" t="s">
        <v>307</v>
      </c>
      <c r="G97" s="344" t="s">
        <v>307</v>
      </c>
      <c r="H97" s="344" t="s">
        <v>307</v>
      </c>
      <c r="I97" s="344" t="s">
        <v>307</v>
      </c>
      <c r="J97" s="344" t="s">
        <v>307</v>
      </c>
      <c r="K97" s="344" t="s">
        <v>307</v>
      </c>
      <c r="L97" s="344" t="s">
        <v>307</v>
      </c>
      <c r="M97" s="344" t="s">
        <v>307</v>
      </c>
      <c r="N97" s="344" t="s">
        <v>307</v>
      </c>
      <c r="O97" s="344" t="s">
        <v>307</v>
      </c>
      <c r="P97" s="344" t="s">
        <v>307</v>
      </c>
      <c r="Q97" s="344" t="s">
        <v>307</v>
      </c>
      <c r="R97" s="344" t="s">
        <v>307</v>
      </c>
      <c r="S97" s="344" t="s">
        <v>307</v>
      </c>
      <c r="T97" s="344" t="s">
        <v>307</v>
      </c>
      <c r="U97" s="6">
        <v>0</v>
      </c>
      <c r="V97" s="6">
        <v>1578</v>
      </c>
      <c r="W97" s="35">
        <f t="shared" si="15"/>
        <v>25</v>
      </c>
      <c r="X97" s="6">
        <v>0</v>
      </c>
      <c r="Y97" s="6"/>
      <c r="Z97" s="35">
        <f t="shared" si="16"/>
        <v>0</v>
      </c>
      <c r="AA97" s="35">
        <v>0</v>
      </c>
      <c r="AB97" s="35"/>
      <c r="AC97" s="35">
        <f t="shared" si="17"/>
        <v>0</v>
      </c>
      <c r="AD97" s="6">
        <v>364</v>
      </c>
      <c r="AE97" s="6"/>
      <c r="AF97" s="35">
        <f t="shared" si="18"/>
        <v>364</v>
      </c>
      <c r="AG97" s="6"/>
      <c r="AH97" s="6"/>
      <c r="AI97" s="34"/>
      <c r="AJ97" s="35">
        <v>758</v>
      </c>
      <c r="AK97" s="35"/>
      <c r="AL97" s="35">
        <f t="shared" si="19"/>
        <v>394</v>
      </c>
      <c r="AM97" s="6">
        <v>1150</v>
      </c>
      <c r="AN97" s="6"/>
      <c r="AO97" s="35">
        <f t="shared" si="20"/>
        <v>392</v>
      </c>
      <c r="AP97" s="35">
        <v>1545</v>
      </c>
      <c r="AQ97" s="6"/>
      <c r="AR97" s="35">
        <f t="shared" si="21"/>
        <v>395</v>
      </c>
      <c r="AS97" s="35">
        <v>112</v>
      </c>
      <c r="AT97" s="35">
        <v>1820</v>
      </c>
      <c r="AU97" s="35">
        <f t="shared" si="22"/>
        <v>387</v>
      </c>
      <c r="AV97" s="6">
        <v>503</v>
      </c>
      <c r="AW97" s="6"/>
      <c r="AX97" s="35">
        <f t="shared" si="23"/>
        <v>391</v>
      </c>
      <c r="AY97" s="6">
        <v>884</v>
      </c>
      <c r="AZ97" s="6"/>
      <c r="BA97" s="35">
        <f t="shared" si="24"/>
        <v>381</v>
      </c>
      <c r="BB97" s="6"/>
      <c r="BC97" s="6"/>
      <c r="BD97" s="6"/>
      <c r="BE97" s="6">
        <v>1282</v>
      </c>
      <c r="BF97" s="6"/>
      <c r="BG97" s="6">
        <f t="shared" si="25"/>
        <v>398</v>
      </c>
      <c r="BH97" s="6">
        <v>1671</v>
      </c>
      <c r="BI97" s="6"/>
      <c r="BJ97" s="35">
        <f t="shared" si="26"/>
        <v>389</v>
      </c>
      <c r="BK97" s="6">
        <v>229</v>
      </c>
      <c r="BL97" s="6">
        <v>1820</v>
      </c>
      <c r="BM97" s="6">
        <f t="shared" si="27"/>
        <v>378</v>
      </c>
      <c r="BN97" s="6">
        <v>620</v>
      </c>
      <c r="BO97" s="6"/>
      <c r="BP97" s="35">
        <f t="shared" si="28"/>
        <v>391</v>
      </c>
      <c r="BQ97" s="6">
        <v>976</v>
      </c>
      <c r="BR97" s="6"/>
      <c r="BS97" s="6">
        <f t="shared" si="29"/>
        <v>356</v>
      </c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</row>
    <row r="98" spans="1:113">
      <c r="A98" s="6">
        <v>94</v>
      </c>
      <c r="B98" s="6">
        <v>345</v>
      </c>
      <c r="C98" s="6"/>
      <c r="D98" s="6">
        <v>345</v>
      </c>
      <c r="E98" s="148" t="s">
        <v>37</v>
      </c>
      <c r="F98" s="33" t="s">
        <v>37</v>
      </c>
      <c r="G98" s="344" t="s">
        <v>37</v>
      </c>
      <c r="H98" s="344" t="s">
        <v>37</v>
      </c>
      <c r="I98" s="344" t="s">
        <v>37</v>
      </c>
      <c r="J98" s="344" t="s">
        <v>37</v>
      </c>
      <c r="K98" s="344" t="s">
        <v>37</v>
      </c>
      <c r="L98" s="344" t="s">
        <v>37</v>
      </c>
      <c r="M98" s="344" t="s">
        <v>37</v>
      </c>
      <c r="N98" s="344" t="s">
        <v>37</v>
      </c>
      <c r="O98" s="344" t="s">
        <v>37</v>
      </c>
      <c r="P98" s="344" t="s">
        <v>37</v>
      </c>
      <c r="Q98" s="344" t="s">
        <v>37</v>
      </c>
      <c r="R98" s="344" t="s">
        <v>37</v>
      </c>
      <c r="S98" s="344" t="s">
        <v>37</v>
      </c>
      <c r="T98" s="344" t="s">
        <v>37</v>
      </c>
      <c r="U98" s="6">
        <v>84</v>
      </c>
      <c r="V98" s="6">
        <v>652</v>
      </c>
      <c r="W98" s="35">
        <f t="shared" si="15"/>
        <v>391</v>
      </c>
      <c r="X98" s="6">
        <v>470</v>
      </c>
      <c r="Y98" s="6"/>
      <c r="Z98" s="35">
        <f t="shared" si="16"/>
        <v>386</v>
      </c>
      <c r="AA98" s="35">
        <v>856</v>
      </c>
      <c r="AB98" s="35"/>
      <c r="AC98" s="35">
        <f t="shared" si="17"/>
        <v>386</v>
      </c>
      <c r="AD98" s="6">
        <v>1230</v>
      </c>
      <c r="AE98" s="6"/>
      <c r="AF98" s="35">
        <f t="shared" si="18"/>
        <v>374</v>
      </c>
      <c r="AG98" s="6"/>
      <c r="AH98" s="6"/>
      <c r="AI98" s="34"/>
      <c r="AJ98" s="35">
        <v>56</v>
      </c>
      <c r="AK98" s="35">
        <v>1560</v>
      </c>
      <c r="AL98" s="35">
        <f t="shared" si="19"/>
        <v>386</v>
      </c>
      <c r="AM98" s="6">
        <v>444</v>
      </c>
      <c r="AN98" s="6"/>
      <c r="AO98" s="35">
        <f t="shared" si="20"/>
        <v>388</v>
      </c>
      <c r="AP98" s="35">
        <v>833</v>
      </c>
      <c r="AQ98" s="35"/>
      <c r="AR98" s="35">
        <f t="shared" si="21"/>
        <v>389</v>
      </c>
      <c r="AS98" s="6">
        <v>1221</v>
      </c>
      <c r="AT98" s="6"/>
      <c r="AU98" s="35">
        <f t="shared" si="22"/>
        <v>388</v>
      </c>
      <c r="AV98" s="6">
        <v>44</v>
      </c>
      <c r="AW98" s="6">
        <v>1560</v>
      </c>
      <c r="AX98" s="35">
        <f t="shared" si="23"/>
        <v>383</v>
      </c>
      <c r="AY98" s="6">
        <v>419</v>
      </c>
      <c r="AZ98" s="6"/>
      <c r="BA98" s="35">
        <f t="shared" si="24"/>
        <v>375</v>
      </c>
      <c r="BB98" s="6"/>
      <c r="BC98" s="35"/>
      <c r="BD98" s="6"/>
      <c r="BE98" s="6">
        <v>807</v>
      </c>
      <c r="BF98" s="6"/>
      <c r="BG98" s="6">
        <f t="shared" si="25"/>
        <v>388</v>
      </c>
      <c r="BH98" s="6">
        <v>1187</v>
      </c>
      <c r="BI98" s="6"/>
      <c r="BJ98" s="35">
        <f t="shared" si="26"/>
        <v>380</v>
      </c>
      <c r="BK98" s="6">
        <v>80</v>
      </c>
      <c r="BL98" s="6">
        <v>1351</v>
      </c>
      <c r="BM98" s="6">
        <f t="shared" si="27"/>
        <v>244</v>
      </c>
      <c r="BN98" s="6">
        <v>249</v>
      </c>
      <c r="BO98" s="6"/>
      <c r="BP98" s="35">
        <f t="shared" si="28"/>
        <v>169</v>
      </c>
      <c r="BQ98" s="6">
        <v>599</v>
      </c>
      <c r="BR98" s="35"/>
      <c r="BS98" s="6">
        <f t="shared" si="29"/>
        <v>350</v>
      </c>
      <c r="BT98" s="6"/>
      <c r="BU98" s="6"/>
      <c r="BV98" s="6"/>
      <c r="BW98" s="6"/>
      <c r="BX98" s="35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</row>
    <row r="99" spans="1:113">
      <c r="A99" s="6">
        <v>95</v>
      </c>
      <c r="B99" s="6">
        <v>1562</v>
      </c>
      <c r="C99" s="6"/>
      <c r="D99" s="6">
        <v>372</v>
      </c>
      <c r="E99" s="33" t="s">
        <v>307</v>
      </c>
      <c r="F99" s="33" t="s">
        <v>307</v>
      </c>
      <c r="G99" s="344" t="s">
        <v>307</v>
      </c>
      <c r="H99" s="344" t="s">
        <v>307</v>
      </c>
      <c r="I99" s="344" t="s">
        <v>307</v>
      </c>
      <c r="J99" s="346" t="s">
        <v>307</v>
      </c>
      <c r="K99" s="344" t="s">
        <v>307</v>
      </c>
      <c r="L99" s="344" t="s">
        <v>307</v>
      </c>
      <c r="M99" s="344" t="s">
        <v>307</v>
      </c>
      <c r="N99" s="344" t="s">
        <v>307</v>
      </c>
      <c r="O99" s="344" t="s">
        <v>307</v>
      </c>
      <c r="P99" s="344" t="s">
        <v>307</v>
      </c>
      <c r="Q99" s="344" t="s">
        <v>307</v>
      </c>
      <c r="R99" s="344" t="s">
        <v>307</v>
      </c>
      <c r="S99" s="344" t="s">
        <v>307</v>
      </c>
      <c r="T99" s="344" t="s">
        <v>307</v>
      </c>
      <c r="U99" s="6">
        <v>0</v>
      </c>
      <c r="V99" s="6">
        <v>1588</v>
      </c>
      <c r="W99" s="35">
        <f t="shared" si="15"/>
        <v>26</v>
      </c>
      <c r="X99" s="6">
        <v>0</v>
      </c>
      <c r="Y99" s="6"/>
      <c r="Z99" s="35">
        <f t="shared" si="16"/>
        <v>0</v>
      </c>
      <c r="AA99" s="35">
        <v>0</v>
      </c>
      <c r="AB99" s="35"/>
      <c r="AC99" s="35">
        <f t="shared" si="17"/>
        <v>0</v>
      </c>
      <c r="AD99" s="6">
        <v>0</v>
      </c>
      <c r="AE99" s="6">
        <v>343</v>
      </c>
      <c r="AF99" s="35">
        <f t="shared" si="18"/>
        <v>343</v>
      </c>
      <c r="AG99" s="6"/>
      <c r="AH99" s="6"/>
      <c r="AI99" s="34"/>
      <c r="AJ99" s="35">
        <v>373</v>
      </c>
      <c r="AK99" s="35"/>
      <c r="AL99" s="35">
        <f t="shared" si="19"/>
        <v>373</v>
      </c>
      <c r="AM99" s="6">
        <v>773</v>
      </c>
      <c r="AN99" s="6"/>
      <c r="AO99" s="35">
        <f t="shared" si="20"/>
        <v>400</v>
      </c>
      <c r="AP99" s="6">
        <v>1173</v>
      </c>
      <c r="AQ99" s="6"/>
      <c r="AR99" s="35">
        <f t="shared" si="21"/>
        <v>400</v>
      </c>
      <c r="AS99" s="35">
        <v>1571</v>
      </c>
      <c r="AT99" s="35"/>
      <c r="AU99" s="35">
        <f t="shared" si="22"/>
        <v>398</v>
      </c>
      <c r="AV99" s="6">
        <v>146</v>
      </c>
      <c r="AW99" s="6">
        <v>1820</v>
      </c>
      <c r="AX99" s="35">
        <f t="shared" si="23"/>
        <v>395</v>
      </c>
      <c r="AY99" s="6">
        <v>516</v>
      </c>
      <c r="AZ99" s="6"/>
      <c r="BA99" s="35">
        <f t="shared" si="24"/>
        <v>370</v>
      </c>
      <c r="BB99" s="6"/>
      <c r="BC99" s="6"/>
      <c r="BD99" s="6"/>
      <c r="BE99" s="6">
        <v>919</v>
      </c>
      <c r="BF99" s="6"/>
      <c r="BG99" s="6">
        <f t="shared" si="25"/>
        <v>403</v>
      </c>
      <c r="BH99" s="6">
        <v>1309</v>
      </c>
      <c r="BI99" s="6"/>
      <c r="BJ99" s="35">
        <f t="shared" si="26"/>
        <v>390</v>
      </c>
      <c r="BK99" s="6">
        <v>1709</v>
      </c>
      <c r="BL99" s="6"/>
      <c r="BM99" s="6">
        <f t="shared" si="27"/>
        <v>400</v>
      </c>
      <c r="BN99" s="6">
        <v>283</v>
      </c>
      <c r="BO99" s="6">
        <v>1820</v>
      </c>
      <c r="BP99" s="35">
        <f t="shared" si="28"/>
        <v>394</v>
      </c>
      <c r="BQ99" s="6">
        <v>676</v>
      </c>
      <c r="BR99" s="6"/>
      <c r="BS99" s="6">
        <f t="shared" si="29"/>
        <v>393</v>
      </c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</row>
    <row r="100" spans="1:113">
      <c r="A100" s="6">
        <v>96</v>
      </c>
      <c r="B100" s="6">
        <v>743</v>
      </c>
      <c r="C100" s="6"/>
      <c r="D100" s="6">
        <v>363</v>
      </c>
      <c r="E100" s="33" t="s">
        <v>307</v>
      </c>
      <c r="F100" s="33" t="s">
        <v>307</v>
      </c>
      <c r="G100" s="344" t="s">
        <v>307</v>
      </c>
      <c r="H100" s="344" t="s">
        <v>307</v>
      </c>
      <c r="I100" s="344" t="s">
        <v>307</v>
      </c>
      <c r="J100" s="344" t="s">
        <v>307</v>
      </c>
      <c r="K100" s="344" t="s">
        <v>307</v>
      </c>
      <c r="L100" s="344" t="s">
        <v>307</v>
      </c>
      <c r="M100" s="344" t="s">
        <v>307</v>
      </c>
      <c r="N100" s="344" t="s">
        <v>307</v>
      </c>
      <c r="O100" s="344" t="s">
        <v>307</v>
      </c>
      <c r="P100" s="344" t="s">
        <v>307</v>
      </c>
      <c r="Q100" s="344" t="s">
        <v>307</v>
      </c>
      <c r="R100" s="344" t="s">
        <v>307</v>
      </c>
      <c r="S100" s="346" t="s">
        <v>307</v>
      </c>
      <c r="T100" s="344" t="s">
        <v>307</v>
      </c>
      <c r="U100" s="6">
        <v>1157</v>
      </c>
      <c r="V100" s="6"/>
      <c r="W100" s="35">
        <f t="shared" si="15"/>
        <v>414</v>
      </c>
      <c r="X100" s="35">
        <v>1546</v>
      </c>
      <c r="Y100" s="6"/>
      <c r="Z100" s="35">
        <f t="shared" si="16"/>
        <v>389</v>
      </c>
      <c r="AA100" s="35">
        <v>0</v>
      </c>
      <c r="AB100" s="35">
        <v>1560</v>
      </c>
      <c r="AC100" s="35">
        <f t="shared" si="17"/>
        <v>14</v>
      </c>
      <c r="AD100" s="6">
        <v>361</v>
      </c>
      <c r="AE100" s="6"/>
      <c r="AF100" s="35">
        <f t="shared" si="18"/>
        <v>361</v>
      </c>
      <c r="AG100" s="6"/>
      <c r="AH100" s="6"/>
      <c r="AI100" s="34"/>
      <c r="AJ100" s="35">
        <v>744</v>
      </c>
      <c r="AK100" s="35"/>
      <c r="AL100" s="35">
        <f t="shared" si="19"/>
        <v>383</v>
      </c>
      <c r="AM100" s="6">
        <v>1134</v>
      </c>
      <c r="AN100" s="6"/>
      <c r="AO100" s="35">
        <f t="shared" si="20"/>
        <v>390</v>
      </c>
      <c r="AP100" s="35">
        <v>1528</v>
      </c>
      <c r="AQ100" s="6"/>
      <c r="AR100" s="35">
        <f t="shared" si="21"/>
        <v>394</v>
      </c>
      <c r="AS100" s="35">
        <v>101</v>
      </c>
      <c r="AT100" s="35">
        <v>1820</v>
      </c>
      <c r="AU100" s="35">
        <f t="shared" si="22"/>
        <v>393</v>
      </c>
      <c r="AV100" s="6">
        <v>491</v>
      </c>
      <c r="AW100" s="6"/>
      <c r="AX100" s="35">
        <f t="shared" si="23"/>
        <v>390</v>
      </c>
      <c r="AY100" s="6">
        <v>868</v>
      </c>
      <c r="AZ100" s="6"/>
      <c r="BA100" s="35">
        <f t="shared" si="24"/>
        <v>377</v>
      </c>
      <c r="BB100" s="6"/>
      <c r="BC100" s="6"/>
      <c r="BD100" s="6"/>
      <c r="BE100" s="6">
        <v>1268</v>
      </c>
      <c r="BF100" s="6"/>
      <c r="BG100" s="6">
        <f t="shared" si="25"/>
        <v>400</v>
      </c>
      <c r="BH100" s="6">
        <v>1657</v>
      </c>
      <c r="BI100" s="6"/>
      <c r="BJ100" s="35">
        <f t="shared" si="26"/>
        <v>389</v>
      </c>
      <c r="BK100" s="6">
        <v>222</v>
      </c>
      <c r="BL100" s="6">
        <v>1820</v>
      </c>
      <c r="BM100" s="6">
        <f t="shared" si="27"/>
        <v>385</v>
      </c>
      <c r="BN100" s="6">
        <v>294</v>
      </c>
      <c r="BO100" s="6">
        <v>307</v>
      </c>
      <c r="BP100" s="35">
        <f t="shared" si="28"/>
        <v>379</v>
      </c>
      <c r="BQ100" s="6">
        <v>675</v>
      </c>
      <c r="BR100" s="6"/>
      <c r="BS100" s="6">
        <f t="shared" si="29"/>
        <v>381</v>
      </c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</row>
    <row r="101" spans="1:113">
      <c r="A101" s="274">
        <v>97</v>
      </c>
      <c r="B101" s="6">
        <v>259</v>
      </c>
      <c r="C101" s="6">
        <v>1561</v>
      </c>
      <c r="D101" s="6">
        <v>361</v>
      </c>
      <c r="E101" s="33" t="s">
        <v>37</v>
      </c>
      <c r="F101" s="33" t="s">
        <v>37</v>
      </c>
      <c r="G101" s="344" t="s">
        <v>37</v>
      </c>
      <c r="H101" s="344" t="s">
        <v>37</v>
      </c>
      <c r="I101" s="344" t="s">
        <v>37</v>
      </c>
      <c r="J101" s="344" t="s">
        <v>37</v>
      </c>
      <c r="K101" s="344" t="s">
        <v>37</v>
      </c>
      <c r="L101" s="344" t="s">
        <v>37</v>
      </c>
      <c r="M101" s="344" t="s">
        <v>37</v>
      </c>
      <c r="N101" s="346" t="s">
        <v>37</v>
      </c>
      <c r="O101" s="344" t="s">
        <v>37</v>
      </c>
      <c r="P101" s="344" t="s">
        <v>37</v>
      </c>
      <c r="Q101" s="344" t="s">
        <v>37</v>
      </c>
      <c r="R101" s="344" t="s">
        <v>37</v>
      </c>
      <c r="S101" s="344" t="s">
        <v>37</v>
      </c>
      <c r="T101" s="344" t="s">
        <v>37</v>
      </c>
      <c r="U101" s="6">
        <v>670</v>
      </c>
      <c r="V101" s="6"/>
      <c r="W101" s="35">
        <f t="shared" si="15"/>
        <v>411</v>
      </c>
      <c r="X101" s="6">
        <v>1054</v>
      </c>
      <c r="Y101" s="6"/>
      <c r="Z101" s="35">
        <f t="shared" si="16"/>
        <v>384</v>
      </c>
      <c r="AA101" s="35">
        <v>1434</v>
      </c>
      <c r="AB101" s="35"/>
      <c r="AC101" s="35">
        <f t="shared" si="17"/>
        <v>380</v>
      </c>
      <c r="AD101" s="6">
        <v>248</v>
      </c>
      <c r="AE101" s="6">
        <v>1560</v>
      </c>
      <c r="AF101" s="35">
        <f t="shared" si="18"/>
        <v>374</v>
      </c>
      <c r="AG101" s="6"/>
      <c r="AH101" s="6"/>
      <c r="AI101" s="34"/>
      <c r="AJ101" s="35">
        <v>637</v>
      </c>
      <c r="AK101" s="35"/>
      <c r="AL101" s="35">
        <f t="shared" si="19"/>
        <v>389</v>
      </c>
      <c r="AM101" s="6">
        <v>1021</v>
      </c>
      <c r="AN101" s="6"/>
      <c r="AO101" s="35">
        <f t="shared" si="20"/>
        <v>384</v>
      </c>
      <c r="AP101" s="6">
        <v>1405</v>
      </c>
      <c r="AQ101" s="6"/>
      <c r="AR101" s="35">
        <f t="shared" si="21"/>
        <v>384</v>
      </c>
      <c r="AS101" s="35">
        <v>0</v>
      </c>
      <c r="AT101" s="35">
        <v>1617</v>
      </c>
      <c r="AU101" s="35">
        <f t="shared" si="22"/>
        <v>212</v>
      </c>
      <c r="AV101" s="6">
        <v>360</v>
      </c>
      <c r="AW101" s="6"/>
      <c r="AX101" s="35">
        <f t="shared" si="23"/>
        <v>360</v>
      </c>
      <c r="AY101" s="6">
        <v>730</v>
      </c>
      <c r="AZ101" s="6"/>
      <c r="BA101" s="35">
        <f t="shared" si="24"/>
        <v>370</v>
      </c>
      <c r="BB101" s="6"/>
      <c r="BC101" s="6"/>
      <c r="BD101" s="6"/>
      <c r="BE101" s="6">
        <v>1123</v>
      </c>
      <c r="BF101" s="6"/>
      <c r="BG101" s="6">
        <f t="shared" si="25"/>
        <v>393</v>
      </c>
      <c r="BH101" s="6">
        <v>1509</v>
      </c>
      <c r="BI101" s="6"/>
      <c r="BJ101" s="35">
        <f t="shared" si="26"/>
        <v>386</v>
      </c>
      <c r="BK101" s="6">
        <v>335</v>
      </c>
      <c r="BL101" s="6">
        <v>1561</v>
      </c>
      <c r="BM101" s="6">
        <f t="shared" si="27"/>
        <v>387</v>
      </c>
      <c r="BN101" s="6">
        <v>708</v>
      </c>
      <c r="BO101" s="6"/>
      <c r="BP101" s="35">
        <f t="shared" si="28"/>
        <v>373</v>
      </c>
      <c r="BQ101" s="6">
        <v>193</v>
      </c>
      <c r="BR101" s="6">
        <v>889</v>
      </c>
      <c r="BS101" s="6">
        <f t="shared" si="29"/>
        <v>374</v>
      </c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</row>
    <row r="102" spans="1:113">
      <c r="A102" s="274">
        <v>98</v>
      </c>
      <c r="B102" s="6">
        <v>337</v>
      </c>
      <c r="C102" s="6"/>
      <c r="D102" s="6">
        <v>337</v>
      </c>
      <c r="E102" s="148" t="s">
        <v>37</v>
      </c>
      <c r="F102" s="33" t="s">
        <v>37</v>
      </c>
      <c r="G102" s="344" t="s">
        <v>37</v>
      </c>
      <c r="H102" s="344" t="s">
        <v>37</v>
      </c>
      <c r="I102" s="344" t="s">
        <v>37</v>
      </c>
      <c r="J102" s="344" t="s">
        <v>37</v>
      </c>
      <c r="K102" s="344" t="s">
        <v>37</v>
      </c>
      <c r="L102" s="344" t="s">
        <v>37</v>
      </c>
      <c r="M102" s="346" t="s">
        <v>37</v>
      </c>
      <c r="N102" s="344" t="s">
        <v>37</v>
      </c>
      <c r="O102" s="344" t="s">
        <v>37</v>
      </c>
      <c r="P102" s="344" t="s">
        <v>37</v>
      </c>
      <c r="Q102" s="344" t="s">
        <v>37</v>
      </c>
      <c r="R102" s="344" t="s">
        <v>37</v>
      </c>
      <c r="S102" s="344" t="s">
        <v>37</v>
      </c>
      <c r="T102" s="344" t="s">
        <v>37</v>
      </c>
      <c r="U102" s="35">
        <v>746</v>
      </c>
      <c r="V102" s="35"/>
      <c r="W102" s="35">
        <f t="shared" si="15"/>
        <v>409</v>
      </c>
      <c r="X102" s="35">
        <v>1130</v>
      </c>
      <c r="Y102" s="35"/>
      <c r="Z102" s="35">
        <f t="shared" si="16"/>
        <v>384</v>
      </c>
      <c r="AA102" s="35">
        <v>1517</v>
      </c>
      <c r="AB102" s="35"/>
      <c r="AC102" s="35">
        <f t="shared" si="17"/>
        <v>387</v>
      </c>
      <c r="AD102" s="35">
        <v>325</v>
      </c>
      <c r="AE102" s="35">
        <v>1565</v>
      </c>
      <c r="AF102" s="35">
        <f t="shared" si="18"/>
        <v>373</v>
      </c>
      <c r="AG102" s="35"/>
      <c r="AH102" s="35"/>
      <c r="AI102" s="34"/>
      <c r="AJ102" s="35">
        <v>707</v>
      </c>
      <c r="AK102" s="35"/>
      <c r="AL102" s="35">
        <f t="shared" si="19"/>
        <v>382</v>
      </c>
      <c r="AM102" s="6">
        <v>1093</v>
      </c>
      <c r="AN102" s="6"/>
      <c r="AO102" s="35">
        <f t="shared" si="20"/>
        <v>386</v>
      </c>
      <c r="AP102" s="35">
        <v>0</v>
      </c>
      <c r="AQ102" s="35">
        <v>1374</v>
      </c>
      <c r="AR102" s="35">
        <f t="shared" si="21"/>
        <v>281</v>
      </c>
      <c r="AS102" s="6">
        <v>350</v>
      </c>
      <c r="AT102" s="6"/>
      <c r="AU102" s="35">
        <f t="shared" si="22"/>
        <v>350</v>
      </c>
      <c r="AV102" s="35">
        <v>709</v>
      </c>
      <c r="AW102" s="6"/>
      <c r="AX102" s="35">
        <f t="shared" si="23"/>
        <v>359</v>
      </c>
      <c r="AY102" s="6">
        <v>1072</v>
      </c>
      <c r="AZ102" s="6"/>
      <c r="BA102" s="35">
        <f t="shared" si="24"/>
        <v>363</v>
      </c>
      <c r="BB102" s="35"/>
      <c r="BC102" s="35"/>
      <c r="BD102" s="6"/>
      <c r="BE102" s="6">
        <v>368</v>
      </c>
      <c r="BF102" s="6">
        <v>1090</v>
      </c>
      <c r="BG102" s="6">
        <f t="shared" si="25"/>
        <v>386</v>
      </c>
      <c r="BH102" s="6">
        <v>752</v>
      </c>
      <c r="BI102" s="6"/>
      <c r="BJ102" s="35">
        <f t="shared" si="26"/>
        <v>384</v>
      </c>
      <c r="BK102" s="6">
        <v>1137</v>
      </c>
      <c r="BL102" s="6"/>
      <c r="BM102" s="6">
        <f t="shared" si="27"/>
        <v>385</v>
      </c>
      <c r="BN102" s="6">
        <v>1499</v>
      </c>
      <c r="BO102" s="6"/>
      <c r="BP102" s="35">
        <f t="shared" si="28"/>
        <v>362</v>
      </c>
      <c r="BQ102" s="6">
        <v>322</v>
      </c>
      <c r="BR102" s="35">
        <v>1561</v>
      </c>
      <c r="BS102" s="6">
        <f t="shared" si="29"/>
        <v>384</v>
      </c>
      <c r="BT102" s="6"/>
      <c r="BU102" s="6"/>
      <c r="BV102" s="6"/>
      <c r="BW102" s="6"/>
      <c r="BX102" s="35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</row>
    <row r="103" spans="1:113">
      <c r="A103" s="6">
        <v>99</v>
      </c>
      <c r="B103" s="6">
        <v>1547</v>
      </c>
      <c r="C103" s="6"/>
      <c r="D103" s="6">
        <v>370</v>
      </c>
      <c r="E103" s="33" t="s">
        <v>307</v>
      </c>
      <c r="F103" s="33" t="s">
        <v>307</v>
      </c>
      <c r="G103" s="344" t="s">
        <v>307</v>
      </c>
      <c r="H103" s="344" t="s">
        <v>307</v>
      </c>
      <c r="I103" s="344" t="s">
        <v>307</v>
      </c>
      <c r="J103" s="344" t="s">
        <v>307</v>
      </c>
      <c r="K103" s="344" t="s">
        <v>307</v>
      </c>
      <c r="L103" s="344" t="s">
        <v>307</v>
      </c>
      <c r="M103" s="344" t="s">
        <v>307</v>
      </c>
      <c r="N103" s="344" t="s">
        <v>307</v>
      </c>
      <c r="O103" s="344" t="s">
        <v>307</v>
      </c>
      <c r="P103" s="344" t="s">
        <v>307</v>
      </c>
      <c r="Q103" s="344" t="s">
        <v>307</v>
      </c>
      <c r="R103" s="344" t="s">
        <v>307</v>
      </c>
      <c r="S103" s="346" t="s">
        <v>307</v>
      </c>
      <c r="T103" s="344" t="s">
        <v>307</v>
      </c>
      <c r="U103" s="6">
        <v>0</v>
      </c>
      <c r="V103" s="6">
        <v>1560</v>
      </c>
      <c r="W103" s="35">
        <f t="shared" si="15"/>
        <v>13</v>
      </c>
      <c r="X103" s="6">
        <v>0</v>
      </c>
      <c r="Y103" s="6"/>
      <c r="Z103" s="35">
        <f t="shared" si="16"/>
        <v>0</v>
      </c>
      <c r="AA103" s="35">
        <v>0</v>
      </c>
      <c r="AB103" s="35"/>
      <c r="AC103" s="35">
        <f t="shared" si="17"/>
        <v>0</v>
      </c>
      <c r="AD103" s="6">
        <v>345</v>
      </c>
      <c r="AE103" s="6"/>
      <c r="AF103" s="35">
        <f t="shared" si="18"/>
        <v>345</v>
      </c>
      <c r="AG103" s="6"/>
      <c r="AH103" s="6"/>
      <c r="AI103" s="34"/>
      <c r="AJ103" s="35">
        <v>741</v>
      </c>
      <c r="AK103" s="35"/>
      <c r="AL103" s="35">
        <f t="shared" si="19"/>
        <v>396</v>
      </c>
      <c r="AM103" s="6">
        <v>1137</v>
      </c>
      <c r="AN103" s="6"/>
      <c r="AO103" s="35">
        <f t="shared" si="20"/>
        <v>396</v>
      </c>
      <c r="AP103" s="6">
        <v>1532</v>
      </c>
      <c r="AQ103" s="6"/>
      <c r="AR103" s="35">
        <f t="shared" si="21"/>
        <v>395</v>
      </c>
      <c r="AS103" s="35">
        <v>107</v>
      </c>
      <c r="AT103" s="35">
        <v>1820</v>
      </c>
      <c r="AU103" s="35">
        <f t="shared" si="22"/>
        <v>395</v>
      </c>
      <c r="AV103" s="6">
        <v>501</v>
      </c>
      <c r="AW103" s="6"/>
      <c r="AX103" s="35">
        <f t="shared" si="23"/>
        <v>394</v>
      </c>
      <c r="AY103" s="6">
        <v>885</v>
      </c>
      <c r="AZ103" s="6"/>
      <c r="BA103" s="35">
        <f t="shared" si="24"/>
        <v>384</v>
      </c>
      <c r="BB103" s="6"/>
      <c r="BC103" s="6"/>
      <c r="BD103" s="6"/>
      <c r="BE103" s="6">
        <v>1280</v>
      </c>
      <c r="BF103" s="6"/>
      <c r="BG103" s="6">
        <f t="shared" si="25"/>
        <v>395</v>
      </c>
      <c r="BH103" s="6">
        <v>1675</v>
      </c>
      <c r="BI103" s="6"/>
      <c r="BJ103" s="35">
        <f t="shared" si="26"/>
        <v>395</v>
      </c>
      <c r="BK103" s="6">
        <v>0</v>
      </c>
      <c r="BL103" s="6">
        <v>1868</v>
      </c>
      <c r="BM103" s="6">
        <f t="shared" si="27"/>
        <v>193</v>
      </c>
      <c r="BN103" s="6">
        <v>344</v>
      </c>
      <c r="BO103" s="6"/>
      <c r="BP103" s="35">
        <f t="shared" si="28"/>
        <v>344</v>
      </c>
      <c r="BQ103" s="6">
        <v>713</v>
      </c>
      <c r="BR103" s="6"/>
      <c r="BS103" s="6">
        <f t="shared" si="29"/>
        <v>369</v>
      </c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</row>
    <row r="104" spans="1:113">
      <c r="A104" s="274">
        <v>100</v>
      </c>
      <c r="B104" s="6">
        <v>1481</v>
      </c>
      <c r="C104" s="6"/>
      <c r="D104" s="6">
        <v>363</v>
      </c>
      <c r="E104" s="33" t="s">
        <v>37</v>
      </c>
      <c r="F104" s="33" t="s">
        <v>37</v>
      </c>
      <c r="G104" s="344" t="s">
        <v>37</v>
      </c>
      <c r="H104" s="344" t="s">
        <v>37</v>
      </c>
      <c r="I104" s="344" t="s">
        <v>37</v>
      </c>
      <c r="J104" s="344" t="s">
        <v>37</v>
      </c>
      <c r="K104" s="344" t="s">
        <v>37</v>
      </c>
      <c r="L104" s="344" t="s">
        <v>37</v>
      </c>
      <c r="M104" s="344" t="s">
        <v>37</v>
      </c>
      <c r="N104" s="344" t="s">
        <v>37</v>
      </c>
      <c r="O104" s="346" t="s">
        <v>37</v>
      </c>
      <c r="P104" s="344" t="s">
        <v>37</v>
      </c>
      <c r="Q104" s="344" t="s">
        <v>37</v>
      </c>
      <c r="R104" s="344" t="s">
        <v>37</v>
      </c>
      <c r="S104" s="344" t="s">
        <v>37</v>
      </c>
      <c r="T104" s="344" t="s">
        <v>37</v>
      </c>
      <c r="U104" s="35">
        <v>334</v>
      </c>
      <c r="V104" s="35">
        <v>1560</v>
      </c>
      <c r="W104" s="35">
        <f t="shared" si="15"/>
        <v>413</v>
      </c>
      <c r="X104" s="35">
        <v>720</v>
      </c>
      <c r="Y104" s="35"/>
      <c r="Z104" s="35">
        <f t="shared" si="16"/>
        <v>386</v>
      </c>
      <c r="AA104" s="35">
        <v>1104</v>
      </c>
      <c r="AB104" s="35"/>
      <c r="AC104" s="35">
        <f t="shared" si="17"/>
        <v>384</v>
      </c>
      <c r="AD104" s="6">
        <v>1479</v>
      </c>
      <c r="AE104" s="6"/>
      <c r="AF104" s="35">
        <f t="shared" si="18"/>
        <v>375</v>
      </c>
      <c r="AG104" s="6"/>
      <c r="AH104" s="6"/>
      <c r="AI104" s="34"/>
      <c r="AJ104" s="35">
        <v>306</v>
      </c>
      <c r="AK104" s="35">
        <v>1561</v>
      </c>
      <c r="AL104" s="35">
        <f t="shared" si="19"/>
        <v>388</v>
      </c>
      <c r="AM104" s="6">
        <v>680</v>
      </c>
      <c r="AN104" s="6"/>
      <c r="AO104" s="35">
        <f t="shared" si="20"/>
        <v>374</v>
      </c>
      <c r="AP104" s="6">
        <v>1063</v>
      </c>
      <c r="AQ104" s="6"/>
      <c r="AR104" s="35">
        <f t="shared" si="21"/>
        <v>383</v>
      </c>
      <c r="AS104" s="35">
        <v>1447</v>
      </c>
      <c r="AT104" s="35"/>
      <c r="AU104" s="35">
        <f t="shared" si="22"/>
        <v>384</v>
      </c>
      <c r="AV104" s="6">
        <v>0</v>
      </c>
      <c r="AW104" s="6">
        <v>1632</v>
      </c>
      <c r="AX104" s="35">
        <f t="shared" si="23"/>
        <v>185</v>
      </c>
      <c r="AY104" s="6">
        <v>351</v>
      </c>
      <c r="AZ104" s="6"/>
      <c r="BA104" s="35">
        <f t="shared" si="24"/>
        <v>351</v>
      </c>
      <c r="BB104" s="6"/>
      <c r="BC104" s="6"/>
      <c r="BD104" s="6"/>
      <c r="BE104" s="6">
        <v>743</v>
      </c>
      <c r="BF104" s="6"/>
      <c r="BG104" s="6">
        <f t="shared" si="25"/>
        <v>392</v>
      </c>
      <c r="BH104" s="6">
        <v>1129</v>
      </c>
      <c r="BI104" s="6"/>
      <c r="BJ104" s="35">
        <f t="shared" si="26"/>
        <v>386</v>
      </c>
      <c r="BK104" s="6">
        <v>1509</v>
      </c>
      <c r="BL104" s="6"/>
      <c r="BM104" s="6">
        <f t="shared" si="27"/>
        <v>380</v>
      </c>
      <c r="BN104" s="6">
        <v>334</v>
      </c>
      <c r="BO104" s="6">
        <v>1561</v>
      </c>
      <c r="BP104" s="35">
        <f t="shared" si="28"/>
        <v>386</v>
      </c>
      <c r="BQ104" s="6">
        <v>719</v>
      </c>
      <c r="BR104" s="6"/>
      <c r="BS104" s="6">
        <f t="shared" si="29"/>
        <v>385</v>
      </c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</row>
    <row r="105" spans="1:113">
      <c r="A105" s="6">
        <v>101</v>
      </c>
      <c r="B105" s="6">
        <v>1547</v>
      </c>
      <c r="C105" s="6"/>
      <c r="D105" s="6">
        <v>370</v>
      </c>
      <c r="E105" s="33" t="s">
        <v>307</v>
      </c>
      <c r="F105" s="33" t="s">
        <v>307</v>
      </c>
      <c r="G105" s="344" t="s">
        <v>307</v>
      </c>
      <c r="H105" s="344" t="s">
        <v>307</v>
      </c>
      <c r="I105" s="344" t="s">
        <v>307</v>
      </c>
      <c r="J105" s="344" t="s">
        <v>307</v>
      </c>
      <c r="K105" s="344" t="s">
        <v>307</v>
      </c>
      <c r="L105" s="344" t="s">
        <v>307</v>
      </c>
      <c r="M105" s="344" t="s">
        <v>307</v>
      </c>
      <c r="N105" s="344" t="s">
        <v>307</v>
      </c>
      <c r="O105" s="344" t="s">
        <v>307</v>
      </c>
      <c r="P105" s="344" t="s">
        <v>307</v>
      </c>
      <c r="Q105" s="344" t="s">
        <v>307</v>
      </c>
      <c r="R105" s="344" t="s">
        <v>307</v>
      </c>
      <c r="S105" s="344" t="s">
        <v>307</v>
      </c>
      <c r="T105" s="344" t="s">
        <v>307</v>
      </c>
      <c r="U105" s="6">
        <v>0</v>
      </c>
      <c r="V105" s="6">
        <v>1560</v>
      </c>
      <c r="W105" s="35">
        <f t="shared" si="15"/>
        <v>13</v>
      </c>
      <c r="X105" s="6">
        <v>0</v>
      </c>
      <c r="Y105" s="6"/>
      <c r="Z105" s="35">
        <f t="shared" si="16"/>
        <v>0</v>
      </c>
      <c r="AA105" s="35">
        <v>0</v>
      </c>
      <c r="AB105" s="35"/>
      <c r="AC105" s="35">
        <f t="shared" si="17"/>
        <v>0</v>
      </c>
      <c r="AD105" s="6">
        <v>363</v>
      </c>
      <c r="AE105" s="6"/>
      <c r="AF105" s="35">
        <f t="shared" si="18"/>
        <v>363</v>
      </c>
      <c r="AG105" s="6"/>
      <c r="AH105" s="6"/>
      <c r="AI105" s="34"/>
      <c r="AJ105" s="35">
        <v>759</v>
      </c>
      <c r="AK105" s="35"/>
      <c r="AL105" s="35">
        <f t="shared" si="19"/>
        <v>396</v>
      </c>
      <c r="AM105" s="6">
        <v>1148</v>
      </c>
      <c r="AN105" s="6"/>
      <c r="AO105" s="35">
        <f t="shared" si="20"/>
        <v>389</v>
      </c>
      <c r="AP105" s="6">
        <v>1541</v>
      </c>
      <c r="AQ105" s="6"/>
      <c r="AR105" s="35">
        <f t="shared" si="21"/>
        <v>393</v>
      </c>
      <c r="AS105" s="35">
        <v>91</v>
      </c>
      <c r="AT105" s="35">
        <v>1820</v>
      </c>
      <c r="AU105" s="35">
        <f t="shared" si="22"/>
        <v>370</v>
      </c>
      <c r="AV105" s="6">
        <v>468</v>
      </c>
      <c r="AW105" s="6"/>
      <c r="AX105" s="35">
        <f t="shared" si="23"/>
        <v>377</v>
      </c>
      <c r="AY105" s="35">
        <v>844</v>
      </c>
      <c r="AZ105" s="6"/>
      <c r="BA105" s="35">
        <f t="shared" si="24"/>
        <v>376</v>
      </c>
      <c r="BB105" s="6"/>
      <c r="BC105" s="6"/>
      <c r="BD105" s="6"/>
      <c r="BE105" s="6">
        <v>1229</v>
      </c>
      <c r="BF105" s="6"/>
      <c r="BG105" s="6">
        <f t="shared" si="25"/>
        <v>385</v>
      </c>
      <c r="BH105" s="6">
        <v>1611</v>
      </c>
      <c r="BI105" s="6"/>
      <c r="BJ105" s="35">
        <f t="shared" si="26"/>
        <v>382</v>
      </c>
      <c r="BK105" s="6">
        <v>180</v>
      </c>
      <c r="BL105" s="6">
        <v>1820</v>
      </c>
      <c r="BM105" s="6">
        <f t="shared" si="27"/>
        <v>389</v>
      </c>
      <c r="BN105" s="6">
        <v>568</v>
      </c>
      <c r="BO105" s="6"/>
      <c r="BP105" s="35">
        <f t="shared" si="28"/>
        <v>388</v>
      </c>
      <c r="BQ105" s="6">
        <v>960</v>
      </c>
      <c r="BR105" s="6"/>
      <c r="BS105" s="6">
        <f t="shared" si="29"/>
        <v>392</v>
      </c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</row>
    <row r="106" spans="1:113">
      <c r="A106" s="6">
        <v>102</v>
      </c>
      <c r="B106" s="6">
        <v>334</v>
      </c>
      <c r="C106" s="6"/>
      <c r="D106" s="6">
        <v>334</v>
      </c>
      <c r="E106" s="148" t="s">
        <v>37</v>
      </c>
      <c r="F106" s="33" t="s">
        <v>37</v>
      </c>
      <c r="G106" s="344" t="s">
        <v>37</v>
      </c>
      <c r="H106" s="344" t="s">
        <v>37</v>
      </c>
      <c r="I106" s="344" t="s">
        <v>37</v>
      </c>
      <c r="J106" s="344" t="s">
        <v>37</v>
      </c>
      <c r="K106" s="344" t="s">
        <v>37</v>
      </c>
      <c r="L106" s="344" t="s">
        <v>37</v>
      </c>
      <c r="M106" s="344" t="s">
        <v>37</v>
      </c>
      <c r="N106" s="344" t="s">
        <v>37</v>
      </c>
      <c r="O106" s="344" t="s">
        <v>37</v>
      </c>
      <c r="P106" s="344" t="s">
        <v>37</v>
      </c>
      <c r="Q106" s="344" t="s">
        <v>37</v>
      </c>
      <c r="R106" s="344" t="s">
        <v>37</v>
      </c>
      <c r="S106" s="344" t="s">
        <v>37</v>
      </c>
      <c r="T106" s="344" t="s">
        <v>37</v>
      </c>
      <c r="U106" s="6">
        <v>744</v>
      </c>
      <c r="V106" s="6"/>
      <c r="W106" s="35">
        <f t="shared" si="15"/>
        <v>410</v>
      </c>
      <c r="X106" s="6">
        <v>1122</v>
      </c>
      <c r="Y106" s="6"/>
      <c r="Z106" s="35">
        <f t="shared" si="16"/>
        <v>378</v>
      </c>
      <c r="AA106" s="35">
        <v>1501</v>
      </c>
      <c r="AB106" s="35"/>
      <c r="AC106" s="35">
        <f t="shared" si="17"/>
        <v>379</v>
      </c>
      <c r="AD106" s="6">
        <v>313</v>
      </c>
      <c r="AE106" s="6">
        <v>1560</v>
      </c>
      <c r="AF106" s="35">
        <f t="shared" si="18"/>
        <v>372</v>
      </c>
      <c r="AG106" s="6"/>
      <c r="AH106" s="6"/>
      <c r="AI106" s="34"/>
      <c r="AJ106" s="35">
        <v>700</v>
      </c>
      <c r="AK106" s="35"/>
      <c r="AL106" s="35">
        <f t="shared" si="19"/>
        <v>387</v>
      </c>
      <c r="AM106" s="6">
        <v>1088</v>
      </c>
      <c r="AN106" s="6"/>
      <c r="AO106" s="35">
        <f t="shared" si="20"/>
        <v>388</v>
      </c>
      <c r="AP106" s="6">
        <v>1474</v>
      </c>
      <c r="AQ106" s="6"/>
      <c r="AR106" s="35">
        <f t="shared" si="21"/>
        <v>386</v>
      </c>
      <c r="AS106" s="35">
        <v>301</v>
      </c>
      <c r="AT106" s="35">
        <v>1560</v>
      </c>
      <c r="AU106" s="35">
        <f t="shared" si="22"/>
        <v>387</v>
      </c>
      <c r="AV106" s="35">
        <v>688</v>
      </c>
      <c r="AW106" s="6"/>
      <c r="AX106" s="35">
        <f t="shared" si="23"/>
        <v>387</v>
      </c>
      <c r="AY106" s="6">
        <v>1063</v>
      </c>
      <c r="AZ106" s="6"/>
      <c r="BA106" s="35">
        <f t="shared" si="24"/>
        <v>375</v>
      </c>
      <c r="BB106" s="35"/>
      <c r="BC106" s="6"/>
      <c r="BD106" s="6"/>
      <c r="BE106" s="6">
        <v>1456</v>
      </c>
      <c r="BF106" s="6"/>
      <c r="BG106" s="6">
        <f t="shared" si="25"/>
        <v>393</v>
      </c>
      <c r="BH106" s="6">
        <v>279</v>
      </c>
      <c r="BI106" s="6">
        <v>1560</v>
      </c>
      <c r="BJ106" s="35">
        <f t="shared" si="26"/>
        <v>383</v>
      </c>
      <c r="BK106" s="6">
        <v>666</v>
      </c>
      <c r="BL106" s="6"/>
      <c r="BM106" s="6">
        <f t="shared" si="27"/>
        <v>387</v>
      </c>
      <c r="BN106" s="6">
        <v>1045</v>
      </c>
      <c r="BO106" s="6"/>
      <c r="BP106" s="35">
        <f t="shared" si="28"/>
        <v>379</v>
      </c>
      <c r="BQ106" s="6">
        <v>1423</v>
      </c>
      <c r="BR106" s="6"/>
      <c r="BS106" s="6">
        <f t="shared" si="29"/>
        <v>378</v>
      </c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</row>
    <row r="107" spans="1:113">
      <c r="A107" s="274">
        <v>103</v>
      </c>
      <c r="B107" s="6">
        <v>615</v>
      </c>
      <c r="C107" s="6"/>
      <c r="D107" s="6">
        <v>345</v>
      </c>
      <c r="E107" s="33" t="s">
        <v>37</v>
      </c>
      <c r="F107" s="33" t="s">
        <v>37</v>
      </c>
      <c r="G107" s="344" t="s">
        <v>37</v>
      </c>
      <c r="H107" s="344" t="s">
        <v>37</v>
      </c>
      <c r="I107" s="344" t="s">
        <v>37</v>
      </c>
      <c r="J107" s="344" t="s">
        <v>37</v>
      </c>
      <c r="K107" s="344" t="s">
        <v>37</v>
      </c>
      <c r="L107" s="346" t="s">
        <v>37</v>
      </c>
      <c r="M107" s="344" t="s">
        <v>37</v>
      </c>
      <c r="N107" s="344" t="s">
        <v>37</v>
      </c>
      <c r="O107" s="344" t="s">
        <v>37</v>
      </c>
      <c r="P107" s="344" t="s">
        <v>37</v>
      </c>
      <c r="Q107" s="344" t="s">
        <v>37</v>
      </c>
      <c r="R107" s="344" t="s">
        <v>37</v>
      </c>
      <c r="S107" s="344" t="s">
        <v>37</v>
      </c>
      <c r="T107" s="344" t="s">
        <v>37</v>
      </c>
      <c r="U107" s="6">
        <v>1019</v>
      </c>
      <c r="V107" s="6"/>
      <c r="W107" s="35">
        <f t="shared" si="15"/>
        <v>404</v>
      </c>
      <c r="X107" s="6">
        <v>1400</v>
      </c>
      <c r="Y107" s="6"/>
      <c r="Z107" s="35">
        <f t="shared" si="16"/>
        <v>381</v>
      </c>
      <c r="AA107" s="35">
        <v>220</v>
      </c>
      <c r="AB107" s="35">
        <v>1560</v>
      </c>
      <c r="AC107" s="35">
        <f t="shared" si="17"/>
        <v>380</v>
      </c>
      <c r="AD107" s="6">
        <v>588</v>
      </c>
      <c r="AE107" s="6"/>
      <c r="AF107" s="35">
        <f t="shared" si="18"/>
        <v>368</v>
      </c>
      <c r="AG107" s="6"/>
      <c r="AH107" s="6"/>
      <c r="AI107" s="34"/>
      <c r="AJ107" s="35">
        <v>974</v>
      </c>
      <c r="AK107" s="35"/>
      <c r="AL107" s="35">
        <f t="shared" si="19"/>
        <v>386</v>
      </c>
      <c r="AM107" s="6">
        <v>1364</v>
      </c>
      <c r="AN107" s="6"/>
      <c r="AO107" s="35">
        <f t="shared" si="20"/>
        <v>390</v>
      </c>
      <c r="AP107" s="6">
        <v>266</v>
      </c>
      <c r="AQ107" s="6">
        <v>1472</v>
      </c>
      <c r="AR107" s="35">
        <f t="shared" si="21"/>
        <v>374</v>
      </c>
      <c r="AS107" s="35">
        <v>661</v>
      </c>
      <c r="AT107" s="35"/>
      <c r="AU107" s="35">
        <f t="shared" si="22"/>
        <v>395</v>
      </c>
      <c r="AV107" s="6">
        <v>1048</v>
      </c>
      <c r="AW107" s="6"/>
      <c r="AX107" s="35">
        <f t="shared" si="23"/>
        <v>387</v>
      </c>
      <c r="AY107" s="6">
        <v>1427</v>
      </c>
      <c r="AZ107" s="6"/>
      <c r="BA107" s="35">
        <f t="shared" si="24"/>
        <v>379</v>
      </c>
      <c r="BB107" s="6"/>
      <c r="BC107" s="6"/>
      <c r="BD107" s="6"/>
      <c r="BE107" s="6">
        <v>262</v>
      </c>
      <c r="BF107" s="6">
        <v>1560</v>
      </c>
      <c r="BG107" s="6">
        <f t="shared" si="25"/>
        <v>395</v>
      </c>
      <c r="BH107" s="6">
        <v>652</v>
      </c>
      <c r="BI107" s="6"/>
      <c r="BJ107" s="35">
        <f t="shared" si="26"/>
        <v>390</v>
      </c>
      <c r="BK107" s="6">
        <v>1044</v>
      </c>
      <c r="BL107" s="6"/>
      <c r="BM107" s="6">
        <f t="shared" si="27"/>
        <v>392</v>
      </c>
      <c r="BN107" s="6">
        <v>1412</v>
      </c>
      <c r="BO107" s="6"/>
      <c r="BP107" s="35">
        <f t="shared" si="28"/>
        <v>368</v>
      </c>
      <c r="BQ107" s="6">
        <v>231</v>
      </c>
      <c r="BR107" s="6">
        <v>1560</v>
      </c>
      <c r="BS107" s="6">
        <f t="shared" si="29"/>
        <v>379</v>
      </c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</row>
    <row r="108" spans="1:113">
      <c r="A108" s="274">
        <v>104</v>
      </c>
      <c r="B108" s="6">
        <v>829</v>
      </c>
      <c r="C108" s="6"/>
      <c r="D108" s="6">
        <v>362</v>
      </c>
      <c r="E108" s="33" t="s">
        <v>37</v>
      </c>
      <c r="F108" s="33" t="s">
        <v>37</v>
      </c>
      <c r="G108" s="344" t="s">
        <v>37</v>
      </c>
      <c r="H108" s="344" t="s">
        <v>37</v>
      </c>
      <c r="I108" s="346" t="s">
        <v>37</v>
      </c>
      <c r="J108" s="344" t="s">
        <v>37</v>
      </c>
      <c r="K108" s="344" t="s">
        <v>37</v>
      </c>
      <c r="L108" s="344" t="s">
        <v>37</v>
      </c>
      <c r="M108" s="344" t="s">
        <v>37</v>
      </c>
      <c r="N108" s="344" t="s">
        <v>37</v>
      </c>
      <c r="O108" s="344" t="s">
        <v>37</v>
      </c>
      <c r="P108" s="344" t="s">
        <v>37</v>
      </c>
      <c r="Q108" s="344" t="s">
        <v>37</v>
      </c>
      <c r="R108" s="344" t="s">
        <v>37</v>
      </c>
      <c r="S108" s="344" t="s">
        <v>37</v>
      </c>
      <c r="T108" s="344" t="s">
        <v>37</v>
      </c>
      <c r="U108" s="6">
        <v>1225</v>
      </c>
      <c r="V108" s="6"/>
      <c r="W108" s="35">
        <f t="shared" si="15"/>
        <v>396</v>
      </c>
      <c r="X108" s="6">
        <v>1613</v>
      </c>
      <c r="Y108" s="6"/>
      <c r="Z108" s="35">
        <f t="shared" si="16"/>
        <v>388</v>
      </c>
      <c r="AA108" s="35">
        <v>0</v>
      </c>
      <c r="AB108" s="35">
        <v>1970</v>
      </c>
      <c r="AC108" s="35">
        <f t="shared" si="17"/>
        <v>357</v>
      </c>
      <c r="AD108" s="6">
        <v>260</v>
      </c>
      <c r="AE108" s="6"/>
      <c r="AF108" s="35">
        <f t="shared" si="18"/>
        <v>260</v>
      </c>
      <c r="AG108" s="6"/>
      <c r="AH108" s="6"/>
      <c r="AI108" s="34"/>
      <c r="AJ108" s="35">
        <v>647</v>
      </c>
      <c r="AK108" s="35"/>
      <c r="AL108" s="35">
        <f t="shared" si="19"/>
        <v>387</v>
      </c>
      <c r="AM108" s="6">
        <v>1034</v>
      </c>
      <c r="AN108" s="6"/>
      <c r="AO108" s="35">
        <f t="shared" si="20"/>
        <v>387</v>
      </c>
      <c r="AP108" s="6">
        <v>1424</v>
      </c>
      <c r="AQ108" s="6"/>
      <c r="AR108" s="35">
        <f t="shared" si="21"/>
        <v>390</v>
      </c>
      <c r="AS108" s="35">
        <v>250</v>
      </c>
      <c r="AT108" s="35">
        <v>1560</v>
      </c>
      <c r="AU108" s="35">
        <f t="shared" si="22"/>
        <v>386</v>
      </c>
      <c r="AV108" s="6">
        <v>638</v>
      </c>
      <c r="AW108" s="6"/>
      <c r="AX108" s="35">
        <f t="shared" si="23"/>
        <v>388</v>
      </c>
      <c r="AY108" s="6">
        <v>1013</v>
      </c>
      <c r="AZ108" s="6"/>
      <c r="BA108" s="35">
        <f t="shared" si="24"/>
        <v>375</v>
      </c>
      <c r="BB108" s="6"/>
      <c r="BC108" s="6"/>
      <c r="BD108" s="6"/>
      <c r="BE108" s="6">
        <v>1403</v>
      </c>
      <c r="BF108" s="6"/>
      <c r="BG108" s="6">
        <f t="shared" si="25"/>
        <v>390</v>
      </c>
      <c r="BH108" s="6">
        <v>224</v>
      </c>
      <c r="BI108" s="6">
        <v>1560</v>
      </c>
      <c r="BJ108" s="35">
        <f t="shared" si="26"/>
        <v>381</v>
      </c>
      <c r="BK108" s="6">
        <v>603</v>
      </c>
      <c r="BL108" s="6"/>
      <c r="BM108" s="6">
        <f t="shared" si="27"/>
        <v>379</v>
      </c>
      <c r="BN108" s="6">
        <v>988</v>
      </c>
      <c r="BO108" s="6"/>
      <c r="BP108" s="35">
        <f t="shared" si="28"/>
        <v>385</v>
      </c>
      <c r="BQ108" s="6">
        <v>1354</v>
      </c>
      <c r="BR108" s="6"/>
      <c r="BS108" s="6">
        <f t="shared" si="29"/>
        <v>366</v>
      </c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</row>
    <row r="109" spans="1:113">
      <c r="A109" s="274">
        <v>105</v>
      </c>
      <c r="B109" s="6">
        <v>1353</v>
      </c>
      <c r="C109" s="6"/>
      <c r="D109" s="6">
        <v>365</v>
      </c>
      <c r="E109" s="33" t="s">
        <v>37</v>
      </c>
      <c r="F109" s="33" t="s">
        <v>37</v>
      </c>
      <c r="G109" s="344" t="s">
        <v>37</v>
      </c>
      <c r="H109" s="344" t="s">
        <v>37</v>
      </c>
      <c r="I109" s="344" t="s">
        <v>37</v>
      </c>
      <c r="J109" s="344" t="s">
        <v>37</v>
      </c>
      <c r="K109" s="346" t="s">
        <v>37</v>
      </c>
      <c r="L109" s="344" t="s">
        <v>37</v>
      </c>
      <c r="M109" s="344" t="s">
        <v>37</v>
      </c>
      <c r="N109" s="344" t="s">
        <v>37</v>
      </c>
      <c r="O109" s="344" t="s">
        <v>37</v>
      </c>
      <c r="P109" s="344" t="s">
        <v>37</v>
      </c>
      <c r="Q109" s="344" t="s">
        <v>37</v>
      </c>
      <c r="R109" s="344" t="s">
        <v>37</v>
      </c>
      <c r="S109" s="344" t="s">
        <v>37</v>
      </c>
      <c r="T109" s="344" t="s">
        <v>37</v>
      </c>
      <c r="U109" s="6">
        <v>199</v>
      </c>
      <c r="V109" s="6">
        <v>1560</v>
      </c>
      <c r="W109" s="35">
        <f t="shared" si="15"/>
        <v>406</v>
      </c>
      <c r="X109" s="6">
        <v>587</v>
      </c>
      <c r="Y109" s="6"/>
      <c r="Z109" s="35">
        <f t="shared" si="16"/>
        <v>388</v>
      </c>
      <c r="AA109" s="35">
        <v>975</v>
      </c>
      <c r="AB109" s="35"/>
      <c r="AC109" s="35">
        <f t="shared" si="17"/>
        <v>388</v>
      </c>
      <c r="AD109" s="6">
        <v>1347</v>
      </c>
      <c r="AE109" s="6"/>
      <c r="AF109" s="35">
        <f t="shared" si="18"/>
        <v>372</v>
      </c>
      <c r="AG109" s="6"/>
      <c r="AH109" s="6"/>
      <c r="AI109" s="34"/>
      <c r="AJ109" s="35">
        <v>0</v>
      </c>
      <c r="AK109" s="35">
        <v>1640</v>
      </c>
      <c r="AL109" s="35">
        <f t="shared" si="19"/>
        <v>293</v>
      </c>
      <c r="AM109" s="6">
        <v>368</v>
      </c>
      <c r="AN109" s="6"/>
      <c r="AO109" s="35">
        <f t="shared" si="20"/>
        <v>368</v>
      </c>
      <c r="AP109" s="6">
        <v>752</v>
      </c>
      <c r="AQ109" s="6"/>
      <c r="AR109" s="35">
        <f t="shared" si="21"/>
        <v>384</v>
      </c>
      <c r="AS109" s="35">
        <v>1131</v>
      </c>
      <c r="AT109" s="35"/>
      <c r="AU109" s="35">
        <f t="shared" si="22"/>
        <v>379</v>
      </c>
      <c r="AV109" s="6">
        <v>1518</v>
      </c>
      <c r="AW109" s="6"/>
      <c r="AX109" s="35">
        <f t="shared" si="23"/>
        <v>387</v>
      </c>
      <c r="AY109" s="6">
        <v>325</v>
      </c>
      <c r="AZ109" s="6">
        <v>1560</v>
      </c>
      <c r="BA109" s="35">
        <f t="shared" si="24"/>
        <v>367</v>
      </c>
      <c r="BB109" s="6"/>
      <c r="BC109" s="6"/>
      <c r="BD109" s="6"/>
      <c r="BE109" s="6">
        <v>717</v>
      </c>
      <c r="BF109" s="6"/>
      <c r="BG109" s="6">
        <f t="shared" si="25"/>
        <v>392</v>
      </c>
      <c r="BH109" s="6">
        <v>132</v>
      </c>
      <c r="BI109" s="6">
        <v>900</v>
      </c>
      <c r="BJ109" s="35">
        <f t="shared" si="26"/>
        <v>315</v>
      </c>
      <c r="BK109" s="6">
        <v>480</v>
      </c>
      <c r="BL109" s="6"/>
      <c r="BM109" s="6">
        <f t="shared" si="27"/>
        <v>348</v>
      </c>
      <c r="BN109" s="6">
        <v>833</v>
      </c>
      <c r="BO109" s="6"/>
      <c r="BP109" s="35">
        <f t="shared" si="28"/>
        <v>353</v>
      </c>
      <c r="BQ109" s="6">
        <v>1196</v>
      </c>
      <c r="BR109" s="6"/>
      <c r="BS109" s="6">
        <f t="shared" si="29"/>
        <v>363</v>
      </c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</row>
    <row r="110" spans="1:113">
      <c r="A110" s="6">
        <v>106</v>
      </c>
      <c r="B110" s="6">
        <v>1116</v>
      </c>
      <c r="C110" s="6"/>
      <c r="D110" s="6">
        <v>367</v>
      </c>
      <c r="E110" s="33" t="s">
        <v>37</v>
      </c>
      <c r="F110" s="33" t="s">
        <v>37</v>
      </c>
      <c r="G110" s="344" t="s">
        <v>37</v>
      </c>
      <c r="H110" s="344" t="s">
        <v>37</v>
      </c>
      <c r="I110" s="344" t="s">
        <v>37</v>
      </c>
      <c r="J110" s="344" t="s">
        <v>37</v>
      </c>
      <c r="K110" s="344" t="s">
        <v>37</v>
      </c>
      <c r="L110" s="344" t="s">
        <v>37</v>
      </c>
      <c r="M110" s="344" t="s">
        <v>37</v>
      </c>
      <c r="N110" s="344" t="s">
        <v>37</v>
      </c>
      <c r="O110" s="344" t="s">
        <v>37</v>
      </c>
      <c r="P110" s="344" t="s">
        <v>37</v>
      </c>
      <c r="Q110" s="344" t="s">
        <v>37</v>
      </c>
      <c r="R110" s="344" t="s">
        <v>37</v>
      </c>
      <c r="S110" s="344" t="s">
        <v>37</v>
      </c>
      <c r="T110" s="344" t="s">
        <v>37</v>
      </c>
      <c r="U110" s="6">
        <v>1517</v>
      </c>
      <c r="V110" s="6"/>
      <c r="W110" s="35">
        <f t="shared" si="15"/>
        <v>401</v>
      </c>
      <c r="X110" s="6">
        <v>343</v>
      </c>
      <c r="Y110" s="6">
        <v>1560</v>
      </c>
      <c r="Z110" s="35">
        <f t="shared" si="16"/>
        <v>386</v>
      </c>
      <c r="AA110" s="35">
        <v>718</v>
      </c>
      <c r="AB110" s="35"/>
      <c r="AC110" s="35">
        <f t="shared" si="17"/>
        <v>375</v>
      </c>
      <c r="AD110" s="6">
        <v>1083</v>
      </c>
      <c r="AE110" s="6"/>
      <c r="AF110" s="35">
        <f t="shared" si="18"/>
        <v>365</v>
      </c>
      <c r="AG110" s="6"/>
      <c r="AH110" s="6"/>
      <c r="AI110" s="34"/>
      <c r="AJ110" s="35">
        <v>1470</v>
      </c>
      <c r="AK110" s="35"/>
      <c r="AL110" s="35">
        <f t="shared" si="19"/>
        <v>387</v>
      </c>
      <c r="AM110" s="6">
        <v>294</v>
      </c>
      <c r="AN110" s="6">
        <v>1560</v>
      </c>
      <c r="AO110" s="35">
        <f t="shared" si="20"/>
        <v>384</v>
      </c>
      <c r="AP110" s="6">
        <v>681</v>
      </c>
      <c r="AQ110" s="6"/>
      <c r="AR110" s="35">
        <f t="shared" si="21"/>
        <v>387</v>
      </c>
      <c r="AS110" s="35">
        <v>1065</v>
      </c>
      <c r="AT110" s="35"/>
      <c r="AU110" s="35">
        <f t="shared" si="22"/>
        <v>384</v>
      </c>
      <c r="AV110" s="6">
        <v>1441</v>
      </c>
      <c r="AW110" s="6"/>
      <c r="AX110" s="35">
        <f t="shared" si="23"/>
        <v>376</v>
      </c>
      <c r="AY110" s="6">
        <v>239</v>
      </c>
      <c r="AZ110" s="6">
        <v>1561</v>
      </c>
      <c r="BA110" s="35">
        <f t="shared" si="24"/>
        <v>359</v>
      </c>
      <c r="BB110" s="6"/>
      <c r="BC110" s="6"/>
      <c r="BD110" s="6"/>
      <c r="BE110" s="6">
        <v>629</v>
      </c>
      <c r="BF110" s="6"/>
      <c r="BG110" s="6">
        <f t="shared" si="25"/>
        <v>390</v>
      </c>
      <c r="BH110" s="6">
        <v>1010</v>
      </c>
      <c r="BI110" s="6"/>
      <c r="BJ110" s="35">
        <f t="shared" si="26"/>
        <v>381</v>
      </c>
      <c r="BK110" s="6">
        <v>1397</v>
      </c>
      <c r="BL110" s="6"/>
      <c r="BM110" s="6">
        <f t="shared" si="27"/>
        <v>387</v>
      </c>
      <c r="BN110" s="6">
        <v>213</v>
      </c>
      <c r="BO110" s="6">
        <v>1565</v>
      </c>
      <c r="BP110" s="35">
        <f t="shared" si="28"/>
        <v>381</v>
      </c>
      <c r="BQ110" s="6">
        <v>593</v>
      </c>
      <c r="BR110" s="6"/>
      <c r="BS110" s="6">
        <f t="shared" si="29"/>
        <v>380</v>
      </c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</row>
    <row r="111" spans="1:113">
      <c r="A111" s="274">
        <v>107</v>
      </c>
      <c r="B111" s="6">
        <v>959</v>
      </c>
      <c r="C111" s="6"/>
      <c r="D111" s="6">
        <v>356</v>
      </c>
      <c r="E111" s="33" t="s">
        <v>37</v>
      </c>
      <c r="F111" s="33" t="s">
        <v>37</v>
      </c>
      <c r="G111" s="344" t="s">
        <v>37</v>
      </c>
      <c r="H111" s="344" t="s">
        <v>37</v>
      </c>
      <c r="I111" s="344" t="s">
        <v>37</v>
      </c>
      <c r="J111" s="344" t="s">
        <v>37</v>
      </c>
      <c r="K111" s="344" t="s">
        <v>37</v>
      </c>
      <c r="L111" s="344" t="s">
        <v>37</v>
      </c>
      <c r="M111" s="344" t="s">
        <v>37</v>
      </c>
      <c r="N111" s="346" t="s">
        <v>37</v>
      </c>
      <c r="O111" s="344" t="s">
        <v>37</v>
      </c>
      <c r="P111" s="344" t="s">
        <v>37</v>
      </c>
      <c r="Q111" s="344" t="s">
        <v>37</v>
      </c>
      <c r="R111" s="344" t="s">
        <v>37</v>
      </c>
      <c r="S111" s="344" t="s">
        <v>37</v>
      </c>
      <c r="T111" s="344" t="s">
        <v>37</v>
      </c>
      <c r="U111" s="6">
        <v>1360</v>
      </c>
      <c r="V111" s="6"/>
      <c r="W111" s="35">
        <f t="shared" si="15"/>
        <v>401</v>
      </c>
      <c r="X111" s="6">
        <v>174</v>
      </c>
      <c r="Y111" s="6">
        <v>1560</v>
      </c>
      <c r="Z111" s="35">
        <f t="shared" si="16"/>
        <v>374</v>
      </c>
      <c r="AA111" s="35">
        <v>549</v>
      </c>
      <c r="AB111" s="35"/>
      <c r="AC111" s="35">
        <f t="shared" si="17"/>
        <v>375</v>
      </c>
      <c r="AD111" s="6">
        <v>919</v>
      </c>
      <c r="AE111" s="6"/>
      <c r="AF111" s="35">
        <f t="shared" si="18"/>
        <v>370</v>
      </c>
      <c r="AG111" s="6"/>
      <c r="AH111" s="6"/>
      <c r="AI111" s="34"/>
      <c r="AJ111" s="35">
        <v>1303</v>
      </c>
      <c r="AK111" s="35"/>
      <c r="AL111" s="35">
        <f t="shared" si="19"/>
        <v>384</v>
      </c>
      <c r="AM111" s="6">
        <v>21</v>
      </c>
      <c r="AN111" s="6">
        <v>1662</v>
      </c>
      <c r="AO111" s="35">
        <f t="shared" si="20"/>
        <v>380</v>
      </c>
      <c r="AP111" s="6">
        <v>393</v>
      </c>
      <c r="AQ111" s="6"/>
      <c r="AR111" s="35">
        <f t="shared" si="21"/>
        <v>372</v>
      </c>
      <c r="AS111" s="35">
        <v>766</v>
      </c>
      <c r="AT111" s="35"/>
      <c r="AU111" s="35">
        <f t="shared" si="22"/>
        <v>373</v>
      </c>
      <c r="AV111" s="6">
        <v>287</v>
      </c>
      <c r="AW111" s="6">
        <v>821</v>
      </c>
      <c r="AX111" s="35">
        <f t="shared" si="23"/>
        <v>342</v>
      </c>
      <c r="AY111" s="6">
        <v>661</v>
      </c>
      <c r="AZ111" s="6"/>
      <c r="BA111" s="35">
        <f t="shared" si="24"/>
        <v>374</v>
      </c>
      <c r="BB111" s="6"/>
      <c r="BC111" s="6"/>
      <c r="BD111" s="6"/>
      <c r="BE111" s="6">
        <v>1050</v>
      </c>
      <c r="BF111" s="6"/>
      <c r="BG111" s="6">
        <f t="shared" si="25"/>
        <v>389</v>
      </c>
      <c r="BH111" s="6">
        <v>1436</v>
      </c>
      <c r="BI111" s="6"/>
      <c r="BJ111" s="35">
        <f t="shared" si="26"/>
        <v>386</v>
      </c>
      <c r="BK111" s="6">
        <v>261</v>
      </c>
      <c r="BL111" s="6">
        <v>1560</v>
      </c>
      <c r="BM111" s="6">
        <f t="shared" si="27"/>
        <v>385</v>
      </c>
      <c r="BN111" s="6">
        <v>649</v>
      </c>
      <c r="BO111" s="6"/>
      <c r="BP111" s="35">
        <f t="shared" si="28"/>
        <v>388</v>
      </c>
      <c r="BQ111" s="35">
        <v>1035</v>
      </c>
      <c r="BR111" s="6"/>
      <c r="BS111" s="6">
        <f t="shared" si="29"/>
        <v>386</v>
      </c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</row>
    <row r="112" spans="1:113">
      <c r="A112" s="6">
        <v>108</v>
      </c>
      <c r="B112" s="6">
        <v>1362</v>
      </c>
      <c r="C112" s="6"/>
      <c r="D112" s="6">
        <v>359</v>
      </c>
      <c r="E112" s="33" t="s">
        <v>37</v>
      </c>
      <c r="F112" s="148" t="s">
        <v>37</v>
      </c>
      <c r="G112" s="344" t="s">
        <v>37</v>
      </c>
      <c r="H112" s="344" t="s">
        <v>37</v>
      </c>
      <c r="I112" s="344" t="s">
        <v>37</v>
      </c>
      <c r="J112" s="344" t="s">
        <v>37</v>
      </c>
      <c r="K112" s="344" t="s">
        <v>37</v>
      </c>
      <c r="L112" s="344" t="s">
        <v>37</v>
      </c>
      <c r="M112" s="344" t="s">
        <v>37</v>
      </c>
      <c r="N112" s="344" t="s">
        <v>37</v>
      </c>
      <c r="O112" s="344" t="s">
        <v>37</v>
      </c>
      <c r="P112" s="344" t="s">
        <v>37</v>
      </c>
      <c r="Q112" s="344" t="s">
        <v>37</v>
      </c>
      <c r="R112" s="344" t="s">
        <v>37</v>
      </c>
      <c r="S112" s="344" t="s">
        <v>37</v>
      </c>
      <c r="T112" s="344" t="s">
        <v>37</v>
      </c>
      <c r="U112" s="6">
        <v>280</v>
      </c>
      <c r="V112" s="6">
        <v>1465</v>
      </c>
      <c r="W112" s="35">
        <f t="shared" si="15"/>
        <v>383</v>
      </c>
      <c r="X112" s="6">
        <v>656</v>
      </c>
      <c r="Y112" s="6"/>
      <c r="Z112" s="35">
        <f t="shared" si="16"/>
        <v>376</v>
      </c>
      <c r="AA112" s="35">
        <v>1041</v>
      </c>
      <c r="AB112" s="35"/>
      <c r="AC112" s="35">
        <f t="shared" si="17"/>
        <v>385</v>
      </c>
      <c r="AD112" s="6">
        <v>1407</v>
      </c>
      <c r="AE112" s="6"/>
      <c r="AF112" s="35">
        <f t="shared" si="18"/>
        <v>366</v>
      </c>
      <c r="AG112" s="6"/>
      <c r="AH112" s="6"/>
      <c r="AI112" s="34"/>
      <c r="AJ112" s="35">
        <v>227</v>
      </c>
      <c r="AK112" s="35">
        <v>1560</v>
      </c>
      <c r="AL112" s="35">
        <f t="shared" si="19"/>
        <v>380</v>
      </c>
      <c r="AM112" s="6">
        <v>613</v>
      </c>
      <c r="AN112" s="6"/>
      <c r="AO112" s="35">
        <f t="shared" si="20"/>
        <v>386</v>
      </c>
      <c r="AP112" s="6">
        <v>999</v>
      </c>
      <c r="AQ112" s="6"/>
      <c r="AR112" s="35">
        <f t="shared" si="21"/>
        <v>386</v>
      </c>
      <c r="AS112" s="35">
        <v>1382</v>
      </c>
      <c r="AT112" s="35"/>
      <c r="AU112" s="35">
        <f t="shared" si="22"/>
        <v>383</v>
      </c>
      <c r="AV112" s="6">
        <v>204</v>
      </c>
      <c r="AW112" s="6">
        <v>1561</v>
      </c>
      <c r="AX112" s="35">
        <f t="shared" si="23"/>
        <v>383</v>
      </c>
      <c r="AY112" s="6">
        <v>552</v>
      </c>
      <c r="AZ112" s="6"/>
      <c r="BA112" s="35">
        <f t="shared" si="24"/>
        <v>348</v>
      </c>
      <c r="BB112" s="6"/>
      <c r="BC112" s="6"/>
      <c r="BD112" s="6"/>
      <c r="BE112" s="6">
        <v>939</v>
      </c>
      <c r="BF112" s="6"/>
      <c r="BG112" s="6">
        <f t="shared" si="25"/>
        <v>387</v>
      </c>
      <c r="BH112" s="6">
        <v>1316</v>
      </c>
      <c r="BI112" s="6"/>
      <c r="BJ112" s="35">
        <f t="shared" si="26"/>
        <v>377</v>
      </c>
      <c r="BK112" s="6">
        <v>136</v>
      </c>
      <c r="BL112" s="6">
        <v>1560</v>
      </c>
      <c r="BM112" s="6">
        <f t="shared" si="27"/>
        <v>380</v>
      </c>
      <c r="BN112" s="6">
        <v>516</v>
      </c>
      <c r="BO112" s="6"/>
      <c r="BP112" s="35">
        <f t="shared" si="28"/>
        <v>380</v>
      </c>
      <c r="BQ112" s="6">
        <v>903</v>
      </c>
      <c r="BR112" s="6"/>
      <c r="BS112" s="6">
        <f t="shared" si="29"/>
        <v>387</v>
      </c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</row>
    <row r="113" spans="1:113">
      <c r="A113" s="274">
        <v>109</v>
      </c>
      <c r="B113" s="6">
        <v>341</v>
      </c>
      <c r="C113" s="6">
        <v>1074</v>
      </c>
      <c r="D113" s="6">
        <v>360</v>
      </c>
      <c r="E113" s="33" t="s">
        <v>37</v>
      </c>
      <c r="F113" s="33" t="s">
        <v>37</v>
      </c>
      <c r="G113" s="344" t="s">
        <v>37</v>
      </c>
      <c r="H113" s="344" t="s">
        <v>37</v>
      </c>
      <c r="I113" s="344" t="s">
        <v>37</v>
      </c>
      <c r="J113" s="346" t="s">
        <v>37</v>
      </c>
      <c r="K113" s="344" t="s">
        <v>37</v>
      </c>
      <c r="L113" s="344" t="s">
        <v>37</v>
      </c>
      <c r="M113" s="344" t="s">
        <v>37</v>
      </c>
      <c r="N113" s="344" t="s">
        <v>37</v>
      </c>
      <c r="O113" s="344" t="s">
        <v>37</v>
      </c>
      <c r="P113" s="344" t="s">
        <v>37</v>
      </c>
      <c r="Q113" s="344" t="s">
        <v>37</v>
      </c>
      <c r="R113" s="344" t="s">
        <v>37</v>
      </c>
      <c r="S113" s="344" t="s">
        <v>37</v>
      </c>
      <c r="T113" s="344" t="s">
        <v>37</v>
      </c>
      <c r="U113" s="6">
        <v>749</v>
      </c>
      <c r="V113" s="6"/>
      <c r="W113" s="35">
        <f t="shared" si="15"/>
        <v>408</v>
      </c>
      <c r="X113" s="6">
        <v>1132</v>
      </c>
      <c r="Y113" s="6"/>
      <c r="Z113" s="35">
        <f t="shared" si="16"/>
        <v>383</v>
      </c>
      <c r="AA113" s="35">
        <v>1516</v>
      </c>
      <c r="AB113" s="35"/>
      <c r="AC113" s="35">
        <f t="shared" si="17"/>
        <v>384</v>
      </c>
      <c r="AD113" s="6">
        <v>0</v>
      </c>
      <c r="AE113" s="35">
        <v>1818</v>
      </c>
      <c r="AF113" s="35">
        <f t="shared" si="18"/>
        <v>302</v>
      </c>
      <c r="AG113" s="6"/>
      <c r="AH113" s="6"/>
      <c r="AI113" s="34"/>
      <c r="AJ113" s="35">
        <v>292</v>
      </c>
      <c r="AK113" s="35"/>
      <c r="AL113" s="35">
        <f t="shared" si="19"/>
        <v>292</v>
      </c>
      <c r="AM113" s="6">
        <v>679</v>
      </c>
      <c r="AN113" s="6"/>
      <c r="AO113" s="35">
        <f t="shared" si="20"/>
        <v>387</v>
      </c>
      <c r="AP113" s="6">
        <v>1063</v>
      </c>
      <c r="AQ113" s="6"/>
      <c r="AR113" s="35">
        <f t="shared" si="21"/>
        <v>384</v>
      </c>
      <c r="AS113" s="35">
        <v>263</v>
      </c>
      <c r="AT113" s="35">
        <v>1187</v>
      </c>
      <c r="AU113" s="35">
        <f t="shared" si="22"/>
        <v>387</v>
      </c>
      <c r="AV113" s="6">
        <v>630</v>
      </c>
      <c r="AW113" s="6"/>
      <c r="AX113" s="35">
        <f t="shared" si="23"/>
        <v>367</v>
      </c>
      <c r="AY113" s="6">
        <v>1011</v>
      </c>
      <c r="AZ113" s="6"/>
      <c r="BA113" s="35">
        <f t="shared" si="24"/>
        <v>381</v>
      </c>
      <c r="BB113" s="6"/>
      <c r="BC113" s="6"/>
      <c r="BD113" s="6"/>
      <c r="BE113" s="6">
        <v>1404</v>
      </c>
      <c r="BF113" s="6"/>
      <c r="BG113" s="6">
        <f t="shared" si="25"/>
        <v>393</v>
      </c>
      <c r="BH113" s="6">
        <v>390</v>
      </c>
      <c r="BI113" s="6">
        <v>1405</v>
      </c>
      <c r="BJ113" s="35">
        <f t="shared" si="26"/>
        <v>391</v>
      </c>
      <c r="BK113" s="6">
        <v>785</v>
      </c>
      <c r="BL113" s="6"/>
      <c r="BM113" s="6">
        <f t="shared" si="27"/>
        <v>395</v>
      </c>
      <c r="BN113" s="6">
        <v>1179</v>
      </c>
      <c r="BO113" s="6"/>
      <c r="BP113" s="35">
        <f t="shared" si="28"/>
        <v>394</v>
      </c>
      <c r="BQ113" s="6">
        <v>362</v>
      </c>
      <c r="BR113" s="6">
        <v>1200</v>
      </c>
      <c r="BS113" s="6">
        <f t="shared" si="29"/>
        <v>383</v>
      </c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</row>
    <row r="114" spans="1:113">
      <c r="A114" s="274">
        <v>110</v>
      </c>
      <c r="B114" s="6">
        <v>697</v>
      </c>
      <c r="C114" s="6"/>
      <c r="D114" s="6">
        <v>365</v>
      </c>
      <c r="E114" s="33" t="s">
        <v>37</v>
      </c>
      <c r="F114" s="33" t="s">
        <v>37</v>
      </c>
      <c r="G114" s="344" t="s">
        <v>37</v>
      </c>
      <c r="H114" s="344" t="s">
        <v>37</v>
      </c>
      <c r="I114" s="346" t="s">
        <v>37</v>
      </c>
      <c r="J114" s="344" t="s">
        <v>37</v>
      </c>
      <c r="K114" s="344" t="s">
        <v>37</v>
      </c>
      <c r="L114" s="344" t="s">
        <v>37</v>
      </c>
      <c r="M114" s="344" t="s">
        <v>37</v>
      </c>
      <c r="N114" s="344" t="s">
        <v>37</v>
      </c>
      <c r="O114" s="344" t="s">
        <v>37</v>
      </c>
      <c r="P114" s="344" t="s">
        <v>37</v>
      </c>
      <c r="Q114" s="344" t="s">
        <v>37</v>
      </c>
      <c r="R114" s="344" t="s">
        <v>37</v>
      </c>
      <c r="S114" s="344" t="s">
        <v>37</v>
      </c>
      <c r="T114" s="344" t="s">
        <v>37</v>
      </c>
      <c r="U114" s="6">
        <v>1109</v>
      </c>
      <c r="V114" s="6"/>
      <c r="W114" s="35">
        <f t="shared" si="15"/>
        <v>412</v>
      </c>
      <c r="X114" s="6">
        <v>1493</v>
      </c>
      <c r="Y114" s="6"/>
      <c r="Z114" s="35">
        <f t="shared" si="16"/>
        <v>384</v>
      </c>
      <c r="AA114" s="35">
        <v>0</v>
      </c>
      <c r="AB114" s="35">
        <v>1653</v>
      </c>
      <c r="AC114" s="35">
        <f t="shared" si="17"/>
        <v>160</v>
      </c>
      <c r="AD114" s="35">
        <v>343</v>
      </c>
      <c r="AE114" s="6"/>
      <c r="AF114" s="35">
        <f t="shared" si="18"/>
        <v>343</v>
      </c>
      <c r="AG114" s="6"/>
      <c r="AH114" s="6"/>
      <c r="AI114" s="34"/>
      <c r="AJ114" s="35">
        <v>730</v>
      </c>
      <c r="AK114" s="35"/>
      <c r="AL114" s="35">
        <f t="shared" si="19"/>
        <v>387</v>
      </c>
      <c r="AM114" s="6">
        <v>1117</v>
      </c>
      <c r="AN114" s="6"/>
      <c r="AO114" s="35">
        <f t="shared" si="20"/>
        <v>387</v>
      </c>
      <c r="AP114" s="6">
        <v>1506</v>
      </c>
      <c r="AQ114" s="6"/>
      <c r="AR114" s="35">
        <f t="shared" si="21"/>
        <v>389</v>
      </c>
      <c r="AS114" s="35">
        <v>328</v>
      </c>
      <c r="AT114" s="35">
        <v>1561</v>
      </c>
      <c r="AU114" s="35">
        <f t="shared" si="22"/>
        <v>383</v>
      </c>
      <c r="AV114" s="35">
        <f>281+434</f>
        <v>715</v>
      </c>
      <c r="AW114" s="6"/>
      <c r="AX114" s="35">
        <f t="shared" si="23"/>
        <v>387</v>
      </c>
      <c r="AY114" s="6">
        <f>656+434</f>
        <v>1090</v>
      </c>
      <c r="AZ114" s="6"/>
      <c r="BA114" s="35">
        <f t="shared" si="24"/>
        <v>375</v>
      </c>
      <c r="BB114" s="6"/>
      <c r="BC114" s="6"/>
      <c r="BD114" s="6"/>
      <c r="BE114" s="6">
        <f>1044+434</f>
        <v>1478</v>
      </c>
      <c r="BF114" s="6"/>
      <c r="BG114" s="6">
        <f t="shared" si="25"/>
        <v>388</v>
      </c>
      <c r="BH114" s="6">
        <v>305</v>
      </c>
      <c r="BI114" s="6">
        <v>1548</v>
      </c>
      <c r="BJ114" s="35">
        <f t="shared" si="26"/>
        <v>375</v>
      </c>
      <c r="BK114" s="6">
        <v>695</v>
      </c>
      <c r="BL114" s="6"/>
      <c r="BM114" s="6">
        <f t="shared" si="27"/>
        <v>390</v>
      </c>
      <c r="BN114" s="6">
        <v>170</v>
      </c>
      <c r="BO114" s="6">
        <v>867</v>
      </c>
      <c r="BP114" s="35">
        <f t="shared" si="28"/>
        <v>342</v>
      </c>
      <c r="BQ114" s="6">
        <v>542</v>
      </c>
      <c r="BR114" s="6"/>
      <c r="BS114" s="6">
        <f t="shared" si="29"/>
        <v>372</v>
      </c>
      <c r="BT114" s="6"/>
      <c r="BU114" s="6"/>
      <c r="BV114" s="6"/>
      <c r="BW114" s="7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</row>
    <row r="115" spans="1:113">
      <c r="A115" s="6">
        <v>111</v>
      </c>
      <c r="B115" s="6">
        <v>304</v>
      </c>
      <c r="C115" s="6">
        <v>1042</v>
      </c>
      <c r="D115" s="6">
        <v>350</v>
      </c>
      <c r="E115" s="33" t="s">
        <v>37</v>
      </c>
      <c r="F115" s="33" t="s">
        <v>37</v>
      </c>
      <c r="G115" s="344" t="s">
        <v>37</v>
      </c>
      <c r="H115" s="344" t="s">
        <v>37</v>
      </c>
      <c r="I115" s="344" t="s">
        <v>37</v>
      </c>
      <c r="J115" s="344" t="s">
        <v>37</v>
      </c>
      <c r="K115" s="344" t="s">
        <v>37</v>
      </c>
      <c r="L115" s="344" t="s">
        <v>37</v>
      </c>
      <c r="M115" s="344" t="s">
        <v>37</v>
      </c>
      <c r="N115" s="344" t="s">
        <v>37</v>
      </c>
      <c r="O115" s="344" t="s">
        <v>37</v>
      </c>
      <c r="P115" s="344" t="s">
        <v>37</v>
      </c>
      <c r="Q115" s="344" t="s">
        <v>37</v>
      </c>
      <c r="R115" s="344" t="s">
        <v>37</v>
      </c>
      <c r="S115" s="344" t="s">
        <v>37</v>
      </c>
      <c r="T115" s="344" t="s">
        <v>37</v>
      </c>
      <c r="U115" s="35">
        <v>703</v>
      </c>
      <c r="V115" s="35"/>
      <c r="W115" s="35">
        <f t="shared" si="15"/>
        <v>399</v>
      </c>
      <c r="X115" s="35">
        <v>1079</v>
      </c>
      <c r="Y115" s="35"/>
      <c r="Z115" s="35">
        <f t="shared" si="16"/>
        <v>376</v>
      </c>
      <c r="AA115" s="35">
        <v>1457</v>
      </c>
      <c r="AB115" s="35"/>
      <c r="AC115" s="35">
        <f t="shared" si="17"/>
        <v>378</v>
      </c>
      <c r="AD115" s="6">
        <v>283</v>
      </c>
      <c r="AE115" s="6">
        <v>1540</v>
      </c>
      <c r="AF115" s="35">
        <f t="shared" si="18"/>
        <v>366</v>
      </c>
      <c r="AG115" s="6"/>
      <c r="AH115" s="6"/>
      <c r="AI115" s="34"/>
      <c r="AJ115" s="35">
        <v>665</v>
      </c>
      <c r="AK115" s="35"/>
      <c r="AL115" s="35">
        <f t="shared" si="19"/>
        <v>382</v>
      </c>
      <c r="AM115" s="6">
        <v>1053</v>
      </c>
      <c r="AN115" s="6"/>
      <c r="AO115" s="35">
        <f t="shared" si="20"/>
        <v>388</v>
      </c>
      <c r="AP115" s="6">
        <v>1437</v>
      </c>
      <c r="AQ115" s="6"/>
      <c r="AR115" s="35">
        <f t="shared" si="21"/>
        <v>384</v>
      </c>
      <c r="AS115" s="35">
        <v>266</v>
      </c>
      <c r="AT115" s="35">
        <v>1560</v>
      </c>
      <c r="AU115" s="35">
        <f t="shared" si="22"/>
        <v>389</v>
      </c>
      <c r="AV115" s="6">
        <v>652</v>
      </c>
      <c r="AW115" s="6"/>
      <c r="AX115" s="35">
        <f t="shared" si="23"/>
        <v>386</v>
      </c>
      <c r="AY115" s="6">
        <v>1029</v>
      </c>
      <c r="AZ115" s="6"/>
      <c r="BA115" s="35">
        <f t="shared" si="24"/>
        <v>377</v>
      </c>
      <c r="BB115" s="6"/>
      <c r="BC115" s="6"/>
      <c r="BD115" s="6"/>
      <c r="BE115" s="6">
        <v>2</v>
      </c>
      <c r="BF115" s="6">
        <v>1421</v>
      </c>
      <c r="BG115" s="6">
        <f t="shared" si="25"/>
        <v>394</v>
      </c>
      <c r="BH115" s="6">
        <v>378</v>
      </c>
      <c r="BI115" s="6"/>
      <c r="BJ115" s="35">
        <f t="shared" si="26"/>
        <v>376</v>
      </c>
      <c r="BK115" s="6">
        <v>749</v>
      </c>
      <c r="BL115" s="6"/>
      <c r="BM115" s="6">
        <f t="shared" si="27"/>
        <v>371</v>
      </c>
      <c r="BN115" s="6">
        <v>1128</v>
      </c>
      <c r="BO115" s="6"/>
      <c r="BP115" s="35">
        <f t="shared" si="28"/>
        <v>379</v>
      </c>
      <c r="BQ115" s="6">
        <v>2</v>
      </c>
      <c r="BR115" s="6">
        <v>1500</v>
      </c>
      <c r="BS115" s="6">
        <f t="shared" si="29"/>
        <v>374</v>
      </c>
      <c r="BT115" s="6"/>
      <c r="BU115" s="6"/>
      <c r="BV115" s="6"/>
      <c r="BW115" s="7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</row>
    <row r="116" spans="1:113">
      <c r="A116" s="274">
        <v>112</v>
      </c>
      <c r="B116" s="6">
        <v>1453</v>
      </c>
      <c r="C116" s="6"/>
      <c r="D116" s="6">
        <v>356</v>
      </c>
      <c r="E116" s="33" t="s">
        <v>307</v>
      </c>
      <c r="F116" s="33" t="s">
        <v>307</v>
      </c>
      <c r="G116" s="344" t="s">
        <v>307</v>
      </c>
      <c r="H116" s="344" t="s">
        <v>307</v>
      </c>
      <c r="I116" s="344" t="s">
        <v>307</v>
      </c>
      <c r="J116" s="344" t="s">
        <v>307</v>
      </c>
      <c r="K116" s="344" t="s">
        <v>307</v>
      </c>
      <c r="L116" s="344" t="s">
        <v>307</v>
      </c>
      <c r="M116" s="344" t="s">
        <v>307</v>
      </c>
      <c r="N116" s="344" t="s">
        <v>307</v>
      </c>
      <c r="O116" s="344" t="s">
        <v>307</v>
      </c>
      <c r="P116" s="344" t="s">
        <v>307</v>
      </c>
      <c r="Q116" s="408" t="s">
        <v>37</v>
      </c>
      <c r="R116" s="410" t="s">
        <v>37</v>
      </c>
      <c r="S116" s="410" t="s">
        <v>37</v>
      </c>
      <c r="T116" s="410" t="s">
        <v>37</v>
      </c>
      <c r="U116" s="6">
        <v>0</v>
      </c>
      <c r="V116" s="6">
        <v>1560</v>
      </c>
      <c r="W116" s="35">
        <f t="shared" si="15"/>
        <v>107</v>
      </c>
      <c r="X116" s="6">
        <v>0</v>
      </c>
      <c r="Y116" s="6"/>
      <c r="Z116" s="35">
        <f t="shared" si="16"/>
        <v>0</v>
      </c>
      <c r="AA116" s="35">
        <v>0</v>
      </c>
      <c r="AB116" s="35"/>
      <c r="AC116" s="35">
        <f t="shared" si="17"/>
        <v>0</v>
      </c>
      <c r="AD116" s="6">
        <v>371</v>
      </c>
      <c r="AE116" s="6"/>
      <c r="AF116" s="35">
        <f t="shared" si="18"/>
        <v>371</v>
      </c>
      <c r="AG116" s="6"/>
      <c r="AH116" s="6"/>
      <c r="AI116" s="34"/>
      <c r="AJ116" s="35">
        <v>756</v>
      </c>
      <c r="AK116" s="35"/>
      <c r="AL116" s="35">
        <f t="shared" si="19"/>
        <v>385</v>
      </c>
      <c r="AM116" s="6">
        <v>1148</v>
      </c>
      <c r="AN116" s="6"/>
      <c r="AO116" s="35">
        <f t="shared" si="20"/>
        <v>392</v>
      </c>
      <c r="AP116" s="6">
        <v>1542</v>
      </c>
      <c r="AQ116" s="6"/>
      <c r="AR116" s="35">
        <f t="shared" si="21"/>
        <v>394</v>
      </c>
      <c r="AS116" s="35">
        <v>113</v>
      </c>
      <c r="AT116" s="35">
        <v>1820</v>
      </c>
      <c r="AU116" s="35">
        <f t="shared" si="22"/>
        <v>391</v>
      </c>
      <c r="AV116" s="6">
        <v>505</v>
      </c>
      <c r="AW116" s="6"/>
      <c r="AX116" s="35">
        <f t="shared" si="23"/>
        <v>392</v>
      </c>
      <c r="AY116" s="6">
        <v>883</v>
      </c>
      <c r="AZ116" s="6"/>
      <c r="BA116" s="35">
        <f t="shared" si="24"/>
        <v>378</v>
      </c>
      <c r="BB116" s="6"/>
      <c r="BC116" s="6"/>
      <c r="BD116" s="6"/>
      <c r="BE116" s="6">
        <v>0</v>
      </c>
      <c r="BF116" s="6">
        <v>1059</v>
      </c>
      <c r="BG116" s="6">
        <f t="shared" si="25"/>
        <v>176</v>
      </c>
      <c r="BH116" s="6">
        <v>356</v>
      </c>
      <c r="BI116" s="6"/>
      <c r="BJ116" s="35">
        <f t="shared" si="26"/>
        <v>356</v>
      </c>
      <c r="BK116" s="6">
        <v>746</v>
      </c>
      <c r="BL116" s="6"/>
      <c r="BM116" s="6">
        <f t="shared" si="27"/>
        <v>390</v>
      </c>
      <c r="BN116" s="6">
        <v>1140</v>
      </c>
      <c r="BO116" s="6"/>
      <c r="BP116" s="35">
        <f t="shared" si="28"/>
        <v>394</v>
      </c>
      <c r="BQ116" s="6">
        <v>1520</v>
      </c>
      <c r="BR116" s="6"/>
      <c r="BS116" s="6">
        <f t="shared" si="29"/>
        <v>380</v>
      </c>
      <c r="BT116" s="6"/>
      <c r="BU116" s="6"/>
      <c r="BV116" s="6"/>
      <c r="BW116" s="7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</row>
    <row r="117" spans="1:113">
      <c r="A117" s="6">
        <v>113</v>
      </c>
      <c r="B117" s="6">
        <v>695</v>
      </c>
      <c r="C117" s="6"/>
      <c r="D117" s="6">
        <v>363</v>
      </c>
      <c r="E117" s="33" t="s">
        <v>37</v>
      </c>
      <c r="F117" s="33" t="s">
        <v>37</v>
      </c>
      <c r="G117" s="344" t="s">
        <v>37</v>
      </c>
      <c r="H117" s="344" t="s">
        <v>37</v>
      </c>
      <c r="I117" s="344" t="s">
        <v>37</v>
      </c>
      <c r="J117" s="357" t="s">
        <v>307</v>
      </c>
      <c r="K117" s="362" t="s">
        <v>307</v>
      </c>
      <c r="L117" s="362" t="s">
        <v>307</v>
      </c>
      <c r="M117" s="362" t="s">
        <v>307</v>
      </c>
      <c r="N117" s="362" t="s">
        <v>307</v>
      </c>
      <c r="O117" s="362" t="s">
        <v>307</v>
      </c>
      <c r="P117" s="362" t="s">
        <v>307</v>
      </c>
      <c r="Q117" s="362" t="s">
        <v>307</v>
      </c>
      <c r="R117" s="362" t="s">
        <v>307</v>
      </c>
      <c r="S117" s="362" t="s">
        <v>307</v>
      </c>
      <c r="T117" s="362" t="s">
        <v>307</v>
      </c>
      <c r="U117" s="35">
        <v>1102</v>
      </c>
      <c r="V117" s="35"/>
      <c r="W117" s="35">
        <f t="shared" si="15"/>
        <v>407</v>
      </c>
      <c r="X117" s="35">
        <v>1490</v>
      </c>
      <c r="Y117" s="35"/>
      <c r="Z117" s="35">
        <f t="shared" si="16"/>
        <v>388</v>
      </c>
      <c r="AA117" s="35">
        <v>310</v>
      </c>
      <c r="AB117" s="35">
        <v>1560</v>
      </c>
      <c r="AC117" s="35">
        <f t="shared" si="17"/>
        <v>380</v>
      </c>
      <c r="AD117" s="6">
        <v>0</v>
      </c>
      <c r="AE117" s="6">
        <v>610</v>
      </c>
      <c r="AF117" s="35">
        <f t="shared" si="18"/>
        <v>300</v>
      </c>
      <c r="AG117" s="6"/>
      <c r="AH117" s="6"/>
      <c r="AI117" s="34"/>
      <c r="AJ117" s="35">
        <v>284</v>
      </c>
      <c r="AK117" s="35"/>
      <c r="AL117" s="35">
        <f t="shared" si="19"/>
        <v>284</v>
      </c>
      <c r="AM117" s="6">
        <v>658</v>
      </c>
      <c r="AN117" s="6"/>
      <c r="AO117" s="35">
        <f t="shared" si="20"/>
        <v>374</v>
      </c>
      <c r="AP117" s="6">
        <v>1030</v>
      </c>
      <c r="AQ117" s="6"/>
      <c r="AR117" s="35">
        <f t="shared" si="21"/>
        <v>372</v>
      </c>
      <c r="AS117" s="6">
        <v>1415</v>
      </c>
      <c r="AT117" s="6"/>
      <c r="AU117" s="35">
        <f t="shared" si="22"/>
        <v>385</v>
      </c>
      <c r="AV117" s="6">
        <v>1800</v>
      </c>
      <c r="AW117" s="6"/>
      <c r="AX117" s="35">
        <f t="shared" si="23"/>
        <v>385</v>
      </c>
      <c r="AY117" s="6">
        <v>347</v>
      </c>
      <c r="AZ117" s="6">
        <v>1820</v>
      </c>
      <c r="BA117" s="35">
        <f t="shared" si="24"/>
        <v>367</v>
      </c>
      <c r="BB117" s="6"/>
      <c r="BC117" s="35"/>
      <c r="BD117" s="6"/>
      <c r="BE117" s="6">
        <v>736</v>
      </c>
      <c r="BF117" s="6"/>
      <c r="BG117" s="6">
        <f t="shared" si="25"/>
        <v>389</v>
      </c>
      <c r="BH117" s="6">
        <v>1120</v>
      </c>
      <c r="BI117" s="6"/>
      <c r="BJ117" s="35">
        <f t="shared" si="26"/>
        <v>384</v>
      </c>
      <c r="BK117" s="6">
        <v>1503</v>
      </c>
      <c r="BL117" s="6"/>
      <c r="BM117" s="6">
        <f t="shared" si="27"/>
        <v>383</v>
      </c>
      <c r="BN117" s="6">
        <v>303</v>
      </c>
      <c r="BO117" s="6">
        <v>1585</v>
      </c>
      <c r="BP117" s="35">
        <f t="shared" si="28"/>
        <v>385</v>
      </c>
      <c r="BQ117" s="6">
        <v>678</v>
      </c>
      <c r="BR117" s="35"/>
      <c r="BS117" s="6">
        <f t="shared" si="29"/>
        <v>375</v>
      </c>
      <c r="BT117" s="6"/>
      <c r="BU117" s="6"/>
      <c r="BV117" s="6"/>
      <c r="BW117" s="7"/>
      <c r="BX117" s="35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</row>
    <row r="118" spans="1:113">
      <c r="A118" s="6">
        <v>114</v>
      </c>
      <c r="B118" s="6">
        <v>608</v>
      </c>
      <c r="C118" s="6"/>
      <c r="D118" s="6">
        <v>357</v>
      </c>
      <c r="E118" s="33" t="s">
        <v>37</v>
      </c>
      <c r="F118" s="148" t="s">
        <v>37</v>
      </c>
      <c r="G118" s="344" t="s">
        <v>37</v>
      </c>
      <c r="H118" s="344" t="s">
        <v>37</v>
      </c>
      <c r="I118" s="344" t="s">
        <v>37</v>
      </c>
      <c r="J118" s="344" t="s">
        <v>37</v>
      </c>
      <c r="K118" s="344" t="s">
        <v>37</v>
      </c>
      <c r="L118" s="344" t="s">
        <v>37</v>
      </c>
      <c r="M118" s="344" t="s">
        <v>37</v>
      </c>
      <c r="N118" s="344" t="s">
        <v>37</v>
      </c>
      <c r="O118" s="344" t="s">
        <v>37</v>
      </c>
      <c r="P118" s="344" t="s">
        <v>37</v>
      </c>
      <c r="Q118" s="344" t="s">
        <v>37</v>
      </c>
      <c r="R118" s="344" t="s">
        <v>37</v>
      </c>
      <c r="S118" s="344" t="s">
        <v>37</v>
      </c>
      <c r="T118" s="344" t="s">
        <v>37</v>
      </c>
      <c r="U118" s="6">
        <v>296</v>
      </c>
      <c r="V118" s="6">
        <v>707</v>
      </c>
      <c r="W118" s="35">
        <f t="shared" si="15"/>
        <v>395</v>
      </c>
      <c r="X118" s="6">
        <v>683</v>
      </c>
      <c r="Y118" s="6"/>
      <c r="Z118" s="35">
        <f t="shared" si="16"/>
        <v>387</v>
      </c>
      <c r="AA118" s="35">
        <v>1070</v>
      </c>
      <c r="AB118" s="35"/>
      <c r="AC118" s="35">
        <f t="shared" si="17"/>
        <v>387</v>
      </c>
      <c r="AD118" s="6">
        <v>1430</v>
      </c>
      <c r="AE118" s="6"/>
      <c r="AF118" s="35">
        <f t="shared" si="18"/>
        <v>360</v>
      </c>
      <c r="AG118" s="6"/>
      <c r="AH118" s="6"/>
      <c r="AI118" s="34"/>
      <c r="AJ118" s="35">
        <v>265</v>
      </c>
      <c r="AK118" s="35">
        <v>1560</v>
      </c>
      <c r="AL118" s="35">
        <f t="shared" si="19"/>
        <v>395</v>
      </c>
      <c r="AM118" s="6">
        <v>659</v>
      </c>
      <c r="AN118" s="6"/>
      <c r="AO118" s="35">
        <f t="shared" si="20"/>
        <v>394</v>
      </c>
      <c r="AP118" s="6">
        <v>1055</v>
      </c>
      <c r="AQ118" s="6"/>
      <c r="AR118" s="35">
        <f t="shared" si="21"/>
        <v>396</v>
      </c>
      <c r="AS118" s="35">
        <v>1449</v>
      </c>
      <c r="AT118" s="35"/>
      <c r="AU118" s="35">
        <f t="shared" si="22"/>
        <v>394</v>
      </c>
      <c r="AV118" s="6">
        <v>279</v>
      </c>
      <c r="AW118" s="6">
        <v>1561</v>
      </c>
      <c r="AX118" s="35">
        <f t="shared" si="23"/>
        <v>391</v>
      </c>
      <c r="AY118" s="6">
        <v>660</v>
      </c>
      <c r="AZ118" s="6"/>
      <c r="BA118" s="35">
        <f t="shared" si="24"/>
        <v>381</v>
      </c>
      <c r="BB118" s="6"/>
      <c r="BC118" s="6"/>
      <c r="BD118" s="6"/>
      <c r="BE118" s="6">
        <v>1058</v>
      </c>
      <c r="BF118" s="6"/>
      <c r="BG118" s="6">
        <f t="shared" si="25"/>
        <v>398</v>
      </c>
      <c r="BH118" s="6">
        <v>4</v>
      </c>
      <c r="BI118" s="6">
        <v>1446</v>
      </c>
      <c r="BJ118" s="35">
        <f t="shared" si="26"/>
        <v>392</v>
      </c>
      <c r="BK118" s="6">
        <v>400</v>
      </c>
      <c r="BL118" s="6"/>
      <c r="BM118" s="6">
        <f t="shared" si="27"/>
        <v>396</v>
      </c>
      <c r="BN118" s="6">
        <v>792</v>
      </c>
      <c r="BO118" s="6"/>
      <c r="BP118" s="35">
        <f t="shared" si="28"/>
        <v>392</v>
      </c>
      <c r="BQ118" s="6">
        <v>1174</v>
      </c>
      <c r="BR118" s="6"/>
      <c r="BS118" s="6">
        <f t="shared" si="29"/>
        <v>382</v>
      </c>
      <c r="BT118" s="6"/>
      <c r="BU118" s="6"/>
      <c r="BV118" s="6"/>
      <c r="BW118" s="7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</row>
    <row r="119" spans="1:113">
      <c r="A119" s="6">
        <v>115</v>
      </c>
      <c r="B119" s="6">
        <v>216</v>
      </c>
      <c r="C119" s="6">
        <v>1560</v>
      </c>
      <c r="D119" s="6">
        <v>357</v>
      </c>
      <c r="E119" s="33" t="s">
        <v>37</v>
      </c>
      <c r="F119" s="33" t="s">
        <v>37</v>
      </c>
      <c r="G119" s="344" t="s">
        <v>37</v>
      </c>
      <c r="H119" s="344" t="s">
        <v>37</v>
      </c>
      <c r="I119" s="344" t="s">
        <v>37</v>
      </c>
      <c r="J119" s="344" t="s">
        <v>37</v>
      </c>
      <c r="K119" s="344" t="s">
        <v>37</v>
      </c>
      <c r="L119" s="344" t="s">
        <v>37</v>
      </c>
      <c r="M119" s="344" t="s">
        <v>37</v>
      </c>
      <c r="N119" s="344" t="s">
        <v>37</v>
      </c>
      <c r="O119" s="344" t="s">
        <v>37</v>
      </c>
      <c r="P119" s="344" t="s">
        <v>37</v>
      </c>
      <c r="Q119" s="344" t="s">
        <v>37</v>
      </c>
      <c r="R119" s="344" t="s">
        <v>37</v>
      </c>
      <c r="S119" s="344" t="s">
        <v>37</v>
      </c>
      <c r="T119" s="344" t="s">
        <v>37</v>
      </c>
      <c r="U119" s="6">
        <v>618</v>
      </c>
      <c r="V119" s="6"/>
      <c r="W119" s="35">
        <f t="shared" si="15"/>
        <v>402</v>
      </c>
      <c r="X119" s="35">
        <v>998</v>
      </c>
      <c r="Y119" s="6"/>
      <c r="Z119" s="35">
        <f t="shared" si="16"/>
        <v>380</v>
      </c>
      <c r="AA119" s="35">
        <v>1354</v>
      </c>
      <c r="AB119" s="35"/>
      <c r="AC119" s="35">
        <f t="shared" si="17"/>
        <v>356</v>
      </c>
      <c r="AD119" s="6">
        <v>158</v>
      </c>
      <c r="AE119" s="6">
        <v>1560</v>
      </c>
      <c r="AF119" s="35">
        <f t="shared" si="18"/>
        <v>364</v>
      </c>
      <c r="AG119" s="6"/>
      <c r="AH119" s="6"/>
      <c r="AI119" s="34"/>
      <c r="AJ119" s="35">
        <v>523</v>
      </c>
      <c r="AK119" s="35"/>
      <c r="AL119" s="35">
        <f t="shared" si="19"/>
        <v>365</v>
      </c>
      <c r="AM119" s="6">
        <v>904</v>
      </c>
      <c r="AN119" s="6"/>
      <c r="AO119" s="35">
        <f t="shared" si="20"/>
        <v>381</v>
      </c>
      <c r="AP119" s="6">
        <v>1279</v>
      </c>
      <c r="AQ119" s="6"/>
      <c r="AR119" s="35">
        <f t="shared" si="21"/>
        <v>375</v>
      </c>
      <c r="AS119" s="35">
        <v>63</v>
      </c>
      <c r="AT119" s="35">
        <v>1563</v>
      </c>
      <c r="AU119" s="35">
        <f t="shared" si="22"/>
        <v>347</v>
      </c>
      <c r="AV119" s="6">
        <v>437</v>
      </c>
      <c r="AW119" s="6"/>
      <c r="AX119" s="35">
        <f t="shared" si="23"/>
        <v>374</v>
      </c>
      <c r="AY119" s="6">
        <v>14</v>
      </c>
      <c r="AZ119" s="6">
        <v>787</v>
      </c>
      <c r="BA119" s="35">
        <f t="shared" si="24"/>
        <v>364</v>
      </c>
      <c r="BB119" s="6"/>
      <c r="BC119" s="6"/>
      <c r="BD119" s="6"/>
      <c r="BE119" s="6">
        <v>408</v>
      </c>
      <c r="BF119" s="6"/>
      <c r="BG119" s="6">
        <f t="shared" si="25"/>
        <v>394</v>
      </c>
      <c r="BH119" s="6">
        <v>796</v>
      </c>
      <c r="BI119" s="6"/>
      <c r="BJ119" s="35">
        <f t="shared" si="26"/>
        <v>388</v>
      </c>
      <c r="BK119" s="6">
        <v>1173</v>
      </c>
      <c r="BL119" s="6"/>
      <c r="BM119" s="6">
        <f t="shared" si="27"/>
        <v>377</v>
      </c>
      <c r="BN119" s="6">
        <v>1557</v>
      </c>
      <c r="BO119" s="6"/>
      <c r="BP119" s="35">
        <f t="shared" si="28"/>
        <v>384</v>
      </c>
      <c r="BQ119" s="6">
        <v>379</v>
      </c>
      <c r="BR119" s="6">
        <v>1561</v>
      </c>
      <c r="BS119" s="6">
        <f t="shared" si="29"/>
        <v>383</v>
      </c>
      <c r="BT119" s="6"/>
      <c r="BU119" s="6"/>
      <c r="BV119" s="6"/>
      <c r="BW119" s="7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</row>
    <row r="120" spans="1:113">
      <c r="A120" s="6">
        <v>116</v>
      </c>
      <c r="B120" s="6">
        <v>1398</v>
      </c>
      <c r="C120" s="6"/>
      <c r="D120" s="6">
        <v>360</v>
      </c>
      <c r="E120" s="33" t="s">
        <v>37</v>
      </c>
      <c r="F120" s="33" t="s">
        <v>37</v>
      </c>
      <c r="G120" s="344" t="s">
        <v>37</v>
      </c>
      <c r="H120" s="344" t="s">
        <v>37</v>
      </c>
      <c r="I120" s="344" t="s">
        <v>37</v>
      </c>
      <c r="J120" s="344" t="s">
        <v>37</v>
      </c>
      <c r="K120" s="344" t="s">
        <v>37</v>
      </c>
      <c r="L120" s="344" t="s">
        <v>37</v>
      </c>
      <c r="M120" s="344" t="s">
        <v>37</v>
      </c>
      <c r="N120" s="344" t="s">
        <v>37</v>
      </c>
      <c r="O120" s="344" t="s">
        <v>37</v>
      </c>
      <c r="P120" s="344" t="s">
        <v>37</v>
      </c>
      <c r="Q120" s="344" t="s">
        <v>37</v>
      </c>
      <c r="R120" s="344" t="s">
        <v>37</v>
      </c>
      <c r="S120" s="346" t="s">
        <v>37</v>
      </c>
      <c r="T120" s="344" t="s">
        <v>37</v>
      </c>
      <c r="U120" s="6">
        <v>240</v>
      </c>
      <c r="V120" s="6">
        <v>1560</v>
      </c>
      <c r="W120" s="35">
        <f t="shared" si="15"/>
        <v>402</v>
      </c>
      <c r="X120" s="6">
        <v>629</v>
      </c>
      <c r="Y120" s="6"/>
      <c r="Z120" s="35">
        <f t="shared" si="16"/>
        <v>389</v>
      </c>
      <c r="AA120" s="35">
        <v>1013</v>
      </c>
      <c r="AB120" s="35"/>
      <c r="AC120" s="35">
        <f t="shared" si="17"/>
        <v>384</v>
      </c>
      <c r="AD120" s="6">
        <v>1390</v>
      </c>
      <c r="AE120" s="6"/>
      <c r="AF120" s="35">
        <f t="shared" si="18"/>
        <v>377</v>
      </c>
      <c r="AG120" s="6"/>
      <c r="AH120" s="6"/>
      <c r="AI120" s="34"/>
      <c r="AJ120" s="35">
        <v>305</v>
      </c>
      <c r="AK120" s="35">
        <v>1467</v>
      </c>
      <c r="AL120" s="35">
        <f t="shared" si="19"/>
        <v>382</v>
      </c>
      <c r="AM120" s="6">
        <v>683</v>
      </c>
      <c r="AN120" s="6"/>
      <c r="AO120" s="35">
        <f t="shared" si="20"/>
        <v>378</v>
      </c>
      <c r="AP120" s="6">
        <v>1071</v>
      </c>
      <c r="AQ120" s="6"/>
      <c r="AR120" s="35">
        <f t="shared" si="21"/>
        <v>388</v>
      </c>
      <c r="AS120" s="35">
        <v>1462</v>
      </c>
      <c r="AT120" s="35"/>
      <c r="AU120" s="35">
        <f t="shared" si="22"/>
        <v>391</v>
      </c>
      <c r="AV120" s="6">
        <v>286</v>
      </c>
      <c r="AW120" s="6">
        <v>1561</v>
      </c>
      <c r="AX120" s="35">
        <f t="shared" si="23"/>
        <v>385</v>
      </c>
      <c r="AY120" s="6">
        <v>639</v>
      </c>
      <c r="AZ120" s="6"/>
      <c r="BA120" s="35">
        <f t="shared" si="24"/>
        <v>353</v>
      </c>
      <c r="BB120" s="6"/>
      <c r="BC120" s="6"/>
      <c r="BD120" s="6"/>
      <c r="BE120" s="6">
        <v>1029</v>
      </c>
      <c r="BF120" s="6"/>
      <c r="BG120" s="6">
        <f t="shared" si="25"/>
        <v>390</v>
      </c>
      <c r="BH120" s="6">
        <v>1416</v>
      </c>
      <c r="BI120" s="6"/>
      <c r="BJ120" s="35">
        <f t="shared" si="26"/>
        <v>387</v>
      </c>
      <c r="BK120" s="6">
        <v>0</v>
      </c>
      <c r="BL120" s="6">
        <v>1701</v>
      </c>
      <c r="BM120" s="6">
        <f t="shared" si="27"/>
        <v>285</v>
      </c>
      <c r="BN120" s="6">
        <v>364</v>
      </c>
      <c r="BO120" s="6"/>
      <c r="BP120" s="35">
        <f t="shared" si="28"/>
        <v>364</v>
      </c>
      <c r="BQ120" s="6">
        <v>750</v>
      </c>
      <c r="BR120" s="6"/>
      <c r="BS120" s="6">
        <f t="shared" si="29"/>
        <v>386</v>
      </c>
      <c r="BT120" s="6"/>
      <c r="BU120" s="6"/>
      <c r="BV120" s="6"/>
      <c r="BW120" s="7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35"/>
      <c r="CY120" s="6"/>
      <c r="CZ120" s="6"/>
      <c r="DA120" s="35"/>
      <c r="DB120" s="6"/>
      <c r="DC120" s="6"/>
      <c r="DD120" s="35"/>
      <c r="DE120" s="6"/>
      <c r="DF120" s="6"/>
      <c r="DG120" s="35"/>
      <c r="DH120" s="6"/>
      <c r="DI120" s="6"/>
    </row>
    <row r="121" spans="1:113">
      <c r="A121" s="6">
        <v>117</v>
      </c>
      <c r="B121" s="6">
        <v>0</v>
      </c>
      <c r="C121" s="6">
        <v>604</v>
      </c>
      <c r="D121" s="6">
        <v>245</v>
      </c>
      <c r="E121" s="33" t="s">
        <v>37</v>
      </c>
      <c r="F121" s="148" t="s">
        <v>37</v>
      </c>
      <c r="G121" s="344" t="s">
        <v>37</v>
      </c>
      <c r="H121" s="344" t="s">
        <v>37</v>
      </c>
      <c r="I121" s="344" t="s">
        <v>37</v>
      </c>
      <c r="J121" s="344" t="s">
        <v>37</v>
      </c>
      <c r="K121" s="344" t="s">
        <v>37</v>
      </c>
      <c r="L121" s="344" t="s">
        <v>37</v>
      </c>
      <c r="M121" s="344" t="s">
        <v>37</v>
      </c>
      <c r="N121" s="344" t="s">
        <v>37</v>
      </c>
      <c r="O121" s="344" t="s">
        <v>37</v>
      </c>
      <c r="P121" s="344" t="s">
        <v>37</v>
      </c>
      <c r="Q121" s="344" t="s">
        <v>37</v>
      </c>
      <c r="R121" s="344" t="s">
        <v>37</v>
      </c>
      <c r="S121" s="344" t="s">
        <v>37</v>
      </c>
      <c r="T121" s="344" t="s">
        <v>37</v>
      </c>
      <c r="U121" s="6">
        <v>369</v>
      </c>
      <c r="V121" s="6"/>
      <c r="W121" s="35">
        <f t="shared" si="15"/>
        <v>369</v>
      </c>
      <c r="X121" s="6">
        <v>750</v>
      </c>
      <c r="Y121" s="6"/>
      <c r="Z121" s="35">
        <f t="shared" si="16"/>
        <v>381</v>
      </c>
      <c r="AA121" s="35">
        <v>1137</v>
      </c>
      <c r="AB121" s="35"/>
      <c r="AC121" s="35">
        <f t="shared" si="17"/>
        <v>387</v>
      </c>
      <c r="AD121" s="6">
        <v>1511</v>
      </c>
      <c r="AE121" s="6"/>
      <c r="AF121" s="35">
        <f t="shared" si="18"/>
        <v>374</v>
      </c>
      <c r="AG121" s="6"/>
      <c r="AH121" s="6"/>
      <c r="AI121" s="34"/>
      <c r="AJ121" s="35">
        <v>336</v>
      </c>
      <c r="AK121" s="35">
        <v>1561</v>
      </c>
      <c r="AL121" s="35">
        <f t="shared" si="19"/>
        <v>386</v>
      </c>
      <c r="AM121" s="6">
        <v>722</v>
      </c>
      <c r="AN121" s="6"/>
      <c r="AO121" s="35">
        <f t="shared" si="20"/>
        <v>386</v>
      </c>
      <c r="AP121" s="6">
        <v>1109</v>
      </c>
      <c r="AQ121" s="6"/>
      <c r="AR121" s="35">
        <f t="shared" si="21"/>
        <v>387</v>
      </c>
      <c r="AS121" s="35">
        <v>1498</v>
      </c>
      <c r="AT121" s="35"/>
      <c r="AU121" s="35">
        <f t="shared" si="22"/>
        <v>389</v>
      </c>
      <c r="AV121" s="6">
        <v>323</v>
      </c>
      <c r="AW121" s="6">
        <v>1560</v>
      </c>
      <c r="AX121" s="35">
        <f t="shared" si="23"/>
        <v>385</v>
      </c>
      <c r="AY121" s="6">
        <v>700</v>
      </c>
      <c r="AZ121" s="6"/>
      <c r="BA121" s="35">
        <f t="shared" si="24"/>
        <v>377</v>
      </c>
      <c r="BB121" s="6"/>
      <c r="BC121" s="6"/>
      <c r="BD121" s="6"/>
      <c r="BE121" s="6">
        <v>1089</v>
      </c>
      <c r="BF121" s="6"/>
      <c r="BG121" s="6">
        <f t="shared" si="25"/>
        <v>389</v>
      </c>
      <c r="BH121" s="6">
        <v>1474</v>
      </c>
      <c r="BI121" s="6"/>
      <c r="BJ121" s="35">
        <f t="shared" si="26"/>
        <v>385</v>
      </c>
      <c r="BK121" s="6">
        <v>301</v>
      </c>
      <c r="BL121" s="6">
        <v>1560</v>
      </c>
      <c r="BM121" s="6">
        <f t="shared" si="27"/>
        <v>387</v>
      </c>
      <c r="BN121" s="6">
        <v>674</v>
      </c>
      <c r="BO121" s="6"/>
      <c r="BP121" s="35">
        <f t="shared" si="28"/>
        <v>373</v>
      </c>
      <c r="BQ121" s="6">
        <v>1050</v>
      </c>
      <c r="BR121" s="6"/>
      <c r="BS121" s="6">
        <f t="shared" si="29"/>
        <v>376</v>
      </c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</row>
    <row r="122" spans="1:113">
      <c r="A122" s="274">
        <v>118</v>
      </c>
      <c r="B122" s="6">
        <v>491</v>
      </c>
      <c r="C122" s="6"/>
      <c r="D122" s="6">
        <v>364</v>
      </c>
      <c r="E122" s="33" t="s">
        <v>37</v>
      </c>
      <c r="F122" s="33" t="s">
        <v>37</v>
      </c>
      <c r="G122" s="344" t="s">
        <v>37</v>
      </c>
      <c r="H122" s="344" t="s">
        <v>37</v>
      </c>
      <c r="I122" s="346" t="s">
        <v>37</v>
      </c>
      <c r="J122" s="344" t="s">
        <v>37</v>
      </c>
      <c r="K122" s="344" t="s">
        <v>37</v>
      </c>
      <c r="L122" s="344" t="s">
        <v>37</v>
      </c>
      <c r="M122" s="344" t="s">
        <v>37</v>
      </c>
      <c r="N122" s="344" t="s">
        <v>37</v>
      </c>
      <c r="O122" s="344" t="s">
        <v>37</v>
      </c>
      <c r="P122" s="344" t="s">
        <v>37</v>
      </c>
      <c r="Q122" s="344" t="s">
        <v>37</v>
      </c>
      <c r="R122" s="344" t="s">
        <v>37</v>
      </c>
      <c r="S122" s="344" t="s">
        <v>37</v>
      </c>
      <c r="T122" s="344" t="s">
        <v>37</v>
      </c>
      <c r="U122" s="6">
        <v>894</v>
      </c>
      <c r="V122" s="6"/>
      <c r="W122" s="35">
        <f t="shared" si="15"/>
        <v>403</v>
      </c>
      <c r="X122" s="6">
        <v>1282</v>
      </c>
      <c r="Y122" s="6"/>
      <c r="Z122" s="35">
        <f t="shared" si="16"/>
        <v>388</v>
      </c>
      <c r="AA122" s="35">
        <v>1657</v>
      </c>
      <c r="AB122" s="35"/>
      <c r="AC122" s="35">
        <f t="shared" si="17"/>
        <v>375</v>
      </c>
      <c r="AD122" s="6">
        <v>352</v>
      </c>
      <c r="AE122" s="6">
        <v>1658</v>
      </c>
      <c r="AF122" s="35">
        <f t="shared" si="18"/>
        <v>353</v>
      </c>
      <c r="AG122" s="6"/>
      <c r="AH122" s="6"/>
      <c r="AI122" s="34"/>
      <c r="AJ122" s="35">
        <v>741</v>
      </c>
      <c r="AK122" s="35"/>
      <c r="AL122" s="35">
        <f t="shared" si="19"/>
        <v>389</v>
      </c>
      <c r="AM122" s="6">
        <v>1123</v>
      </c>
      <c r="AN122" s="6"/>
      <c r="AO122" s="35">
        <f t="shared" si="20"/>
        <v>382</v>
      </c>
      <c r="AP122" s="6">
        <v>1506</v>
      </c>
      <c r="AQ122" s="6"/>
      <c r="AR122" s="35">
        <f t="shared" si="21"/>
        <v>383</v>
      </c>
      <c r="AS122" s="35">
        <v>329</v>
      </c>
      <c r="AT122" s="35">
        <v>1561</v>
      </c>
      <c r="AU122" s="35">
        <f t="shared" si="22"/>
        <v>384</v>
      </c>
      <c r="AV122" s="6">
        <v>705</v>
      </c>
      <c r="AW122" s="6"/>
      <c r="AX122" s="35">
        <f t="shared" si="23"/>
        <v>376</v>
      </c>
      <c r="AY122" s="6">
        <v>1070</v>
      </c>
      <c r="AZ122" s="6"/>
      <c r="BA122" s="35">
        <f t="shared" si="24"/>
        <v>365</v>
      </c>
      <c r="BB122" s="6"/>
      <c r="BC122" s="6"/>
      <c r="BD122" s="6"/>
      <c r="BE122" s="6">
        <v>1443</v>
      </c>
      <c r="BF122" s="6"/>
      <c r="BG122" s="6">
        <f t="shared" si="25"/>
        <v>373</v>
      </c>
      <c r="BH122" s="6">
        <v>255</v>
      </c>
      <c r="BI122" s="6">
        <v>1560</v>
      </c>
      <c r="BJ122" s="35">
        <f t="shared" si="26"/>
        <v>372</v>
      </c>
      <c r="BK122" s="6">
        <v>629</v>
      </c>
      <c r="BL122" s="6"/>
      <c r="BM122" s="6">
        <f t="shared" si="27"/>
        <v>374</v>
      </c>
      <c r="BN122" s="6">
        <v>1012</v>
      </c>
      <c r="BO122" s="6"/>
      <c r="BP122" s="35">
        <f t="shared" si="28"/>
        <v>383</v>
      </c>
      <c r="BQ122" s="6">
        <v>1382</v>
      </c>
      <c r="BR122" s="6"/>
      <c r="BS122" s="6">
        <f t="shared" si="29"/>
        <v>370</v>
      </c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</row>
    <row r="123" spans="1:113">
      <c r="A123" s="6">
        <v>119</v>
      </c>
      <c r="B123" s="6">
        <v>1070</v>
      </c>
      <c r="C123" s="6"/>
      <c r="D123" s="6">
        <v>362</v>
      </c>
      <c r="E123" s="33" t="s">
        <v>37</v>
      </c>
      <c r="F123" s="33" t="s">
        <v>37</v>
      </c>
      <c r="G123" s="344" t="s">
        <v>37</v>
      </c>
      <c r="H123" s="344" t="s">
        <v>37</v>
      </c>
      <c r="I123" s="344" t="s">
        <v>37</v>
      </c>
      <c r="J123" s="344" t="s">
        <v>37</v>
      </c>
      <c r="K123" s="344" t="s">
        <v>37</v>
      </c>
      <c r="L123" s="344" t="s">
        <v>37</v>
      </c>
      <c r="M123" s="344" t="s">
        <v>37</v>
      </c>
      <c r="N123" s="344" t="s">
        <v>37</v>
      </c>
      <c r="O123" s="344" t="s">
        <v>37</v>
      </c>
      <c r="P123" s="344" t="s">
        <v>37</v>
      </c>
      <c r="Q123" s="344" t="s">
        <v>37</v>
      </c>
      <c r="R123" s="344" t="s">
        <v>37</v>
      </c>
      <c r="S123" s="344" t="s">
        <v>37</v>
      </c>
      <c r="T123" s="346" t="s">
        <v>37</v>
      </c>
      <c r="U123" s="35">
        <v>151</v>
      </c>
      <c r="V123" s="35">
        <v>1315</v>
      </c>
      <c r="W123" s="35">
        <f t="shared" si="15"/>
        <v>396</v>
      </c>
      <c r="X123" s="35">
        <v>519</v>
      </c>
      <c r="Y123" s="35"/>
      <c r="Z123" s="35">
        <f t="shared" si="16"/>
        <v>368</v>
      </c>
      <c r="AA123" s="35">
        <v>900</v>
      </c>
      <c r="AB123" s="35"/>
      <c r="AC123" s="35">
        <f t="shared" si="17"/>
        <v>381</v>
      </c>
      <c r="AD123" s="35">
        <v>1264</v>
      </c>
      <c r="AE123" s="35"/>
      <c r="AF123" s="35">
        <f t="shared" si="18"/>
        <v>364</v>
      </c>
      <c r="AG123" s="6"/>
      <c r="AH123" s="35"/>
      <c r="AI123" s="34"/>
      <c r="AJ123" s="35">
        <v>97</v>
      </c>
      <c r="AK123" s="35">
        <v>1560</v>
      </c>
      <c r="AL123" s="35">
        <f t="shared" si="19"/>
        <v>393</v>
      </c>
      <c r="AM123" s="6">
        <v>491</v>
      </c>
      <c r="AN123" s="6"/>
      <c r="AO123" s="35">
        <f t="shared" si="20"/>
        <v>394</v>
      </c>
      <c r="AP123" s="6">
        <v>887</v>
      </c>
      <c r="AQ123" s="6"/>
      <c r="AR123" s="35">
        <f t="shared" si="21"/>
        <v>396</v>
      </c>
      <c r="AS123" s="6">
        <v>1282</v>
      </c>
      <c r="AT123" s="6"/>
      <c r="AU123" s="35">
        <f t="shared" si="22"/>
        <v>395</v>
      </c>
      <c r="AV123" s="6">
        <v>105</v>
      </c>
      <c r="AW123" s="6">
        <v>1569</v>
      </c>
      <c r="AX123" s="35">
        <f t="shared" si="23"/>
        <v>392</v>
      </c>
      <c r="AY123" s="6">
        <v>487</v>
      </c>
      <c r="AZ123" s="6"/>
      <c r="BA123" s="35">
        <f t="shared" si="24"/>
        <v>382</v>
      </c>
      <c r="BB123" s="6"/>
      <c r="BC123" s="35"/>
      <c r="BD123" s="6"/>
      <c r="BE123" s="6">
        <v>886</v>
      </c>
      <c r="BF123" s="6"/>
      <c r="BG123" s="6">
        <f t="shared" si="25"/>
        <v>399</v>
      </c>
      <c r="BH123" s="6">
        <v>1272</v>
      </c>
      <c r="BI123" s="6"/>
      <c r="BJ123" s="35">
        <f t="shared" si="26"/>
        <v>386</v>
      </c>
      <c r="BK123" s="6">
        <v>81</v>
      </c>
      <c r="BL123" s="6">
        <v>1563</v>
      </c>
      <c r="BM123" s="6">
        <f t="shared" si="27"/>
        <v>372</v>
      </c>
      <c r="BN123" s="6">
        <v>460</v>
      </c>
      <c r="BO123" s="6"/>
      <c r="BP123" s="35">
        <f t="shared" si="28"/>
        <v>379</v>
      </c>
      <c r="BQ123" s="6">
        <v>219</v>
      </c>
      <c r="BR123" s="35">
        <v>587</v>
      </c>
      <c r="BS123" s="6">
        <f t="shared" si="29"/>
        <v>346</v>
      </c>
      <c r="BT123" s="6"/>
      <c r="BU123" s="6"/>
      <c r="BV123" s="6"/>
      <c r="BW123" s="6"/>
      <c r="BX123" s="35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</row>
    <row r="124" spans="1:113">
      <c r="A124" s="6">
        <v>120</v>
      </c>
      <c r="B124" s="6">
        <v>645</v>
      </c>
      <c r="C124" s="6"/>
      <c r="D124" s="6">
        <v>358</v>
      </c>
      <c r="E124" s="33" t="s">
        <v>307</v>
      </c>
      <c r="F124" s="33" t="s">
        <v>307</v>
      </c>
      <c r="G124" s="344" t="s">
        <v>307</v>
      </c>
      <c r="H124" s="344" t="s">
        <v>307</v>
      </c>
      <c r="I124" s="344" t="s">
        <v>307</v>
      </c>
      <c r="J124" s="344" t="s">
        <v>307</v>
      </c>
      <c r="K124" s="344" t="s">
        <v>307</v>
      </c>
      <c r="L124" s="344" t="s">
        <v>307</v>
      </c>
      <c r="M124" s="344" t="s">
        <v>307</v>
      </c>
      <c r="N124" s="344" t="s">
        <v>307</v>
      </c>
      <c r="O124" s="344" t="s">
        <v>307</v>
      </c>
      <c r="P124" s="344" t="s">
        <v>307</v>
      </c>
      <c r="Q124" s="344" t="s">
        <v>307</v>
      </c>
      <c r="R124" s="344" t="s">
        <v>307</v>
      </c>
      <c r="S124" s="344" t="s">
        <v>307</v>
      </c>
      <c r="T124" s="344" t="s">
        <v>307</v>
      </c>
      <c r="U124" s="6">
        <v>1053</v>
      </c>
      <c r="V124" s="6"/>
      <c r="W124" s="35">
        <f t="shared" si="15"/>
        <v>408</v>
      </c>
      <c r="X124" s="6">
        <v>1425</v>
      </c>
      <c r="Y124" s="6"/>
      <c r="Z124" s="35">
        <f t="shared" si="16"/>
        <v>372</v>
      </c>
      <c r="AA124" s="35">
        <v>0</v>
      </c>
      <c r="AB124" s="35">
        <v>1560</v>
      </c>
      <c r="AC124" s="35">
        <f t="shared" si="17"/>
        <v>135</v>
      </c>
      <c r="AD124" s="6">
        <v>349</v>
      </c>
      <c r="AE124" s="6"/>
      <c r="AF124" s="35">
        <f t="shared" si="18"/>
        <v>349</v>
      </c>
      <c r="AG124" s="6"/>
      <c r="AH124" s="6"/>
      <c r="AI124" s="34"/>
      <c r="AJ124" s="35">
        <v>79</v>
      </c>
      <c r="AK124" s="35">
        <v>640</v>
      </c>
      <c r="AL124" s="35">
        <f t="shared" si="19"/>
        <v>370</v>
      </c>
      <c r="AM124" s="6">
        <v>458</v>
      </c>
      <c r="AN124" s="6"/>
      <c r="AO124" s="35">
        <f t="shared" si="20"/>
        <v>379</v>
      </c>
      <c r="AP124" s="6">
        <v>838</v>
      </c>
      <c r="AQ124" s="6"/>
      <c r="AR124" s="35">
        <f t="shared" si="21"/>
        <v>380</v>
      </c>
      <c r="AS124" s="35">
        <v>1215</v>
      </c>
      <c r="AT124" s="35"/>
      <c r="AU124" s="35">
        <f t="shared" si="22"/>
        <v>377</v>
      </c>
      <c r="AV124" s="6">
        <v>1584</v>
      </c>
      <c r="AW124" s="6"/>
      <c r="AX124" s="35">
        <f t="shared" si="23"/>
        <v>369</v>
      </c>
      <c r="AY124" s="6">
        <v>138</v>
      </c>
      <c r="AZ124" s="6">
        <v>1808</v>
      </c>
      <c r="BA124" s="35">
        <f t="shared" si="24"/>
        <v>362</v>
      </c>
      <c r="BB124" s="6"/>
      <c r="BC124" s="6"/>
      <c r="BD124" s="6"/>
      <c r="BE124" s="6">
        <v>521</v>
      </c>
      <c r="BF124" s="6"/>
      <c r="BG124" s="6">
        <f t="shared" si="25"/>
        <v>383</v>
      </c>
      <c r="BH124" s="6">
        <v>910</v>
      </c>
      <c r="BI124" s="6"/>
      <c r="BJ124" s="35">
        <f t="shared" si="26"/>
        <v>389</v>
      </c>
      <c r="BK124" s="6">
        <v>1306</v>
      </c>
      <c r="BL124" s="6"/>
      <c r="BM124" s="6">
        <f t="shared" si="27"/>
        <v>396</v>
      </c>
      <c r="BN124" s="6">
        <v>1693</v>
      </c>
      <c r="BO124" s="6"/>
      <c r="BP124" s="35">
        <f t="shared" si="28"/>
        <v>387</v>
      </c>
      <c r="BQ124" s="6">
        <v>271</v>
      </c>
      <c r="BR124" s="6">
        <v>1809</v>
      </c>
      <c r="BS124" s="6">
        <f t="shared" si="29"/>
        <v>387</v>
      </c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</row>
    <row r="125" spans="1:113">
      <c r="A125" s="6">
        <v>121</v>
      </c>
      <c r="B125" s="6">
        <v>699</v>
      </c>
      <c r="C125" s="6"/>
      <c r="D125" s="6">
        <v>354</v>
      </c>
      <c r="E125" s="33" t="s">
        <v>37</v>
      </c>
      <c r="F125" s="33" t="s">
        <v>37</v>
      </c>
      <c r="G125" s="344" t="s">
        <v>37</v>
      </c>
      <c r="H125" s="344" t="s">
        <v>37</v>
      </c>
      <c r="I125" s="344" t="s">
        <v>37</v>
      </c>
      <c r="J125" s="344" t="s">
        <v>37</v>
      </c>
      <c r="K125" s="344" t="s">
        <v>37</v>
      </c>
      <c r="L125" s="344" t="s">
        <v>37</v>
      </c>
      <c r="M125" s="344" t="s">
        <v>37</v>
      </c>
      <c r="N125" s="344" t="s">
        <v>37</v>
      </c>
      <c r="O125" s="344" t="s">
        <v>37</v>
      </c>
      <c r="P125" s="344" t="s">
        <v>37</v>
      </c>
      <c r="Q125" s="344" t="s">
        <v>37</v>
      </c>
      <c r="R125" s="344" t="s">
        <v>37</v>
      </c>
      <c r="S125" s="344" t="s">
        <v>37</v>
      </c>
      <c r="T125" s="346" t="s">
        <v>37</v>
      </c>
      <c r="U125" s="6">
        <v>1115</v>
      </c>
      <c r="V125" s="6"/>
      <c r="W125" s="35">
        <f t="shared" si="15"/>
        <v>416</v>
      </c>
      <c r="X125" s="6">
        <v>1498</v>
      </c>
      <c r="Y125" s="6"/>
      <c r="Z125" s="35">
        <f t="shared" si="16"/>
        <v>383</v>
      </c>
      <c r="AA125" s="35">
        <v>308</v>
      </c>
      <c r="AB125" s="35">
        <v>1563</v>
      </c>
      <c r="AC125" s="35">
        <f t="shared" si="17"/>
        <v>373</v>
      </c>
      <c r="AD125" s="6">
        <v>678</v>
      </c>
      <c r="AE125" s="6"/>
      <c r="AF125" s="35">
        <f t="shared" si="18"/>
        <v>370</v>
      </c>
      <c r="AG125" s="6"/>
      <c r="AH125" s="6"/>
      <c r="AI125" s="34"/>
      <c r="AJ125" s="35">
        <v>1067</v>
      </c>
      <c r="AK125" s="35"/>
      <c r="AL125" s="35">
        <f t="shared" si="19"/>
        <v>389</v>
      </c>
      <c r="AM125" s="6">
        <v>1450</v>
      </c>
      <c r="AN125" s="6"/>
      <c r="AO125" s="35">
        <f t="shared" si="20"/>
        <v>383</v>
      </c>
      <c r="AP125" s="6">
        <v>277</v>
      </c>
      <c r="AQ125" s="6">
        <v>1560</v>
      </c>
      <c r="AR125" s="35">
        <f t="shared" si="21"/>
        <v>387</v>
      </c>
      <c r="AS125" s="35">
        <v>663</v>
      </c>
      <c r="AT125" s="35"/>
      <c r="AU125" s="35">
        <f t="shared" si="22"/>
        <v>386</v>
      </c>
      <c r="AV125" s="6">
        <v>1049</v>
      </c>
      <c r="AW125" s="6"/>
      <c r="AX125" s="35">
        <f t="shared" si="23"/>
        <v>386</v>
      </c>
      <c r="AY125" s="6">
        <v>16</v>
      </c>
      <c r="AZ125" s="6">
        <v>1403</v>
      </c>
      <c r="BA125" s="35">
        <f t="shared" si="24"/>
        <v>370</v>
      </c>
      <c r="BB125" s="6"/>
      <c r="BC125" s="6"/>
      <c r="BD125" s="6"/>
      <c r="BE125" s="6">
        <v>408</v>
      </c>
      <c r="BF125" s="6"/>
      <c r="BG125" s="6">
        <f t="shared" si="25"/>
        <v>392</v>
      </c>
      <c r="BH125" s="6">
        <v>790</v>
      </c>
      <c r="BI125" s="6"/>
      <c r="BJ125" s="35">
        <f t="shared" si="26"/>
        <v>382</v>
      </c>
      <c r="BK125" s="6">
        <v>1179</v>
      </c>
      <c r="BL125" s="6"/>
      <c r="BM125" s="6">
        <f t="shared" si="27"/>
        <v>389</v>
      </c>
      <c r="BN125" s="6">
        <v>1566</v>
      </c>
      <c r="BO125" s="6"/>
      <c r="BP125" s="35">
        <f t="shared" si="28"/>
        <v>387</v>
      </c>
      <c r="BQ125" s="6">
        <v>250</v>
      </c>
      <c r="BR125" s="6">
        <v>1689</v>
      </c>
      <c r="BS125" s="6">
        <f t="shared" si="29"/>
        <v>373</v>
      </c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</row>
    <row r="126" spans="1:113">
      <c r="A126" s="274">
        <v>122</v>
      </c>
      <c r="B126" s="6">
        <v>1219</v>
      </c>
      <c r="C126" s="6"/>
      <c r="D126" s="6">
        <v>363</v>
      </c>
      <c r="E126" s="33" t="s">
        <v>37</v>
      </c>
      <c r="F126" s="33" t="s">
        <v>37</v>
      </c>
      <c r="G126" s="344" t="s">
        <v>37</v>
      </c>
      <c r="H126" s="344" t="s">
        <v>37</v>
      </c>
      <c r="I126" s="344" t="s">
        <v>37</v>
      </c>
      <c r="J126" s="344" t="s">
        <v>37</v>
      </c>
      <c r="K126" s="346" t="s">
        <v>37</v>
      </c>
      <c r="L126" s="344" t="s">
        <v>37</v>
      </c>
      <c r="M126" s="344" t="s">
        <v>37</v>
      </c>
      <c r="N126" s="344" t="s">
        <v>37</v>
      </c>
      <c r="O126" s="344" t="s">
        <v>37</v>
      </c>
      <c r="P126" s="344" t="s">
        <v>37</v>
      </c>
      <c r="Q126" s="344" t="s">
        <v>37</v>
      </c>
      <c r="R126" s="344" t="s">
        <v>37</v>
      </c>
      <c r="S126" s="344" t="s">
        <v>37</v>
      </c>
      <c r="T126" s="344" t="s">
        <v>37</v>
      </c>
      <c r="U126" s="6">
        <v>52</v>
      </c>
      <c r="V126" s="6">
        <v>1560</v>
      </c>
      <c r="W126" s="35">
        <f t="shared" si="15"/>
        <v>393</v>
      </c>
      <c r="X126" s="6">
        <v>435</v>
      </c>
      <c r="Y126" s="6"/>
      <c r="Z126" s="35">
        <f t="shared" si="16"/>
        <v>383</v>
      </c>
      <c r="AA126" s="35">
        <v>799</v>
      </c>
      <c r="AB126" s="35"/>
      <c r="AC126" s="35">
        <f t="shared" si="17"/>
        <v>364</v>
      </c>
      <c r="AD126" s="6">
        <v>1172</v>
      </c>
      <c r="AE126" s="6"/>
      <c r="AF126" s="35">
        <f t="shared" si="18"/>
        <v>373</v>
      </c>
      <c r="AG126" s="6"/>
      <c r="AH126" s="6"/>
      <c r="AI126" s="34"/>
      <c r="AJ126" s="35">
        <v>1547</v>
      </c>
      <c r="AK126" s="35"/>
      <c r="AL126" s="35">
        <f t="shared" si="19"/>
        <v>375</v>
      </c>
      <c r="AM126" s="6">
        <v>262</v>
      </c>
      <c r="AN126" s="6">
        <v>1560</v>
      </c>
      <c r="AO126" s="35">
        <f t="shared" si="20"/>
        <v>275</v>
      </c>
      <c r="AP126" s="6">
        <v>649</v>
      </c>
      <c r="AQ126" s="6"/>
      <c r="AR126" s="35">
        <f t="shared" si="21"/>
        <v>387</v>
      </c>
      <c r="AS126" s="35">
        <v>1034</v>
      </c>
      <c r="AT126" s="35"/>
      <c r="AU126" s="35">
        <f t="shared" si="22"/>
        <v>385</v>
      </c>
      <c r="AV126" s="6">
        <v>1419</v>
      </c>
      <c r="AW126" s="6"/>
      <c r="AX126" s="35">
        <f t="shared" si="23"/>
        <v>385</v>
      </c>
      <c r="AY126" s="6">
        <v>235</v>
      </c>
      <c r="AZ126" s="6">
        <v>1561</v>
      </c>
      <c r="BA126" s="35">
        <f t="shared" si="24"/>
        <v>377</v>
      </c>
      <c r="BB126" s="6"/>
      <c r="BC126" s="6"/>
      <c r="BD126" s="6"/>
      <c r="BE126" s="6">
        <v>623</v>
      </c>
      <c r="BF126" s="6"/>
      <c r="BG126" s="6">
        <f t="shared" si="25"/>
        <v>388</v>
      </c>
      <c r="BH126" s="6">
        <v>1009</v>
      </c>
      <c r="BI126" s="6"/>
      <c r="BJ126" s="35">
        <f t="shared" si="26"/>
        <v>386</v>
      </c>
      <c r="BK126" s="6">
        <v>1393</v>
      </c>
      <c r="BL126" s="6"/>
      <c r="BM126" s="6">
        <f t="shared" si="27"/>
        <v>384</v>
      </c>
      <c r="BN126" s="6">
        <v>203</v>
      </c>
      <c r="BO126" s="6">
        <v>1566</v>
      </c>
      <c r="BP126" s="35">
        <f t="shared" si="28"/>
        <v>376</v>
      </c>
      <c r="BQ126" s="6">
        <v>580</v>
      </c>
      <c r="BR126" s="6"/>
      <c r="BS126" s="6">
        <f t="shared" si="29"/>
        <v>377</v>
      </c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</row>
    <row r="127" spans="1:113">
      <c r="A127" s="6">
        <v>123</v>
      </c>
      <c r="B127" s="6">
        <v>227</v>
      </c>
      <c r="C127" s="6">
        <v>323</v>
      </c>
      <c r="D127" s="6">
        <v>343</v>
      </c>
      <c r="E127" s="148" t="s">
        <v>37</v>
      </c>
      <c r="F127" s="33" t="s">
        <v>37</v>
      </c>
      <c r="G127" s="344" t="s">
        <v>37</v>
      </c>
      <c r="H127" s="344" t="s">
        <v>37</v>
      </c>
      <c r="I127" s="344" t="s">
        <v>37</v>
      </c>
      <c r="J127" s="344" t="s">
        <v>37</v>
      </c>
      <c r="K127" s="344" t="s">
        <v>37</v>
      </c>
      <c r="L127" s="344" t="s">
        <v>37</v>
      </c>
      <c r="M127" s="344" t="s">
        <v>37</v>
      </c>
      <c r="N127" s="344" t="s">
        <v>37</v>
      </c>
      <c r="O127" s="344" t="s">
        <v>37</v>
      </c>
      <c r="P127" s="344" t="s">
        <v>37</v>
      </c>
      <c r="Q127" s="344" t="s">
        <v>37</v>
      </c>
      <c r="R127" s="344" t="s">
        <v>37</v>
      </c>
      <c r="S127" s="344" t="s">
        <v>37</v>
      </c>
      <c r="T127" s="344" t="s">
        <v>37</v>
      </c>
      <c r="U127" s="6">
        <v>641</v>
      </c>
      <c r="V127" s="6"/>
      <c r="W127" s="35">
        <f t="shared" si="15"/>
        <v>414</v>
      </c>
      <c r="X127" s="6">
        <v>1030</v>
      </c>
      <c r="Y127" s="6"/>
      <c r="Z127" s="35">
        <f t="shared" si="16"/>
        <v>389</v>
      </c>
      <c r="AA127" s="35">
        <v>1411</v>
      </c>
      <c r="AB127" s="35"/>
      <c r="AC127" s="35">
        <f t="shared" si="17"/>
        <v>381</v>
      </c>
      <c r="AD127" s="6">
        <v>225</v>
      </c>
      <c r="AE127" s="6">
        <v>1560</v>
      </c>
      <c r="AF127" s="35">
        <f t="shared" si="18"/>
        <v>374</v>
      </c>
      <c r="AG127" s="6"/>
      <c r="AH127" s="6"/>
      <c r="AI127" s="34"/>
      <c r="AJ127" s="35">
        <v>614</v>
      </c>
      <c r="AK127" s="35"/>
      <c r="AL127" s="35">
        <f t="shared" si="19"/>
        <v>389</v>
      </c>
      <c r="AM127" s="6">
        <v>992</v>
      </c>
      <c r="AN127" s="6"/>
      <c r="AO127" s="35">
        <f t="shared" si="20"/>
        <v>378</v>
      </c>
      <c r="AP127" s="6">
        <v>1378</v>
      </c>
      <c r="AQ127" s="6"/>
      <c r="AR127" s="35">
        <f t="shared" si="21"/>
        <v>386</v>
      </c>
      <c r="AS127" s="35">
        <v>202</v>
      </c>
      <c r="AT127" s="35">
        <v>1560</v>
      </c>
      <c r="AU127" s="35">
        <f t="shared" si="22"/>
        <v>384</v>
      </c>
      <c r="AV127" s="6">
        <v>586</v>
      </c>
      <c r="AW127" s="6"/>
      <c r="AX127" s="35">
        <f t="shared" si="23"/>
        <v>384</v>
      </c>
      <c r="AY127" s="6">
        <v>960</v>
      </c>
      <c r="AZ127" s="6"/>
      <c r="BA127" s="35">
        <f t="shared" si="24"/>
        <v>374</v>
      </c>
      <c r="BB127" s="6"/>
      <c r="BC127" s="6"/>
      <c r="BD127" s="6"/>
      <c r="BE127" s="6">
        <v>1352</v>
      </c>
      <c r="BF127" s="6"/>
      <c r="BG127" s="6">
        <f t="shared" si="25"/>
        <v>392</v>
      </c>
      <c r="BH127" s="6">
        <v>171</v>
      </c>
      <c r="BI127" s="6">
        <v>1560</v>
      </c>
      <c r="BJ127" s="35">
        <f t="shared" si="26"/>
        <v>379</v>
      </c>
      <c r="BK127" s="6">
        <v>558</v>
      </c>
      <c r="BL127" s="6"/>
      <c r="BM127" s="6">
        <f t="shared" si="27"/>
        <v>387</v>
      </c>
      <c r="BN127" s="6">
        <v>947</v>
      </c>
      <c r="BO127" s="6"/>
      <c r="BP127" s="35">
        <f t="shared" si="28"/>
        <v>389</v>
      </c>
      <c r="BQ127" s="6">
        <v>1330</v>
      </c>
      <c r="BR127" s="6"/>
      <c r="BS127" s="6">
        <f t="shared" si="29"/>
        <v>383</v>
      </c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</row>
    <row r="128" spans="1:113">
      <c r="A128" s="274">
        <v>124</v>
      </c>
      <c r="B128" s="6">
        <v>747</v>
      </c>
      <c r="C128" s="6"/>
      <c r="D128" s="6">
        <v>362</v>
      </c>
      <c r="E128" s="33" t="s">
        <v>307</v>
      </c>
      <c r="F128" s="33" t="s">
        <v>307</v>
      </c>
      <c r="G128" s="344" t="s">
        <v>307</v>
      </c>
      <c r="H128" s="344" t="s">
        <v>307</v>
      </c>
      <c r="I128" s="344" t="s">
        <v>307</v>
      </c>
      <c r="J128" s="344" t="s">
        <v>307</v>
      </c>
      <c r="K128" s="344" t="s">
        <v>307</v>
      </c>
      <c r="L128" s="344" t="s">
        <v>307</v>
      </c>
      <c r="M128" s="344" t="s">
        <v>307</v>
      </c>
      <c r="N128" s="344" t="s">
        <v>307</v>
      </c>
      <c r="O128" s="397" t="s">
        <v>37</v>
      </c>
      <c r="P128" s="402" t="s">
        <v>37</v>
      </c>
      <c r="Q128" s="402" t="s">
        <v>37</v>
      </c>
      <c r="R128" s="402" t="s">
        <v>37</v>
      </c>
      <c r="S128" s="402" t="s">
        <v>37</v>
      </c>
      <c r="T128" s="402" t="s">
        <v>37</v>
      </c>
      <c r="U128" s="6">
        <v>1159</v>
      </c>
      <c r="V128" s="6"/>
      <c r="W128" s="35">
        <f t="shared" si="15"/>
        <v>412</v>
      </c>
      <c r="X128" s="6">
        <v>1539</v>
      </c>
      <c r="Y128" s="6"/>
      <c r="Z128" s="35">
        <f t="shared" si="16"/>
        <v>380</v>
      </c>
      <c r="AA128" s="35">
        <v>0</v>
      </c>
      <c r="AB128" s="35">
        <v>1560</v>
      </c>
      <c r="AC128" s="35">
        <f t="shared" si="17"/>
        <v>21</v>
      </c>
      <c r="AD128" s="6">
        <v>372</v>
      </c>
      <c r="AE128" s="6"/>
      <c r="AF128" s="35">
        <f t="shared" si="18"/>
        <v>372</v>
      </c>
      <c r="AG128" s="6"/>
      <c r="AH128" s="6"/>
      <c r="AI128" s="34"/>
      <c r="AJ128" s="35">
        <v>300</v>
      </c>
      <c r="AK128" s="35">
        <v>445</v>
      </c>
      <c r="AL128" s="35">
        <f t="shared" si="19"/>
        <v>373</v>
      </c>
      <c r="AM128" s="6">
        <v>690</v>
      </c>
      <c r="AN128" s="6"/>
      <c r="AO128" s="35">
        <f t="shared" si="20"/>
        <v>390</v>
      </c>
      <c r="AP128" s="6">
        <v>1083</v>
      </c>
      <c r="AQ128" s="6"/>
      <c r="AR128" s="35">
        <f t="shared" si="21"/>
        <v>393</v>
      </c>
      <c r="AS128" s="35">
        <v>1473</v>
      </c>
      <c r="AT128" s="35"/>
      <c r="AU128" s="35">
        <f t="shared" si="22"/>
        <v>390</v>
      </c>
      <c r="AV128" s="6">
        <v>0</v>
      </c>
      <c r="AW128" s="6">
        <v>1790</v>
      </c>
      <c r="AX128" s="35">
        <f t="shared" si="23"/>
        <v>317</v>
      </c>
      <c r="AY128" s="6">
        <v>362</v>
      </c>
      <c r="AZ128" s="6"/>
      <c r="BA128" s="35">
        <f t="shared" si="24"/>
        <v>362</v>
      </c>
      <c r="BB128" s="6"/>
      <c r="BC128" s="6"/>
      <c r="BD128" s="6"/>
      <c r="BE128" s="6">
        <v>750</v>
      </c>
      <c r="BF128" s="6"/>
      <c r="BG128" s="6">
        <f t="shared" si="25"/>
        <v>388</v>
      </c>
      <c r="BH128" s="6">
        <v>160</v>
      </c>
      <c r="BI128" s="6">
        <v>933</v>
      </c>
      <c r="BJ128" s="35">
        <f t="shared" si="26"/>
        <v>343</v>
      </c>
      <c r="BK128" s="6">
        <v>544</v>
      </c>
      <c r="BL128" s="6"/>
      <c r="BM128" s="6">
        <f t="shared" si="27"/>
        <v>384</v>
      </c>
      <c r="BN128" s="6">
        <v>926</v>
      </c>
      <c r="BO128" s="6"/>
      <c r="BP128" s="35">
        <f t="shared" si="28"/>
        <v>382</v>
      </c>
      <c r="BQ128" s="6">
        <v>1312</v>
      </c>
      <c r="BR128" s="6"/>
      <c r="BS128" s="6">
        <f t="shared" si="29"/>
        <v>386</v>
      </c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</row>
    <row r="129" spans="1:113">
      <c r="A129" s="274">
        <v>125</v>
      </c>
      <c r="B129" s="6">
        <v>1360</v>
      </c>
      <c r="C129" s="6"/>
      <c r="D129" s="6">
        <v>360</v>
      </c>
      <c r="E129" s="33" t="s">
        <v>37</v>
      </c>
      <c r="F129" s="33" t="s">
        <v>37</v>
      </c>
      <c r="G129" s="344" t="s">
        <v>37</v>
      </c>
      <c r="H129" s="344" t="s">
        <v>37</v>
      </c>
      <c r="I129" s="344" t="s">
        <v>37</v>
      </c>
      <c r="J129" s="344" t="s">
        <v>37</v>
      </c>
      <c r="K129" s="346" t="s">
        <v>37</v>
      </c>
      <c r="L129" s="344" t="s">
        <v>37</v>
      </c>
      <c r="M129" s="344" t="s">
        <v>37</v>
      </c>
      <c r="N129" s="344" t="s">
        <v>37</v>
      </c>
      <c r="O129" s="344" t="s">
        <v>37</v>
      </c>
      <c r="P129" s="344" t="s">
        <v>37</v>
      </c>
      <c r="Q129" s="344" t="s">
        <v>37</v>
      </c>
      <c r="R129" s="344" t="s">
        <v>37</v>
      </c>
      <c r="S129" s="344" t="s">
        <v>37</v>
      </c>
      <c r="T129" s="344" t="s">
        <v>37</v>
      </c>
      <c r="U129" s="6">
        <v>211</v>
      </c>
      <c r="V129" s="6">
        <v>1560</v>
      </c>
      <c r="W129" s="35">
        <f t="shared" si="15"/>
        <v>411</v>
      </c>
      <c r="X129" s="6">
        <v>590</v>
      </c>
      <c r="Y129" s="6"/>
      <c r="Z129" s="35">
        <f t="shared" si="16"/>
        <v>379</v>
      </c>
      <c r="AA129" s="35">
        <v>973</v>
      </c>
      <c r="AB129" s="35"/>
      <c r="AC129" s="35">
        <f t="shared" si="17"/>
        <v>383</v>
      </c>
      <c r="AD129" s="6">
        <v>1343</v>
      </c>
      <c r="AE129" s="6"/>
      <c r="AF129" s="35">
        <f t="shared" si="18"/>
        <v>370</v>
      </c>
      <c r="AG129" s="6"/>
      <c r="AH129" s="6"/>
      <c r="AI129" s="34"/>
      <c r="AJ129" s="35">
        <v>0</v>
      </c>
      <c r="AK129" s="35">
        <v>1587</v>
      </c>
      <c r="AL129" s="35">
        <f t="shared" si="19"/>
        <v>244</v>
      </c>
      <c r="AM129" s="6">
        <v>374</v>
      </c>
      <c r="AN129" s="6"/>
      <c r="AO129" s="35">
        <f t="shared" si="20"/>
        <v>374</v>
      </c>
      <c r="AP129" s="6">
        <v>758</v>
      </c>
      <c r="AQ129" s="6"/>
      <c r="AR129" s="35">
        <f t="shared" si="21"/>
        <v>384</v>
      </c>
      <c r="AS129" s="6">
        <v>1146</v>
      </c>
      <c r="AT129" s="6"/>
      <c r="AU129" s="35">
        <f t="shared" si="22"/>
        <v>388</v>
      </c>
      <c r="AV129" s="6">
        <v>1532</v>
      </c>
      <c r="AW129" s="6"/>
      <c r="AX129" s="35">
        <f t="shared" si="23"/>
        <v>386</v>
      </c>
      <c r="AY129" s="6">
        <v>343</v>
      </c>
      <c r="AZ129" s="6">
        <v>1560</v>
      </c>
      <c r="BA129" s="35">
        <f t="shared" si="24"/>
        <v>371</v>
      </c>
      <c r="BB129" s="6"/>
      <c r="BC129" s="35"/>
      <c r="BD129" s="6"/>
      <c r="BE129" s="6">
        <v>733</v>
      </c>
      <c r="BF129" s="6"/>
      <c r="BG129" s="6">
        <f t="shared" si="25"/>
        <v>390</v>
      </c>
      <c r="BH129" s="6">
        <v>1109</v>
      </c>
      <c r="BI129" s="6"/>
      <c r="BJ129" s="35">
        <f t="shared" si="26"/>
        <v>376</v>
      </c>
      <c r="BK129" s="6">
        <v>1497</v>
      </c>
      <c r="BL129" s="6"/>
      <c r="BM129" s="6">
        <f t="shared" si="27"/>
        <v>388</v>
      </c>
      <c r="BN129" s="6">
        <v>322</v>
      </c>
      <c r="BO129" s="6">
        <v>1560</v>
      </c>
      <c r="BP129" s="35">
        <f t="shared" si="28"/>
        <v>385</v>
      </c>
      <c r="BQ129" s="6">
        <v>708</v>
      </c>
      <c r="BR129" s="35"/>
      <c r="BS129" s="6">
        <f t="shared" si="29"/>
        <v>386</v>
      </c>
      <c r="BT129" s="6"/>
      <c r="BU129" s="6"/>
      <c r="BV129" s="6"/>
      <c r="BW129" s="6"/>
      <c r="BX129" s="35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</row>
    <row r="130" spans="1:113">
      <c r="A130" s="6">
        <v>126</v>
      </c>
      <c r="B130" s="6">
        <v>269</v>
      </c>
      <c r="C130" s="6">
        <v>1091</v>
      </c>
      <c r="D130" s="6">
        <v>341</v>
      </c>
      <c r="E130" s="33" t="s">
        <v>37</v>
      </c>
      <c r="F130" s="33" t="s">
        <v>37</v>
      </c>
      <c r="G130" s="344" t="s">
        <v>37</v>
      </c>
      <c r="H130" s="344" t="s">
        <v>37</v>
      </c>
      <c r="I130" s="344" t="s">
        <v>37</v>
      </c>
      <c r="J130" s="344" t="s">
        <v>37</v>
      </c>
      <c r="K130" s="344" t="s">
        <v>37</v>
      </c>
      <c r="L130" s="344" t="s">
        <v>37</v>
      </c>
      <c r="M130" s="344" t="s">
        <v>37</v>
      </c>
      <c r="N130" s="344" t="s">
        <v>37</v>
      </c>
      <c r="O130" s="344" t="s">
        <v>37</v>
      </c>
      <c r="P130" s="344" t="s">
        <v>37</v>
      </c>
      <c r="Q130" s="344" t="s">
        <v>37</v>
      </c>
      <c r="R130" s="344" t="s">
        <v>37</v>
      </c>
      <c r="S130" s="344" t="s">
        <v>37</v>
      </c>
      <c r="T130" s="344" t="s">
        <v>37</v>
      </c>
      <c r="U130" s="35">
        <v>682</v>
      </c>
      <c r="V130" s="35"/>
      <c r="W130" s="35">
        <f t="shared" si="15"/>
        <v>413</v>
      </c>
      <c r="X130" s="35">
        <v>1061</v>
      </c>
      <c r="Y130" s="35"/>
      <c r="Z130" s="35">
        <f t="shared" si="16"/>
        <v>379</v>
      </c>
      <c r="AA130" s="35">
        <v>271</v>
      </c>
      <c r="AB130" s="35">
        <v>1164</v>
      </c>
      <c r="AC130" s="35">
        <f t="shared" si="17"/>
        <v>374</v>
      </c>
      <c r="AD130" s="35">
        <v>646</v>
      </c>
      <c r="AE130" s="35"/>
      <c r="AF130" s="35">
        <f t="shared" si="18"/>
        <v>375</v>
      </c>
      <c r="AG130" s="35"/>
      <c r="AH130" s="35"/>
      <c r="AI130" s="34"/>
      <c r="AJ130" s="35">
        <v>1036</v>
      </c>
      <c r="AK130" s="35"/>
      <c r="AL130" s="35">
        <f t="shared" si="19"/>
        <v>390</v>
      </c>
      <c r="AM130" s="6">
        <v>1424</v>
      </c>
      <c r="AN130" s="6"/>
      <c r="AO130" s="35">
        <f t="shared" si="20"/>
        <v>388</v>
      </c>
      <c r="AP130" s="35">
        <v>252</v>
      </c>
      <c r="AQ130" s="35">
        <v>1560</v>
      </c>
      <c r="AR130" s="35">
        <f t="shared" si="21"/>
        <v>388</v>
      </c>
      <c r="AS130" s="35">
        <v>634</v>
      </c>
      <c r="AT130" s="35"/>
      <c r="AU130" s="35">
        <f t="shared" si="22"/>
        <v>382</v>
      </c>
      <c r="AV130" s="35">
        <v>1</v>
      </c>
      <c r="AW130" s="35">
        <f>684+319</f>
        <v>1003</v>
      </c>
      <c r="AX130" s="35">
        <f t="shared" si="23"/>
        <v>370</v>
      </c>
      <c r="AY130" s="35">
        <v>360</v>
      </c>
      <c r="AZ130" s="35"/>
      <c r="BA130" s="35">
        <f t="shared" si="24"/>
        <v>359</v>
      </c>
      <c r="BB130" s="35"/>
      <c r="BC130" s="35"/>
      <c r="BD130" s="6"/>
      <c r="BE130" s="35">
        <v>740</v>
      </c>
      <c r="BF130" s="6"/>
      <c r="BG130" s="6">
        <f t="shared" si="25"/>
        <v>380</v>
      </c>
      <c r="BH130" s="6">
        <v>1124</v>
      </c>
      <c r="BI130" s="6"/>
      <c r="BJ130" s="35">
        <f t="shared" si="26"/>
        <v>384</v>
      </c>
      <c r="BK130" s="6">
        <v>1505</v>
      </c>
      <c r="BL130" s="6"/>
      <c r="BM130" s="6">
        <f t="shared" si="27"/>
        <v>381</v>
      </c>
      <c r="BN130" s="6">
        <v>331</v>
      </c>
      <c r="BO130" s="6">
        <v>1560</v>
      </c>
      <c r="BP130" s="35">
        <f t="shared" si="28"/>
        <v>386</v>
      </c>
      <c r="BQ130" s="6">
        <v>717</v>
      </c>
      <c r="BR130" s="6"/>
      <c r="BS130" s="6">
        <f t="shared" si="29"/>
        <v>386</v>
      </c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</row>
    <row r="131" spans="1:113">
      <c r="A131" s="6">
        <v>127</v>
      </c>
      <c r="B131" s="6">
        <v>1523</v>
      </c>
      <c r="C131" s="6"/>
      <c r="D131" s="6">
        <v>365</v>
      </c>
      <c r="E131" s="33" t="s">
        <v>307</v>
      </c>
      <c r="F131" s="33" t="s">
        <v>307</v>
      </c>
      <c r="G131" s="344" t="s">
        <v>307</v>
      </c>
      <c r="H131" s="344" t="s">
        <v>307</v>
      </c>
      <c r="I131" s="344" t="s">
        <v>307</v>
      </c>
      <c r="J131" s="344" t="s">
        <v>307</v>
      </c>
      <c r="K131" s="344" t="s">
        <v>307</v>
      </c>
      <c r="L131" s="344" t="s">
        <v>307</v>
      </c>
      <c r="M131" s="344" t="s">
        <v>307</v>
      </c>
      <c r="N131" s="344" t="s">
        <v>307</v>
      </c>
      <c r="O131" s="344" t="s">
        <v>307</v>
      </c>
      <c r="P131" s="344" t="s">
        <v>307</v>
      </c>
      <c r="Q131" s="344" t="s">
        <v>307</v>
      </c>
      <c r="R131" s="344" t="s">
        <v>307</v>
      </c>
      <c r="S131" s="344" t="s">
        <v>307</v>
      </c>
      <c r="T131" s="344" t="s">
        <v>307</v>
      </c>
      <c r="U131" s="6">
        <v>0</v>
      </c>
      <c r="V131" s="6">
        <v>1560</v>
      </c>
      <c r="W131" s="35">
        <f t="shared" si="15"/>
        <v>37</v>
      </c>
      <c r="X131" s="6">
        <v>0</v>
      </c>
      <c r="Y131" s="6"/>
      <c r="Z131" s="35">
        <f t="shared" si="16"/>
        <v>0</v>
      </c>
      <c r="AA131" s="35">
        <v>0</v>
      </c>
      <c r="AB131" s="35"/>
      <c r="AC131" s="35">
        <f t="shared" si="17"/>
        <v>0</v>
      </c>
      <c r="AD131" s="6">
        <v>344</v>
      </c>
      <c r="AE131" s="6"/>
      <c r="AF131" s="35">
        <f t="shared" si="18"/>
        <v>344</v>
      </c>
      <c r="AG131" s="6"/>
      <c r="AH131" s="6"/>
      <c r="AI131" s="34"/>
      <c r="AJ131" s="35">
        <v>730</v>
      </c>
      <c r="AK131" s="35"/>
      <c r="AL131" s="35">
        <f t="shared" si="19"/>
        <v>386</v>
      </c>
      <c r="AM131" s="6">
        <v>1108</v>
      </c>
      <c r="AN131" s="6"/>
      <c r="AO131" s="35">
        <f t="shared" si="20"/>
        <v>378</v>
      </c>
      <c r="AP131" s="6">
        <v>1461</v>
      </c>
      <c r="AQ131" s="35"/>
      <c r="AR131" s="35">
        <f t="shared" si="21"/>
        <v>353</v>
      </c>
      <c r="AS131" s="35">
        <v>36</v>
      </c>
      <c r="AT131" s="35">
        <v>1820</v>
      </c>
      <c r="AU131" s="35">
        <f t="shared" si="22"/>
        <v>395</v>
      </c>
      <c r="AV131" s="6">
        <v>424</v>
      </c>
      <c r="AW131" s="6"/>
      <c r="AX131" s="35">
        <f t="shared" si="23"/>
        <v>388</v>
      </c>
      <c r="AY131" s="6">
        <v>795</v>
      </c>
      <c r="AZ131" s="6"/>
      <c r="BA131" s="35">
        <f t="shared" si="24"/>
        <v>371</v>
      </c>
      <c r="BB131" s="6"/>
      <c r="BC131" s="6"/>
      <c r="BD131" s="6"/>
      <c r="BE131" s="6">
        <v>1194</v>
      </c>
      <c r="BF131" s="6"/>
      <c r="BG131" s="6">
        <f t="shared" si="25"/>
        <v>399</v>
      </c>
      <c r="BH131" s="6">
        <v>1583</v>
      </c>
      <c r="BI131" s="6"/>
      <c r="BJ131" s="35">
        <f t="shared" si="26"/>
        <v>389</v>
      </c>
      <c r="BK131" s="6">
        <v>141</v>
      </c>
      <c r="BL131" s="6">
        <v>1820</v>
      </c>
      <c r="BM131" s="6">
        <f t="shared" si="27"/>
        <v>378</v>
      </c>
      <c r="BN131" s="6">
        <v>526</v>
      </c>
      <c r="BO131" s="6"/>
      <c r="BP131" s="35">
        <f t="shared" si="28"/>
        <v>385</v>
      </c>
      <c r="BQ131" s="6">
        <v>897</v>
      </c>
      <c r="BR131" s="6"/>
      <c r="BS131" s="6">
        <f t="shared" si="29"/>
        <v>371</v>
      </c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</row>
    <row r="132" spans="1:113">
      <c r="A132" s="6">
        <v>128</v>
      </c>
      <c r="B132" s="6">
        <v>965</v>
      </c>
      <c r="C132" s="6"/>
      <c r="D132" s="6">
        <v>363</v>
      </c>
      <c r="E132" s="33" t="s">
        <v>37</v>
      </c>
      <c r="F132" s="33" t="s">
        <v>37</v>
      </c>
      <c r="G132" s="344" t="s">
        <v>37</v>
      </c>
      <c r="H132" s="344" t="s">
        <v>37</v>
      </c>
      <c r="I132" s="344" t="s">
        <v>37</v>
      </c>
      <c r="J132" s="344" t="s">
        <v>37</v>
      </c>
      <c r="K132" s="344" t="s">
        <v>37</v>
      </c>
      <c r="L132" s="344" t="s">
        <v>37</v>
      </c>
      <c r="M132" s="344" t="s">
        <v>37</v>
      </c>
      <c r="N132" s="344" t="s">
        <v>37</v>
      </c>
      <c r="O132" s="344" t="s">
        <v>37</v>
      </c>
      <c r="P132" s="344" t="s">
        <v>37</v>
      </c>
      <c r="Q132" s="344" t="s">
        <v>37</v>
      </c>
      <c r="R132" s="344" t="s">
        <v>37</v>
      </c>
      <c r="S132" s="344" t="s">
        <v>37</v>
      </c>
      <c r="T132" s="346" t="s">
        <v>37</v>
      </c>
      <c r="U132" s="6">
        <v>1370</v>
      </c>
      <c r="V132" s="6"/>
      <c r="W132" s="35">
        <f t="shared" si="15"/>
        <v>405</v>
      </c>
      <c r="X132" s="6">
        <v>197</v>
      </c>
      <c r="Y132" s="6">
        <v>1560</v>
      </c>
      <c r="Z132" s="35">
        <f t="shared" si="16"/>
        <v>387</v>
      </c>
      <c r="AA132" s="35">
        <v>585</v>
      </c>
      <c r="AB132" s="35"/>
      <c r="AC132" s="35">
        <f t="shared" si="17"/>
        <v>388</v>
      </c>
      <c r="AD132" s="6">
        <v>957</v>
      </c>
      <c r="AE132" s="6"/>
      <c r="AF132" s="35">
        <f t="shared" si="18"/>
        <v>372</v>
      </c>
      <c r="AG132" s="6"/>
      <c r="AH132" s="6"/>
      <c r="AI132" s="34"/>
      <c r="AJ132" s="35">
        <v>1344</v>
      </c>
      <c r="AK132" s="35"/>
      <c r="AL132" s="35">
        <f t="shared" si="19"/>
        <v>387</v>
      </c>
      <c r="AM132" s="6">
        <v>167</v>
      </c>
      <c r="AN132" s="6">
        <v>1560</v>
      </c>
      <c r="AO132" s="35">
        <f t="shared" si="20"/>
        <v>383</v>
      </c>
      <c r="AP132" s="6">
        <v>555</v>
      </c>
      <c r="AQ132" s="6"/>
      <c r="AR132" s="35">
        <f t="shared" si="21"/>
        <v>388</v>
      </c>
      <c r="AS132" s="6">
        <v>945</v>
      </c>
      <c r="AT132" s="6"/>
      <c r="AU132" s="35">
        <f t="shared" si="22"/>
        <v>390</v>
      </c>
      <c r="AV132" s="6">
        <v>1330</v>
      </c>
      <c r="AW132" s="6"/>
      <c r="AX132" s="35">
        <f t="shared" si="23"/>
        <v>385</v>
      </c>
      <c r="AY132" s="6">
        <v>142</v>
      </c>
      <c r="AZ132" s="6">
        <v>1561</v>
      </c>
      <c r="BA132" s="35">
        <f t="shared" si="24"/>
        <v>373</v>
      </c>
      <c r="BB132" s="6"/>
      <c r="BC132" s="35"/>
      <c r="BD132" s="6"/>
      <c r="BE132" s="6">
        <v>533</v>
      </c>
      <c r="BF132" s="6"/>
      <c r="BG132" s="6">
        <f t="shared" si="25"/>
        <v>391</v>
      </c>
      <c r="BH132" s="6">
        <v>916</v>
      </c>
      <c r="BI132" s="6"/>
      <c r="BJ132" s="35">
        <f t="shared" si="26"/>
        <v>383</v>
      </c>
      <c r="BK132" s="6">
        <v>1302</v>
      </c>
      <c r="BL132" s="6"/>
      <c r="BM132" s="6">
        <f t="shared" si="27"/>
        <v>386</v>
      </c>
      <c r="BN132" s="6">
        <v>0</v>
      </c>
      <c r="BO132" s="6">
        <v>1665</v>
      </c>
      <c r="BP132" s="35">
        <f t="shared" si="28"/>
        <v>363</v>
      </c>
      <c r="BQ132" s="6">
        <v>357</v>
      </c>
      <c r="BR132" s="35"/>
      <c r="BS132" s="6">
        <f t="shared" si="29"/>
        <v>357</v>
      </c>
      <c r="BT132" s="6"/>
      <c r="BU132" s="6"/>
      <c r="BV132" s="6"/>
      <c r="BW132" s="6"/>
      <c r="BX132" s="35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</row>
    <row r="133" spans="1:113">
      <c r="A133" s="274">
        <v>129</v>
      </c>
      <c r="B133" s="6">
        <v>899</v>
      </c>
      <c r="C133" s="6"/>
      <c r="D133" s="6">
        <v>362</v>
      </c>
      <c r="E133" s="33" t="s">
        <v>37</v>
      </c>
      <c r="F133" s="33" t="s">
        <v>37</v>
      </c>
      <c r="G133" s="344" t="s">
        <v>37</v>
      </c>
      <c r="H133" s="344" t="s">
        <v>37</v>
      </c>
      <c r="I133" s="344" t="s">
        <v>37</v>
      </c>
      <c r="J133" s="344" t="s">
        <v>37</v>
      </c>
      <c r="K133" s="344" t="s">
        <v>37</v>
      </c>
      <c r="L133" s="344" t="s">
        <v>37</v>
      </c>
      <c r="M133" s="344" t="s">
        <v>37</v>
      </c>
      <c r="N133" s="346" t="s">
        <v>37</v>
      </c>
      <c r="O133" s="344" t="s">
        <v>37</v>
      </c>
      <c r="P133" s="344" t="s">
        <v>37</v>
      </c>
      <c r="Q133" s="344" t="s">
        <v>37</v>
      </c>
      <c r="R133" s="344" t="s">
        <v>37</v>
      </c>
      <c r="S133" s="344" t="s">
        <v>37</v>
      </c>
      <c r="T133" s="344" t="s">
        <v>37</v>
      </c>
      <c r="U133" s="6">
        <v>325</v>
      </c>
      <c r="V133" s="6">
        <v>973</v>
      </c>
      <c r="W133" s="35">
        <f t="shared" si="15"/>
        <v>399</v>
      </c>
      <c r="X133" s="6">
        <v>714</v>
      </c>
      <c r="Y133" s="6"/>
      <c r="Z133" s="35">
        <f t="shared" si="16"/>
        <v>389</v>
      </c>
      <c r="AA133" s="35">
        <v>1100</v>
      </c>
      <c r="AB133" s="35"/>
      <c r="AC133" s="35">
        <f t="shared" si="17"/>
        <v>386</v>
      </c>
      <c r="AD133" s="6">
        <v>1470</v>
      </c>
      <c r="AE133" s="6"/>
      <c r="AF133" s="35">
        <f t="shared" si="18"/>
        <v>370</v>
      </c>
      <c r="AG133" s="6"/>
      <c r="AH133" s="6"/>
      <c r="AI133" s="34"/>
      <c r="AJ133" s="35">
        <v>293</v>
      </c>
      <c r="AK133" s="35">
        <v>1560</v>
      </c>
      <c r="AL133" s="35">
        <f t="shared" si="19"/>
        <v>383</v>
      </c>
      <c r="AM133" s="6">
        <v>675</v>
      </c>
      <c r="AN133" s="6"/>
      <c r="AO133" s="35">
        <f t="shared" si="20"/>
        <v>382</v>
      </c>
      <c r="AP133" s="6">
        <v>1058</v>
      </c>
      <c r="AQ133" s="35"/>
      <c r="AR133" s="35">
        <f t="shared" si="21"/>
        <v>383</v>
      </c>
      <c r="AS133" s="35">
        <v>0</v>
      </c>
      <c r="AT133" s="35">
        <v>1375</v>
      </c>
      <c r="AU133" s="35">
        <f t="shared" si="22"/>
        <v>317</v>
      </c>
      <c r="AV133" s="6">
        <v>366</v>
      </c>
      <c r="AW133" s="6"/>
      <c r="AX133" s="35">
        <f t="shared" si="23"/>
        <v>366</v>
      </c>
      <c r="AY133" s="6">
        <v>737</v>
      </c>
      <c r="AZ133" s="6"/>
      <c r="BA133" s="35">
        <f t="shared" si="24"/>
        <v>371</v>
      </c>
      <c r="BB133" s="6"/>
      <c r="BC133" s="6"/>
      <c r="BD133" s="6"/>
      <c r="BE133" s="6">
        <v>1124</v>
      </c>
      <c r="BF133" s="6"/>
      <c r="BG133" s="6">
        <f t="shared" si="25"/>
        <v>387</v>
      </c>
      <c r="BH133" s="6">
        <v>1492</v>
      </c>
      <c r="BI133" s="6"/>
      <c r="BJ133" s="35">
        <f t="shared" si="26"/>
        <v>368</v>
      </c>
      <c r="BK133" s="6">
        <v>307</v>
      </c>
      <c r="BL133" s="6">
        <v>1560</v>
      </c>
      <c r="BM133" s="6">
        <f t="shared" si="27"/>
        <v>375</v>
      </c>
      <c r="BN133" s="6">
        <v>690</v>
      </c>
      <c r="BO133" s="6"/>
      <c r="BP133" s="35">
        <f t="shared" si="28"/>
        <v>383</v>
      </c>
      <c r="BQ133" s="6">
        <v>329</v>
      </c>
      <c r="BR133" s="6">
        <v>745</v>
      </c>
      <c r="BS133" s="6">
        <f t="shared" si="29"/>
        <v>384</v>
      </c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</row>
    <row r="134" spans="1:113">
      <c r="A134" s="274">
        <v>130</v>
      </c>
      <c r="B134" s="6">
        <v>999</v>
      </c>
      <c r="C134" s="6"/>
      <c r="D134" s="6">
        <v>358</v>
      </c>
      <c r="E134" s="33" t="s">
        <v>37</v>
      </c>
      <c r="F134" s="33" t="s">
        <v>37</v>
      </c>
      <c r="G134" s="344" t="s">
        <v>37</v>
      </c>
      <c r="H134" s="344" t="s">
        <v>37</v>
      </c>
      <c r="I134" s="344" t="s">
        <v>37</v>
      </c>
      <c r="J134" s="344" t="s">
        <v>37</v>
      </c>
      <c r="K134" s="344" t="s">
        <v>37</v>
      </c>
      <c r="L134" s="344" t="s">
        <v>37</v>
      </c>
      <c r="M134" s="344" t="s">
        <v>37</v>
      </c>
      <c r="N134" s="344" t="s">
        <v>37</v>
      </c>
      <c r="O134" s="344" t="s">
        <v>37</v>
      </c>
      <c r="P134" s="346" t="s">
        <v>37</v>
      </c>
      <c r="Q134" s="344" t="s">
        <v>37</v>
      </c>
      <c r="R134" s="344" t="s">
        <v>37</v>
      </c>
      <c r="S134" s="344" t="s">
        <v>37</v>
      </c>
      <c r="T134" s="344" t="s">
        <v>37</v>
      </c>
      <c r="U134" s="6">
        <v>1402</v>
      </c>
      <c r="V134" s="6"/>
      <c r="W134" s="35">
        <f t="shared" ref="W134:W197" si="30">V134+U134-B134</f>
        <v>403</v>
      </c>
      <c r="X134" s="6">
        <v>224</v>
      </c>
      <c r="Y134" s="6">
        <v>1560</v>
      </c>
      <c r="Z134" s="35">
        <f t="shared" ref="Z134:Z197" si="31">Y134+X134-U134</f>
        <v>382</v>
      </c>
      <c r="AA134" s="35">
        <v>611</v>
      </c>
      <c r="AB134" s="35"/>
      <c r="AC134" s="35">
        <f t="shared" ref="AC134:AC197" si="32">AB134+AA134-X134</f>
        <v>387</v>
      </c>
      <c r="AD134" s="6">
        <v>984</v>
      </c>
      <c r="AE134" s="6"/>
      <c r="AF134" s="35">
        <f t="shared" ref="AF134:AF197" si="33">AE134+AD134-AA134</f>
        <v>373</v>
      </c>
      <c r="AG134" s="6"/>
      <c r="AH134" s="6"/>
      <c r="AI134" s="34"/>
      <c r="AJ134" s="35">
        <v>1372</v>
      </c>
      <c r="AK134" s="35"/>
      <c r="AL134" s="35">
        <f t="shared" ref="AL134:AL197" si="34">AK134+AJ134-AD134</f>
        <v>388</v>
      </c>
      <c r="AM134" s="6">
        <v>199</v>
      </c>
      <c r="AN134" s="6">
        <v>1560</v>
      </c>
      <c r="AO134" s="35">
        <f t="shared" ref="AO134:AO197" si="35">AN134+AM134-AJ134</f>
        <v>387</v>
      </c>
      <c r="AP134" s="6">
        <v>585</v>
      </c>
      <c r="AQ134" s="6"/>
      <c r="AR134" s="35">
        <f t="shared" ref="AR134:AR197" si="36">AQ134+AP134-AM134</f>
        <v>386</v>
      </c>
      <c r="AS134" s="6">
        <v>971</v>
      </c>
      <c r="AT134" s="6"/>
      <c r="AU134" s="35">
        <f t="shared" ref="AU134:AU197" si="37">AT134+AS134-AP134</f>
        <v>386</v>
      </c>
      <c r="AV134" s="6">
        <v>1352</v>
      </c>
      <c r="AW134" s="6"/>
      <c r="AX134" s="35">
        <f t="shared" ref="AX134:AX197" si="38">AW134+AV134-AS134</f>
        <v>381</v>
      </c>
      <c r="AY134" s="6">
        <v>0</v>
      </c>
      <c r="AZ134" s="6">
        <v>1624</v>
      </c>
      <c r="BA134" s="35">
        <f t="shared" ref="BA134:BA197" si="39">AZ134+AY134-AV134</f>
        <v>272</v>
      </c>
      <c r="BB134" s="6"/>
      <c r="BC134" s="35"/>
      <c r="BD134" s="6"/>
      <c r="BE134" s="6">
        <v>371</v>
      </c>
      <c r="BF134" s="6"/>
      <c r="BG134" s="6">
        <f t="shared" ref="BG134:BG197" si="40">BF134+BE134-AY134</f>
        <v>371</v>
      </c>
      <c r="BH134" s="6">
        <v>2</v>
      </c>
      <c r="BI134" s="6">
        <v>755</v>
      </c>
      <c r="BJ134" s="35">
        <f t="shared" ref="BJ134:BJ197" si="41">BI134+BH134-BE134</f>
        <v>386</v>
      </c>
      <c r="BK134" s="6">
        <v>388</v>
      </c>
      <c r="BL134" s="6"/>
      <c r="BM134" s="6">
        <f t="shared" ref="BM134:BM197" si="42">BL134+BK134-BH134</f>
        <v>386</v>
      </c>
      <c r="BN134" s="6">
        <v>776</v>
      </c>
      <c r="BO134" s="6"/>
      <c r="BP134" s="35">
        <f t="shared" ref="BP134:BP197" si="43">BO134+BN134-BK134</f>
        <v>388</v>
      </c>
      <c r="BQ134" s="6">
        <v>1163</v>
      </c>
      <c r="BR134" s="35"/>
      <c r="BS134" s="6">
        <f t="shared" ref="BS134:BS197" si="44">BR134+BQ134-BN134</f>
        <v>387</v>
      </c>
      <c r="BT134" s="6"/>
      <c r="BU134" s="6"/>
      <c r="BV134" s="6"/>
      <c r="BW134" s="6"/>
      <c r="BX134" s="35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35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</row>
    <row r="135" spans="1:113">
      <c r="A135" s="6">
        <v>131</v>
      </c>
      <c r="B135" s="6">
        <v>597</v>
      </c>
      <c r="C135" s="6"/>
      <c r="D135" s="6">
        <v>360</v>
      </c>
      <c r="E135" s="33" t="s">
        <v>37</v>
      </c>
      <c r="F135" s="33" t="s">
        <v>37</v>
      </c>
      <c r="G135" s="344" t="s">
        <v>37</v>
      </c>
      <c r="H135" s="344" t="s">
        <v>37</v>
      </c>
      <c r="I135" s="344" t="s">
        <v>37</v>
      </c>
      <c r="J135" s="344" t="s">
        <v>37</v>
      </c>
      <c r="K135" s="344" t="s">
        <v>37</v>
      </c>
      <c r="L135" s="344" t="s">
        <v>37</v>
      </c>
      <c r="M135" s="344" t="s">
        <v>37</v>
      </c>
      <c r="N135" s="344" t="s">
        <v>37</v>
      </c>
      <c r="O135" s="344" t="s">
        <v>37</v>
      </c>
      <c r="P135" s="344" t="s">
        <v>37</v>
      </c>
      <c r="Q135" s="344" t="s">
        <v>37</v>
      </c>
      <c r="R135" s="344" t="s">
        <v>37</v>
      </c>
      <c r="S135" s="344" t="s">
        <v>37</v>
      </c>
      <c r="T135" s="344" t="s">
        <v>37</v>
      </c>
      <c r="U135" s="6">
        <v>1009</v>
      </c>
      <c r="V135" s="6"/>
      <c r="W135" s="35">
        <f t="shared" si="30"/>
        <v>412</v>
      </c>
      <c r="X135" s="6">
        <v>1394</v>
      </c>
      <c r="Y135" s="6"/>
      <c r="Z135" s="35">
        <f t="shared" si="31"/>
        <v>385</v>
      </c>
      <c r="AA135" s="35">
        <v>214</v>
      </c>
      <c r="AB135" s="35">
        <v>1560</v>
      </c>
      <c r="AC135" s="35">
        <f t="shared" si="32"/>
        <v>380</v>
      </c>
      <c r="AD135" s="6">
        <v>586</v>
      </c>
      <c r="AE135" s="6"/>
      <c r="AF135" s="35">
        <f t="shared" si="33"/>
        <v>372</v>
      </c>
      <c r="AG135" s="6"/>
      <c r="AH135" s="6"/>
      <c r="AI135" s="34"/>
      <c r="AJ135" s="35">
        <v>969</v>
      </c>
      <c r="AK135" s="35"/>
      <c r="AL135" s="35">
        <f t="shared" si="34"/>
        <v>383</v>
      </c>
      <c r="AM135" s="6">
        <v>1358</v>
      </c>
      <c r="AN135" s="6"/>
      <c r="AO135" s="35">
        <f t="shared" si="35"/>
        <v>389</v>
      </c>
      <c r="AP135" s="6">
        <v>188</v>
      </c>
      <c r="AQ135" s="6">
        <v>1560</v>
      </c>
      <c r="AR135" s="35">
        <f t="shared" si="36"/>
        <v>390</v>
      </c>
      <c r="AS135" s="35">
        <v>151</v>
      </c>
      <c r="AT135" s="35">
        <v>420</v>
      </c>
      <c r="AU135" s="35">
        <f t="shared" si="37"/>
        <v>383</v>
      </c>
      <c r="AV135" s="35">
        <v>536</v>
      </c>
      <c r="AW135" s="6"/>
      <c r="AX135" s="35">
        <f t="shared" si="38"/>
        <v>385</v>
      </c>
      <c r="AY135" s="6">
        <v>915</v>
      </c>
      <c r="AZ135" s="6"/>
      <c r="BA135" s="35">
        <f t="shared" si="39"/>
        <v>379</v>
      </c>
      <c r="BB135" s="6"/>
      <c r="BC135" s="6"/>
      <c r="BD135" s="6"/>
      <c r="BE135" s="6">
        <v>1307</v>
      </c>
      <c r="BF135" s="6"/>
      <c r="BG135" s="6">
        <f t="shared" si="40"/>
        <v>392</v>
      </c>
      <c r="BH135" s="6">
        <v>269</v>
      </c>
      <c r="BI135" s="6">
        <v>1417</v>
      </c>
      <c r="BJ135" s="35">
        <f t="shared" si="41"/>
        <v>379</v>
      </c>
      <c r="BK135" s="6">
        <v>10</v>
      </c>
      <c r="BL135" s="6">
        <v>644</v>
      </c>
      <c r="BM135" s="6">
        <f t="shared" si="42"/>
        <v>385</v>
      </c>
      <c r="BN135" s="6">
        <v>393</v>
      </c>
      <c r="BO135" s="6"/>
      <c r="BP135" s="35">
        <f t="shared" si="43"/>
        <v>383</v>
      </c>
      <c r="BQ135" s="6">
        <v>780</v>
      </c>
      <c r="BR135" s="6"/>
      <c r="BS135" s="6">
        <f t="shared" si="44"/>
        <v>387</v>
      </c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</row>
    <row r="136" spans="1:113">
      <c r="A136" s="6">
        <v>132</v>
      </c>
      <c r="B136" s="6">
        <v>641</v>
      </c>
      <c r="C136" s="6"/>
      <c r="D136" s="6">
        <v>360</v>
      </c>
      <c r="E136" s="33" t="s">
        <v>37</v>
      </c>
      <c r="F136" s="33" t="s">
        <v>37</v>
      </c>
      <c r="G136" s="344" t="s">
        <v>37</v>
      </c>
      <c r="H136" s="344" t="s">
        <v>37</v>
      </c>
      <c r="I136" s="344" t="s">
        <v>37</v>
      </c>
      <c r="J136" s="344" t="s">
        <v>37</v>
      </c>
      <c r="K136" s="344" t="s">
        <v>37</v>
      </c>
      <c r="L136" s="344" t="s">
        <v>37</v>
      </c>
      <c r="M136" s="344" t="s">
        <v>37</v>
      </c>
      <c r="N136" s="344" t="s">
        <v>37</v>
      </c>
      <c r="O136" s="344" t="s">
        <v>37</v>
      </c>
      <c r="P136" s="344" t="s">
        <v>37</v>
      </c>
      <c r="Q136" s="344" t="s">
        <v>37</v>
      </c>
      <c r="R136" s="344" t="s">
        <v>37</v>
      </c>
      <c r="S136" s="344" t="s">
        <v>37</v>
      </c>
      <c r="T136" s="344" t="s">
        <v>37</v>
      </c>
      <c r="U136" s="35">
        <v>1056</v>
      </c>
      <c r="V136" s="35"/>
      <c r="W136" s="35">
        <f t="shared" si="30"/>
        <v>415</v>
      </c>
      <c r="X136" s="35">
        <v>1442</v>
      </c>
      <c r="Y136" s="35"/>
      <c r="Z136" s="35">
        <f t="shared" si="31"/>
        <v>386</v>
      </c>
      <c r="AA136" s="35">
        <v>268</v>
      </c>
      <c r="AB136" s="35">
        <v>1560</v>
      </c>
      <c r="AC136" s="35">
        <f t="shared" si="32"/>
        <v>386</v>
      </c>
      <c r="AD136" s="35">
        <v>643</v>
      </c>
      <c r="AE136" s="35"/>
      <c r="AF136" s="35">
        <f t="shared" si="33"/>
        <v>375</v>
      </c>
      <c r="AG136" s="6"/>
      <c r="AH136" s="35"/>
      <c r="AI136" s="34"/>
      <c r="AJ136" s="35">
        <v>1032</v>
      </c>
      <c r="AK136" s="35"/>
      <c r="AL136" s="35">
        <f t="shared" si="34"/>
        <v>389</v>
      </c>
      <c r="AM136" s="6">
        <v>1419</v>
      </c>
      <c r="AN136" s="6"/>
      <c r="AO136" s="35">
        <f t="shared" si="35"/>
        <v>387</v>
      </c>
      <c r="AP136" s="6">
        <v>245</v>
      </c>
      <c r="AQ136" s="6">
        <v>1560</v>
      </c>
      <c r="AR136" s="35">
        <f t="shared" si="36"/>
        <v>386</v>
      </c>
      <c r="AS136" s="6">
        <v>635</v>
      </c>
      <c r="AT136" s="6"/>
      <c r="AU136" s="35">
        <f t="shared" si="37"/>
        <v>390</v>
      </c>
      <c r="AV136" s="6">
        <v>1019</v>
      </c>
      <c r="AW136" s="6"/>
      <c r="AX136" s="35">
        <f t="shared" si="38"/>
        <v>384</v>
      </c>
      <c r="AY136" s="6">
        <v>1387</v>
      </c>
      <c r="AZ136" s="6"/>
      <c r="BA136" s="35">
        <f t="shared" si="39"/>
        <v>368</v>
      </c>
      <c r="BB136" s="6"/>
      <c r="BC136" s="35"/>
      <c r="BD136" s="6"/>
      <c r="BE136" s="6">
        <v>204</v>
      </c>
      <c r="BF136" s="6">
        <v>1560</v>
      </c>
      <c r="BG136" s="6">
        <f t="shared" si="40"/>
        <v>377</v>
      </c>
      <c r="BH136" s="6">
        <v>599</v>
      </c>
      <c r="BI136" s="6"/>
      <c r="BJ136" s="35">
        <f t="shared" si="41"/>
        <v>395</v>
      </c>
      <c r="BK136" s="6">
        <v>986</v>
      </c>
      <c r="BL136" s="6"/>
      <c r="BM136" s="6">
        <f t="shared" si="42"/>
        <v>387</v>
      </c>
      <c r="BN136" s="6">
        <v>1371</v>
      </c>
      <c r="BO136" s="6"/>
      <c r="BP136" s="35">
        <f t="shared" si="43"/>
        <v>385</v>
      </c>
      <c r="BQ136" s="6">
        <v>0</v>
      </c>
      <c r="BR136" s="35">
        <v>1601</v>
      </c>
      <c r="BS136" s="6">
        <f t="shared" si="44"/>
        <v>230</v>
      </c>
      <c r="BT136" s="6"/>
      <c r="BU136" s="6"/>
      <c r="BV136" s="6"/>
      <c r="BW136" s="6"/>
      <c r="BX136" s="35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</row>
    <row r="137" spans="1:113">
      <c r="A137" s="6">
        <v>133</v>
      </c>
      <c r="B137" s="6">
        <v>1021</v>
      </c>
      <c r="C137" s="6"/>
      <c r="D137" s="6">
        <v>360</v>
      </c>
      <c r="E137" s="33" t="s">
        <v>37</v>
      </c>
      <c r="F137" s="33" t="s">
        <v>37</v>
      </c>
      <c r="G137" s="344" t="s">
        <v>37</v>
      </c>
      <c r="H137" s="344" t="s">
        <v>37</v>
      </c>
      <c r="I137" s="344" t="s">
        <v>37</v>
      </c>
      <c r="J137" s="344" t="s">
        <v>37</v>
      </c>
      <c r="K137" s="344" t="s">
        <v>37</v>
      </c>
      <c r="L137" s="344" t="s">
        <v>37</v>
      </c>
      <c r="M137" s="344" t="s">
        <v>37</v>
      </c>
      <c r="N137" s="344" t="s">
        <v>37</v>
      </c>
      <c r="O137" s="344" t="s">
        <v>37</v>
      </c>
      <c r="P137" s="344" t="s">
        <v>37</v>
      </c>
      <c r="Q137" s="344" t="s">
        <v>37</v>
      </c>
      <c r="R137" s="344" t="s">
        <v>37</v>
      </c>
      <c r="S137" s="344" t="s">
        <v>37</v>
      </c>
      <c r="T137" s="344" t="s">
        <v>37</v>
      </c>
      <c r="U137" s="6">
        <v>1432</v>
      </c>
      <c r="V137" s="6"/>
      <c r="W137" s="35">
        <f t="shared" si="30"/>
        <v>411</v>
      </c>
      <c r="X137" s="6">
        <v>256</v>
      </c>
      <c r="Y137" s="6">
        <v>1560</v>
      </c>
      <c r="Z137" s="35">
        <f t="shared" si="31"/>
        <v>384</v>
      </c>
      <c r="AA137" s="35">
        <v>644</v>
      </c>
      <c r="AB137" s="35"/>
      <c r="AC137" s="35">
        <f t="shared" si="32"/>
        <v>388</v>
      </c>
      <c r="AD137" s="6">
        <v>1020</v>
      </c>
      <c r="AE137" s="6"/>
      <c r="AF137" s="35">
        <f t="shared" si="33"/>
        <v>376</v>
      </c>
      <c r="AG137" s="6"/>
      <c r="AH137" s="6"/>
      <c r="AI137" s="34"/>
      <c r="AJ137" s="35">
        <v>167</v>
      </c>
      <c r="AK137" s="35">
        <v>1238</v>
      </c>
      <c r="AL137" s="35">
        <f t="shared" si="34"/>
        <v>385</v>
      </c>
      <c r="AM137" s="6">
        <v>556</v>
      </c>
      <c r="AN137" s="6"/>
      <c r="AO137" s="35">
        <f t="shared" si="35"/>
        <v>389</v>
      </c>
      <c r="AP137" s="6">
        <v>941</v>
      </c>
      <c r="AQ137" s="6"/>
      <c r="AR137" s="35">
        <f t="shared" si="36"/>
        <v>385</v>
      </c>
      <c r="AS137" s="6">
        <v>1326</v>
      </c>
      <c r="AT137" s="6"/>
      <c r="AU137" s="35">
        <f t="shared" si="37"/>
        <v>385</v>
      </c>
      <c r="AV137" s="6">
        <v>148</v>
      </c>
      <c r="AW137" s="6">
        <v>1563</v>
      </c>
      <c r="AX137" s="35">
        <f t="shared" si="38"/>
        <v>385</v>
      </c>
      <c r="AY137" s="6">
        <v>524</v>
      </c>
      <c r="AZ137" s="6"/>
      <c r="BA137" s="35">
        <f t="shared" si="39"/>
        <v>376</v>
      </c>
      <c r="BB137" s="6"/>
      <c r="BC137" s="35"/>
      <c r="BD137" s="6"/>
      <c r="BE137" s="6">
        <v>917</v>
      </c>
      <c r="BF137" s="6"/>
      <c r="BG137" s="6">
        <f t="shared" si="40"/>
        <v>393</v>
      </c>
      <c r="BH137" s="6">
        <v>1299</v>
      </c>
      <c r="BI137" s="6"/>
      <c r="BJ137" s="35">
        <f t="shared" si="41"/>
        <v>382</v>
      </c>
      <c r="BK137" s="6">
        <v>118</v>
      </c>
      <c r="BL137" s="6">
        <v>1560</v>
      </c>
      <c r="BM137" s="6">
        <f t="shared" si="42"/>
        <v>379</v>
      </c>
      <c r="BN137" s="6">
        <v>506</v>
      </c>
      <c r="BO137" s="6"/>
      <c r="BP137" s="35">
        <f t="shared" si="43"/>
        <v>388</v>
      </c>
      <c r="BQ137" s="6">
        <v>894</v>
      </c>
      <c r="BR137" s="35"/>
      <c r="BS137" s="6">
        <f t="shared" si="44"/>
        <v>388</v>
      </c>
      <c r="BT137" s="6"/>
      <c r="BU137" s="6"/>
      <c r="BV137" s="6"/>
      <c r="BW137" s="7"/>
      <c r="BX137" s="35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35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</row>
    <row r="138" spans="1:113" ht="15.75" customHeight="1">
      <c r="A138" s="6">
        <v>134</v>
      </c>
      <c r="B138" s="6">
        <v>266</v>
      </c>
      <c r="C138" s="6">
        <v>1594</v>
      </c>
      <c r="D138" s="6">
        <v>348</v>
      </c>
      <c r="E138" s="148" t="s">
        <v>37</v>
      </c>
      <c r="F138" s="33" t="s">
        <v>37</v>
      </c>
      <c r="G138" s="344" t="s">
        <v>37</v>
      </c>
      <c r="H138" s="344" t="s">
        <v>37</v>
      </c>
      <c r="I138" s="344" t="s">
        <v>37</v>
      </c>
      <c r="J138" s="344" t="s">
        <v>37</v>
      </c>
      <c r="K138" s="344" t="s">
        <v>37</v>
      </c>
      <c r="L138" s="344" t="s">
        <v>37</v>
      </c>
      <c r="M138" s="344" t="s">
        <v>37</v>
      </c>
      <c r="N138" s="344" t="s">
        <v>37</v>
      </c>
      <c r="O138" s="344" t="s">
        <v>37</v>
      </c>
      <c r="P138" s="344" t="s">
        <v>37</v>
      </c>
      <c r="Q138" s="344" t="s">
        <v>37</v>
      </c>
      <c r="R138" s="344" t="s">
        <v>37</v>
      </c>
      <c r="S138" s="344" t="s">
        <v>37</v>
      </c>
      <c r="T138" s="344" t="s">
        <v>37</v>
      </c>
      <c r="U138" s="6">
        <v>680</v>
      </c>
      <c r="V138" s="6"/>
      <c r="W138" s="35">
        <f t="shared" si="30"/>
        <v>414</v>
      </c>
      <c r="X138" s="6">
        <v>1064</v>
      </c>
      <c r="Y138" s="6"/>
      <c r="Z138" s="35">
        <f t="shared" si="31"/>
        <v>384</v>
      </c>
      <c r="AA138" s="35">
        <v>1451</v>
      </c>
      <c r="AB138" s="35"/>
      <c r="AC138" s="35">
        <f t="shared" si="32"/>
        <v>387</v>
      </c>
      <c r="AD138" s="6">
        <v>246</v>
      </c>
      <c r="AE138" s="6">
        <v>1560</v>
      </c>
      <c r="AF138" s="35">
        <f t="shared" si="33"/>
        <v>355</v>
      </c>
      <c r="AG138" s="6"/>
      <c r="AH138" s="6"/>
      <c r="AI138" s="34"/>
      <c r="AJ138" s="35">
        <v>632</v>
      </c>
      <c r="AK138" s="35"/>
      <c r="AL138" s="35">
        <f t="shared" si="34"/>
        <v>386</v>
      </c>
      <c r="AM138" s="6">
        <v>1020</v>
      </c>
      <c r="AN138" s="6"/>
      <c r="AO138" s="35">
        <f t="shared" si="35"/>
        <v>388</v>
      </c>
      <c r="AP138" s="6">
        <v>1409</v>
      </c>
      <c r="AQ138" s="6"/>
      <c r="AR138" s="35">
        <f t="shared" si="36"/>
        <v>389</v>
      </c>
      <c r="AS138" s="35">
        <v>235</v>
      </c>
      <c r="AT138" s="35">
        <v>1560</v>
      </c>
      <c r="AU138" s="35">
        <f t="shared" si="37"/>
        <v>386</v>
      </c>
      <c r="AV138" s="6">
        <v>617</v>
      </c>
      <c r="AW138" s="6"/>
      <c r="AX138" s="35">
        <f t="shared" si="38"/>
        <v>382</v>
      </c>
      <c r="AY138" s="6">
        <v>958</v>
      </c>
      <c r="AZ138" s="6"/>
      <c r="BA138" s="35">
        <f t="shared" si="39"/>
        <v>341</v>
      </c>
      <c r="BB138" s="6"/>
      <c r="BC138" s="6"/>
      <c r="BD138" s="6"/>
      <c r="BE138" s="6">
        <v>254</v>
      </c>
      <c r="BF138" s="6">
        <v>1082</v>
      </c>
      <c r="BG138" s="6">
        <f t="shared" si="40"/>
        <v>378</v>
      </c>
      <c r="BH138" s="6">
        <v>634</v>
      </c>
      <c r="BI138" s="6"/>
      <c r="BJ138" s="35">
        <f t="shared" si="41"/>
        <v>380</v>
      </c>
      <c r="BK138" s="6">
        <v>1019</v>
      </c>
      <c r="BL138" s="6"/>
      <c r="BM138" s="6">
        <f t="shared" si="42"/>
        <v>385</v>
      </c>
      <c r="BN138" s="6">
        <v>1400</v>
      </c>
      <c r="BO138" s="6"/>
      <c r="BP138" s="35">
        <f t="shared" si="43"/>
        <v>381</v>
      </c>
      <c r="BQ138" s="6">
        <v>222</v>
      </c>
      <c r="BR138" s="6">
        <v>1560</v>
      </c>
      <c r="BS138" s="6">
        <f t="shared" si="44"/>
        <v>382</v>
      </c>
      <c r="BT138" s="6"/>
      <c r="BU138" s="6"/>
      <c r="BV138" s="6"/>
      <c r="BW138" s="7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</row>
    <row r="139" spans="1:113">
      <c r="A139" s="274">
        <v>135</v>
      </c>
      <c r="B139" s="6">
        <v>1484</v>
      </c>
      <c r="C139" s="6"/>
      <c r="D139" s="6">
        <v>366</v>
      </c>
      <c r="E139" s="33" t="s">
        <v>307</v>
      </c>
      <c r="F139" s="33" t="s">
        <v>307</v>
      </c>
      <c r="G139" s="344" t="s">
        <v>307</v>
      </c>
      <c r="H139" s="344" t="s">
        <v>307</v>
      </c>
      <c r="I139" s="344" t="s">
        <v>307</v>
      </c>
      <c r="J139" s="344" t="s">
        <v>307</v>
      </c>
      <c r="K139" s="344" t="s">
        <v>307</v>
      </c>
      <c r="L139" s="344" t="s">
        <v>307</v>
      </c>
      <c r="M139" s="344" t="s">
        <v>307</v>
      </c>
      <c r="N139" s="344" t="s">
        <v>307</v>
      </c>
      <c r="O139" s="344" t="s">
        <v>307</v>
      </c>
      <c r="P139" s="344" t="s">
        <v>307</v>
      </c>
      <c r="Q139" s="408" t="s">
        <v>37</v>
      </c>
      <c r="R139" s="410" t="s">
        <v>37</v>
      </c>
      <c r="S139" s="410" t="s">
        <v>37</v>
      </c>
      <c r="T139" s="410" t="s">
        <v>37</v>
      </c>
      <c r="U139" s="35">
        <v>0</v>
      </c>
      <c r="V139" s="35">
        <v>1560</v>
      </c>
      <c r="W139" s="35">
        <f t="shared" si="30"/>
        <v>76</v>
      </c>
      <c r="X139" s="35">
        <v>0</v>
      </c>
      <c r="Y139" s="35"/>
      <c r="Z139" s="35">
        <f t="shared" si="31"/>
        <v>0</v>
      </c>
      <c r="AA139" s="35">
        <v>0</v>
      </c>
      <c r="AB139" s="35"/>
      <c r="AC139" s="35">
        <f t="shared" si="32"/>
        <v>0</v>
      </c>
      <c r="AD139" s="35">
        <v>372</v>
      </c>
      <c r="AE139" s="35"/>
      <c r="AF139" s="35">
        <f t="shared" si="33"/>
        <v>372</v>
      </c>
      <c r="AG139" s="35"/>
      <c r="AH139" s="35"/>
      <c r="AI139" s="34"/>
      <c r="AJ139" s="35">
        <v>765</v>
      </c>
      <c r="AK139" s="35"/>
      <c r="AL139" s="35">
        <f t="shared" si="34"/>
        <v>393</v>
      </c>
      <c r="AM139" s="6">
        <v>1143</v>
      </c>
      <c r="AN139" s="6"/>
      <c r="AO139" s="35">
        <f t="shared" si="35"/>
        <v>378</v>
      </c>
      <c r="AP139" s="6">
        <v>1535</v>
      </c>
      <c r="AQ139" s="6"/>
      <c r="AR139" s="35">
        <f t="shared" si="36"/>
        <v>392</v>
      </c>
      <c r="AS139" s="6">
        <v>103</v>
      </c>
      <c r="AT139" s="6">
        <v>1820</v>
      </c>
      <c r="AU139" s="35">
        <f t="shared" si="37"/>
        <v>388</v>
      </c>
      <c r="AV139" s="6">
        <v>487</v>
      </c>
      <c r="AW139" s="6"/>
      <c r="AX139" s="35">
        <f t="shared" si="38"/>
        <v>384</v>
      </c>
      <c r="AY139" s="6">
        <v>859</v>
      </c>
      <c r="AZ139" s="6"/>
      <c r="BA139" s="35">
        <f t="shared" si="39"/>
        <v>372</v>
      </c>
      <c r="BB139" s="35"/>
      <c r="BC139" s="35"/>
      <c r="BD139" s="6"/>
      <c r="BE139" s="6">
        <v>0</v>
      </c>
      <c r="BF139" s="6">
        <v>1115</v>
      </c>
      <c r="BG139" s="6">
        <f t="shared" si="40"/>
        <v>256</v>
      </c>
      <c r="BH139" s="6">
        <v>363</v>
      </c>
      <c r="BI139" s="6"/>
      <c r="BJ139" s="35">
        <f t="shared" si="41"/>
        <v>363</v>
      </c>
      <c r="BK139" s="6">
        <v>755</v>
      </c>
      <c r="BL139" s="6"/>
      <c r="BM139" s="6">
        <f t="shared" si="42"/>
        <v>392</v>
      </c>
      <c r="BN139" s="6">
        <v>1146</v>
      </c>
      <c r="BO139" s="6"/>
      <c r="BP139" s="35">
        <f t="shared" si="43"/>
        <v>391</v>
      </c>
      <c r="BQ139" s="6">
        <v>1533</v>
      </c>
      <c r="BR139" s="35"/>
      <c r="BS139" s="6">
        <f t="shared" si="44"/>
        <v>387</v>
      </c>
      <c r="BT139" s="6"/>
      <c r="BU139" s="6"/>
      <c r="BV139" s="6"/>
      <c r="BW139" s="7"/>
      <c r="BX139" s="35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</row>
    <row r="140" spans="1:113">
      <c r="A140" s="6">
        <v>136</v>
      </c>
      <c r="B140" s="6">
        <v>601</v>
      </c>
      <c r="C140" s="6"/>
      <c r="D140" s="6">
        <v>363</v>
      </c>
      <c r="E140" s="33" t="s">
        <v>37</v>
      </c>
      <c r="F140" s="33" t="s">
        <v>37</v>
      </c>
      <c r="G140" s="344" t="s">
        <v>37</v>
      </c>
      <c r="H140" s="344" t="s">
        <v>37</v>
      </c>
      <c r="I140" s="344" t="s">
        <v>37</v>
      </c>
      <c r="J140" s="344" t="s">
        <v>37</v>
      </c>
      <c r="K140" s="344" t="s">
        <v>37</v>
      </c>
      <c r="L140" s="344" t="s">
        <v>37</v>
      </c>
      <c r="M140" s="344" t="s">
        <v>37</v>
      </c>
      <c r="N140" s="344" t="s">
        <v>37</v>
      </c>
      <c r="O140" s="344" t="s">
        <v>37</v>
      </c>
      <c r="P140" s="344" t="s">
        <v>37</v>
      </c>
      <c r="Q140" s="344" t="s">
        <v>37</v>
      </c>
      <c r="R140" s="344" t="s">
        <v>37</v>
      </c>
      <c r="S140" s="344" t="s">
        <v>37</v>
      </c>
      <c r="T140" s="344" t="s">
        <v>37</v>
      </c>
      <c r="U140" s="6">
        <v>1014</v>
      </c>
      <c r="V140" s="6"/>
      <c r="W140" s="35">
        <f t="shared" si="30"/>
        <v>413</v>
      </c>
      <c r="X140" s="6">
        <v>1402</v>
      </c>
      <c r="Y140" s="6"/>
      <c r="Z140" s="35">
        <f t="shared" si="31"/>
        <v>388</v>
      </c>
      <c r="AA140" s="35">
        <v>221</v>
      </c>
      <c r="AB140" s="35">
        <v>1562</v>
      </c>
      <c r="AC140" s="35">
        <f t="shared" si="32"/>
        <v>381</v>
      </c>
      <c r="AD140" s="6">
        <v>591</v>
      </c>
      <c r="AE140" s="6"/>
      <c r="AF140" s="35">
        <f t="shared" si="33"/>
        <v>370</v>
      </c>
      <c r="AG140" s="6"/>
      <c r="AH140" s="6"/>
      <c r="AI140" s="34"/>
      <c r="AJ140" s="35">
        <v>974</v>
      </c>
      <c r="AK140" s="35"/>
      <c r="AL140" s="35">
        <f t="shared" si="34"/>
        <v>383</v>
      </c>
      <c r="AM140" s="6">
        <v>1360</v>
      </c>
      <c r="AN140" s="6"/>
      <c r="AO140" s="35">
        <f t="shared" si="35"/>
        <v>386</v>
      </c>
      <c r="AP140" s="6">
        <v>185</v>
      </c>
      <c r="AQ140" s="6">
        <v>1560</v>
      </c>
      <c r="AR140" s="35">
        <f t="shared" si="36"/>
        <v>385</v>
      </c>
      <c r="AS140" s="35">
        <v>570</v>
      </c>
      <c r="AT140" s="35"/>
      <c r="AU140" s="35">
        <f t="shared" si="37"/>
        <v>385</v>
      </c>
      <c r="AV140" s="6">
        <v>953</v>
      </c>
      <c r="AW140" s="35"/>
      <c r="AX140" s="35">
        <f t="shared" si="38"/>
        <v>383</v>
      </c>
      <c r="AY140" s="6">
        <v>1327</v>
      </c>
      <c r="AZ140" s="6"/>
      <c r="BA140" s="35">
        <f t="shared" si="39"/>
        <v>374</v>
      </c>
      <c r="BB140" s="35"/>
      <c r="BC140" s="6"/>
      <c r="BD140" s="6"/>
      <c r="BE140" s="6">
        <v>146</v>
      </c>
      <c r="BF140" s="6">
        <v>1571</v>
      </c>
      <c r="BG140" s="6">
        <f t="shared" si="40"/>
        <v>390</v>
      </c>
      <c r="BH140" s="6">
        <v>527</v>
      </c>
      <c r="BI140" s="6"/>
      <c r="BJ140" s="35">
        <f t="shared" si="41"/>
        <v>381</v>
      </c>
      <c r="BK140" s="6">
        <v>909</v>
      </c>
      <c r="BL140" s="6"/>
      <c r="BM140" s="6">
        <f t="shared" si="42"/>
        <v>382</v>
      </c>
      <c r="BN140" s="6">
        <v>1296</v>
      </c>
      <c r="BO140" s="6"/>
      <c r="BP140" s="35">
        <f t="shared" si="43"/>
        <v>387</v>
      </c>
      <c r="BQ140" s="35">
        <v>124</v>
      </c>
      <c r="BR140" s="6">
        <v>1560</v>
      </c>
      <c r="BS140" s="6">
        <f t="shared" si="44"/>
        <v>388</v>
      </c>
      <c r="BT140" s="6"/>
      <c r="BU140" s="6"/>
      <c r="BV140" s="6"/>
      <c r="BW140" s="7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35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</row>
    <row r="141" spans="1:113">
      <c r="A141" s="6">
        <v>137</v>
      </c>
      <c r="B141" s="6">
        <v>1034</v>
      </c>
      <c r="C141" s="6"/>
      <c r="D141" s="6">
        <v>355</v>
      </c>
      <c r="E141" s="33" t="s">
        <v>37</v>
      </c>
      <c r="F141" s="33" t="s">
        <v>37</v>
      </c>
      <c r="G141" s="344" t="s">
        <v>37</v>
      </c>
      <c r="H141" s="344" t="s">
        <v>37</v>
      </c>
      <c r="I141" s="344" t="s">
        <v>37</v>
      </c>
      <c r="J141" s="344" t="s">
        <v>37</v>
      </c>
      <c r="K141" s="344" t="s">
        <v>37</v>
      </c>
      <c r="L141" s="344" t="s">
        <v>37</v>
      </c>
      <c r="M141" s="344" t="s">
        <v>37</v>
      </c>
      <c r="N141" s="344" t="s">
        <v>37</v>
      </c>
      <c r="O141" s="344" t="s">
        <v>37</v>
      </c>
      <c r="P141" s="344" t="s">
        <v>37</v>
      </c>
      <c r="Q141" s="344" t="s">
        <v>37</v>
      </c>
      <c r="R141" s="344" t="s">
        <v>37</v>
      </c>
      <c r="S141" s="344" t="s">
        <v>37</v>
      </c>
      <c r="T141" s="346" t="s">
        <v>37</v>
      </c>
      <c r="U141" s="6">
        <v>1449</v>
      </c>
      <c r="V141" s="6"/>
      <c r="W141" s="35">
        <f t="shared" si="30"/>
        <v>415</v>
      </c>
      <c r="X141" s="6">
        <v>276</v>
      </c>
      <c r="Y141" s="6">
        <v>1560</v>
      </c>
      <c r="Z141" s="35">
        <f t="shared" si="31"/>
        <v>387</v>
      </c>
      <c r="AA141" s="35">
        <v>663</v>
      </c>
      <c r="AB141" s="35"/>
      <c r="AC141" s="35">
        <f t="shared" si="32"/>
        <v>387</v>
      </c>
      <c r="AD141" s="6">
        <v>1001</v>
      </c>
      <c r="AE141" s="35"/>
      <c r="AF141" s="35">
        <f t="shared" si="33"/>
        <v>338</v>
      </c>
      <c r="AG141" s="6"/>
      <c r="AH141" s="6"/>
      <c r="AI141" s="34"/>
      <c r="AJ141" s="35">
        <v>1388</v>
      </c>
      <c r="AK141" s="35"/>
      <c r="AL141" s="35">
        <f t="shared" si="34"/>
        <v>387</v>
      </c>
      <c r="AM141" s="6">
        <v>215</v>
      </c>
      <c r="AN141" s="6">
        <v>1560</v>
      </c>
      <c r="AO141" s="35">
        <f t="shared" si="35"/>
        <v>387</v>
      </c>
      <c r="AP141" s="6">
        <v>600</v>
      </c>
      <c r="AQ141" s="6"/>
      <c r="AR141" s="35">
        <f t="shared" si="36"/>
        <v>385</v>
      </c>
      <c r="AS141" s="35">
        <v>975</v>
      </c>
      <c r="AT141" s="35"/>
      <c r="AU141" s="35">
        <f t="shared" si="37"/>
        <v>375</v>
      </c>
      <c r="AV141" s="6">
        <v>1358</v>
      </c>
      <c r="AW141" s="35"/>
      <c r="AX141" s="35">
        <f t="shared" si="38"/>
        <v>383</v>
      </c>
      <c r="AY141" s="6">
        <v>168</v>
      </c>
      <c r="AZ141" s="6">
        <v>1561</v>
      </c>
      <c r="BA141" s="35">
        <f t="shared" si="39"/>
        <v>371</v>
      </c>
      <c r="BB141" s="6"/>
      <c r="BC141" s="6"/>
      <c r="BD141" s="6"/>
      <c r="BE141" s="6">
        <v>557</v>
      </c>
      <c r="BF141" s="6"/>
      <c r="BG141" s="6">
        <f t="shared" si="40"/>
        <v>389</v>
      </c>
      <c r="BH141" s="6">
        <v>935</v>
      </c>
      <c r="BI141" s="6"/>
      <c r="BJ141" s="35">
        <f t="shared" si="41"/>
        <v>378</v>
      </c>
      <c r="BK141" s="6">
        <v>1322</v>
      </c>
      <c r="BL141" s="6"/>
      <c r="BM141" s="6">
        <f t="shared" si="42"/>
        <v>387</v>
      </c>
      <c r="BN141" s="6">
        <v>0</v>
      </c>
      <c r="BO141" s="6">
        <v>1601</v>
      </c>
      <c r="BP141" s="35">
        <f t="shared" si="43"/>
        <v>279</v>
      </c>
      <c r="BQ141" s="6">
        <v>354</v>
      </c>
      <c r="BR141" s="6"/>
      <c r="BS141" s="6">
        <f t="shared" si="44"/>
        <v>354</v>
      </c>
      <c r="BT141" s="6"/>
      <c r="BU141" s="6"/>
      <c r="BV141" s="6"/>
      <c r="BW141" s="7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</row>
    <row r="142" spans="1:113">
      <c r="A142" s="274">
        <v>138</v>
      </c>
      <c r="B142" s="6">
        <v>136</v>
      </c>
      <c r="C142" s="6">
        <v>1560</v>
      </c>
      <c r="D142" s="6">
        <v>351</v>
      </c>
      <c r="E142" s="33" t="s">
        <v>37</v>
      </c>
      <c r="F142" s="33" t="s">
        <v>37</v>
      </c>
      <c r="G142" s="344" t="s">
        <v>37</v>
      </c>
      <c r="H142" s="344" t="s">
        <v>37</v>
      </c>
      <c r="I142" s="344" t="s">
        <v>37</v>
      </c>
      <c r="J142" s="344" t="s">
        <v>37</v>
      </c>
      <c r="K142" s="344" t="s">
        <v>37</v>
      </c>
      <c r="L142" s="346" t="s">
        <v>37</v>
      </c>
      <c r="M142" s="344" t="s">
        <v>37</v>
      </c>
      <c r="N142" s="344" t="s">
        <v>37</v>
      </c>
      <c r="O142" s="344" t="s">
        <v>37</v>
      </c>
      <c r="P142" s="344" t="s">
        <v>37</v>
      </c>
      <c r="Q142" s="344" t="s">
        <v>37</v>
      </c>
      <c r="R142" s="344" t="s">
        <v>37</v>
      </c>
      <c r="S142" s="344" t="s">
        <v>37</v>
      </c>
      <c r="T142" s="344" t="s">
        <v>37</v>
      </c>
      <c r="U142" s="6">
        <v>550</v>
      </c>
      <c r="V142" s="6"/>
      <c r="W142" s="35">
        <f t="shared" si="30"/>
        <v>414</v>
      </c>
      <c r="X142" s="6">
        <v>937</v>
      </c>
      <c r="Y142" s="6"/>
      <c r="Z142" s="35">
        <f t="shared" si="31"/>
        <v>387</v>
      </c>
      <c r="AA142" s="35">
        <v>1324</v>
      </c>
      <c r="AB142" s="35"/>
      <c r="AC142" s="35">
        <f t="shared" si="32"/>
        <v>387</v>
      </c>
      <c r="AD142" s="6">
        <v>1701</v>
      </c>
      <c r="AE142" s="6"/>
      <c r="AF142" s="35">
        <f t="shared" si="33"/>
        <v>377</v>
      </c>
      <c r="AG142" s="6"/>
      <c r="AH142" s="6"/>
      <c r="AI142" s="34"/>
      <c r="AJ142" s="35">
        <v>1906</v>
      </c>
      <c r="AK142" s="35"/>
      <c r="AL142" s="35">
        <f t="shared" si="34"/>
        <v>205</v>
      </c>
      <c r="AM142" s="6">
        <v>0</v>
      </c>
      <c r="AN142" s="6">
        <v>2032</v>
      </c>
      <c r="AO142" s="35">
        <f t="shared" si="35"/>
        <v>126</v>
      </c>
      <c r="AP142" s="6">
        <v>276</v>
      </c>
      <c r="AQ142" s="6"/>
      <c r="AR142" s="35">
        <f t="shared" si="36"/>
        <v>276</v>
      </c>
      <c r="AS142" s="6">
        <v>662</v>
      </c>
      <c r="AT142" s="6"/>
      <c r="AU142" s="35">
        <f t="shared" si="37"/>
        <v>386</v>
      </c>
      <c r="AV142" s="6">
        <v>1049</v>
      </c>
      <c r="AW142" s="6"/>
      <c r="AX142" s="35">
        <f t="shared" si="38"/>
        <v>387</v>
      </c>
      <c r="AY142" s="6">
        <v>1426</v>
      </c>
      <c r="AZ142" s="6"/>
      <c r="BA142" s="35">
        <f t="shared" si="39"/>
        <v>377</v>
      </c>
      <c r="BB142" s="6"/>
      <c r="BC142" s="35"/>
      <c r="BD142" s="6"/>
      <c r="BE142" s="6">
        <v>254</v>
      </c>
      <c r="BF142" s="6">
        <v>1564</v>
      </c>
      <c r="BG142" s="6">
        <f t="shared" si="40"/>
        <v>392</v>
      </c>
      <c r="BH142" s="6">
        <v>610</v>
      </c>
      <c r="BI142" s="6"/>
      <c r="BJ142" s="35">
        <f t="shared" si="41"/>
        <v>356</v>
      </c>
      <c r="BK142" s="6">
        <v>995</v>
      </c>
      <c r="BL142" s="6"/>
      <c r="BM142" s="6">
        <f t="shared" si="42"/>
        <v>385</v>
      </c>
      <c r="BN142" s="6">
        <v>1383</v>
      </c>
      <c r="BO142" s="6"/>
      <c r="BP142" s="35">
        <f t="shared" si="43"/>
        <v>388</v>
      </c>
      <c r="BQ142" s="6">
        <v>200</v>
      </c>
      <c r="BR142" s="35">
        <v>1560</v>
      </c>
      <c r="BS142" s="6">
        <f t="shared" si="44"/>
        <v>377</v>
      </c>
      <c r="BT142" s="6"/>
      <c r="BU142" s="6"/>
      <c r="BV142" s="6"/>
      <c r="BW142" s="7"/>
      <c r="BX142" s="35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35"/>
      <c r="CN142" s="6"/>
      <c r="CO142" s="6"/>
      <c r="CP142" s="35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</row>
    <row r="143" spans="1:113">
      <c r="A143" s="415">
        <v>139</v>
      </c>
      <c r="B143" s="6">
        <v>508</v>
      </c>
      <c r="C143" s="6"/>
      <c r="D143" s="6">
        <v>363</v>
      </c>
      <c r="E143" s="33" t="s">
        <v>37</v>
      </c>
      <c r="F143" s="33" t="s">
        <v>37</v>
      </c>
      <c r="G143" s="344" t="s">
        <v>37</v>
      </c>
      <c r="H143" s="344" t="s">
        <v>37</v>
      </c>
      <c r="I143" s="344" t="s">
        <v>37</v>
      </c>
      <c r="J143" s="344" t="s">
        <v>37</v>
      </c>
      <c r="K143" s="344" t="s">
        <v>37</v>
      </c>
      <c r="L143" s="344" t="s">
        <v>37</v>
      </c>
      <c r="M143" s="346" t="s">
        <v>37</v>
      </c>
      <c r="N143" s="344" t="s">
        <v>37</v>
      </c>
      <c r="O143" s="344" t="s">
        <v>37</v>
      </c>
      <c r="P143" s="344" t="s">
        <v>37</v>
      </c>
      <c r="Q143" s="344" t="s">
        <v>37</v>
      </c>
      <c r="R143" s="344" t="s">
        <v>37</v>
      </c>
      <c r="S143" s="344" t="s">
        <v>37</v>
      </c>
      <c r="T143" s="344" t="s">
        <v>37</v>
      </c>
      <c r="U143" s="35">
        <v>924</v>
      </c>
      <c r="V143" s="35"/>
      <c r="W143" s="35">
        <f t="shared" si="30"/>
        <v>416</v>
      </c>
      <c r="X143" s="35">
        <v>1308</v>
      </c>
      <c r="Y143" s="35"/>
      <c r="Z143" s="35">
        <f t="shared" si="31"/>
        <v>384</v>
      </c>
      <c r="AA143" s="35">
        <v>130</v>
      </c>
      <c r="AB143" s="35">
        <v>1560</v>
      </c>
      <c r="AC143" s="35">
        <f t="shared" si="32"/>
        <v>382</v>
      </c>
      <c r="AD143" s="6">
        <v>503</v>
      </c>
      <c r="AE143" s="6"/>
      <c r="AF143" s="35">
        <f t="shared" si="33"/>
        <v>373</v>
      </c>
      <c r="AG143" s="6"/>
      <c r="AH143" s="6"/>
      <c r="AI143" s="34"/>
      <c r="AJ143" s="35">
        <v>893</v>
      </c>
      <c r="AK143" s="35"/>
      <c r="AL143" s="35">
        <f t="shared" si="34"/>
        <v>390</v>
      </c>
      <c r="AM143" s="6">
        <v>1280</v>
      </c>
      <c r="AN143" s="6"/>
      <c r="AO143" s="35">
        <f t="shared" si="35"/>
        <v>387</v>
      </c>
      <c r="AP143" s="6">
        <v>0</v>
      </c>
      <c r="AQ143" s="6">
        <v>1615</v>
      </c>
      <c r="AR143" s="35">
        <f t="shared" si="36"/>
        <v>335</v>
      </c>
      <c r="AS143" s="6">
        <v>370</v>
      </c>
      <c r="AT143" s="6"/>
      <c r="AU143" s="35">
        <f t="shared" si="37"/>
        <v>370</v>
      </c>
      <c r="AV143" s="6">
        <v>36</v>
      </c>
      <c r="AW143" s="6">
        <v>711</v>
      </c>
      <c r="AX143" s="35">
        <f t="shared" si="38"/>
        <v>377</v>
      </c>
      <c r="AY143" s="6">
        <v>401</v>
      </c>
      <c r="AZ143" s="6"/>
      <c r="BA143" s="35">
        <f t="shared" si="39"/>
        <v>365</v>
      </c>
      <c r="BB143" s="6"/>
      <c r="BC143" s="35"/>
      <c r="BD143" s="6"/>
      <c r="BE143" s="6">
        <v>794</v>
      </c>
      <c r="BF143" s="6"/>
      <c r="BG143" s="6">
        <f t="shared" si="40"/>
        <v>393</v>
      </c>
      <c r="BH143" s="6">
        <v>1179</v>
      </c>
      <c r="BI143" s="6"/>
      <c r="BJ143" s="35">
        <f t="shared" si="41"/>
        <v>385</v>
      </c>
      <c r="BK143" s="6">
        <v>5</v>
      </c>
      <c r="BL143" s="6">
        <v>1561</v>
      </c>
      <c r="BM143" s="6">
        <f t="shared" si="42"/>
        <v>387</v>
      </c>
      <c r="BN143" s="6">
        <v>390</v>
      </c>
      <c r="BO143" s="6"/>
      <c r="BP143" s="35">
        <f t="shared" si="43"/>
        <v>385</v>
      </c>
      <c r="BQ143" s="6">
        <v>768</v>
      </c>
      <c r="BR143" s="35"/>
      <c r="BS143" s="6">
        <f t="shared" si="44"/>
        <v>378</v>
      </c>
      <c r="BT143" s="6"/>
      <c r="BU143" s="6"/>
      <c r="BV143" s="6"/>
      <c r="BW143" s="7"/>
      <c r="BX143" s="35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35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</row>
    <row r="144" spans="1:113">
      <c r="A144" s="7">
        <v>140</v>
      </c>
      <c r="B144" s="6">
        <v>771</v>
      </c>
      <c r="C144" s="6"/>
      <c r="D144" s="6">
        <v>361</v>
      </c>
      <c r="E144" s="33" t="s">
        <v>307</v>
      </c>
      <c r="F144" s="33" t="s">
        <v>307</v>
      </c>
      <c r="G144" s="344" t="s">
        <v>307</v>
      </c>
      <c r="H144" s="344" t="s">
        <v>307</v>
      </c>
      <c r="I144" s="344" t="s">
        <v>307</v>
      </c>
      <c r="J144" s="344" t="s">
        <v>307</v>
      </c>
      <c r="K144" s="344" t="s">
        <v>307</v>
      </c>
      <c r="L144" s="344" t="s">
        <v>307</v>
      </c>
      <c r="M144" s="344" t="s">
        <v>307</v>
      </c>
      <c r="N144" s="344" t="s">
        <v>307</v>
      </c>
      <c r="O144" s="344" t="s">
        <v>307</v>
      </c>
      <c r="P144" s="344" t="s">
        <v>307</v>
      </c>
      <c r="Q144" s="344" t="s">
        <v>307</v>
      </c>
      <c r="R144" s="344" t="s">
        <v>307</v>
      </c>
      <c r="S144" s="344" t="s">
        <v>307</v>
      </c>
      <c r="T144" s="344" t="s">
        <v>307</v>
      </c>
      <c r="U144" s="35">
        <v>1185</v>
      </c>
      <c r="V144" s="35"/>
      <c r="W144" s="35">
        <f t="shared" si="30"/>
        <v>414</v>
      </c>
      <c r="X144" s="35">
        <v>0</v>
      </c>
      <c r="Y144" s="35">
        <v>1560</v>
      </c>
      <c r="Z144" s="35">
        <f t="shared" si="31"/>
        <v>375</v>
      </c>
      <c r="AA144" s="35">
        <v>0</v>
      </c>
      <c r="AB144" s="35"/>
      <c r="AC144" s="35">
        <f t="shared" si="32"/>
        <v>0</v>
      </c>
      <c r="AD144" s="6">
        <v>374</v>
      </c>
      <c r="AE144" s="6"/>
      <c r="AF144" s="35">
        <f t="shared" si="33"/>
        <v>374</v>
      </c>
      <c r="AG144" s="6"/>
      <c r="AH144" s="6"/>
      <c r="AI144" s="34"/>
      <c r="AJ144" s="35">
        <v>769</v>
      </c>
      <c r="AK144" s="35"/>
      <c r="AL144" s="35">
        <f t="shared" si="34"/>
        <v>395</v>
      </c>
      <c r="AM144" s="6">
        <v>1160</v>
      </c>
      <c r="AN144" s="6"/>
      <c r="AO144" s="35">
        <f t="shared" si="35"/>
        <v>391</v>
      </c>
      <c r="AP144" s="6">
        <v>1553</v>
      </c>
      <c r="AQ144" s="6"/>
      <c r="AR144" s="35">
        <f t="shared" si="36"/>
        <v>393</v>
      </c>
      <c r="AS144" s="6">
        <v>122</v>
      </c>
      <c r="AT144" s="6">
        <v>1820</v>
      </c>
      <c r="AU144" s="35">
        <f t="shared" si="37"/>
        <v>389</v>
      </c>
      <c r="AV144" s="6">
        <v>511</v>
      </c>
      <c r="AW144" s="6"/>
      <c r="AX144" s="35">
        <f t="shared" si="38"/>
        <v>389</v>
      </c>
      <c r="AY144" s="6">
        <v>888</v>
      </c>
      <c r="AZ144" s="6"/>
      <c r="BA144" s="35">
        <f t="shared" si="39"/>
        <v>377</v>
      </c>
      <c r="BB144" s="6"/>
      <c r="BC144" s="35"/>
      <c r="BD144" s="6"/>
      <c r="BE144" s="6">
        <v>1282</v>
      </c>
      <c r="BF144" s="6"/>
      <c r="BG144" s="6">
        <f t="shared" si="40"/>
        <v>394</v>
      </c>
      <c r="BH144" s="6">
        <v>1668</v>
      </c>
      <c r="BI144" s="6"/>
      <c r="BJ144" s="35">
        <f t="shared" si="41"/>
        <v>386</v>
      </c>
      <c r="BK144" s="6">
        <v>277</v>
      </c>
      <c r="BL144" s="6">
        <v>1754</v>
      </c>
      <c r="BM144" s="6">
        <f t="shared" si="42"/>
        <v>363</v>
      </c>
      <c r="BN144" s="6">
        <v>654</v>
      </c>
      <c r="BO144" s="6"/>
      <c r="BP144" s="35">
        <f t="shared" si="43"/>
        <v>377</v>
      </c>
      <c r="BQ144" s="6">
        <v>1043</v>
      </c>
      <c r="BR144" s="35"/>
      <c r="BS144" s="6">
        <f t="shared" si="44"/>
        <v>389</v>
      </c>
      <c r="BT144" s="6"/>
      <c r="BU144" s="6"/>
      <c r="BV144" s="6"/>
      <c r="BW144" s="7"/>
      <c r="BX144" s="35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</row>
    <row r="145" spans="1:113">
      <c r="A145" s="6">
        <v>141</v>
      </c>
      <c r="B145" s="6">
        <v>1348</v>
      </c>
      <c r="C145" s="6"/>
      <c r="D145" s="6">
        <v>364</v>
      </c>
      <c r="E145" s="33" t="s">
        <v>37</v>
      </c>
      <c r="F145" s="148" t="s">
        <v>37</v>
      </c>
      <c r="G145" s="344" t="s">
        <v>37</v>
      </c>
      <c r="H145" s="344" t="s">
        <v>37</v>
      </c>
      <c r="I145" s="344" t="s">
        <v>37</v>
      </c>
      <c r="J145" s="344" t="s">
        <v>37</v>
      </c>
      <c r="K145" s="344" t="s">
        <v>37</v>
      </c>
      <c r="L145" s="344" t="s">
        <v>37</v>
      </c>
      <c r="M145" s="344" t="s">
        <v>37</v>
      </c>
      <c r="N145" s="344" t="s">
        <v>37</v>
      </c>
      <c r="O145" s="344" t="s">
        <v>37</v>
      </c>
      <c r="P145" s="344" t="s">
        <v>37</v>
      </c>
      <c r="Q145" s="344" t="s">
        <v>37</v>
      </c>
      <c r="R145" s="344" t="s">
        <v>37</v>
      </c>
      <c r="S145" s="344" t="s">
        <v>37</v>
      </c>
      <c r="T145" s="344" t="s">
        <v>37</v>
      </c>
      <c r="U145" s="35">
        <v>369</v>
      </c>
      <c r="V145" s="35">
        <v>1350</v>
      </c>
      <c r="W145" s="35">
        <f t="shared" si="30"/>
        <v>371</v>
      </c>
      <c r="X145" s="35">
        <v>757</v>
      </c>
      <c r="Y145" s="35"/>
      <c r="Z145" s="35">
        <f t="shared" si="31"/>
        <v>388</v>
      </c>
      <c r="AA145" s="35">
        <v>1146</v>
      </c>
      <c r="AB145" s="35"/>
      <c r="AC145" s="35">
        <f t="shared" si="32"/>
        <v>389</v>
      </c>
      <c r="AD145" s="35">
        <v>265</v>
      </c>
      <c r="AE145" s="35">
        <v>1251</v>
      </c>
      <c r="AF145" s="35">
        <f t="shared" si="33"/>
        <v>370</v>
      </c>
      <c r="AG145" s="35"/>
      <c r="AH145" s="35"/>
      <c r="AI145" s="34"/>
      <c r="AJ145" s="35">
        <v>653</v>
      </c>
      <c r="AK145" s="35"/>
      <c r="AL145" s="35">
        <f t="shared" si="34"/>
        <v>388</v>
      </c>
      <c r="AM145" s="6">
        <v>1042</v>
      </c>
      <c r="AN145" s="6"/>
      <c r="AO145" s="35">
        <f t="shared" si="35"/>
        <v>389</v>
      </c>
      <c r="AP145" s="6">
        <v>1430</v>
      </c>
      <c r="AQ145" s="35"/>
      <c r="AR145" s="35">
        <f t="shared" si="36"/>
        <v>388</v>
      </c>
      <c r="AS145" s="6">
        <v>259</v>
      </c>
      <c r="AT145" s="6">
        <v>1560</v>
      </c>
      <c r="AU145" s="35">
        <f t="shared" si="37"/>
        <v>389</v>
      </c>
      <c r="AV145" s="6">
        <v>645</v>
      </c>
      <c r="AW145" s="6"/>
      <c r="AX145" s="35">
        <f t="shared" si="38"/>
        <v>386</v>
      </c>
      <c r="AY145" s="6">
        <v>1019</v>
      </c>
      <c r="AZ145" s="6"/>
      <c r="BA145" s="35">
        <f t="shared" si="39"/>
        <v>374</v>
      </c>
      <c r="BB145" s="6"/>
      <c r="BC145" s="35"/>
      <c r="BD145" s="6"/>
      <c r="BE145" s="6">
        <v>1410</v>
      </c>
      <c r="BF145" s="6"/>
      <c r="BG145" s="6">
        <f t="shared" si="40"/>
        <v>391</v>
      </c>
      <c r="BH145" s="6">
        <v>228</v>
      </c>
      <c r="BI145" s="6">
        <v>1560</v>
      </c>
      <c r="BJ145" s="35">
        <f t="shared" si="41"/>
        <v>378</v>
      </c>
      <c r="BK145" s="6">
        <v>607</v>
      </c>
      <c r="BL145" s="6"/>
      <c r="BM145" s="6">
        <f t="shared" si="42"/>
        <v>379</v>
      </c>
      <c r="BN145" s="6">
        <v>8</v>
      </c>
      <c r="BO145" s="6">
        <v>974</v>
      </c>
      <c r="BP145" s="35">
        <f t="shared" si="43"/>
        <v>375</v>
      </c>
      <c r="BQ145" s="6">
        <v>388</v>
      </c>
      <c r="BR145" s="35"/>
      <c r="BS145" s="6">
        <f t="shared" si="44"/>
        <v>380</v>
      </c>
      <c r="BT145" s="6"/>
      <c r="BU145" s="6"/>
      <c r="BV145" s="6"/>
      <c r="BW145" s="7"/>
      <c r="BX145" s="35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</row>
    <row r="146" spans="1:113">
      <c r="A146" s="6">
        <v>142</v>
      </c>
      <c r="B146" s="6">
        <v>515</v>
      </c>
      <c r="C146" s="6"/>
      <c r="D146" s="6">
        <v>357</v>
      </c>
      <c r="E146" s="33" t="s">
        <v>37</v>
      </c>
      <c r="F146" s="33" t="s">
        <v>37</v>
      </c>
      <c r="G146" s="344" t="s">
        <v>37</v>
      </c>
      <c r="H146" s="344" t="s">
        <v>37</v>
      </c>
      <c r="I146" s="344" t="s">
        <v>37</v>
      </c>
      <c r="J146" s="357" t="s">
        <v>307</v>
      </c>
      <c r="K146" s="362" t="s">
        <v>307</v>
      </c>
      <c r="L146" s="362" t="s">
        <v>307</v>
      </c>
      <c r="M146" s="362" t="s">
        <v>307</v>
      </c>
      <c r="N146" s="362" t="s">
        <v>307</v>
      </c>
      <c r="O146" s="362" t="s">
        <v>307</v>
      </c>
      <c r="P146" s="362" t="s">
        <v>307</v>
      </c>
      <c r="Q146" s="362" t="s">
        <v>307</v>
      </c>
      <c r="R146" s="362" t="s">
        <v>307</v>
      </c>
      <c r="S146" s="362" t="s">
        <v>307</v>
      </c>
      <c r="T146" s="362" t="s">
        <v>307</v>
      </c>
      <c r="U146" s="6">
        <v>917</v>
      </c>
      <c r="V146" s="6"/>
      <c r="W146" s="35">
        <f t="shared" si="30"/>
        <v>402</v>
      </c>
      <c r="X146" s="6">
        <v>1305</v>
      </c>
      <c r="Y146" s="6"/>
      <c r="Z146" s="35">
        <f t="shared" si="31"/>
        <v>388</v>
      </c>
      <c r="AA146" s="35">
        <v>123</v>
      </c>
      <c r="AB146" s="35">
        <v>1561</v>
      </c>
      <c r="AC146" s="35">
        <f t="shared" si="32"/>
        <v>379</v>
      </c>
      <c r="AD146" s="6">
        <v>495</v>
      </c>
      <c r="AE146" s="6"/>
      <c r="AF146" s="35">
        <f t="shared" si="33"/>
        <v>372</v>
      </c>
      <c r="AG146" s="6"/>
      <c r="AH146" s="6"/>
      <c r="AI146" s="34"/>
      <c r="AJ146" s="35">
        <v>264</v>
      </c>
      <c r="AK146" s="35">
        <v>501</v>
      </c>
      <c r="AL146" s="35">
        <f t="shared" si="34"/>
        <v>270</v>
      </c>
      <c r="AM146" s="35">
        <v>643</v>
      </c>
      <c r="AN146" s="6"/>
      <c r="AO146" s="35">
        <f t="shared" si="35"/>
        <v>379</v>
      </c>
      <c r="AP146" s="6">
        <v>1036</v>
      </c>
      <c r="AQ146" s="6"/>
      <c r="AR146" s="35">
        <f t="shared" si="36"/>
        <v>393</v>
      </c>
      <c r="AS146" s="35">
        <v>1420</v>
      </c>
      <c r="AT146" s="35"/>
      <c r="AU146" s="35">
        <f t="shared" si="37"/>
        <v>384</v>
      </c>
      <c r="AV146" s="6">
        <v>1802</v>
      </c>
      <c r="AW146" s="6"/>
      <c r="AX146" s="35">
        <f t="shared" si="38"/>
        <v>382</v>
      </c>
      <c r="AY146" s="6">
        <v>350</v>
      </c>
      <c r="AZ146" s="6">
        <v>1820</v>
      </c>
      <c r="BA146" s="35">
        <f t="shared" si="39"/>
        <v>368</v>
      </c>
      <c r="BB146" s="35"/>
      <c r="BC146" s="6"/>
      <c r="BD146" s="6"/>
      <c r="BE146" s="6">
        <v>746</v>
      </c>
      <c r="BF146" s="6"/>
      <c r="BG146" s="6">
        <f t="shared" si="40"/>
        <v>396</v>
      </c>
      <c r="BH146" s="6">
        <v>1112</v>
      </c>
      <c r="BI146" s="6"/>
      <c r="BJ146" s="35">
        <f t="shared" si="41"/>
        <v>366</v>
      </c>
      <c r="BK146" s="6">
        <v>1483</v>
      </c>
      <c r="BL146" s="6"/>
      <c r="BM146" s="6">
        <f t="shared" si="42"/>
        <v>371</v>
      </c>
      <c r="BN146" s="6">
        <v>54</v>
      </c>
      <c r="BO146" s="6">
        <v>1820</v>
      </c>
      <c r="BP146" s="35">
        <f t="shared" si="43"/>
        <v>391</v>
      </c>
      <c r="BQ146" s="6">
        <v>446</v>
      </c>
      <c r="BR146" s="6"/>
      <c r="BS146" s="6">
        <f t="shared" si="44"/>
        <v>392</v>
      </c>
      <c r="BT146" s="6"/>
      <c r="BU146" s="6"/>
      <c r="BV146" s="6"/>
      <c r="BW146" s="7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</row>
    <row r="147" spans="1:113">
      <c r="A147" s="274">
        <v>143</v>
      </c>
      <c r="B147" s="6">
        <v>455</v>
      </c>
      <c r="C147" s="6"/>
      <c r="D147" s="6">
        <v>346</v>
      </c>
      <c r="E147" s="33" t="s">
        <v>37</v>
      </c>
      <c r="F147" s="33" t="s">
        <v>37</v>
      </c>
      <c r="G147" s="344" t="s">
        <v>37</v>
      </c>
      <c r="H147" s="344" t="s">
        <v>37</v>
      </c>
      <c r="I147" s="346" t="s">
        <v>37</v>
      </c>
      <c r="J147" s="344" t="s">
        <v>37</v>
      </c>
      <c r="K147" s="344" t="s">
        <v>37</v>
      </c>
      <c r="L147" s="344" t="s">
        <v>37</v>
      </c>
      <c r="M147" s="344" t="s">
        <v>37</v>
      </c>
      <c r="N147" s="344" t="s">
        <v>37</v>
      </c>
      <c r="O147" s="344" t="s">
        <v>37</v>
      </c>
      <c r="P147" s="344" t="s">
        <v>37</v>
      </c>
      <c r="Q147" s="344" t="s">
        <v>37</v>
      </c>
      <c r="R147" s="344" t="s">
        <v>37</v>
      </c>
      <c r="S147" s="344" t="s">
        <v>37</v>
      </c>
      <c r="T147" s="344" t="s">
        <v>37</v>
      </c>
      <c r="U147" s="6">
        <v>866</v>
      </c>
      <c r="V147" s="6"/>
      <c r="W147" s="35">
        <f t="shared" si="30"/>
        <v>411</v>
      </c>
      <c r="X147" s="6">
        <v>1244</v>
      </c>
      <c r="Y147" s="6"/>
      <c r="Z147" s="35">
        <f t="shared" si="31"/>
        <v>378</v>
      </c>
      <c r="AA147" s="35">
        <v>1630</v>
      </c>
      <c r="AB147" s="35"/>
      <c r="AC147" s="35">
        <f t="shared" si="32"/>
        <v>386</v>
      </c>
      <c r="AD147" s="6">
        <v>271</v>
      </c>
      <c r="AE147" s="6">
        <v>1642</v>
      </c>
      <c r="AF147" s="35">
        <f t="shared" si="33"/>
        <v>283</v>
      </c>
      <c r="AG147" s="6"/>
      <c r="AH147" s="6"/>
      <c r="AI147" s="34"/>
      <c r="AJ147" s="35">
        <v>651</v>
      </c>
      <c r="AK147" s="35"/>
      <c r="AL147" s="35">
        <f t="shared" si="34"/>
        <v>380</v>
      </c>
      <c r="AM147" s="6">
        <v>1036</v>
      </c>
      <c r="AN147" s="6"/>
      <c r="AO147" s="35">
        <f t="shared" si="35"/>
        <v>385</v>
      </c>
      <c r="AP147" s="6">
        <v>1424</v>
      </c>
      <c r="AQ147" s="6"/>
      <c r="AR147" s="35">
        <f t="shared" si="36"/>
        <v>388</v>
      </c>
      <c r="AS147" s="35">
        <v>247</v>
      </c>
      <c r="AT147" s="35">
        <v>1560</v>
      </c>
      <c r="AU147" s="35">
        <f t="shared" si="37"/>
        <v>383</v>
      </c>
      <c r="AV147" s="6">
        <v>634</v>
      </c>
      <c r="AW147" s="6"/>
      <c r="AX147" s="35">
        <f t="shared" si="38"/>
        <v>387</v>
      </c>
      <c r="AY147" s="6">
        <v>1006</v>
      </c>
      <c r="AZ147" s="6"/>
      <c r="BA147" s="35">
        <f t="shared" si="39"/>
        <v>372</v>
      </c>
      <c r="BB147" s="6"/>
      <c r="BC147" s="6"/>
      <c r="BD147" s="6"/>
      <c r="BE147" s="6">
        <v>1398</v>
      </c>
      <c r="BF147" s="6"/>
      <c r="BG147" s="6">
        <f t="shared" si="40"/>
        <v>392</v>
      </c>
      <c r="BH147" s="6">
        <v>215</v>
      </c>
      <c r="BI147" s="6">
        <v>1561</v>
      </c>
      <c r="BJ147" s="35">
        <f t="shared" si="41"/>
        <v>378</v>
      </c>
      <c r="BK147" s="6">
        <v>594</v>
      </c>
      <c r="BL147" s="6"/>
      <c r="BM147" s="6">
        <f t="shared" si="42"/>
        <v>379</v>
      </c>
      <c r="BN147" s="6">
        <v>971</v>
      </c>
      <c r="BO147" s="6"/>
      <c r="BP147" s="35">
        <f t="shared" si="43"/>
        <v>377</v>
      </c>
      <c r="BQ147" s="6">
        <v>1355</v>
      </c>
      <c r="BR147" s="6"/>
      <c r="BS147" s="6">
        <f t="shared" si="44"/>
        <v>384</v>
      </c>
      <c r="BT147" s="6"/>
      <c r="BU147" s="6"/>
      <c r="BV147" s="6"/>
      <c r="BW147" s="7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</row>
    <row r="148" spans="1:113" ht="15.75" customHeight="1">
      <c r="A148" s="274">
        <v>144</v>
      </c>
      <c r="B148" s="6">
        <v>683</v>
      </c>
      <c r="C148" s="6"/>
      <c r="D148" s="6">
        <v>366</v>
      </c>
      <c r="E148" s="33" t="s">
        <v>37</v>
      </c>
      <c r="F148" s="33" t="s">
        <v>37</v>
      </c>
      <c r="G148" s="344" t="s">
        <v>37</v>
      </c>
      <c r="H148" s="344" t="s">
        <v>37</v>
      </c>
      <c r="I148" s="344" t="s">
        <v>37</v>
      </c>
      <c r="J148" s="344" t="s">
        <v>37</v>
      </c>
      <c r="K148" s="344" t="s">
        <v>37</v>
      </c>
      <c r="L148" s="344" t="s">
        <v>37</v>
      </c>
      <c r="M148" s="346" t="s">
        <v>37</v>
      </c>
      <c r="N148" s="344" t="s">
        <v>37</v>
      </c>
      <c r="O148" s="344" t="s">
        <v>37</v>
      </c>
      <c r="P148" s="344" t="s">
        <v>37</v>
      </c>
      <c r="Q148" s="344" t="s">
        <v>37</v>
      </c>
      <c r="R148" s="344" t="s">
        <v>37</v>
      </c>
      <c r="S148" s="344" t="s">
        <v>37</v>
      </c>
      <c r="T148" s="344" t="s">
        <v>37</v>
      </c>
      <c r="U148" s="6">
        <v>1098</v>
      </c>
      <c r="V148" s="6"/>
      <c r="W148" s="35">
        <f t="shared" si="30"/>
        <v>415</v>
      </c>
      <c r="X148" s="6">
        <v>1482</v>
      </c>
      <c r="Y148" s="6"/>
      <c r="Z148" s="35">
        <f t="shared" si="31"/>
        <v>384</v>
      </c>
      <c r="AA148" s="35">
        <v>288</v>
      </c>
      <c r="AB148" s="35">
        <v>1560</v>
      </c>
      <c r="AC148" s="35">
        <f t="shared" si="32"/>
        <v>366</v>
      </c>
      <c r="AD148" s="6">
        <v>659</v>
      </c>
      <c r="AE148" s="6"/>
      <c r="AF148" s="35">
        <f t="shared" si="33"/>
        <v>371</v>
      </c>
      <c r="AG148" s="6"/>
      <c r="AH148" s="6"/>
      <c r="AI148" s="34"/>
      <c r="AJ148" s="35">
        <v>1041</v>
      </c>
      <c r="AK148" s="35"/>
      <c r="AL148" s="35">
        <f t="shared" si="34"/>
        <v>382</v>
      </c>
      <c r="AM148" s="6">
        <v>1417</v>
      </c>
      <c r="AN148" s="6"/>
      <c r="AO148" s="35">
        <f t="shared" si="35"/>
        <v>376</v>
      </c>
      <c r="AP148" s="6">
        <v>0</v>
      </c>
      <c r="AQ148" s="35">
        <v>1690</v>
      </c>
      <c r="AR148" s="35">
        <f t="shared" si="36"/>
        <v>273</v>
      </c>
      <c r="AS148" s="6">
        <v>363</v>
      </c>
      <c r="AT148" s="6"/>
      <c r="AU148" s="35">
        <f t="shared" si="37"/>
        <v>363</v>
      </c>
      <c r="AV148" s="6">
        <v>750</v>
      </c>
      <c r="AW148" s="6"/>
      <c r="AX148" s="35">
        <f t="shared" si="38"/>
        <v>387</v>
      </c>
      <c r="AY148" s="6">
        <v>1120</v>
      </c>
      <c r="AZ148" s="6"/>
      <c r="BA148" s="35">
        <f t="shared" si="39"/>
        <v>370</v>
      </c>
      <c r="BB148" s="6"/>
      <c r="BC148" s="35"/>
      <c r="BD148" s="6"/>
      <c r="BE148" s="6">
        <v>1498</v>
      </c>
      <c r="BF148" s="6"/>
      <c r="BG148" s="6">
        <f t="shared" si="40"/>
        <v>378</v>
      </c>
      <c r="BH148" s="6">
        <v>311</v>
      </c>
      <c r="BI148" s="6">
        <v>1561</v>
      </c>
      <c r="BJ148" s="35">
        <f t="shared" si="41"/>
        <v>374</v>
      </c>
      <c r="BK148" s="6">
        <v>689</v>
      </c>
      <c r="BL148" s="6"/>
      <c r="BM148" s="6">
        <f t="shared" si="42"/>
        <v>378</v>
      </c>
      <c r="BN148" s="6">
        <v>1060</v>
      </c>
      <c r="BO148" s="6"/>
      <c r="BP148" s="35">
        <f t="shared" si="43"/>
        <v>371</v>
      </c>
      <c r="BQ148" s="6">
        <v>1445</v>
      </c>
      <c r="BR148" s="35"/>
      <c r="BS148" s="6">
        <f t="shared" si="44"/>
        <v>385</v>
      </c>
      <c r="BT148" s="6"/>
      <c r="BU148" s="6"/>
      <c r="BV148" s="6"/>
      <c r="BW148" s="7"/>
      <c r="BX148" s="35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</row>
    <row r="149" spans="1:113">
      <c r="A149" s="7">
        <v>145</v>
      </c>
      <c r="B149" s="6">
        <v>624</v>
      </c>
      <c r="C149" s="6"/>
      <c r="D149" s="6">
        <v>360</v>
      </c>
      <c r="E149" s="33" t="s">
        <v>37</v>
      </c>
      <c r="F149" s="33" t="s">
        <v>37</v>
      </c>
      <c r="G149" s="344" t="s">
        <v>37</v>
      </c>
      <c r="H149" s="344" t="s">
        <v>37</v>
      </c>
      <c r="I149" s="344" t="s">
        <v>37</v>
      </c>
      <c r="J149" s="344" t="s">
        <v>37</v>
      </c>
      <c r="K149" s="344" t="s">
        <v>37</v>
      </c>
      <c r="L149" s="344" t="s">
        <v>37</v>
      </c>
      <c r="M149" s="344" t="s">
        <v>37</v>
      </c>
      <c r="N149" s="344" t="s">
        <v>37</v>
      </c>
      <c r="O149" s="344" t="s">
        <v>37</v>
      </c>
      <c r="P149" s="344" t="s">
        <v>37</v>
      </c>
      <c r="Q149" s="344" t="s">
        <v>37</v>
      </c>
      <c r="R149" s="344" t="s">
        <v>37</v>
      </c>
      <c r="S149" s="344" t="s">
        <v>37</v>
      </c>
      <c r="T149" s="344" t="s">
        <v>37</v>
      </c>
      <c r="U149" s="35">
        <v>1037</v>
      </c>
      <c r="V149" s="35"/>
      <c r="W149" s="35">
        <f t="shared" si="30"/>
        <v>413</v>
      </c>
      <c r="X149" s="35">
        <v>1419</v>
      </c>
      <c r="Y149" s="35"/>
      <c r="Z149" s="35">
        <f t="shared" si="31"/>
        <v>382</v>
      </c>
      <c r="AA149" s="35">
        <v>235</v>
      </c>
      <c r="AB149" s="35">
        <v>1560</v>
      </c>
      <c r="AC149" s="35">
        <f t="shared" si="32"/>
        <v>376</v>
      </c>
      <c r="AD149" s="6">
        <v>605</v>
      </c>
      <c r="AE149" s="6"/>
      <c r="AF149" s="35">
        <f t="shared" si="33"/>
        <v>370</v>
      </c>
      <c r="AG149" s="6"/>
      <c r="AH149" s="6"/>
      <c r="AI149" s="34"/>
      <c r="AJ149" s="35">
        <v>995</v>
      </c>
      <c r="AK149" s="35"/>
      <c r="AL149" s="35">
        <f t="shared" si="34"/>
        <v>390</v>
      </c>
      <c r="AM149" s="35">
        <v>1382</v>
      </c>
      <c r="AN149" s="6"/>
      <c r="AO149" s="35">
        <f t="shared" si="35"/>
        <v>387</v>
      </c>
      <c r="AP149" s="6">
        <v>208</v>
      </c>
      <c r="AQ149" s="6">
        <v>1563</v>
      </c>
      <c r="AR149" s="35">
        <f t="shared" si="36"/>
        <v>389</v>
      </c>
      <c r="AS149" s="35">
        <v>585</v>
      </c>
      <c r="AT149" s="35"/>
      <c r="AU149" s="35">
        <f t="shared" si="37"/>
        <v>377</v>
      </c>
      <c r="AV149" s="6">
        <v>973</v>
      </c>
      <c r="AW149" s="6"/>
      <c r="AX149" s="35">
        <f t="shared" si="38"/>
        <v>388</v>
      </c>
      <c r="AY149" s="6">
        <v>20</v>
      </c>
      <c r="AZ149" s="6">
        <v>1325</v>
      </c>
      <c r="BA149" s="35">
        <f t="shared" si="39"/>
        <v>372</v>
      </c>
      <c r="BB149" s="6"/>
      <c r="BC149" s="6"/>
      <c r="BD149" s="6"/>
      <c r="BE149" s="6">
        <v>395</v>
      </c>
      <c r="BF149" s="6"/>
      <c r="BG149" s="6">
        <f t="shared" si="40"/>
        <v>375</v>
      </c>
      <c r="BH149" s="6">
        <v>778</v>
      </c>
      <c r="BI149" s="6"/>
      <c r="BJ149" s="35">
        <f t="shared" si="41"/>
        <v>383</v>
      </c>
      <c r="BK149" s="6">
        <v>1160</v>
      </c>
      <c r="BL149" s="6"/>
      <c r="BM149" s="6">
        <f t="shared" si="42"/>
        <v>382</v>
      </c>
      <c r="BN149" s="6">
        <v>1542</v>
      </c>
      <c r="BO149" s="6"/>
      <c r="BP149" s="35">
        <f t="shared" si="43"/>
        <v>382</v>
      </c>
      <c r="BQ149" s="6">
        <v>0</v>
      </c>
      <c r="BR149" s="6">
        <v>1849</v>
      </c>
      <c r="BS149" s="6">
        <f t="shared" si="44"/>
        <v>307</v>
      </c>
      <c r="BT149" s="6"/>
      <c r="BU149" s="6"/>
      <c r="BV149" s="6"/>
      <c r="BW149" s="7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</row>
    <row r="150" spans="1:113">
      <c r="A150" s="6">
        <v>146</v>
      </c>
      <c r="B150" s="6">
        <v>1391</v>
      </c>
      <c r="C150" s="6"/>
      <c r="D150" s="6">
        <v>359</v>
      </c>
      <c r="E150" s="33" t="s">
        <v>37</v>
      </c>
      <c r="F150" s="33" t="s">
        <v>37</v>
      </c>
      <c r="G150" s="344" t="s">
        <v>37</v>
      </c>
      <c r="H150" s="344" t="s">
        <v>37</v>
      </c>
      <c r="I150" s="344" t="s">
        <v>37</v>
      </c>
      <c r="J150" s="344" t="s">
        <v>37</v>
      </c>
      <c r="K150" s="344" t="s">
        <v>37</v>
      </c>
      <c r="L150" s="344" t="s">
        <v>37</v>
      </c>
      <c r="M150" s="344" t="s">
        <v>37</v>
      </c>
      <c r="N150" s="344" t="s">
        <v>37</v>
      </c>
      <c r="O150" s="344" t="s">
        <v>37</v>
      </c>
      <c r="P150" s="344" t="s">
        <v>37</v>
      </c>
      <c r="Q150" s="344" t="s">
        <v>37</v>
      </c>
      <c r="R150" s="344" t="s">
        <v>37</v>
      </c>
      <c r="S150" s="344" t="s">
        <v>37</v>
      </c>
      <c r="T150" s="344" t="s">
        <v>37</v>
      </c>
      <c r="U150" s="6">
        <v>243</v>
      </c>
      <c r="V150" s="6">
        <v>1560</v>
      </c>
      <c r="W150" s="35">
        <f t="shared" si="30"/>
        <v>412</v>
      </c>
      <c r="X150" s="6">
        <v>625</v>
      </c>
      <c r="Y150" s="6"/>
      <c r="Z150" s="35">
        <f t="shared" si="31"/>
        <v>382</v>
      </c>
      <c r="AA150" s="35">
        <v>81</v>
      </c>
      <c r="AB150" s="35">
        <v>909</v>
      </c>
      <c r="AC150" s="35">
        <f t="shared" si="32"/>
        <v>365</v>
      </c>
      <c r="AD150" s="6">
        <v>443</v>
      </c>
      <c r="AE150" s="6"/>
      <c r="AF150" s="35">
        <f t="shared" si="33"/>
        <v>362</v>
      </c>
      <c r="AG150" s="6"/>
      <c r="AH150" s="6"/>
      <c r="AI150" s="34"/>
      <c r="AJ150" s="35">
        <v>831</v>
      </c>
      <c r="AK150" s="35"/>
      <c r="AL150" s="35">
        <f t="shared" si="34"/>
        <v>388</v>
      </c>
      <c r="AM150" s="6">
        <v>1209</v>
      </c>
      <c r="AN150" s="6"/>
      <c r="AO150" s="35">
        <f t="shared" si="35"/>
        <v>378</v>
      </c>
      <c r="AP150" s="6">
        <v>28</v>
      </c>
      <c r="AQ150" s="6">
        <v>1565</v>
      </c>
      <c r="AR150" s="35">
        <f t="shared" si="36"/>
        <v>384</v>
      </c>
      <c r="AS150" s="6">
        <v>417</v>
      </c>
      <c r="AT150" s="6"/>
      <c r="AU150" s="35">
        <f t="shared" si="37"/>
        <v>389</v>
      </c>
      <c r="AV150" s="6">
        <v>802</v>
      </c>
      <c r="AW150" s="6"/>
      <c r="AX150" s="35">
        <f t="shared" si="38"/>
        <v>385</v>
      </c>
      <c r="AY150" s="6">
        <v>1167</v>
      </c>
      <c r="AZ150" s="6"/>
      <c r="BA150" s="35">
        <f t="shared" si="39"/>
        <v>365</v>
      </c>
      <c r="BB150" s="6"/>
      <c r="BC150" s="35"/>
      <c r="BD150" s="6"/>
      <c r="BE150" s="6">
        <v>1558</v>
      </c>
      <c r="BF150" s="6"/>
      <c r="BG150" s="6">
        <f t="shared" si="40"/>
        <v>391</v>
      </c>
      <c r="BH150" s="6">
        <v>369</v>
      </c>
      <c r="BI150" s="6">
        <v>1560</v>
      </c>
      <c r="BJ150" s="35">
        <f t="shared" si="41"/>
        <v>371</v>
      </c>
      <c r="BK150" s="6">
        <v>756</v>
      </c>
      <c r="BL150" s="6"/>
      <c r="BM150" s="6">
        <f t="shared" si="42"/>
        <v>387</v>
      </c>
      <c r="BN150" s="6">
        <v>1137</v>
      </c>
      <c r="BO150" s="6"/>
      <c r="BP150" s="35">
        <f t="shared" si="43"/>
        <v>381</v>
      </c>
      <c r="BQ150" s="6">
        <v>1521</v>
      </c>
      <c r="BR150" s="35"/>
      <c r="BS150" s="6">
        <f t="shared" si="44"/>
        <v>384</v>
      </c>
      <c r="BT150" s="6"/>
      <c r="BU150" s="6"/>
      <c r="BV150" s="6"/>
      <c r="BW150" s="7"/>
      <c r="BX150" s="35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</row>
    <row r="151" spans="1:113">
      <c r="A151" s="6">
        <v>147</v>
      </c>
      <c r="B151" s="6">
        <v>1475</v>
      </c>
      <c r="C151" s="6"/>
      <c r="D151" s="6">
        <v>362</v>
      </c>
      <c r="E151" s="33" t="s">
        <v>37</v>
      </c>
      <c r="F151" s="33" t="s">
        <v>37</v>
      </c>
      <c r="G151" s="344" t="s">
        <v>37</v>
      </c>
      <c r="H151" s="344" t="s">
        <v>37</v>
      </c>
      <c r="I151" s="344" t="s">
        <v>37</v>
      </c>
      <c r="J151" s="344" t="s">
        <v>37</v>
      </c>
      <c r="K151" s="344" t="s">
        <v>37</v>
      </c>
      <c r="L151" s="344" t="s">
        <v>37</v>
      </c>
      <c r="M151" s="344" t="s">
        <v>37</v>
      </c>
      <c r="N151" s="344" t="s">
        <v>37</v>
      </c>
      <c r="O151" s="344" t="s">
        <v>37</v>
      </c>
      <c r="P151" s="344" t="s">
        <v>37</v>
      </c>
      <c r="Q151" s="344" t="s">
        <v>37</v>
      </c>
      <c r="R151" s="344" t="s">
        <v>37</v>
      </c>
      <c r="S151" s="344" t="s">
        <v>37</v>
      </c>
      <c r="T151" s="344" t="s">
        <v>37</v>
      </c>
      <c r="U151" s="6">
        <v>318</v>
      </c>
      <c r="V151" s="35">
        <v>1560</v>
      </c>
      <c r="W151" s="35">
        <f t="shared" si="30"/>
        <v>403</v>
      </c>
      <c r="X151" s="6">
        <v>136</v>
      </c>
      <c r="Y151" s="35">
        <v>568</v>
      </c>
      <c r="Z151" s="35">
        <f t="shared" si="31"/>
        <v>386</v>
      </c>
      <c r="AA151" s="35">
        <v>529</v>
      </c>
      <c r="AB151" s="35"/>
      <c r="AC151" s="35">
        <f t="shared" si="32"/>
        <v>393</v>
      </c>
      <c r="AD151" s="6">
        <v>913</v>
      </c>
      <c r="AE151" s="6"/>
      <c r="AF151" s="35">
        <f t="shared" si="33"/>
        <v>384</v>
      </c>
      <c r="AG151" s="6"/>
      <c r="AH151" s="6"/>
      <c r="AI151" s="34"/>
      <c r="AJ151" s="35">
        <v>1308</v>
      </c>
      <c r="AK151" s="35"/>
      <c r="AL151" s="35">
        <f t="shared" si="34"/>
        <v>395</v>
      </c>
      <c r="AM151" s="6">
        <v>140</v>
      </c>
      <c r="AN151" s="6">
        <v>1560</v>
      </c>
      <c r="AO151" s="35">
        <f t="shared" si="35"/>
        <v>392</v>
      </c>
      <c r="AP151" s="6">
        <v>534</v>
      </c>
      <c r="AQ151" s="6"/>
      <c r="AR151" s="35">
        <f t="shared" si="36"/>
        <v>394</v>
      </c>
      <c r="AS151" s="6">
        <v>930</v>
      </c>
      <c r="AT151" s="6"/>
      <c r="AU151" s="35">
        <f t="shared" si="37"/>
        <v>396</v>
      </c>
      <c r="AV151" s="6">
        <v>1318</v>
      </c>
      <c r="AW151" s="6"/>
      <c r="AX151" s="35">
        <f t="shared" si="38"/>
        <v>388</v>
      </c>
      <c r="AY151" s="6">
        <v>138</v>
      </c>
      <c r="AZ151" s="6">
        <v>1560</v>
      </c>
      <c r="BA151" s="35">
        <f t="shared" si="39"/>
        <v>380</v>
      </c>
      <c r="BB151" s="6"/>
      <c r="BC151" s="35"/>
      <c r="BD151" s="6"/>
      <c r="BE151" s="6">
        <v>535</v>
      </c>
      <c r="BF151" s="6"/>
      <c r="BG151" s="6">
        <f t="shared" si="40"/>
        <v>397</v>
      </c>
      <c r="BH151" s="6">
        <v>926</v>
      </c>
      <c r="BI151" s="6"/>
      <c r="BJ151" s="35">
        <f t="shared" si="41"/>
        <v>391</v>
      </c>
      <c r="BK151" s="6">
        <v>1312</v>
      </c>
      <c r="BL151" s="6"/>
      <c r="BM151" s="6">
        <f t="shared" si="42"/>
        <v>386</v>
      </c>
      <c r="BN151" s="6">
        <v>140</v>
      </c>
      <c r="BO151" s="6">
        <v>1560</v>
      </c>
      <c r="BP151" s="35">
        <f t="shared" si="43"/>
        <v>388</v>
      </c>
      <c r="BQ151" s="6">
        <v>530</v>
      </c>
      <c r="BR151" s="35"/>
      <c r="BS151" s="6">
        <f t="shared" si="44"/>
        <v>390</v>
      </c>
      <c r="BT151" s="6"/>
      <c r="BU151" s="6"/>
      <c r="BV151" s="6"/>
      <c r="BW151" s="7"/>
      <c r="BX151" s="35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</row>
    <row r="152" spans="1:113">
      <c r="A152" s="6">
        <v>148</v>
      </c>
      <c r="B152" s="6">
        <v>1307</v>
      </c>
      <c r="C152" s="6"/>
      <c r="D152" s="6">
        <v>354</v>
      </c>
      <c r="E152" s="33" t="s">
        <v>37</v>
      </c>
      <c r="F152" s="33" t="s">
        <v>37</v>
      </c>
      <c r="G152" s="344" t="s">
        <v>37</v>
      </c>
      <c r="H152" s="344" t="s">
        <v>37</v>
      </c>
      <c r="I152" s="344" t="s">
        <v>37</v>
      </c>
      <c r="J152" s="357" t="s">
        <v>307</v>
      </c>
      <c r="K152" s="362" t="s">
        <v>307</v>
      </c>
      <c r="L152" s="362" t="s">
        <v>307</v>
      </c>
      <c r="M152" s="362" t="s">
        <v>307</v>
      </c>
      <c r="N152" s="362" t="s">
        <v>307</v>
      </c>
      <c r="O152" s="362" t="s">
        <v>307</v>
      </c>
      <c r="P152" s="362" t="s">
        <v>307</v>
      </c>
      <c r="Q152" s="362" t="s">
        <v>307</v>
      </c>
      <c r="R152" s="362" t="s">
        <v>307</v>
      </c>
      <c r="S152" s="362" t="s">
        <v>307</v>
      </c>
      <c r="T152" s="362" t="s">
        <v>307</v>
      </c>
      <c r="U152" s="6">
        <v>158</v>
      </c>
      <c r="V152" s="6">
        <v>1560</v>
      </c>
      <c r="W152" s="35">
        <f t="shared" si="30"/>
        <v>411</v>
      </c>
      <c r="X152" s="6">
        <v>547</v>
      </c>
      <c r="Y152" s="6"/>
      <c r="Z152" s="35">
        <f t="shared" si="31"/>
        <v>389</v>
      </c>
      <c r="AA152" s="35">
        <v>933</v>
      </c>
      <c r="AB152" s="35"/>
      <c r="AC152" s="35">
        <f t="shared" si="32"/>
        <v>386</v>
      </c>
      <c r="AD152" s="6">
        <v>0</v>
      </c>
      <c r="AE152" s="6">
        <v>1191</v>
      </c>
      <c r="AF152" s="35">
        <f t="shared" si="33"/>
        <v>258</v>
      </c>
      <c r="AG152" s="6"/>
      <c r="AH152" s="6"/>
      <c r="AI152" s="34"/>
      <c r="AJ152" s="35">
        <v>288</v>
      </c>
      <c r="AK152" s="35"/>
      <c r="AL152" s="35">
        <f t="shared" si="34"/>
        <v>288</v>
      </c>
      <c r="AM152" s="6">
        <v>671</v>
      </c>
      <c r="AN152" s="6"/>
      <c r="AO152" s="35">
        <f t="shared" si="35"/>
        <v>383</v>
      </c>
      <c r="AP152" s="6">
        <v>1050</v>
      </c>
      <c r="AQ152" s="6"/>
      <c r="AR152" s="35">
        <f t="shared" si="36"/>
        <v>379</v>
      </c>
      <c r="AS152" s="6">
        <v>1435</v>
      </c>
      <c r="AT152" s="6"/>
      <c r="AU152" s="35">
        <f t="shared" si="37"/>
        <v>385</v>
      </c>
      <c r="AV152" s="6">
        <v>0</v>
      </c>
      <c r="AW152" s="6">
        <v>1820</v>
      </c>
      <c r="AX152" s="35">
        <f t="shared" si="38"/>
        <v>385</v>
      </c>
      <c r="AY152" s="6">
        <v>374</v>
      </c>
      <c r="AZ152" s="6"/>
      <c r="BA152" s="35">
        <f t="shared" si="39"/>
        <v>374</v>
      </c>
      <c r="BB152" s="6"/>
      <c r="BC152" s="35"/>
      <c r="BD152" s="6"/>
      <c r="BE152" s="6">
        <v>768</v>
      </c>
      <c r="BF152" s="6"/>
      <c r="BG152" s="6">
        <f t="shared" si="40"/>
        <v>394</v>
      </c>
      <c r="BH152" s="6">
        <v>1149</v>
      </c>
      <c r="BI152" s="6"/>
      <c r="BJ152" s="35">
        <f t="shared" si="41"/>
        <v>381</v>
      </c>
      <c r="BK152" s="6">
        <v>1534</v>
      </c>
      <c r="BL152" s="6"/>
      <c r="BM152" s="6">
        <f t="shared" si="42"/>
        <v>385</v>
      </c>
      <c r="BN152" s="6">
        <v>107</v>
      </c>
      <c r="BO152" s="6">
        <v>1810</v>
      </c>
      <c r="BP152" s="35">
        <f t="shared" si="43"/>
        <v>383</v>
      </c>
      <c r="BQ152" s="35">
        <v>493</v>
      </c>
      <c r="BR152" s="35"/>
      <c r="BS152" s="6">
        <f t="shared" si="44"/>
        <v>386</v>
      </c>
      <c r="BT152" s="6"/>
      <c r="BU152" s="6"/>
      <c r="BV152" s="6"/>
      <c r="BW152" s="7"/>
      <c r="BX152" s="35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</row>
    <row r="153" spans="1:113">
      <c r="A153" s="6">
        <v>149</v>
      </c>
      <c r="B153" s="6">
        <v>325</v>
      </c>
      <c r="C153" s="6">
        <v>1560</v>
      </c>
      <c r="D153" s="6">
        <v>361</v>
      </c>
      <c r="E153" s="33" t="s">
        <v>37</v>
      </c>
      <c r="F153" s="33" t="s">
        <v>37</v>
      </c>
      <c r="G153" s="344" t="s">
        <v>37</v>
      </c>
      <c r="H153" s="344" t="s">
        <v>37</v>
      </c>
      <c r="I153" s="344" t="s">
        <v>37</v>
      </c>
      <c r="J153" s="344" t="s">
        <v>37</v>
      </c>
      <c r="K153" s="344" t="s">
        <v>37</v>
      </c>
      <c r="L153" s="344" t="s">
        <v>37</v>
      </c>
      <c r="M153" s="344" t="s">
        <v>37</v>
      </c>
      <c r="N153" s="344" t="s">
        <v>37</v>
      </c>
      <c r="O153" s="344" t="s">
        <v>37</v>
      </c>
      <c r="P153" s="344" t="s">
        <v>37</v>
      </c>
      <c r="Q153" s="344" t="s">
        <v>37</v>
      </c>
      <c r="R153" s="344" t="s">
        <v>37</v>
      </c>
      <c r="S153" s="344" t="s">
        <v>37</v>
      </c>
      <c r="T153" s="344" t="s">
        <v>37</v>
      </c>
      <c r="U153" s="6">
        <v>736</v>
      </c>
      <c r="V153" s="6"/>
      <c r="W153" s="35">
        <f t="shared" si="30"/>
        <v>411</v>
      </c>
      <c r="X153" s="6">
        <v>1124</v>
      </c>
      <c r="Y153" s="6"/>
      <c r="Z153" s="35">
        <f t="shared" si="31"/>
        <v>388</v>
      </c>
      <c r="AA153" s="35">
        <v>1506</v>
      </c>
      <c r="AB153" s="35"/>
      <c r="AC153" s="35">
        <f t="shared" si="32"/>
        <v>382</v>
      </c>
      <c r="AD153" s="6">
        <v>323</v>
      </c>
      <c r="AE153" s="6">
        <v>1560</v>
      </c>
      <c r="AF153" s="35">
        <f t="shared" si="33"/>
        <v>377</v>
      </c>
      <c r="AG153" s="6"/>
      <c r="AH153" s="6"/>
      <c r="AI153" s="34"/>
      <c r="AJ153" s="35">
        <v>712</v>
      </c>
      <c r="AK153" s="35"/>
      <c r="AL153" s="35">
        <f t="shared" si="34"/>
        <v>389</v>
      </c>
      <c r="AM153" s="6">
        <v>1099</v>
      </c>
      <c r="AN153" s="6"/>
      <c r="AO153" s="35">
        <f t="shared" si="35"/>
        <v>387</v>
      </c>
      <c r="AP153" s="6">
        <v>1488</v>
      </c>
      <c r="AQ153" s="6"/>
      <c r="AR153" s="35">
        <f t="shared" si="36"/>
        <v>389</v>
      </c>
      <c r="AS153" s="6">
        <v>317</v>
      </c>
      <c r="AT153" s="6">
        <v>1560</v>
      </c>
      <c r="AU153" s="35">
        <f t="shared" si="37"/>
        <v>389</v>
      </c>
      <c r="AV153" s="6">
        <v>704</v>
      </c>
      <c r="AW153" s="6"/>
      <c r="AX153" s="35">
        <f t="shared" si="38"/>
        <v>387</v>
      </c>
      <c r="AY153" s="6">
        <v>1080</v>
      </c>
      <c r="AZ153" s="6"/>
      <c r="BA153" s="35">
        <f t="shared" si="39"/>
        <v>376</v>
      </c>
      <c r="BB153" s="6"/>
      <c r="BC153" s="35"/>
      <c r="BD153" s="6"/>
      <c r="BE153" s="6">
        <v>1468</v>
      </c>
      <c r="BF153" s="6"/>
      <c r="BG153" s="6">
        <f t="shared" si="40"/>
        <v>388</v>
      </c>
      <c r="BH153" s="6">
        <v>288</v>
      </c>
      <c r="BI153" s="6">
        <v>1560</v>
      </c>
      <c r="BJ153" s="35">
        <f t="shared" si="41"/>
        <v>380</v>
      </c>
      <c r="BK153" s="6">
        <v>678</v>
      </c>
      <c r="BL153" s="6"/>
      <c r="BM153" s="6">
        <f t="shared" si="42"/>
        <v>390</v>
      </c>
      <c r="BN153" s="6">
        <v>1066</v>
      </c>
      <c r="BO153" s="6"/>
      <c r="BP153" s="35">
        <f t="shared" si="43"/>
        <v>388</v>
      </c>
      <c r="BQ153" s="6">
        <v>1427</v>
      </c>
      <c r="BR153" s="35"/>
      <c r="BS153" s="6">
        <f t="shared" si="44"/>
        <v>361</v>
      </c>
      <c r="BT153" s="6"/>
      <c r="BU153" s="6"/>
      <c r="BV153" s="6"/>
      <c r="BW153" s="7"/>
      <c r="BX153" s="35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</row>
    <row r="154" spans="1:113">
      <c r="A154" s="6">
        <v>150</v>
      </c>
      <c r="B154" s="6">
        <v>1363</v>
      </c>
      <c r="C154" s="6"/>
      <c r="D154" s="6">
        <v>350</v>
      </c>
      <c r="E154" s="33" t="s">
        <v>37</v>
      </c>
      <c r="F154" s="33" t="s">
        <v>37</v>
      </c>
      <c r="G154" s="344" t="s">
        <v>37</v>
      </c>
      <c r="H154" s="344" t="s">
        <v>37</v>
      </c>
      <c r="I154" s="344" t="s">
        <v>37</v>
      </c>
      <c r="J154" s="344" t="s">
        <v>37</v>
      </c>
      <c r="K154" s="344" t="s">
        <v>37</v>
      </c>
      <c r="L154" s="344" t="s">
        <v>37</v>
      </c>
      <c r="M154" s="344" t="s">
        <v>37</v>
      </c>
      <c r="N154" s="344" t="s">
        <v>37</v>
      </c>
      <c r="O154" s="344" t="s">
        <v>37</v>
      </c>
      <c r="P154" s="344" t="s">
        <v>37</v>
      </c>
      <c r="Q154" s="344" t="s">
        <v>37</v>
      </c>
      <c r="R154" s="344" t="s">
        <v>37</v>
      </c>
      <c r="S154" s="344" t="s">
        <v>37</v>
      </c>
      <c r="T154" s="344" t="s">
        <v>37</v>
      </c>
      <c r="U154" s="6">
        <v>210</v>
      </c>
      <c r="V154" s="6">
        <v>1560</v>
      </c>
      <c r="W154" s="35">
        <f t="shared" si="30"/>
        <v>407</v>
      </c>
      <c r="X154" s="6">
        <v>591</v>
      </c>
      <c r="Y154" s="6"/>
      <c r="Z154" s="35">
        <f t="shared" si="31"/>
        <v>381</v>
      </c>
      <c r="AA154" s="35">
        <v>972</v>
      </c>
      <c r="AB154" s="35"/>
      <c r="AC154" s="35">
        <f t="shared" si="32"/>
        <v>381</v>
      </c>
      <c r="AD154" s="6">
        <v>191</v>
      </c>
      <c r="AE154" s="6">
        <v>1134</v>
      </c>
      <c r="AF154" s="35">
        <f t="shared" si="33"/>
        <v>353</v>
      </c>
      <c r="AG154" s="6"/>
      <c r="AH154" s="6"/>
      <c r="AI154" s="34"/>
      <c r="AJ154" s="35">
        <v>565</v>
      </c>
      <c r="AK154" s="35"/>
      <c r="AL154" s="35">
        <f t="shared" si="34"/>
        <v>374</v>
      </c>
      <c r="AM154" s="6">
        <v>944</v>
      </c>
      <c r="AN154" s="6"/>
      <c r="AO154" s="35">
        <f t="shared" si="35"/>
        <v>379</v>
      </c>
      <c r="AP154" s="6">
        <v>1331</v>
      </c>
      <c r="AQ154" s="6"/>
      <c r="AR154" s="35">
        <f t="shared" si="36"/>
        <v>387</v>
      </c>
      <c r="AS154" s="35">
        <v>158</v>
      </c>
      <c r="AT154" s="35">
        <v>1561</v>
      </c>
      <c r="AU154" s="35">
        <f t="shared" si="37"/>
        <v>388</v>
      </c>
      <c r="AV154" s="4">
        <v>544</v>
      </c>
      <c r="AW154" s="6"/>
      <c r="AX154" s="35">
        <f t="shared" si="38"/>
        <v>386</v>
      </c>
      <c r="AY154" s="6">
        <v>919</v>
      </c>
      <c r="AZ154" s="6"/>
      <c r="BA154" s="35">
        <f t="shared" si="39"/>
        <v>375</v>
      </c>
      <c r="BB154" s="6"/>
      <c r="BC154" s="6"/>
      <c r="BD154" s="6"/>
      <c r="BE154" s="6">
        <v>1307</v>
      </c>
      <c r="BF154" s="6"/>
      <c r="BG154" s="6">
        <f t="shared" si="40"/>
        <v>388</v>
      </c>
      <c r="BH154" s="6">
        <v>130</v>
      </c>
      <c r="BI154" s="6">
        <v>1560</v>
      </c>
      <c r="BJ154" s="35">
        <f t="shared" si="41"/>
        <v>383</v>
      </c>
      <c r="BK154" s="6">
        <v>520</v>
      </c>
      <c r="BL154" s="6"/>
      <c r="BM154" s="6">
        <f t="shared" si="42"/>
        <v>390</v>
      </c>
      <c r="BN154" s="6">
        <v>903</v>
      </c>
      <c r="BO154" s="6"/>
      <c r="BP154" s="35">
        <f t="shared" si="43"/>
        <v>383</v>
      </c>
      <c r="BQ154" s="6">
        <v>1287</v>
      </c>
      <c r="BR154" s="6"/>
      <c r="BS154" s="6">
        <f t="shared" si="44"/>
        <v>384</v>
      </c>
      <c r="BT154" s="6"/>
      <c r="BU154" s="6"/>
      <c r="BV154" s="6"/>
      <c r="BW154" s="7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</row>
    <row r="155" spans="1:113">
      <c r="A155" s="274">
        <v>151</v>
      </c>
      <c r="B155" s="6">
        <v>711</v>
      </c>
      <c r="C155" s="6"/>
      <c r="D155" s="6">
        <v>346</v>
      </c>
      <c r="E155" s="33" t="s">
        <v>37</v>
      </c>
      <c r="F155" s="33" t="s">
        <v>37</v>
      </c>
      <c r="G155" s="344" t="s">
        <v>37</v>
      </c>
      <c r="H155" s="346" t="s">
        <v>37</v>
      </c>
      <c r="I155" s="344" t="s">
        <v>37</v>
      </c>
      <c r="J155" s="344" t="s">
        <v>37</v>
      </c>
      <c r="K155" s="344" t="s">
        <v>37</v>
      </c>
      <c r="L155" s="344" t="s">
        <v>37</v>
      </c>
      <c r="M155" s="344" t="s">
        <v>37</v>
      </c>
      <c r="N155" s="344" t="s">
        <v>37</v>
      </c>
      <c r="O155" s="344" t="s">
        <v>37</v>
      </c>
      <c r="P155" s="344" t="s">
        <v>37</v>
      </c>
      <c r="Q155" s="344" t="s">
        <v>37</v>
      </c>
      <c r="R155" s="344" t="s">
        <v>37</v>
      </c>
      <c r="S155" s="344" t="s">
        <v>37</v>
      </c>
      <c r="T155" s="344" t="s">
        <v>37</v>
      </c>
      <c r="U155" s="6">
        <v>1123</v>
      </c>
      <c r="V155" s="6"/>
      <c r="W155" s="35">
        <f t="shared" si="30"/>
        <v>412</v>
      </c>
      <c r="X155" s="6">
        <v>0</v>
      </c>
      <c r="Y155" s="6">
        <v>1460</v>
      </c>
      <c r="Z155" s="35">
        <f t="shared" si="31"/>
        <v>337</v>
      </c>
      <c r="AA155" s="35">
        <v>295</v>
      </c>
      <c r="AB155" s="35"/>
      <c r="AC155" s="35">
        <f t="shared" si="32"/>
        <v>295</v>
      </c>
      <c r="AD155" s="6">
        <v>61</v>
      </c>
      <c r="AE155" s="6">
        <v>559</v>
      </c>
      <c r="AF155" s="35">
        <f t="shared" si="33"/>
        <v>325</v>
      </c>
      <c r="AG155" s="6"/>
      <c r="AH155" s="6"/>
      <c r="AI155" s="34"/>
      <c r="AJ155" s="35">
        <v>445</v>
      </c>
      <c r="AK155" s="35"/>
      <c r="AL155" s="35">
        <f t="shared" si="34"/>
        <v>384</v>
      </c>
      <c r="AM155" s="6">
        <v>833</v>
      </c>
      <c r="AN155" s="6"/>
      <c r="AO155" s="35">
        <f t="shared" si="35"/>
        <v>388</v>
      </c>
      <c r="AP155" s="6">
        <v>1223</v>
      </c>
      <c r="AQ155" s="6"/>
      <c r="AR155" s="35">
        <f t="shared" si="36"/>
        <v>390</v>
      </c>
      <c r="AS155" s="6">
        <v>50</v>
      </c>
      <c r="AT155" s="6">
        <v>1560</v>
      </c>
      <c r="AU155" s="35">
        <f t="shared" si="37"/>
        <v>387</v>
      </c>
      <c r="AV155" s="6">
        <v>425</v>
      </c>
      <c r="AW155" s="6"/>
      <c r="AX155" s="35">
        <f t="shared" si="38"/>
        <v>375</v>
      </c>
      <c r="AY155" s="6">
        <v>24</v>
      </c>
      <c r="AZ155" s="6">
        <v>765</v>
      </c>
      <c r="BA155" s="35">
        <f t="shared" si="39"/>
        <v>364</v>
      </c>
      <c r="BB155" s="6"/>
      <c r="BC155" s="35"/>
      <c r="BD155" s="6"/>
      <c r="BE155" s="6">
        <v>418</v>
      </c>
      <c r="BF155" s="6"/>
      <c r="BG155" s="6">
        <f t="shared" si="40"/>
        <v>394</v>
      </c>
      <c r="BH155" s="6">
        <v>802</v>
      </c>
      <c r="BI155" s="6"/>
      <c r="BJ155" s="35">
        <f t="shared" si="41"/>
        <v>384</v>
      </c>
      <c r="BK155" s="6">
        <v>1187</v>
      </c>
      <c r="BL155" s="6"/>
      <c r="BM155" s="6">
        <f t="shared" si="42"/>
        <v>385</v>
      </c>
      <c r="BN155" s="6">
        <v>225</v>
      </c>
      <c r="BO155" s="6">
        <v>1332</v>
      </c>
      <c r="BP155" s="35">
        <f t="shared" si="43"/>
        <v>370</v>
      </c>
      <c r="BQ155" s="6">
        <v>610</v>
      </c>
      <c r="BR155" s="35"/>
      <c r="BS155" s="6">
        <f t="shared" si="44"/>
        <v>385</v>
      </c>
      <c r="BT155" s="6"/>
      <c r="BU155" s="6"/>
      <c r="BV155" s="6"/>
      <c r="BW155" s="7"/>
      <c r="BX155" s="35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35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</row>
    <row r="156" spans="1:113">
      <c r="A156" s="6">
        <v>152</v>
      </c>
      <c r="B156" s="6">
        <v>1087</v>
      </c>
      <c r="C156" s="6"/>
      <c r="D156" s="6">
        <v>354</v>
      </c>
      <c r="E156" s="33" t="s">
        <v>37</v>
      </c>
      <c r="F156" s="33" t="s">
        <v>37</v>
      </c>
      <c r="G156" s="344" t="s">
        <v>37</v>
      </c>
      <c r="H156" s="344" t="s">
        <v>37</v>
      </c>
      <c r="I156" s="344" t="s">
        <v>37</v>
      </c>
      <c r="J156" s="344" t="s">
        <v>37</v>
      </c>
      <c r="K156" s="344" t="s">
        <v>37</v>
      </c>
      <c r="L156" s="344" t="s">
        <v>37</v>
      </c>
      <c r="M156" s="344" t="s">
        <v>37</v>
      </c>
      <c r="N156" s="344" t="s">
        <v>37</v>
      </c>
      <c r="O156" s="344" t="s">
        <v>37</v>
      </c>
      <c r="P156" s="344" t="s">
        <v>37</v>
      </c>
      <c r="Q156" s="344" t="s">
        <v>37</v>
      </c>
      <c r="R156" s="344" t="s">
        <v>37</v>
      </c>
      <c r="S156" s="344" t="s">
        <v>37</v>
      </c>
      <c r="T156" s="344" t="s">
        <v>37</v>
      </c>
      <c r="U156" s="6">
        <v>1497</v>
      </c>
      <c r="V156" s="6"/>
      <c r="W156" s="35">
        <f t="shared" si="30"/>
        <v>410</v>
      </c>
      <c r="X156" s="6">
        <v>323</v>
      </c>
      <c r="Y156" s="6">
        <v>1560</v>
      </c>
      <c r="Z156" s="35">
        <f t="shared" si="31"/>
        <v>386</v>
      </c>
      <c r="AA156" s="35">
        <v>699</v>
      </c>
      <c r="AB156" s="35"/>
      <c r="AC156" s="35">
        <f t="shared" si="32"/>
        <v>376</v>
      </c>
      <c r="AD156" s="6">
        <v>1063</v>
      </c>
      <c r="AE156" s="6"/>
      <c r="AF156" s="35">
        <f t="shared" si="33"/>
        <v>364</v>
      </c>
      <c r="AG156" s="6"/>
      <c r="AH156" s="6"/>
      <c r="AI156" s="34"/>
      <c r="AJ156" s="35">
        <v>200</v>
      </c>
      <c r="AK156" s="35">
        <v>1228</v>
      </c>
      <c r="AL156" s="35">
        <f t="shared" si="34"/>
        <v>365</v>
      </c>
      <c r="AM156" s="6">
        <v>567</v>
      </c>
      <c r="AN156" s="6"/>
      <c r="AO156" s="35">
        <f t="shared" si="35"/>
        <v>367</v>
      </c>
      <c r="AP156" s="6">
        <v>948</v>
      </c>
      <c r="AQ156" s="6"/>
      <c r="AR156" s="35">
        <f t="shared" si="36"/>
        <v>381</v>
      </c>
      <c r="AS156" s="6">
        <v>1331</v>
      </c>
      <c r="AT156" s="6"/>
      <c r="AU156" s="35">
        <f t="shared" si="37"/>
        <v>383</v>
      </c>
      <c r="AV156" s="6">
        <v>152</v>
      </c>
      <c r="AW156" s="6">
        <v>1560</v>
      </c>
      <c r="AX156" s="35">
        <f t="shared" si="38"/>
        <v>381</v>
      </c>
      <c r="AY156" s="6">
        <v>528</v>
      </c>
      <c r="AZ156" s="6"/>
      <c r="BA156" s="35">
        <f t="shared" si="39"/>
        <v>376</v>
      </c>
      <c r="BB156" s="6"/>
      <c r="BC156" s="35"/>
      <c r="BD156" s="6"/>
      <c r="BE156" s="6">
        <v>921</v>
      </c>
      <c r="BF156" s="6"/>
      <c r="BG156" s="6">
        <f t="shared" si="40"/>
        <v>393</v>
      </c>
      <c r="BH156" s="6">
        <v>68</v>
      </c>
      <c r="BI156" s="6">
        <v>1227</v>
      </c>
      <c r="BJ156" s="35">
        <f t="shared" si="41"/>
        <v>374</v>
      </c>
      <c r="BK156" s="6">
        <v>456</v>
      </c>
      <c r="BL156" s="6"/>
      <c r="BM156" s="6">
        <f t="shared" si="42"/>
        <v>388</v>
      </c>
      <c r="BN156" s="6">
        <v>845</v>
      </c>
      <c r="BO156" s="6"/>
      <c r="BP156" s="35">
        <f t="shared" si="43"/>
        <v>389</v>
      </c>
      <c r="BQ156" s="6">
        <v>1229</v>
      </c>
      <c r="BR156" s="35"/>
      <c r="BS156" s="6">
        <f t="shared" si="44"/>
        <v>384</v>
      </c>
      <c r="BT156" s="6"/>
      <c r="BU156" s="6"/>
      <c r="BV156" s="6"/>
      <c r="BW156" s="7"/>
      <c r="BX156" s="35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</row>
    <row r="157" spans="1:113">
      <c r="A157" s="274">
        <v>153</v>
      </c>
      <c r="B157" s="6">
        <v>1248</v>
      </c>
      <c r="C157" s="6"/>
      <c r="D157" s="6">
        <v>358</v>
      </c>
      <c r="E157" s="33" t="s">
        <v>37</v>
      </c>
      <c r="F157" s="33" t="s">
        <v>37</v>
      </c>
      <c r="G157" s="346" t="s">
        <v>37</v>
      </c>
      <c r="H157" s="344" t="s">
        <v>37</v>
      </c>
      <c r="I157" s="344" t="s">
        <v>37</v>
      </c>
      <c r="J157" s="344" t="s">
        <v>37</v>
      </c>
      <c r="K157" s="344" t="s">
        <v>37</v>
      </c>
      <c r="L157" s="344" t="s">
        <v>37</v>
      </c>
      <c r="M157" s="344" t="s">
        <v>37</v>
      </c>
      <c r="N157" s="344" t="s">
        <v>37</v>
      </c>
      <c r="O157" s="344" t="s">
        <v>37</v>
      </c>
      <c r="P157" s="344" t="s">
        <v>37</v>
      </c>
      <c r="Q157" s="344" t="s">
        <v>37</v>
      </c>
      <c r="R157" s="344" t="s">
        <v>37</v>
      </c>
      <c r="S157" s="344" t="s">
        <v>37</v>
      </c>
      <c r="T157" s="344" t="s">
        <v>37</v>
      </c>
      <c r="U157" s="6">
        <v>0</v>
      </c>
      <c r="V157" s="6">
        <v>1607</v>
      </c>
      <c r="W157" s="35">
        <f t="shared" si="30"/>
        <v>359</v>
      </c>
      <c r="X157" s="6">
        <v>341</v>
      </c>
      <c r="Y157" s="6"/>
      <c r="Z157" s="35">
        <f t="shared" si="31"/>
        <v>341</v>
      </c>
      <c r="AA157" s="35">
        <v>723</v>
      </c>
      <c r="AB157" s="35"/>
      <c r="AC157" s="35">
        <f t="shared" si="32"/>
        <v>382</v>
      </c>
      <c r="AD157" s="6">
        <v>1091</v>
      </c>
      <c r="AE157" s="6"/>
      <c r="AF157" s="35">
        <f t="shared" si="33"/>
        <v>368</v>
      </c>
      <c r="AG157" s="6"/>
      <c r="AH157" s="6"/>
      <c r="AI157" s="34"/>
      <c r="AJ157" s="35">
        <v>1472</v>
      </c>
      <c r="AK157" s="35"/>
      <c r="AL157" s="35">
        <f t="shared" si="34"/>
        <v>381</v>
      </c>
      <c r="AM157" s="6">
        <v>282</v>
      </c>
      <c r="AN157" s="6">
        <v>1560</v>
      </c>
      <c r="AO157" s="35">
        <f t="shared" si="35"/>
        <v>370</v>
      </c>
      <c r="AP157" s="6">
        <v>664</v>
      </c>
      <c r="AQ157" s="6"/>
      <c r="AR157" s="35">
        <f t="shared" si="36"/>
        <v>382</v>
      </c>
      <c r="AS157" s="6">
        <v>1035</v>
      </c>
      <c r="AT157" s="6"/>
      <c r="AU157" s="35">
        <f t="shared" si="37"/>
        <v>371</v>
      </c>
      <c r="AV157" s="6">
        <v>1404</v>
      </c>
      <c r="AW157" s="6"/>
      <c r="AX157" s="35">
        <f t="shared" si="38"/>
        <v>369</v>
      </c>
      <c r="AY157" s="6">
        <v>212</v>
      </c>
      <c r="AZ157" s="6">
        <v>1560</v>
      </c>
      <c r="BA157" s="35">
        <f t="shared" si="39"/>
        <v>368</v>
      </c>
      <c r="BB157" s="6"/>
      <c r="BC157" s="35"/>
      <c r="BD157" s="6"/>
      <c r="BE157" s="6">
        <v>599</v>
      </c>
      <c r="BF157" s="6"/>
      <c r="BG157" s="6">
        <f t="shared" si="40"/>
        <v>387</v>
      </c>
      <c r="BH157" s="6">
        <v>975</v>
      </c>
      <c r="BI157" s="6"/>
      <c r="BJ157" s="35">
        <f t="shared" si="41"/>
        <v>376</v>
      </c>
      <c r="BK157" s="6">
        <v>1353</v>
      </c>
      <c r="BL157" s="6"/>
      <c r="BM157" s="6">
        <f t="shared" si="42"/>
        <v>378</v>
      </c>
      <c r="BN157" s="6">
        <v>174</v>
      </c>
      <c r="BO157" s="6">
        <v>1562</v>
      </c>
      <c r="BP157" s="35">
        <f t="shared" si="43"/>
        <v>383</v>
      </c>
      <c r="BQ157" s="6">
        <v>553</v>
      </c>
      <c r="BR157" s="6"/>
      <c r="BS157" s="6">
        <f t="shared" si="44"/>
        <v>379</v>
      </c>
      <c r="BT157" s="6"/>
      <c r="BU157" s="6"/>
      <c r="BV157" s="6"/>
      <c r="BW157" s="7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</row>
    <row r="158" spans="1:113">
      <c r="A158" s="6">
        <v>154</v>
      </c>
      <c r="B158" s="6">
        <v>324</v>
      </c>
      <c r="C158" s="6">
        <v>1516</v>
      </c>
      <c r="D158" s="6">
        <v>358</v>
      </c>
      <c r="E158" s="33" t="s">
        <v>37</v>
      </c>
      <c r="F158" s="33" t="s">
        <v>37</v>
      </c>
      <c r="G158" s="346" t="s">
        <v>37</v>
      </c>
      <c r="H158" s="344" t="s">
        <v>37</v>
      </c>
      <c r="I158" s="344" t="s">
        <v>37</v>
      </c>
      <c r="J158" s="344" t="s">
        <v>37</v>
      </c>
      <c r="K158" s="344" t="s">
        <v>37</v>
      </c>
      <c r="L158" s="344" t="s">
        <v>37</v>
      </c>
      <c r="M158" s="344" t="s">
        <v>37</v>
      </c>
      <c r="N158" s="344" t="s">
        <v>37</v>
      </c>
      <c r="O158" s="344" t="s">
        <v>37</v>
      </c>
      <c r="P158" s="344" t="s">
        <v>37</v>
      </c>
      <c r="Q158" s="344" t="s">
        <v>37</v>
      </c>
      <c r="R158" s="344" t="s">
        <v>37</v>
      </c>
      <c r="S158" s="344" t="s">
        <v>37</v>
      </c>
      <c r="T158" s="344" t="s">
        <v>37</v>
      </c>
      <c r="U158" s="6">
        <v>0</v>
      </c>
      <c r="V158" s="6">
        <v>473</v>
      </c>
      <c r="W158" s="35">
        <f t="shared" si="30"/>
        <v>149</v>
      </c>
      <c r="X158" s="6">
        <v>350</v>
      </c>
      <c r="Y158" s="6"/>
      <c r="Z158" s="35">
        <f t="shared" si="31"/>
        <v>350</v>
      </c>
      <c r="AA158" s="35">
        <v>737</v>
      </c>
      <c r="AB158" s="35"/>
      <c r="AC158" s="35">
        <f t="shared" si="32"/>
        <v>387</v>
      </c>
      <c r="AD158" s="6">
        <v>1113</v>
      </c>
      <c r="AE158" s="6"/>
      <c r="AF158" s="35">
        <f t="shared" si="33"/>
        <v>376</v>
      </c>
      <c r="AG158" s="6"/>
      <c r="AH158" s="6"/>
      <c r="AI158" s="34"/>
      <c r="AJ158" s="35">
        <v>1503</v>
      </c>
      <c r="AK158" s="35"/>
      <c r="AL158" s="35">
        <f t="shared" si="34"/>
        <v>390</v>
      </c>
      <c r="AM158" s="6">
        <v>330</v>
      </c>
      <c r="AN158" s="6">
        <v>1560</v>
      </c>
      <c r="AO158" s="35">
        <f t="shared" si="35"/>
        <v>387</v>
      </c>
      <c r="AP158" s="6">
        <f>349+335</f>
        <v>684</v>
      </c>
      <c r="AQ158" s="6"/>
      <c r="AR158" s="35">
        <f t="shared" si="36"/>
        <v>354</v>
      </c>
      <c r="AS158" s="35">
        <f>734+335</f>
        <v>1069</v>
      </c>
      <c r="AT158" s="35"/>
      <c r="AU158" s="35">
        <f t="shared" si="37"/>
        <v>385</v>
      </c>
      <c r="AV158" s="6">
        <f>1113+335</f>
        <v>1448</v>
      </c>
      <c r="AW158" s="6"/>
      <c r="AX158" s="35">
        <f t="shared" si="38"/>
        <v>379</v>
      </c>
      <c r="AY158" s="6">
        <v>250</v>
      </c>
      <c r="AZ158" s="6">
        <v>1568</v>
      </c>
      <c r="BA158" s="35">
        <f t="shared" si="39"/>
        <v>370</v>
      </c>
      <c r="BB158" s="6"/>
      <c r="BC158" s="6"/>
      <c r="BD158" s="6"/>
      <c r="BE158" s="6">
        <v>635</v>
      </c>
      <c r="BF158" s="6"/>
      <c r="BG158" s="6">
        <f t="shared" si="40"/>
        <v>385</v>
      </c>
      <c r="BH158" s="6">
        <v>298</v>
      </c>
      <c r="BI158" s="6">
        <v>705</v>
      </c>
      <c r="BJ158" s="35">
        <f t="shared" si="41"/>
        <v>368</v>
      </c>
      <c r="BK158" s="6">
        <v>685</v>
      </c>
      <c r="BL158" s="6"/>
      <c r="BM158" s="6">
        <f t="shared" si="42"/>
        <v>387</v>
      </c>
      <c r="BN158" s="6">
        <v>1061</v>
      </c>
      <c r="BO158" s="6"/>
      <c r="BP158" s="35">
        <f t="shared" si="43"/>
        <v>376</v>
      </c>
      <c r="BQ158" s="6">
        <v>1440</v>
      </c>
      <c r="BR158" s="6"/>
      <c r="BS158" s="6">
        <f t="shared" si="44"/>
        <v>379</v>
      </c>
      <c r="BT158" s="6"/>
      <c r="BU158" s="6"/>
      <c r="BV158" s="6"/>
      <c r="BW158" s="7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</row>
    <row r="159" spans="1:113">
      <c r="A159" s="6">
        <v>155</v>
      </c>
      <c r="B159" s="6">
        <v>144</v>
      </c>
      <c r="C159" s="6">
        <v>1560</v>
      </c>
      <c r="D159" s="6">
        <v>360</v>
      </c>
      <c r="E159" s="33" t="s">
        <v>37</v>
      </c>
      <c r="F159" s="33" t="s">
        <v>37</v>
      </c>
      <c r="G159" s="344" t="s">
        <v>37</v>
      </c>
      <c r="H159" s="344" t="s">
        <v>37</v>
      </c>
      <c r="I159" s="344" t="s">
        <v>37</v>
      </c>
      <c r="J159" s="357" t="s">
        <v>307</v>
      </c>
      <c r="K159" s="362" t="s">
        <v>307</v>
      </c>
      <c r="L159" s="362" t="s">
        <v>307</v>
      </c>
      <c r="M159" s="362" t="s">
        <v>307</v>
      </c>
      <c r="N159" s="362" t="s">
        <v>307</v>
      </c>
      <c r="O159" s="362" t="s">
        <v>307</v>
      </c>
      <c r="P159" s="362" t="s">
        <v>307</v>
      </c>
      <c r="Q159" s="362" t="s">
        <v>307</v>
      </c>
      <c r="R159" s="362" t="s">
        <v>307</v>
      </c>
      <c r="S159" s="362" t="s">
        <v>307</v>
      </c>
      <c r="T159" s="362" t="s">
        <v>307</v>
      </c>
      <c r="U159" s="6">
        <v>559</v>
      </c>
      <c r="V159" s="6"/>
      <c r="W159" s="35">
        <f t="shared" si="30"/>
        <v>415</v>
      </c>
      <c r="X159" s="6">
        <v>295</v>
      </c>
      <c r="Y159" s="6">
        <v>650</v>
      </c>
      <c r="Z159" s="35">
        <f t="shared" si="31"/>
        <v>386</v>
      </c>
      <c r="AA159" s="35">
        <v>682</v>
      </c>
      <c r="AB159" s="35"/>
      <c r="AC159" s="35">
        <f t="shared" si="32"/>
        <v>387</v>
      </c>
      <c r="AD159" s="6">
        <v>0</v>
      </c>
      <c r="AE159" s="6">
        <v>965</v>
      </c>
      <c r="AF159" s="35">
        <f t="shared" si="33"/>
        <v>283</v>
      </c>
      <c r="AG159" s="6"/>
      <c r="AH159" s="6"/>
      <c r="AI159" s="34"/>
      <c r="AJ159" s="35">
        <v>275</v>
      </c>
      <c r="AK159" s="35"/>
      <c r="AL159" s="35">
        <f t="shared" si="34"/>
        <v>275</v>
      </c>
      <c r="AM159" s="6">
        <v>660</v>
      </c>
      <c r="AN159" s="6"/>
      <c r="AO159" s="35">
        <f t="shared" si="35"/>
        <v>385</v>
      </c>
      <c r="AP159" s="6">
        <v>1051</v>
      </c>
      <c r="AQ159" s="6"/>
      <c r="AR159" s="35">
        <f t="shared" si="36"/>
        <v>391</v>
      </c>
      <c r="AS159" s="6">
        <v>1445</v>
      </c>
      <c r="AT159" s="6"/>
      <c r="AU159" s="35">
        <f t="shared" si="37"/>
        <v>394</v>
      </c>
      <c r="AV159" s="6">
        <v>16</v>
      </c>
      <c r="AW159" s="6">
        <v>1820</v>
      </c>
      <c r="AX159" s="35">
        <f t="shared" si="38"/>
        <v>391</v>
      </c>
      <c r="AY159" s="6">
        <v>396</v>
      </c>
      <c r="AZ159" s="6"/>
      <c r="BA159" s="35">
        <f t="shared" si="39"/>
        <v>380</v>
      </c>
      <c r="BB159" s="6"/>
      <c r="BC159" s="35"/>
      <c r="BD159" s="6"/>
      <c r="BE159" s="6">
        <v>765</v>
      </c>
      <c r="BF159" s="6"/>
      <c r="BG159" s="6">
        <f t="shared" si="40"/>
        <v>369</v>
      </c>
      <c r="BH159" s="6">
        <v>1131</v>
      </c>
      <c r="BI159" s="6"/>
      <c r="BJ159" s="35">
        <f t="shared" si="41"/>
        <v>366</v>
      </c>
      <c r="BK159" s="6">
        <v>1520</v>
      </c>
      <c r="BL159" s="6"/>
      <c r="BM159" s="6">
        <f t="shared" si="42"/>
        <v>389</v>
      </c>
      <c r="BN159" s="6">
        <v>85</v>
      </c>
      <c r="BO159" s="6">
        <v>1820</v>
      </c>
      <c r="BP159" s="35">
        <f t="shared" si="43"/>
        <v>385</v>
      </c>
      <c r="BQ159" s="6">
        <v>461</v>
      </c>
      <c r="BR159" s="35"/>
      <c r="BS159" s="6">
        <f t="shared" si="44"/>
        <v>376</v>
      </c>
      <c r="BT159" s="6"/>
      <c r="BU159" s="6"/>
      <c r="BV159" s="6"/>
      <c r="BW159" s="7"/>
      <c r="BX159" s="35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</row>
    <row r="160" spans="1:113">
      <c r="A160" s="6">
        <v>156</v>
      </c>
      <c r="B160" s="6">
        <v>651</v>
      </c>
      <c r="C160" s="6"/>
      <c r="D160" s="6">
        <v>346</v>
      </c>
      <c r="E160" s="33" t="s">
        <v>37</v>
      </c>
      <c r="F160" s="33" t="s">
        <v>37</v>
      </c>
      <c r="G160" s="344" t="s">
        <v>37</v>
      </c>
      <c r="H160" s="344" t="s">
        <v>37</v>
      </c>
      <c r="I160" s="344" t="s">
        <v>37</v>
      </c>
      <c r="J160" s="344" t="s">
        <v>37</v>
      </c>
      <c r="K160" s="344" t="s">
        <v>37</v>
      </c>
      <c r="L160" s="344" t="s">
        <v>37</v>
      </c>
      <c r="M160" s="344" t="s">
        <v>37</v>
      </c>
      <c r="N160" s="344" t="s">
        <v>37</v>
      </c>
      <c r="O160" s="344" t="s">
        <v>37</v>
      </c>
      <c r="P160" s="344" t="s">
        <v>37</v>
      </c>
      <c r="Q160" s="344" t="s">
        <v>37</v>
      </c>
      <c r="R160" s="344" t="s">
        <v>37</v>
      </c>
      <c r="S160" s="344" t="s">
        <v>37</v>
      </c>
      <c r="T160" s="344" t="s">
        <v>37</v>
      </c>
      <c r="U160" s="6">
        <v>1061</v>
      </c>
      <c r="V160" s="6"/>
      <c r="W160" s="35">
        <f t="shared" si="30"/>
        <v>410</v>
      </c>
      <c r="X160" s="6">
        <v>271</v>
      </c>
      <c r="Y160" s="6">
        <v>1102</v>
      </c>
      <c r="Z160" s="35">
        <f t="shared" si="31"/>
        <v>312</v>
      </c>
      <c r="AA160" s="35">
        <v>644</v>
      </c>
      <c r="AB160" s="35"/>
      <c r="AC160" s="35">
        <f t="shared" si="32"/>
        <v>373</v>
      </c>
      <c r="AD160" s="6">
        <v>169</v>
      </c>
      <c r="AE160" s="6">
        <v>841</v>
      </c>
      <c r="AF160" s="35">
        <f t="shared" si="33"/>
        <v>366</v>
      </c>
      <c r="AG160" s="6"/>
      <c r="AH160" s="6"/>
      <c r="AI160" s="34"/>
      <c r="AJ160" s="35">
        <v>563</v>
      </c>
      <c r="AK160" s="35"/>
      <c r="AL160" s="35">
        <f t="shared" si="34"/>
        <v>394</v>
      </c>
      <c r="AM160" s="6">
        <v>950</v>
      </c>
      <c r="AN160" s="6"/>
      <c r="AO160" s="35">
        <f t="shared" si="35"/>
        <v>387</v>
      </c>
      <c r="AP160" s="6">
        <v>1341</v>
      </c>
      <c r="AQ160" s="6"/>
      <c r="AR160" s="35">
        <f t="shared" si="36"/>
        <v>391</v>
      </c>
      <c r="AS160" s="35">
        <v>173</v>
      </c>
      <c r="AT160" s="35">
        <v>1560</v>
      </c>
      <c r="AU160" s="35">
        <f t="shared" si="37"/>
        <v>392</v>
      </c>
      <c r="AV160" s="6">
        <v>115</v>
      </c>
      <c r="AW160" s="6">
        <v>448</v>
      </c>
      <c r="AX160" s="35">
        <f t="shared" si="38"/>
        <v>390</v>
      </c>
      <c r="AY160" s="6">
        <v>7</v>
      </c>
      <c r="AZ160" s="6">
        <v>484</v>
      </c>
      <c r="BA160" s="35">
        <f t="shared" si="39"/>
        <v>376</v>
      </c>
      <c r="BB160" s="6"/>
      <c r="BC160" s="6"/>
      <c r="BD160" s="6"/>
      <c r="BE160" s="6">
        <v>383</v>
      </c>
      <c r="BF160" s="6"/>
      <c r="BG160" s="6">
        <f t="shared" si="40"/>
        <v>376</v>
      </c>
      <c r="BH160" s="6">
        <v>749</v>
      </c>
      <c r="BI160" s="6"/>
      <c r="BJ160" s="35">
        <f t="shared" si="41"/>
        <v>366</v>
      </c>
      <c r="BK160" s="6">
        <v>368</v>
      </c>
      <c r="BL160" s="6">
        <v>751</v>
      </c>
      <c r="BM160" s="6">
        <f t="shared" si="42"/>
        <v>370</v>
      </c>
      <c r="BN160" s="6">
        <v>745</v>
      </c>
      <c r="BO160" s="6"/>
      <c r="BP160" s="35">
        <f t="shared" si="43"/>
        <v>377</v>
      </c>
      <c r="BQ160" s="6">
        <v>1114</v>
      </c>
      <c r="BR160" s="6"/>
      <c r="BS160" s="6">
        <f t="shared" si="44"/>
        <v>369</v>
      </c>
      <c r="BT160" s="6"/>
      <c r="BU160" s="6"/>
      <c r="BV160" s="6"/>
      <c r="BW160" s="7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</row>
    <row r="161" spans="1:113">
      <c r="A161" s="6">
        <v>157</v>
      </c>
      <c r="B161" s="6">
        <v>276</v>
      </c>
      <c r="C161" s="6">
        <v>1560</v>
      </c>
      <c r="D161" s="6">
        <v>352</v>
      </c>
      <c r="E161" s="33" t="s">
        <v>37</v>
      </c>
      <c r="F161" s="33" t="s">
        <v>37</v>
      </c>
      <c r="G161" s="344" t="s">
        <v>37</v>
      </c>
      <c r="H161" s="344" t="s">
        <v>37</v>
      </c>
      <c r="I161" s="344" t="s">
        <v>37</v>
      </c>
      <c r="J161" s="344" t="s">
        <v>37</v>
      </c>
      <c r="K161" s="344" t="s">
        <v>37</v>
      </c>
      <c r="L161" s="344" t="s">
        <v>37</v>
      </c>
      <c r="M161" s="344" t="s">
        <v>37</v>
      </c>
      <c r="N161" s="344" t="s">
        <v>37</v>
      </c>
      <c r="O161" s="344" t="s">
        <v>37</v>
      </c>
      <c r="P161" s="344" t="s">
        <v>37</v>
      </c>
      <c r="Q161" s="344" t="s">
        <v>37</v>
      </c>
      <c r="R161" s="344" t="s">
        <v>37</v>
      </c>
      <c r="S161" s="344" t="s">
        <v>37</v>
      </c>
      <c r="T161" s="344" t="s">
        <v>37</v>
      </c>
      <c r="U161" s="6">
        <v>676</v>
      </c>
      <c r="V161" s="6"/>
      <c r="W161" s="35">
        <f t="shared" si="30"/>
        <v>400</v>
      </c>
      <c r="X161" s="6">
        <v>1055</v>
      </c>
      <c r="Y161" s="6"/>
      <c r="Z161" s="35">
        <f t="shared" si="31"/>
        <v>379</v>
      </c>
      <c r="AA161" s="35">
        <v>1429</v>
      </c>
      <c r="AB161" s="35"/>
      <c r="AC161" s="35">
        <f t="shared" si="32"/>
        <v>374</v>
      </c>
      <c r="AD161" s="6">
        <v>233</v>
      </c>
      <c r="AE161" s="6">
        <v>1560</v>
      </c>
      <c r="AF161" s="35">
        <f t="shared" si="33"/>
        <v>364</v>
      </c>
      <c r="AG161" s="6"/>
      <c r="AH161" s="6"/>
      <c r="AI161" s="34"/>
      <c r="AJ161" s="35">
        <v>625</v>
      </c>
      <c r="AK161" s="35"/>
      <c r="AL161" s="35">
        <f t="shared" si="34"/>
        <v>392</v>
      </c>
      <c r="AM161" s="6">
        <v>1015</v>
      </c>
      <c r="AN161" s="6"/>
      <c r="AO161" s="35">
        <f t="shared" si="35"/>
        <v>390</v>
      </c>
      <c r="AP161" s="6">
        <v>77</v>
      </c>
      <c r="AQ161" s="6">
        <v>1322</v>
      </c>
      <c r="AR161" s="35">
        <f t="shared" si="36"/>
        <v>384</v>
      </c>
      <c r="AS161" s="6">
        <v>463</v>
      </c>
      <c r="AT161" s="6"/>
      <c r="AU161" s="35">
        <f t="shared" si="37"/>
        <v>386</v>
      </c>
      <c r="AV161" s="6">
        <v>853</v>
      </c>
      <c r="AW161" s="6"/>
      <c r="AX161" s="35">
        <f t="shared" si="38"/>
        <v>390</v>
      </c>
      <c r="AY161" s="6">
        <v>1211</v>
      </c>
      <c r="AZ161" s="6"/>
      <c r="BA161" s="35">
        <f t="shared" si="39"/>
        <v>358</v>
      </c>
      <c r="BB161" s="6"/>
      <c r="BC161" s="35"/>
      <c r="BD161" s="6"/>
      <c r="BE161" s="6">
        <v>44</v>
      </c>
      <c r="BF161" s="6">
        <v>1560</v>
      </c>
      <c r="BG161" s="6">
        <f t="shared" si="40"/>
        <v>393</v>
      </c>
      <c r="BH161" s="6">
        <v>434</v>
      </c>
      <c r="BI161" s="6"/>
      <c r="BJ161" s="35">
        <f t="shared" si="41"/>
        <v>390</v>
      </c>
      <c r="BK161" s="6">
        <v>817</v>
      </c>
      <c r="BL161" s="6"/>
      <c r="BM161" s="6">
        <f t="shared" si="42"/>
        <v>383</v>
      </c>
      <c r="BN161" s="6">
        <v>1205</v>
      </c>
      <c r="BO161" s="6"/>
      <c r="BP161" s="35">
        <f t="shared" si="43"/>
        <v>388</v>
      </c>
      <c r="BQ161" s="6">
        <v>1583</v>
      </c>
      <c r="BR161" s="6"/>
      <c r="BS161" s="6">
        <f t="shared" si="44"/>
        <v>378</v>
      </c>
      <c r="BT161" s="6"/>
      <c r="BU161" s="6"/>
      <c r="BV161" s="6"/>
      <c r="BW161" s="7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</row>
    <row r="162" spans="1:113">
      <c r="A162" s="6">
        <v>158</v>
      </c>
      <c r="B162" s="6">
        <v>330</v>
      </c>
      <c r="C162" s="6"/>
      <c r="D162" s="6">
        <v>330</v>
      </c>
      <c r="E162" s="148" t="s">
        <v>37</v>
      </c>
      <c r="F162" s="33" t="s">
        <v>37</v>
      </c>
      <c r="G162" s="344" t="s">
        <v>37</v>
      </c>
      <c r="H162" s="344" t="s">
        <v>37</v>
      </c>
      <c r="I162" s="344" t="s">
        <v>37</v>
      </c>
      <c r="J162" s="344" t="s">
        <v>37</v>
      </c>
      <c r="K162" s="344" t="s">
        <v>37</v>
      </c>
      <c r="L162" s="344" t="s">
        <v>37</v>
      </c>
      <c r="M162" s="344" t="s">
        <v>37</v>
      </c>
      <c r="N162" s="344" t="s">
        <v>37</v>
      </c>
      <c r="O162" s="344" t="s">
        <v>37</v>
      </c>
      <c r="P162" s="344" t="s">
        <v>37</v>
      </c>
      <c r="Q162" s="344" t="s">
        <v>37</v>
      </c>
      <c r="R162" s="344" t="s">
        <v>37</v>
      </c>
      <c r="S162" s="344" t="s">
        <v>37</v>
      </c>
      <c r="T162" s="344" t="s">
        <v>37</v>
      </c>
      <c r="U162" s="6">
        <v>741</v>
      </c>
      <c r="V162" s="6"/>
      <c r="W162" s="35">
        <f t="shared" si="30"/>
        <v>411</v>
      </c>
      <c r="X162" s="6">
        <v>1128</v>
      </c>
      <c r="Y162" s="6"/>
      <c r="Z162" s="35">
        <f t="shared" si="31"/>
        <v>387</v>
      </c>
      <c r="AA162" s="35">
        <v>1514</v>
      </c>
      <c r="AB162" s="35"/>
      <c r="AC162" s="35">
        <f t="shared" si="32"/>
        <v>386</v>
      </c>
      <c r="AD162" s="6">
        <v>319</v>
      </c>
      <c r="AE162" s="6">
        <v>1567</v>
      </c>
      <c r="AF162" s="35">
        <f t="shared" si="33"/>
        <v>372</v>
      </c>
      <c r="AG162" s="6"/>
      <c r="AH162" s="6"/>
      <c r="AI162" s="34"/>
      <c r="AJ162" s="35">
        <v>708</v>
      </c>
      <c r="AK162" s="35"/>
      <c r="AL162" s="35">
        <f t="shared" si="34"/>
        <v>389</v>
      </c>
      <c r="AM162" s="6">
        <v>1094</v>
      </c>
      <c r="AN162" s="6"/>
      <c r="AO162" s="35">
        <f t="shared" si="35"/>
        <v>386</v>
      </c>
      <c r="AP162" s="6">
        <v>1483</v>
      </c>
      <c r="AQ162" s="6"/>
      <c r="AR162" s="35">
        <f t="shared" si="36"/>
        <v>389</v>
      </c>
      <c r="AS162" s="35">
        <v>311</v>
      </c>
      <c r="AT162" s="35">
        <v>1560</v>
      </c>
      <c r="AU162" s="35">
        <f t="shared" si="37"/>
        <v>388</v>
      </c>
      <c r="AV162" s="6">
        <v>60</v>
      </c>
      <c r="AW162" s="6">
        <v>622</v>
      </c>
      <c r="AX162" s="35">
        <f t="shared" si="38"/>
        <v>371</v>
      </c>
      <c r="AY162" s="6">
        <v>422</v>
      </c>
      <c r="AZ162" s="6"/>
      <c r="BA162" s="35">
        <f t="shared" si="39"/>
        <v>362</v>
      </c>
      <c r="BB162" s="6"/>
      <c r="BC162" s="6"/>
      <c r="BD162" s="6"/>
      <c r="BE162" s="6">
        <v>204</v>
      </c>
      <c r="BF162" s="6">
        <v>599</v>
      </c>
      <c r="BG162" s="6">
        <f t="shared" si="40"/>
        <v>381</v>
      </c>
      <c r="BH162" s="6">
        <v>588</v>
      </c>
      <c r="BI162" s="6"/>
      <c r="BJ162" s="35">
        <f t="shared" si="41"/>
        <v>384</v>
      </c>
      <c r="BK162" s="6">
        <v>974</v>
      </c>
      <c r="BL162" s="6"/>
      <c r="BM162" s="6">
        <f t="shared" si="42"/>
        <v>386</v>
      </c>
      <c r="BN162" s="6">
        <v>1358</v>
      </c>
      <c r="BO162" s="6"/>
      <c r="BP162" s="35">
        <f t="shared" si="43"/>
        <v>384</v>
      </c>
      <c r="BQ162" s="6">
        <v>173</v>
      </c>
      <c r="BR162" s="6">
        <v>1560</v>
      </c>
      <c r="BS162" s="6">
        <f t="shared" si="44"/>
        <v>375</v>
      </c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</row>
    <row r="163" spans="1:113">
      <c r="A163" s="6">
        <v>159</v>
      </c>
      <c r="B163" s="6">
        <v>1391</v>
      </c>
      <c r="C163" s="6"/>
      <c r="D163" s="6">
        <v>362</v>
      </c>
      <c r="E163" s="33" t="s">
        <v>37</v>
      </c>
      <c r="F163" s="33" t="s">
        <v>37</v>
      </c>
      <c r="G163" s="344" t="s">
        <v>37</v>
      </c>
      <c r="H163" s="344" t="s">
        <v>37</v>
      </c>
      <c r="I163" s="344" t="s">
        <v>37</v>
      </c>
      <c r="J163" s="344" t="s">
        <v>37</v>
      </c>
      <c r="K163" s="344" t="s">
        <v>37</v>
      </c>
      <c r="L163" s="344" t="s">
        <v>37</v>
      </c>
      <c r="M163" s="344" t="s">
        <v>37</v>
      </c>
      <c r="N163" s="344" t="s">
        <v>37</v>
      </c>
      <c r="O163" s="344" t="s">
        <v>37</v>
      </c>
      <c r="P163" s="344" t="s">
        <v>37</v>
      </c>
      <c r="Q163" s="344" t="s">
        <v>37</v>
      </c>
      <c r="R163" s="344" t="s">
        <v>37</v>
      </c>
      <c r="S163" s="344" t="s">
        <v>37</v>
      </c>
      <c r="T163" s="344" t="s">
        <v>37</v>
      </c>
      <c r="U163" s="35">
        <v>238</v>
      </c>
      <c r="V163" s="35">
        <v>1560</v>
      </c>
      <c r="W163" s="35">
        <f t="shared" si="30"/>
        <v>407</v>
      </c>
      <c r="X163" s="35">
        <v>626</v>
      </c>
      <c r="Y163" s="35"/>
      <c r="Z163" s="35">
        <f t="shared" si="31"/>
        <v>388</v>
      </c>
      <c r="AA163" s="35">
        <v>1011</v>
      </c>
      <c r="AB163" s="35"/>
      <c r="AC163" s="35">
        <f t="shared" si="32"/>
        <v>385</v>
      </c>
      <c r="AD163" s="6">
        <v>1383</v>
      </c>
      <c r="AE163" s="6"/>
      <c r="AF163" s="35">
        <f t="shared" si="33"/>
        <v>372</v>
      </c>
      <c r="AG163" s="6"/>
      <c r="AH163" s="6"/>
      <c r="AI163" s="34"/>
      <c r="AJ163" s="35">
        <v>200</v>
      </c>
      <c r="AK163" s="35">
        <v>1560</v>
      </c>
      <c r="AL163" s="35">
        <f t="shared" si="34"/>
        <v>377</v>
      </c>
      <c r="AM163" s="6">
        <v>584</v>
      </c>
      <c r="AN163" s="6"/>
      <c r="AO163" s="35">
        <f t="shared" si="35"/>
        <v>384</v>
      </c>
      <c r="AP163" s="6">
        <v>973</v>
      </c>
      <c r="AQ163" s="6"/>
      <c r="AR163" s="35">
        <f t="shared" si="36"/>
        <v>389</v>
      </c>
      <c r="AS163" s="6">
        <v>1361</v>
      </c>
      <c r="AT163" s="6"/>
      <c r="AU163" s="35">
        <f t="shared" si="37"/>
        <v>388</v>
      </c>
      <c r="AV163" s="6">
        <v>188</v>
      </c>
      <c r="AW163" s="6">
        <v>1560</v>
      </c>
      <c r="AX163" s="35">
        <f t="shared" si="38"/>
        <v>387</v>
      </c>
      <c r="AY163" s="6">
        <v>562</v>
      </c>
      <c r="AZ163" s="6"/>
      <c r="BA163" s="35">
        <f t="shared" si="39"/>
        <v>374</v>
      </c>
      <c r="BB163" s="6"/>
      <c r="BC163" s="35"/>
      <c r="BD163" s="6"/>
      <c r="BE163" s="6">
        <v>953</v>
      </c>
      <c r="BF163" s="6"/>
      <c r="BG163" s="6">
        <f t="shared" si="40"/>
        <v>391</v>
      </c>
      <c r="BH163" s="6">
        <v>1338</v>
      </c>
      <c r="BI163" s="6"/>
      <c r="BJ163" s="35">
        <f t="shared" si="41"/>
        <v>385</v>
      </c>
      <c r="BK163" s="6">
        <v>157</v>
      </c>
      <c r="BL163" s="6">
        <v>1560</v>
      </c>
      <c r="BM163" s="6">
        <f t="shared" si="42"/>
        <v>379</v>
      </c>
      <c r="BN163" s="6">
        <v>533</v>
      </c>
      <c r="BO163" s="6"/>
      <c r="BP163" s="35">
        <f t="shared" si="43"/>
        <v>376</v>
      </c>
      <c r="BQ163" s="6">
        <v>916</v>
      </c>
      <c r="BR163" s="6"/>
      <c r="BS163" s="6">
        <f t="shared" si="44"/>
        <v>383</v>
      </c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</row>
    <row r="164" spans="1:113">
      <c r="A164" s="6">
        <v>160</v>
      </c>
      <c r="B164" s="6">
        <v>614</v>
      </c>
      <c r="C164" s="6"/>
      <c r="D164" s="6">
        <v>364</v>
      </c>
      <c r="E164" s="33" t="s">
        <v>37</v>
      </c>
      <c r="F164" s="33" t="s">
        <v>37</v>
      </c>
      <c r="G164" s="344" t="s">
        <v>37</v>
      </c>
      <c r="H164" s="344" t="s">
        <v>37</v>
      </c>
      <c r="I164" s="344" t="s">
        <v>37</v>
      </c>
      <c r="J164" s="344" t="s">
        <v>37</v>
      </c>
      <c r="K164" s="344" t="s">
        <v>37</v>
      </c>
      <c r="L164" s="344" t="s">
        <v>37</v>
      </c>
      <c r="M164" s="344" t="s">
        <v>37</v>
      </c>
      <c r="N164" s="344" t="s">
        <v>37</v>
      </c>
      <c r="O164" s="344" t="s">
        <v>37</v>
      </c>
      <c r="P164" s="344" t="s">
        <v>37</v>
      </c>
      <c r="Q164" s="344" t="s">
        <v>37</v>
      </c>
      <c r="R164" s="344" t="s">
        <v>37</v>
      </c>
      <c r="S164" s="344" t="s">
        <v>37</v>
      </c>
      <c r="T164" s="344" t="s">
        <v>37</v>
      </c>
      <c r="U164" s="6">
        <v>1024</v>
      </c>
      <c r="V164" s="6"/>
      <c r="W164" s="35">
        <f t="shared" si="30"/>
        <v>410</v>
      </c>
      <c r="X164" s="6">
        <v>1409</v>
      </c>
      <c r="Y164" s="6"/>
      <c r="Z164" s="35">
        <f t="shared" si="31"/>
        <v>385</v>
      </c>
      <c r="AA164" s="35">
        <v>213</v>
      </c>
      <c r="AB164" s="35">
        <v>1560</v>
      </c>
      <c r="AC164" s="35">
        <f t="shared" si="32"/>
        <v>364</v>
      </c>
      <c r="AD164" s="6">
        <v>557</v>
      </c>
      <c r="AE164" s="6"/>
      <c r="AF164" s="35">
        <f t="shared" si="33"/>
        <v>344</v>
      </c>
      <c r="AG164" s="6"/>
      <c r="AH164" s="6"/>
      <c r="AI164" s="34"/>
      <c r="AJ164" s="35">
        <v>931</v>
      </c>
      <c r="AK164" s="35"/>
      <c r="AL164" s="35">
        <f t="shared" si="34"/>
        <v>374</v>
      </c>
      <c r="AM164" s="35">
        <v>1293</v>
      </c>
      <c r="AN164" s="6"/>
      <c r="AO164" s="35">
        <f t="shared" si="35"/>
        <v>362</v>
      </c>
      <c r="AP164" s="6">
        <v>105</v>
      </c>
      <c r="AQ164" s="6">
        <v>1566</v>
      </c>
      <c r="AR164" s="35">
        <f t="shared" si="36"/>
        <v>378</v>
      </c>
      <c r="AS164" s="35">
        <v>486</v>
      </c>
      <c r="AT164" s="35"/>
      <c r="AU164" s="35">
        <f t="shared" si="37"/>
        <v>381</v>
      </c>
      <c r="AV164" s="6">
        <v>871</v>
      </c>
      <c r="AW164" s="6"/>
      <c r="AX164" s="35">
        <f t="shared" si="38"/>
        <v>385</v>
      </c>
      <c r="AY164" s="35">
        <v>115</v>
      </c>
      <c r="AZ164" s="6">
        <v>1092</v>
      </c>
      <c r="BA164" s="35">
        <f t="shared" si="39"/>
        <v>336</v>
      </c>
      <c r="BB164" s="6"/>
      <c r="BC164" s="6"/>
      <c r="BD164" s="6"/>
      <c r="BE164" s="6">
        <v>476</v>
      </c>
      <c r="BF164" s="6"/>
      <c r="BG164" s="6">
        <f t="shared" si="40"/>
        <v>361</v>
      </c>
      <c r="BH164" s="6">
        <v>826</v>
      </c>
      <c r="BI164" s="6"/>
      <c r="BJ164" s="35">
        <f t="shared" si="41"/>
        <v>350</v>
      </c>
      <c r="BK164" s="6">
        <v>1187</v>
      </c>
      <c r="BL164" s="6"/>
      <c r="BM164" s="6">
        <f t="shared" si="42"/>
        <v>361</v>
      </c>
      <c r="BN164" s="6">
        <v>1544</v>
      </c>
      <c r="BO164" s="6"/>
      <c r="BP164" s="35">
        <f t="shared" si="43"/>
        <v>357</v>
      </c>
      <c r="BQ164" s="6">
        <v>344</v>
      </c>
      <c r="BR164" s="6">
        <v>1560</v>
      </c>
      <c r="BS164" s="6">
        <f t="shared" si="44"/>
        <v>360</v>
      </c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</row>
    <row r="165" spans="1:113">
      <c r="A165" s="274">
        <v>161</v>
      </c>
      <c r="B165" s="6">
        <v>525</v>
      </c>
      <c r="C165" s="6"/>
      <c r="D165" s="6">
        <v>363</v>
      </c>
      <c r="E165" s="33" t="s">
        <v>37</v>
      </c>
      <c r="F165" s="33" t="s">
        <v>37</v>
      </c>
      <c r="G165" s="344" t="s">
        <v>37</v>
      </c>
      <c r="H165" s="344" t="s">
        <v>37</v>
      </c>
      <c r="I165" s="346" t="s">
        <v>37</v>
      </c>
      <c r="J165" s="344" t="s">
        <v>37</v>
      </c>
      <c r="K165" s="344" t="s">
        <v>37</v>
      </c>
      <c r="L165" s="344" t="s">
        <v>37</v>
      </c>
      <c r="M165" s="344" t="s">
        <v>37</v>
      </c>
      <c r="N165" s="344" t="s">
        <v>37</v>
      </c>
      <c r="O165" s="344" t="s">
        <v>37</v>
      </c>
      <c r="P165" s="344" t="s">
        <v>37</v>
      </c>
      <c r="Q165" s="344" t="s">
        <v>37</v>
      </c>
      <c r="R165" s="344" t="s">
        <v>37</v>
      </c>
      <c r="S165" s="344" t="s">
        <v>37</v>
      </c>
      <c r="T165" s="344" t="s">
        <v>37</v>
      </c>
      <c r="U165" s="6">
        <v>935</v>
      </c>
      <c r="V165" s="6"/>
      <c r="W165" s="35">
        <f t="shared" si="30"/>
        <v>410</v>
      </c>
      <c r="X165" s="6">
        <v>1311</v>
      </c>
      <c r="Y165" s="6"/>
      <c r="Z165" s="35">
        <f t="shared" si="31"/>
        <v>376</v>
      </c>
      <c r="AA165" s="35">
        <v>0</v>
      </c>
      <c r="AB165" s="35">
        <v>1612</v>
      </c>
      <c r="AC165" s="35">
        <f t="shared" si="32"/>
        <v>301</v>
      </c>
      <c r="AD165" s="6">
        <v>325</v>
      </c>
      <c r="AE165" s="6"/>
      <c r="AF165" s="35">
        <f t="shared" si="33"/>
        <v>325</v>
      </c>
      <c r="AG165" s="6"/>
      <c r="AH165" s="6"/>
      <c r="AI165" s="34"/>
      <c r="AJ165" s="35">
        <v>715</v>
      </c>
      <c r="AK165" s="35"/>
      <c r="AL165" s="35">
        <f t="shared" si="34"/>
        <v>390</v>
      </c>
      <c r="AM165" s="6">
        <v>1102</v>
      </c>
      <c r="AN165" s="6"/>
      <c r="AO165" s="35">
        <f t="shared" si="35"/>
        <v>387</v>
      </c>
      <c r="AP165" s="6">
        <v>1491</v>
      </c>
      <c r="AQ165" s="6"/>
      <c r="AR165" s="35">
        <f t="shared" si="36"/>
        <v>389</v>
      </c>
      <c r="AS165" s="35">
        <v>314</v>
      </c>
      <c r="AT165" s="35">
        <v>1560</v>
      </c>
      <c r="AU165" s="35">
        <f t="shared" si="37"/>
        <v>383</v>
      </c>
      <c r="AV165" s="6">
        <v>698</v>
      </c>
      <c r="AW165" s="6"/>
      <c r="AX165" s="35">
        <f t="shared" si="38"/>
        <v>384</v>
      </c>
      <c r="AY165" s="35">
        <v>1075</v>
      </c>
      <c r="AZ165" s="6"/>
      <c r="BA165" s="35">
        <f t="shared" si="39"/>
        <v>377</v>
      </c>
      <c r="BB165" s="6"/>
      <c r="BC165" s="6"/>
      <c r="BD165" s="6"/>
      <c r="BE165" s="6">
        <v>1464</v>
      </c>
      <c r="BF165" s="6"/>
      <c r="BG165" s="6">
        <f t="shared" si="40"/>
        <v>389</v>
      </c>
      <c r="BH165" s="6">
        <v>290</v>
      </c>
      <c r="BI165" s="6">
        <v>1560</v>
      </c>
      <c r="BJ165" s="35">
        <f t="shared" si="41"/>
        <v>386</v>
      </c>
      <c r="BK165" s="6">
        <v>676</v>
      </c>
      <c r="BL165" s="6"/>
      <c r="BM165" s="6">
        <f t="shared" si="42"/>
        <v>386</v>
      </c>
      <c r="BN165" s="6">
        <v>1065</v>
      </c>
      <c r="BO165" s="6"/>
      <c r="BP165" s="35">
        <f t="shared" si="43"/>
        <v>389</v>
      </c>
      <c r="BQ165" s="35">
        <v>1451</v>
      </c>
      <c r="BR165" s="6"/>
      <c r="BS165" s="6">
        <f t="shared" si="44"/>
        <v>386</v>
      </c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</row>
    <row r="166" spans="1:113">
      <c r="A166" s="7">
        <v>162</v>
      </c>
      <c r="B166" s="6">
        <v>728</v>
      </c>
      <c r="C166" s="6"/>
      <c r="D166" s="6">
        <v>357</v>
      </c>
      <c r="E166" s="33" t="s">
        <v>37</v>
      </c>
      <c r="F166" s="33" t="s">
        <v>37</v>
      </c>
      <c r="G166" s="344" t="s">
        <v>37</v>
      </c>
      <c r="H166" s="344" t="s">
        <v>37</v>
      </c>
      <c r="I166" s="344" t="s">
        <v>37</v>
      </c>
      <c r="J166" s="344" t="s">
        <v>37</v>
      </c>
      <c r="K166" s="344" t="s">
        <v>37</v>
      </c>
      <c r="L166" s="344" t="s">
        <v>37</v>
      </c>
      <c r="M166" s="344" t="s">
        <v>37</v>
      </c>
      <c r="N166" s="344" t="s">
        <v>37</v>
      </c>
      <c r="O166" s="344" t="s">
        <v>37</v>
      </c>
      <c r="P166" s="344" t="s">
        <v>37</v>
      </c>
      <c r="Q166" s="344" t="s">
        <v>37</v>
      </c>
      <c r="R166" s="344" t="s">
        <v>37</v>
      </c>
      <c r="S166" s="344" t="s">
        <v>37</v>
      </c>
      <c r="T166" s="344" t="s">
        <v>37</v>
      </c>
      <c r="U166" s="35">
        <v>1130</v>
      </c>
      <c r="V166" s="35"/>
      <c r="W166" s="35">
        <f t="shared" si="30"/>
        <v>402</v>
      </c>
      <c r="X166" s="35">
        <v>144</v>
      </c>
      <c r="Y166" s="35">
        <v>1356</v>
      </c>
      <c r="Z166" s="35">
        <f t="shared" si="31"/>
        <v>370</v>
      </c>
      <c r="AA166" s="35">
        <v>528</v>
      </c>
      <c r="AB166" s="35"/>
      <c r="AC166" s="35">
        <f t="shared" si="32"/>
        <v>384</v>
      </c>
      <c r="AD166" s="6">
        <v>891</v>
      </c>
      <c r="AE166" s="6"/>
      <c r="AF166" s="35">
        <f t="shared" si="33"/>
        <v>363</v>
      </c>
      <c r="AG166" s="6"/>
      <c r="AH166" s="6"/>
      <c r="AI166" s="34"/>
      <c r="AJ166" s="35">
        <v>1274</v>
      </c>
      <c r="AK166" s="35"/>
      <c r="AL166" s="35">
        <f t="shared" si="34"/>
        <v>383</v>
      </c>
      <c r="AM166" s="6">
        <v>97</v>
      </c>
      <c r="AN166" s="6">
        <v>1560</v>
      </c>
      <c r="AO166" s="35">
        <f t="shared" si="35"/>
        <v>383</v>
      </c>
      <c r="AP166" s="6">
        <v>481</v>
      </c>
      <c r="AQ166" s="6"/>
      <c r="AR166" s="35">
        <f t="shared" si="36"/>
        <v>384</v>
      </c>
      <c r="AS166" s="6">
        <v>857</v>
      </c>
      <c r="AT166" s="6"/>
      <c r="AU166" s="35">
        <f t="shared" si="37"/>
        <v>376</v>
      </c>
      <c r="AV166" s="6">
        <v>1241</v>
      </c>
      <c r="AW166" s="6"/>
      <c r="AX166" s="35">
        <f t="shared" si="38"/>
        <v>384</v>
      </c>
      <c r="AY166" s="6">
        <v>48</v>
      </c>
      <c r="AZ166" s="6">
        <v>1561</v>
      </c>
      <c r="BA166" s="35">
        <f t="shared" si="39"/>
        <v>368</v>
      </c>
      <c r="BB166" s="6"/>
      <c r="BC166" s="35"/>
      <c r="BD166" s="6"/>
      <c r="BE166" s="6">
        <v>432</v>
      </c>
      <c r="BF166" s="6"/>
      <c r="BG166" s="6">
        <f t="shared" si="40"/>
        <v>384</v>
      </c>
      <c r="BH166" s="6">
        <v>809</v>
      </c>
      <c r="BI166" s="6"/>
      <c r="BJ166" s="35">
        <f t="shared" si="41"/>
        <v>377</v>
      </c>
      <c r="BK166" s="6">
        <v>284</v>
      </c>
      <c r="BL166" s="6">
        <v>909</v>
      </c>
      <c r="BM166" s="6">
        <f t="shared" si="42"/>
        <v>384</v>
      </c>
      <c r="BN166" s="6">
        <v>249</v>
      </c>
      <c r="BO166" s="6">
        <v>415</v>
      </c>
      <c r="BP166" s="35">
        <f t="shared" si="43"/>
        <v>380</v>
      </c>
      <c r="BQ166" s="6">
        <v>627</v>
      </c>
      <c r="BR166" s="35"/>
      <c r="BS166" s="6">
        <f t="shared" si="44"/>
        <v>378</v>
      </c>
      <c r="BT166" s="6"/>
      <c r="BU166" s="6"/>
      <c r="BV166" s="6"/>
      <c r="BW166" s="6"/>
      <c r="BX166" s="35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</row>
    <row r="167" spans="1:113">
      <c r="A167" s="6">
        <v>163</v>
      </c>
      <c r="B167" s="6">
        <v>705</v>
      </c>
      <c r="C167" s="6"/>
      <c r="D167" s="6">
        <v>359</v>
      </c>
      <c r="E167" s="33" t="s">
        <v>37</v>
      </c>
      <c r="F167" s="33" t="s">
        <v>37</v>
      </c>
      <c r="G167" s="344" t="s">
        <v>37</v>
      </c>
      <c r="H167" s="344" t="s">
        <v>37</v>
      </c>
      <c r="I167" s="344" t="s">
        <v>37</v>
      </c>
      <c r="J167" s="344" t="s">
        <v>37</v>
      </c>
      <c r="K167" s="344" t="s">
        <v>37</v>
      </c>
      <c r="L167" s="344" t="s">
        <v>37</v>
      </c>
      <c r="M167" s="344" t="s">
        <v>37</v>
      </c>
      <c r="N167" s="344" t="s">
        <v>37</v>
      </c>
      <c r="O167" s="344" t="s">
        <v>37</v>
      </c>
      <c r="P167" s="344" t="s">
        <v>37</v>
      </c>
      <c r="Q167" s="344" t="s">
        <v>37</v>
      </c>
      <c r="R167" s="344" t="s">
        <v>37</v>
      </c>
      <c r="S167" s="344" t="s">
        <v>37</v>
      </c>
      <c r="T167" s="344" t="s">
        <v>37</v>
      </c>
      <c r="U167" s="35">
        <v>1117</v>
      </c>
      <c r="V167" s="35"/>
      <c r="W167" s="35">
        <f t="shared" si="30"/>
        <v>412</v>
      </c>
      <c r="X167" s="35">
        <v>1505</v>
      </c>
      <c r="Y167" s="35"/>
      <c r="Z167" s="35">
        <f t="shared" si="31"/>
        <v>388</v>
      </c>
      <c r="AA167" s="35">
        <v>320</v>
      </c>
      <c r="AB167" s="35">
        <v>1560</v>
      </c>
      <c r="AC167" s="35">
        <f t="shared" si="32"/>
        <v>375</v>
      </c>
      <c r="AD167" s="6">
        <v>672</v>
      </c>
      <c r="AE167" s="6"/>
      <c r="AF167" s="35">
        <f t="shared" si="33"/>
        <v>352</v>
      </c>
      <c r="AG167" s="6"/>
      <c r="AH167" s="6"/>
      <c r="AI167" s="34"/>
      <c r="AJ167" s="35">
        <v>1062</v>
      </c>
      <c r="AK167" s="35"/>
      <c r="AL167" s="35">
        <f t="shared" si="34"/>
        <v>390</v>
      </c>
      <c r="AM167" s="6">
        <v>1451</v>
      </c>
      <c r="AN167" s="6"/>
      <c r="AO167" s="35">
        <f t="shared" si="35"/>
        <v>389</v>
      </c>
      <c r="AP167" s="6">
        <v>279</v>
      </c>
      <c r="AQ167" s="6">
        <v>1560</v>
      </c>
      <c r="AR167" s="35">
        <f t="shared" si="36"/>
        <v>388</v>
      </c>
      <c r="AS167" s="35">
        <v>665</v>
      </c>
      <c r="AT167" s="35"/>
      <c r="AU167" s="35">
        <f t="shared" si="37"/>
        <v>386</v>
      </c>
      <c r="AV167" s="6">
        <v>1042</v>
      </c>
      <c r="AW167" s="6"/>
      <c r="AX167" s="35">
        <f t="shared" si="38"/>
        <v>377</v>
      </c>
      <c r="AY167" s="6">
        <v>1394</v>
      </c>
      <c r="AZ167" s="6"/>
      <c r="BA167" s="35">
        <f t="shared" si="39"/>
        <v>352</v>
      </c>
      <c r="BB167" s="6"/>
      <c r="BC167" s="6"/>
      <c r="BD167" s="6"/>
      <c r="BE167" s="6">
        <v>212</v>
      </c>
      <c r="BF167" s="6">
        <v>1573</v>
      </c>
      <c r="BG167" s="6">
        <f t="shared" si="40"/>
        <v>391</v>
      </c>
      <c r="BH167" s="6">
        <v>599</v>
      </c>
      <c r="BI167" s="6"/>
      <c r="BJ167" s="35">
        <f t="shared" si="41"/>
        <v>387</v>
      </c>
      <c r="BK167" s="6">
        <v>984</v>
      </c>
      <c r="BL167" s="6"/>
      <c r="BM167" s="6">
        <f t="shared" si="42"/>
        <v>385</v>
      </c>
      <c r="BN167" s="6">
        <v>1364</v>
      </c>
      <c r="BO167" s="6"/>
      <c r="BP167" s="35">
        <f t="shared" si="43"/>
        <v>380</v>
      </c>
      <c r="BQ167" s="6">
        <v>187</v>
      </c>
      <c r="BR167" s="6">
        <v>1560</v>
      </c>
      <c r="BS167" s="6">
        <f t="shared" si="44"/>
        <v>383</v>
      </c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</row>
    <row r="168" spans="1:113">
      <c r="A168" s="6">
        <v>164</v>
      </c>
      <c r="B168" s="6">
        <v>271</v>
      </c>
      <c r="C168" s="6">
        <v>1560</v>
      </c>
      <c r="D168" s="6">
        <v>359</v>
      </c>
      <c r="E168" s="33" t="s">
        <v>37</v>
      </c>
      <c r="F168" s="33" t="s">
        <v>37</v>
      </c>
      <c r="G168" s="344" t="s">
        <v>37</v>
      </c>
      <c r="H168" s="344" t="s">
        <v>37</v>
      </c>
      <c r="I168" s="344" t="s">
        <v>37</v>
      </c>
      <c r="J168" s="344" t="s">
        <v>37</v>
      </c>
      <c r="K168" s="344" t="s">
        <v>37</v>
      </c>
      <c r="L168" s="344" t="s">
        <v>37</v>
      </c>
      <c r="M168" s="344" t="s">
        <v>37</v>
      </c>
      <c r="N168" s="344" t="s">
        <v>37</v>
      </c>
      <c r="O168" s="344" t="s">
        <v>37</v>
      </c>
      <c r="P168" s="344" t="s">
        <v>37</v>
      </c>
      <c r="Q168" s="344" t="s">
        <v>37</v>
      </c>
      <c r="R168" s="344" t="s">
        <v>37</v>
      </c>
      <c r="S168" s="344" t="s">
        <v>37</v>
      </c>
      <c r="T168" s="344" t="s">
        <v>37</v>
      </c>
      <c r="U168" s="6">
        <v>666</v>
      </c>
      <c r="V168" s="6"/>
      <c r="W168" s="35">
        <f t="shared" si="30"/>
        <v>395</v>
      </c>
      <c r="X168" s="6">
        <v>1047</v>
      </c>
      <c r="Y168" s="6"/>
      <c r="Z168" s="35">
        <f t="shared" si="31"/>
        <v>381</v>
      </c>
      <c r="AA168" s="35">
        <v>1436</v>
      </c>
      <c r="AB168" s="35"/>
      <c r="AC168" s="35">
        <f t="shared" si="32"/>
        <v>389</v>
      </c>
      <c r="AD168" s="6">
        <v>241</v>
      </c>
      <c r="AE168" s="6">
        <v>1560</v>
      </c>
      <c r="AF168" s="35">
        <f t="shared" si="33"/>
        <v>365</v>
      </c>
      <c r="AG168" s="6"/>
      <c r="AH168" s="6"/>
      <c r="AI168" s="34"/>
      <c r="AJ168" s="35">
        <v>626</v>
      </c>
      <c r="AK168" s="35"/>
      <c r="AL168" s="35">
        <f t="shared" si="34"/>
        <v>385</v>
      </c>
      <c r="AM168" s="6">
        <v>1006</v>
      </c>
      <c r="AN168" s="6"/>
      <c r="AO168" s="35">
        <f t="shared" si="35"/>
        <v>380</v>
      </c>
      <c r="AP168" s="6">
        <v>1391</v>
      </c>
      <c r="AQ168" s="6"/>
      <c r="AR168" s="35">
        <f t="shared" si="36"/>
        <v>385</v>
      </c>
      <c r="AS168" s="35">
        <v>214</v>
      </c>
      <c r="AT168" s="35">
        <v>1560</v>
      </c>
      <c r="AU168" s="35">
        <f t="shared" si="37"/>
        <v>383</v>
      </c>
      <c r="AV168" s="6">
        <v>601</v>
      </c>
      <c r="AW168" s="6"/>
      <c r="AX168" s="35">
        <f t="shared" si="38"/>
        <v>387</v>
      </c>
      <c r="AY168" s="6">
        <v>968</v>
      </c>
      <c r="AZ168" s="6"/>
      <c r="BA168" s="35">
        <f t="shared" si="39"/>
        <v>367</v>
      </c>
      <c r="BB168" s="6"/>
      <c r="BC168" s="6"/>
      <c r="BD168" s="6"/>
      <c r="BE168" s="6">
        <v>1355</v>
      </c>
      <c r="BF168" s="6"/>
      <c r="BG168" s="6">
        <f t="shared" si="40"/>
        <v>387</v>
      </c>
      <c r="BH168" s="6">
        <v>175</v>
      </c>
      <c r="BI168" s="6">
        <v>1560</v>
      </c>
      <c r="BJ168" s="35">
        <f t="shared" si="41"/>
        <v>380</v>
      </c>
      <c r="BK168" s="6">
        <v>555</v>
      </c>
      <c r="BL168" s="6"/>
      <c r="BM168" s="6">
        <f t="shared" si="42"/>
        <v>380</v>
      </c>
      <c r="BN168" s="6">
        <v>938</v>
      </c>
      <c r="BO168" s="6"/>
      <c r="BP168" s="35">
        <f t="shared" si="43"/>
        <v>383</v>
      </c>
      <c r="BQ168" s="6">
        <v>1320</v>
      </c>
      <c r="BR168" s="6"/>
      <c r="BS168" s="6">
        <f t="shared" si="44"/>
        <v>382</v>
      </c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35"/>
      <c r="CY168" s="6"/>
      <c r="CZ168" s="6"/>
      <c r="DA168" s="35"/>
      <c r="DB168" s="6"/>
      <c r="DC168" s="6"/>
      <c r="DD168" s="35"/>
      <c r="DE168" s="6"/>
      <c r="DF168" s="6"/>
      <c r="DG168" s="35"/>
      <c r="DH168" s="6"/>
      <c r="DI168" s="6"/>
    </row>
    <row r="169" spans="1:113">
      <c r="A169" s="6">
        <v>165</v>
      </c>
      <c r="B169" s="6">
        <v>1115</v>
      </c>
      <c r="C169" s="6"/>
      <c r="D169" s="6">
        <v>350</v>
      </c>
      <c r="E169" s="33" t="s">
        <v>37</v>
      </c>
      <c r="F169" s="33" t="s">
        <v>37</v>
      </c>
      <c r="G169" s="344" t="s">
        <v>37</v>
      </c>
      <c r="H169" s="344" t="s">
        <v>37</v>
      </c>
      <c r="I169" s="344" t="s">
        <v>37</v>
      </c>
      <c r="J169" s="344" t="s">
        <v>37</v>
      </c>
      <c r="K169" s="344" t="s">
        <v>37</v>
      </c>
      <c r="L169" s="344" t="s">
        <v>37</v>
      </c>
      <c r="M169" s="344" t="s">
        <v>37</v>
      </c>
      <c r="N169" s="344" t="s">
        <v>37</v>
      </c>
      <c r="O169" s="344" t="s">
        <v>37</v>
      </c>
      <c r="P169" s="344" t="s">
        <v>37</v>
      </c>
      <c r="Q169" s="344" t="s">
        <v>37</v>
      </c>
      <c r="R169" s="344" t="s">
        <v>37</v>
      </c>
      <c r="S169" s="344" t="s">
        <v>37</v>
      </c>
      <c r="T169" s="346" t="s">
        <v>37</v>
      </c>
      <c r="U169" s="35">
        <v>171</v>
      </c>
      <c r="V169" s="35">
        <v>1335</v>
      </c>
      <c r="W169" s="35">
        <f t="shared" si="30"/>
        <v>391</v>
      </c>
      <c r="X169" s="35">
        <v>546</v>
      </c>
      <c r="Y169" s="35"/>
      <c r="Z169" s="35">
        <f t="shared" si="31"/>
        <v>375</v>
      </c>
      <c r="AA169" s="35">
        <v>312</v>
      </c>
      <c r="AB169" s="35">
        <v>600</v>
      </c>
      <c r="AC169" s="35">
        <f t="shared" si="32"/>
        <v>366</v>
      </c>
      <c r="AD169" s="35">
        <v>674</v>
      </c>
      <c r="AE169" s="35"/>
      <c r="AF169" s="35">
        <f t="shared" si="33"/>
        <v>362</v>
      </c>
      <c r="AG169" s="6"/>
      <c r="AH169" s="35"/>
      <c r="AI169" s="34"/>
      <c r="AJ169" s="35">
        <v>1052</v>
      </c>
      <c r="AK169" s="35"/>
      <c r="AL169" s="35">
        <f t="shared" si="34"/>
        <v>378</v>
      </c>
      <c r="AM169" s="6">
        <v>1427</v>
      </c>
      <c r="AN169" s="6"/>
      <c r="AO169" s="35">
        <f t="shared" si="35"/>
        <v>375</v>
      </c>
      <c r="AP169" s="6">
        <v>234</v>
      </c>
      <c r="AQ169" s="6">
        <v>1560</v>
      </c>
      <c r="AR169" s="35">
        <f t="shared" si="36"/>
        <v>367</v>
      </c>
      <c r="AS169" s="6">
        <v>611</v>
      </c>
      <c r="AT169" s="6"/>
      <c r="AU169" s="35">
        <f t="shared" si="37"/>
        <v>377</v>
      </c>
      <c r="AV169" s="6">
        <v>171</v>
      </c>
      <c r="AW169" s="6">
        <v>807</v>
      </c>
      <c r="AX169" s="35">
        <f t="shared" si="38"/>
        <v>367</v>
      </c>
      <c r="AY169" s="6">
        <v>529</v>
      </c>
      <c r="AZ169" s="6"/>
      <c r="BA169" s="35">
        <f t="shared" si="39"/>
        <v>358</v>
      </c>
      <c r="BB169" s="6"/>
      <c r="BC169" s="35"/>
      <c r="BD169" s="6"/>
      <c r="BE169" s="6">
        <v>911</v>
      </c>
      <c r="BF169" s="6"/>
      <c r="BG169" s="6">
        <f t="shared" si="40"/>
        <v>382</v>
      </c>
      <c r="BH169" s="6">
        <v>1284</v>
      </c>
      <c r="BI169" s="6"/>
      <c r="BJ169" s="35">
        <f t="shared" si="41"/>
        <v>373</v>
      </c>
      <c r="BK169" s="6">
        <v>99</v>
      </c>
      <c r="BL169" s="6">
        <v>1560</v>
      </c>
      <c r="BM169" s="6">
        <f t="shared" si="42"/>
        <v>375</v>
      </c>
      <c r="BN169" s="6">
        <v>0</v>
      </c>
      <c r="BO169" s="6">
        <v>450</v>
      </c>
      <c r="BP169" s="35">
        <f t="shared" si="43"/>
        <v>351</v>
      </c>
      <c r="BQ169" s="6">
        <v>343</v>
      </c>
      <c r="BR169" s="6"/>
      <c r="BS169" s="6">
        <f t="shared" si="44"/>
        <v>343</v>
      </c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</row>
    <row r="170" spans="1:113">
      <c r="A170" s="6">
        <v>166</v>
      </c>
      <c r="B170" s="6">
        <v>313</v>
      </c>
      <c r="C170" s="6">
        <v>1560</v>
      </c>
      <c r="D170" s="6">
        <v>361</v>
      </c>
      <c r="E170" s="33" t="s">
        <v>37</v>
      </c>
      <c r="F170" s="33" t="s">
        <v>37</v>
      </c>
      <c r="G170" s="344" t="s">
        <v>37</v>
      </c>
      <c r="H170" s="344" t="s">
        <v>37</v>
      </c>
      <c r="I170" s="344" t="s">
        <v>37</v>
      </c>
      <c r="J170" s="344" t="s">
        <v>37</v>
      </c>
      <c r="K170" s="344" t="s">
        <v>37</v>
      </c>
      <c r="L170" s="344" t="s">
        <v>37</v>
      </c>
      <c r="M170" s="344" t="s">
        <v>37</v>
      </c>
      <c r="N170" s="344" t="s">
        <v>37</v>
      </c>
      <c r="O170" s="344" t="s">
        <v>37</v>
      </c>
      <c r="P170" s="344" t="s">
        <v>37</v>
      </c>
      <c r="Q170" s="344" t="s">
        <v>37</v>
      </c>
      <c r="R170" s="344" t="s">
        <v>37</v>
      </c>
      <c r="S170" s="344" t="s">
        <v>37</v>
      </c>
      <c r="T170" s="344" t="s">
        <v>37</v>
      </c>
      <c r="U170" s="6">
        <v>725</v>
      </c>
      <c r="V170" s="6"/>
      <c r="W170" s="35">
        <f t="shared" si="30"/>
        <v>412</v>
      </c>
      <c r="X170" s="6">
        <v>381</v>
      </c>
      <c r="Y170" s="6">
        <v>727</v>
      </c>
      <c r="Z170" s="35">
        <f t="shared" si="31"/>
        <v>383</v>
      </c>
      <c r="AA170" s="35">
        <v>765</v>
      </c>
      <c r="AB170" s="35"/>
      <c r="AC170" s="35">
        <f t="shared" si="32"/>
        <v>384</v>
      </c>
      <c r="AD170" s="6">
        <v>1139</v>
      </c>
      <c r="AE170" s="6"/>
      <c r="AF170" s="35">
        <f t="shared" si="33"/>
        <v>374</v>
      </c>
      <c r="AG170" s="6"/>
      <c r="AH170" s="6"/>
      <c r="AI170" s="34"/>
      <c r="AJ170" s="35">
        <v>1529</v>
      </c>
      <c r="AK170" s="35"/>
      <c r="AL170" s="35">
        <f t="shared" si="34"/>
        <v>390</v>
      </c>
      <c r="AM170" s="6">
        <v>356</v>
      </c>
      <c r="AN170" s="6">
        <v>1560</v>
      </c>
      <c r="AO170" s="35">
        <f t="shared" si="35"/>
        <v>387</v>
      </c>
      <c r="AP170" s="6">
        <v>742</v>
      </c>
      <c r="AQ170" s="6"/>
      <c r="AR170" s="35">
        <f t="shared" si="36"/>
        <v>386</v>
      </c>
      <c r="AS170" s="35">
        <v>1127</v>
      </c>
      <c r="AT170" s="35"/>
      <c r="AU170" s="35">
        <f t="shared" si="37"/>
        <v>385</v>
      </c>
      <c r="AV170" s="6">
        <v>1515</v>
      </c>
      <c r="AW170" s="6"/>
      <c r="AX170" s="35">
        <f t="shared" si="38"/>
        <v>388</v>
      </c>
      <c r="AY170" s="6">
        <v>326</v>
      </c>
      <c r="AZ170" s="6">
        <v>1560</v>
      </c>
      <c r="BA170" s="35">
        <f t="shared" si="39"/>
        <v>371</v>
      </c>
      <c r="BB170" s="6"/>
      <c r="BC170" s="6"/>
      <c r="BD170" s="6"/>
      <c r="BE170" s="6">
        <v>718</v>
      </c>
      <c r="BF170" s="6"/>
      <c r="BG170" s="6">
        <f t="shared" si="40"/>
        <v>392</v>
      </c>
      <c r="BH170" s="6">
        <v>1102</v>
      </c>
      <c r="BI170" s="6"/>
      <c r="BJ170" s="35">
        <f t="shared" si="41"/>
        <v>384</v>
      </c>
      <c r="BK170" s="6">
        <v>1469</v>
      </c>
      <c r="BL170" s="6"/>
      <c r="BM170" s="6">
        <f t="shared" si="42"/>
        <v>367</v>
      </c>
      <c r="BN170" s="6">
        <v>297</v>
      </c>
      <c r="BO170" s="6">
        <v>1560</v>
      </c>
      <c r="BP170" s="35">
        <f t="shared" si="43"/>
        <v>388</v>
      </c>
      <c r="BQ170" s="6">
        <v>682</v>
      </c>
      <c r="BR170" s="6"/>
      <c r="BS170" s="6">
        <f t="shared" si="44"/>
        <v>385</v>
      </c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35"/>
      <c r="CY170" s="6"/>
      <c r="CZ170" s="6"/>
      <c r="DA170" s="35"/>
      <c r="DB170" s="6"/>
      <c r="DC170" s="6"/>
      <c r="DD170" s="35"/>
      <c r="DE170" s="6"/>
      <c r="DF170" s="6"/>
      <c r="DG170" s="35"/>
      <c r="DH170" s="6"/>
      <c r="DI170" s="6"/>
    </row>
    <row r="171" spans="1:113">
      <c r="A171" s="6">
        <v>167</v>
      </c>
      <c r="B171" s="6">
        <v>814</v>
      </c>
      <c r="C171" s="6"/>
      <c r="D171" s="6">
        <v>363</v>
      </c>
      <c r="E171" s="33" t="s">
        <v>37</v>
      </c>
      <c r="F171" s="33" t="s">
        <v>37</v>
      </c>
      <c r="G171" s="346" t="s">
        <v>37</v>
      </c>
      <c r="H171" s="344" t="s">
        <v>37</v>
      </c>
      <c r="I171" s="344" t="s">
        <v>37</v>
      </c>
      <c r="J171" s="344" t="s">
        <v>37</v>
      </c>
      <c r="K171" s="344" t="s">
        <v>37</v>
      </c>
      <c r="L171" s="344" t="s">
        <v>37</v>
      </c>
      <c r="M171" s="344" t="s">
        <v>37</v>
      </c>
      <c r="N171" s="344" t="s">
        <v>37</v>
      </c>
      <c r="O171" s="344" t="s">
        <v>37</v>
      </c>
      <c r="P171" s="344" t="s">
        <v>37</v>
      </c>
      <c r="Q171" s="344" t="s">
        <v>37</v>
      </c>
      <c r="R171" s="344" t="s">
        <v>37</v>
      </c>
      <c r="S171" s="344" t="s">
        <v>37</v>
      </c>
      <c r="T171" s="344" t="s">
        <v>37</v>
      </c>
      <c r="U171" s="6">
        <v>0</v>
      </c>
      <c r="V171" s="6">
        <f>846+176</f>
        <v>1022</v>
      </c>
      <c r="W171" s="35">
        <f t="shared" si="30"/>
        <v>208</v>
      </c>
      <c r="X171" s="6">
        <v>365</v>
      </c>
      <c r="Y171" s="6"/>
      <c r="Z171" s="35">
        <f t="shared" si="31"/>
        <v>365</v>
      </c>
      <c r="AA171" s="35">
        <v>205</v>
      </c>
      <c r="AB171" s="35">
        <v>532</v>
      </c>
      <c r="AC171" s="35">
        <f t="shared" si="32"/>
        <v>372</v>
      </c>
      <c r="AD171" s="6">
        <v>581</v>
      </c>
      <c r="AE171" s="6"/>
      <c r="AF171" s="35">
        <f t="shared" si="33"/>
        <v>376</v>
      </c>
      <c r="AG171" s="6"/>
      <c r="AH171" s="6"/>
      <c r="AI171" s="34"/>
      <c r="AJ171" s="35">
        <v>276</v>
      </c>
      <c r="AK171" s="35">
        <v>690</v>
      </c>
      <c r="AL171" s="35">
        <f t="shared" si="34"/>
        <v>385</v>
      </c>
      <c r="AM171" s="6">
        <v>665</v>
      </c>
      <c r="AN171" s="6"/>
      <c r="AO171" s="35">
        <f t="shared" si="35"/>
        <v>389</v>
      </c>
      <c r="AP171" s="6">
        <v>1056</v>
      </c>
      <c r="AQ171" s="6"/>
      <c r="AR171" s="35">
        <f t="shared" si="36"/>
        <v>391</v>
      </c>
      <c r="AS171" s="4">
        <v>1444</v>
      </c>
      <c r="AT171" s="35"/>
      <c r="AU171" s="35">
        <f t="shared" si="37"/>
        <v>388</v>
      </c>
      <c r="AV171" s="6">
        <v>271</v>
      </c>
      <c r="AW171" s="6">
        <v>1560</v>
      </c>
      <c r="AX171" s="35">
        <f t="shared" si="38"/>
        <v>387</v>
      </c>
      <c r="AY171" s="6">
        <v>645</v>
      </c>
      <c r="AZ171" s="6"/>
      <c r="BA171" s="35">
        <f t="shared" si="39"/>
        <v>374</v>
      </c>
      <c r="BB171" s="6"/>
      <c r="BC171" s="6"/>
      <c r="BD171" s="6"/>
      <c r="BE171" s="6">
        <v>1039</v>
      </c>
      <c r="BF171" s="6"/>
      <c r="BG171" s="6">
        <f t="shared" si="40"/>
        <v>394</v>
      </c>
      <c r="BH171" s="6">
        <v>1422</v>
      </c>
      <c r="BI171" s="6"/>
      <c r="BJ171" s="35">
        <f t="shared" si="41"/>
        <v>383</v>
      </c>
      <c r="BK171" s="6">
        <v>244</v>
      </c>
      <c r="BL171" s="6">
        <v>1560</v>
      </c>
      <c r="BM171" s="6">
        <f t="shared" si="42"/>
        <v>382</v>
      </c>
      <c r="BN171" s="6">
        <v>625</v>
      </c>
      <c r="BO171" s="6"/>
      <c r="BP171" s="35">
        <f t="shared" si="43"/>
        <v>381</v>
      </c>
      <c r="BQ171" s="6">
        <v>238</v>
      </c>
      <c r="BR171" s="6">
        <v>764</v>
      </c>
      <c r="BS171" s="6">
        <f t="shared" si="44"/>
        <v>377</v>
      </c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</row>
    <row r="172" spans="1:113">
      <c r="A172" s="6">
        <v>168</v>
      </c>
      <c r="B172" s="6">
        <v>1472</v>
      </c>
      <c r="C172" s="6"/>
      <c r="D172" s="6">
        <v>357</v>
      </c>
      <c r="E172" s="33" t="s">
        <v>37</v>
      </c>
      <c r="F172" s="33" t="s">
        <v>37</v>
      </c>
      <c r="G172" s="344" t="s">
        <v>37</v>
      </c>
      <c r="H172" s="344" t="s">
        <v>37</v>
      </c>
      <c r="I172" s="344" t="s">
        <v>37</v>
      </c>
      <c r="J172" s="344" t="s">
        <v>37</v>
      </c>
      <c r="K172" s="344" t="s">
        <v>37</v>
      </c>
      <c r="L172" s="344" t="s">
        <v>37</v>
      </c>
      <c r="M172" s="344" t="s">
        <v>37</v>
      </c>
      <c r="N172" s="344" t="s">
        <v>37</v>
      </c>
      <c r="O172" s="344" t="s">
        <v>37</v>
      </c>
      <c r="P172" s="344" t="s">
        <v>37</v>
      </c>
      <c r="Q172" s="344" t="s">
        <v>37</v>
      </c>
      <c r="R172" s="344" t="s">
        <v>37</v>
      </c>
      <c r="S172" s="344" t="s">
        <v>37</v>
      </c>
      <c r="T172" s="344" t="s">
        <v>37</v>
      </c>
      <c r="U172" s="35">
        <v>298</v>
      </c>
      <c r="V172" s="35">
        <v>1570</v>
      </c>
      <c r="W172" s="35">
        <f t="shared" si="30"/>
        <v>396</v>
      </c>
      <c r="X172" s="35">
        <v>673</v>
      </c>
      <c r="Y172" s="35"/>
      <c r="Z172" s="35">
        <f t="shared" si="31"/>
        <v>375</v>
      </c>
      <c r="AA172" s="35">
        <v>1053</v>
      </c>
      <c r="AB172" s="35"/>
      <c r="AC172" s="35">
        <f t="shared" si="32"/>
        <v>380</v>
      </c>
      <c r="AD172" s="35">
        <v>336</v>
      </c>
      <c r="AE172" s="35">
        <v>1091</v>
      </c>
      <c r="AF172" s="35">
        <f t="shared" si="33"/>
        <v>374</v>
      </c>
      <c r="AG172" s="35"/>
      <c r="AH172" s="35"/>
      <c r="AI172" s="34"/>
      <c r="AJ172" s="35">
        <v>703</v>
      </c>
      <c r="AK172" s="35"/>
      <c r="AL172" s="35">
        <f t="shared" si="34"/>
        <v>367</v>
      </c>
      <c r="AM172" s="6">
        <v>1071</v>
      </c>
      <c r="AN172" s="6"/>
      <c r="AO172" s="35">
        <f t="shared" si="35"/>
        <v>368</v>
      </c>
      <c r="AP172" s="6">
        <v>1417</v>
      </c>
      <c r="AQ172" s="6"/>
      <c r="AR172" s="35">
        <f t="shared" si="36"/>
        <v>346</v>
      </c>
      <c r="AS172" s="35">
        <v>289</v>
      </c>
      <c r="AT172" s="6">
        <v>1461</v>
      </c>
      <c r="AU172" s="35">
        <f t="shared" si="37"/>
        <v>333</v>
      </c>
      <c r="AV172" s="6">
        <v>217</v>
      </c>
      <c r="AW172" s="6">
        <v>423</v>
      </c>
      <c r="AX172" s="35">
        <f t="shared" si="38"/>
        <v>351</v>
      </c>
      <c r="AY172" s="6">
        <v>576</v>
      </c>
      <c r="AZ172" s="6"/>
      <c r="BA172" s="35">
        <f t="shared" si="39"/>
        <v>359</v>
      </c>
      <c r="BB172" s="6"/>
      <c r="BC172" s="35"/>
      <c r="BD172" s="6"/>
      <c r="BE172" s="6">
        <v>260</v>
      </c>
      <c r="BF172" s="6">
        <v>675</v>
      </c>
      <c r="BG172" s="6">
        <f t="shared" si="40"/>
        <v>359</v>
      </c>
      <c r="BH172" s="6">
        <v>619</v>
      </c>
      <c r="BI172" s="6"/>
      <c r="BJ172" s="35">
        <f t="shared" si="41"/>
        <v>359</v>
      </c>
      <c r="BK172" s="6">
        <v>990</v>
      </c>
      <c r="BL172" s="6"/>
      <c r="BM172" s="6">
        <f t="shared" si="42"/>
        <v>371</v>
      </c>
      <c r="BN172" s="6">
        <v>1339</v>
      </c>
      <c r="BO172" s="6"/>
      <c r="BP172" s="35">
        <f t="shared" si="43"/>
        <v>349</v>
      </c>
      <c r="BQ172" s="6">
        <v>132</v>
      </c>
      <c r="BR172" s="6">
        <v>1561</v>
      </c>
      <c r="BS172" s="6">
        <f t="shared" si="44"/>
        <v>354</v>
      </c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</row>
    <row r="173" spans="1:113">
      <c r="A173" s="6">
        <v>169</v>
      </c>
      <c r="B173" s="6">
        <v>740</v>
      </c>
      <c r="C173" s="6"/>
      <c r="D173" s="6">
        <v>363</v>
      </c>
      <c r="E173" s="33" t="s">
        <v>37</v>
      </c>
      <c r="F173" s="33" t="s">
        <v>37</v>
      </c>
      <c r="G173" s="344" t="s">
        <v>37</v>
      </c>
      <c r="H173" s="344" t="s">
        <v>37</v>
      </c>
      <c r="I173" s="344" t="s">
        <v>37</v>
      </c>
      <c r="J173" s="344" t="s">
        <v>37</v>
      </c>
      <c r="K173" s="344" t="s">
        <v>37</v>
      </c>
      <c r="L173" s="344" t="s">
        <v>37</v>
      </c>
      <c r="M173" s="344" t="s">
        <v>37</v>
      </c>
      <c r="N173" s="344" t="s">
        <v>37</v>
      </c>
      <c r="O173" s="344" t="s">
        <v>37</v>
      </c>
      <c r="P173" s="344" t="s">
        <v>37</v>
      </c>
      <c r="Q173" s="344" t="s">
        <v>37</v>
      </c>
      <c r="R173" s="344" t="s">
        <v>37</v>
      </c>
      <c r="S173" s="344" t="s">
        <v>37</v>
      </c>
      <c r="T173" s="344" t="s">
        <v>37</v>
      </c>
      <c r="U173" s="6">
        <v>1149</v>
      </c>
      <c r="V173" s="6"/>
      <c r="W173" s="35">
        <f t="shared" si="30"/>
        <v>409</v>
      </c>
      <c r="X173" s="6">
        <v>1537</v>
      </c>
      <c r="Y173" s="6"/>
      <c r="Z173" s="35">
        <f t="shared" si="31"/>
        <v>388</v>
      </c>
      <c r="AA173" s="35">
        <v>365</v>
      </c>
      <c r="AB173" s="35">
        <v>1560</v>
      </c>
      <c r="AC173" s="35">
        <f t="shared" si="32"/>
        <v>388</v>
      </c>
      <c r="AD173" s="6">
        <v>720</v>
      </c>
      <c r="AE173" s="6"/>
      <c r="AF173" s="35">
        <f t="shared" si="33"/>
        <v>355</v>
      </c>
      <c r="AG173" s="6"/>
      <c r="AH173" s="6"/>
      <c r="AI173" s="34"/>
      <c r="AJ173" s="35">
        <v>1107</v>
      </c>
      <c r="AK173" s="35"/>
      <c r="AL173" s="35">
        <f t="shared" si="34"/>
        <v>387</v>
      </c>
      <c r="AM173" s="6">
        <v>1491</v>
      </c>
      <c r="AN173" s="6"/>
      <c r="AO173" s="35">
        <f t="shared" si="35"/>
        <v>384</v>
      </c>
      <c r="AP173" s="6">
        <v>316</v>
      </c>
      <c r="AQ173" s="6">
        <v>1560</v>
      </c>
      <c r="AR173" s="35">
        <f t="shared" si="36"/>
        <v>385</v>
      </c>
      <c r="AS173" s="6">
        <v>705</v>
      </c>
      <c r="AT173" s="35"/>
      <c r="AU173" s="35">
        <f t="shared" si="37"/>
        <v>389</v>
      </c>
      <c r="AV173" s="35">
        <v>1089</v>
      </c>
      <c r="AW173" s="6"/>
      <c r="AX173" s="35">
        <f t="shared" si="38"/>
        <v>384</v>
      </c>
      <c r="AY173" s="6">
        <v>1461</v>
      </c>
      <c r="AZ173" s="6"/>
      <c r="BA173" s="35">
        <f t="shared" si="39"/>
        <v>372</v>
      </c>
      <c r="BB173" s="6"/>
      <c r="BC173" s="6"/>
      <c r="BD173" s="6"/>
      <c r="BE173" s="6">
        <v>291</v>
      </c>
      <c r="BF173" s="6">
        <v>1560</v>
      </c>
      <c r="BG173" s="6">
        <f t="shared" si="40"/>
        <v>390</v>
      </c>
      <c r="BH173" s="6">
        <v>675</v>
      </c>
      <c r="BI173" s="6"/>
      <c r="BJ173" s="35">
        <f t="shared" si="41"/>
        <v>384</v>
      </c>
      <c r="BK173" s="6">
        <v>1061</v>
      </c>
      <c r="BL173" s="6"/>
      <c r="BM173" s="6">
        <f t="shared" si="42"/>
        <v>386</v>
      </c>
      <c r="BN173" s="6">
        <v>1444</v>
      </c>
      <c r="BO173" s="6"/>
      <c r="BP173" s="35">
        <f t="shared" si="43"/>
        <v>383</v>
      </c>
      <c r="BQ173" s="6">
        <v>255</v>
      </c>
      <c r="BR173" s="6">
        <v>1573</v>
      </c>
      <c r="BS173" s="6">
        <f t="shared" si="44"/>
        <v>384</v>
      </c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</row>
    <row r="174" spans="1:113">
      <c r="A174" s="6">
        <v>170</v>
      </c>
      <c r="B174" s="6">
        <v>720</v>
      </c>
      <c r="C174" s="6"/>
      <c r="D174" s="6">
        <v>354</v>
      </c>
      <c r="E174" s="33" t="s">
        <v>37</v>
      </c>
      <c r="F174" s="33" t="s">
        <v>37</v>
      </c>
      <c r="G174" s="346" t="s">
        <v>37</v>
      </c>
      <c r="H174" s="344" t="s">
        <v>37</v>
      </c>
      <c r="I174" s="344" t="s">
        <v>37</v>
      </c>
      <c r="J174" s="344" t="s">
        <v>37</v>
      </c>
      <c r="K174" s="344" t="s">
        <v>37</v>
      </c>
      <c r="L174" s="344" t="s">
        <v>37</v>
      </c>
      <c r="M174" s="344" t="s">
        <v>37</v>
      </c>
      <c r="N174" s="344" t="s">
        <v>37</v>
      </c>
      <c r="O174" s="344" t="s">
        <v>37</v>
      </c>
      <c r="P174" s="344" t="s">
        <v>37</v>
      </c>
      <c r="Q174" s="344" t="s">
        <v>37</v>
      </c>
      <c r="R174" s="344" t="s">
        <v>37</v>
      </c>
      <c r="S174" s="344" t="s">
        <v>37</v>
      </c>
      <c r="T174" s="344" t="s">
        <v>37</v>
      </c>
      <c r="U174" s="6">
        <v>0</v>
      </c>
      <c r="V174" s="6">
        <v>960</v>
      </c>
      <c r="W174" s="35">
        <f t="shared" si="30"/>
        <v>240</v>
      </c>
      <c r="X174" s="6">
        <v>354</v>
      </c>
      <c r="Y174" s="6"/>
      <c r="Z174" s="35">
        <f t="shared" si="31"/>
        <v>354</v>
      </c>
      <c r="AA174" s="35">
        <v>740</v>
      </c>
      <c r="AB174" s="35"/>
      <c r="AC174" s="35">
        <f t="shared" si="32"/>
        <v>386</v>
      </c>
      <c r="AD174" s="6">
        <v>1107</v>
      </c>
      <c r="AE174" s="6"/>
      <c r="AF174" s="35">
        <f t="shared" si="33"/>
        <v>367</v>
      </c>
      <c r="AG174" s="6"/>
      <c r="AH174" s="6"/>
      <c r="AI174" s="34"/>
      <c r="AJ174" s="35">
        <v>1469</v>
      </c>
      <c r="AK174" s="35"/>
      <c r="AL174" s="35">
        <f t="shared" si="34"/>
        <v>362</v>
      </c>
      <c r="AM174" s="6">
        <v>267</v>
      </c>
      <c r="AN174" s="6">
        <v>1560</v>
      </c>
      <c r="AO174" s="35">
        <f t="shared" si="35"/>
        <v>358</v>
      </c>
      <c r="AP174" s="6">
        <v>650</v>
      </c>
      <c r="AQ174" s="6"/>
      <c r="AR174" s="35">
        <f t="shared" si="36"/>
        <v>383</v>
      </c>
      <c r="AS174" s="35">
        <v>1036</v>
      </c>
      <c r="AT174" s="6"/>
      <c r="AU174" s="35">
        <f t="shared" si="37"/>
        <v>386</v>
      </c>
      <c r="AV174" s="6">
        <v>1422</v>
      </c>
      <c r="AW174" s="6"/>
      <c r="AX174" s="35">
        <f t="shared" si="38"/>
        <v>386</v>
      </c>
      <c r="AY174" s="6">
        <v>234</v>
      </c>
      <c r="AZ174" s="6">
        <v>1561</v>
      </c>
      <c r="BA174" s="35">
        <f t="shared" si="39"/>
        <v>373</v>
      </c>
      <c r="BB174" s="6"/>
      <c r="BC174" s="6"/>
      <c r="BD174" s="6"/>
      <c r="BE174" s="6">
        <v>296</v>
      </c>
      <c r="BF174" s="6">
        <v>321</v>
      </c>
      <c r="BG174" s="6">
        <f t="shared" si="40"/>
        <v>383</v>
      </c>
      <c r="BH174" s="6">
        <v>678</v>
      </c>
      <c r="BI174" s="6"/>
      <c r="BJ174" s="35">
        <f t="shared" si="41"/>
        <v>382</v>
      </c>
      <c r="BK174" s="6">
        <v>1067</v>
      </c>
      <c r="BL174" s="6"/>
      <c r="BM174" s="6">
        <f t="shared" si="42"/>
        <v>389</v>
      </c>
      <c r="BN174" s="6">
        <v>1454</v>
      </c>
      <c r="BO174" s="6"/>
      <c r="BP174" s="35">
        <f t="shared" si="43"/>
        <v>387</v>
      </c>
      <c r="BQ174" s="6">
        <v>178</v>
      </c>
      <c r="BR174" s="6">
        <v>1561</v>
      </c>
      <c r="BS174" s="6">
        <f t="shared" si="44"/>
        <v>285</v>
      </c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</row>
    <row r="175" spans="1:113">
      <c r="A175" s="6">
        <v>171</v>
      </c>
      <c r="B175" s="6">
        <v>728</v>
      </c>
      <c r="C175" s="6"/>
      <c r="D175" s="6">
        <v>360</v>
      </c>
      <c r="E175" s="33" t="s">
        <v>37</v>
      </c>
      <c r="F175" s="33" t="s">
        <v>37</v>
      </c>
      <c r="G175" s="344" t="s">
        <v>37</v>
      </c>
      <c r="H175" s="344" t="s">
        <v>37</v>
      </c>
      <c r="I175" s="344" t="s">
        <v>37</v>
      </c>
      <c r="J175" s="344" t="s">
        <v>37</v>
      </c>
      <c r="K175" s="344" t="s">
        <v>37</v>
      </c>
      <c r="L175" s="344" t="s">
        <v>37</v>
      </c>
      <c r="M175" s="344" t="s">
        <v>37</v>
      </c>
      <c r="N175" s="344" t="s">
        <v>37</v>
      </c>
      <c r="O175" s="344" t="s">
        <v>37</v>
      </c>
      <c r="P175" s="344" t="s">
        <v>37</v>
      </c>
      <c r="Q175" s="344" t="s">
        <v>37</v>
      </c>
      <c r="R175" s="344" t="s">
        <v>37</v>
      </c>
      <c r="S175" s="344" t="s">
        <v>37</v>
      </c>
      <c r="T175" s="344" t="s">
        <v>37</v>
      </c>
      <c r="U175" s="6">
        <v>1138</v>
      </c>
      <c r="V175" s="6"/>
      <c r="W175" s="35">
        <f t="shared" si="30"/>
        <v>410</v>
      </c>
      <c r="X175" s="6">
        <v>1519</v>
      </c>
      <c r="Y175" s="6"/>
      <c r="Z175" s="35">
        <f t="shared" si="31"/>
        <v>381</v>
      </c>
      <c r="AA175" s="35">
        <v>346</v>
      </c>
      <c r="AB175" s="35">
        <v>1560</v>
      </c>
      <c r="AC175" s="35">
        <f t="shared" si="32"/>
        <v>387</v>
      </c>
      <c r="AD175" s="6">
        <v>717</v>
      </c>
      <c r="AE175" s="6"/>
      <c r="AF175" s="35">
        <f t="shared" si="33"/>
        <v>371</v>
      </c>
      <c r="AG175" s="6"/>
      <c r="AH175" s="6"/>
      <c r="AI175" s="34"/>
      <c r="AJ175" s="35">
        <v>1093</v>
      </c>
      <c r="AK175" s="35"/>
      <c r="AL175" s="35">
        <f t="shared" si="34"/>
        <v>376</v>
      </c>
      <c r="AM175" s="6">
        <v>1476</v>
      </c>
      <c r="AN175" s="6"/>
      <c r="AO175" s="35">
        <f t="shared" si="35"/>
        <v>383</v>
      </c>
      <c r="AP175" s="6">
        <v>304</v>
      </c>
      <c r="AQ175" s="6">
        <v>1560</v>
      </c>
      <c r="AR175" s="35">
        <f t="shared" si="36"/>
        <v>388</v>
      </c>
      <c r="AS175" s="6">
        <v>692</v>
      </c>
      <c r="AT175" s="35"/>
      <c r="AU175" s="35">
        <f t="shared" si="37"/>
        <v>388</v>
      </c>
      <c r="AV175" s="6">
        <v>1081</v>
      </c>
      <c r="AW175" s="6"/>
      <c r="AX175" s="35">
        <f t="shared" si="38"/>
        <v>389</v>
      </c>
      <c r="AY175" s="6">
        <v>1462</v>
      </c>
      <c r="AZ175" s="6"/>
      <c r="BA175" s="35">
        <f t="shared" si="39"/>
        <v>381</v>
      </c>
      <c r="BB175" s="35"/>
      <c r="BC175" s="6"/>
      <c r="BD175" s="6"/>
      <c r="BE175" s="6">
        <v>301</v>
      </c>
      <c r="BF175" s="6">
        <v>1560</v>
      </c>
      <c r="BG175" s="6">
        <f t="shared" si="40"/>
        <v>399</v>
      </c>
      <c r="BH175" s="6">
        <v>684</v>
      </c>
      <c r="BI175" s="6"/>
      <c r="BJ175" s="35">
        <f t="shared" si="41"/>
        <v>383</v>
      </c>
      <c r="BK175" s="6">
        <v>1074</v>
      </c>
      <c r="BL175" s="6"/>
      <c r="BM175" s="6">
        <f t="shared" si="42"/>
        <v>390</v>
      </c>
      <c r="BN175" s="6">
        <v>1467</v>
      </c>
      <c r="BO175" s="6"/>
      <c r="BP175" s="35">
        <f t="shared" si="43"/>
        <v>393</v>
      </c>
      <c r="BQ175" s="6">
        <v>291</v>
      </c>
      <c r="BR175" s="6">
        <v>1560</v>
      </c>
      <c r="BS175" s="6">
        <f t="shared" si="44"/>
        <v>384</v>
      </c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</row>
    <row r="176" spans="1:113">
      <c r="A176" s="6">
        <v>172</v>
      </c>
      <c r="B176" s="6">
        <v>395</v>
      </c>
      <c r="C176" s="6"/>
      <c r="D176" s="6">
        <v>363</v>
      </c>
      <c r="E176" s="33" t="s">
        <v>37</v>
      </c>
      <c r="F176" s="148" t="s">
        <v>37</v>
      </c>
      <c r="G176" s="344" t="s">
        <v>37</v>
      </c>
      <c r="H176" s="344" t="s">
        <v>37</v>
      </c>
      <c r="I176" s="344" t="s">
        <v>37</v>
      </c>
      <c r="J176" s="344" t="s">
        <v>37</v>
      </c>
      <c r="K176" s="344" t="s">
        <v>37</v>
      </c>
      <c r="L176" s="344" t="s">
        <v>37</v>
      </c>
      <c r="M176" s="344" t="s">
        <v>37</v>
      </c>
      <c r="N176" s="344" t="s">
        <v>37</v>
      </c>
      <c r="O176" s="344" t="s">
        <v>37</v>
      </c>
      <c r="P176" s="344" t="s">
        <v>37</v>
      </c>
      <c r="Q176" s="344" t="s">
        <v>37</v>
      </c>
      <c r="R176" s="344" t="s">
        <v>37</v>
      </c>
      <c r="S176" s="344" t="s">
        <v>37</v>
      </c>
      <c r="T176" s="344" t="s">
        <v>37</v>
      </c>
      <c r="U176" s="35">
        <v>350</v>
      </c>
      <c r="V176" s="35">
        <v>444</v>
      </c>
      <c r="W176" s="35">
        <f t="shared" si="30"/>
        <v>399</v>
      </c>
      <c r="X176" s="35">
        <v>736</v>
      </c>
      <c r="Y176" s="35"/>
      <c r="Z176" s="35">
        <f t="shared" si="31"/>
        <v>386</v>
      </c>
      <c r="AA176" s="35">
        <v>176</v>
      </c>
      <c r="AB176" s="35">
        <v>941</v>
      </c>
      <c r="AC176" s="35">
        <f t="shared" si="32"/>
        <v>381</v>
      </c>
      <c r="AD176" s="6">
        <v>553</v>
      </c>
      <c r="AE176" s="35"/>
      <c r="AF176" s="35">
        <f t="shared" si="33"/>
        <v>377</v>
      </c>
      <c r="AG176" s="6"/>
      <c r="AH176" s="6"/>
      <c r="AI176" s="34"/>
      <c r="AJ176" s="35">
        <v>15</v>
      </c>
      <c r="AK176" s="35">
        <v>919</v>
      </c>
      <c r="AL176" s="35">
        <f t="shared" si="34"/>
        <v>381</v>
      </c>
      <c r="AM176" s="6">
        <v>404</v>
      </c>
      <c r="AN176" s="6"/>
      <c r="AO176" s="35">
        <f t="shared" si="35"/>
        <v>389</v>
      </c>
      <c r="AP176" s="6">
        <v>793</v>
      </c>
      <c r="AQ176" s="6"/>
      <c r="AR176" s="35">
        <f t="shared" si="36"/>
        <v>389</v>
      </c>
      <c r="AS176" s="35">
        <v>1180</v>
      </c>
      <c r="AT176" s="6"/>
      <c r="AU176" s="35">
        <f t="shared" si="37"/>
        <v>387</v>
      </c>
      <c r="AV176" s="6">
        <v>6</v>
      </c>
      <c r="AW176" s="6">
        <v>1560</v>
      </c>
      <c r="AX176" s="35">
        <f t="shared" si="38"/>
        <v>386</v>
      </c>
      <c r="AY176" s="6">
        <v>382</v>
      </c>
      <c r="AZ176" s="6"/>
      <c r="BA176" s="35">
        <f t="shared" si="39"/>
        <v>376</v>
      </c>
      <c r="BB176" s="6"/>
      <c r="BC176" s="35"/>
      <c r="BD176" s="6"/>
      <c r="BE176" s="6">
        <v>770</v>
      </c>
      <c r="BF176" s="6"/>
      <c r="BG176" s="6">
        <f t="shared" si="40"/>
        <v>388</v>
      </c>
      <c r="BH176" s="6">
        <v>1150</v>
      </c>
      <c r="BI176" s="6"/>
      <c r="BJ176" s="35">
        <f t="shared" si="41"/>
        <v>380</v>
      </c>
      <c r="BK176" s="6">
        <v>1538</v>
      </c>
      <c r="BL176" s="6"/>
      <c r="BM176" s="6">
        <f t="shared" si="42"/>
        <v>388</v>
      </c>
      <c r="BN176" s="6">
        <v>363</v>
      </c>
      <c r="BO176" s="6">
        <v>1560</v>
      </c>
      <c r="BP176" s="35">
        <f t="shared" si="43"/>
        <v>385</v>
      </c>
      <c r="BQ176" s="6">
        <v>746</v>
      </c>
      <c r="BR176" s="35"/>
      <c r="BS176" s="6">
        <f t="shared" si="44"/>
        <v>383</v>
      </c>
      <c r="BT176" s="6"/>
      <c r="BU176" s="6"/>
      <c r="BV176" s="6"/>
      <c r="BW176" s="6"/>
      <c r="BX176" s="35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</row>
    <row r="177" spans="1:113">
      <c r="A177" s="6">
        <v>173</v>
      </c>
      <c r="B177" s="6">
        <v>637</v>
      </c>
      <c r="C177" s="6"/>
      <c r="D177" s="6">
        <v>367</v>
      </c>
      <c r="E177" s="33" t="s">
        <v>307</v>
      </c>
      <c r="F177" s="33" t="s">
        <v>307</v>
      </c>
      <c r="G177" s="344" t="s">
        <v>307</v>
      </c>
      <c r="H177" s="344" t="s">
        <v>307</v>
      </c>
      <c r="I177" s="344" t="s">
        <v>307</v>
      </c>
      <c r="J177" s="344" t="s">
        <v>307</v>
      </c>
      <c r="K177" s="344" t="s">
        <v>307</v>
      </c>
      <c r="L177" s="344" t="s">
        <v>307</v>
      </c>
      <c r="M177" s="344" t="s">
        <v>307</v>
      </c>
      <c r="N177" s="344" t="s">
        <v>307</v>
      </c>
      <c r="O177" s="344" t="s">
        <v>307</v>
      </c>
      <c r="P177" s="344" t="s">
        <v>307</v>
      </c>
      <c r="Q177" s="344" t="s">
        <v>307</v>
      </c>
      <c r="R177" s="344" t="s">
        <v>307</v>
      </c>
      <c r="S177" s="344" t="s">
        <v>307</v>
      </c>
      <c r="T177" s="344" t="s">
        <v>307</v>
      </c>
      <c r="U177" s="6">
        <v>1050</v>
      </c>
      <c r="V177" s="6"/>
      <c r="W177" s="35">
        <f t="shared" si="30"/>
        <v>413</v>
      </c>
      <c r="X177" s="6">
        <v>1433</v>
      </c>
      <c r="Y177" s="6"/>
      <c r="Z177" s="35">
        <f t="shared" si="31"/>
        <v>383</v>
      </c>
      <c r="AA177" s="35">
        <v>0</v>
      </c>
      <c r="AB177" s="35">
        <v>1560</v>
      </c>
      <c r="AC177" s="35">
        <f t="shared" si="32"/>
        <v>127</v>
      </c>
      <c r="AD177" s="6">
        <v>354</v>
      </c>
      <c r="AE177" s="6"/>
      <c r="AF177" s="35">
        <f t="shared" si="33"/>
        <v>354</v>
      </c>
      <c r="AG177" s="6"/>
      <c r="AH177" s="6"/>
      <c r="AI177" s="34"/>
      <c r="AJ177" s="35">
        <v>747</v>
      </c>
      <c r="AK177" s="35"/>
      <c r="AL177" s="35">
        <f t="shared" si="34"/>
        <v>393</v>
      </c>
      <c r="AM177" s="6">
        <v>1128</v>
      </c>
      <c r="AN177" s="6"/>
      <c r="AO177" s="35">
        <f t="shared" si="35"/>
        <v>381</v>
      </c>
      <c r="AP177" s="6">
        <v>1510</v>
      </c>
      <c r="AQ177" s="6"/>
      <c r="AR177" s="35">
        <f t="shared" si="36"/>
        <v>382</v>
      </c>
      <c r="AS177" s="6">
        <v>71</v>
      </c>
      <c r="AT177" s="35">
        <v>1826</v>
      </c>
      <c r="AU177" s="35">
        <f t="shared" si="37"/>
        <v>387</v>
      </c>
      <c r="AV177" s="6">
        <v>463</v>
      </c>
      <c r="AW177" s="6"/>
      <c r="AX177" s="35">
        <f t="shared" si="38"/>
        <v>392</v>
      </c>
      <c r="AY177" s="6">
        <v>827</v>
      </c>
      <c r="AZ177" s="6"/>
      <c r="BA177" s="35">
        <f t="shared" si="39"/>
        <v>364</v>
      </c>
      <c r="BB177" s="6"/>
      <c r="BC177" s="6"/>
      <c r="BD177" s="6"/>
      <c r="BE177" s="6">
        <v>1208</v>
      </c>
      <c r="BF177" s="6"/>
      <c r="BG177" s="6">
        <f t="shared" si="40"/>
        <v>381</v>
      </c>
      <c r="BH177" s="6">
        <v>1576</v>
      </c>
      <c r="BI177" s="6"/>
      <c r="BJ177" s="35">
        <f t="shared" si="41"/>
        <v>368</v>
      </c>
      <c r="BK177" s="6">
        <v>148</v>
      </c>
      <c r="BL177" s="6">
        <v>1820</v>
      </c>
      <c r="BM177" s="6">
        <f t="shared" si="42"/>
        <v>392</v>
      </c>
      <c r="BN177" s="6">
        <v>540</v>
      </c>
      <c r="BO177" s="6"/>
      <c r="BP177" s="35">
        <f t="shared" si="43"/>
        <v>392</v>
      </c>
      <c r="BQ177" s="6">
        <v>926</v>
      </c>
      <c r="BR177" s="6"/>
      <c r="BS177" s="6">
        <f t="shared" si="44"/>
        <v>386</v>
      </c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</row>
    <row r="178" spans="1:113">
      <c r="A178" s="6">
        <v>174</v>
      </c>
      <c r="B178" s="6">
        <v>0</v>
      </c>
      <c r="C178" s="6">
        <v>1695</v>
      </c>
      <c r="D178" s="6">
        <v>168</v>
      </c>
      <c r="E178" s="33" t="s">
        <v>37</v>
      </c>
      <c r="F178" s="148" t="s">
        <v>37</v>
      </c>
      <c r="G178" s="344" t="s">
        <v>37</v>
      </c>
      <c r="H178" s="344" t="s">
        <v>37</v>
      </c>
      <c r="I178" s="344" t="s">
        <v>37</v>
      </c>
      <c r="J178" s="344" t="s">
        <v>37</v>
      </c>
      <c r="K178" s="344" t="s">
        <v>37</v>
      </c>
      <c r="L178" s="344" t="s">
        <v>37</v>
      </c>
      <c r="M178" s="344" t="s">
        <v>37</v>
      </c>
      <c r="N178" s="344" t="s">
        <v>37</v>
      </c>
      <c r="O178" s="344" t="s">
        <v>37</v>
      </c>
      <c r="P178" s="344" t="s">
        <v>37</v>
      </c>
      <c r="Q178" s="344" t="s">
        <v>37</v>
      </c>
      <c r="R178" s="344" t="s">
        <v>37</v>
      </c>
      <c r="S178" s="344" t="s">
        <v>37</v>
      </c>
      <c r="T178" s="344" t="s">
        <v>37</v>
      </c>
      <c r="U178" s="6">
        <v>365</v>
      </c>
      <c r="V178" s="6"/>
      <c r="W178" s="35">
        <f t="shared" si="30"/>
        <v>365</v>
      </c>
      <c r="X178" s="6">
        <v>749</v>
      </c>
      <c r="Y178" s="6"/>
      <c r="Z178" s="35">
        <f t="shared" si="31"/>
        <v>384</v>
      </c>
      <c r="AA178" s="35">
        <v>200</v>
      </c>
      <c r="AB178" s="35">
        <v>918</v>
      </c>
      <c r="AC178" s="35">
        <f t="shared" si="32"/>
        <v>369</v>
      </c>
      <c r="AD178" s="6">
        <v>575</v>
      </c>
      <c r="AE178" s="6"/>
      <c r="AF178" s="35">
        <f t="shared" si="33"/>
        <v>375</v>
      </c>
      <c r="AG178" s="6"/>
      <c r="AH178" s="6"/>
      <c r="AI178" s="34"/>
      <c r="AJ178" s="35">
        <v>965</v>
      </c>
      <c r="AK178" s="35"/>
      <c r="AL178" s="35">
        <f t="shared" si="34"/>
        <v>390</v>
      </c>
      <c r="AM178" s="35">
        <v>1346</v>
      </c>
      <c r="AN178" s="6"/>
      <c r="AO178" s="35">
        <f t="shared" si="35"/>
        <v>381</v>
      </c>
      <c r="AP178" s="6">
        <v>157</v>
      </c>
      <c r="AQ178" s="6">
        <v>1561</v>
      </c>
      <c r="AR178" s="35">
        <f t="shared" si="36"/>
        <v>372</v>
      </c>
      <c r="AS178" s="35">
        <v>539</v>
      </c>
      <c r="AT178" s="35"/>
      <c r="AU178" s="35">
        <f t="shared" si="37"/>
        <v>382</v>
      </c>
      <c r="AV178" s="6">
        <v>921</v>
      </c>
      <c r="AW178" s="6"/>
      <c r="AX178" s="35">
        <f t="shared" si="38"/>
        <v>382</v>
      </c>
      <c r="AY178" s="6">
        <v>1297</v>
      </c>
      <c r="AZ178" s="6"/>
      <c r="BA178" s="35">
        <f t="shared" si="39"/>
        <v>376</v>
      </c>
      <c r="BB178" s="6"/>
      <c r="BC178" s="6"/>
      <c r="BD178" s="6"/>
      <c r="BE178" s="6">
        <v>126</v>
      </c>
      <c r="BF178" s="6">
        <v>1560</v>
      </c>
      <c r="BG178" s="6">
        <f t="shared" si="40"/>
        <v>389</v>
      </c>
      <c r="BH178" s="6">
        <v>507</v>
      </c>
      <c r="BI178" s="6"/>
      <c r="BJ178" s="35">
        <f t="shared" si="41"/>
        <v>381</v>
      </c>
      <c r="BK178" s="35">
        <v>893</v>
      </c>
      <c r="BL178" s="6"/>
      <c r="BM178" s="6">
        <f t="shared" si="42"/>
        <v>386</v>
      </c>
      <c r="BN178" s="6">
        <v>1277</v>
      </c>
      <c r="BO178" s="6"/>
      <c r="BP178" s="35">
        <f t="shared" si="43"/>
        <v>384</v>
      </c>
      <c r="BQ178" s="6">
        <v>103</v>
      </c>
      <c r="BR178" s="6">
        <v>1560</v>
      </c>
      <c r="BS178" s="6">
        <f t="shared" si="44"/>
        <v>386</v>
      </c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</row>
    <row r="179" spans="1:113" ht="14.25" customHeight="1">
      <c r="A179" s="6">
        <v>175</v>
      </c>
      <c r="B179" s="6">
        <v>680</v>
      </c>
      <c r="C179" s="6"/>
      <c r="D179" s="6">
        <v>359</v>
      </c>
      <c r="E179" s="33" t="s">
        <v>37</v>
      </c>
      <c r="F179" s="33" t="s">
        <v>37</v>
      </c>
      <c r="G179" s="344" t="s">
        <v>37</v>
      </c>
      <c r="H179" s="344" t="s">
        <v>37</v>
      </c>
      <c r="I179" s="344" t="s">
        <v>37</v>
      </c>
      <c r="J179" s="344" t="s">
        <v>37</v>
      </c>
      <c r="K179" s="344" t="s">
        <v>37</v>
      </c>
      <c r="L179" s="344" t="s">
        <v>37</v>
      </c>
      <c r="M179" s="344" t="s">
        <v>37</v>
      </c>
      <c r="N179" s="344" t="s">
        <v>37</v>
      </c>
      <c r="O179" s="344" t="s">
        <v>37</v>
      </c>
      <c r="P179" s="344" t="s">
        <v>37</v>
      </c>
      <c r="Q179" s="344" t="s">
        <v>37</v>
      </c>
      <c r="R179" s="344" t="s">
        <v>37</v>
      </c>
      <c r="S179" s="344" t="s">
        <v>37</v>
      </c>
      <c r="T179" s="344" t="s">
        <v>37</v>
      </c>
      <c r="U179" s="6">
        <v>1088</v>
      </c>
      <c r="V179" s="6"/>
      <c r="W179" s="35">
        <f t="shared" si="30"/>
        <v>408</v>
      </c>
      <c r="X179" s="6">
        <v>1467</v>
      </c>
      <c r="Y179" s="6"/>
      <c r="Z179" s="35">
        <f t="shared" si="31"/>
        <v>379</v>
      </c>
      <c r="AA179" s="35">
        <v>288</v>
      </c>
      <c r="AB179" s="35">
        <v>1560</v>
      </c>
      <c r="AC179" s="35">
        <f t="shared" si="32"/>
        <v>381</v>
      </c>
      <c r="AD179" s="6">
        <v>657</v>
      </c>
      <c r="AE179" s="6"/>
      <c r="AF179" s="35">
        <f t="shared" si="33"/>
        <v>369</v>
      </c>
      <c r="AG179" s="6"/>
      <c r="AH179" s="6"/>
      <c r="AI179" s="34"/>
      <c r="AJ179" s="35">
        <v>1029</v>
      </c>
      <c r="AK179" s="35"/>
      <c r="AL179" s="35">
        <f t="shared" si="34"/>
        <v>372</v>
      </c>
      <c r="AM179" s="6">
        <v>1410</v>
      </c>
      <c r="AN179" s="6"/>
      <c r="AO179" s="35">
        <f t="shared" si="35"/>
        <v>381</v>
      </c>
      <c r="AP179" s="6">
        <v>235</v>
      </c>
      <c r="AQ179" s="6">
        <v>1561</v>
      </c>
      <c r="AR179" s="35">
        <f t="shared" si="36"/>
        <v>386</v>
      </c>
      <c r="AS179" s="35">
        <v>619</v>
      </c>
      <c r="AT179" s="35"/>
      <c r="AU179" s="35">
        <f t="shared" si="37"/>
        <v>384</v>
      </c>
      <c r="AV179" s="35">
        <v>1005</v>
      </c>
      <c r="AW179" s="35"/>
      <c r="AX179" s="35">
        <f t="shared" si="38"/>
        <v>386</v>
      </c>
      <c r="AY179" s="6">
        <v>1378</v>
      </c>
      <c r="AZ179" s="6"/>
      <c r="BA179" s="35">
        <f t="shared" si="39"/>
        <v>373</v>
      </c>
      <c r="BB179" s="6"/>
      <c r="BC179" s="6"/>
      <c r="BD179" s="6"/>
      <c r="BE179" s="6">
        <v>209</v>
      </c>
      <c r="BF179" s="6">
        <v>1560</v>
      </c>
      <c r="BG179" s="6">
        <f t="shared" si="40"/>
        <v>391</v>
      </c>
      <c r="BH179" s="6">
        <v>587</v>
      </c>
      <c r="BI179" s="6"/>
      <c r="BJ179" s="35">
        <f t="shared" si="41"/>
        <v>378</v>
      </c>
      <c r="BK179" s="6">
        <v>975</v>
      </c>
      <c r="BL179" s="6"/>
      <c r="BM179" s="6">
        <f t="shared" si="42"/>
        <v>388</v>
      </c>
      <c r="BN179" s="6">
        <v>1360</v>
      </c>
      <c r="BO179" s="6"/>
      <c r="BP179" s="35">
        <f t="shared" si="43"/>
        <v>385</v>
      </c>
      <c r="BQ179" s="6">
        <v>0</v>
      </c>
      <c r="BR179" s="6">
        <v>1618</v>
      </c>
      <c r="BS179" s="6">
        <f t="shared" si="44"/>
        <v>258</v>
      </c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</row>
    <row r="180" spans="1:113">
      <c r="A180" s="6">
        <v>176</v>
      </c>
      <c r="B180" s="6">
        <v>282</v>
      </c>
      <c r="C180" s="6">
        <v>1560</v>
      </c>
      <c r="D180" s="6">
        <v>359</v>
      </c>
      <c r="E180" s="33" t="s">
        <v>37</v>
      </c>
      <c r="F180" s="33" t="s">
        <v>37</v>
      </c>
      <c r="G180" s="344" t="s">
        <v>37</v>
      </c>
      <c r="H180" s="344" t="s">
        <v>37</v>
      </c>
      <c r="I180" s="344" t="s">
        <v>37</v>
      </c>
      <c r="J180" s="344" t="s">
        <v>37</v>
      </c>
      <c r="K180" s="344" t="s">
        <v>37</v>
      </c>
      <c r="L180" s="344" t="s">
        <v>37</v>
      </c>
      <c r="M180" s="344" t="s">
        <v>37</v>
      </c>
      <c r="N180" s="344" t="s">
        <v>37</v>
      </c>
      <c r="O180" s="344" t="s">
        <v>37</v>
      </c>
      <c r="P180" s="344" t="s">
        <v>37</v>
      </c>
      <c r="Q180" s="344" t="s">
        <v>37</v>
      </c>
      <c r="R180" s="344" t="s">
        <v>37</v>
      </c>
      <c r="S180" s="344" t="s">
        <v>37</v>
      </c>
      <c r="T180" s="344" t="s">
        <v>37</v>
      </c>
      <c r="U180" s="35">
        <v>690</v>
      </c>
      <c r="V180" s="35"/>
      <c r="W180" s="35">
        <f t="shared" si="30"/>
        <v>408</v>
      </c>
      <c r="X180" s="35">
        <v>1077</v>
      </c>
      <c r="Y180" s="35"/>
      <c r="Z180" s="35">
        <f t="shared" si="31"/>
        <v>387</v>
      </c>
      <c r="AA180" s="35">
        <v>1464</v>
      </c>
      <c r="AB180" s="35"/>
      <c r="AC180" s="35">
        <f t="shared" si="32"/>
        <v>387</v>
      </c>
      <c r="AD180" s="35">
        <v>265</v>
      </c>
      <c r="AE180" s="35">
        <v>1560</v>
      </c>
      <c r="AF180" s="35">
        <f t="shared" si="33"/>
        <v>361</v>
      </c>
      <c r="AG180" s="35"/>
      <c r="AH180" s="35"/>
      <c r="AI180" s="34"/>
      <c r="AJ180" s="35">
        <v>646</v>
      </c>
      <c r="AK180" s="35"/>
      <c r="AL180" s="35">
        <f t="shared" si="34"/>
        <v>381</v>
      </c>
      <c r="AM180" s="35">
        <v>33</v>
      </c>
      <c r="AN180" s="6">
        <v>1000</v>
      </c>
      <c r="AO180" s="35">
        <f t="shared" si="35"/>
        <v>387</v>
      </c>
      <c r="AP180" s="6">
        <v>419</v>
      </c>
      <c r="AQ180" s="6"/>
      <c r="AR180" s="35">
        <f t="shared" si="36"/>
        <v>386</v>
      </c>
      <c r="AS180" s="35">
        <v>806</v>
      </c>
      <c r="AT180" s="6"/>
      <c r="AU180" s="35">
        <f t="shared" si="37"/>
        <v>387</v>
      </c>
      <c r="AV180" s="6">
        <v>1192</v>
      </c>
      <c r="AW180" s="6"/>
      <c r="AX180" s="35">
        <f t="shared" si="38"/>
        <v>386</v>
      </c>
      <c r="AY180" s="35">
        <v>19</v>
      </c>
      <c r="AZ180" s="6">
        <v>1547</v>
      </c>
      <c r="BA180" s="35">
        <f t="shared" si="39"/>
        <v>374</v>
      </c>
      <c r="BB180" s="6"/>
      <c r="BC180" s="35"/>
      <c r="BD180" s="6"/>
      <c r="BE180" s="6">
        <v>391</v>
      </c>
      <c r="BF180" s="6"/>
      <c r="BG180" s="6">
        <f t="shared" si="40"/>
        <v>372</v>
      </c>
      <c r="BH180" s="6">
        <v>763</v>
      </c>
      <c r="BI180" s="6"/>
      <c r="BJ180" s="35">
        <f t="shared" si="41"/>
        <v>372</v>
      </c>
      <c r="BK180" s="6">
        <v>1137</v>
      </c>
      <c r="BL180" s="6"/>
      <c r="BM180" s="6">
        <f t="shared" si="42"/>
        <v>374</v>
      </c>
      <c r="BN180" s="6">
        <v>1512</v>
      </c>
      <c r="BO180" s="6"/>
      <c r="BP180" s="35">
        <f t="shared" si="43"/>
        <v>375</v>
      </c>
      <c r="BQ180" s="6">
        <v>330</v>
      </c>
      <c r="BR180" s="6">
        <v>1560</v>
      </c>
      <c r="BS180" s="6">
        <f t="shared" si="44"/>
        <v>378</v>
      </c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35"/>
      <c r="CY180" s="6"/>
      <c r="CZ180" s="6"/>
      <c r="DA180" s="35"/>
      <c r="DB180" s="6"/>
      <c r="DC180" s="6"/>
      <c r="DD180" s="35"/>
      <c r="DE180" s="6"/>
      <c r="DF180" s="6"/>
      <c r="DG180" s="35"/>
      <c r="DH180" s="6"/>
      <c r="DI180" s="6"/>
    </row>
    <row r="181" spans="1:113">
      <c r="A181" s="6">
        <v>177</v>
      </c>
      <c r="B181" s="6">
        <v>673</v>
      </c>
      <c r="C181" s="6"/>
      <c r="D181" s="6">
        <v>368</v>
      </c>
      <c r="E181" s="33" t="s">
        <v>307</v>
      </c>
      <c r="F181" s="33" t="s">
        <v>307</v>
      </c>
      <c r="G181" s="344" t="s">
        <v>307</v>
      </c>
      <c r="H181" s="344" t="s">
        <v>307</v>
      </c>
      <c r="I181" s="344" t="s">
        <v>307</v>
      </c>
      <c r="J181" s="344" t="s">
        <v>307</v>
      </c>
      <c r="K181" s="344" t="s">
        <v>307</v>
      </c>
      <c r="L181" s="344" t="s">
        <v>307</v>
      </c>
      <c r="M181" s="344" t="s">
        <v>307</v>
      </c>
      <c r="N181" s="344" t="s">
        <v>307</v>
      </c>
      <c r="O181" s="344" t="s">
        <v>307</v>
      </c>
      <c r="P181" s="344" t="s">
        <v>307</v>
      </c>
      <c r="Q181" s="344" t="s">
        <v>307</v>
      </c>
      <c r="R181" s="344" t="s">
        <v>307</v>
      </c>
      <c r="S181" s="344" t="s">
        <v>307</v>
      </c>
      <c r="T181" s="344" t="s">
        <v>307</v>
      </c>
      <c r="U181" s="35">
        <v>1097</v>
      </c>
      <c r="V181" s="35"/>
      <c r="W181" s="35">
        <f t="shared" si="30"/>
        <v>424</v>
      </c>
      <c r="X181" s="35">
        <v>1497</v>
      </c>
      <c r="Y181" s="35"/>
      <c r="Z181" s="35">
        <f t="shared" si="31"/>
        <v>400</v>
      </c>
      <c r="AA181" s="35">
        <v>0</v>
      </c>
      <c r="AB181" s="35">
        <v>1560</v>
      </c>
      <c r="AC181" s="35">
        <f t="shared" si="32"/>
        <v>63</v>
      </c>
      <c r="AD181" s="6">
        <v>382</v>
      </c>
      <c r="AE181" s="6"/>
      <c r="AF181" s="35">
        <f t="shared" si="33"/>
        <v>382</v>
      </c>
      <c r="AG181" s="6"/>
      <c r="AH181" s="6"/>
      <c r="AI181" s="34"/>
      <c r="AJ181" s="35">
        <v>782</v>
      </c>
      <c r="AK181" s="35"/>
      <c r="AL181" s="35">
        <f t="shared" si="34"/>
        <v>400</v>
      </c>
      <c r="AM181" s="6">
        <v>1179</v>
      </c>
      <c r="AN181" s="6"/>
      <c r="AO181" s="35">
        <f t="shared" si="35"/>
        <v>397</v>
      </c>
      <c r="AP181" s="6">
        <v>1557</v>
      </c>
      <c r="AQ181" s="6"/>
      <c r="AR181" s="35">
        <f t="shared" si="36"/>
        <v>378</v>
      </c>
      <c r="AS181" s="6">
        <v>375</v>
      </c>
      <c r="AT181" s="35">
        <v>1560</v>
      </c>
      <c r="AU181" s="35">
        <f t="shared" si="37"/>
        <v>378</v>
      </c>
      <c r="AV181" s="6">
        <v>761</v>
      </c>
      <c r="AW181" s="6"/>
      <c r="AX181" s="35">
        <f t="shared" si="38"/>
        <v>386</v>
      </c>
      <c r="AY181" s="35">
        <v>1123</v>
      </c>
      <c r="AZ181" s="6"/>
      <c r="BA181" s="35">
        <f t="shared" si="39"/>
        <v>362</v>
      </c>
      <c r="BB181" s="6"/>
      <c r="BC181" s="6"/>
      <c r="BD181" s="6"/>
      <c r="BE181" s="6">
        <v>32</v>
      </c>
      <c r="BF181" s="6">
        <v>1472</v>
      </c>
      <c r="BG181" s="6">
        <f t="shared" si="40"/>
        <v>381</v>
      </c>
      <c r="BH181" s="6">
        <v>407</v>
      </c>
      <c r="BI181" s="6"/>
      <c r="BJ181" s="35">
        <f t="shared" si="41"/>
        <v>375</v>
      </c>
      <c r="BK181" s="6">
        <v>775</v>
      </c>
      <c r="BL181" s="6"/>
      <c r="BM181" s="6">
        <f t="shared" si="42"/>
        <v>368</v>
      </c>
      <c r="BN181" s="6">
        <v>1160</v>
      </c>
      <c r="BO181" s="6"/>
      <c r="BP181" s="35">
        <f t="shared" si="43"/>
        <v>385</v>
      </c>
      <c r="BQ181" s="6">
        <v>1536</v>
      </c>
      <c r="BR181" s="6"/>
      <c r="BS181" s="6">
        <f t="shared" si="44"/>
        <v>376</v>
      </c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</row>
    <row r="182" spans="1:113">
      <c r="A182" s="6">
        <v>178</v>
      </c>
      <c r="B182" s="6">
        <v>682</v>
      </c>
      <c r="C182" s="6"/>
      <c r="D182" s="6">
        <v>360</v>
      </c>
      <c r="E182" s="33" t="s">
        <v>37</v>
      </c>
      <c r="F182" s="33" t="s">
        <v>37</v>
      </c>
      <c r="G182" s="344" t="s">
        <v>37</v>
      </c>
      <c r="H182" s="344" t="s">
        <v>37</v>
      </c>
      <c r="I182" s="344" t="s">
        <v>37</v>
      </c>
      <c r="J182" s="344" t="s">
        <v>37</v>
      </c>
      <c r="K182" s="344" t="s">
        <v>37</v>
      </c>
      <c r="L182" s="344" t="s">
        <v>37</v>
      </c>
      <c r="M182" s="344" t="s">
        <v>37</v>
      </c>
      <c r="N182" s="344" t="s">
        <v>37</v>
      </c>
      <c r="O182" s="344" t="s">
        <v>37</v>
      </c>
      <c r="P182" s="344" t="s">
        <v>37</v>
      </c>
      <c r="Q182" s="344" t="s">
        <v>37</v>
      </c>
      <c r="R182" s="344" t="s">
        <v>37</v>
      </c>
      <c r="S182" s="344" t="s">
        <v>37</v>
      </c>
      <c r="T182" s="344" t="s">
        <v>37</v>
      </c>
      <c r="U182" s="6">
        <v>1088</v>
      </c>
      <c r="V182" s="6"/>
      <c r="W182" s="35">
        <f t="shared" si="30"/>
        <v>406</v>
      </c>
      <c r="X182" s="6">
        <v>1474</v>
      </c>
      <c r="Y182" s="6"/>
      <c r="Z182" s="35">
        <f t="shared" si="31"/>
        <v>386</v>
      </c>
      <c r="AA182" s="35">
        <v>298</v>
      </c>
      <c r="AB182" s="35">
        <v>1560</v>
      </c>
      <c r="AC182" s="35">
        <f t="shared" si="32"/>
        <v>384</v>
      </c>
      <c r="AD182" s="6">
        <v>669</v>
      </c>
      <c r="AE182" s="6"/>
      <c r="AF182" s="35">
        <f t="shared" si="33"/>
        <v>371</v>
      </c>
      <c r="AG182" s="6"/>
      <c r="AH182" s="6"/>
      <c r="AI182" s="34"/>
      <c r="AJ182" s="35">
        <v>1055</v>
      </c>
      <c r="AK182" s="35"/>
      <c r="AL182" s="35">
        <f t="shared" si="34"/>
        <v>386</v>
      </c>
      <c r="AM182" s="6">
        <v>1440</v>
      </c>
      <c r="AN182" s="6"/>
      <c r="AO182" s="35">
        <f t="shared" si="35"/>
        <v>385</v>
      </c>
      <c r="AP182" s="6">
        <v>265</v>
      </c>
      <c r="AQ182" s="6">
        <v>1561</v>
      </c>
      <c r="AR182" s="35">
        <f t="shared" si="36"/>
        <v>386</v>
      </c>
      <c r="AS182" s="35">
        <v>2</v>
      </c>
      <c r="AT182" s="35">
        <v>638</v>
      </c>
      <c r="AU182" s="35">
        <f t="shared" si="37"/>
        <v>375</v>
      </c>
      <c r="AV182" s="6">
        <v>384</v>
      </c>
      <c r="AW182" s="6"/>
      <c r="AX182" s="35">
        <f t="shared" si="38"/>
        <v>382</v>
      </c>
      <c r="AY182" s="35">
        <v>757</v>
      </c>
      <c r="AZ182" s="6"/>
      <c r="BA182" s="35">
        <f t="shared" si="39"/>
        <v>373</v>
      </c>
      <c r="BB182" s="6"/>
      <c r="BC182" s="6"/>
      <c r="BD182" s="6"/>
      <c r="BE182" s="6">
        <v>1146</v>
      </c>
      <c r="BF182" s="6"/>
      <c r="BG182" s="6">
        <f t="shared" si="40"/>
        <v>389</v>
      </c>
      <c r="BH182" s="6">
        <v>1531</v>
      </c>
      <c r="BI182" s="6"/>
      <c r="BJ182" s="35">
        <f t="shared" si="41"/>
        <v>385</v>
      </c>
      <c r="BK182" s="6">
        <v>360</v>
      </c>
      <c r="BL182" s="6">
        <v>1560</v>
      </c>
      <c r="BM182" s="6">
        <f t="shared" si="42"/>
        <v>389</v>
      </c>
      <c r="BN182" s="6">
        <v>741</v>
      </c>
      <c r="BO182" s="6"/>
      <c r="BP182" s="35">
        <f t="shared" si="43"/>
        <v>381</v>
      </c>
      <c r="BQ182" s="6">
        <v>0</v>
      </c>
      <c r="BR182" s="6">
        <v>989</v>
      </c>
      <c r="BS182" s="6">
        <f t="shared" si="44"/>
        <v>248</v>
      </c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35"/>
      <c r="CY182" s="6"/>
      <c r="CZ182" s="6"/>
      <c r="DA182" s="35"/>
      <c r="DB182" s="6"/>
      <c r="DC182" s="6"/>
      <c r="DD182" s="35"/>
      <c r="DE182" s="6"/>
      <c r="DF182" s="6"/>
      <c r="DG182" s="35"/>
      <c r="DH182" s="6"/>
      <c r="DI182" s="6"/>
    </row>
    <row r="183" spans="1:113">
      <c r="A183" s="6">
        <v>179</v>
      </c>
      <c r="B183" s="6">
        <v>1037</v>
      </c>
      <c r="C183" s="6"/>
      <c r="D183" s="6">
        <v>360</v>
      </c>
      <c r="E183" s="33" t="s">
        <v>307</v>
      </c>
      <c r="F183" s="33" t="s">
        <v>307</v>
      </c>
      <c r="G183" s="344" t="s">
        <v>307</v>
      </c>
      <c r="H183" s="344" t="s">
        <v>307</v>
      </c>
      <c r="I183" s="344" t="s">
        <v>307</v>
      </c>
      <c r="J183" s="344" t="s">
        <v>307</v>
      </c>
      <c r="K183" s="344" t="s">
        <v>307</v>
      </c>
      <c r="L183" s="344" t="s">
        <v>307</v>
      </c>
      <c r="M183" s="344" t="s">
        <v>307</v>
      </c>
      <c r="N183" s="344" t="s">
        <v>307</v>
      </c>
      <c r="O183" s="344" t="s">
        <v>307</v>
      </c>
      <c r="P183" s="344" t="s">
        <v>307</v>
      </c>
      <c r="Q183" s="344" t="s">
        <v>307</v>
      </c>
      <c r="R183" s="344" t="s">
        <v>307</v>
      </c>
      <c r="S183" s="344" t="s">
        <v>307</v>
      </c>
      <c r="T183" s="344" t="s">
        <v>307</v>
      </c>
      <c r="U183" s="6">
        <v>0</v>
      </c>
      <c r="V183" s="6">
        <v>1148</v>
      </c>
      <c r="W183" s="35">
        <f t="shared" si="30"/>
        <v>111</v>
      </c>
      <c r="X183" s="6">
        <v>0</v>
      </c>
      <c r="Y183" s="6"/>
      <c r="Z183" s="35">
        <f t="shared" si="31"/>
        <v>0</v>
      </c>
      <c r="AA183" s="35">
        <v>0</v>
      </c>
      <c r="AB183" s="35"/>
      <c r="AC183" s="35">
        <f t="shared" si="32"/>
        <v>0</v>
      </c>
      <c r="AD183" s="6">
        <v>365</v>
      </c>
      <c r="AE183" s="6"/>
      <c r="AF183" s="35">
        <f t="shared" si="33"/>
        <v>365</v>
      </c>
      <c r="AG183" s="6"/>
      <c r="AH183" s="6"/>
      <c r="AI183" s="34"/>
      <c r="AJ183" s="35">
        <v>758</v>
      </c>
      <c r="AK183" s="35"/>
      <c r="AL183" s="35">
        <f t="shared" si="34"/>
        <v>393</v>
      </c>
      <c r="AM183" s="6">
        <v>1150</v>
      </c>
      <c r="AN183" s="6"/>
      <c r="AO183" s="35">
        <f t="shared" si="35"/>
        <v>392</v>
      </c>
      <c r="AP183" s="6">
        <v>1540</v>
      </c>
      <c r="AQ183" s="6"/>
      <c r="AR183" s="35">
        <f t="shared" si="36"/>
        <v>390</v>
      </c>
      <c r="AS183" s="35">
        <v>252</v>
      </c>
      <c r="AT183" s="6">
        <v>1665</v>
      </c>
      <c r="AU183" s="35">
        <f t="shared" si="37"/>
        <v>377</v>
      </c>
      <c r="AV183" s="35">
        <v>641</v>
      </c>
      <c r="AW183" s="6"/>
      <c r="AX183" s="35">
        <f t="shared" si="38"/>
        <v>389</v>
      </c>
      <c r="AY183" s="35">
        <v>1020</v>
      </c>
      <c r="AZ183" s="6"/>
      <c r="BA183" s="35">
        <f t="shared" si="39"/>
        <v>379</v>
      </c>
      <c r="BB183" s="6"/>
      <c r="BC183" s="6"/>
      <c r="BD183" s="6"/>
      <c r="BE183" s="6">
        <v>30</v>
      </c>
      <c r="BF183" s="6">
        <v>1380</v>
      </c>
      <c r="BG183" s="6">
        <f t="shared" si="40"/>
        <v>390</v>
      </c>
      <c r="BH183" s="6">
        <v>414</v>
      </c>
      <c r="BI183" s="6"/>
      <c r="BJ183" s="35">
        <f t="shared" si="41"/>
        <v>384</v>
      </c>
      <c r="BK183" s="6">
        <v>807</v>
      </c>
      <c r="BL183" s="6"/>
      <c r="BM183" s="6">
        <f t="shared" si="42"/>
        <v>393</v>
      </c>
      <c r="BN183" s="6">
        <v>1186</v>
      </c>
      <c r="BO183" s="6"/>
      <c r="BP183" s="35">
        <f t="shared" si="43"/>
        <v>379</v>
      </c>
      <c r="BQ183" s="6">
        <v>1577</v>
      </c>
      <c r="BR183" s="6"/>
      <c r="BS183" s="6">
        <f t="shared" si="44"/>
        <v>391</v>
      </c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</row>
    <row r="184" spans="1:113">
      <c r="A184" s="6">
        <v>180</v>
      </c>
      <c r="B184" s="6">
        <v>510</v>
      </c>
      <c r="C184" s="6"/>
      <c r="D184" s="6">
        <v>352</v>
      </c>
      <c r="E184" s="33" t="s">
        <v>37</v>
      </c>
      <c r="F184" s="33" t="s">
        <v>37</v>
      </c>
      <c r="G184" s="344" t="s">
        <v>37</v>
      </c>
      <c r="H184" s="344" t="s">
        <v>37</v>
      </c>
      <c r="I184" s="344" t="s">
        <v>37</v>
      </c>
      <c r="J184" s="344" t="s">
        <v>37</v>
      </c>
      <c r="K184" s="344" t="s">
        <v>37</v>
      </c>
      <c r="L184" s="344" t="s">
        <v>37</v>
      </c>
      <c r="M184" s="344" t="s">
        <v>37</v>
      </c>
      <c r="N184" s="344" t="s">
        <v>37</v>
      </c>
      <c r="O184" s="344" t="s">
        <v>37</v>
      </c>
      <c r="P184" s="344" t="s">
        <v>37</v>
      </c>
      <c r="Q184" s="344" t="s">
        <v>37</v>
      </c>
      <c r="R184" s="344" t="s">
        <v>37</v>
      </c>
      <c r="S184" s="344" t="s">
        <v>37</v>
      </c>
      <c r="T184" s="344" t="s">
        <v>37</v>
      </c>
      <c r="U184" s="6">
        <v>915</v>
      </c>
      <c r="V184" s="6"/>
      <c r="W184" s="35">
        <f t="shared" si="30"/>
        <v>405</v>
      </c>
      <c r="X184" s="6">
        <v>1290</v>
      </c>
      <c r="Y184" s="6"/>
      <c r="Z184" s="35">
        <f t="shared" si="31"/>
        <v>375</v>
      </c>
      <c r="AA184" s="35">
        <v>110</v>
      </c>
      <c r="AB184" s="35">
        <v>1560</v>
      </c>
      <c r="AC184" s="35">
        <f t="shared" si="32"/>
        <v>380</v>
      </c>
      <c r="AD184" s="6">
        <v>469</v>
      </c>
      <c r="AE184" s="6"/>
      <c r="AF184" s="35">
        <f t="shared" si="33"/>
        <v>359</v>
      </c>
      <c r="AG184" s="6"/>
      <c r="AH184" s="6"/>
      <c r="AI184" s="34"/>
      <c r="AJ184" s="35">
        <v>845</v>
      </c>
      <c r="AK184" s="35"/>
      <c r="AL184" s="35">
        <f t="shared" si="34"/>
        <v>376</v>
      </c>
      <c r="AM184" s="6">
        <v>1224</v>
      </c>
      <c r="AN184" s="6"/>
      <c r="AO184" s="35">
        <f t="shared" si="35"/>
        <v>379</v>
      </c>
      <c r="AP184" s="6">
        <v>145</v>
      </c>
      <c r="AQ184" s="6">
        <v>1445</v>
      </c>
      <c r="AR184" s="35">
        <f t="shared" si="36"/>
        <v>366</v>
      </c>
      <c r="AS184" s="6">
        <v>515</v>
      </c>
      <c r="AT184" s="35"/>
      <c r="AU184" s="35">
        <f t="shared" si="37"/>
        <v>370</v>
      </c>
      <c r="AV184" s="6">
        <v>894</v>
      </c>
      <c r="AW184" s="6"/>
      <c r="AX184" s="35">
        <f t="shared" si="38"/>
        <v>379</v>
      </c>
      <c r="AY184" s="35">
        <v>1266</v>
      </c>
      <c r="AZ184" s="6"/>
      <c r="BA184" s="35">
        <f t="shared" si="39"/>
        <v>372</v>
      </c>
      <c r="BB184" s="6"/>
      <c r="BC184" s="6"/>
      <c r="BD184" s="6"/>
      <c r="BE184" s="6">
        <v>193</v>
      </c>
      <c r="BF184" s="6">
        <v>1444</v>
      </c>
      <c r="BG184" s="6">
        <f t="shared" si="40"/>
        <v>371</v>
      </c>
      <c r="BH184" s="6">
        <v>576</v>
      </c>
      <c r="BI184" s="6"/>
      <c r="BJ184" s="35">
        <f t="shared" si="41"/>
        <v>383</v>
      </c>
      <c r="BK184" s="35">
        <v>934</v>
      </c>
      <c r="BL184" s="6"/>
      <c r="BM184" s="6">
        <f t="shared" si="42"/>
        <v>358</v>
      </c>
      <c r="BN184" s="6">
        <v>1291</v>
      </c>
      <c r="BO184" s="6"/>
      <c r="BP184" s="35">
        <f t="shared" si="43"/>
        <v>357</v>
      </c>
      <c r="BQ184" s="6">
        <v>113</v>
      </c>
      <c r="BR184" s="6">
        <v>1560</v>
      </c>
      <c r="BS184" s="6">
        <f t="shared" si="44"/>
        <v>382</v>
      </c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</row>
    <row r="185" spans="1:113">
      <c r="A185" s="6">
        <v>181</v>
      </c>
      <c r="B185" s="6">
        <v>321</v>
      </c>
      <c r="C185" s="6">
        <v>1202</v>
      </c>
      <c r="D185" s="6">
        <v>376</v>
      </c>
      <c r="E185" s="33" t="s">
        <v>132</v>
      </c>
      <c r="F185" s="33" t="s">
        <v>132</v>
      </c>
      <c r="G185" s="344" t="s">
        <v>132</v>
      </c>
      <c r="H185" s="344" t="s">
        <v>132</v>
      </c>
      <c r="I185" s="346" t="s">
        <v>132</v>
      </c>
      <c r="J185" s="344" t="s">
        <v>132</v>
      </c>
      <c r="K185" s="344" t="s">
        <v>132</v>
      </c>
      <c r="L185" s="344" t="s">
        <v>132</v>
      </c>
      <c r="M185" s="344" t="s">
        <v>132</v>
      </c>
      <c r="N185" s="344" t="s">
        <v>132</v>
      </c>
      <c r="O185" s="344" t="s">
        <v>132</v>
      </c>
      <c r="P185" s="344" t="s">
        <v>132</v>
      </c>
      <c r="Q185" s="344" t="s">
        <v>132</v>
      </c>
      <c r="R185" s="344" t="s">
        <v>132</v>
      </c>
      <c r="S185" s="344" t="s">
        <v>132</v>
      </c>
      <c r="T185" s="344" t="s">
        <v>132</v>
      </c>
      <c r="U185" s="35">
        <v>349</v>
      </c>
      <c r="V185" s="35"/>
      <c r="W185" s="35">
        <f t="shared" si="30"/>
        <v>28</v>
      </c>
      <c r="X185" s="35">
        <v>773</v>
      </c>
      <c r="Y185" s="35"/>
      <c r="Z185" s="35">
        <f t="shared" si="31"/>
        <v>424</v>
      </c>
      <c r="AA185" s="35">
        <v>1183</v>
      </c>
      <c r="AB185" s="35"/>
      <c r="AC185" s="35">
        <f t="shared" si="32"/>
        <v>410</v>
      </c>
      <c r="AD185" s="6">
        <v>290</v>
      </c>
      <c r="AE185" s="6">
        <v>1259</v>
      </c>
      <c r="AF185" s="35">
        <f t="shared" si="33"/>
        <v>366</v>
      </c>
      <c r="AG185" s="6"/>
      <c r="AH185" s="6"/>
      <c r="AI185" s="34"/>
      <c r="AJ185" s="35">
        <v>722</v>
      </c>
      <c r="AK185" s="35"/>
      <c r="AL185" s="35">
        <f t="shared" si="34"/>
        <v>432</v>
      </c>
      <c r="AM185" s="6">
        <v>1151</v>
      </c>
      <c r="AN185" s="6"/>
      <c r="AO185" s="35">
        <f t="shared" si="35"/>
        <v>429</v>
      </c>
      <c r="AP185" s="6">
        <v>60</v>
      </c>
      <c r="AQ185" s="6">
        <v>1524</v>
      </c>
      <c r="AR185" s="35">
        <f t="shared" si="36"/>
        <v>433</v>
      </c>
      <c r="AS185" s="35">
        <v>492</v>
      </c>
      <c r="AT185" s="35"/>
      <c r="AU185" s="35">
        <f t="shared" si="37"/>
        <v>432</v>
      </c>
      <c r="AV185" s="6">
        <v>927</v>
      </c>
      <c r="AW185" s="6"/>
      <c r="AX185" s="35">
        <f t="shared" si="38"/>
        <v>435</v>
      </c>
      <c r="AY185" s="35">
        <v>1355</v>
      </c>
      <c r="AZ185" s="6"/>
      <c r="BA185" s="35">
        <f t="shared" si="39"/>
        <v>428</v>
      </c>
      <c r="BB185" s="6"/>
      <c r="BC185" s="6"/>
      <c r="BD185" s="6"/>
      <c r="BE185" s="6">
        <v>271</v>
      </c>
      <c r="BF185" s="6">
        <v>1500</v>
      </c>
      <c r="BG185" s="6">
        <f t="shared" si="40"/>
        <v>416</v>
      </c>
      <c r="BH185" s="6">
        <v>702</v>
      </c>
      <c r="BI185" s="6"/>
      <c r="BJ185" s="35">
        <f t="shared" si="41"/>
        <v>431</v>
      </c>
      <c r="BK185" s="6">
        <v>1111</v>
      </c>
      <c r="BL185" s="6"/>
      <c r="BM185" s="6">
        <f t="shared" si="42"/>
        <v>409</v>
      </c>
      <c r="BN185" s="6">
        <v>1505</v>
      </c>
      <c r="BO185" s="6"/>
      <c r="BP185" s="35">
        <f t="shared" si="43"/>
        <v>394</v>
      </c>
      <c r="BQ185" s="6">
        <v>0</v>
      </c>
      <c r="BR185" s="6">
        <v>1807</v>
      </c>
      <c r="BS185" s="6">
        <f t="shared" si="44"/>
        <v>302</v>
      </c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</row>
    <row r="186" spans="1:113">
      <c r="A186" s="6">
        <v>182</v>
      </c>
      <c r="B186" s="6">
        <v>443</v>
      </c>
      <c r="C186" s="6"/>
      <c r="D186" s="6">
        <v>384</v>
      </c>
      <c r="E186" s="33" t="s">
        <v>132</v>
      </c>
      <c r="F186" s="33" t="s">
        <v>132</v>
      </c>
      <c r="G186" s="344" t="s">
        <v>132</v>
      </c>
      <c r="H186" s="344" t="s">
        <v>132</v>
      </c>
      <c r="I186" s="344" t="s">
        <v>132</v>
      </c>
      <c r="J186" s="346" t="s">
        <v>132</v>
      </c>
      <c r="K186" s="344" t="s">
        <v>132</v>
      </c>
      <c r="L186" s="344" t="s">
        <v>132</v>
      </c>
      <c r="M186" s="344" t="s">
        <v>132</v>
      </c>
      <c r="N186" s="344" t="s">
        <v>132</v>
      </c>
      <c r="O186" s="344" t="s">
        <v>132</v>
      </c>
      <c r="P186" s="344" t="s">
        <v>132</v>
      </c>
      <c r="Q186" s="344" t="s">
        <v>132</v>
      </c>
      <c r="R186" s="344" t="s">
        <v>132</v>
      </c>
      <c r="S186" s="344" t="s">
        <v>132</v>
      </c>
      <c r="T186" s="344" t="s">
        <v>132</v>
      </c>
      <c r="U186" s="6">
        <v>470</v>
      </c>
      <c r="V186" s="6"/>
      <c r="W186" s="35">
        <f t="shared" si="30"/>
        <v>27</v>
      </c>
      <c r="X186" s="6">
        <v>885</v>
      </c>
      <c r="Y186" s="6"/>
      <c r="Z186" s="35">
        <f t="shared" si="31"/>
        <v>415</v>
      </c>
      <c r="AA186" s="35">
        <v>1283</v>
      </c>
      <c r="AB186" s="35"/>
      <c r="AC186" s="35">
        <f t="shared" si="32"/>
        <v>398</v>
      </c>
      <c r="AD186" s="6">
        <v>0</v>
      </c>
      <c r="AE186" s="6">
        <v>1590</v>
      </c>
      <c r="AF186" s="35">
        <f t="shared" si="33"/>
        <v>307</v>
      </c>
      <c r="AG186" s="6"/>
      <c r="AH186" s="6"/>
      <c r="AI186" s="34"/>
      <c r="AJ186" s="35">
        <v>395</v>
      </c>
      <c r="AK186" s="35"/>
      <c r="AL186" s="35">
        <f t="shared" si="34"/>
        <v>395</v>
      </c>
      <c r="AM186" s="6">
        <v>821</v>
      </c>
      <c r="AN186" s="6"/>
      <c r="AO186" s="35">
        <f t="shared" si="35"/>
        <v>426</v>
      </c>
      <c r="AP186" s="6">
        <v>1250</v>
      </c>
      <c r="AQ186" s="6"/>
      <c r="AR186" s="35">
        <f t="shared" si="36"/>
        <v>429</v>
      </c>
      <c r="AS186" s="35">
        <v>180</v>
      </c>
      <c r="AT186" s="35">
        <v>1499</v>
      </c>
      <c r="AU186" s="35">
        <f t="shared" si="37"/>
        <v>429</v>
      </c>
      <c r="AV186" s="6">
        <v>589</v>
      </c>
      <c r="AW186" s="6"/>
      <c r="AX186" s="35">
        <f t="shared" si="38"/>
        <v>409</v>
      </c>
      <c r="AY186" s="35">
        <v>341</v>
      </c>
      <c r="AZ186" s="6">
        <v>619</v>
      </c>
      <c r="BA186" s="35">
        <f t="shared" si="39"/>
        <v>371</v>
      </c>
      <c r="BB186" s="6"/>
      <c r="BC186" s="6"/>
      <c r="BD186" s="6"/>
      <c r="BE186" s="6">
        <v>264</v>
      </c>
      <c r="BF186" s="6">
        <v>481</v>
      </c>
      <c r="BG186" s="6">
        <f t="shared" si="40"/>
        <v>404</v>
      </c>
      <c r="BH186" s="6">
        <v>35</v>
      </c>
      <c r="BI186" s="6">
        <v>647</v>
      </c>
      <c r="BJ186" s="35">
        <f t="shared" si="41"/>
        <v>418</v>
      </c>
      <c r="BK186" s="6">
        <v>428</v>
      </c>
      <c r="BL186" s="6"/>
      <c r="BM186" s="6">
        <f t="shared" si="42"/>
        <v>393</v>
      </c>
      <c r="BN186" s="6">
        <v>295</v>
      </c>
      <c r="BO186" s="6">
        <v>515</v>
      </c>
      <c r="BP186" s="35">
        <f t="shared" si="43"/>
        <v>382</v>
      </c>
      <c r="BQ186" s="6">
        <v>682</v>
      </c>
      <c r="BR186" s="6"/>
      <c r="BS186" s="6">
        <f t="shared" si="44"/>
        <v>387</v>
      </c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</row>
    <row r="187" spans="1:113">
      <c r="A187" s="6">
        <v>183</v>
      </c>
      <c r="B187" s="6">
        <v>1130</v>
      </c>
      <c r="C187" s="6"/>
      <c r="D187" s="6">
        <v>362</v>
      </c>
      <c r="E187" s="33" t="s">
        <v>37</v>
      </c>
      <c r="F187" s="33" t="s">
        <v>37</v>
      </c>
      <c r="G187" s="344" t="s">
        <v>37</v>
      </c>
      <c r="H187" s="344" t="s">
        <v>37</v>
      </c>
      <c r="I187" s="344" t="s">
        <v>37</v>
      </c>
      <c r="J187" s="344" t="s">
        <v>37</v>
      </c>
      <c r="K187" s="344" t="s">
        <v>37</v>
      </c>
      <c r="L187" s="344" t="s">
        <v>37</v>
      </c>
      <c r="M187" s="344" t="s">
        <v>37</v>
      </c>
      <c r="N187" s="344" t="s">
        <v>37</v>
      </c>
      <c r="O187" s="344" t="s">
        <v>37</v>
      </c>
      <c r="P187" s="344" t="s">
        <v>37</v>
      </c>
      <c r="Q187" s="344" t="s">
        <v>37</v>
      </c>
      <c r="R187" s="344" t="s">
        <v>37</v>
      </c>
      <c r="S187" s="346" t="s">
        <v>37</v>
      </c>
      <c r="T187" s="344" t="s">
        <v>37</v>
      </c>
      <c r="U187" s="6">
        <v>1540</v>
      </c>
      <c r="V187" s="6"/>
      <c r="W187" s="35">
        <f t="shared" si="30"/>
        <v>410</v>
      </c>
      <c r="X187" s="6">
        <v>364</v>
      </c>
      <c r="Y187" s="6">
        <v>1563</v>
      </c>
      <c r="Z187" s="35">
        <f t="shared" si="31"/>
        <v>387</v>
      </c>
      <c r="AA187" s="35">
        <v>752</v>
      </c>
      <c r="AB187" s="35"/>
      <c r="AC187" s="35">
        <f t="shared" si="32"/>
        <v>388</v>
      </c>
      <c r="AD187" s="6">
        <v>1124</v>
      </c>
      <c r="AE187" s="6"/>
      <c r="AF187" s="35">
        <f t="shared" si="33"/>
        <v>372</v>
      </c>
      <c r="AG187" s="6"/>
      <c r="AH187" s="6"/>
      <c r="AI187" s="34"/>
      <c r="AJ187" s="35">
        <v>1514</v>
      </c>
      <c r="AK187" s="35"/>
      <c r="AL187" s="35">
        <f t="shared" si="34"/>
        <v>390</v>
      </c>
      <c r="AM187" s="6">
        <v>335</v>
      </c>
      <c r="AN187" s="6">
        <v>1560</v>
      </c>
      <c r="AO187" s="35">
        <f t="shared" si="35"/>
        <v>381</v>
      </c>
      <c r="AP187" s="6">
        <v>726</v>
      </c>
      <c r="AQ187" s="6"/>
      <c r="AR187" s="35">
        <f t="shared" si="36"/>
        <v>391</v>
      </c>
      <c r="AS187" s="35">
        <v>1112</v>
      </c>
      <c r="AT187" s="35"/>
      <c r="AU187" s="35">
        <f t="shared" si="37"/>
        <v>386</v>
      </c>
      <c r="AV187" s="6">
        <v>1498</v>
      </c>
      <c r="AW187" s="6"/>
      <c r="AX187" s="35">
        <f t="shared" si="38"/>
        <v>386</v>
      </c>
      <c r="AY187" s="35">
        <v>317</v>
      </c>
      <c r="AZ187" s="6">
        <v>1560</v>
      </c>
      <c r="BA187" s="35">
        <f t="shared" si="39"/>
        <v>379</v>
      </c>
      <c r="BB187" s="6"/>
      <c r="BC187" s="6"/>
      <c r="BD187" s="6"/>
      <c r="BE187" s="6">
        <v>710</v>
      </c>
      <c r="BF187" s="6"/>
      <c r="BG187" s="6">
        <f t="shared" si="40"/>
        <v>393</v>
      </c>
      <c r="BH187" s="6">
        <v>1091</v>
      </c>
      <c r="BI187" s="6"/>
      <c r="BJ187" s="35">
        <f t="shared" si="41"/>
        <v>381</v>
      </c>
      <c r="BK187" s="6">
        <v>1480</v>
      </c>
      <c r="BL187" s="6"/>
      <c r="BM187" s="6">
        <f t="shared" si="42"/>
        <v>389</v>
      </c>
      <c r="BN187" s="6">
        <v>253</v>
      </c>
      <c r="BO187" s="6">
        <v>1604</v>
      </c>
      <c r="BP187" s="35">
        <f t="shared" si="43"/>
        <v>377</v>
      </c>
      <c r="BQ187" s="6">
        <v>631</v>
      </c>
      <c r="BR187" s="6"/>
      <c r="BS187" s="6">
        <f t="shared" si="44"/>
        <v>378</v>
      </c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</row>
    <row r="188" spans="1:113">
      <c r="A188" s="274">
        <v>184</v>
      </c>
      <c r="B188" s="6">
        <v>183</v>
      </c>
      <c r="C188" s="6">
        <v>1560</v>
      </c>
      <c r="D188" s="6">
        <v>363</v>
      </c>
      <c r="E188" s="33" t="s">
        <v>37</v>
      </c>
      <c r="F188" s="33" t="s">
        <v>37</v>
      </c>
      <c r="G188" s="344" t="s">
        <v>37</v>
      </c>
      <c r="H188" s="344" t="s">
        <v>37</v>
      </c>
      <c r="I188" s="344" t="s">
        <v>37</v>
      </c>
      <c r="J188" s="357" t="s">
        <v>307</v>
      </c>
      <c r="K188" s="362" t="s">
        <v>307</v>
      </c>
      <c r="L188" s="362" t="s">
        <v>307</v>
      </c>
      <c r="M188" s="362" t="s">
        <v>307</v>
      </c>
      <c r="N188" s="362" t="s">
        <v>307</v>
      </c>
      <c r="O188" s="399" t="s">
        <v>37</v>
      </c>
      <c r="P188" s="401" t="s">
        <v>37</v>
      </c>
      <c r="Q188" s="401" t="s">
        <v>37</v>
      </c>
      <c r="R188" s="401" t="s">
        <v>37</v>
      </c>
      <c r="S188" s="401" t="s">
        <v>37</v>
      </c>
      <c r="T188" s="401" t="s">
        <v>37</v>
      </c>
      <c r="U188" s="6">
        <v>591</v>
      </c>
      <c r="V188" s="6"/>
      <c r="W188" s="35">
        <f t="shared" si="30"/>
        <v>408</v>
      </c>
      <c r="X188" s="6">
        <v>980</v>
      </c>
      <c r="Y188" s="6"/>
      <c r="Z188" s="35">
        <f t="shared" si="31"/>
        <v>389</v>
      </c>
      <c r="AA188" s="35">
        <v>1364</v>
      </c>
      <c r="AB188" s="35"/>
      <c r="AC188" s="35">
        <f t="shared" si="32"/>
        <v>384</v>
      </c>
      <c r="AD188" s="6">
        <v>0</v>
      </c>
      <c r="AE188" s="6">
        <v>1649</v>
      </c>
      <c r="AF188" s="35">
        <f t="shared" si="33"/>
        <v>285</v>
      </c>
      <c r="AG188" s="6"/>
      <c r="AH188" s="6"/>
      <c r="AI188" s="34"/>
      <c r="AJ188" s="35">
        <v>271</v>
      </c>
      <c r="AK188" s="35"/>
      <c r="AL188" s="35">
        <f t="shared" si="34"/>
        <v>271</v>
      </c>
      <c r="AM188" s="6">
        <v>640</v>
      </c>
      <c r="AN188" s="6"/>
      <c r="AO188" s="35">
        <f t="shared" si="35"/>
        <v>369</v>
      </c>
      <c r="AP188" s="6">
        <v>1015</v>
      </c>
      <c r="AQ188" s="6"/>
      <c r="AR188" s="35">
        <f t="shared" si="36"/>
        <v>375</v>
      </c>
      <c r="AS188" s="35">
        <v>1401</v>
      </c>
      <c r="AT188" s="35"/>
      <c r="AU188" s="35">
        <f t="shared" si="37"/>
        <v>386</v>
      </c>
      <c r="AV188" s="6">
        <v>1787</v>
      </c>
      <c r="AW188" s="6"/>
      <c r="AX188" s="35">
        <f t="shared" si="38"/>
        <v>386</v>
      </c>
      <c r="AY188" s="35">
        <v>291</v>
      </c>
      <c r="AZ188" s="6">
        <v>1839</v>
      </c>
      <c r="BA188" s="35">
        <f t="shared" si="39"/>
        <v>343</v>
      </c>
      <c r="BB188" s="35"/>
      <c r="BC188" s="6"/>
      <c r="BD188" s="6"/>
      <c r="BE188" s="6">
        <v>684</v>
      </c>
      <c r="BF188" s="6"/>
      <c r="BG188" s="6">
        <f t="shared" si="40"/>
        <v>393</v>
      </c>
      <c r="BH188" s="6">
        <v>1068</v>
      </c>
      <c r="BI188" s="6"/>
      <c r="BJ188" s="35">
        <f t="shared" si="41"/>
        <v>384</v>
      </c>
      <c r="BK188" s="6">
        <v>1455</v>
      </c>
      <c r="BL188" s="6"/>
      <c r="BM188" s="6">
        <f t="shared" si="42"/>
        <v>387</v>
      </c>
      <c r="BN188" s="6">
        <v>279</v>
      </c>
      <c r="BO188" s="6">
        <v>1560</v>
      </c>
      <c r="BP188" s="35">
        <f t="shared" si="43"/>
        <v>384</v>
      </c>
      <c r="BQ188" s="6">
        <v>666</v>
      </c>
      <c r="BR188" s="6"/>
      <c r="BS188" s="6">
        <f t="shared" si="44"/>
        <v>387</v>
      </c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</row>
    <row r="189" spans="1:113">
      <c r="A189" s="6">
        <v>185</v>
      </c>
      <c r="B189" s="6">
        <v>559</v>
      </c>
      <c r="C189" s="6"/>
      <c r="D189" s="6">
        <v>284</v>
      </c>
      <c r="E189" s="33" t="s">
        <v>462</v>
      </c>
      <c r="F189" s="33" t="s">
        <v>462</v>
      </c>
      <c r="G189" s="344" t="s">
        <v>462</v>
      </c>
      <c r="H189" s="344" t="s">
        <v>462</v>
      </c>
      <c r="I189" s="344" t="s">
        <v>462</v>
      </c>
      <c r="J189" s="344" t="s">
        <v>462</v>
      </c>
      <c r="K189" s="344" t="s">
        <v>462</v>
      </c>
      <c r="L189" s="344" t="s">
        <v>462</v>
      </c>
      <c r="M189" s="344" t="s">
        <v>462</v>
      </c>
      <c r="N189" s="344" t="s">
        <v>462</v>
      </c>
      <c r="O189" s="344" t="s">
        <v>462</v>
      </c>
      <c r="P189" s="344" t="s">
        <v>462</v>
      </c>
      <c r="Q189" s="346" t="s">
        <v>462</v>
      </c>
      <c r="R189" s="344" t="s">
        <v>462</v>
      </c>
      <c r="S189" s="344" t="s">
        <v>462</v>
      </c>
      <c r="T189" s="344" t="s">
        <v>462</v>
      </c>
      <c r="U189" s="6">
        <v>578</v>
      </c>
      <c r="V189" s="6"/>
      <c r="W189" s="35">
        <f t="shared" si="30"/>
        <v>19</v>
      </c>
      <c r="X189" s="6">
        <v>250</v>
      </c>
      <c r="Y189" s="6">
        <v>624</v>
      </c>
      <c r="Z189" s="35">
        <f t="shared" si="31"/>
        <v>296</v>
      </c>
      <c r="AA189" s="35">
        <v>554</v>
      </c>
      <c r="AB189" s="35"/>
      <c r="AC189" s="35">
        <f t="shared" si="32"/>
        <v>304</v>
      </c>
      <c r="AD189" s="6">
        <v>842</v>
      </c>
      <c r="AE189" s="6"/>
      <c r="AF189" s="35">
        <f t="shared" si="33"/>
        <v>288</v>
      </c>
      <c r="AG189" s="6"/>
      <c r="AH189" s="6"/>
      <c r="AI189" s="34"/>
      <c r="AJ189" s="35">
        <v>1148</v>
      </c>
      <c r="AK189" s="35"/>
      <c r="AL189" s="35">
        <f t="shared" si="34"/>
        <v>306</v>
      </c>
      <c r="AM189" s="35">
        <v>251</v>
      </c>
      <c r="AN189" s="6">
        <v>1200</v>
      </c>
      <c r="AO189" s="35">
        <f t="shared" si="35"/>
        <v>303</v>
      </c>
      <c r="AP189" s="6">
        <v>554</v>
      </c>
      <c r="AQ189" s="6"/>
      <c r="AR189" s="35">
        <f t="shared" si="36"/>
        <v>303</v>
      </c>
      <c r="AS189" s="35">
        <v>857</v>
      </c>
      <c r="AT189" s="35"/>
      <c r="AU189" s="35">
        <f t="shared" si="37"/>
        <v>303</v>
      </c>
      <c r="AV189" s="6">
        <v>163</v>
      </c>
      <c r="AW189" s="6">
        <v>1000</v>
      </c>
      <c r="AX189" s="35">
        <f t="shared" si="38"/>
        <v>306</v>
      </c>
      <c r="AY189" s="35">
        <v>446</v>
      </c>
      <c r="AZ189" s="6"/>
      <c r="BA189" s="35">
        <f t="shared" si="39"/>
        <v>283</v>
      </c>
      <c r="BB189" s="6"/>
      <c r="BC189" s="6"/>
      <c r="BD189" s="6"/>
      <c r="BE189" s="6">
        <v>0</v>
      </c>
      <c r="BF189" s="6">
        <v>628</v>
      </c>
      <c r="BG189" s="6">
        <f t="shared" si="40"/>
        <v>182</v>
      </c>
      <c r="BH189" s="6">
        <v>287</v>
      </c>
      <c r="BI189" s="6"/>
      <c r="BJ189" s="35">
        <f t="shared" si="41"/>
        <v>287</v>
      </c>
      <c r="BK189" s="6">
        <v>604</v>
      </c>
      <c r="BL189" s="6"/>
      <c r="BM189" s="6">
        <f t="shared" si="42"/>
        <v>317</v>
      </c>
      <c r="BN189" s="6">
        <v>907</v>
      </c>
      <c r="BO189" s="6"/>
      <c r="BP189" s="35">
        <f t="shared" si="43"/>
        <v>303</v>
      </c>
      <c r="BQ189" s="6">
        <v>13</v>
      </c>
      <c r="BR189" s="6">
        <v>1200</v>
      </c>
      <c r="BS189" s="6">
        <f t="shared" si="44"/>
        <v>306</v>
      </c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</row>
    <row r="190" spans="1:113" ht="14.25" customHeight="1">
      <c r="A190" s="6">
        <v>186</v>
      </c>
      <c r="B190" s="6">
        <v>363</v>
      </c>
      <c r="C190" s="6">
        <v>1255</v>
      </c>
      <c r="D190" s="6">
        <v>391</v>
      </c>
      <c r="E190" s="33" t="s">
        <v>102</v>
      </c>
      <c r="F190" s="33" t="s">
        <v>102</v>
      </c>
      <c r="G190" s="344" t="s">
        <v>102</v>
      </c>
      <c r="H190" s="344" t="s">
        <v>102</v>
      </c>
      <c r="I190" s="344" t="s">
        <v>102</v>
      </c>
      <c r="J190" s="344" t="s">
        <v>102</v>
      </c>
      <c r="K190" s="344" t="s">
        <v>102</v>
      </c>
      <c r="L190" s="344" t="s">
        <v>102</v>
      </c>
      <c r="M190" s="344" t="s">
        <v>102</v>
      </c>
      <c r="N190" s="344" t="s">
        <v>102</v>
      </c>
      <c r="O190" s="344" t="s">
        <v>102</v>
      </c>
      <c r="P190" s="344" t="s">
        <v>102</v>
      </c>
      <c r="Q190" s="344" t="s">
        <v>102</v>
      </c>
      <c r="R190" s="344" t="s">
        <v>102</v>
      </c>
      <c r="S190" s="344" t="s">
        <v>102</v>
      </c>
      <c r="T190" s="346" t="s">
        <v>102</v>
      </c>
      <c r="U190" s="35">
        <v>802</v>
      </c>
      <c r="V190" s="35"/>
      <c r="W190" s="35">
        <f t="shared" si="30"/>
        <v>439</v>
      </c>
      <c r="X190" s="35">
        <v>1148</v>
      </c>
      <c r="Y190" s="35"/>
      <c r="Z190" s="35">
        <f t="shared" si="31"/>
        <v>346</v>
      </c>
      <c r="AA190" s="35">
        <v>305</v>
      </c>
      <c r="AB190" s="35">
        <v>1200</v>
      </c>
      <c r="AC190" s="35">
        <f t="shared" si="32"/>
        <v>357</v>
      </c>
      <c r="AD190" s="6">
        <v>640</v>
      </c>
      <c r="AE190" s="6"/>
      <c r="AF190" s="35">
        <f t="shared" si="33"/>
        <v>335</v>
      </c>
      <c r="AG190" s="6"/>
      <c r="AH190" s="6"/>
      <c r="AI190" s="34"/>
      <c r="AJ190" s="35">
        <v>368</v>
      </c>
      <c r="AK190" s="35">
        <v>641</v>
      </c>
      <c r="AL190" s="35">
        <f t="shared" si="34"/>
        <v>369</v>
      </c>
      <c r="AM190" s="6">
        <v>706</v>
      </c>
      <c r="AN190" s="6"/>
      <c r="AO190" s="35">
        <f t="shared" si="35"/>
        <v>338</v>
      </c>
      <c r="AP190" s="6">
        <v>254</v>
      </c>
      <c r="AQ190" s="6">
        <v>773</v>
      </c>
      <c r="AR190" s="35">
        <f t="shared" si="36"/>
        <v>321</v>
      </c>
      <c r="AS190" s="6">
        <v>559</v>
      </c>
      <c r="AT190" s="6"/>
      <c r="AU190" s="35">
        <f t="shared" si="37"/>
        <v>305</v>
      </c>
      <c r="AV190" s="6">
        <v>916</v>
      </c>
      <c r="AW190" s="6"/>
      <c r="AX190" s="35">
        <f t="shared" si="38"/>
        <v>357</v>
      </c>
      <c r="AY190" s="35">
        <v>214</v>
      </c>
      <c r="AZ190" s="6">
        <v>946</v>
      </c>
      <c r="BA190" s="35">
        <f t="shared" si="39"/>
        <v>244</v>
      </c>
      <c r="BB190" s="35"/>
      <c r="BC190" s="35"/>
      <c r="BD190" s="6"/>
      <c r="BE190" s="6">
        <v>489</v>
      </c>
      <c r="BF190" s="6"/>
      <c r="BG190" s="6">
        <f t="shared" si="40"/>
        <v>275</v>
      </c>
      <c r="BH190" s="6">
        <v>806</v>
      </c>
      <c r="BI190" s="6"/>
      <c r="BJ190" s="35">
        <f t="shared" si="41"/>
        <v>317</v>
      </c>
      <c r="BK190" s="6">
        <v>1135</v>
      </c>
      <c r="BL190" s="6"/>
      <c r="BM190" s="6">
        <f t="shared" si="42"/>
        <v>329</v>
      </c>
      <c r="BN190" s="6">
        <v>0</v>
      </c>
      <c r="BO190" s="6">
        <v>1344</v>
      </c>
      <c r="BP190" s="35">
        <f t="shared" si="43"/>
        <v>209</v>
      </c>
      <c r="BQ190" s="6">
        <v>312</v>
      </c>
      <c r="BR190" s="35"/>
      <c r="BS190" s="6">
        <f t="shared" si="44"/>
        <v>312</v>
      </c>
      <c r="BT190" s="6"/>
      <c r="BU190" s="6"/>
      <c r="BV190" s="6"/>
      <c r="BW190" s="6"/>
      <c r="BX190" s="35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35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</row>
    <row r="191" spans="1:113">
      <c r="A191" s="6">
        <v>187</v>
      </c>
      <c r="B191" s="6">
        <v>516</v>
      </c>
      <c r="C191" s="6"/>
      <c r="D191" s="6">
        <v>262</v>
      </c>
      <c r="E191" s="33" t="s">
        <v>462</v>
      </c>
      <c r="F191" s="33" t="s">
        <v>462</v>
      </c>
      <c r="G191" s="344" t="s">
        <v>462</v>
      </c>
      <c r="H191" s="344" t="s">
        <v>462</v>
      </c>
      <c r="I191" s="344" t="s">
        <v>462</v>
      </c>
      <c r="J191" s="344" t="s">
        <v>462</v>
      </c>
      <c r="K191" s="344" t="s">
        <v>462</v>
      </c>
      <c r="L191" s="344" t="s">
        <v>462</v>
      </c>
      <c r="M191" s="344" t="s">
        <v>462</v>
      </c>
      <c r="N191" s="344" t="s">
        <v>462</v>
      </c>
      <c r="O191" s="344" t="s">
        <v>462</v>
      </c>
      <c r="P191" s="344" t="s">
        <v>462</v>
      </c>
      <c r="Q191" s="344" t="s">
        <v>462</v>
      </c>
      <c r="R191" s="344" t="s">
        <v>462</v>
      </c>
      <c r="S191" s="344" t="s">
        <v>462</v>
      </c>
      <c r="T191" s="346" t="s">
        <v>462</v>
      </c>
      <c r="U191" s="6">
        <v>532</v>
      </c>
      <c r="V191" s="6"/>
      <c r="W191" s="35">
        <f t="shared" si="30"/>
        <v>16</v>
      </c>
      <c r="X191" s="6">
        <v>813</v>
      </c>
      <c r="Y191" s="6"/>
      <c r="Z191" s="35">
        <f t="shared" si="31"/>
        <v>281</v>
      </c>
      <c r="AA191" s="35">
        <v>1105</v>
      </c>
      <c r="AB191" s="35"/>
      <c r="AC191" s="35">
        <f t="shared" si="32"/>
        <v>292</v>
      </c>
      <c r="AD191" s="6">
        <v>187</v>
      </c>
      <c r="AE191" s="6">
        <v>1200</v>
      </c>
      <c r="AF191" s="35">
        <f t="shared" si="33"/>
        <v>282</v>
      </c>
      <c r="AG191" s="6"/>
      <c r="AH191" s="6"/>
      <c r="AI191" s="34"/>
      <c r="AJ191" s="35">
        <v>479</v>
      </c>
      <c r="AK191" s="35"/>
      <c r="AL191" s="35">
        <f t="shared" si="34"/>
        <v>292</v>
      </c>
      <c r="AM191" s="35">
        <v>761</v>
      </c>
      <c r="AN191" s="6"/>
      <c r="AO191" s="35">
        <f t="shared" si="35"/>
        <v>282</v>
      </c>
      <c r="AP191" s="6">
        <v>1052</v>
      </c>
      <c r="AQ191" s="6"/>
      <c r="AR191" s="35">
        <f t="shared" si="36"/>
        <v>291</v>
      </c>
      <c r="AS191" s="35">
        <v>155</v>
      </c>
      <c r="AT191" s="35">
        <v>1200</v>
      </c>
      <c r="AU191" s="35">
        <f t="shared" si="37"/>
        <v>303</v>
      </c>
      <c r="AV191" s="6">
        <v>468</v>
      </c>
      <c r="AW191" s="6"/>
      <c r="AX191" s="35">
        <f t="shared" si="38"/>
        <v>313</v>
      </c>
      <c r="AY191" s="35">
        <v>770</v>
      </c>
      <c r="AZ191" s="6"/>
      <c r="BA191" s="35">
        <f t="shared" si="39"/>
        <v>302</v>
      </c>
      <c r="BB191" s="6"/>
      <c r="BC191" s="6"/>
      <c r="BD191" s="6"/>
      <c r="BE191" s="6">
        <v>79</v>
      </c>
      <c r="BF191" s="7">
        <v>1000</v>
      </c>
      <c r="BG191" s="6">
        <f t="shared" si="40"/>
        <v>309</v>
      </c>
      <c r="BH191" s="7">
        <v>384</v>
      </c>
      <c r="BI191" s="7"/>
      <c r="BJ191" s="35">
        <f t="shared" si="41"/>
        <v>305</v>
      </c>
      <c r="BK191" s="6">
        <v>696</v>
      </c>
      <c r="BL191" s="6"/>
      <c r="BM191" s="6">
        <f t="shared" si="42"/>
        <v>312</v>
      </c>
      <c r="BN191" s="6">
        <v>0</v>
      </c>
      <c r="BO191" s="6">
        <v>836</v>
      </c>
      <c r="BP191" s="35">
        <f t="shared" si="43"/>
        <v>140</v>
      </c>
      <c r="BQ191" s="6">
        <v>271</v>
      </c>
      <c r="BR191" s="6"/>
      <c r="BS191" s="6">
        <f t="shared" si="44"/>
        <v>271</v>
      </c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</row>
    <row r="192" spans="1:113">
      <c r="A192" s="274">
        <v>188</v>
      </c>
      <c r="B192" s="6">
        <v>142</v>
      </c>
      <c r="C192" s="6">
        <v>1560</v>
      </c>
      <c r="D192" s="6">
        <v>346</v>
      </c>
      <c r="E192" s="141" t="s">
        <v>37</v>
      </c>
      <c r="F192" s="141" t="s">
        <v>37</v>
      </c>
      <c r="G192" s="347" t="s">
        <v>37</v>
      </c>
      <c r="H192" s="347" t="s">
        <v>37</v>
      </c>
      <c r="I192" s="347" t="s">
        <v>37</v>
      </c>
      <c r="J192" s="347" t="s">
        <v>37</v>
      </c>
      <c r="K192" s="347" t="s">
        <v>37</v>
      </c>
      <c r="L192" s="347" t="s">
        <v>37</v>
      </c>
      <c r="M192" s="347" t="s">
        <v>37</v>
      </c>
      <c r="N192" s="380" t="s">
        <v>37</v>
      </c>
      <c r="O192" s="347" t="s">
        <v>37</v>
      </c>
      <c r="P192" s="347" t="s">
        <v>37</v>
      </c>
      <c r="Q192" s="347" t="s">
        <v>37</v>
      </c>
      <c r="R192" s="347" t="s">
        <v>37</v>
      </c>
      <c r="S192" s="347" t="s">
        <v>37</v>
      </c>
      <c r="T192" s="347" t="s">
        <v>37</v>
      </c>
      <c r="U192" s="6">
        <v>544</v>
      </c>
      <c r="V192" s="6"/>
      <c r="W192" s="35">
        <f t="shared" si="30"/>
        <v>402</v>
      </c>
      <c r="X192" s="6">
        <v>918</v>
      </c>
      <c r="Y192" s="6"/>
      <c r="Z192" s="35">
        <f t="shared" si="31"/>
        <v>374</v>
      </c>
      <c r="AA192" s="35">
        <v>1293</v>
      </c>
      <c r="AB192" s="35"/>
      <c r="AC192" s="35">
        <f t="shared" si="32"/>
        <v>375</v>
      </c>
      <c r="AD192" s="6">
        <v>99</v>
      </c>
      <c r="AE192" s="6">
        <v>1560</v>
      </c>
      <c r="AF192" s="35">
        <f t="shared" si="33"/>
        <v>366</v>
      </c>
      <c r="AG192" s="6"/>
      <c r="AH192" s="6"/>
      <c r="AI192" s="34"/>
      <c r="AJ192" s="35">
        <v>494</v>
      </c>
      <c r="AK192" s="35"/>
      <c r="AL192" s="35">
        <f t="shared" si="34"/>
        <v>395</v>
      </c>
      <c r="AM192" s="6">
        <v>887</v>
      </c>
      <c r="AN192" s="6"/>
      <c r="AO192" s="35">
        <f t="shared" si="35"/>
        <v>393</v>
      </c>
      <c r="AP192" s="35">
        <v>1273</v>
      </c>
      <c r="AQ192" s="6"/>
      <c r="AR192" s="35">
        <f t="shared" si="36"/>
        <v>386</v>
      </c>
      <c r="AS192" s="35">
        <v>0</v>
      </c>
      <c r="AT192" s="35">
        <v>1599</v>
      </c>
      <c r="AU192" s="35">
        <f t="shared" si="37"/>
        <v>326</v>
      </c>
      <c r="AV192" s="6">
        <v>369</v>
      </c>
      <c r="AW192" s="6"/>
      <c r="AX192" s="35">
        <f t="shared" si="38"/>
        <v>369</v>
      </c>
      <c r="AY192" s="35">
        <v>732</v>
      </c>
      <c r="AZ192" s="6"/>
      <c r="BA192" s="35">
        <f t="shared" si="39"/>
        <v>363</v>
      </c>
      <c r="BB192" s="6"/>
      <c r="BC192" s="6"/>
      <c r="BD192" s="6"/>
      <c r="BE192" s="6">
        <v>1117</v>
      </c>
      <c r="BF192" s="7"/>
      <c r="BG192" s="6">
        <f t="shared" si="40"/>
        <v>385</v>
      </c>
      <c r="BH192" s="7">
        <v>1501</v>
      </c>
      <c r="BI192" s="7"/>
      <c r="BJ192" s="35">
        <f t="shared" si="41"/>
        <v>384</v>
      </c>
      <c r="BK192" s="6">
        <v>326</v>
      </c>
      <c r="BL192" s="6">
        <v>1560</v>
      </c>
      <c r="BM192" s="6">
        <f t="shared" si="42"/>
        <v>385</v>
      </c>
      <c r="BN192" s="6">
        <v>712</v>
      </c>
      <c r="BO192" s="6"/>
      <c r="BP192" s="35">
        <f t="shared" si="43"/>
        <v>386</v>
      </c>
      <c r="BQ192" s="35">
        <v>1095</v>
      </c>
      <c r="BR192" s="6"/>
      <c r="BS192" s="6">
        <f t="shared" si="44"/>
        <v>383</v>
      </c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</row>
    <row r="193" spans="1:113">
      <c r="A193" s="274">
        <v>189</v>
      </c>
      <c r="B193" s="6">
        <v>1116</v>
      </c>
      <c r="C193" s="6"/>
      <c r="D193" s="6">
        <v>352</v>
      </c>
      <c r="E193" s="33" t="s">
        <v>37</v>
      </c>
      <c r="F193" s="33" t="s">
        <v>37</v>
      </c>
      <c r="G193" s="344" t="s">
        <v>37</v>
      </c>
      <c r="H193" s="346" t="s">
        <v>37</v>
      </c>
      <c r="I193" s="344" t="s">
        <v>37</v>
      </c>
      <c r="J193" s="344" t="s">
        <v>37</v>
      </c>
      <c r="K193" s="344" t="s">
        <v>37</v>
      </c>
      <c r="L193" s="344" t="s">
        <v>37</v>
      </c>
      <c r="M193" s="344" t="s">
        <v>37</v>
      </c>
      <c r="N193" s="344" t="s">
        <v>37</v>
      </c>
      <c r="O193" s="344" t="s">
        <v>37</v>
      </c>
      <c r="P193" s="344" t="s">
        <v>37</v>
      </c>
      <c r="Q193" s="344" t="s">
        <v>37</v>
      </c>
      <c r="R193" s="344" t="s">
        <v>37</v>
      </c>
      <c r="S193" s="344" t="s">
        <v>37</v>
      </c>
      <c r="T193" s="344" t="s">
        <v>37</v>
      </c>
      <c r="U193" s="6">
        <v>1526</v>
      </c>
      <c r="V193" s="6"/>
      <c r="W193" s="35">
        <f t="shared" si="30"/>
        <v>410</v>
      </c>
      <c r="X193" s="6">
        <v>0</v>
      </c>
      <c r="Y193" s="6">
        <v>1825</v>
      </c>
      <c r="Z193" s="35">
        <f t="shared" si="31"/>
        <v>299</v>
      </c>
      <c r="AA193" s="35">
        <v>295</v>
      </c>
      <c r="AB193" s="35"/>
      <c r="AC193" s="35">
        <f t="shared" si="32"/>
        <v>295</v>
      </c>
      <c r="AD193" s="6">
        <v>668</v>
      </c>
      <c r="AE193" s="6"/>
      <c r="AF193" s="35">
        <f t="shared" si="33"/>
        <v>373</v>
      </c>
      <c r="AG193" s="6"/>
      <c r="AH193" s="6"/>
      <c r="AI193" s="34"/>
      <c r="AJ193" s="35">
        <v>1053</v>
      </c>
      <c r="AK193" s="35"/>
      <c r="AL193" s="35">
        <f t="shared" si="34"/>
        <v>385</v>
      </c>
      <c r="AM193" s="6">
        <v>1440</v>
      </c>
      <c r="AN193" s="6"/>
      <c r="AO193" s="35">
        <f t="shared" si="35"/>
        <v>387</v>
      </c>
      <c r="AP193" s="6">
        <v>264</v>
      </c>
      <c r="AQ193" s="6">
        <v>1560</v>
      </c>
      <c r="AR193" s="35">
        <f t="shared" si="36"/>
        <v>384</v>
      </c>
      <c r="AS193" s="35">
        <v>653</v>
      </c>
      <c r="AT193" s="35"/>
      <c r="AU193" s="35">
        <f t="shared" si="37"/>
        <v>389</v>
      </c>
      <c r="AV193" s="35">
        <v>1034</v>
      </c>
      <c r="AW193" s="6"/>
      <c r="AX193" s="35">
        <f t="shared" si="38"/>
        <v>381</v>
      </c>
      <c r="AY193" s="35">
        <v>13</v>
      </c>
      <c r="AZ193" s="6">
        <v>1397</v>
      </c>
      <c r="BA193" s="35">
        <f t="shared" si="39"/>
        <v>376</v>
      </c>
      <c r="BB193" s="6"/>
      <c r="BC193" s="6"/>
      <c r="BD193" s="6"/>
      <c r="BE193" s="6">
        <v>394</v>
      </c>
      <c r="BF193" s="7"/>
      <c r="BG193" s="6">
        <f t="shared" si="40"/>
        <v>381</v>
      </c>
      <c r="BH193" s="7">
        <v>774</v>
      </c>
      <c r="BI193" s="7"/>
      <c r="BJ193" s="35">
        <f t="shared" si="41"/>
        <v>380</v>
      </c>
      <c r="BK193" s="6">
        <v>1162</v>
      </c>
      <c r="BL193" s="6"/>
      <c r="BM193" s="6">
        <f t="shared" si="42"/>
        <v>388</v>
      </c>
      <c r="BN193" s="6">
        <v>20</v>
      </c>
      <c r="BO193" s="6">
        <v>1527</v>
      </c>
      <c r="BP193" s="35">
        <f t="shared" si="43"/>
        <v>385</v>
      </c>
      <c r="BQ193" s="35">
        <v>401</v>
      </c>
      <c r="BR193" s="6"/>
      <c r="BS193" s="6">
        <f t="shared" si="44"/>
        <v>381</v>
      </c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</row>
    <row r="194" spans="1:113">
      <c r="A194" s="6">
        <v>190</v>
      </c>
      <c r="B194" s="6">
        <v>637</v>
      </c>
      <c r="C194" s="6"/>
      <c r="D194" s="6">
        <v>368</v>
      </c>
      <c r="E194" s="33" t="s">
        <v>102</v>
      </c>
      <c r="F194" s="33" t="s">
        <v>102</v>
      </c>
      <c r="G194" s="344" t="s">
        <v>102</v>
      </c>
      <c r="H194" s="344" t="s">
        <v>102</v>
      </c>
      <c r="I194" s="344" t="s">
        <v>102</v>
      </c>
      <c r="J194" s="344" t="s">
        <v>102</v>
      </c>
      <c r="K194" s="344" t="s">
        <v>102</v>
      </c>
      <c r="L194" s="344" t="s">
        <v>102</v>
      </c>
      <c r="M194" s="344" t="s">
        <v>102</v>
      </c>
      <c r="N194" s="346" t="s">
        <v>102</v>
      </c>
      <c r="O194" s="344" t="s">
        <v>102</v>
      </c>
      <c r="P194" s="344" t="s">
        <v>102</v>
      </c>
      <c r="Q194" s="344" t="s">
        <v>102</v>
      </c>
      <c r="R194" s="344" t="s">
        <v>102</v>
      </c>
      <c r="S194" s="344" t="s">
        <v>102</v>
      </c>
      <c r="T194" s="344" t="s">
        <v>102</v>
      </c>
      <c r="U194" s="6">
        <v>50</v>
      </c>
      <c r="V194" s="6">
        <v>1000</v>
      </c>
      <c r="W194" s="35">
        <f t="shared" si="30"/>
        <v>413</v>
      </c>
      <c r="X194" s="6">
        <v>429</v>
      </c>
      <c r="Y194" s="6"/>
      <c r="Z194" s="35">
        <f t="shared" si="31"/>
        <v>379</v>
      </c>
      <c r="AA194" s="35">
        <v>81</v>
      </c>
      <c r="AB194" s="35">
        <v>720</v>
      </c>
      <c r="AC194" s="35">
        <f t="shared" si="32"/>
        <v>372</v>
      </c>
      <c r="AD194" s="6">
        <v>460</v>
      </c>
      <c r="AE194" s="6"/>
      <c r="AF194" s="35">
        <f t="shared" si="33"/>
        <v>379</v>
      </c>
      <c r="AG194" s="6"/>
      <c r="AH194" s="6"/>
      <c r="AI194" s="34"/>
      <c r="AJ194" s="35">
        <v>858</v>
      </c>
      <c r="AK194" s="35"/>
      <c r="AL194" s="35">
        <f t="shared" si="34"/>
        <v>398</v>
      </c>
      <c r="AM194" s="6">
        <v>1256</v>
      </c>
      <c r="AN194" s="6"/>
      <c r="AO194" s="35">
        <f t="shared" si="35"/>
        <v>398</v>
      </c>
      <c r="AP194" s="6">
        <v>1670</v>
      </c>
      <c r="AQ194" s="6"/>
      <c r="AR194" s="35">
        <f t="shared" si="36"/>
        <v>414</v>
      </c>
      <c r="AS194" s="35">
        <v>2070</v>
      </c>
      <c r="AT194" s="35"/>
      <c r="AU194" s="35">
        <f t="shared" si="37"/>
        <v>400</v>
      </c>
      <c r="AV194" s="35">
        <v>302</v>
      </c>
      <c r="AW194" s="6">
        <v>2153</v>
      </c>
      <c r="AX194" s="35">
        <f t="shared" si="38"/>
        <v>385</v>
      </c>
      <c r="AY194" s="35">
        <v>700</v>
      </c>
      <c r="AZ194" s="6"/>
      <c r="BA194" s="35">
        <f t="shared" si="39"/>
        <v>398</v>
      </c>
      <c r="BB194" s="6"/>
      <c r="BC194" s="6"/>
      <c r="BD194" s="6"/>
      <c r="BE194" s="6">
        <v>1080</v>
      </c>
      <c r="BF194" s="7"/>
      <c r="BG194" s="6">
        <f t="shared" si="40"/>
        <v>380</v>
      </c>
      <c r="BH194" s="7">
        <v>1476</v>
      </c>
      <c r="BI194" s="7"/>
      <c r="BJ194" s="35">
        <f t="shared" si="41"/>
        <v>396</v>
      </c>
      <c r="BK194" s="6">
        <v>144</v>
      </c>
      <c r="BL194" s="6">
        <v>1718</v>
      </c>
      <c r="BM194" s="6">
        <f t="shared" si="42"/>
        <v>386</v>
      </c>
      <c r="BN194" s="35">
        <v>557</v>
      </c>
      <c r="BO194" s="6"/>
      <c r="BP194" s="35">
        <f t="shared" si="43"/>
        <v>413</v>
      </c>
      <c r="BQ194" s="35">
        <v>957</v>
      </c>
      <c r="BR194" s="6"/>
      <c r="BS194" s="6">
        <f t="shared" si="44"/>
        <v>400</v>
      </c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</row>
    <row r="195" spans="1:113">
      <c r="A195" s="274">
        <v>191</v>
      </c>
      <c r="B195" s="6">
        <v>61</v>
      </c>
      <c r="C195" s="6">
        <v>1560</v>
      </c>
      <c r="D195" s="6">
        <v>361</v>
      </c>
      <c r="E195" s="33" t="s">
        <v>37</v>
      </c>
      <c r="F195" s="33" t="s">
        <v>37</v>
      </c>
      <c r="G195" s="344" t="s">
        <v>37</v>
      </c>
      <c r="H195" s="344" t="s">
        <v>37</v>
      </c>
      <c r="I195" s="346" t="s">
        <v>37</v>
      </c>
      <c r="J195" s="344" t="s">
        <v>37</v>
      </c>
      <c r="K195" s="344" t="s">
        <v>37</v>
      </c>
      <c r="L195" s="344" t="s">
        <v>37</v>
      </c>
      <c r="M195" s="344" t="s">
        <v>37</v>
      </c>
      <c r="N195" s="344" t="s">
        <v>37</v>
      </c>
      <c r="O195" s="344" t="s">
        <v>37</v>
      </c>
      <c r="P195" s="344" t="s">
        <v>37</v>
      </c>
      <c r="Q195" s="344" t="s">
        <v>37</v>
      </c>
      <c r="R195" s="344" t="s">
        <v>37</v>
      </c>
      <c r="S195" s="344" t="s">
        <v>37</v>
      </c>
      <c r="T195" s="344" t="s">
        <v>37</v>
      </c>
      <c r="U195" s="35">
        <v>474</v>
      </c>
      <c r="V195" s="35"/>
      <c r="W195" s="35">
        <f t="shared" si="30"/>
        <v>413</v>
      </c>
      <c r="X195" s="35">
        <v>859</v>
      </c>
      <c r="Y195" s="35"/>
      <c r="Z195" s="35">
        <f t="shared" si="31"/>
        <v>385</v>
      </c>
      <c r="AA195" s="35">
        <v>1248</v>
      </c>
      <c r="AB195" s="35"/>
      <c r="AC195" s="35">
        <f t="shared" si="32"/>
        <v>389</v>
      </c>
      <c r="AD195" s="6">
        <v>276</v>
      </c>
      <c r="AE195" s="6">
        <v>1282</v>
      </c>
      <c r="AF195" s="35">
        <f t="shared" si="33"/>
        <v>310</v>
      </c>
      <c r="AG195" s="6"/>
      <c r="AH195" s="6"/>
      <c r="AI195" s="34"/>
      <c r="AJ195" s="35">
        <v>653</v>
      </c>
      <c r="AK195" s="35"/>
      <c r="AL195" s="35">
        <f t="shared" si="34"/>
        <v>377</v>
      </c>
      <c r="AM195" s="6">
        <v>1009</v>
      </c>
      <c r="AN195" s="6"/>
      <c r="AO195" s="35">
        <f t="shared" si="35"/>
        <v>356</v>
      </c>
      <c r="AP195" s="6">
        <v>1345</v>
      </c>
      <c r="AQ195" s="6"/>
      <c r="AR195" s="35">
        <f t="shared" si="36"/>
        <v>336</v>
      </c>
      <c r="AS195" s="35">
        <v>161</v>
      </c>
      <c r="AT195" s="35">
        <v>1560</v>
      </c>
      <c r="AU195" s="35">
        <f t="shared" si="37"/>
        <v>376</v>
      </c>
      <c r="AV195" s="6">
        <v>545</v>
      </c>
      <c r="AW195" s="6"/>
      <c r="AX195" s="35">
        <f t="shared" si="38"/>
        <v>384</v>
      </c>
      <c r="AY195" s="35">
        <v>922</v>
      </c>
      <c r="AZ195" s="6"/>
      <c r="BA195" s="35">
        <f t="shared" si="39"/>
        <v>377</v>
      </c>
      <c r="BB195" s="6"/>
      <c r="BC195" s="6"/>
      <c r="BD195" s="6"/>
      <c r="BE195" s="6">
        <v>1309</v>
      </c>
      <c r="BF195" s="7"/>
      <c r="BG195" s="6">
        <f t="shared" si="40"/>
        <v>387</v>
      </c>
      <c r="BH195" s="7">
        <v>128</v>
      </c>
      <c r="BI195" s="7">
        <v>1560</v>
      </c>
      <c r="BJ195" s="35">
        <f t="shared" si="41"/>
        <v>379</v>
      </c>
      <c r="BK195" s="6">
        <v>518</v>
      </c>
      <c r="BL195" s="6"/>
      <c r="BM195" s="6">
        <f t="shared" si="42"/>
        <v>390</v>
      </c>
      <c r="BN195" s="35">
        <v>906</v>
      </c>
      <c r="BO195" s="6"/>
      <c r="BP195" s="35">
        <f t="shared" si="43"/>
        <v>388</v>
      </c>
      <c r="BQ195" s="6">
        <v>1294</v>
      </c>
      <c r="BR195" s="6"/>
      <c r="BS195" s="6">
        <f t="shared" si="44"/>
        <v>388</v>
      </c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</row>
    <row r="196" spans="1:113">
      <c r="A196" s="6">
        <v>192</v>
      </c>
      <c r="B196" s="6">
        <v>1065</v>
      </c>
      <c r="C196" s="6"/>
      <c r="D196" s="6">
        <v>359</v>
      </c>
      <c r="E196" s="33" t="s">
        <v>37</v>
      </c>
      <c r="F196" s="33" t="s">
        <v>37</v>
      </c>
      <c r="G196" s="344" t="s">
        <v>37</v>
      </c>
      <c r="H196" s="344" t="s">
        <v>37</v>
      </c>
      <c r="I196" s="344" t="s">
        <v>37</v>
      </c>
      <c r="J196" s="344" t="s">
        <v>37</v>
      </c>
      <c r="K196" s="344" t="s">
        <v>37</v>
      </c>
      <c r="L196" s="344" t="s">
        <v>37</v>
      </c>
      <c r="M196" s="344" t="s">
        <v>37</v>
      </c>
      <c r="N196" s="344" t="s">
        <v>37</v>
      </c>
      <c r="O196" s="344" t="s">
        <v>37</v>
      </c>
      <c r="P196" s="344" t="s">
        <v>37</v>
      </c>
      <c r="Q196" s="344" t="s">
        <v>37</v>
      </c>
      <c r="R196" s="344" t="s">
        <v>37</v>
      </c>
      <c r="S196" s="344" t="s">
        <v>37</v>
      </c>
      <c r="T196" s="346" t="s">
        <v>37</v>
      </c>
      <c r="U196" s="6">
        <v>1476</v>
      </c>
      <c r="V196" s="6"/>
      <c r="W196" s="35">
        <f t="shared" si="30"/>
        <v>411</v>
      </c>
      <c r="X196" s="6">
        <v>285</v>
      </c>
      <c r="Y196" s="6">
        <v>1560</v>
      </c>
      <c r="Z196" s="35">
        <f t="shared" si="31"/>
        <v>369</v>
      </c>
      <c r="AA196" s="35">
        <v>668</v>
      </c>
      <c r="AB196" s="35"/>
      <c r="AC196" s="35">
        <f t="shared" si="32"/>
        <v>383</v>
      </c>
      <c r="AD196" s="6">
        <v>1040</v>
      </c>
      <c r="AE196" s="6"/>
      <c r="AF196" s="35">
        <f t="shared" si="33"/>
        <v>372</v>
      </c>
      <c r="AG196" s="6"/>
      <c r="AH196" s="6"/>
      <c r="AI196" s="34"/>
      <c r="AJ196" s="35">
        <v>1419</v>
      </c>
      <c r="AK196" s="35"/>
      <c r="AL196" s="35">
        <f t="shared" si="34"/>
        <v>379</v>
      </c>
      <c r="AM196" s="6">
        <v>248</v>
      </c>
      <c r="AN196" s="6">
        <v>1560</v>
      </c>
      <c r="AO196" s="35">
        <f t="shared" si="35"/>
        <v>389</v>
      </c>
      <c r="AP196" s="6">
        <v>634</v>
      </c>
      <c r="AQ196" s="6"/>
      <c r="AR196" s="35">
        <f t="shared" si="36"/>
        <v>386</v>
      </c>
      <c r="AS196" s="35">
        <v>1023</v>
      </c>
      <c r="AT196" s="35"/>
      <c r="AU196" s="35">
        <f t="shared" si="37"/>
        <v>389</v>
      </c>
      <c r="AV196" s="6">
        <v>1413</v>
      </c>
      <c r="AW196" s="6"/>
      <c r="AX196" s="35">
        <f t="shared" si="38"/>
        <v>390</v>
      </c>
      <c r="AY196" s="35">
        <v>207</v>
      </c>
      <c r="AZ196" s="6">
        <v>1561</v>
      </c>
      <c r="BA196" s="35">
        <f t="shared" si="39"/>
        <v>355</v>
      </c>
      <c r="BB196" s="6"/>
      <c r="BC196" s="6"/>
      <c r="BD196" s="6"/>
      <c r="BE196" s="6">
        <v>595</v>
      </c>
      <c r="BF196" s="7"/>
      <c r="BG196" s="6">
        <f t="shared" si="40"/>
        <v>388</v>
      </c>
      <c r="BH196" s="7">
        <v>979</v>
      </c>
      <c r="BI196" s="7"/>
      <c r="BJ196" s="35">
        <f t="shared" si="41"/>
        <v>384</v>
      </c>
      <c r="BK196" s="6">
        <v>1366</v>
      </c>
      <c r="BL196" s="6"/>
      <c r="BM196" s="6">
        <f t="shared" si="42"/>
        <v>387</v>
      </c>
      <c r="BN196" s="35">
        <v>0</v>
      </c>
      <c r="BO196" s="6">
        <v>1648</v>
      </c>
      <c r="BP196" s="35">
        <f t="shared" si="43"/>
        <v>282</v>
      </c>
      <c r="BQ196" s="6">
        <v>327</v>
      </c>
      <c r="BR196" s="6"/>
      <c r="BS196" s="6">
        <f t="shared" si="44"/>
        <v>327</v>
      </c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</row>
    <row r="197" spans="1:113">
      <c r="A197" s="6">
        <v>193</v>
      </c>
      <c r="B197" s="6">
        <v>1044</v>
      </c>
      <c r="C197" s="6"/>
      <c r="D197" s="6">
        <v>356</v>
      </c>
      <c r="E197" s="33" t="s">
        <v>37</v>
      </c>
      <c r="F197" s="33" t="s">
        <v>37</v>
      </c>
      <c r="G197" s="344" t="s">
        <v>37</v>
      </c>
      <c r="H197" s="344" t="s">
        <v>37</v>
      </c>
      <c r="I197" s="344" t="s">
        <v>37</v>
      </c>
      <c r="J197" s="344" t="s">
        <v>37</v>
      </c>
      <c r="K197" s="344" t="s">
        <v>37</v>
      </c>
      <c r="L197" s="344" t="s">
        <v>37</v>
      </c>
      <c r="M197" s="344" t="s">
        <v>37</v>
      </c>
      <c r="N197" s="344" t="s">
        <v>37</v>
      </c>
      <c r="O197" s="344" t="s">
        <v>37</v>
      </c>
      <c r="P197" s="344" t="s">
        <v>37</v>
      </c>
      <c r="Q197" s="344" t="s">
        <v>37</v>
      </c>
      <c r="R197" s="344" t="s">
        <v>37</v>
      </c>
      <c r="S197" s="344" t="s">
        <v>37</v>
      </c>
      <c r="T197" s="346" t="s">
        <v>37</v>
      </c>
      <c r="U197" s="6">
        <v>1456</v>
      </c>
      <c r="V197" s="6"/>
      <c r="W197" s="35">
        <f t="shared" si="30"/>
        <v>412</v>
      </c>
      <c r="X197" s="6">
        <v>368</v>
      </c>
      <c r="Y197" s="6">
        <v>1471</v>
      </c>
      <c r="Z197" s="35">
        <f t="shared" si="31"/>
        <v>383</v>
      </c>
      <c r="AA197" s="35">
        <v>750</v>
      </c>
      <c r="AB197" s="35"/>
      <c r="AC197" s="35">
        <f t="shared" si="32"/>
        <v>382</v>
      </c>
      <c r="AD197" s="6">
        <v>1124</v>
      </c>
      <c r="AE197" s="6"/>
      <c r="AF197" s="35">
        <f t="shared" si="33"/>
        <v>374</v>
      </c>
      <c r="AG197" s="6"/>
      <c r="AH197" s="6"/>
      <c r="AI197" s="34"/>
      <c r="AJ197" s="35">
        <v>1511</v>
      </c>
      <c r="AK197" s="35"/>
      <c r="AL197" s="35">
        <f t="shared" si="34"/>
        <v>387</v>
      </c>
      <c r="AM197" s="6">
        <v>334</v>
      </c>
      <c r="AN197" s="6">
        <v>1560</v>
      </c>
      <c r="AO197" s="35">
        <f t="shared" si="35"/>
        <v>383</v>
      </c>
      <c r="AP197" s="6">
        <v>723</v>
      </c>
      <c r="AQ197" s="6"/>
      <c r="AR197" s="35">
        <f t="shared" si="36"/>
        <v>389</v>
      </c>
      <c r="AS197" s="35">
        <v>1111</v>
      </c>
      <c r="AT197" s="35"/>
      <c r="AU197" s="35">
        <f t="shared" si="37"/>
        <v>388</v>
      </c>
      <c r="AV197" s="6">
        <v>1497</v>
      </c>
      <c r="AW197" s="6"/>
      <c r="AX197" s="35">
        <f t="shared" si="38"/>
        <v>386</v>
      </c>
      <c r="AY197" s="35">
        <v>291</v>
      </c>
      <c r="AZ197" s="6">
        <v>1560</v>
      </c>
      <c r="BA197" s="35">
        <f t="shared" si="39"/>
        <v>354</v>
      </c>
      <c r="BB197" s="6"/>
      <c r="BC197" s="6"/>
      <c r="BD197" s="6"/>
      <c r="BE197" s="6">
        <v>680</v>
      </c>
      <c r="BF197" s="7"/>
      <c r="BG197" s="6">
        <f t="shared" si="40"/>
        <v>389</v>
      </c>
      <c r="BH197" s="7">
        <v>1064</v>
      </c>
      <c r="BI197" s="7"/>
      <c r="BJ197" s="35">
        <f t="shared" si="41"/>
        <v>384</v>
      </c>
      <c r="BK197" s="6">
        <v>1452</v>
      </c>
      <c r="BL197" s="6"/>
      <c r="BM197" s="6">
        <f t="shared" si="42"/>
        <v>388</v>
      </c>
      <c r="BN197" s="35">
        <v>0</v>
      </c>
      <c r="BO197" s="6">
        <v>1759</v>
      </c>
      <c r="BP197" s="35">
        <f t="shared" si="43"/>
        <v>307</v>
      </c>
      <c r="BQ197" s="6">
        <v>348</v>
      </c>
      <c r="BR197" s="6"/>
      <c r="BS197" s="6">
        <f t="shared" si="44"/>
        <v>348</v>
      </c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</row>
    <row r="198" spans="1:113">
      <c r="A198" s="274">
        <v>194</v>
      </c>
      <c r="B198" s="6">
        <v>1501</v>
      </c>
      <c r="C198" s="6"/>
      <c r="D198" s="6">
        <v>361</v>
      </c>
      <c r="E198" s="33" t="s">
        <v>37</v>
      </c>
      <c r="F198" s="33" t="s">
        <v>37</v>
      </c>
      <c r="G198" s="346" t="s">
        <v>37</v>
      </c>
      <c r="H198" s="344" t="s">
        <v>37</v>
      </c>
      <c r="I198" s="344" t="s">
        <v>37</v>
      </c>
      <c r="J198" s="344" t="s">
        <v>37</v>
      </c>
      <c r="K198" s="344" t="s">
        <v>37</v>
      </c>
      <c r="L198" s="344" t="s">
        <v>37</v>
      </c>
      <c r="M198" s="344" t="s">
        <v>37</v>
      </c>
      <c r="N198" s="344" t="s">
        <v>37</v>
      </c>
      <c r="O198" s="344" t="s">
        <v>37</v>
      </c>
      <c r="P198" s="344" t="s">
        <v>37</v>
      </c>
      <c r="Q198" s="344" t="s">
        <v>37</v>
      </c>
      <c r="R198" s="344" t="s">
        <v>37</v>
      </c>
      <c r="S198" s="344" t="s">
        <v>37</v>
      </c>
      <c r="T198" s="344" t="s">
        <v>37</v>
      </c>
      <c r="U198" s="6">
        <v>0</v>
      </c>
      <c r="V198" s="6">
        <v>1794</v>
      </c>
      <c r="W198" s="35">
        <f t="shared" ref="W198:W256" si="45">V198+U198-B198</f>
        <v>293</v>
      </c>
      <c r="X198" s="6">
        <v>304</v>
      </c>
      <c r="Y198" s="6"/>
      <c r="Z198" s="35">
        <f t="shared" ref="Z198:Z256" si="46">Y198+X198-U198</f>
        <v>304</v>
      </c>
      <c r="AA198" s="35">
        <v>691</v>
      </c>
      <c r="AB198" s="35"/>
      <c r="AC198" s="35">
        <f t="shared" ref="AC198:AC256" si="47">AB198+AA198-X198</f>
        <v>387</v>
      </c>
      <c r="AD198" s="6">
        <v>1066</v>
      </c>
      <c r="AE198" s="6"/>
      <c r="AF198" s="35">
        <f t="shared" ref="AF198:AF256" si="48">AE198+AD198-AA198</f>
        <v>375</v>
      </c>
      <c r="AG198" s="6"/>
      <c r="AH198" s="6"/>
      <c r="AI198" s="34"/>
      <c r="AJ198" s="35">
        <v>1454</v>
      </c>
      <c r="AK198" s="35"/>
      <c r="AL198" s="35">
        <f t="shared" ref="AL198:AL256" si="49">AK198+AJ198-AD198</f>
        <v>388</v>
      </c>
      <c r="AM198" s="6">
        <v>281</v>
      </c>
      <c r="AN198" s="6">
        <v>1560</v>
      </c>
      <c r="AO198" s="35">
        <f t="shared" ref="AO198:AO256" si="50">AN198+AM198-AJ198</f>
        <v>387</v>
      </c>
      <c r="AP198" s="6">
        <v>671</v>
      </c>
      <c r="AQ198" s="6"/>
      <c r="AR198" s="35">
        <f t="shared" ref="AR198:AR256" si="51">AQ198+AP198-AM198</f>
        <v>390</v>
      </c>
      <c r="AS198" s="35">
        <v>1060</v>
      </c>
      <c r="AT198" s="35"/>
      <c r="AU198" s="35">
        <f t="shared" ref="AU198:AU256" si="52">AT198+AS198-AP198</f>
        <v>389</v>
      </c>
      <c r="AV198" s="6">
        <v>1448</v>
      </c>
      <c r="AW198" s="6"/>
      <c r="AX198" s="35">
        <f t="shared" ref="AX198:AX256" si="53">AW198+AV198-AS198</f>
        <v>388</v>
      </c>
      <c r="AY198" s="35">
        <v>265</v>
      </c>
      <c r="AZ198" s="6">
        <v>1560</v>
      </c>
      <c r="BA198" s="35">
        <f t="shared" ref="BA198:BA256" si="54">AZ198+AY198-AV198</f>
        <v>377</v>
      </c>
      <c r="BB198" s="6"/>
      <c r="BC198" s="6"/>
      <c r="BD198" s="6"/>
      <c r="BE198" s="6">
        <v>660</v>
      </c>
      <c r="BF198" s="305"/>
      <c r="BG198" s="6">
        <f t="shared" ref="BG198:BG256" si="55">BF198+BE198-AY198</f>
        <v>395</v>
      </c>
      <c r="BH198" s="7">
        <v>1042</v>
      </c>
      <c r="BI198" s="7"/>
      <c r="BJ198" s="35">
        <f t="shared" ref="BJ198:BJ256" si="56">BI198+BH198-BE198</f>
        <v>382</v>
      </c>
      <c r="BK198" s="6">
        <v>1431</v>
      </c>
      <c r="BL198" s="6"/>
      <c r="BM198" s="6">
        <f t="shared" ref="BM198:BM256" si="57">BL198+BK198-BH198</f>
        <v>389</v>
      </c>
      <c r="BN198" s="35">
        <v>259</v>
      </c>
      <c r="BO198" s="6">
        <v>1560</v>
      </c>
      <c r="BP198" s="35">
        <f t="shared" ref="BP198:BP256" si="58">BO198+BN198-BK198</f>
        <v>388</v>
      </c>
      <c r="BQ198" s="6">
        <v>646</v>
      </c>
      <c r="BR198" s="6"/>
      <c r="BS198" s="6">
        <f t="shared" ref="BS198:BS256" si="59">BR198+BQ198-BN198</f>
        <v>387</v>
      </c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</row>
    <row r="199" spans="1:113">
      <c r="A199" s="6">
        <v>195</v>
      </c>
      <c r="B199" s="6">
        <v>0</v>
      </c>
      <c r="C199" s="6">
        <v>1611</v>
      </c>
      <c r="D199" s="6">
        <v>126</v>
      </c>
      <c r="E199" s="33" t="s">
        <v>37</v>
      </c>
      <c r="F199" s="148" t="s">
        <v>37</v>
      </c>
      <c r="G199" s="344" t="s">
        <v>37</v>
      </c>
      <c r="H199" s="344" t="s">
        <v>37</v>
      </c>
      <c r="I199" s="344" t="s">
        <v>37</v>
      </c>
      <c r="J199" s="344" t="s">
        <v>37</v>
      </c>
      <c r="K199" s="344" t="s">
        <v>37</v>
      </c>
      <c r="L199" s="344" t="s">
        <v>37</v>
      </c>
      <c r="M199" s="344" t="s">
        <v>37</v>
      </c>
      <c r="N199" s="344" t="s">
        <v>37</v>
      </c>
      <c r="O199" s="344" t="s">
        <v>37</v>
      </c>
      <c r="P199" s="344" t="s">
        <v>37</v>
      </c>
      <c r="Q199" s="344" t="s">
        <v>37</v>
      </c>
      <c r="R199" s="344" t="s">
        <v>37</v>
      </c>
      <c r="S199" s="344" t="s">
        <v>37</v>
      </c>
      <c r="T199" s="344" t="s">
        <v>37</v>
      </c>
      <c r="U199" s="35">
        <v>367</v>
      </c>
      <c r="V199" s="35"/>
      <c r="W199" s="35">
        <f t="shared" si="45"/>
        <v>367</v>
      </c>
      <c r="X199" s="35">
        <v>754</v>
      </c>
      <c r="Y199" s="35"/>
      <c r="Z199" s="35">
        <f t="shared" si="46"/>
        <v>387</v>
      </c>
      <c r="AA199" s="35">
        <v>1141</v>
      </c>
      <c r="AB199" s="35"/>
      <c r="AC199" s="35">
        <f t="shared" si="47"/>
        <v>387</v>
      </c>
      <c r="AD199" s="35">
        <v>1516</v>
      </c>
      <c r="AE199" s="35"/>
      <c r="AF199" s="35">
        <f t="shared" si="48"/>
        <v>375</v>
      </c>
      <c r="AG199" s="35"/>
      <c r="AH199" s="35"/>
      <c r="AI199" s="34"/>
      <c r="AJ199" s="35">
        <v>337</v>
      </c>
      <c r="AK199" s="35">
        <v>1560</v>
      </c>
      <c r="AL199" s="35">
        <f t="shared" si="49"/>
        <v>381</v>
      </c>
      <c r="AM199" s="6">
        <v>721</v>
      </c>
      <c r="AN199" s="6"/>
      <c r="AO199" s="35">
        <f t="shared" si="50"/>
        <v>384</v>
      </c>
      <c r="AP199" s="6">
        <v>1109</v>
      </c>
      <c r="AQ199" s="6"/>
      <c r="AR199" s="35">
        <f t="shared" si="51"/>
        <v>388</v>
      </c>
      <c r="AS199" s="6">
        <v>1495</v>
      </c>
      <c r="AT199" s="6"/>
      <c r="AU199" s="35">
        <f t="shared" si="52"/>
        <v>386</v>
      </c>
      <c r="AV199" s="6">
        <v>307</v>
      </c>
      <c r="AW199" s="6">
        <v>1570</v>
      </c>
      <c r="AX199" s="35">
        <f t="shared" si="53"/>
        <v>382</v>
      </c>
      <c r="AY199" s="35">
        <v>680</v>
      </c>
      <c r="AZ199" s="6"/>
      <c r="BA199" s="35">
        <f t="shared" si="54"/>
        <v>373</v>
      </c>
      <c r="BB199" s="6"/>
      <c r="BC199" s="35"/>
      <c r="BD199" s="6"/>
      <c r="BE199" s="6">
        <v>221</v>
      </c>
      <c r="BF199" s="305">
        <v>838</v>
      </c>
      <c r="BG199" s="6">
        <f t="shared" si="55"/>
        <v>379</v>
      </c>
      <c r="BH199" s="7">
        <v>605</v>
      </c>
      <c r="BI199" s="7"/>
      <c r="BJ199" s="35">
        <f t="shared" si="56"/>
        <v>384</v>
      </c>
      <c r="BK199" s="35">
        <v>994</v>
      </c>
      <c r="BL199" s="6"/>
      <c r="BM199" s="6">
        <f t="shared" si="57"/>
        <v>389</v>
      </c>
      <c r="BN199" s="35">
        <v>1</v>
      </c>
      <c r="BO199" s="6">
        <v>1380</v>
      </c>
      <c r="BP199" s="35">
        <f t="shared" si="58"/>
        <v>387</v>
      </c>
      <c r="BQ199" s="6">
        <v>380</v>
      </c>
      <c r="BR199" s="35"/>
      <c r="BS199" s="6">
        <f t="shared" si="59"/>
        <v>379</v>
      </c>
      <c r="BT199" s="6"/>
      <c r="BU199" s="6"/>
      <c r="BV199" s="6"/>
      <c r="BW199" s="6"/>
      <c r="BX199" s="35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35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</row>
    <row r="200" spans="1:113">
      <c r="A200" s="274">
        <v>196</v>
      </c>
      <c r="B200" s="6">
        <v>1338</v>
      </c>
      <c r="C200" s="6"/>
      <c r="D200" s="6">
        <v>363</v>
      </c>
      <c r="E200" s="33" t="s">
        <v>37</v>
      </c>
      <c r="F200" s="33" t="s">
        <v>37</v>
      </c>
      <c r="G200" s="346" t="s">
        <v>37</v>
      </c>
      <c r="H200" s="344" t="s">
        <v>37</v>
      </c>
      <c r="I200" s="344" t="s">
        <v>37</v>
      </c>
      <c r="J200" s="344" t="s">
        <v>37</v>
      </c>
      <c r="K200" s="344" t="s">
        <v>37</v>
      </c>
      <c r="L200" s="344" t="s">
        <v>37</v>
      </c>
      <c r="M200" s="344" t="s">
        <v>37</v>
      </c>
      <c r="N200" s="344" t="s">
        <v>37</v>
      </c>
      <c r="O200" s="344" t="s">
        <v>37</v>
      </c>
      <c r="P200" s="344" t="s">
        <v>37</v>
      </c>
      <c r="Q200" s="344" t="s">
        <v>37</v>
      </c>
      <c r="R200" s="344" t="s">
        <v>37</v>
      </c>
      <c r="S200" s="344" t="s">
        <v>37</v>
      </c>
      <c r="T200" s="344" t="s">
        <v>37</v>
      </c>
      <c r="U200" s="6">
        <v>1750</v>
      </c>
      <c r="V200" s="6"/>
      <c r="W200" s="35">
        <f t="shared" si="45"/>
        <v>412</v>
      </c>
      <c r="X200" s="6">
        <v>250</v>
      </c>
      <c r="Y200" s="6">
        <v>1850</v>
      </c>
      <c r="Z200" s="35">
        <f t="shared" si="46"/>
        <v>350</v>
      </c>
      <c r="AA200" s="35">
        <v>636</v>
      </c>
      <c r="AB200" s="35"/>
      <c r="AC200" s="35">
        <f t="shared" si="47"/>
        <v>386</v>
      </c>
      <c r="AD200" s="6">
        <v>316</v>
      </c>
      <c r="AE200" s="6">
        <v>691</v>
      </c>
      <c r="AF200" s="35">
        <f t="shared" si="48"/>
        <v>371</v>
      </c>
      <c r="AG200" s="35"/>
      <c r="AH200" s="6"/>
      <c r="AI200" s="34"/>
      <c r="AJ200" s="35">
        <v>703</v>
      </c>
      <c r="AK200" s="35"/>
      <c r="AL200" s="35">
        <f t="shared" si="49"/>
        <v>387</v>
      </c>
      <c r="AM200" s="6">
        <v>1091</v>
      </c>
      <c r="AN200" s="6"/>
      <c r="AO200" s="35">
        <f t="shared" si="50"/>
        <v>388</v>
      </c>
      <c r="AP200" s="6">
        <v>1481</v>
      </c>
      <c r="AQ200" s="6"/>
      <c r="AR200" s="35">
        <f t="shared" si="51"/>
        <v>390</v>
      </c>
      <c r="AS200" s="35">
        <v>15</v>
      </c>
      <c r="AT200" s="35">
        <f>1560+272</f>
        <v>1832</v>
      </c>
      <c r="AU200" s="35">
        <f t="shared" si="52"/>
        <v>366</v>
      </c>
      <c r="AV200" s="6">
        <v>403</v>
      </c>
      <c r="AW200" s="6"/>
      <c r="AX200" s="35">
        <f t="shared" si="53"/>
        <v>388</v>
      </c>
      <c r="AY200" s="35">
        <v>238</v>
      </c>
      <c r="AZ200" s="6">
        <v>528</v>
      </c>
      <c r="BA200" s="35">
        <f t="shared" si="54"/>
        <v>363</v>
      </c>
      <c r="BB200" s="6"/>
      <c r="BC200" s="6"/>
      <c r="BD200" s="6"/>
      <c r="BE200" s="6">
        <v>631</v>
      </c>
      <c r="BF200" s="305"/>
      <c r="BG200" s="6">
        <f t="shared" si="55"/>
        <v>393</v>
      </c>
      <c r="BH200" s="7">
        <v>1013</v>
      </c>
      <c r="BI200" s="7"/>
      <c r="BJ200" s="35">
        <f t="shared" si="56"/>
        <v>382</v>
      </c>
      <c r="BK200" s="35">
        <v>1401</v>
      </c>
      <c r="BL200" s="6"/>
      <c r="BM200" s="6">
        <f t="shared" si="57"/>
        <v>388</v>
      </c>
      <c r="BN200" s="35">
        <v>212</v>
      </c>
      <c r="BO200" s="6">
        <v>1575</v>
      </c>
      <c r="BP200" s="35">
        <f t="shared" si="58"/>
        <v>386</v>
      </c>
      <c r="BQ200" s="6">
        <v>258</v>
      </c>
      <c r="BR200" s="6">
        <v>335</v>
      </c>
      <c r="BS200" s="6">
        <f t="shared" si="59"/>
        <v>381</v>
      </c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</row>
    <row r="201" spans="1:113">
      <c r="A201" s="6">
        <v>197</v>
      </c>
      <c r="B201" s="6">
        <v>1432</v>
      </c>
      <c r="C201" s="10"/>
      <c r="D201" s="6">
        <v>360</v>
      </c>
      <c r="E201" s="33" t="s">
        <v>37</v>
      </c>
      <c r="F201" s="33" t="s">
        <v>37</v>
      </c>
      <c r="G201" s="346" t="s">
        <v>37</v>
      </c>
      <c r="H201" s="344" t="s">
        <v>37</v>
      </c>
      <c r="I201" s="344" t="s">
        <v>37</v>
      </c>
      <c r="J201" s="344" t="s">
        <v>37</v>
      </c>
      <c r="K201" s="344" t="s">
        <v>37</v>
      </c>
      <c r="L201" s="344" t="s">
        <v>37</v>
      </c>
      <c r="M201" s="344" t="s">
        <v>37</v>
      </c>
      <c r="N201" s="344" t="s">
        <v>37</v>
      </c>
      <c r="O201" s="344" t="s">
        <v>37</v>
      </c>
      <c r="P201" s="344" t="s">
        <v>37</v>
      </c>
      <c r="Q201" s="344" t="s">
        <v>37</v>
      </c>
      <c r="R201" s="344" t="s">
        <v>37</v>
      </c>
      <c r="S201" s="344" t="s">
        <v>37</v>
      </c>
      <c r="T201" s="344" t="s">
        <v>37</v>
      </c>
      <c r="U201" s="6">
        <v>0</v>
      </c>
      <c r="V201" s="6">
        <v>1642</v>
      </c>
      <c r="W201" s="35">
        <f t="shared" si="45"/>
        <v>210</v>
      </c>
      <c r="X201" s="6">
        <v>355</v>
      </c>
      <c r="Y201" s="6"/>
      <c r="Z201" s="35">
        <f t="shared" si="46"/>
        <v>355</v>
      </c>
      <c r="AA201" s="35">
        <v>741</v>
      </c>
      <c r="AB201" s="35"/>
      <c r="AC201" s="35">
        <f t="shared" si="47"/>
        <v>386</v>
      </c>
      <c r="AD201" s="6">
        <v>1109</v>
      </c>
      <c r="AE201" s="6"/>
      <c r="AF201" s="35">
        <f t="shared" si="48"/>
        <v>368</v>
      </c>
      <c r="AG201" s="6"/>
      <c r="AH201" s="6"/>
      <c r="AI201" s="34"/>
      <c r="AJ201" s="35">
        <v>1505</v>
      </c>
      <c r="AK201" s="35"/>
      <c r="AL201" s="35">
        <f t="shared" si="49"/>
        <v>396</v>
      </c>
      <c r="AM201" s="6">
        <v>312</v>
      </c>
      <c r="AN201" s="6">
        <v>1560</v>
      </c>
      <c r="AO201" s="35">
        <f t="shared" si="50"/>
        <v>367</v>
      </c>
      <c r="AP201" s="6">
        <v>694</v>
      </c>
      <c r="AQ201" s="6"/>
      <c r="AR201" s="35">
        <f t="shared" si="51"/>
        <v>382</v>
      </c>
      <c r="AS201" s="35">
        <v>1069</v>
      </c>
      <c r="AT201" s="35"/>
      <c r="AU201" s="35">
        <f t="shared" si="52"/>
        <v>375</v>
      </c>
      <c r="AV201" s="6">
        <v>1458</v>
      </c>
      <c r="AW201" s="6"/>
      <c r="AX201" s="35">
        <f t="shared" si="53"/>
        <v>389</v>
      </c>
      <c r="AY201" s="35">
        <v>250</v>
      </c>
      <c r="AZ201" s="6">
        <v>1560</v>
      </c>
      <c r="BA201" s="35">
        <f t="shared" si="54"/>
        <v>352</v>
      </c>
      <c r="BB201" s="6"/>
      <c r="BC201" s="6"/>
      <c r="BD201" s="6"/>
      <c r="BE201" s="6">
        <v>630</v>
      </c>
      <c r="BF201" s="305"/>
      <c r="BG201" s="6">
        <f t="shared" si="55"/>
        <v>380</v>
      </c>
      <c r="BH201" s="7">
        <v>999</v>
      </c>
      <c r="BI201" s="7"/>
      <c r="BJ201" s="35">
        <f t="shared" si="56"/>
        <v>369</v>
      </c>
      <c r="BK201" s="35">
        <v>1359</v>
      </c>
      <c r="BL201" s="6"/>
      <c r="BM201" s="6">
        <f t="shared" si="57"/>
        <v>360</v>
      </c>
      <c r="BN201" s="35">
        <v>182</v>
      </c>
      <c r="BO201" s="6">
        <v>1560</v>
      </c>
      <c r="BP201" s="35">
        <f t="shared" si="58"/>
        <v>383</v>
      </c>
      <c r="BQ201" s="6">
        <v>568</v>
      </c>
      <c r="BR201" s="6"/>
      <c r="BS201" s="6">
        <f t="shared" si="59"/>
        <v>386</v>
      </c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10"/>
      <c r="CZ201" s="6"/>
      <c r="DA201" s="6"/>
      <c r="DB201" s="10"/>
      <c r="DC201" s="6"/>
      <c r="DD201" s="6"/>
      <c r="DE201" s="10"/>
      <c r="DF201" s="6"/>
      <c r="DG201" s="6"/>
      <c r="DH201" s="10"/>
      <c r="DI201" s="6"/>
    </row>
    <row r="202" spans="1:113">
      <c r="A202" s="6">
        <v>198</v>
      </c>
      <c r="B202" s="6">
        <v>279</v>
      </c>
      <c r="C202" s="10">
        <v>810</v>
      </c>
      <c r="D202" s="6">
        <v>328</v>
      </c>
      <c r="E202" s="148" t="s">
        <v>37</v>
      </c>
      <c r="F202" s="33" t="s">
        <v>37</v>
      </c>
      <c r="G202" s="344" t="s">
        <v>37</v>
      </c>
      <c r="H202" s="344" t="s">
        <v>37</v>
      </c>
      <c r="I202" s="344" t="s">
        <v>37</v>
      </c>
      <c r="J202" s="344" t="s">
        <v>37</v>
      </c>
      <c r="K202" s="344" t="s">
        <v>37</v>
      </c>
      <c r="L202" s="344" t="s">
        <v>37</v>
      </c>
      <c r="M202" s="344" t="s">
        <v>37</v>
      </c>
      <c r="N202" s="344" t="s">
        <v>37</v>
      </c>
      <c r="O202" s="344" t="s">
        <v>37</v>
      </c>
      <c r="P202" s="344" t="s">
        <v>37</v>
      </c>
      <c r="Q202" s="344" t="s">
        <v>37</v>
      </c>
      <c r="R202" s="344" t="s">
        <v>37</v>
      </c>
      <c r="S202" s="344" t="s">
        <v>37</v>
      </c>
      <c r="T202" s="344" t="s">
        <v>37</v>
      </c>
      <c r="U202" s="6">
        <v>690</v>
      </c>
      <c r="V202" s="6"/>
      <c r="W202" s="35">
        <f t="shared" si="45"/>
        <v>411</v>
      </c>
      <c r="X202" s="6">
        <v>1066</v>
      </c>
      <c r="Y202" s="6"/>
      <c r="Z202" s="35">
        <f t="shared" si="46"/>
        <v>376</v>
      </c>
      <c r="AA202" s="35">
        <v>197</v>
      </c>
      <c r="AB202" s="35">
        <v>1235</v>
      </c>
      <c r="AC202" s="35">
        <f t="shared" si="47"/>
        <v>366</v>
      </c>
      <c r="AD202" s="6">
        <v>568</v>
      </c>
      <c r="AE202" s="6"/>
      <c r="AF202" s="35">
        <f t="shared" si="48"/>
        <v>371</v>
      </c>
      <c r="AG202" s="6"/>
      <c r="AH202" s="6"/>
      <c r="AI202" s="34"/>
      <c r="AJ202" s="35">
        <v>954</v>
      </c>
      <c r="AK202" s="35"/>
      <c r="AL202" s="35">
        <f t="shared" si="49"/>
        <v>386</v>
      </c>
      <c r="AM202" s="6">
        <v>1335</v>
      </c>
      <c r="AN202" s="6"/>
      <c r="AO202" s="35">
        <f t="shared" si="50"/>
        <v>381</v>
      </c>
      <c r="AP202" s="6">
        <v>155</v>
      </c>
      <c r="AQ202" s="6">
        <v>1560</v>
      </c>
      <c r="AR202" s="35">
        <f t="shared" si="51"/>
        <v>380</v>
      </c>
      <c r="AS202" s="35">
        <v>542</v>
      </c>
      <c r="AT202" s="35"/>
      <c r="AU202" s="35">
        <f t="shared" si="52"/>
        <v>387</v>
      </c>
      <c r="AV202" s="6">
        <v>928</v>
      </c>
      <c r="AW202" s="6"/>
      <c r="AX202" s="35">
        <f t="shared" si="53"/>
        <v>386</v>
      </c>
      <c r="AY202" s="35">
        <v>1295</v>
      </c>
      <c r="AZ202" s="6"/>
      <c r="BA202" s="35">
        <f t="shared" si="54"/>
        <v>367</v>
      </c>
      <c r="BB202" s="6"/>
      <c r="BC202" s="6"/>
      <c r="BD202" s="6"/>
      <c r="BE202" s="6">
        <v>380</v>
      </c>
      <c r="BF202" s="305">
        <v>1305</v>
      </c>
      <c r="BG202" s="6">
        <f t="shared" si="55"/>
        <v>390</v>
      </c>
      <c r="BH202" s="7">
        <v>764</v>
      </c>
      <c r="BI202" s="7"/>
      <c r="BJ202" s="35">
        <f t="shared" si="56"/>
        <v>384</v>
      </c>
      <c r="BK202" s="35">
        <v>1154</v>
      </c>
      <c r="BL202" s="6"/>
      <c r="BM202" s="6">
        <f t="shared" si="57"/>
        <v>390</v>
      </c>
      <c r="BN202" s="35">
        <v>23</v>
      </c>
      <c r="BO202" s="6">
        <v>1515</v>
      </c>
      <c r="BP202" s="35">
        <f t="shared" si="58"/>
        <v>384</v>
      </c>
      <c r="BQ202" s="6">
        <v>410</v>
      </c>
      <c r="BR202" s="6"/>
      <c r="BS202" s="6">
        <f t="shared" si="59"/>
        <v>387</v>
      </c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10"/>
      <c r="CZ202" s="6"/>
      <c r="DA202" s="6"/>
      <c r="DB202" s="10"/>
      <c r="DC202" s="6"/>
      <c r="DD202" s="6"/>
      <c r="DE202" s="10"/>
      <c r="DF202" s="6"/>
      <c r="DG202" s="6"/>
      <c r="DH202" s="10"/>
      <c r="DI202" s="6"/>
    </row>
    <row r="203" spans="1:113">
      <c r="A203" s="274">
        <v>199</v>
      </c>
      <c r="B203" s="6">
        <v>1061</v>
      </c>
      <c r="C203" s="10"/>
      <c r="D203" s="6">
        <v>360</v>
      </c>
      <c r="E203" s="33" t="s">
        <v>37</v>
      </c>
      <c r="F203" s="33" t="s">
        <v>37</v>
      </c>
      <c r="G203" s="346" t="s">
        <v>37</v>
      </c>
      <c r="H203" s="344" t="s">
        <v>37</v>
      </c>
      <c r="I203" s="344" t="s">
        <v>37</v>
      </c>
      <c r="J203" s="344" t="s">
        <v>37</v>
      </c>
      <c r="K203" s="344" t="s">
        <v>37</v>
      </c>
      <c r="L203" s="344" t="s">
        <v>37</v>
      </c>
      <c r="M203" s="344" t="s">
        <v>37</v>
      </c>
      <c r="N203" s="344" t="s">
        <v>37</v>
      </c>
      <c r="O203" s="344" t="s">
        <v>37</v>
      </c>
      <c r="P203" s="344" t="s">
        <v>37</v>
      </c>
      <c r="Q203" s="344" t="s">
        <v>37</v>
      </c>
      <c r="R203" s="344" t="s">
        <v>37</v>
      </c>
      <c r="S203" s="344" t="s">
        <v>37</v>
      </c>
      <c r="T203" s="344" t="s">
        <v>37</v>
      </c>
      <c r="U203" s="6">
        <v>1465</v>
      </c>
      <c r="V203" s="6"/>
      <c r="W203" s="35">
        <f t="shared" si="45"/>
        <v>404</v>
      </c>
      <c r="X203" s="6">
        <v>241</v>
      </c>
      <c r="Y203" s="6">
        <v>1563</v>
      </c>
      <c r="Z203" s="35">
        <f t="shared" si="46"/>
        <v>339</v>
      </c>
      <c r="AA203" s="35">
        <v>623</v>
      </c>
      <c r="AB203" s="35"/>
      <c r="AC203" s="35">
        <f t="shared" si="47"/>
        <v>382</v>
      </c>
      <c r="AD203" s="6">
        <v>994</v>
      </c>
      <c r="AE203" s="6"/>
      <c r="AF203" s="35">
        <f t="shared" si="48"/>
        <v>371</v>
      </c>
      <c r="AG203" s="6"/>
      <c r="AH203" s="6"/>
      <c r="AI203" s="34"/>
      <c r="AJ203" s="35">
        <v>1377</v>
      </c>
      <c r="AK203" s="35"/>
      <c r="AL203" s="35">
        <f t="shared" si="49"/>
        <v>383</v>
      </c>
      <c r="AM203" s="6">
        <v>193</v>
      </c>
      <c r="AN203" s="6">
        <v>1560</v>
      </c>
      <c r="AO203" s="35">
        <f t="shared" si="50"/>
        <v>376</v>
      </c>
      <c r="AP203" s="6">
        <v>577</v>
      </c>
      <c r="AQ203" s="6"/>
      <c r="AR203" s="35">
        <f t="shared" si="51"/>
        <v>384</v>
      </c>
      <c r="AS203" s="35">
        <v>963</v>
      </c>
      <c r="AT203" s="35"/>
      <c r="AU203" s="35">
        <f t="shared" si="52"/>
        <v>386</v>
      </c>
      <c r="AV203" s="6">
        <v>1345</v>
      </c>
      <c r="AW203" s="6"/>
      <c r="AX203" s="35">
        <f t="shared" si="53"/>
        <v>382</v>
      </c>
      <c r="AY203" s="35">
        <v>160</v>
      </c>
      <c r="AZ203" s="6">
        <v>1560</v>
      </c>
      <c r="BA203" s="35">
        <f t="shared" si="54"/>
        <v>375</v>
      </c>
      <c r="BB203" s="6"/>
      <c r="BC203" s="6"/>
      <c r="BD203" s="6"/>
      <c r="BE203" s="6">
        <v>553</v>
      </c>
      <c r="BF203" s="305"/>
      <c r="BG203" s="6">
        <f t="shared" si="55"/>
        <v>393</v>
      </c>
      <c r="BH203" s="7">
        <v>937</v>
      </c>
      <c r="BI203" s="7"/>
      <c r="BJ203" s="35">
        <f t="shared" si="56"/>
        <v>384</v>
      </c>
      <c r="BK203" s="35">
        <v>1305</v>
      </c>
      <c r="BL203" s="6"/>
      <c r="BM203" s="6">
        <f t="shared" si="57"/>
        <v>368</v>
      </c>
      <c r="BN203" s="35">
        <v>133</v>
      </c>
      <c r="BO203" s="6">
        <v>1560</v>
      </c>
      <c r="BP203" s="35">
        <f t="shared" si="58"/>
        <v>388</v>
      </c>
      <c r="BQ203" s="6">
        <v>518</v>
      </c>
      <c r="BR203" s="6"/>
      <c r="BS203" s="6">
        <f t="shared" si="59"/>
        <v>385</v>
      </c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10"/>
      <c r="CZ203" s="6"/>
      <c r="DA203" s="6"/>
      <c r="DB203" s="10"/>
      <c r="DC203" s="6"/>
      <c r="DD203" s="6"/>
      <c r="DE203" s="10"/>
      <c r="DF203" s="6"/>
      <c r="DG203" s="6"/>
      <c r="DH203" s="10"/>
      <c r="DI203" s="6"/>
    </row>
    <row r="204" spans="1:113">
      <c r="A204" s="274">
        <v>200</v>
      </c>
      <c r="B204" s="6">
        <v>968</v>
      </c>
      <c r="C204" s="10"/>
      <c r="D204" s="6">
        <v>352</v>
      </c>
      <c r="E204" s="33" t="s">
        <v>37</v>
      </c>
      <c r="F204" s="33" t="s">
        <v>37</v>
      </c>
      <c r="G204" s="344" t="s">
        <v>37</v>
      </c>
      <c r="H204" s="346" t="s">
        <v>37</v>
      </c>
      <c r="I204" s="344" t="s">
        <v>37</v>
      </c>
      <c r="J204" s="344" t="s">
        <v>37</v>
      </c>
      <c r="K204" s="344" t="s">
        <v>37</v>
      </c>
      <c r="L204" s="344" t="s">
        <v>37</v>
      </c>
      <c r="M204" s="344" t="s">
        <v>37</v>
      </c>
      <c r="N204" s="344" t="s">
        <v>37</v>
      </c>
      <c r="O204" s="344" t="s">
        <v>37</v>
      </c>
      <c r="P204" s="344" t="s">
        <v>37</v>
      </c>
      <c r="Q204" s="344" t="s">
        <v>37</v>
      </c>
      <c r="R204" s="344" t="s">
        <v>37</v>
      </c>
      <c r="S204" s="344" t="s">
        <v>37</v>
      </c>
      <c r="T204" s="344" t="s">
        <v>37</v>
      </c>
      <c r="U204" s="6">
        <v>1370</v>
      </c>
      <c r="V204" s="6"/>
      <c r="W204" s="35">
        <f t="shared" si="45"/>
        <v>402</v>
      </c>
      <c r="X204" s="6">
        <v>0</v>
      </c>
      <c r="Y204" s="6">
        <v>1656</v>
      </c>
      <c r="Z204" s="35">
        <f t="shared" si="46"/>
        <v>286</v>
      </c>
      <c r="AA204" s="35">
        <v>329</v>
      </c>
      <c r="AB204" s="35"/>
      <c r="AC204" s="35">
        <f t="shared" si="47"/>
        <v>329</v>
      </c>
      <c r="AD204" s="6">
        <v>696</v>
      </c>
      <c r="AE204" s="6"/>
      <c r="AF204" s="35">
        <f t="shared" si="48"/>
        <v>367</v>
      </c>
      <c r="AG204" s="6"/>
      <c r="AH204" s="6"/>
      <c r="AI204" s="34"/>
      <c r="AJ204" s="35">
        <v>1079</v>
      </c>
      <c r="AK204" s="35"/>
      <c r="AL204" s="35">
        <f t="shared" si="49"/>
        <v>383</v>
      </c>
      <c r="AM204" s="6">
        <v>1460</v>
      </c>
      <c r="AN204" s="6"/>
      <c r="AO204" s="35">
        <f t="shared" si="50"/>
        <v>381</v>
      </c>
      <c r="AP204" s="6">
        <v>282</v>
      </c>
      <c r="AQ204" s="6">
        <v>1560</v>
      </c>
      <c r="AR204" s="35">
        <f t="shared" si="51"/>
        <v>382</v>
      </c>
      <c r="AS204" s="35">
        <v>158</v>
      </c>
      <c r="AT204" s="35">
        <v>477</v>
      </c>
      <c r="AU204" s="35">
        <f t="shared" si="52"/>
        <v>353</v>
      </c>
      <c r="AV204" s="6">
        <v>545</v>
      </c>
      <c r="AW204" s="6"/>
      <c r="AX204" s="35">
        <f t="shared" si="53"/>
        <v>387</v>
      </c>
      <c r="AY204" s="35">
        <v>917</v>
      </c>
      <c r="AZ204" s="6"/>
      <c r="BA204" s="35">
        <f t="shared" si="54"/>
        <v>372</v>
      </c>
      <c r="BB204" s="6"/>
      <c r="BC204" s="6"/>
      <c r="BD204" s="6"/>
      <c r="BE204" s="35">
        <v>1308</v>
      </c>
      <c r="BF204" s="305"/>
      <c r="BG204" s="6">
        <f t="shared" si="55"/>
        <v>391</v>
      </c>
      <c r="BH204" s="305">
        <v>115</v>
      </c>
      <c r="BI204" s="7">
        <v>1570</v>
      </c>
      <c r="BJ204" s="35">
        <f t="shared" si="56"/>
        <v>377</v>
      </c>
      <c r="BK204" s="35">
        <v>501</v>
      </c>
      <c r="BL204" s="6"/>
      <c r="BM204" s="6">
        <f t="shared" si="57"/>
        <v>386</v>
      </c>
      <c r="BN204" s="35">
        <v>872</v>
      </c>
      <c r="BO204" s="6"/>
      <c r="BP204" s="35">
        <f t="shared" si="58"/>
        <v>371</v>
      </c>
      <c r="BQ204" s="6">
        <v>1242</v>
      </c>
      <c r="BR204" s="6"/>
      <c r="BS204" s="6">
        <f t="shared" si="59"/>
        <v>370</v>
      </c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10"/>
      <c r="CZ204" s="6"/>
      <c r="DA204" s="6"/>
      <c r="DB204" s="10"/>
      <c r="DC204" s="6"/>
      <c r="DD204" s="6"/>
      <c r="DE204" s="10"/>
      <c r="DF204" s="6"/>
      <c r="DG204" s="6"/>
      <c r="DH204" s="10"/>
      <c r="DI204" s="6"/>
    </row>
    <row r="205" spans="1:113">
      <c r="A205" s="6">
        <v>201</v>
      </c>
      <c r="B205" s="6">
        <v>325</v>
      </c>
      <c r="C205" s="10"/>
      <c r="D205" s="6">
        <v>325</v>
      </c>
      <c r="E205" s="163" t="s">
        <v>37</v>
      </c>
      <c r="F205" s="141" t="s">
        <v>37</v>
      </c>
      <c r="G205" s="347" t="s">
        <v>37</v>
      </c>
      <c r="H205" s="347" t="s">
        <v>37</v>
      </c>
      <c r="I205" s="347" t="s">
        <v>37</v>
      </c>
      <c r="J205" s="347" t="s">
        <v>37</v>
      </c>
      <c r="K205" s="347" t="s">
        <v>37</v>
      </c>
      <c r="L205" s="347" t="s">
        <v>37</v>
      </c>
      <c r="M205" s="347" t="s">
        <v>37</v>
      </c>
      <c r="N205" s="347" t="s">
        <v>37</v>
      </c>
      <c r="O205" s="347" t="s">
        <v>37</v>
      </c>
      <c r="P205" s="347" t="s">
        <v>37</v>
      </c>
      <c r="Q205" s="347" t="s">
        <v>37</v>
      </c>
      <c r="R205" s="347" t="s">
        <v>37</v>
      </c>
      <c r="S205" s="347" t="s">
        <v>37</v>
      </c>
      <c r="T205" s="347" t="s">
        <v>37</v>
      </c>
      <c r="U205" s="6">
        <v>728</v>
      </c>
      <c r="V205" s="6"/>
      <c r="W205" s="35">
        <f t="shared" si="45"/>
        <v>403</v>
      </c>
      <c r="X205" s="6">
        <v>1106</v>
      </c>
      <c r="Y205" s="6"/>
      <c r="Z205" s="35">
        <f t="shared" si="46"/>
        <v>378</v>
      </c>
      <c r="AA205" s="35">
        <v>1485</v>
      </c>
      <c r="AB205" s="35"/>
      <c r="AC205" s="35">
        <f t="shared" si="47"/>
        <v>379</v>
      </c>
      <c r="AD205" s="6">
        <v>288</v>
      </c>
      <c r="AE205" s="6">
        <v>1560</v>
      </c>
      <c r="AF205" s="35">
        <f t="shared" si="48"/>
        <v>363</v>
      </c>
      <c r="AG205" s="35"/>
      <c r="AH205" s="6"/>
      <c r="AI205" s="34"/>
      <c r="AJ205" s="35">
        <v>665</v>
      </c>
      <c r="AK205" s="35"/>
      <c r="AL205" s="35">
        <f t="shared" si="49"/>
        <v>377</v>
      </c>
      <c r="AM205" s="6">
        <v>1046</v>
      </c>
      <c r="AN205" s="6"/>
      <c r="AO205" s="35">
        <f t="shared" si="50"/>
        <v>381</v>
      </c>
      <c r="AP205" s="6">
        <v>1423</v>
      </c>
      <c r="AQ205" s="6"/>
      <c r="AR205" s="35">
        <f t="shared" si="51"/>
        <v>377</v>
      </c>
      <c r="AS205" s="35">
        <v>250</v>
      </c>
      <c r="AT205" s="35">
        <v>1560</v>
      </c>
      <c r="AU205" s="35">
        <f t="shared" si="52"/>
        <v>387</v>
      </c>
      <c r="AV205" s="6">
        <v>636</v>
      </c>
      <c r="AW205" s="6"/>
      <c r="AX205" s="35">
        <f t="shared" si="53"/>
        <v>386</v>
      </c>
      <c r="AY205" s="35">
        <v>1007</v>
      </c>
      <c r="AZ205" s="6"/>
      <c r="BA205" s="35">
        <f t="shared" si="54"/>
        <v>371</v>
      </c>
      <c r="BB205" s="6"/>
      <c r="BC205" s="6"/>
      <c r="BD205" s="6"/>
      <c r="BE205" s="35">
        <v>1398</v>
      </c>
      <c r="BF205" s="305"/>
      <c r="BG205" s="6">
        <f t="shared" si="55"/>
        <v>391</v>
      </c>
      <c r="BH205" s="305">
        <v>215</v>
      </c>
      <c r="BI205" s="305">
        <v>1565</v>
      </c>
      <c r="BJ205" s="35">
        <f t="shared" si="56"/>
        <v>382</v>
      </c>
      <c r="BK205" s="35">
        <v>595</v>
      </c>
      <c r="BL205" s="35"/>
      <c r="BM205" s="6">
        <f t="shared" si="57"/>
        <v>380</v>
      </c>
      <c r="BN205" s="35">
        <v>978</v>
      </c>
      <c r="BO205" s="35"/>
      <c r="BP205" s="35">
        <f t="shared" si="58"/>
        <v>383</v>
      </c>
      <c r="BQ205" s="35">
        <v>1365</v>
      </c>
      <c r="BR205" s="6"/>
      <c r="BS205" s="6">
        <f t="shared" si="59"/>
        <v>387</v>
      </c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10"/>
      <c r="CZ205" s="6"/>
      <c r="DA205" s="6"/>
      <c r="DB205" s="10"/>
      <c r="DC205" s="6"/>
      <c r="DD205" s="6"/>
      <c r="DE205" s="10"/>
      <c r="DF205" s="6"/>
      <c r="DG205" s="6"/>
      <c r="DH205" s="10"/>
      <c r="DI205" s="6"/>
    </row>
    <row r="206" spans="1:113">
      <c r="A206" s="7">
        <v>202</v>
      </c>
      <c r="B206" s="6">
        <v>1054</v>
      </c>
      <c r="C206" s="10"/>
      <c r="D206" s="6">
        <v>360</v>
      </c>
      <c r="E206" s="141" t="s">
        <v>37</v>
      </c>
      <c r="F206" s="141" t="s">
        <v>37</v>
      </c>
      <c r="G206" s="347" t="s">
        <v>37</v>
      </c>
      <c r="H206" s="347" t="s">
        <v>37</v>
      </c>
      <c r="I206" s="347" t="s">
        <v>37</v>
      </c>
      <c r="J206" s="347" t="s">
        <v>37</v>
      </c>
      <c r="K206" s="347" t="s">
        <v>37</v>
      </c>
      <c r="L206" s="347" t="s">
        <v>37</v>
      </c>
      <c r="M206" s="347" t="s">
        <v>37</v>
      </c>
      <c r="N206" s="347" t="s">
        <v>37</v>
      </c>
      <c r="O206" s="347" t="s">
        <v>37</v>
      </c>
      <c r="P206" s="347" t="s">
        <v>37</v>
      </c>
      <c r="Q206" s="347" t="s">
        <v>37</v>
      </c>
      <c r="R206" s="347" t="s">
        <v>37</v>
      </c>
      <c r="S206" s="347" t="s">
        <v>37</v>
      </c>
      <c r="T206" s="347" t="s">
        <v>37</v>
      </c>
      <c r="U206" s="6">
        <v>1459</v>
      </c>
      <c r="V206" s="6"/>
      <c r="W206" s="35">
        <f t="shared" si="45"/>
        <v>405</v>
      </c>
      <c r="X206" s="6">
        <v>286</v>
      </c>
      <c r="Y206" s="6">
        <v>1560</v>
      </c>
      <c r="Z206" s="35">
        <f t="shared" si="46"/>
        <v>387</v>
      </c>
      <c r="AA206" s="35">
        <v>667</v>
      </c>
      <c r="AB206" s="35"/>
      <c r="AC206" s="35">
        <f t="shared" si="47"/>
        <v>381</v>
      </c>
      <c r="AD206" s="35">
        <v>1032</v>
      </c>
      <c r="AE206" s="6"/>
      <c r="AF206" s="35">
        <f t="shared" si="48"/>
        <v>365</v>
      </c>
      <c r="AG206" s="6"/>
      <c r="AH206" s="6"/>
      <c r="AI206" s="34"/>
      <c r="AJ206" s="35">
        <v>1422</v>
      </c>
      <c r="AK206" s="35"/>
      <c r="AL206" s="35">
        <f t="shared" si="49"/>
        <v>390</v>
      </c>
      <c r="AM206" s="6">
        <v>246</v>
      </c>
      <c r="AN206" s="6">
        <v>1560</v>
      </c>
      <c r="AO206" s="35">
        <f t="shared" si="50"/>
        <v>384</v>
      </c>
      <c r="AP206" s="6">
        <v>636</v>
      </c>
      <c r="AQ206" s="6"/>
      <c r="AR206" s="35">
        <f t="shared" si="51"/>
        <v>390</v>
      </c>
      <c r="AS206" s="35">
        <v>1026</v>
      </c>
      <c r="AT206" s="35"/>
      <c r="AU206" s="35">
        <f t="shared" si="52"/>
        <v>390</v>
      </c>
      <c r="AV206" s="35">
        <v>1410</v>
      </c>
      <c r="AW206" s="6"/>
      <c r="AX206" s="35">
        <f t="shared" si="53"/>
        <v>384</v>
      </c>
      <c r="AY206" s="6">
        <v>225</v>
      </c>
      <c r="AZ206" s="6">
        <v>1560</v>
      </c>
      <c r="BA206" s="35">
        <f t="shared" si="54"/>
        <v>375</v>
      </c>
      <c r="BB206" s="6"/>
      <c r="BC206" s="6"/>
      <c r="BD206" s="6"/>
      <c r="BE206" s="35">
        <v>617</v>
      </c>
      <c r="BF206" s="305"/>
      <c r="BG206" s="6">
        <f t="shared" si="55"/>
        <v>392</v>
      </c>
      <c r="BH206" s="305">
        <v>1000</v>
      </c>
      <c r="BI206" s="305"/>
      <c r="BJ206" s="35">
        <f t="shared" si="56"/>
        <v>383</v>
      </c>
      <c r="BK206" s="35">
        <v>1388</v>
      </c>
      <c r="BL206" s="35"/>
      <c r="BM206" s="6">
        <f t="shared" si="57"/>
        <v>388</v>
      </c>
      <c r="BN206" s="35">
        <v>205</v>
      </c>
      <c r="BO206" s="35">
        <v>1567</v>
      </c>
      <c r="BP206" s="35">
        <f t="shared" si="58"/>
        <v>384</v>
      </c>
      <c r="BQ206" s="35">
        <v>591</v>
      </c>
      <c r="BR206" s="6"/>
      <c r="BS206" s="6">
        <f t="shared" si="59"/>
        <v>386</v>
      </c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10"/>
      <c r="CZ206" s="6"/>
      <c r="DA206" s="6"/>
      <c r="DB206" s="10"/>
      <c r="DC206" s="6"/>
      <c r="DD206" s="6"/>
      <c r="DE206" s="10"/>
      <c r="DF206" s="6"/>
      <c r="DG206" s="6"/>
      <c r="DH206" s="10"/>
      <c r="DI206" s="6"/>
    </row>
    <row r="207" spans="1:113">
      <c r="A207" s="6">
        <v>203</v>
      </c>
      <c r="B207" s="6">
        <v>757</v>
      </c>
      <c r="C207" s="10"/>
      <c r="D207" s="6">
        <v>0</v>
      </c>
      <c r="E207" s="141" t="s">
        <v>75</v>
      </c>
      <c r="F207" s="141" t="s">
        <v>75</v>
      </c>
      <c r="G207" s="347" t="s">
        <v>75</v>
      </c>
      <c r="H207" s="347" t="s">
        <v>75</v>
      </c>
      <c r="I207" s="347" t="s">
        <v>75</v>
      </c>
      <c r="J207" s="347" t="s">
        <v>75</v>
      </c>
      <c r="K207" s="347" t="s">
        <v>75</v>
      </c>
      <c r="L207" s="347" t="s">
        <v>75</v>
      </c>
      <c r="M207" s="347" t="s">
        <v>75</v>
      </c>
      <c r="N207" s="347" t="s">
        <v>75</v>
      </c>
      <c r="O207" s="347" t="s">
        <v>75</v>
      </c>
      <c r="P207" s="347" t="s">
        <v>75</v>
      </c>
      <c r="Q207" s="347" t="s">
        <v>75</v>
      </c>
      <c r="R207" s="347" t="s">
        <v>75</v>
      </c>
      <c r="S207" s="347" t="s">
        <v>75</v>
      </c>
      <c r="T207" s="347" t="s">
        <v>75</v>
      </c>
      <c r="U207" s="6">
        <v>757</v>
      </c>
      <c r="V207" s="6"/>
      <c r="W207" s="35">
        <f t="shared" si="45"/>
        <v>0</v>
      </c>
      <c r="X207" s="6">
        <v>757</v>
      </c>
      <c r="Y207" s="6"/>
      <c r="Z207" s="35">
        <f t="shared" si="46"/>
        <v>0</v>
      </c>
      <c r="AA207" s="35">
        <v>232</v>
      </c>
      <c r="AB207" s="35">
        <v>757</v>
      </c>
      <c r="AC207" s="35">
        <f t="shared" si="47"/>
        <v>232</v>
      </c>
      <c r="AD207" s="6">
        <v>479</v>
      </c>
      <c r="AE207" s="6"/>
      <c r="AF207" s="35">
        <f t="shared" si="48"/>
        <v>247</v>
      </c>
      <c r="AG207" s="6"/>
      <c r="AH207" s="6"/>
      <c r="AI207" s="34"/>
      <c r="AJ207" s="35">
        <v>737</v>
      </c>
      <c r="AK207" s="35"/>
      <c r="AL207" s="35">
        <f t="shared" si="49"/>
        <v>258</v>
      </c>
      <c r="AM207" s="6">
        <v>995</v>
      </c>
      <c r="AN207" s="6"/>
      <c r="AO207" s="35">
        <f t="shared" si="50"/>
        <v>258</v>
      </c>
      <c r="AP207" s="6">
        <v>53</v>
      </c>
      <c r="AQ207" s="6">
        <v>1200</v>
      </c>
      <c r="AR207" s="35">
        <f t="shared" si="51"/>
        <v>258</v>
      </c>
      <c r="AS207" s="35">
        <v>312</v>
      </c>
      <c r="AT207" s="35"/>
      <c r="AU207" s="35">
        <f t="shared" si="52"/>
        <v>259</v>
      </c>
      <c r="AV207" s="35">
        <v>574</v>
      </c>
      <c r="AW207" s="6"/>
      <c r="AX207" s="35">
        <f t="shared" si="53"/>
        <v>262</v>
      </c>
      <c r="AY207" s="6">
        <v>830</v>
      </c>
      <c r="AZ207" s="6"/>
      <c r="BA207" s="35">
        <f t="shared" si="54"/>
        <v>256</v>
      </c>
      <c r="BB207" s="6"/>
      <c r="BC207" s="6"/>
      <c r="BD207" s="6"/>
      <c r="BE207" s="35">
        <v>235</v>
      </c>
      <c r="BF207" s="305">
        <v>885</v>
      </c>
      <c r="BG207" s="6">
        <f t="shared" si="55"/>
        <v>290</v>
      </c>
      <c r="BH207" s="305">
        <v>525</v>
      </c>
      <c r="BI207" s="305"/>
      <c r="BJ207" s="35">
        <f t="shared" si="56"/>
        <v>290</v>
      </c>
      <c r="BK207" s="35">
        <v>193</v>
      </c>
      <c r="BL207" s="35">
        <v>600</v>
      </c>
      <c r="BM207" s="6">
        <f t="shared" si="57"/>
        <v>268</v>
      </c>
      <c r="BN207" s="35">
        <v>459</v>
      </c>
      <c r="BO207" s="35"/>
      <c r="BP207" s="35">
        <f t="shared" si="58"/>
        <v>266</v>
      </c>
      <c r="BQ207" s="35">
        <v>723</v>
      </c>
      <c r="BR207" s="6"/>
      <c r="BS207" s="6">
        <f t="shared" si="59"/>
        <v>264</v>
      </c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10"/>
      <c r="CZ207" s="6"/>
      <c r="DA207" s="6"/>
      <c r="DB207" s="10"/>
      <c r="DC207" s="6"/>
      <c r="DD207" s="6"/>
      <c r="DE207" s="10"/>
      <c r="DF207" s="6"/>
      <c r="DG207" s="6"/>
      <c r="DH207" s="10"/>
      <c r="DI207" s="6"/>
    </row>
    <row r="208" spans="1:113">
      <c r="A208" s="6">
        <v>204</v>
      </c>
      <c r="B208" s="6">
        <v>330</v>
      </c>
      <c r="C208" s="10"/>
      <c r="D208" s="6">
        <v>330</v>
      </c>
      <c r="E208" s="163" t="s">
        <v>37</v>
      </c>
      <c r="F208" s="141" t="s">
        <v>37</v>
      </c>
      <c r="G208" s="347" t="s">
        <v>37</v>
      </c>
      <c r="H208" s="347" t="s">
        <v>37</v>
      </c>
      <c r="I208" s="347" t="s">
        <v>37</v>
      </c>
      <c r="J208" s="347" t="s">
        <v>37</v>
      </c>
      <c r="K208" s="347" t="s">
        <v>37</v>
      </c>
      <c r="L208" s="347" t="s">
        <v>37</v>
      </c>
      <c r="M208" s="347" t="s">
        <v>37</v>
      </c>
      <c r="N208" s="347" t="s">
        <v>37</v>
      </c>
      <c r="O208" s="347" t="s">
        <v>37</v>
      </c>
      <c r="P208" s="347" t="s">
        <v>37</v>
      </c>
      <c r="Q208" s="347" t="s">
        <v>37</v>
      </c>
      <c r="R208" s="347" t="s">
        <v>37</v>
      </c>
      <c r="S208" s="347" t="s">
        <v>37</v>
      </c>
      <c r="T208" s="347" t="s">
        <v>37</v>
      </c>
      <c r="U208" s="6">
        <v>724</v>
      </c>
      <c r="V208" s="6"/>
      <c r="W208" s="35">
        <f t="shared" si="45"/>
        <v>394</v>
      </c>
      <c r="X208" s="6">
        <v>1090</v>
      </c>
      <c r="Y208" s="6"/>
      <c r="Z208" s="35">
        <f t="shared" si="46"/>
        <v>366</v>
      </c>
      <c r="AA208" s="35">
        <v>1471</v>
      </c>
      <c r="AB208" s="35"/>
      <c r="AC208" s="35">
        <f t="shared" si="47"/>
        <v>381</v>
      </c>
      <c r="AD208" s="6">
        <v>283</v>
      </c>
      <c r="AE208" s="6">
        <v>1560</v>
      </c>
      <c r="AF208" s="35">
        <f t="shared" si="48"/>
        <v>372</v>
      </c>
      <c r="AG208" s="35"/>
      <c r="AH208" s="6"/>
      <c r="AI208" s="34"/>
      <c r="AJ208" s="35">
        <v>665</v>
      </c>
      <c r="AK208" s="35"/>
      <c r="AL208" s="35">
        <f t="shared" si="49"/>
        <v>382</v>
      </c>
      <c r="AM208" s="6">
        <v>1033</v>
      </c>
      <c r="AN208" s="6"/>
      <c r="AO208" s="35">
        <f t="shared" si="50"/>
        <v>368</v>
      </c>
      <c r="AP208" s="6">
        <v>1414</v>
      </c>
      <c r="AQ208" s="6"/>
      <c r="AR208" s="35">
        <f t="shared" si="51"/>
        <v>381</v>
      </c>
      <c r="AS208" s="35">
        <v>240</v>
      </c>
      <c r="AT208" s="35">
        <v>1561</v>
      </c>
      <c r="AU208" s="35">
        <f t="shared" si="52"/>
        <v>387</v>
      </c>
      <c r="AV208" s="35">
        <v>627</v>
      </c>
      <c r="AW208" s="6"/>
      <c r="AX208" s="35">
        <f t="shared" si="53"/>
        <v>387</v>
      </c>
      <c r="AY208" s="6">
        <v>1005</v>
      </c>
      <c r="AZ208" s="6"/>
      <c r="BA208" s="35">
        <f t="shared" si="54"/>
        <v>378</v>
      </c>
      <c r="BB208" s="6"/>
      <c r="BC208" s="6"/>
      <c r="BD208" s="6"/>
      <c r="BE208" s="35">
        <v>1398</v>
      </c>
      <c r="BF208" s="35"/>
      <c r="BG208" s="6">
        <f t="shared" si="55"/>
        <v>393</v>
      </c>
      <c r="BH208" s="35">
        <v>204</v>
      </c>
      <c r="BI208" s="35">
        <v>1565</v>
      </c>
      <c r="BJ208" s="35">
        <f t="shared" si="56"/>
        <v>371</v>
      </c>
      <c r="BK208" s="35">
        <v>581</v>
      </c>
      <c r="BL208" s="35"/>
      <c r="BM208" s="6">
        <f t="shared" si="57"/>
        <v>377</v>
      </c>
      <c r="BN208" s="35">
        <v>961</v>
      </c>
      <c r="BO208" s="35"/>
      <c r="BP208" s="35">
        <f t="shared" si="58"/>
        <v>380</v>
      </c>
      <c r="BQ208" s="35">
        <v>1346</v>
      </c>
      <c r="BR208" s="6"/>
      <c r="BS208" s="6">
        <f t="shared" si="59"/>
        <v>385</v>
      </c>
      <c r="BT208" s="35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10"/>
      <c r="CZ208" s="6"/>
      <c r="DA208" s="6"/>
      <c r="DB208" s="10"/>
      <c r="DC208" s="6"/>
      <c r="DD208" s="6"/>
      <c r="DE208" s="10"/>
      <c r="DF208" s="6"/>
      <c r="DG208" s="6"/>
      <c r="DH208" s="10"/>
      <c r="DI208" s="6"/>
    </row>
    <row r="209" spans="1:113">
      <c r="A209" s="7">
        <v>205</v>
      </c>
      <c r="B209" s="6">
        <v>55</v>
      </c>
      <c r="C209" s="10">
        <v>615</v>
      </c>
      <c r="D209" s="6">
        <v>341</v>
      </c>
      <c r="E209" s="141" t="s">
        <v>37</v>
      </c>
      <c r="F209" s="141" t="s">
        <v>37</v>
      </c>
      <c r="G209" s="347" t="s">
        <v>37</v>
      </c>
      <c r="H209" s="347" t="s">
        <v>37</v>
      </c>
      <c r="I209" s="347" t="s">
        <v>37</v>
      </c>
      <c r="J209" s="347" t="s">
        <v>37</v>
      </c>
      <c r="K209" s="347" t="s">
        <v>37</v>
      </c>
      <c r="L209" s="347" t="s">
        <v>37</v>
      </c>
      <c r="M209" s="347" t="s">
        <v>37</v>
      </c>
      <c r="N209" s="347" t="s">
        <v>37</v>
      </c>
      <c r="O209" s="347" t="s">
        <v>37</v>
      </c>
      <c r="P209" s="347" t="s">
        <v>37</v>
      </c>
      <c r="Q209" s="347" t="s">
        <v>37</v>
      </c>
      <c r="R209" s="347" t="s">
        <v>37</v>
      </c>
      <c r="S209" s="347" t="s">
        <v>37</v>
      </c>
      <c r="T209" s="347" t="s">
        <v>37</v>
      </c>
      <c r="U209" s="6">
        <v>453</v>
      </c>
      <c r="V209" s="6"/>
      <c r="W209" s="35">
        <f t="shared" si="45"/>
        <v>398</v>
      </c>
      <c r="X209" s="6">
        <v>359</v>
      </c>
      <c r="Y209" s="6">
        <v>468</v>
      </c>
      <c r="Z209" s="35">
        <f t="shared" si="46"/>
        <v>374</v>
      </c>
      <c r="AA209" s="35">
        <v>719</v>
      </c>
      <c r="AB209" s="35"/>
      <c r="AC209" s="35">
        <f t="shared" si="47"/>
        <v>360</v>
      </c>
      <c r="AD209" s="35">
        <v>1066</v>
      </c>
      <c r="AE209" s="6"/>
      <c r="AF209" s="35">
        <f t="shared" si="48"/>
        <v>347</v>
      </c>
      <c r="AG209" s="6"/>
      <c r="AH209" s="6"/>
      <c r="AI209" s="34"/>
      <c r="AJ209" s="35">
        <v>1431</v>
      </c>
      <c r="AK209" s="35"/>
      <c r="AL209" s="35">
        <f t="shared" si="49"/>
        <v>365</v>
      </c>
      <c r="AM209" s="6">
        <v>234</v>
      </c>
      <c r="AN209" s="6">
        <v>1560</v>
      </c>
      <c r="AO209" s="35">
        <f t="shared" si="50"/>
        <v>363</v>
      </c>
      <c r="AP209" s="6">
        <v>599</v>
      </c>
      <c r="AQ209" s="6"/>
      <c r="AR209" s="35">
        <f t="shared" si="51"/>
        <v>365</v>
      </c>
      <c r="AS209" s="35">
        <v>966</v>
      </c>
      <c r="AT209" s="35"/>
      <c r="AU209" s="35">
        <f t="shared" si="52"/>
        <v>367</v>
      </c>
      <c r="AV209" s="35">
        <v>1337</v>
      </c>
      <c r="AW209" s="6"/>
      <c r="AX209" s="35">
        <f t="shared" si="53"/>
        <v>371</v>
      </c>
      <c r="AY209" s="6">
        <v>134</v>
      </c>
      <c r="AZ209" s="6">
        <v>1560</v>
      </c>
      <c r="BA209" s="35">
        <f t="shared" si="54"/>
        <v>357</v>
      </c>
      <c r="BB209" s="6"/>
      <c r="BC209" s="6"/>
      <c r="BD209" s="6"/>
      <c r="BE209" s="35">
        <v>508</v>
      </c>
      <c r="BF209" s="35"/>
      <c r="BG209" s="6">
        <f t="shared" si="55"/>
        <v>374</v>
      </c>
      <c r="BH209" s="35">
        <v>875</v>
      </c>
      <c r="BI209" s="35"/>
      <c r="BJ209" s="35">
        <f t="shared" si="56"/>
        <v>367</v>
      </c>
      <c r="BK209" s="35">
        <v>1244</v>
      </c>
      <c r="BL209" s="35"/>
      <c r="BM209" s="6">
        <f t="shared" si="57"/>
        <v>369</v>
      </c>
      <c r="BN209" s="35">
        <v>51</v>
      </c>
      <c r="BO209" s="35">
        <v>1560</v>
      </c>
      <c r="BP209" s="35">
        <f t="shared" si="58"/>
        <v>367</v>
      </c>
      <c r="BQ209" s="35">
        <v>419</v>
      </c>
      <c r="BR209" s="6"/>
      <c r="BS209" s="6">
        <f t="shared" si="59"/>
        <v>368</v>
      </c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10"/>
      <c r="CZ209" s="6"/>
      <c r="DA209" s="6"/>
      <c r="DB209" s="10"/>
      <c r="DC209" s="6"/>
      <c r="DD209" s="6"/>
      <c r="DE209" s="10"/>
      <c r="DF209" s="6"/>
      <c r="DG209" s="6"/>
      <c r="DH209" s="10"/>
      <c r="DI209" s="6"/>
    </row>
    <row r="210" spans="1:113">
      <c r="A210" s="274">
        <v>206</v>
      </c>
      <c r="B210" s="6">
        <v>141</v>
      </c>
      <c r="C210" s="10"/>
      <c r="D210" s="6">
        <v>0</v>
      </c>
      <c r="E210" s="141" t="s">
        <v>72</v>
      </c>
      <c r="F210" s="141" t="s">
        <v>72</v>
      </c>
      <c r="G210" s="347" t="s">
        <v>72</v>
      </c>
      <c r="H210" s="347" t="s">
        <v>72</v>
      </c>
      <c r="I210" s="347" t="s">
        <v>72</v>
      </c>
      <c r="J210" s="347" t="s">
        <v>72</v>
      </c>
      <c r="K210" s="347" t="s">
        <v>72</v>
      </c>
      <c r="L210" s="347" t="s">
        <v>72</v>
      </c>
      <c r="M210" s="390" t="s">
        <v>37</v>
      </c>
      <c r="N210" s="392" t="s">
        <v>37</v>
      </c>
      <c r="O210" s="392" t="s">
        <v>37</v>
      </c>
      <c r="P210" s="392" t="s">
        <v>37</v>
      </c>
      <c r="Q210" s="392" t="s">
        <v>37</v>
      </c>
      <c r="R210" s="392" t="s">
        <v>37</v>
      </c>
      <c r="S210" s="392" t="s">
        <v>37</v>
      </c>
      <c r="T210" s="392" t="s">
        <v>37</v>
      </c>
      <c r="U210" s="6">
        <v>141</v>
      </c>
      <c r="V210" s="6"/>
      <c r="W210" s="35">
        <f t="shared" si="45"/>
        <v>0</v>
      </c>
      <c r="X210" s="6">
        <v>141</v>
      </c>
      <c r="Y210" s="6"/>
      <c r="Z210" s="35">
        <f t="shared" si="46"/>
        <v>0</v>
      </c>
      <c r="AA210" s="35">
        <v>141</v>
      </c>
      <c r="AB210" s="35"/>
      <c r="AC210" s="35">
        <f t="shared" si="47"/>
        <v>0</v>
      </c>
      <c r="AD210" s="6">
        <v>141</v>
      </c>
      <c r="AE210" s="6"/>
      <c r="AF210" s="35">
        <f t="shared" si="48"/>
        <v>0</v>
      </c>
      <c r="AG210" s="6"/>
      <c r="AH210" s="6"/>
      <c r="AI210" s="34"/>
      <c r="AJ210" s="35">
        <v>141</v>
      </c>
      <c r="AK210" s="35"/>
      <c r="AL210" s="35">
        <f t="shared" si="49"/>
        <v>0</v>
      </c>
      <c r="AM210" s="6">
        <v>141</v>
      </c>
      <c r="AN210" s="6"/>
      <c r="AO210" s="35">
        <f t="shared" si="50"/>
        <v>0</v>
      </c>
      <c r="AP210" s="6">
        <v>141</v>
      </c>
      <c r="AQ210" s="6"/>
      <c r="AR210" s="35">
        <f t="shared" si="51"/>
        <v>0</v>
      </c>
      <c r="AS210" s="35">
        <v>55</v>
      </c>
      <c r="AT210" s="35">
        <f>141+167</f>
        <v>308</v>
      </c>
      <c r="AU210" s="35">
        <f t="shared" si="52"/>
        <v>222</v>
      </c>
      <c r="AV210" s="35">
        <v>52</v>
      </c>
      <c r="AW210" s="6">
        <v>316</v>
      </c>
      <c r="AX210" s="35">
        <f t="shared" si="53"/>
        <v>313</v>
      </c>
      <c r="AY210" s="6">
        <v>420</v>
      </c>
      <c r="AZ210" s="6"/>
      <c r="BA210" s="35">
        <f t="shared" si="54"/>
        <v>368</v>
      </c>
      <c r="BB210" s="6"/>
      <c r="BC210" s="6"/>
      <c r="BD210" s="6"/>
      <c r="BE210" s="35">
        <v>800</v>
      </c>
      <c r="BF210" s="35"/>
      <c r="BG210" s="6">
        <f t="shared" si="55"/>
        <v>380</v>
      </c>
      <c r="BH210" s="35">
        <v>320</v>
      </c>
      <c r="BI210" s="35">
        <v>845</v>
      </c>
      <c r="BJ210" s="35">
        <f t="shared" si="56"/>
        <v>365</v>
      </c>
      <c r="BK210" s="35">
        <v>694</v>
      </c>
      <c r="BL210" s="35"/>
      <c r="BM210" s="6">
        <f t="shared" si="57"/>
        <v>374</v>
      </c>
      <c r="BN210" s="35">
        <v>1073</v>
      </c>
      <c r="BO210" s="35"/>
      <c r="BP210" s="35">
        <f t="shared" si="58"/>
        <v>379</v>
      </c>
      <c r="BQ210" s="35">
        <v>47</v>
      </c>
      <c r="BR210" s="6">
        <v>1408</v>
      </c>
      <c r="BS210" s="6">
        <f t="shared" si="59"/>
        <v>382</v>
      </c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10"/>
      <c r="CZ210" s="6"/>
      <c r="DA210" s="6"/>
      <c r="DB210" s="10"/>
      <c r="DC210" s="6"/>
      <c r="DD210" s="6"/>
      <c r="DE210" s="10"/>
      <c r="DF210" s="6"/>
      <c r="DG210" s="6"/>
      <c r="DH210" s="10"/>
      <c r="DI210" s="6"/>
    </row>
    <row r="211" spans="1:113">
      <c r="A211" s="6">
        <v>207</v>
      </c>
      <c r="B211" s="6">
        <v>431</v>
      </c>
      <c r="C211" s="10"/>
      <c r="D211" s="6">
        <v>0</v>
      </c>
      <c r="E211" s="141" t="s">
        <v>75</v>
      </c>
      <c r="F211" s="141" t="s">
        <v>75</v>
      </c>
      <c r="G211" s="347" t="s">
        <v>75</v>
      </c>
      <c r="H211" s="347" t="s">
        <v>75</v>
      </c>
      <c r="I211" s="347" t="s">
        <v>75</v>
      </c>
      <c r="J211" s="347" t="s">
        <v>75</v>
      </c>
      <c r="K211" s="347" t="s">
        <v>75</v>
      </c>
      <c r="L211" s="347" t="s">
        <v>75</v>
      </c>
      <c r="M211" s="347" t="s">
        <v>75</v>
      </c>
      <c r="N211" s="347" t="s">
        <v>75</v>
      </c>
      <c r="O211" s="347" t="s">
        <v>75</v>
      </c>
      <c r="P211" s="347" t="s">
        <v>75</v>
      </c>
      <c r="Q211" s="347" t="s">
        <v>75</v>
      </c>
      <c r="R211" s="347" t="s">
        <v>75</v>
      </c>
      <c r="S211" s="347" t="s">
        <v>75</v>
      </c>
      <c r="T211" s="347" t="s">
        <v>75</v>
      </c>
      <c r="U211" s="6">
        <v>431</v>
      </c>
      <c r="V211" s="6"/>
      <c r="W211" s="35">
        <f t="shared" si="45"/>
        <v>0</v>
      </c>
      <c r="X211" s="6">
        <v>623</v>
      </c>
      <c r="Y211" s="6"/>
      <c r="Z211" s="35">
        <f t="shared" si="46"/>
        <v>192</v>
      </c>
      <c r="AA211" s="35">
        <v>888</v>
      </c>
      <c r="AB211" s="35"/>
      <c r="AC211" s="35">
        <f t="shared" si="47"/>
        <v>265</v>
      </c>
      <c r="AD211" s="6">
        <v>1143</v>
      </c>
      <c r="AE211" s="6"/>
      <c r="AF211" s="35">
        <f t="shared" si="48"/>
        <v>255</v>
      </c>
      <c r="AG211" s="6"/>
      <c r="AH211" s="6"/>
      <c r="AI211" s="34"/>
      <c r="AJ211" s="35">
        <v>209</v>
      </c>
      <c r="AK211" s="35">
        <v>1200</v>
      </c>
      <c r="AL211" s="35">
        <f t="shared" si="49"/>
        <v>266</v>
      </c>
      <c r="AM211" s="6">
        <v>474</v>
      </c>
      <c r="AN211" s="6"/>
      <c r="AO211" s="35">
        <f t="shared" si="50"/>
        <v>265</v>
      </c>
      <c r="AP211" s="6">
        <v>740</v>
      </c>
      <c r="AQ211" s="6"/>
      <c r="AR211" s="35">
        <f t="shared" si="51"/>
        <v>266</v>
      </c>
      <c r="AS211" s="35">
        <v>1006</v>
      </c>
      <c r="AT211" s="35"/>
      <c r="AU211" s="35">
        <f t="shared" si="52"/>
        <v>266</v>
      </c>
      <c r="AV211" s="35">
        <v>175</v>
      </c>
      <c r="AW211" s="6">
        <v>1100</v>
      </c>
      <c r="AX211" s="35">
        <f t="shared" si="53"/>
        <v>269</v>
      </c>
      <c r="AY211" s="6">
        <v>439</v>
      </c>
      <c r="AZ211" s="6"/>
      <c r="BA211" s="35">
        <f t="shared" si="54"/>
        <v>264</v>
      </c>
      <c r="BB211" s="6"/>
      <c r="BC211" s="6"/>
      <c r="BD211" s="6"/>
      <c r="BE211" s="35">
        <v>15</v>
      </c>
      <c r="BF211" s="35">
        <v>701</v>
      </c>
      <c r="BG211" s="6">
        <f t="shared" si="55"/>
        <v>277</v>
      </c>
      <c r="BH211" s="35">
        <v>307</v>
      </c>
      <c r="BI211" s="35"/>
      <c r="BJ211" s="35">
        <f t="shared" si="56"/>
        <v>292</v>
      </c>
      <c r="BK211" s="35">
        <v>3</v>
      </c>
      <c r="BL211" s="35">
        <v>600</v>
      </c>
      <c r="BM211" s="6">
        <f t="shared" si="57"/>
        <v>296</v>
      </c>
      <c r="BN211" s="35">
        <v>275</v>
      </c>
      <c r="BO211" s="35"/>
      <c r="BP211" s="35">
        <f t="shared" si="58"/>
        <v>272</v>
      </c>
      <c r="BQ211" s="35">
        <v>544</v>
      </c>
      <c r="BR211" s="6"/>
      <c r="BS211" s="6">
        <f t="shared" si="59"/>
        <v>269</v>
      </c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10"/>
      <c r="CZ211" s="6"/>
      <c r="DA211" s="6"/>
      <c r="DB211" s="10"/>
      <c r="DC211" s="6"/>
      <c r="DD211" s="6"/>
      <c r="DE211" s="10"/>
      <c r="DF211" s="6"/>
      <c r="DG211" s="6"/>
      <c r="DH211" s="10"/>
      <c r="DI211" s="6"/>
    </row>
    <row r="212" spans="1:113">
      <c r="A212" s="7">
        <v>208</v>
      </c>
      <c r="B212" s="6">
        <v>721</v>
      </c>
      <c r="C212" s="10"/>
      <c r="D212" s="6">
        <v>359</v>
      </c>
      <c r="E212" s="141" t="s">
        <v>37</v>
      </c>
      <c r="F212" s="141" t="s">
        <v>37</v>
      </c>
      <c r="G212" s="347" t="s">
        <v>37</v>
      </c>
      <c r="H212" s="347" t="s">
        <v>37</v>
      </c>
      <c r="I212" s="347" t="s">
        <v>37</v>
      </c>
      <c r="J212" s="347" t="s">
        <v>37</v>
      </c>
      <c r="K212" s="347" t="s">
        <v>37</v>
      </c>
      <c r="L212" s="347" t="s">
        <v>37</v>
      </c>
      <c r="M212" s="347" t="s">
        <v>37</v>
      </c>
      <c r="N212" s="347" t="s">
        <v>37</v>
      </c>
      <c r="O212" s="347" t="s">
        <v>37</v>
      </c>
      <c r="P212" s="347" t="s">
        <v>37</v>
      </c>
      <c r="Q212" s="347" t="s">
        <v>37</v>
      </c>
      <c r="R212" s="347" t="s">
        <v>37</v>
      </c>
      <c r="S212" s="347" t="s">
        <v>37</v>
      </c>
      <c r="T212" s="347" t="s">
        <v>37</v>
      </c>
      <c r="U212" s="6">
        <v>169</v>
      </c>
      <c r="V212" s="6">
        <v>947</v>
      </c>
      <c r="W212" s="35">
        <f t="shared" si="45"/>
        <v>395</v>
      </c>
      <c r="X212" s="6">
        <v>542</v>
      </c>
      <c r="Y212" s="6"/>
      <c r="Z212" s="35">
        <f t="shared" si="46"/>
        <v>373</v>
      </c>
      <c r="AA212" s="35">
        <v>46</v>
      </c>
      <c r="AB212" s="35">
        <v>865</v>
      </c>
      <c r="AC212" s="35">
        <f t="shared" si="47"/>
        <v>369</v>
      </c>
      <c r="AD212" s="35">
        <v>407</v>
      </c>
      <c r="AE212" s="6"/>
      <c r="AF212" s="35">
        <f t="shared" si="48"/>
        <v>361</v>
      </c>
      <c r="AG212" s="6"/>
      <c r="AH212" s="6"/>
      <c r="AI212" s="34"/>
      <c r="AJ212" s="35">
        <v>776</v>
      </c>
      <c r="AK212" s="35"/>
      <c r="AL212" s="35">
        <f t="shared" si="49"/>
        <v>369</v>
      </c>
      <c r="AM212" s="6">
        <v>3</v>
      </c>
      <c r="AN212" s="6">
        <v>1130</v>
      </c>
      <c r="AO212" s="35">
        <f t="shared" si="50"/>
        <v>357</v>
      </c>
      <c r="AP212" s="6">
        <v>362</v>
      </c>
      <c r="AQ212" s="6"/>
      <c r="AR212" s="35">
        <f t="shared" si="51"/>
        <v>359</v>
      </c>
      <c r="AS212" s="35">
        <v>736</v>
      </c>
      <c r="AT212" s="35"/>
      <c r="AU212" s="35">
        <f t="shared" si="52"/>
        <v>374</v>
      </c>
      <c r="AV212" s="35">
        <v>1116</v>
      </c>
      <c r="AW212" s="6"/>
      <c r="AX212" s="35">
        <f t="shared" si="53"/>
        <v>380</v>
      </c>
      <c r="AY212" s="6">
        <v>6</v>
      </c>
      <c r="AZ212" s="6">
        <v>1469</v>
      </c>
      <c r="BA212" s="35">
        <f t="shared" si="54"/>
        <v>359</v>
      </c>
      <c r="BB212" s="6"/>
      <c r="BC212" s="6"/>
      <c r="BD212" s="6"/>
      <c r="BE212" s="35">
        <v>400</v>
      </c>
      <c r="BF212" s="35"/>
      <c r="BG212" s="6">
        <f t="shared" si="55"/>
        <v>394</v>
      </c>
      <c r="BH212" s="35">
        <v>773</v>
      </c>
      <c r="BI212" s="35"/>
      <c r="BJ212" s="35">
        <f t="shared" si="56"/>
        <v>373</v>
      </c>
      <c r="BK212" s="35">
        <v>1150</v>
      </c>
      <c r="BL212" s="35"/>
      <c r="BM212" s="6">
        <f t="shared" si="57"/>
        <v>377</v>
      </c>
      <c r="BN212" s="35">
        <v>28</v>
      </c>
      <c r="BO212" s="35">
        <v>1505</v>
      </c>
      <c r="BP212" s="35">
        <f t="shared" si="58"/>
        <v>383</v>
      </c>
      <c r="BQ212" s="35">
        <v>403</v>
      </c>
      <c r="BR212" s="6"/>
      <c r="BS212" s="6">
        <f t="shared" si="59"/>
        <v>375</v>
      </c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35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10"/>
      <c r="CZ212" s="6"/>
      <c r="DA212" s="6"/>
      <c r="DB212" s="10"/>
      <c r="DC212" s="6"/>
      <c r="DD212" s="6"/>
      <c r="DE212" s="10"/>
      <c r="DF212" s="6"/>
      <c r="DG212" s="6"/>
      <c r="DH212" s="10"/>
      <c r="DI212" s="6"/>
    </row>
    <row r="213" spans="1:113" ht="15.75" customHeight="1">
      <c r="A213" s="6">
        <v>209</v>
      </c>
      <c r="B213" s="6">
        <v>25</v>
      </c>
      <c r="C213" s="10"/>
      <c r="D213" s="6">
        <v>0</v>
      </c>
      <c r="E213" s="141" t="s">
        <v>75</v>
      </c>
      <c r="F213" s="141" t="s">
        <v>75</v>
      </c>
      <c r="G213" s="347" t="s">
        <v>75</v>
      </c>
      <c r="H213" s="347" t="s">
        <v>75</v>
      </c>
      <c r="I213" s="347" t="s">
        <v>75</v>
      </c>
      <c r="J213" s="347" t="s">
        <v>75</v>
      </c>
      <c r="K213" s="347" t="s">
        <v>75</v>
      </c>
      <c r="L213" s="347" t="s">
        <v>75</v>
      </c>
      <c r="M213" s="347" t="s">
        <v>75</v>
      </c>
      <c r="N213" s="347" t="s">
        <v>75</v>
      </c>
      <c r="O213" s="347" t="s">
        <v>75</v>
      </c>
      <c r="P213" s="347" t="s">
        <v>75</v>
      </c>
      <c r="Q213" s="347" t="s">
        <v>75</v>
      </c>
      <c r="R213" s="347" t="s">
        <v>75</v>
      </c>
      <c r="S213" s="347" t="s">
        <v>75</v>
      </c>
      <c r="T213" s="422" t="s">
        <v>135</v>
      </c>
      <c r="U213" s="6">
        <v>25</v>
      </c>
      <c r="V213" s="6"/>
      <c r="W213" s="35">
        <f t="shared" si="45"/>
        <v>0</v>
      </c>
      <c r="X213" s="6">
        <v>220</v>
      </c>
      <c r="Y213" s="6"/>
      <c r="Z213" s="35">
        <f t="shared" si="46"/>
        <v>195</v>
      </c>
      <c r="AA213" s="35">
        <v>476</v>
      </c>
      <c r="AB213" s="35"/>
      <c r="AC213" s="35">
        <f t="shared" si="47"/>
        <v>256</v>
      </c>
      <c r="AD213" s="6">
        <v>723</v>
      </c>
      <c r="AE213" s="6"/>
      <c r="AF213" s="35">
        <f t="shared" si="48"/>
        <v>247</v>
      </c>
      <c r="AG213" s="6"/>
      <c r="AH213" s="6"/>
      <c r="AI213" s="34"/>
      <c r="AJ213" s="35">
        <v>981</v>
      </c>
      <c r="AK213" s="35"/>
      <c r="AL213" s="35">
        <f t="shared" si="49"/>
        <v>258</v>
      </c>
      <c r="AM213" s="6">
        <v>137</v>
      </c>
      <c r="AN213" s="6">
        <v>1100</v>
      </c>
      <c r="AO213" s="35">
        <f t="shared" si="50"/>
        <v>256</v>
      </c>
      <c r="AP213" s="6">
        <v>394</v>
      </c>
      <c r="AQ213" s="6"/>
      <c r="AR213" s="35">
        <f t="shared" si="51"/>
        <v>257</v>
      </c>
      <c r="AS213" s="35">
        <v>652</v>
      </c>
      <c r="AT213" s="35"/>
      <c r="AU213" s="35">
        <f t="shared" si="52"/>
        <v>258</v>
      </c>
      <c r="AV213" s="35">
        <v>914</v>
      </c>
      <c r="AW213" s="6"/>
      <c r="AX213" s="35">
        <f t="shared" si="53"/>
        <v>262</v>
      </c>
      <c r="AY213" s="6">
        <v>1169</v>
      </c>
      <c r="AZ213" s="6"/>
      <c r="BA213" s="35">
        <f t="shared" si="54"/>
        <v>255</v>
      </c>
      <c r="BB213" s="6"/>
      <c r="BC213" s="6"/>
      <c r="BD213" s="6"/>
      <c r="BE213" s="35">
        <v>259</v>
      </c>
      <c r="BF213" s="35">
        <v>1200</v>
      </c>
      <c r="BG213" s="6">
        <f t="shared" si="55"/>
        <v>290</v>
      </c>
      <c r="BH213" s="35">
        <v>547</v>
      </c>
      <c r="BI213" s="35"/>
      <c r="BJ213" s="35">
        <f t="shared" si="56"/>
        <v>288</v>
      </c>
      <c r="BK213" s="35">
        <v>215</v>
      </c>
      <c r="BL213" s="35">
        <v>600</v>
      </c>
      <c r="BM213" s="6">
        <f t="shared" si="57"/>
        <v>268</v>
      </c>
      <c r="BN213" s="35">
        <v>479</v>
      </c>
      <c r="BO213" s="35"/>
      <c r="BP213" s="35">
        <f t="shared" si="58"/>
        <v>264</v>
      </c>
      <c r="BQ213" s="35">
        <v>217</v>
      </c>
      <c r="BR213" s="6">
        <v>494</v>
      </c>
      <c r="BS213" s="6">
        <f t="shared" si="59"/>
        <v>232</v>
      </c>
      <c r="BT213" s="35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10"/>
      <c r="CZ213" s="6"/>
      <c r="DA213" s="6"/>
      <c r="DB213" s="10"/>
      <c r="DC213" s="6"/>
      <c r="DD213" s="6"/>
      <c r="DE213" s="10"/>
      <c r="DF213" s="6"/>
      <c r="DG213" s="6"/>
      <c r="DH213" s="10"/>
      <c r="DI213" s="6"/>
    </row>
    <row r="214" spans="1:113">
      <c r="A214" s="274">
        <v>210</v>
      </c>
      <c r="B214" s="6">
        <v>252</v>
      </c>
      <c r="C214" s="10"/>
      <c r="D214" s="6">
        <v>0</v>
      </c>
      <c r="E214" s="141" t="s">
        <v>72</v>
      </c>
      <c r="F214" s="141" t="s">
        <v>72</v>
      </c>
      <c r="G214" s="347" t="s">
        <v>72</v>
      </c>
      <c r="H214" s="347" t="s">
        <v>72</v>
      </c>
      <c r="I214" s="347" t="s">
        <v>72</v>
      </c>
      <c r="J214" s="347" t="s">
        <v>72</v>
      </c>
      <c r="K214" s="347" t="s">
        <v>72</v>
      </c>
      <c r="L214" s="347" t="s">
        <v>72</v>
      </c>
      <c r="M214" s="347" t="s">
        <v>72</v>
      </c>
      <c r="N214" s="347" t="s">
        <v>72</v>
      </c>
      <c r="O214" s="347" t="s">
        <v>72</v>
      </c>
      <c r="P214" s="404" t="s">
        <v>37</v>
      </c>
      <c r="Q214" s="407" t="s">
        <v>37</v>
      </c>
      <c r="R214" s="407" t="s">
        <v>37</v>
      </c>
      <c r="S214" s="407" t="s">
        <v>37</v>
      </c>
      <c r="T214" s="407" t="s">
        <v>37</v>
      </c>
      <c r="U214" s="6">
        <v>252</v>
      </c>
      <c r="V214" s="6"/>
      <c r="W214" s="35">
        <f t="shared" si="45"/>
        <v>0</v>
      </c>
      <c r="X214" s="6">
        <v>252</v>
      </c>
      <c r="Y214" s="6"/>
      <c r="Z214" s="35">
        <f t="shared" si="46"/>
        <v>0</v>
      </c>
      <c r="AA214" s="35">
        <v>252</v>
      </c>
      <c r="AB214" s="35"/>
      <c r="AC214" s="35">
        <f t="shared" si="47"/>
        <v>0</v>
      </c>
      <c r="AD214" s="6">
        <v>252</v>
      </c>
      <c r="AE214" s="6"/>
      <c r="AF214" s="35">
        <f t="shared" si="48"/>
        <v>0</v>
      </c>
      <c r="AG214" s="6"/>
      <c r="AH214" s="6"/>
      <c r="AI214" s="34"/>
      <c r="AJ214" s="35">
        <v>439</v>
      </c>
      <c r="AK214" s="35"/>
      <c r="AL214" s="35">
        <f t="shared" si="49"/>
        <v>187</v>
      </c>
      <c r="AM214" s="6">
        <v>687</v>
      </c>
      <c r="AN214" s="6"/>
      <c r="AO214" s="35">
        <f t="shared" si="50"/>
        <v>248</v>
      </c>
      <c r="AP214" s="35">
        <v>929</v>
      </c>
      <c r="AQ214" s="6"/>
      <c r="AR214" s="35">
        <f t="shared" si="51"/>
        <v>242</v>
      </c>
      <c r="AS214" s="35">
        <v>61</v>
      </c>
      <c r="AT214" s="35">
        <v>1100</v>
      </c>
      <c r="AU214" s="35">
        <f t="shared" si="52"/>
        <v>232</v>
      </c>
      <c r="AV214" s="35">
        <v>302</v>
      </c>
      <c r="AW214" s="6"/>
      <c r="AX214" s="35">
        <f t="shared" si="53"/>
        <v>241</v>
      </c>
      <c r="AY214" s="6">
        <v>0</v>
      </c>
      <c r="AZ214" s="6">
        <v>386</v>
      </c>
      <c r="BA214" s="35">
        <f t="shared" si="54"/>
        <v>84</v>
      </c>
      <c r="BB214" s="6"/>
      <c r="BC214" s="6"/>
      <c r="BD214" s="6"/>
      <c r="BE214" s="35">
        <v>247</v>
      </c>
      <c r="BF214" s="35"/>
      <c r="BG214" s="6">
        <f t="shared" si="55"/>
        <v>247</v>
      </c>
      <c r="BH214" s="35">
        <v>629</v>
      </c>
      <c r="BI214" s="35"/>
      <c r="BJ214" s="35">
        <f t="shared" si="56"/>
        <v>382</v>
      </c>
      <c r="BK214" s="35">
        <v>221</v>
      </c>
      <c r="BL214" s="35">
        <v>657</v>
      </c>
      <c r="BM214" s="6">
        <f t="shared" si="57"/>
        <v>249</v>
      </c>
      <c r="BN214" s="35">
        <v>587</v>
      </c>
      <c r="BO214" s="35"/>
      <c r="BP214" s="35">
        <f t="shared" si="58"/>
        <v>366</v>
      </c>
      <c r="BQ214" s="35">
        <v>957</v>
      </c>
      <c r="BR214" s="6"/>
      <c r="BS214" s="6">
        <f t="shared" si="59"/>
        <v>370</v>
      </c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10"/>
      <c r="CZ214" s="6"/>
      <c r="DA214" s="6"/>
      <c r="DB214" s="10"/>
      <c r="DC214" s="6"/>
      <c r="DD214" s="6"/>
      <c r="DE214" s="10"/>
      <c r="DF214" s="6"/>
      <c r="DG214" s="6"/>
      <c r="DH214" s="10"/>
      <c r="DI214" s="6"/>
    </row>
    <row r="215" spans="1:113">
      <c r="A215" s="6">
        <v>211</v>
      </c>
      <c r="B215" s="6">
        <v>1470</v>
      </c>
      <c r="C215" s="10"/>
      <c r="D215" s="6">
        <v>361</v>
      </c>
      <c r="E215" s="141" t="s">
        <v>37</v>
      </c>
      <c r="F215" s="141" t="s">
        <v>37</v>
      </c>
      <c r="G215" s="347" t="s">
        <v>37</v>
      </c>
      <c r="H215" s="347" t="s">
        <v>37</v>
      </c>
      <c r="I215" s="347" t="s">
        <v>37</v>
      </c>
      <c r="J215" s="347" t="s">
        <v>37</v>
      </c>
      <c r="K215" s="347" t="s">
        <v>37</v>
      </c>
      <c r="L215" s="347" t="s">
        <v>37</v>
      </c>
      <c r="M215" s="347" t="s">
        <v>37</v>
      </c>
      <c r="N215" s="347" t="s">
        <v>37</v>
      </c>
      <c r="O215" s="347" t="s">
        <v>37</v>
      </c>
      <c r="P215" s="347" t="s">
        <v>37</v>
      </c>
      <c r="Q215" s="347" t="s">
        <v>37</v>
      </c>
      <c r="R215" s="347" t="s">
        <v>37</v>
      </c>
      <c r="S215" s="347" t="s">
        <v>37</v>
      </c>
      <c r="T215" s="347" t="s">
        <v>37</v>
      </c>
      <c r="U215" s="6">
        <v>317</v>
      </c>
      <c r="V215" s="6">
        <v>1562</v>
      </c>
      <c r="W215" s="35">
        <f t="shared" si="45"/>
        <v>409</v>
      </c>
      <c r="X215" s="6">
        <v>704</v>
      </c>
      <c r="Y215" s="6"/>
      <c r="Z215" s="35">
        <f t="shared" si="46"/>
        <v>387</v>
      </c>
      <c r="AA215" s="35">
        <v>1084</v>
      </c>
      <c r="AB215" s="35"/>
      <c r="AC215" s="35">
        <f t="shared" si="47"/>
        <v>380</v>
      </c>
      <c r="AD215" s="6">
        <v>1457</v>
      </c>
      <c r="AE215" s="6"/>
      <c r="AF215" s="35">
        <f t="shared" si="48"/>
        <v>373</v>
      </c>
      <c r="AG215" s="6"/>
      <c r="AH215" s="6"/>
      <c r="AI215" s="34"/>
      <c r="AJ215" s="35">
        <v>289</v>
      </c>
      <c r="AK215" s="35">
        <v>1560</v>
      </c>
      <c r="AL215" s="35">
        <f t="shared" si="49"/>
        <v>392</v>
      </c>
      <c r="AM215" s="6">
        <v>681</v>
      </c>
      <c r="AN215" s="6"/>
      <c r="AO215" s="35">
        <f t="shared" si="50"/>
        <v>392</v>
      </c>
      <c r="AP215" s="6">
        <v>1076</v>
      </c>
      <c r="AQ215" s="6"/>
      <c r="AR215" s="35">
        <f t="shared" si="51"/>
        <v>395</v>
      </c>
      <c r="AS215" s="35">
        <v>1469</v>
      </c>
      <c r="AT215" s="35"/>
      <c r="AU215" s="35">
        <f t="shared" si="52"/>
        <v>393</v>
      </c>
      <c r="AV215" s="35">
        <v>301</v>
      </c>
      <c r="AW215" s="6">
        <v>1560</v>
      </c>
      <c r="AX215" s="35">
        <f t="shared" si="53"/>
        <v>392</v>
      </c>
      <c r="AY215" s="6">
        <v>664</v>
      </c>
      <c r="AZ215" s="6"/>
      <c r="BA215" s="35">
        <f t="shared" si="54"/>
        <v>363</v>
      </c>
      <c r="BB215" s="6"/>
      <c r="BC215" s="6"/>
      <c r="BD215" s="6"/>
      <c r="BE215" s="35">
        <v>1043</v>
      </c>
      <c r="BF215" s="35"/>
      <c r="BG215" s="6">
        <f t="shared" si="55"/>
        <v>379</v>
      </c>
      <c r="BH215" s="35">
        <v>1426</v>
      </c>
      <c r="BI215" s="35"/>
      <c r="BJ215" s="35">
        <f t="shared" si="56"/>
        <v>383</v>
      </c>
      <c r="BK215" s="35">
        <v>251</v>
      </c>
      <c r="BL215" s="35">
        <v>1560</v>
      </c>
      <c r="BM215" s="6">
        <f t="shared" si="57"/>
        <v>385</v>
      </c>
      <c r="BN215" s="35">
        <v>632</v>
      </c>
      <c r="BO215" s="35"/>
      <c r="BP215" s="35">
        <f t="shared" si="58"/>
        <v>381</v>
      </c>
      <c r="BQ215" s="35">
        <v>997</v>
      </c>
      <c r="BR215" s="6"/>
      <c r="BS215" s="6">
        <f t="shared" si="59"/>
        <v>365</v>
      </c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35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10"/>
      <c r="CZ215" s="6"/>
      <c r="DA215" s="6"/>
      <c r="DB215" s="10"/>
      <c r="DC215" s="6"/>
      <c r="DD215" s="6"/>
      <c r="DE215" s="10"/>
      <c r="DF215" s="6"/>
      <c r="DG215" s="6"/>
      <c r="DH215" s="10"/>
      <c r="DI215" s="6"/>
    </row>
    <row r="216" spans="1:113">
      <c r="A216" s="6">
        <v>212</v>
      </c>
      <c r="B216" s="6">
        <v>186</v>
      </c>
      <c r="C216" s="10"/>
      <c r="D216" s="6">
        <v>0</v>
      </c>
      <c r="E216" s="141" t="s">
        <v>75</v>
      </c>
      <c r="F216" s="141" t="s">
        <v>75</v>
      </c>
      <c r="G216" s="347" t="s">
        <v>75</v>
      </c>
      <c r="H216" s="347" t="s">
        <v>75</v>
      </c>
      <c r="I216" s="347" t="s">
        <v>75</v>
      </c>
      <c r="J216" s="347" t="s">
        <v>75</v>
      </c>
      <c r="K216" s="347" t="s">
        <v>75</v>
      </c>
      <c r="L216" s="347" t="s">
        <v>75</v>
      </c>
      <c r="M216" s="347" t="s">
        <v>75</v>
      </c>
      <c r="N216" s="347" t="s">
        <v>75</v>
      </c>
      <c r="O216" s="347" t="s">
        <v>75</v>
      </c>
      <c r="P216" s="347" t="s">
        <v>75</v>
      </c>
      <c r="Q216" s="347" t="s">
        <v>75</v>
      </c>
      <c r="R216" s="347" t="s">
        <v>75</v>
      </c>
      <c r="S216" s="419" t="s">
        <v>135</v>
      </c>
      <c r="T216" s="421" t="s">
        <v>135</v>
      </c>
      <c r="U216" s="6">
        <v>186</v>
      </c>
      <c r="V216" s="6"/>
      <c r="W216" s="35">
        <f t="shared" si="45"/>
        <v>0</v>
      </c>
      <c r="X216" s="6">
        <v>383</v>
      </c>
      <c r="Y216" s="6"/>
      <c r="Z216" s="35">
        <f t="shared" si="46"/>
        <v>197</v>
      </c>
      <c r="AA216" s="35">
        <v>626</v>
      </c>
      <c r="AB216" s="35"/>
      <c r="AC216" s="35">
        <f t="shared" si="47"/>
        <v>243</v>
      </c>
      <c r="AD216" s="6">
        <v>873</v>
      </c>
      <c r="AE216" s="6"/>
      <c r="AF216" s="35">
        <f t="shared" si="48"/>
        <v>247</v>
      </c>
      <c r="AG216" s="6"/>
      <c r="AH216" s="35"/>
      <c r="AI216" s="34"/>
      <c r="AJ216" s="35">
        <v>1130</v>
      </c>
      <c r="AK216" s="35"/>
      <c r="AL216" s="35">
        <f t="shared" si="49"/>
        <v>257</v>
      </c>
      <c r="AM216" s="35">
        <v>243</v>
      </c>
      <c r="AN216" s="6">
        <v>1140</v>
      </c>
      <c r="AO216" s="35">
        <f t="shared" si="50"/>
        <v>253</v>
      </c>
      <c r="AP216" s="6">
        <v>497</v>
      </c>
      <c r="AQ216" s="6"/>
      <c r="AR216" s="35">
        <f t="shared" si="51"/>
        <v>254</v>
      </c>
      <c r="AS216" s="35">
        <v>35</v>
      </c>
      <c r="AT216" s="35">
        <v>717</v>
      </c>
      <c r="AU216" s="35">
        <f t="shared" si="52"/>
        <v>255</v>
      </c>
      <c r="AV216" s="35">
        <v>296</v>
      </c>
      <c r="AW216" s="6"/>
      <c r="AX216" s="35">
        <f t="shared" si="53"/>
        <v>261</v>
      </c>
      <c r="AY216" s="6">
        <v>547</v>
      </c>
      <c r="AZ216" s="6"/>
      <c r="BA216" s="35">
        <f t="shared" si="54"/>
        <v>251</v>
      </c>
      <c r="BB216" s="6"/>
      <c r="BC216" s="6"/>
      <c r="BD216" s="6"/>
      <c r="BE216" s="35">
        <v>234</v>
      </c>
      <c r="BF216" s="35">
        <v>603</v>
      </c>
      <c r="BG216" s="6">
        <f t="shared" si="55"/>
        <v>290</v>
      </c>
      <c r="BH216" s="35">
        <v>521</v>
      </c>
      <c r="BI216" s="35"/>
      <c r="BJ216" s="35">
        <f t="shared" si="56"/>
        <v>287</v>
      </c>
      <c r="BK216" s="35">
        <v>0</v>
      </c>
      <c r="BL216" s="35">
        <v>743</v>
      </c>
      <c r="BM216" s="6">
        <f t="shared" si="57"/>
        <v>222</v>
      </c>
      <c r="BN216" s="35">
        <v>258</v>
      </c>
      <c r="BO216" s="35"/>
      <c r="BP216" s="35">
        <f t="shared" si="58"/>
        <v>258</v>
      </c>
      <c r="BQ216" s="35">
        <v>541</v>
      </c>
      <c r="BR216" s="6"/>
      <c r="BS216" s="6">
        <f t="shared" si="59"/>
        <v>283</v>
      </c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10"/>
      <c r="CZ216" s="6"/>
      <c r="DA216" s="6"/>
      <c r="DB216" s="10"/>
      <c r="DC216" s="6"/>
      <c r="DD216" s="6"/>
      <c r="DE216" s="10"/>
      <c r="DF216" s="6"/>
      <c r="DG216" s="6"/>
      <c r="DH216" s="10"/>
      <c r="DI216" s="6"/>
    </row>
    <row r="217" spans="1:113">
      <c r="A217" s="151">
        <v>213</v>
      </c>
      <c r="B217" s="6">
        <v>724</v>
      </c>
      <c r="C217" s="10"/>
      <c r="D217" s="6">
        <v>362</v>
      </c>
      <c r="E217" s="141" t="s">
        <v>37</v>
      </c>
      <c r="F217" s="141" t="s">
        <v>37</v>
      </c>
      <c r="G217" s="347" t="s">
        <v>37</v>
      </c>
      <c r="H217" s="347" t="s">
        <v>37</v>
      </c>
      <c r="I217" s="347" t="s">
        <v>37</v>
      </c>
      <c r="J217" s="347" t="s">
        <v>37</v>
      </c>
      <c r="K217" s="347" t="s">
        <v>37</v>
      </c>
      <c r="L217" s="347" t="s">
        <v>37</v>
      </c>
      <c r="M217" s="347" t="s">
        <v>37</v>
      </c>
      <c r="N217" s="347" t="s">
        <v>37</v>
      </c>
      <c r="O217" s="347" t="s">
        <v>37</v>
      </c>
      <c r="P217" s="347" t="s">
        <v>37</v>
      </c>
      <c r="Q217" s="347" t="s">
        <v>37</v>
      </c>
      <c r="R217" s="347" t="s">
        <v>37</v>
      </c>
      <c r="S217" s="347" t="s">
        <v>37</v>
      </c>
      <c r="T217" s="347" t="s">
        <v>37</v>
      </c>
      <c r="U217" s="6">
        <v>1135</v>
      </c>
      <c r="V217" s="6"/>
      <c r="W217" s="35">
        <f t="shared" si="45"/>
        <v>411</v>
      </c>
      <c r="X217" s="6">
        <v>1520</v>
      </c>
      <c r="Y217" s="6"/>
      <c r="Z217" s="35">
        <f t="shared" si="46"/>
        <v>385</v>
      </c>
      <c r="AA217" s="35">
        <v>347</v>
      </c>
      <c r="AB217" s="35">
        <v>1560</v>
      </c>
      <c r="AC217" s="35">
        <f t="shared" si="47"/>
        <v>387</v>
      </c>
      <c r="AD217" s="6">
        <v>721</v>
      </c>
      <c r="AE217" s="6"/>
      <c r="AF217" s="35">
        <f t="shared" si="48"/>
        <v>374</v>
      </c>
      <c r="AG217" s="6"/>
      <c r="AH217" s="6"/>
      <c r="AI217" s="34"/>
      <c r="AJ217" s="35">
        <v>1104</v>
      </c>
      <c r="AK217" s="35"/>
      <c r="AL217" s="35">
        <f t="shared" si="49"/>
        <v>383</v>
      </c>
      <c r="AM217" s="6">
        <v>1482</v>
      </c>
      <c r="AN217" s="6"/>
      <c r="AO217" s="35">
        <f t="shared" si="50"/>
        <v>378</v>
      </c>
      <c r="AP217" s="6">
        <v>267</v>
      </c>
      <c r="AQ217" s="6">
        <v>1560</v>
      </c>
      <c r="AR217" s="35">
        <f t="shared" si="51"/>
        <v>345</v>
      </c>
      <c r="AS217" s="35">
        <v>636</v>
      </c>
      <c r="AT217" s="35"/>
      <c r="AU217" s="35">
        <f t="shared" si="52"/>
        <v>369</v>
      </c>
      <c r="AV217" s="35">
        <v>1021</v>
      </c>
      <c r="AW217" s="6"/>
      <c r="AX217" s="35">
        <f t="shared" si="53"/>
        <v>385</v>
      </c>
      <c r="AY217" s="6">
        <v>1385</v>
      </c>
      <c r="AZ217" s="6"/>
      <c r="BA217" s="35">
        <f t="shared" si="54"/>
        <v>364</v>
      </c>
      <c r="BB217" s="6"/>
      <c r="BC217" s="6"/>
      <c r="BD217" s="6"/>
      <c r="BE217" s="35">
        <v>200</v>
      </c>
      <c r="BF217" s="35">
        <v>1561</v>
      </c>
      <c r="BG217" s="6">
        <f t="shared" si="55"/>
        <v>376</v>
      </c>
      <c r="BH217" s="35">
        <v>581</v>
      </c>
      <c r="BI217" s="35"/>
      <c r="BJ217" s="35">
        <f t="shared" si="56"/>
        <v>381</v>
      </c>
      <c r="BK217" s="35">
        <v>959</v>
      </c>
      <c r="BL217" s="35"/>
      <c r="BM217" s="6">
        <f t="shared" si="57"/>
        <v>378</v>
      </c>
      <c r="BN217" s="35">
        <v>1344</v>
      </c>
      <c r="BO217" s="35"/>
      <c r="BP217" s="35">
        <f t="shared" si="58"/>
        <v>385</v>
      </c>
      <c r="BQ217" s="35">
        <v>163</v>
      </c>
      <c r="BR217" s="6">
        <v>1560</v>
      </c>
      <c r="BS217" s="6">
        <f t="shared" si="59"/>
        <v>379</v>
      </c>
      <c r="BT217" s="35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10"/>
      <c r="CZ217" s="6"/>
      <c r="DA217" s="6"/>
      <c r="DB217" s="10"/>
      <c r="DC217" s="6"/>
      <c r="DD217" s="6"/>
      <c r="DE217" s="10"/>
      <c r="DF217" s="6"/>
      <c r="DG217" s="6"/>
      <c r="DH217" s="10"/>
      <c r="DI217" s="6"/>
    </row>
    <row r="218" spans="1:113">
      <c r="A218" s="6">
        <v>214</v>
      </c>
      <c r="B218" s="6">
        <v>175</v>
      </c>
      <c r="C218" s="10"/>
      <c r="D218" s="6">
        <v>0</v>
      </c>
      <c r="E218" s="141" t="s">
        <v>75</v>
      </c>
      <c r="F218" s="141" t="s">
        <v>75</v>
      </c>
      <c r="G218" s="347" t="s">
        <v>75</v>
      </c>
      <c r="H218" s="347" t="s">
        <v>75</v>
      </c>
      <c r="I218" s="347" t="s">
        <v>75</v>
      </c>
      <c r="J218" s="347" t="s">
        <v>75</v>
      </c>
      <c r="K218" s="347" t="s">
        <v>75</v>
      </c>
      <c r="L218" s="347" t="s">
        <v>75</v>
      </c>
      <c r="M218" s="347" t="s">
        <v>75</v>
      </c>
      <c r="N218" s="347" t="s">
        <v>75</v>
      </c>
      <c r="O218" s="347" t="s">
        <v>75</v>
      </c>
      <c r="P218" s="347" t="s">
        <v>75</v>
      </c>
      <c r="Q218" s="347" t="s">
        <v>75</v>
      </c>
      <c r="R218" s="347" t="s">
        <v>75</v>
      </c>
      <c r="S218" s="347" t="s">
        <v>75</v>
      </c>
      <c r="T218" s="347" t="s">
        <v>75</v>
      </c>
      <c r="U218" s="6">
        <v>175</v>
      </c>
      <c r="V218" s="6"/>
      <c r="W218" s="35">
        <f t="shared" si="45"/>
        <v>0</v>
      </c>
      <c r="X218" s="6">
        <v>374</v>
      </c>
      <c r="Y218" s="6"/>
      <c r="Z218" s="35">
        <f t="shared" si="46"/>
        <v>199</v>
      </c>
      <c r="AA218" s="35">
        <v>640</v>
      </c>
      <c r="AB218" s="35"/>
      <c r="AC218" s="35">
        <f t="shared" si="47"/>
        <v>266</v>
      </c>
      <c r="AD218" s="6">
        <v>890</v>
      </c>
      <c r="AE218" s="6"/>
      <c r="AF218" s="35">
        <f t="shared" si="48"/>
        <v>250</v>
      </c>
      <c r="AG218" s="6"/>
      <c r="AH218" s="6"/>
      <c r="AI218" s="34"/>
      <c r="AJ218" s="35">
        <v>1142</v>
      </c>
      <c r="AK218" s="35"/>
      <c r="AL218" s="35">
        <f t="shared" si="49"/>
        <v>252</v>
      </c>
      <c r="AM218" s="6">
        <v>248</v>
      </c>
      <c r="AN218" s="6">
        <v>1150</v>
      </c>
      <c r="AO218" s="35">
        <f t="shared" si="50"/>
        <v>256</v>
      </c>
      <c r="AP218" s="6">
        <v>506</v>
      </c>
      <c r="AQ218" s="6"/>
      <c r="AR218" s="35">
        <f t="shared" si="51"/>
        <v>258</v>
      </c>
      <c r="AS218" s="35">
        <v>763</v>
      </c>
      <c r="AT218" s="35"/>
      <c r="AU218" s="35">
        <f t="shared" si="52"/>
        <v>257</v>
      </c>
      <c r="AV218" s="35">
        <v>1026</v>
      </c>
      <c r="AW218" s="6"/>
      <c r="AX218" s="35">
        <f t="shared" si="53"/>
        <v>263</v>
      </c>
      <c r="AY218" s="6">
        <v>77</v>
      </c>
      <c r="AZ218" s="6">
        <v>1200</v>
      </c>
      <c r="BA218" s="35">
        <f t="shared" si="54"/>
        <v>251</v>
      </c>
      <c r="BB218" s="6"/>
      <c r="BC218" s="6"/>
      <c r="BD218" s="6"/>
      <c r="BE218" s="35">
        <v>345</v>
      </c>
      <c r="BF218" s="35"/>
      <c r="BG218" s="6">
        <f t="shared" si="55"/>
        <v>268</v>
      </c>
      <c r="BH218" s="35">
        <v>116</v>
      </c>
      <c r="BI218" s="35">
        <v>500</v>
      </c>
      <c r="BJ218" s="35">
        <f t="shared" si="56"/>
        <v>271</v>
      </c>
      <c r="BK218" s="35">
        <v>387</v>
      </c>
      <c r="BL218" s="35"/>
      <c r="BM218" s="6">
        <f t="shared" si="57"/>
        <v>271</v>
      </c>
      <c r="BN218" s="35">
        <v>67</v>
      </c>
      <c r="BO218" s="35">
        <v>600</v>
      </c>
      <c r="BP218" s="35">
        <f t="shared" si="58"/>
        <v>280</v>
      </c>
      <c r="BQ218" s="35">
        <v>326</v>
      </c>
      <c r="BR218" s="6"/>
      <c r="BS218" s="6">
        <f t="shared" si="59"/>
        <v>259</v>
      </c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10"/>
      <c r="CZ218" s="6"/>
      <c r="DA218" s="6"/>
      <c r="DB218" s="10"/>
      <c r="DC218" s="6"/>
      <c r="DD218" s="6"/>
      <c r="DE218" s="10"/>
      <c r="DF218" s="6"/>
      <c r="DG218" s="6"/>
      <c r="DH218" s="10"/>
      <c r="DI218" s="6"/>
    </row>
    <row r="219" spans="1:113">
      <c r="A219" s="6">
        <v>215</v>
      </c>
      <c r="B219" s="6">
        <v>709</v>
      </c>
      <c r="C219" s="10"/>
      <c r="D219" s="6">
        <v>348</v>
      </c>
      <c r="E219" s="141" t="s">
        <v>37</v>
      </c>
      <c r="F219" s="141" t="s">
        <v>37</v>
      </c>
      <c r="G219" s="347" t="s">
        <v>37</v>
      </c>
      <c r="H219" s="347" t="s">
        <v>37</v>
      </c>
      <c r="I219" s="347" t="s">
        <v>37</v>
      </c>
      <c r="J219" s="347" t="s">
        <v>37</v>
      </c>
      <c r="K219" s="347" t="s">
        <v>37</v>
      </c>
      <c r="L219" s="347" t="s">
        <v>37</v>
      </c>
      <c r="M219" s="347" t="s">
        <v>37</v>
      </c>
      <c r="N219" s="347" t="s">
        <v>37</v>
      </c>
      <c r="O219" s="347" t="s">
        <v>37</v>
      </c>
      <c r="P219" s="347" t="s">
        <v>37</v>
      </c>
      <c r="Q219" s="347" t="s">
        <v>37</v>
      </c>
      <c r="R219" s="347" t="s">
        <v>37</v>
      </c>
      <c r="S219" s="347" t="s">
        <v>37</v>
      </c>
      <c r="T219" s="347" t="s">
        <v>37</v>
      </c>
      <c r="U219" s="6">
        <v>1113</v>
      </c>
      <c r="V219" s="6"/>
      <c r="W219" s="35">
        <f t="shared" si="45"/>
        <v>404</v>
      </c>
      <c r="X219" s="6">
        <v>258</v>
      </c>
      <c r="Y219" s="6">
        <v>1225</v>
      </c>
      <c r="Z219" s="35">
        <f t="shared" si="46"/>
        <v>370</v>
      </c>
      <c r="AA219" s="35">
        <v>630</v>
      </c>
      <c r="AB219" s="35"/>
      <c r="AC219" s="35">
        <f t="shared" si="47"/>
        <v>372</v>
      </c>
      <c r="AD219" s="35">
        <v>992</v>
      </c>
      <c r="AE219" s="6"/>
      <c r="AF219" s="35">
        <f t="shared" si="48"/>
        <v>362</v>
      </c>
      <c r="AG219" s="6"/>
      <c r="AH219" s="6"/>
      <c r="AI219" s="34"/>
      <c r="AJ219" s="35">
        <v>1367</v>
      </c>
      <c r="AK219" s="35"/>
      <c r="AL219" s="35">
        <f t="shared" si="49"/>
        <v>375</v>
      </c>
      <c r="AM219" s="6">
        <v>175</v>
      </c>
      <c r="AN219" s="6">
        <v>1560</v>
      </c>
      <c r="AO219" s="35">
        <f t="shared" si="50"/>
        <v>368</v>
      </c>
      <c r="AP219" s="6">
        <v>553</v>
      </c>
      <c r="AQ219" s="6"/>
      <c r="AR219" s="35">
        <f t="shared" si="51"/>
        <v>378</v>
      </c>
      <c r="AS219" s="35">
        <v>927</v>
      </c>
      <c r="AT219" s="35"/>
      <c r="AU219" s="35">
        <f t="shared" si="52"/>
        <v>374</v>
      </c>
      <c r="AV219" s="35">
        <v>194</v>
      </c>
      <c r="AW219" s="6">
        <v>1075</v>
      </c>
      <c r="AX219" s="35">
        <f t="shared" si="53"/>
        <v>342</v>
      </c>
      <c r="AY219" s="6">
        <f>355+194</f>
        <v>549</v>
      </c>
      <c r="AZ219" s="6"/>
      <c r="BA219" s="35">
        <f t="shared" si="54"/>
        <v>355</v>
      </c>
      <c r="BB219" s="6"/>
      <c r="BC219" s="6"/>
      <c r="BD219" s="6"/>
      <c r="BE219" s="35">
        <f>736+194</f>
        <v>930</v>
      </c>
      <c r="BF219" s="35"/>
      <c r="BG219" s="6">
        <f t="shared" si="55"/>
        <v>381</v>
      </c>
      <c r="BH219" s="35">
        <v>12</v>
      </c>
      <c r="BI219" s="35">
        <f>1095+194</f>
        <v>1289</v>
      </c>
      <c r="BJ219" s="35">
        <f t="shared" si="56"/>
        <v>371</v>
      </c>
      <c r="BK219" s="35">
        <v>392</v>
      </c>
      <c r="BL219" s="35"/>
      <c r="BM219" s="6">
        <f t="shared" si="57"/>
        <v>380</v>
      </c>
      <c r="BN219" s="35">
        <v>745</v>
      </c>
      <c r="BO219" s="35"/>
      <c r="BP219" s="35">
        <f t="shared" si="58"/>
        <v>353</v>
      </c>
      <c r="BQ219" s="35">
        <v>1119</v>
      </c>
      <c r="BR219" s="6"/>
      <c r="BS219" s="6">
        <f t="shared" si="59"/>
        <v>374</v>
      </c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10"/>
      <c r="CZ219" s="6"/>
      <c r="DA219" s="6"/>
      <c r="DB219" s="10"/>
      <c r="DC219" s="6"/>
      <c r="DD219" s="6"/>
      <c r="DE219" s="10"/>
      <c r="DF219" s="6"/>
      <c r="DG219" s="6"/>
      <c r="DH219" s="10"/>
      <c r="DI219" s="6"/>
    </row>
    <row r="220" spans="1:113">
      <c r="A220" s="6">
        <v>216</v>
      </c>
      <c r="B220" s="6">
        <v>1000</v>
      </c>
      <c r="C220" s="10"/>
      <c r="D220" s="6">
        <v>0</v>
      </c>
      <c r="E220" s="141" t="s">
        <v>75</v>
      </c>
      <c r="F220" s="141" t="s">
        <v>75</v>
      </c>
      <c r="G220" s="347" t="s">
        <v>75</v>
      </c>
      <c r="H220" s="347" t="s">
        <v>75</v>
      </c>
      <c r="I220" s="347" t="s">
        <v>75</v>
      </c>
      <c r="J220" s="347" t="s">
        <v>75</v>
      </c>
      <c r="K220" s="347" t="s">
        <v>75</v>
      </c>
      <c r="L220" s="347" t="s">
        <v>75</v>
      </c>
      <c r="M220" s="347" t="s">
        <v>75</v>
      </c>
      <c r="N220" s="347" t="s">
        <v>75</v>
      </c>
      <c r="O220" s="347" t="s">
        <v>75</v>
      </c>
      <c r="P220" s="347" t="s">
        <v>75</v>
      </c>
      <c r="Q220" s="347" t="s">
        <v>75</v>
      </c>
      <c r="R220" s="347" t="s">
        <v>75</v>
      </c>
      <c r="S220" s="347" t="s">
        <v>75</v>
      </c>
      <c r="T220" s="347" t="s">
        <v>75</v>
      </c>
      <c r="U220" s="6">
        <v>1000</v>
      </c>
      <c r="V220" s="6"/>
      <c r="W220" s="35">
        <f t="shared" si="45"/>
        <v>0</v>
      </c>
      <c r="X220" s="6">
        <v>201</v>
      </c>
      <c r="Y220" s="6">
        <v>1000</v>
      </c>
      <c r="Z220" s="35">
        <f t="shared" si="46"/>
        <v>201</v>
      </c>
      <c r="AA220" s="35">
        <v>463</v>
      </c>
      <c r="AB220" s="35"/>
      <c r="AC220" s="35">
        <f t="shared" si="47"/>
        <v>262</v>
      </c>
      <c r="AD220" s="6">
        <v>715</v>
      </c>
      <c r="AE220" s="6"/>
      <c r="AF220" s="35">
        <f t="shared" si="48"/>
        <v>252</v>
      </c>
      <c r="AG220" s="6"/>
      <c r="AH220" s="6"/>
      <c r="AI220" s="34"/>
      <c r="AJ220" s="35">
        <v>975</v>
      </c>
      <c r="AK220" s="35"/>
      <c r="AL220" s="35">
        <f t="shared" si="49"/>
        <v>260</v>
      </c>
      <c r="AM220" s="6">
        <v>136</v>
      </c>
      <c r="AN220" s="6">
        <v>1100</v>
      </c>
      <c r="AO220" s="35">
        <f t="shared" si="50"/>
        <v>261</v>
      </c>
      <c r="AP220" s="6">
        <v>390</v>
      </c>
      <c r="AQ220" s="6"/>
      <c r="AR220" s="35">
        <f t="shared" si="51"/>
        <v>254</v>
      </c>
      <c r="AS220" s="35">
        <v>236</v>
      </c>
      <c r="AT220" s="35">
        <v>404</v>
      </c>
      <c r="AU220" s="35">
        <f t="shared" si="52"/>
        <v>250</v>
      </c>
      <c r="AV220" s="35">
        <v>498</v>
      </c>
      <c r="AW220" s="6"/>
      <c r="AX220" s="35">
        <f t="shared" si="53"/>
        <v>262</v>
      </c>
      <c r="AY220" s="6">
        <v>760</v>
      </c>
      <c r="AZ220" s="35"/>
      <c r="BA220" s="35">
        <f t="shared" si="54"/>
        <v>262</v>
      </c>
      <c r="BB220" s="35"/>
      <c r="BC220" s="35"/>
      <c r="BD220" s="6"/>
      <c r="BE220" s="35">
        <v>242</v>
      </c>
      <c r="BF220" s="35">
        <v>813</v>
      </c>
      <c r="BG220" s="6">
        <f t="shared" si="55"/>
        <v>295</v>
      </c>
      <c r="BH220" s="35">
        <v>535</v>
      </c>
      <c r="BI220" s="35"/>
      <c r="BJ220" s="35">
        <f t="shared" si="56"/>
        <v>293</v>
      </c>
      <c r="BK220" s="35">
        <v>207</v>
      </c>
      <c r="BL220" s="35">
        <v>600</v>
      </c>
      <c r="BM220" s="6">
        <f t="shared" si="57"/>
        <v>272</v>
      </c>
      <c r="BN220" s="35">
        <v>474</v>
      </c>
      <c r="BO220" s="35"/>
      <c r="BP220" s="35">
        <f t="shared" si="58"/>
        <v>267</v>
      </c>
      <c r="BQ220" s="35">
        <v>741</v>
      </c>
      <c r="BR220" s="6"/>
      <c r="BS220" s="6">
        <f t="shared" si="59"/>
        <v>267</v>
      </c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10"/>
      <c r="CZ220" s="6"/>
      <c r="DA220" s="6"/>
      <c r="DB220" s="10"/>
      <c r="DC220" s="6"/>
      <c r="DD220" s="6"/>
      <c r="DE220" s="10"/>
      <c r="DF220" s="6"/>
      <c r="DG220" s="6"/>
      <c r="DH220" s="10"/>
      <c r="DI220" s="6"/>
    </row>
    <row r="221" spans="1:113">
      <c r="A221" s="274">
        <v>217</v>
      </c>
      <c r="B221" s="6"/>
      <c r="C221" s="10"/>
      <c r="D221" s="6"/>
      <c r="E221" s="33"/>
      <c r="F221" s="33"/>
      <c r="G221" s="344"/>
      <c r="H221" s="344"/>
      <c r="I221" s="344"/>
      <c r="J221" s="344"/>
      <c r="K221" s="344"/>
      <c r="L221" s="381" t="s">
        <v>37</v>
      </c>
      <c r="M221" s="387" t="s">
        <v>37</v>
      </c>
      <c r="N221" s="387" t="s">
        <v>37</v>
      </c>
      <c r="O221" s="387" t="s">
        <v>37</v>
      </c>
      <c r="P221" s="387" t="s">
        <v>37</v>
      </c>
      <c r="Q221" s="387" t="s">
        <v>37</v>
      </c>
      <c r="R221" s="387" t="s">
        <v>37</v>
      </c>
      <c r="S221" s="387" t="s">
        <v>37</v>
      </c>
      <c r="T221" s="387" t="s">
        <v>37</v>
      </c>
      <c r="U221" s="6"/>
      <c r="V221" s="6"/>
      <c r="W221" s="35"/>
      <c r="X221" s="6"/>
      <c r="Y221" s="6"/>
      <c r="Z221" s="35"/>
      <c r="AA221" s="35"/>
      <c r="AB221" s="35"/>
      <c r="AC221" s="35"/>
      <c r="AD221" s="6"/>
      <c r="AE221" s="6"/>
      <c r="AF221" s="35"/>
      <c r="AG221" s="6"/>
      <c r="AH221" s="6"/>
      <c r="AI221" s="34"/>
      <c r="AJ221" s="35"/>
      <c r="AK221" s="35"/>
      <c r="AL221" s="35"/>
      <c r="AM221" s="35"/>
      <c r="AN221" s="35"/>
      <c r="AO221" s="35"/>
      <c r="AP221" s="6">
        <v>278</v>
      </c>
      <c r="AQ221" s="6"/>
      <c r="AR221" s="35">
        <f t="shared" si="51"/>
        <v>278</v>
      </c>
      <c r="AS221" s="35">
        <v>642</v>
      </c>
      <c r="AT221" s="35"/>
      <c r="AU221" s="35">
        <f t="shared" si="52"/>
        <v>364</v>
      </c>
      <c r="AV221" s="35">
        <v>1009</v>
      </c>
      <c r="AW221" s="6"/>
      <c r="AX221" s="35">
        <f t="shared" si="53"/>
        <v>367</v>
      </c>
      <c r="AY221" s="6">
        <v>1364</v>
      </c>
      <c r="AZ221" s="35"/>
      <c r="BA221" s="35">
        <f t="shared" si="54"/>
        <v>355</v>
      </c>
      <c r="BB221" s="35"/>
      <c r="BC221" s="35"/>
      <c r="BD221" s="6"/>
      <c r="BE221" s="35">
        <v>187</v>
      </c>
      <c r="BF221" s="35">
        <v>1560</v>
      </c>
      <c r="BG221" s="6">
        <f t="shared" si="55"/>
        <v>383</v>
      </c>
      <c r="BH221" s="35">
        <v>563</v>
      </c>
      <c r="BI221" s="35"/>
      <c r="BJ221" s="35">
        <f t="shared" si="56"/>
        <v>376</v>
      </c>
      <c r="BK221" s="35">
        <v>943</v>
      </c>
      <c r="BL221" s="35"/>
      <c r="BM221" s="6">
        <f t="shared" si="57"/>
        <v>380</v>
      </c>
      <c r="BN221" s="35">
        <v>1319</v>
      </c>
      <c r="BO221" s="35"/>
      <c r="BP221" s="35">
        <f t="shared" si="58"/>
        <v>376</v>
      </c>
      <c r="BQ221" s="35">
        <v>137</v>
      </c>
      <c r="BR221" s="6">
        <v>1560</v>
      </c>
      <c r="BS221" s="6">
        <f t="shared" si="59"/>
        <v>378</v>
      </c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10"/>
      <c r="CZ221" s="6"/>
      <c r="DA221" s="6"/>
      <c r="DB221" s="10"/>
      <c r="DC221" s="6"/>
      <c r="DD221" s="6"/>
      <c r="DE221" s="10"/>
      <c r="DF221" s="6"/>
      <c r="DG221" s="6"/>
      <c r="DH221" s="10"/>
      <c r="DI221" s="6"/>
    </row>
    <row r="222" spans="1:113">
      <c r="A222" s="274">
        <v>218</v>
      </c>
      <c r="B222" s="6"/>
      <c r="C222" s="10"/>
      <c r="D222" s="6"/>
      <c r="E222" s="33"/>
      <c r="F222" s="33"/>
      <c r="G222" s="344"/>
      <c r="H222" s="344"/>
      <c r="I222" s="344"/>
      <c r="J222" s="344"/>
      <c r="K222" s="344"/>
      <c r="L222" s="381" t="s">
        <v>37</v>
      </c>
      <c r="M222" s="387" t="s">
        <v>37</v>
      </c>
      <c r="N222" s="387" t="s">
        <v>37</v>
      </c>
      <c r="O222" s="387" t="s">
        <v>37</v>
      </c>
      <c r="P222" s="387" t="s">
        <v>37</v>
      </c>
      <c r="Q222" s="387" t="s">
        <v>37</v>
      </c>
      <c r="R222" s="387" t="s">
        <v>37</v>
      </c>
      <c r="S222" s="387" t="s">
        <v>37</v>
      </c>
      <c r="T222" s="387" t="s">
        <v>37</v>
      </c>
      <c r="U222" s="6"/>
      <c r="V222" s="6"/>
      <c r="W222" s="35"/>
      <c r="X222" s="6"/>
      <c r="Y222" s="6"/>
      <c r="Z222" s="35"/>
      <c r="AA222" s="35"/>
      <c r="AB222" s="35"/>
      <c r="AC222" s="35"/>
      <c r="AD222" s="6"/>
      <c r="AE222" s="6"/>
      <c r="AF222" s="35"/>
      <c r="AG222" s="6"/>
      <c r="AH222" s="6"/>
      <c r="AI222" s="34"/>
      <c r="AJ222" s="35"/>
      <c r="AK222" s="35"/>
      <c r="AL222" s="35"/>
      <c r="AM222" s="35"/>
      <c r="AN222" s="6"/>
      <c r="AO222" s="35"/>
      <c r="AP222" s="6">
        <v>0</v>
      </c>
      <c r="AQ222" s="6"/>
      <c r="AR222" s="35">
        <f t="shared" si="51"/>
        <v>0</v>
      </c>
      <c r="AS222" s="35">
        <v>0</v>
      </c>
      <c r="AT222" s="35"/>
      <c r="AU222" s="35">
        <f t="shared" si="52"/>
        <v>0</v>
      </c>
      <c r="AV222" s="35">
        <f>262+85</f>
        <v>347</v>
      </c>
      <c r="AW222" s="6"/>
      <c r="AX222" s="35">
        <f t="shared" si="53"/>
        <v>347</v>
      </c>
      <c r="AY222" s="6">
        <f>601+85</f>
        <v>686</v>
      </c>
      <c r="AZ222" s="35"/>
      <c r="BA222" s="35">
        <f t="shared" si="54"/>
        <v>339</v>
      </c>
      <c r="BB222" s="35"/>
      <c r="BC222" s="35"/>
      <c r="BD222" s="6"/>
      <c r="BE222" s="35">
        <f>980+85</f>
        <v>1065</v>
      </c>
      <c r="BF222" s="35"/>
      <c r="BG222" s="6">
        <f t="shared" si="55"/>
        <v>379</v>
      </c>
      <c r="BH222" s="35">
        <f>1341+85</f>
        <v>1426</v>
      </c>
      <c r="BI222" s="35"/>
      <c r="BJ222" s="35">
        <f t="shared" si="56"/>
        <v>361</v>
      </c>
      <c r="BK222" s="35">
        <v>151</v>
      </c>
      <c r="BL222" s="35">
        <v>1560</v>
      </c>
      <c r="BM222" s="6">
        <f t="shared" si="57"/>
        <v>285</v>
      </c>
      <c r="BN222" s="35">
        <v>528</v>
      </c>
      <c r="BO222" s="35"/>
      <c r="BP222" s="35">
        <f t="shared" si="58"/>
        <v>377</v>
      </c>
      <c r="BQ222" s="35">
        <v>903</v>
      </c>
      <c r="BR222" s="6"/>
      <c r="BS222" s="6">
        <f t="shared" si="59"/>
        <v>375</v>
      </c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10"/>
      <c r="CZ222" s="6"/>
      <c r="DA222" s="6"/>
      <c r="DB222" s="10"/>
      <c r="DC222" s="6"/>
      <c r="DD222" s="6"/>
      <c r="DE222" s="10"/>
      <c r="DF222" s="6"/>
      <c r="DG222" s="6"/>
      <c r="DH222" s="10"/>
      <c r="DI222" s="6"/>
    </row>
    <row r="223" spans="1:113">
      <c r="A223" s="274">
        <v>219</v>
      </c>
      <c r="B223" s="6"/>
      <c r="C223" s="10"/>
      <c r="D223" s="6"/>
      <c r="E223" s="33"/>
      <c r="F223" s="33"/>
      <c r="G223" s="344"/>
      <c r="H223" s="344"/>
      <c r="I223" s="344"/>
      <c r="J223" s="344"/>
      <c r="K223" s="344"/>
      <c r="L223" s="381" t="s">
        <v>37</v>
      </c>
      <c r="M223" s="387" t="s">
        <v>37</v>
      </c>
      <c r="N223" s="387" t="s">
        <v>37</v>
      </c>
      <c r="O223" s="387" t="s">
        <v>37</v>
      </c>
      <c r="P223" s="387" t="s">
        <v>37</v>
      </c>
      <c r="Q223" s="387" t="s">
        <v>37</v>
      </c>
      <c r="R223" s="387" t="s">
        <v>37</v>
      </c>
      <c r="S223" s="387" t="s">
        <v>37</v>
      </c>
      <c r="T223" s="387" t="s">
        <v>37</v>
      </c>
      <c r="U223" s="6"/>
      <c r="V223" s="6"/>
      <c r="W223" s="35"/>
      <c r="X223" s="6"/>
      <c r="Y223" s="6"/>
      <c r="Z223" s="35"/>
      <c r="AA223" s="35"/>
      <c r="AB223" s="35"/>
      <c r="AC223" s="35"/>
      <c r="AD223" s="6"/>
      <c r="AE223" s="6"/>
      <c r="AF223" s="35"/>
      <c r="AG223" s="6"/>
      <c r="AH223" s="6"/>
      <c r="AI223" s="34"/>
      <c r="AJ223" s="35"/>
      <c r="AK223" s="35"/>
      <c r="AL223" s="35"/>
      <c r="AM223" s="6"/>
      <c r="AN223" s="6"/>
      <c r="AO223" s="35"/>
      <c r="AP223" s="6">
        <v>219</v>
      </c>
      <c r="AQ223" s="6"/>
      <c r="AR223" s="35">
        <f t="shared" si="51"/>
        <v>219</v>
      </c>
      <c r="AS223" s="35">
        <v>556</v>
      </c>
      <c r="AT223" s="35"/>
      <c r="AU223" s="35">
        <f t="shared" si="52"/>
        <v>337</v>
      </c>
      <c r="AV223" s="35">
        <v>909</v>
      </c>
      <c r="AW223" s="6"/>
      <c r="AX223" s="35">
        <f t="shared" si="53"/>
        <v>353</v>
      </c>
      <c r="AY223" s="6">
        <v>1262</v>
      </c>
      <c r="AZ223" s="35"/>
      <c r="BA223" s="35">
        <f t="shared" si="54"/>
        <v>353</v>
      </c>
      <c r="BB223" s="35"/>
      <c r="BC223" s="35"/>
      <c r="BD223" s="6"/>
      <c r="BE223" s="35">
        <v>68</v>
      </c>
      <c r="BF223" s="35">
        <v>1560</v>
      </c>
      <c r="BG223" s="6">
        <f t="shared" si="55"/>
        <v>366</v>
      </c>
      <c r="BH223" s="35">
        <v>434</v>
      </c>
      <c r="BI223" s="35"/>
      <c r="BJ223" s="35">
        <f t="shared" si="56"/>
        <v>366</v>
      </c>
      <c r="BK223" s="35">
        <v>812</v>
      </c>
      <c r="BL223" s="35"/>
      <c r="BM223" s="6">
        <f t="shared" si="57"/>
        <v>378</v>
      </c>
      <c r="BN223" s="35">
        <v>1169</v>
      </c>
      <c r="BO223" s="35"/>
      <c r="BP223" s="35">
        <f t="shared" si="58"/>
        <v>357</v>
      </c>
      <c r="BQ223" s="35">
        <v>1544</v>
      </c>
      <c r="BR223" s="6"/>
      <c r="BS223" s="6">
        <f t="shared" si="59"/>
        <v>375</v>
      </c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10"/>
      <c r="CZ223" s="6"/>
      <c r="DA223" s="6"/>
      <c r="DB223" s="10"/>
      <c r="DC223" s="6"/>
      <c r="DD223" s="6"/>
      <c r="DE223" s="10"/>
      <c r="DF223" s="6"/>
      <c r="DG223" s="6"/>
      <c r="DH223" s="10"/>
      <c r="DI223" s="6"/>
    </row>
    <row r="224" spans="1:113">
      <c r="A224" s="274">
        <v>220</v>
      </c>
      <c r="B224" s="6"/>
      <c r="C224" s="10"/>
      <c r="D224" s="6"/>
      <c r="E224" s="141"/>
      <c r="F224" s="141"/>
      <c r="G224" s="347"/>
      <c r="H224" s="347"/>
      <c r="I224" s="347"/>
      <c r="J224" s="347"/>
      <c r="K224" s="347"/>
      <c r="L224" s="382" t="s">
        <v>37</v>
      </c>
      <c r="M224" s="388" t="s">
        <v>37</v>
      </c>
      <c r="N224" s="388" t="s">
        <v>37</v>
      </c>
      <c r="O224" s="388" t="s">
        <v>37</v>
      </c>
      <c r="P224" s="388" t="s">
        <v>37</v>
      </c>
      <c r="Q224" s="388" t="s">
        <v>37</v>
      </c>
      <c r="R224" s="388" t="s">
        <v>37</v>
      </c>
      <c r="S224" s="388" t="s">
        <v>37</v>
      </c>
      <c r="T224" s="388" t="s">
        <v>37</v>
      </c>
      <c r="U224" s="6"/>
      <c r="V224" s="6"/>
      <c r="W224" s="35"/>
      <c r="X224" s="6"/>
      <c r="Y224" s="6"/>
      <c r="Z224" s="35"/>
      <c r="AA224" s="35"/>
      <c r="AB224" s="35"/>
      <c r="AC224" s="35"/>
      <c r="AD224" s="6"/>
      <c r="AE224" s="6"/>
      <c r="AF224" s="35"/>
      <c r="AG224" s="6"/>
      <c r="AH224" s="6"/>
      <c r="AI224" s="34"/>
      <c r="AJ224" s="35"/>
      <c r="AK224" s="35"/>
      <c r="AL224" s="35"/>
      <c r="AM224" s="6"/>
      <c r="AN224" s="6"/>
      <c r="AO224" s="35"/>
      <c r="AP224" s="6">
        <v>227</v>
      </c>
      <c r="AQ224" s="6"/>
      <c r="AR224" s="35">
        <f t="shared" si="51"/>
        <v>227</v>
      </c>
      <c r="AS224" s="35">
        <v>563</v>
      </c>
      <c r="AT224" s="35"/>
      <c r="AU224" s="35">
        <f t="shared" si="52"/>
        <v>336</v>
      </c>
      <c r="AV224" s="35">
        <v>905</v>
      </c>
      <c r="AW224" s="6"/>
      <c r="AX224" s="35">
        <f t="shared" si="53"/>
        <v>342</v>
      </c>
      <c r="AY224" s="6">
        <v>1239</v>
      </c>
      <c r="AZ224" s="35"/>
      <c r="BA224" s="35">
        <f t="shared" si="54"/>
        <v>334</v>
      </c>
      <c r="BB224" s="35"/>
      <c r="BC224" s="35"/>
      <c r="BD224" s="6"/>
      <c r="BE224" s="35">
        <v>40</v>
      </c>
      <c r="BF224" s="35">
        <v>1560</v>
      </c>
      <c r="BG224" s="6">
        <f t="shared" si="55"/>
        <v>361</v>
      </c>
      <c r="BH224" s="35">
        <v>400</v>
      </c>
      <c r="BI224" s="35"/>
      <c r="BJ224" s="35">
        <f t="shared" si="56"/>
        <v>360</v>
      </c>
      <c r="BK224" s="35">
        <v>759</v>
      </c>
      <c r="BL224" s="35"/>
      <c r="BM224" s="6">
        <f t="shared" si="57"/>
        <v>359</v>
      </c>
      <c r="BN224" s="35">
        <v>1120</v>
      </c>
      <c r="BO224" s="35"/>
      <c r="BP224" s="35">
        <f t="shared" si="58"/>
        <v>361</v>
      </c>
      <c r="BQ224" s="35">
        <v>1471</v>
      </c>
      <c r="BR224" s="6"/>
      <c r="BS224" s="6">
        <f t="shared" si="59"/>
        <v>351</v>
      </c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10"/>
      <c r="CZ224" s="6"/>
      <c r="DA224" s="6"/>
      <c r="DB224" s="10"/>
      <c r="DC224" s="6"/>
      <c r="DD224" s="6"/>
      <c r="DE224" s="10"/>
      <c r="DF224" s="6"/>
      <c r="DG224" s="6"/>
      <c r="DH224" s="10"/>
      <c r="DI224" s="6"/>
    </row>
    <row r="225" spans="1:113">
      <c r="A225" s="274">
        <v>221</v>
      </c>
      <c r="B225" s="6"/>
      <c r="C225" s="10"/>
      <c r="D225" s="6"/>
      <c r="E225" s="33"/>
      <c r="F225" s="33"/>
      <c r="G225" s="344"/>
      <c r="H225" s="344"/>
      <c r="I225" s="344"/>
      <c r="J225" s="344"/>
      <c r="K225" s="344"/>
      <c r="L225" s="381" t="s">
        <v>37</v>
      </c>
      <c r="M225" s="387" t="s">
        <v>37</v>
      </c>
      <c r="N225" s="387" t="s">
        <v>37</v>
      </c>
      <c r="O225" s="387" t="s">
        <v>37</v>
      </c>
      <c r="P225" s="387" t="s">
        <v>37</v>
      </c>
      <c r="Q225" s="387" t="s">
        <v>37</v>
      </c>
      <c r="R225" s="387" t="s">
        <v>37</v>
      </c>
      <c r="S225" s="387" t="s">
        <v>37</v>
      </c>
      <c r="T225" s="387" t="s">
        <v>37</v>
      </c>
      <c r="U225" s="6"/>
      <c r="V225" s="6"/>
      <c r="W225" s="35"/>
      <c r="X225" s="6"/>
      <c r="Y225" s="6"/>
      <c r="Z225" s="35"/>
      <c r="AA225" s="35"/>
      <c r="AB225" s="35"/>
      <c r="AC225" s="35"/>
      <c r="AD225" s="6"/>
      <c r="AE225" s="6"/>
      <c r="AF225" s="35"/>
      <c r="AG225" s="6"/>
      <c r="AH225" s="6"/>
      <c r="AI225" s="34"/>
      <c r="AJ225" s="35"/>
      <c r="AK225" s="35"/>
      <c r="AL225" s="35"/>
      <c r="AM225" s="6"/>
      <c r="AN225" s="6"/>
      <c r="AO225" s="35"/>
      <c r="AP225" s="6">
        <v>158</v>
      </c>
      <c r="AQ225" s="6"/>
      <c r="AR225" s="35">
        <f t="shared" si="51"/>
        <v>158</v>
      </c>
      <c r="AS225" s="35">
        <v>505</v>
      </c>
      <c r="AT225" s="35"/>
      <c r="AU225" s="35">
        <f t="shared" si="52"/>
        <v>347</v>
      </c>
      <c r="AV225" s="35">
        <v>852</v>
      </c>
      <c r="AW225" s="6"/>
      <c r="AX225" s="35">
        <f t="shared" si="53"/>
        <v>347</v>
      </c>
      <c r="AY225" s="6">
        <v>1193</v>
      </c>
      <c r="AZ225" s="35"/>
      <c r="BA225" s="35">
        <f t="shared" si="54"/>
        <v>341</v>
      </c>
      <c r="BB225" s="35"/>
      <c r="BC225" s="35"/>
      <c r="BD225" s="6"/>
      <c r="BE225" s="35">
        <v>7</v>
      </c>
      <c r="BF225" s="35">
        <v>1560</v>
      </c>
      <c r="BG225" s="6">
        <f t="shared" si="55"/>
        <v>374</v>
      </c>
      <c r="BH225" s="35">
        <v>377</v>
      </c>
      <c r="BI225" s="35"/>
      <c r="BJ225" s="35">
        <f t="shared" si="56"/>
        <v>370</v>
      </c>
      <c r="BK225" s="35">
        <v>747</v>
      </c>
      <c r="BL225" s="35"/>
      <c r="BM225" s="6">
        <f t="shared" si="57"/>
        <v>370</v>
      </c>
      <c r="BN225" s="6">
        <v>1117</v>
      </c>
      <c r="BO225" s="35"/>
      <c r="BP225" s="35">
        <f t="shared" si="58"/>
        <v>370</v>
      </c>
      <c r="BQ225" s="35">
        <v>1485</v>
      </c>
      <c r="BR225" s="6"/>
      <c r="BS225" s="6">
        <f t="shared" si="59"/>
        <v>368</v>
      </c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10"/>
      <c r="CZ225" s="6"/>
      <c r="DA225" s="6"/>
      <c r="DB225" s="10"/>
      <c r="DC225" s="6"/>
      <c r="DD225" s="6"/>
      <c r="DE225" s="10"/>
      <c r="DF225" s="6"/>
      <c r="DG225" s="6"/>
      <c r="DH225" s="10"/>
      <c r="DI225" s="6"/>
    </row>
    <row r="226" spans="1:113">
      <c r="A226" s="274">
        <v>222</v>
      </c>
      <c r="B226" s="6"/>
      <c r="C226" s="10"/>
      <c r="D226" s="6"/>
      <c r="E226" s="33"/>
      <c r="F226" s="33"/>
      <c r="G226" s="344"/>
      <c r="H226" s="344"/>
      <c r="I226" s="344"/>
      <c r="J226" s="344"/>
      <c r="K226" s="344"/>
      <c r="L226" s="381" t="s">
        <v>37</v>
      </c>
      <c r="M226" s="387" t="s">
        <v>37</v>
      </c>
      <c r="N226" s="387" t="s">
        <v>37</v>
      </c>
      <c r="O226" s="387" t="s">
        <v>37</v>
      </c>
      <c r="P226" s="387" t="s">
        <v>37</v>
      </c>
      <c r="Q226" s="387" t="s">
        <v>37</v>
      </c>
      <c r="R226" s="387" t="s">
        <v>37</v>
      </c>
      <c r="S226" s="387" t="s">
        <v>37</v>
      </c>
      <c r="T226" s="387" t="s">
        <v>37</v>
      </c>
      <c r="U226" s="6"/>
      <c r="V226" s="6"/>
      <c r="W226" s="35"/>
      <c r="X226" s="6"/>
      <c r="Y226" s="6"/>
      <c r="Z226" s="35"/>
      <c r="AA226" s="35"/>
      <c r="AB226" s="35"/>
      <c r="AC226" s="35"/>
      <c r="AD226" s="6"/>
      <c r="AE226" s="6"/>
      <c r="AF226" s="35"/>
      <c r="AG226" s="6"/>
      <c r="AH226" s="35"/>
      <c r="AI226" s="34"/>
      <c r="AJ226" s="35"/>
      <c r="AK226" s="35"/>
      <c r="AL226" s="35"/>
      <c r="AM226" s="6"/>
      <c r="AN226" s="6"/>
      <c r="AO226" s="35"/>
      <c r="AP226" s="6">
        <v>0</v>
      </c>
      <c r="AQ226" s="6"/>
      <c r="AR226" s="35">
        <f t="shared" si="51"/>
        <v>0</v>
      </c>
      <c r="AS226" s="35">
        <v>331</v>
      </c>
      <c r="AT226" s="35"/>
      <c r="AU226" s="35">
        <f t="shared" si="52"/>
        <v>331</v>
      </c>
      <c r="AV226" s="35">
        <v>679</v>
      </c>
      <c r="AW226" s="6"/>
      <c r="AX226" s="35">
        <f t="shared" si="53"/>
        <v>348</v>
      </c>
      <c r="AY226" s="6">
        <v>1021</v>
      </c>
      <c r="AZ226" s="35"/>
      <c r="BA226" s="35">
        <f t="shared" si="54"/>
        <v>342</v>
      </c>
      <c r="BB226" s="35"/>
      <c r="BC226" s="35"/>
      <c r="BD226" s="6"/>
      <c r="BE226" s="35">
        <v>1397</v>
      </c>
      <c r="BF226" s="35"/>
      <c r="BG226" s="6">
        <f t="shared" si="55"/>
        <v>376</v>
      </c>
      <c r="BH226" s="35">
        <v>205</v>
      </c>
      <c r="BI226" s="35">
        <v>1560</v>
      </c>
      <c r="BJ226" s="35">
        <f t="shared" si="56"/>
        <v>368</v>
      </c>
      <c r="BK226" s="35">
        <v>572</v>
      </c>
      <c r="BL226" s="35"/>
      <c r="BM226" s="6">
        <f t="shared" si="57"/>
        <v>367</v>
      </c>
      <c r="BN226" s="6">
        <v>950</v>
      </c>
      <c r="BO226" s="35"/>
      <c r="BP226" s="35">
        <f t="shared" si="58"/>
        <v>378</v>
      </c>
      <c r="BQ226" s="35">
        <v>1306</v>
      </c>
      <c r="BR226" s="6"/>
      <c r="BS226" s="6">
        <f t="shared" si="59"/>
        <v>356</v>
      </c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10"/>
      <c r="CZ226" s="6"/>
      <c r="DA226" s="6"/>
      <c r="DB226" s="10"/>
      <c r="DC226" s="6"/>
      <c r="DD226" s="6"/>
      <c r="DE226" s="10"/>
      <c r="DF226" s="6"/>
      <c r="DG226" s="6"/>
      <c r="DH226" s="10"/>
      <c r="DI226" s="6"/>
    </row>
    <row r="227" spans="1:113">
      <c r="A227" s="274">
        <v>223</v>
      </c>
      <c r="B227" s="6"/>
      <c r="C227" s="10"/>
      <c r="D227" s="6"/>
      <c r="E227" s="141"/>
      <c r="F227" s="141"/>
      <c r="G227" s="347"/>
      <c r="H227" s="347"/>
      <c r="I227" s="347"/>
      <c r="J227" s="347"/>
      <c r="K227" s="347"/>
      <c r="L227" s="347"/>
      <c r="M227" s="390" t="s">
        <v>37</v>
      </c>
      <c r="N227" s="392" t="s">
        <v>37</v>
      </c>
      <c r="O227" s="392" t="s">
        <v>37</v>
      </c>
      <c r="P227" s="392" t="s">
        <v>37</v>
      </c>
      <c r="Q227" s="392" t="s">
        <v>37</v>
      </c>
      <c r="R227" s="392" t="s">
        <v>37</v>
      </c>
      <c r="S227" s="392" t="s">
        <v>37</v>
      </c>
      <c r="T227" s="392" t="s">
        <v>37</v>
      </c>
      <c r="U227" s="6"/>
      <c r="V227" s="6"/>
      <c r="W227" s="35"/>
      <c r="X227" s="6"/>
      <c r="Y227" s="6"/>
      <c r="Z227" s="35"/>
      <c r="AA227" s="35"/>
      <c r="AB227" s="35"/>
      <c r="AC227" s="35"/>
      <c r="AD227" s="6"/>
      <c r="AE227" s="6"/>
      <c r="AF227" s="35"/>
      <c r="AG227" s="6"/>
      <c r="AH227" s="6"/>
      <c r="AI227" s="34"/>
      <c r="AJ227" s="35"/>
      <c r="AK227" s="35"/>
      <c r="AL227" s="35"/>
      <c r="AM227" s="6"/>
      <c r="AN227" s="6"/>
      <c r="AO227" s="35"/>
      <c r="AP227" s="6"/>
      <c r="AQ227" s="6"/>
      <c r="AR227" s="35"/>
      <c r="AS227" s="35">
        <v>0</v>
      </c>
      <c r="AT227" s="35"/>
      <c r="AU227" s="35">
        <f t="shared" si="52"/>
        <v>0</v>
      </c>
      <c r="AV227" s="35">
        <v>323</v>
      </c>
      <c r="AW227" s="6"/>
      <c r="AX227" s="35">
        <f t="shared" si="53"/>
        <v>323</v>
      </c>
      <c r="AY227" s="6">
        <v>650</v>
      </c>
      <c r="AZ227" s="35"/>
      <c r="BA227" s="35">
        <f t="shared" si="54"/>
        <v>327</v>
      </c>
      <c r="BB227" s="35"/>
      <c r="BC227" s="35"/>
      <c r="BD227" s="6"/>
      <c r="BE227" s="35">
        <v>1022</v>
      </c>
      <c r="BF227" s="35"/>
      <c r="BG227" s="6">
        <f t="shared" si="55"/>
        <v>372</v>
      </c>
      <c r="BH227" s="35">
        <v>1395</v>
      </c>
      <c r="BI227" s="35"/>
      <c r="BJ227" s="35">
        <f t="shared" si="56"/>
        <v>373</v>
      </c>
      <c r="BK227" s="35">
        <v>199</v>
      </c>
      <c r="BL227" s="35">
        <v>1575</v>
      </c>
      <c r="BM227" s="6">
        <f t="shared" si="57"/>
        <v>379</v>
      </c>
      <c r="BN227" s="6">
        <v>581</v>
      </c>
      <c r="BO227" s="35"/>
      <c r="BP227" s="35">
        <f t="shared" si="58"/>
        <v>382</v>
      </c>
      <c r="BQ227" s="35">
        <v>961</v>
      </c>
      <c r="BR227" s="6"/>
      <c r="BS227" s="6">
        <f t="shared" si="59"/>
        <v>380</v>
      </c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10"/>
      <c r="CZ227" s="6"/>
      <c r="DA227" s="6"/>
      <c r="DB227" s="10"/>
      <c r="DC227" s="6"/>
      <c r="DD227" s="6"/>
      <c r="DE227" s="10"/>
      <c r="DF227" s="6"/>
      <c r="DG227" s="6"/>
      <c r="DH227" s="10"/>
      <c r="DI227" s="6"/>
    </row>
    <row r="228" spans="1:113">
      <c r="A228" s="274">
        <v>224</v>
      </c>
      <c r="B228" s="6"/>
      <c r="C228" s="10"/>
      <c r="D228" s="6"/>
      <c r="E228" s="33"/>
      <c r="F228" s="33"/>
      <c r="G228" s="344"/>
      <c r="H228" s="344"/>
      <c r="I228" s="344"/>
      <c r="J228" s="344"/>
      <c r="K228" s="344"/>
      <c r="L228" s="344"/>
      <c r="M228" s="389" t="s">
        <v>37</v>
      </c>
      <c r="N228" s="391" t="s">
        <v>37</v>
      </c>
      <c r="O228" s="391" t="s">
        <v>37</v>
      </c>
      <c r="P228" s="391" t="s">
        <v>37</v>
      </c>
      <c r="Q228" s="391" t="s">
        <v>37</v>
      </c>
      <c r="R228" s="391" t="s">
        <v>37</v>
      </c>
      <c r="S228" s="391" t="s">
        <v>37</v>
      </c>
      <c r="T228" s="391" t="s">
        <v>37</v>
      </c>
      <c r="U228" s="6"/>
      <c r="V228" s="6"/>
      <c r="W228" s="35"/>
      <c r="X228" s="6"/>
      <c r="Y228" s="6"/>
      <c r="Z228" s="35"/>
      <c r="AA228" s="35"/>
      <c r="AB228" s="35"/>
      <c r="AC228" s="35"/>
      <c r="AD228" s="6"/>
      <c r="AE228" s="6"/>
      <c r="AF228" s="35"/>
      <c r="AG228" s="6"/>
      <c r="AH228" s="6"/>
      <c r="AI228" s="34"/>
      <c r="AJ228" s="35"/>
      <c r="AK228" s="35"/>
      <c r="AL228" s="35"/>
      <c r="AM228" s="6"/>
      <c r="AN228" s="6"/>
      <c r="AO228" s="35"/>
      <c r="AP228" s="6"/>
      <c r="AQ228" s="6"/>
      <c r="AR228" s="35"/>
      <c r="AS228" s="35">
        <v>299</v>
      </c>
      <c r="AT228" s="35"/>
      <c r="AU228" s="35">
        <f t="shared" si="52"/>
        <v>299</v>
      </c>
      <c r="AV228" s="35">
        <v>663</v>
      </c>
      <c r="AW228" s="6"/>
      <c r="AX228" s="35">
        <f t="shared" si="53"/>
        <v>364</v>
      </c>
      <c r="AY228" s="6">
        <v>1010</v>
      </c>
      <c r="AZ228" s="35"/>
      <c r="BA228" s="35">
        <f t="shared" si="54"/>
        <v>347</v>
      </c>
      <c r="BB228" s="35"/>
      <c r="BC228" s="35"/>
      <c r="BD228" s="6"/>
      <c r="BE228" s="35">
        <v>1383</v>
      </c>
      <c r="BF228" s="35"/>
      <c r="BG228" s="6">
        <f t="shared" si="55"/>
        <v>373</v>
      </c>
      <c r="BH228" s="35">
        <v>175</v>
      </c>
      <c r="BI228" s="35">
        <v>1561</v>
      </c>
      <c r="BJ228" s="35">
        <f t="shared" si="56"/>
        <v>353</v>
      </c>
      <c r="BK228" s="35">
        <v>546</v>
      </c>
      <c r="BL228" s="35"/>
      <c r="BM228" s="6">
        <f t="shared" si="57"/>
        <v>371</v>
      </c>
      <c r="BN228" s="6">
        <v>906</v>
      </c>
      <c r="BO228" s="35"/>
      <c r="BP228" s="35">
        <f t="shared" si="58"/>
        <v>360</v>
      </c>
      <c r="BQ228" s="35">
        <v>1280</v>
      </c>
      <c r="BR228" s="6"/>
      <c r="BS228" s="6">
        <f t="shared" si="59"/>
        <v>374</v>
      </c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10"/>
      <c r="CZ228" s="6"/>
      <c r="DA228" s="6"/>
      <c r="DB228" s="10"/>
      <c r="DC228" s="6"/>
      <c r="DD228" s="6"/>
      <c r="DE228" s="10"/>
      <c r="DF228" s="6"/>
      <c r="DG228" s="6"/>
      <c r="DH228" s="10"/>
      <c r="DI228" s="6"/>
    </row>
    <row r="229" spans="1:113">
      <c r="A229" s="274">
        <v>225</v>
      </c>
      <c r="B229" s="6"/>
      <c r="C229" s="10"/>
      <c r="D229" s="6"/>
      <c r="E229" s="141"/>
      <c r="F229" s="141"/>
      <c r="G229" s="347"/>
      <c r="H229" s="347"/>
      <c r="I229" s="347"/>
      <c r="J229" s="347"/>
      <c r="K229" s="347"/>
      <c r="L229" s="347"/>
      <c r="M229" s="347"/>
      <c r="N229" s="393" t="s">
        <v>37</v>
      </c>
      <c r="O229" s="395" t="s">
        <v>37</v>
      </c>
      <c r="P229" s="395" t="s">
        <v>37</v>
      </c>
      <c r="Q229" s="395" t="s">
        <v>37</v>
      </c>
      <c r="R229" s="395" t="s">
        <v>37</v>
      </c>
      <c r="S229" s="395" t="s">
        <v>37</v>
      </c>
      <c r="T229" s="395" t="s">
        <v>37</v>
      </c>
      <c r="U229" s="6"/>
      <c r="V229" s="6"/>
      <c r="W229" s="35"/>
      <c r="X229" s="6"/>
      <c r="Y229" s="6"/>
      <c r="Z229" s="35"/>
      <c r="AA229" s="35"/>
      <c r="AB229" s="35"/>
      <c r="AC229" s="35"/>
      <c r="AD229" s="6"/>
      <c r="AE229" s="6"/>
      <c r="AF229" s="35"/>
      <c r="AG229" s="6"/>
      <c r="AH229" s="6"/>
      <c r="AI229" s="34"/>
      <c r="AJ229" s="35"/>
      <c r="AK229" s="35"/>
      <c r="AL229" s="35"/>
      <c r="AM229" s="6"/>
      <c r="AN229" s="6"/>
      <c r="AO229" s="35"/>
      <c r="AP229" s="6"/>
      <c r="AQ229" s="6"/>
      <c r="AR229" s="35"/>
      <c r="AS229" s="35"/>
      <c r="AT229" s="35"/>
      <c r="AU229" s="35"/>
      <c r="AV229" s="35">
        <v>286</v>
      </c>
      <c r="AW229" s="6"/>
      <c r="AX229" s="35">
        <f t="shared" si="53"/>
        <v>286</v>
      </c>
      <c r="AY229" s="6">
        <v>648</v>
      </c>
      <c r="AZ229" s="35"/>
      <c r="BA229" s="35">
        <f t="shared" si="54"/>
        <v>362</v>
      </c>
      <c r="BB229" s="35"/>
      <c r="BC229" s="35"/>
      <c r="BD229" s="6"/>
      <c r="BE229" s="35">
        <v>1022</v>
      </c>
      <c r="BF229" s="35"/>
      <c r="BG229" s="6">
        <f t="shared" si="55"/>
        <v>374</v>
      </c>
      <c r="BH229" s="35">
        <v>1397</v>
      </c>
      <c r="BI229" s="35"/>
      <c r="BJ229" s="35">
        <f t="shared" si="56"/>
        <v>375</v>
      </c>
      <c r="BK229" s="35">
        <v>176</v>
      </c>
      <c r="BL229" s="35">
        <v>1560</v>
      </c>
      <c r="BM229" s="6">
        <f t="shared" si="57"/>
        <v>339</v>
      </c>
      <c r="BN229" s="6">
        <v>553</v>
      </c>
      <c r="BO229" s="35"/>
      <c r="BP229" s="35">
        <f t="shared" si="58"/>
        <v>377</v>
      </c>
      <c r="BQ229" s="35">
        <v>932</v>
      </c>
      <c r="BR229" s="6"/>
      <c r="BS229" s="6">
        <f t="shared" si="59"/>
        <v>379</v>
      </c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10"/>
      <c r="CZ229" s="6"/>
      <c r="DA229" s="6"/>
      <c r="DB229" s="10"/>
      <c r="DC229" s="6"/>
      <c r="DD229" s="6"/>
      <c r="DE229" s="10"/>
      <c r="DF229" s="6"/>
      <c r="DG229" s="6"/>
      <c r="DH229" s="10"/>
      <c r="DI229" s="6"/>
    </row>
    <row r="230" spans="1:113">
      <c r="A230" s="274">
        <v>226</v>
      </c>
      <c r="B230" s="6"/>
      <c r="C230" s="10"/>
      <c r="D230" s="6"/>
      <c r="E230" s="141"/>
      <c r="F230" s="141"/>
      <c r="G230" s="347"/>
      <c r="H230" s="347"/>
      <c r="I230" s="347"/>
      <c r="J230" s="347"/>
      <c r="K230" s="347"/>
      <c r="L230" s="347"/>
      <c r="M230" s="347"/>
      <c r="N230" s="393" t="s">
        <v>37</v>
      </c>
      <c r="O230" s="395" t="s">
        <v>37</v>
      </c>
      <c r="P230" s="395" t="s">
        <v>37</v>
      </c>
      <c r="Q230" s="395" t="s">
        <v>37</v>
      </c>
      <c r="R230" s="395" t="s">
        <v>37</v>
      </c>
      <c r="S230" s="395" t="s">
        <v>37</v>
      </c>
      <c r="T230" s="395" t="s">
        <v>37</v>
      </c>
      <c r="U230" s="6"/>
      <c r="V230" s="6"/>
      <c r="W230" s="35"/>
      <c r="X230" s="6"/>
      <c r="Y230" s="6"/>
      <c r="Z230" s="35"/>
      <c r="AA230" s="35"/>
      <c r="AB230" s="35"/>
      <c r="AC230" s="35"/>
      <c r="AD230" s="6"/>
      <c r="AE230" s="6"/>
      <c r="AF230" s="35"/>
      <c r="AG230" s="6"/>
      <c r="AH230" s="6"/>
      <c r="AI230" s="34"/>
      <c r="AJ230" s="35"/>
      <c r="AK230" s="35"/>
      <c r="AL230" s="35"/>
      <c r="AM230" s="6"/>
      <c r="AN230" s="6"/>
      <c r="AO230" s="35"/>
      <c r="AP230" s="6"/>
      <c r="AQ230" s="6"/>
      <c r="AR230" s="35"/>
      <c r="AS230" s="35"/>
      <c r="AT230" s="35"/>
      <c r="AU230" s="35"/>
      <c r="AV230" s="35">
        <v>265</v>
      </c>
      <c r="AW230" s="6"/>
      <c r="AX230" s="35">
        <f t="shared" si="53"/>
        <v>265</v>
      </c>
      <c r="AY230" s="6">
        <v>612</v>
      </c>
      <c r="AZ230" s="35"/>
      <c r="BA230" s="35">
        <f t="shared" si="54"/>
        <v>347</v>
      </c>
      <c r="BB230" s="35"/>
      <c r="BC230" s="35"/>
      <c r="BD230" s="6"/>
      <c r="BE230" s="35">
        <v>990</v>
      </c>
      <c r="BF230" s="35"/>
      <c r="BG230" s="6">
        <f t="shared" si="55"/>
        <v>378</v>
      </c>
      <c r="BH230" s="35">
        <v>1341</v>
      </c>
      <c r="BI230" s="35"/>
      <c r="BJ230" s="35">
        <f t="shared" si="56"/>
        <v>351</v>
      </c>
      <c r="BK230" s="35">
        <v>124</v>
      </c>
      <c r="BL230" s="35">
        <v>1560</v>
      </c>
      <c r="BM230" s="6">
        <f t="shared" si="57"/>
        <v>343</v>
      </c>
      <c r="BN230" s="6">
        <v>489</v>
      </c>
      <c r="BO230" s="35"/>
      <c r="BP230" s="35">
        <f t="shared" si="58"/>
        <v>365</v>
      </c>
      <c r="BQ230" s="35">
        <v>847</v>
      </c>
      <c r="BR230" s="6"/>
      <c r="BS230" s="6">
        <f t="shared" si="59"/>
        <v>358</v>
      </c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10"/>
      <c r="CZ230" s="6"/>
      <c r="DA230" s="6"/>
      <c r="DB230" s="10"/>
      <c r="DC230" s="6"/>
      <c r="DD230" s="6"/>
      <c r="DE230" s="10"/>
      <c r="DF230" s="6"/>
      <c r="DG230" s="6"/>
      <c r="DH230" s="10"/>
      <c r="DI230" s="6"/>
    </row>
    <row r="231" spans="1:113">
      <c r="A231" s="151">
        <v>227</v>
      </c>
      <c r="B231" s="6"/>
      <c r="C231" s="10"/>
      <c r="D231" s="6"/>
      <c r="E231" s="141"/>
      <c r="F231" s="141"/>
      <c r="G231" s="347"/>
      <c r="H231" s="347"/>
      <c r="I231" s="347"/>
      <c r="J231" s="347"/>
      <c r="K231" s="347"/>
      <c r="L231" s="347"/>
      <c r="M231" s="347"/>
      <c r="N231" s="347"/>
      <c r="O231" s="347"/>
      <c r="P231" s="404" t="s">
        <v>72</v>
      </c>
      <c r="Q231" s="407" t="s">
        <v>72</v>
      </c>
      <c r="R231" s="407" t="s">
        <v>72</v>
      </c>
      <c r="S231" s="407" t="s">
        <v>72</v>
      </c>
      <c r="T231" s="407" t="s">
        <v>72</v>
      </c>
      <c r="U231" s="6"/>
      <c r="V231" s="6"/>
      <c r="W231" s="35"/>
      <c r="X231" s="6"/>
      <c r="Y231" s="6"/>
      <c r="Z231" s="35"/>
      <c r="AA231" s="35"/>
      <c r="AB231" s="35"/>
      <c r="AC231" s="35"/>
      <c r="AD231" s="6"/>
      <c r="AE231" s="6"/>
      <c r="AF231" s="35"/>
      <c r="AG231" s="6"/>
      <c r="AH231" s="6"/>
      <c r="AI231" s="34"/>
      <c r="AJ231" s="35"/>
      <c r="AK231" s="35"/>
      <c r="AL231" s="35"/>
      <c r="AM231" s="6"/>
      <c r="AN231" s="6"/>
      <c r="AO231" s="35"/>
      <c r="AP231" s="6"/>
      <c r="AQ231" s="6"/>
      <c r="AR231" s="35"/>
      <c r="AS231" s="35"/>
      <c r="AT231" s="35"/>
      <c r="AU231" s="35"/>
      <c r="AV231" s="35"/>
      <c r="AW231" s="6"/>
      <c r="AX231" s="35"/>
      <c r="AY231" s="6"/>
      <c r="AZ231" s="35"/>
      <c r="BA231" s="35"/>
      <c r="BB231" s="35"/>
      <c r="BC231" s="35"/>
      <c r="BD231" s="6"/>
      <c r="BE231" s="35">
        <v>0</v>
      </c>
      <c r="BF231" s="35"/>
      <c r="BG231" s="6">
        <f t="shared" si="55"/>
        <v>0</v>
      </c>
      <c r="BH231" s="35">
        <v>0</v>
      </c>
      <c r="BI231" s="35"/>
      <c r="BJ231" s="35">
        <f t="shared" si="56"/>
        <v>0</v>
      </c>
      <c r="BK231" s="35">
        <v>0</v>
      </c>
      <c r="BL231" s="35"/>
      <c r="BM231" s="6">
        <f t="shared" si="57"/>
        <v>0</v>
      </c>
      <c r="BN231" s="6">
        <v>241</v>
      </c>
      <c r="BO231" s="35"/>
      <c r="BP231" s="35">
        <f t="shared" si="58"/>
        <v>241</v>
      </c>
      <c r="BQ231" s="35">
        <v>498</v>
      </c>
      <c r="BR231" s="6"/>
      <c r="BS231" s="6">
        <f t="shared" si="59"/>
        <v>257</v>
      </c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10"/>
      <c r="CZ231" s="6"/>
      <c r="DA231" s="6"/>
      <c r="DB231" s="10"/>
      <c r="DC231" s="6"/>
      <c r="DD231" s="6"/>
      <c r="DE231" s="10"/>
      <c r="DF231" s="6"/>
      <c r="DG231" s="6"/>
      <c r="DH231" s="10"/>
      <c r="DI231" s="6"/>
    </row>
    <row r="232" spans="1:113">
      <c r="A232" s="151">
        <v>228</v>
      </c>
      <c r="B232" s="6"/>
      <c r="C232" s="10"/>
      <c r="D232" s="6"/>
      <c r="E232" s="141"/>
      <c r="F232" s="141"/>
      <c r="G232" s="347"/>
      <c r="H232" s="347"/>
      <c r="I232" s="347"/>
      <c r="J232" s="347"/>
      <c r="K232" s="347"/>
      <c r="L232" s="347"/>
      <c r="M232" s="347"/>
      <c r="N232" s="347"/>
      <c r="O232" s="347"/>
      <c r="P232" s="404" t="s">
        <v>72</v>
      </c>
      <c r="Q232" s="407" t="s">
        <v>72</v>
      </c>
      <c r="R232" s="411" t="s">
        <v>135</v>
      </c>
      <c r="S232" s="416" t="s">
        <v>135</v>
      </c>
      <c r="T232" s="416" t="s">
        <v>135</v>
      </c>
      <c r="U232" s="6"/>
      <c r="V232" s="6"/>
      <c r="W232" s="35"/>
      <c r="X232" s="6"/>
      <c r="Y232" s="6"/>
      <c r="Z232" s="35"/>
      <c r="AA232" s="35"/>
      <c r="AB232" s="35"/>
      <c r="AC232" s="35"/>
      <c r="AD232" s="6"/>
      <c r="AE232" s="6"/>
      <c r="AF232" s="35"/>
      <c r="AG232" s="6"/>
      <c r="AH232" s="6"/>
      <c r="AI232" s="34"/>
      <c r="AJ232" s="35"/>
      <c r="AK232" s="35"/>
      <c r="AL232" s="35"/>
      <c r="AM232" s="6"/>
      <c r="AN232" s="35"/>
      <c r="AO232" s="35"/>
      <c r="AP232" s="6"/>
      <c r="AQ232" s="6"/>
      <c r="AR232" s="35"/>
      <c r="AS232" s="35"/>
      <c r="AT232" s="35"/>
      <c r="AU232" s="35"/>
      <c r="AV232" s="35"/>
      <c r="AW232" s="6"/>
      <c r="AX232" s="35"/>
      <c r="AY232" s="6"/>
      <c r="AZ232" s="35"/>
      <c r="BA232" s="35"/>
      <c r="BB232" s="35"/>
      <c r="BC232" s="35"/>
      <c r="BD232" s="6"/>
      <c r="BE232" s="35">
        <v>0</v>
      </c>
      <c r="BF232" s="35"/>
      <c r="BG232" s="6">
        <f t="shared" si="55"/>
        <v>0</v>
      </c>
      <c r="BH232" s="35">
        <v>0</v>
      </c>
      <c r="BI232" s="35"/>
      <c r="BJ232" s="35">
        <f t="shared" si="56"/>
        <v>0</v>
      </c>
      <c r="BK232" s="35">
        <v>242</v>
      </c>
      <c r="BL232" s="35"/>
      <c r="BM232" s="6">
        <f t="shared" si="57"/>
        <v>242</v>
      </c>
      <c r="BN232" s="6">
        <v>497</v>
      </c>
      <c r="BO232" s="35"/>
      <c r="BP232" s="35">
        <f t="shared" si="58"/>
        <v>255</v>
      </c>
      <c r="BQ232" s="35">
        <v>753</v>
      </c>
      <c r="BR232" s="6"/>
      <c r="BS232" s="6">
        <f t="shared" si="59"/>
        <v>256</v>
      </c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10"/>
      <c r="CZ232" s="6"/>
      <c r="DA232" s="6"/>
      <c r="DB232" s="10"/>
      <c r="DC232" s="6"/>
      <c r="DD232" s="6"/>
      <c r="DE232" s="10"/>
      <c r="DF232" s="6"/>
      <c r="DG232" s="6"/>
      <c r="DH232" s="10"/>
      <c r="DI232" s="6"/>
    </row>
    <row r="233" spans="1:113">
      <c r="A233" s="151">
        <v>229</v>
      </c>
      <c r="B233" s="6"/>
      <c r="C233" s="10"/>
      <c r="D233" s="6"/>
      <c r="E233" s="33"/>
      <c r="F233" s="33"/>
      <c r="G233" s="344"/>
      <c r="H233" s="344"/>
      <c r="I233" s="344"/>
      <c r="J233" s="344"/>
      <c r="K233" s="344"/>
      <c r="L233" s="344"/>
      <c r="M233" s="344"/>
      <c r="N233" s="344"/>
      <c r="O233" s="344"/>
      <c r="P233" s="405" t="s">
        <v>72</v>
      </c>
      <c r="Q233" s="406" t="s">
        <v>72</v>
      </c>
      <c r="R233" s="406" t="s">
        <v>72</v>
      </c>
      <c r="S233" s="406" t="s">
        <v>72</v>
      </c>
      <c r="T233" s="406" t="s">
        <v>72</v>
      </c>
      <c r="U233" s="6"/>
      <c r="V233" s="6"/>
      <c r="W233" s="35"/>
      <c r="X233" s="6"/>
      <c r="Y233" s="6"/>
      <c r="Z233" s="35"/>
      <c r="AA233" s="35"/>
      <c r="AB233" s="35"/>
      <c r="AC233" s="35"/>
      <c r="AD233" s="6"/>
      <c r="AE233" s="6"/>
      <c r="AF233" s="35"/>
      <c r="AG233" s="6"/>
      <c r="AH233" s="6"/>
      <c r="AI233" s="34"/>
      <c r="AJ233" s="35"/>
      <c r="AK233" s="35"/>
      <c r="AL233" s="35"/>
      <c r="AM233" s="6"/>
      <c r="AN233" s="6"/>
      <c r="AO233" s="35"/>
      <c r="AP233" s="6"/>
      <c r="AQ233" s="6"/>
      <c r="AR233" s="35"/>
      <c r="AS233" s="35"/>
      <c r="AT233" s="35"/>
      <c r="AU233" s="35"/>
      <c r="AV233" s="35"/>
      <c r="AW233" s="6"/>
      <c r="AX233" s="35"/>
      <c r="AY233" s="6"/>
      <c r="AZ233" s="35"/>
      <c r="BA233" s="35"/>
      <c r="BB233" s="35"/>
      <c r="BC233" s="35"/>
      <c r="BD233" s="6"/>
      <c r="BE233" s="35">
        <v>0</v>
      </c>
      <c r="BF233" s="35"/>
      <c r="BG233" s="6">
        <f t="shared" si="55"/>
        <v>0</v>
      </c>
      <c r="BH233" s="35">
        <v>0</v>
      </c>
      <c r="BI233" s="35"/>
      <c r="BJ233" s="35">
        <f t="shared" si="56"/>
        <v>0</v>
      </c>
      <c r="BK233" s="35">
        <v>0</v>
      </c>
      <c r="BL233" s="35"/>
      <c r="BM233" s="6">
        <f t="shared" si="57"/>
        <v>0</v>
      </c>
      <c r="BN233" s="6">
        <v>264</v>
      </c>
      <c r="BO233" s="35"/>
      <c r="BP233" s="35">
        <f t="shared" si="58"/>
        <v>264</v>
      </c>
      <c r="BQ233" s="35">
        <v>533</v>
      </c>
      <c r="BR233" s="6"/>
      <c r="BS233" s="6">
        <f t="shared" si="59"/>
        <v>269</v>
      </c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10"/>
      <c r="CZ233" s="6"/>
      <c r="DA233" s="6"/>
      <c r="DB233" s="10"/>
      <c r="DC233" s="6"/>
      <c r="DD233" s="6"/>
      <c r="DE233" s="10"/>
      <c r="DF233" s="6"/>
      <c r="DG233" s="6"/>
      <c r="DH233" s="10"/>
      <c r="DI233" s="6"/>
    </row>
    <row r="234" spans="1:113">
      <c r="A234" s="151">
        <v>230</v>
      </c>
      <c r="B234" s="6"/>
      <c r="C234" s="10"/>
      <c r="D234" s="6"/>
      <c r="E234" s="141"/>
      <c r="F234" s="141"/>
      <c r="G234" s="347"/>
      <c r="H234" s="347"/>
      <c r="I234" s="347"/>
      <c r="J234" s="347"/>
      <c r="K234" s="347"/>
      <c r="L234" s="347"/>
      <c r="M234" s="347"/>
      <c r="N234" s="347"/>
      <c r="O234" s="347"/>
      <c r="P234" s="404" t="s">
        <v>72</v>
      </c>
      <c r="Q234" s="407" t="s">
        <v>72</v>
      </c>
      <c r="R234" s="411" t="s">
        <v>135</v>
      </c>
      <c r="S234" s="416" t="s">
        <v>135</v>
      </c>
      <c r="T234" s="416" t="s">
        <v>135</v>
      </c>
      <c r="U234" s="6"/>
      <c r="V234" s="6"/>
      <c r="W234" s="35"/>
      <c r="X234" s="6"/>
      <c r="Y234" s="6"/>
      <c r="Z234" s="35"/>
      <c r="AA234" s="35"/>
      <c r="AB234" s="35"/>
      <c r="AC234" s="35"/>
      <c r="AD234" s="6"/>
      <c r="AE234" s="6"/>
      <c r="AF234" s="35"/>
      <c r="AG234" s="6"/>
      <c r="AH234" s="6"/>
      <c r="AI234" s="34"/>
      <c r="AJ234" s="35"/>
      <c r="AK234" s="35"/>
      <c r="AL234" s="35"/>
      <c r="AM234" s="6"/>
      <c r="AN234" s="6"/>
      <c r="AO234" s="35"/>
      <c r="AP234" s="6"/>
      <c r="AQ234" s="6"/>
      <c r="AR234" s="35"/>
      <c r="AS234" s="35"/>
      <c r="AT234" s="35"/>
      <c r="AU234" s="35"/>
      <c r="AV234" s="35"/>
      <c r="AW234" s="6"/>
      <c r="AX234" s="35"/>
      <c r="AY234" s="6"/>
      <c r="AZ234" s="35"/>
      <c r="BA234" s="35"/>
      <c r="BB234" s="35"/>
      <c r="BC234" s="35"/>
      <c r="BD234" s="6"/>
      <c r="BE234" s="35">
        <v>0</v>
      </c>
      <c r="BF234" s="35"/>
      <c r="BG234" s="6">
        <f t="shared" si="55"/>
        <v>0</v>
      </c>
      <c r="BH234" s="35">
        <v>0</v>
      </c>
      <c r="BI234" s="35"/>
      <c r="BJ234" s="35">
        <f t="shared" si="56"/>
        <v>0</v>
      </c>
      <c r="BK234" s="35">
        <v>179</v>
      </c>
      <c r="BL234" s="35"/>
      <c r="BM234" s="6">
        <f t="shared" si="57"/>
        <v>179</v>
      </c>
      <c r="BN234" s="6">
        <v>400</v>
      </c>
      <c r="BO234" s="35"/>
      <c r="BP234" s="35">
        <f t="shared" si="58"/>
        <v>221</v>
      </c>
      <c r="BQ234" s="35">
        <v>631</v>
      </c>
      <c r="BR234" s="6"/>
      <c r="BS234" s="6">
        <f t="shared" si="59"/>
        <v>231</v>
      </c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10"/>
      <c r="CZ234" s="6"/>
      <c r="DA234" s="6"/>
      <c r="DB234" s="10"/>
      <c r="DC234" s="6"/>
      <c r="DD234" s="6"/>
      <c r="DE234" s="10"/>
      <c r="DF234" s="6"/>
      <c r="DG234" s="6"/>
      <c r="DH234" s="10"/>
      <c r="DI234" s="6"/>
    </row>
    <row r="235" spans="1:113">
      <c r="A235" s="151">
        <v>231</v>
      </c>
      <c r="B235" s="6"/>
      <c r="C235" s="10"/>
      <c r="D235" s="6"/>
      <c r="E235" s="141"/>
      <c r="F235" s="141"/>
      <c r="G235" s="347"/>
      <c r="H235" s="347"/>
      <c r="I235" s="347"/>
      <c r="J235" s="347"/>
      <c r="K235" s="347"/>
      <c r="L235" s="347"/>
      <c r="M235" s="347"/>
      <c r="N235" s="347"/>
      <c r="O235" s="347"/>
      <c r="P235" s="404" t="s">
        <v>72</v>
      </c>
      <c r="Q235" s="407" t="s">
        <v>72</v>
      </c>
      <c r="R235" s="407" t="s">
        <v>72</v>
      </c>
      <c r="S235" s="407" t="s">
        <v>72</v>
      </c>
      <c r="T235" s="407" t="s">
        <v>72</v>
      </c>
      <c r="U235" s="6"/>
      <c r="V235" s="6"/>
      <c r="W235" s="35"/>
      <c r="X235" s="6"/>
      <c r="Y235" s="6"/>
      <c r="Z235" s="35"/>
      <c r="AA235" s="35"/>
      <c r="AB235" s="35"/>
      <c r="AC235" s="35"/>
      <c r="AD235" s="6"/>
      <c r="AE235" s="6"/>
      <c r="AF235" s="35"/>
      <c r="AG235" s="6"/>
      <c r="AH235" s="6"/>
      <c r="AI235" s="34"/>
      <c r="AJ235" s="35"/>
      <c r="AK235" s="35"/>
      <c r="AL235" s="35"/>
      <c r="AM235" s="6"/>
      <c r="AN235" s="6"/>
      <c r="AO235" s="35"/>
      <c r="AP235" s="6"/>
      <c r="AQ235" s="6"/>
      <c r="AR235" s="35"/>
      <c r="AS235" s="35"/>
      <c r="AT235" s="35"/>
      <c r="AU235" s="35"/>
      <c r="AV235" s="35"/>
      <c r="AW235" s="6"/>
      <c r="AX235" s="35"/>
      <c r="AY235" s="6"/>
      <c r="AZ235" s="35"/>
      <c r="BA235" s="35"/>
      <c r="BB235" s="35"/>
      <c r="BC235" s="35"/>
      <c r="BD235" s="6"/>
      <c r="BE235" s="35">
        <v>0</v>
      </c>
      <c r="BF235" s="35"/>
      <c r="BG235" s="6">
        <f t="shared" si="55"/>
        <v>0</v>
      </c>
      <c r="BH235" s="35">
        <v>0</v>
      </c>
      <c r="BI235" s="35"/>
      <c r="BJ235" s="35">
        <f t="shared" si="56"/>
        <v>0</v>
      </c>
      <c r="BK235" s="35">
        <v>0</v>
      </c>
      <c r="BL235" s="35"/>
      <c r="BM235" s="6">
        <f t="shared" si="57"/>
        <v>0</v>
      </c>
      <c r="BN235" s="6">
        <v>232</v>
      </c>
      <c r="BO235" s="35"/>
      <c r="BP235" s="35">
        <f t="shared" si="58"/>
        <v>232</v>
      </c>
      <c r="BQ235" s="35">
        <v>504</v>
      </c>
      <c r="BR235" s="6"/>
      <c r="BS235" s="6">
        <f t="shared" si="59"/>
        <v>272</v>
      </c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10"/>
      <c r="CZ235" s="6"/>
      <c r="DA235" s="6"/>
      <c r="DB235" s="10"/>
      <c r="DC235" s="6"/>
      <c r="DD235" s="6"/>
      <c r="DE235" s="10"/>
      <c r="DF235" s="6"/>
      <c r="DG235" s="6"/>
      <c r="DH235" s="10"/>
      <c r="DI235" s="6"/>
    </row>
    <row r="236" spans="1:113">
      <c r="A236" s="151">
        <v>232</v>
      </c>
      <c r="B236" s="6"/>
      <c r="C236" s="10"/>
      <c r="D236" s="6"/>
      <c r="E236" s="33"/>
      <c r="F236" s="33"/>
      <c r="G236" s="344"/>
      <c r="H236" s="354" t="s">
        <v>75</v>
      </c>
      <c r="I236" s="355" t="s">
        <v>75</v>
      </c>
      <c r="J236" s="355" t="s">
        <v>75</v>
      </c>
      <c r="K236" s="355" t="s">
        <v>75</v>
      </c>
      <c r="L236" s="355" t="s">
        <v>75</v>
      </c>
      <c r="M236" s="355" t="s">
        <v>75</v>
      </c>
      <c r="N236" s="355" t="s">
        <v>75</v>
      </c>
      <c r="O236" s="355" t="s">
        <v>75</v>
      </c>
      <c r="P236" s="355" t="s">
        <v>75</v>
      </c>
      <c r="Q236" s="355" t="s">
        <v>75</v>
      </c>
      <c r="R236" s="355" t="s">
        <v>75</v>
      </c>
      <c r="S236" s="355" t="s">
        <v>75</v>
      </c>
      <c r="T236" s="355" t="s">
        <v>75</v>
      </c>
      <c r="U236" s="6"/>
      <c r="V236" s="6"/>
      <c r="W236" s="35"/>
      <c r="X236" s="6"/>
      <c r="Y236" s="6"/>
      <c r="Z236" s="35"/>
      <c r="AA236" s="35">
        <v>0</v>
      </c>
      <c r="AB236" s="35"/>
      <c r="AC236" s="35">
        <f t="shared" si="47"/>
        <v>0</v>
      </c>
      <c r="AD236" s="6">
        <v>239</v>
      </c>
      <c r="AE236" s="6"/>
      <c r="AF236" s="35">
        <f t="shared" si="48"/>
        <v>239</v>
      </c>
      <c r="AG236" s="6"/>
      <c r="AH236" s="6"/>
      <c r="AI236" s="34"/>
      <c r="AJ236" s="35">
        <v>499</v>
      </c>
      <c r="AK236" s="35"/>
      <c r="AL236" s="35">
        <f t="shared" si="49"/>
        <v>260</v>
      </c>
      <c r="AM236" s="6">
        <v>756</v>
      </c>
      <c r="AN236" s="35"/>
      <c r="AO236" s="35">
        <f t="shared" si="50"/>
        <v>257</v>
      </c>
      <c r="AP236" s="6">
        <v>1020</v>
      </c>
      <c r="AQ236" s="6"/>
      <c r="AR236" s="35">
        <f t="shared" si="51"/>
        <v>264</v>
      </c>
      <c r="AS236" s="35">
        <v>83</v>
      </c>
      <c r="AT236" s="35">
        <v>1200</v>
      </c>
      <c r="AU236" s="35">
        <f t="shared" si="52"/>
        <v>263</v>
      </c>
      <c r="AV236" s="35">
        <v>350</v>
      </c>
      <c r="AW236" s="6"/>
      <c r="AX236" s="35">
        <f t="shared" si="53"/>
        <v>267</v>
      </c>
      <c r="AY236" s="6">
        <v>611</v>
      </c>
      <c r="AZ236" s="35"/>
      <c r="BA236" s="35">
        <f t="shared" si="54"/>
        <v>261</v>
      </c>
      <c r="BB236" s="35"/>
      <c r="BC236" s="35"/>
      <c r="BD236" s="6"/>
      <c r="BE236" s="35">
        <v>238</v>
      </c>
      <c r="BF236" s="35">
        <v>668</v>
      </c>
      <c r="BG236" s="6">
        <f t="shared" si="55"/>
        <v>295</v>
      </c>
      <c r="BH236" s="35">
        <v>525</v>
      </c>
      <c r="BI236" s="35"/>
      <c r="BJ236" s="35">
        <f t="shared" si="56"/>
        <v>287</v>
      </c>
      <c r="BK236" s="35">
        <v>202</v>
      </c>
      <c r="BL236" s="35">
        <v>600</v>
      </c>
      <c r="BM236" s="6">
        <f t="shared" si="57"/>
        <v>277</v>
      </c>
      <c r="BN236" s="6">
        <v>471</v>
      </c>
      <c r="BO236" s="35"/>
      <c r="BP236" s="35">
        <f t="shared" si="58"/>
        <v>269</v>
      </c>
      <c r="BQ236" s="35">
        <v>740</v>
      </c>
      <c r="BR236" s="6"/>
      <c r="BS236" s="6">
        <f t="shared" si="59"/>
        <v>269</v>
      </c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10"/>
      <c r="CZ236" s="6"/>
      <c r="DA236" s="6"/>
      <c r="DB236" s="10"/>
      <c r="DC236" s="6"/>
      <c r="DD236" s="6"/>
      <c r="DE236" s="10"/>
      <c r="DF236" s="6"/>
      <c r="DG236" s="6"/>
      <c r="DH236" s="10"/>
      <c r="DI236" s="6"/>
    </row>
    <row r="237" spans="1:113">
      <c r="A237" s="151">
        <v>233</v>
      </c>
      <c r="B237" s="6"/>
      <c r="C237" s="10"/>
      <c r="D237" s="6"/>
      <c r="E237" s="141"/>
      <c r="F237" s="141"/>
      <c r="G237" s="347"/>
      <c r="H237" s="347"/>
      <c r="I237" s="347"/>
      <c r="J237" s="358" t="s">
        <v>75</v>
      </c>
      <c r="K237" s="363" t="s">
        <v>75</v>
      </c>
      <c r="L237" s="363" t="s">
        <v>75</v>
      </c>
      <c r="M237" s="363" t="s">
        <v>75</v>
      </c>
      <c r="N237" s="363" t="s">
        <v>75</v>
      </c>
      <c r="O237" s="363" t="s">
        <v>75</v>
      </c>
      <c r="P237" s="363" t="s">
        <v>75</v>
      </c>
      <c r="Q237" s="363" t="s">
        <v>75</v>
      </c>
      <c r="R237" s="363" t="s">
        <v>75</v>
      </c>
      <c r="S237" s="363" t="s">
        <v>75</v>
      </c>
      <c r="T237" s="363" t="s">
        <v>75</v>
      </c>
      <c r="U237" s="6"/>
      <c r="V237" s="6"/>
      <c r="W237" s="35"/>
      <c r="X237" s="6"/>
      <c r="Y237" s="6"/>
      <c r="Z237" s="35"/>
      <c r="AA237" s="35"/>
      <c r="AB237" s="35"/>
      <c r="AC237" s="35"/>
      <c r="AD237" s="6"/>
      <c r="AE237" s="6"/>
      <c r="AF237" s="35"/>
      <c r="AG237" s="6"/>
      <c r="AH237" s="6"/>
      <c r="AI237" s="34"/>
      <c r="AJ237" s="35">
        <v>139</v>
      </c>
      <c r="AK237" s="35"/>
      <c r="AL237" s="35">
        <f t="shared" si="49"/>
        <v>139</v>
      </c>
      <c r="AM237" s="6">
        <v>194</v>
      </c>
      <c r="AN237" s="6">
        <v>186</v>
      </c>
      <c r="AO237" s="35">
        <f t="shared" si="50"/>
        <v>241</v>
      </c>
      <c r="AP237" s="6">
        <v>441</v>
      </c>
      <c r="AQ237" s="6"/>
      <c r="AR237" s="35">
        <f t="shared" si="51"/>
        <v>247</v>
      </c>
      <c r="AS237" s="35">
        <v>688</v>
      </c>
      <c r="AT237" s="35"/>
      <c r="AU237" s="35">
        <f t="shared" si="52"/>
        <v>247</v>
      </c>
      <c r="AV237" s="35">
        <v>945</v>
      </c>
      <c r="AW237" s="6"/>
      <c r="AX237" s="35">
        <f t="shared" si="53"/>
        <v>257</v>
      </c>
      <c r="AY237" s="6">
        <v>1198</v>
      </c>
      <c r="AZ237" s="35"/>
      <c r="BA237" s="35">
        <f t="shared" si="54"/>
        <v>253</v>
      </c>
      <c r="BB237" s="35"/>
      <c r="BC237" s="35"/>
      <c r="BD237" s="6"/>
      <c r="BE237" s="35">
        <v>262</v>
      </c>
      <c r="BF237" s="35">
        <v>1200</v>
      </c>
      <c r="BG237" s="6">
        <f t="shared" si="55"/>
        <v>264</v>
      </c>
      <c r="BH237" s="35">
        <v>21</v>
      </c>
      <c r="BI237" s="35">
        <v>500</v>
      </c>
      <c r="BJ237" s="35">
        <f t="shared" si="56"/>
        <v>259</v>
      </c>
      <c r="BK237" s="35">
        <v>310</v>
      </c>
      <c r="BL237" s="35"/>
      <c r="BM237" s="6">
        <f t="shared" si="57"/>
        <v>289</v>
      </c>
      <c r="BN237" s="6">
        <v>598</v>
      </c>
      <c r="BO237" s="35"/>
      <c r="BP237" s="35">
        <f t="shared" si="58"/>
        <v>288</v>
      </c>
      <c r="BQ237" s="35">
        <v>254</v>
      </c>
      <c r="BR237" s="6">
        <v>600</v>
      </c>
      <c r="BS237" s="6">
        <f t="shared" si="59"/>
        <v>256</v>
      </c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10"/>
      <c r="CZ237" s="6"/>
      <c r="DA237" s="6"/>
      <c r="DB237" s="10"/>
      <c r="DC237" s="6"/>
      <c r="DD237" s="6"/>
      <c r="DE237" s="10"/>
      <c r="DF237" s="6"/>
      <c r="DG237" s="6"/>
      <c r="DH237" s="10"/>
      <c r="DI237" s="6"/>
    </row>
    <row r="238" spans="1:113">
      <c r="A238" s="151">
        <v>234</v>
      </c>
      <c r="B238" s="6"/>
      <c r="C238" s="10"/>
      <c r="D238" s="6"/>
      <c r="E238" s="33"/>
      <c r="F238" s="33"/>
      <c r="G238" s="344"/>
      <c r="H238" s="354" t="s">
        <v>75</v>
      </c>
      <c r="I238" s="355" t="s">
        <v>75</v>
      </c>
      <c r="J238" s="355" t="s">
        <v>75</v>
      </c>
      <c r="K238" s="355" t="s">
        <v>75</v>
      </c>
      <c r="L238" s="355" t="s">
        <v>75</v>
      </c>
      <c r="M238" s="355" t="s">
        <v>75</v>
      </c>
      <c r="N238" s="355" t="s">
        <v>75</v>
      </c>
      <c r="O238" s="355" t="s">
        <v>75</v>
      </c>
      <c r="P238" s="355" t="s">
        <v>75</v>
      </c>
      <c r="Q238" s="355" t="s">
        <v>75</v>
      </c>
      <c r="R238" s="355" t="s">
        <v>75</v>
      </c>
      <c r="S238" s="355" t="s">
        <v>75</v>
      </c>
      <c r="T238" s="355" t="s">
        <v>75</v>
      </c>
      <c r="U238" s="6"/>
      <c r="V238" s="6"/>
      <c r="W238" s="35"/>
      <c r="X238" s="6"/>
      <c r="Y238" s="6"/>
      <c r="Z238" s="35"/>
      <c r="AA238" s="35">
        <v>180</v>
      </c>
      <c r="AB238" s="35"/>
      <c r="AC238" s="35">
        <f t="shared" si="47"/>
        <v>180</v>
      </c>
      <c r="AD238" s="6">
        <v>423</v>
      </c>
      <c r="AE238" s="6"/>
      <c r="AF238" s="35">
        <f t="shared" si="48"/>
        <v>243</v>
      </c>
      <c r="AG238" s="6"/>
      <c r="AH238" s="6"/>
      <c r="AI238" s="34"/>
      <c r="AJ238" s="35">
        <v>678</v>
      </c>
      <c r="AK238" s="35"/>
      <c r="AL238" s="35">
        <f t="shared" si="49"/>
        <v>255</v>
      </c>
      <c r="AM238" s="35">
        <v>932</v>
      </c>
      <c r="AN238" s="6"/>
      <c r="AO238" s="35">
        <f t="shared" si="50"/>
        <v>254</v>
      </c>
      <c r="AP238" s="6">
        <v>1187</v>
      </c>
      <c r="AQ238" s="6"/>
      <c r="AR238" s="35">
        <f t="shared" si="51"/>
        <v>255</v>
      </c>
      <c r="AS238" s="35">
        <v>242</v>
      </c>
      <c r="AT238" s="35">
        <v>1200</v>
      </c>
      <c r="AU238" s="35">
        <f t="shared" si="52"/>
        <v>255</v>
      </c>
      <c r="AV238" s="35">
        <v>501</v>
      </c>
      <c r="AW238" s="6"/>
      <c r="AX238" s="35">
        <f t="shared" si="53"/>
        <v>259</v>
      </c>
      <c r="AY238" s="6">
        <v>752</v>
      </c>
      <c r="AZ238" s="35"/>
      <c r="BA238" s="35">
        <f t="shared" si="54"/>
        <v>251</v>
      </c>
      <c r="BB238" s="35"/>
      <c r="BC238" s="35"/>
      <c r="BD238" s="6"/>
      <c r="BE238" s="35">
        <v>230</v>
      </c>
      <c r="BF238" s="35">
        <v>807</v>
      </c>
      <c r="BG238" s="6">
        <f t="shared" si="55"/>
        <v>285</v>
      </c>
      <c r="BH238" s="35">
        <v>512</v>
      </c>
      <c r="BI238" s="35"/>
      <c r="BJ238" s="35">
        <f t="shared" si="56"/>
        <v>282</v>
      </c>
      <c r="BK238" s="35">
        <v>180</v>
      </c>
      <c r="BL238" s="35">
        <v>600</v>
      </c>
      <c r="BM238" s="6">
        <f t="shared" si="57"/>
        <v>268</v>
      </c>
      <c r="BN238" s="6">
        <v>441</v>
      </c>
      <c r="BO238" s="35"/>
      <c r="BP238" s="35">
        <f t="shared" si="58"/>
        <v>261</v>
      </c>
      <c r="BQ238" s="35">
        <v>698</v>
      </c>
      <c r="BR238" s="6"/>
      <c r="BS238" s="6">
        <f t="shared" si="59"/>
        <v>257</v>
      </c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10"/>
      <c r="CZ238" s="6"/>
      <c r="DA238" s="6"/>
      <c r="DB238" s="10"/>
      <c r="DC238" s="6"/>
      <c r="DD238" s="6"/>
      <c r="DE238" s="10"/>
      <c r="DF238" s="6"/>
      <c r="DG238" s="6"/>
      <c r="DH238" s="10"/>
      <c r="DI238" s="6"/>
    </row>
    <row r="239" spans="1:113">
      <c r="A239" s="151">
        <v>235</v>
      </c>
      <c r="B239" s="6">
        <v>151</v>
      </c>
      <c r="C239" s="10"/>
      <c r="D239" s="6">
        <v>0</v>
      </c>
      <c r="E239" s="141" t="s">
        <v>72</v>
      </c>
      <c r="F239" s="141" t="s">
        <v>72</v>
      </c>
      <c r="G239" s="347" t="s">
        <v>72</v>
      </c>
      <c r="H239" s="347" t="s">
        <v>72</v>
      </c>
      <c r="I239" s="347" t="s">
        <v>72</v>
      </c>
      <c r="J239" s="347" t="s">
        <v>72</v>
      </c>
      <c r="K239" s="347" t="s">
        <v>72</v>
      </c>
      <c r="L239" s="347" t="s">
        <v>72</v>
      </c>
      <c r="M239" s="347" t="s">
        <v>72</v>
      </c>
      <c r="N239" s="347" t="s">
        <v>72</v>
      </c>
      <c r="O239" s="347" t="s">
        <v>72</v>
      </c>
      <c r="P239" s="347" t="s">
        <v>72</v>
      </c>
      <c r="Q239" s="347" t="s">
        <v>72</v>
      </c>
      <c r="R239" s="347" t="s">
        <v>72</v>
      </c>
      <c r="S239" s="347" t="s">
        <v>72</v>
      </c>
      <c r="T239" s="347" t="s">
        <v>72</v>
      </c>
      <c r="U239" s="6">
        <v>151</v>
      </c>
      <c r="V239" s="6"/>
      <c r="W239" s="35">
        <f t="shared" si="45"/>
        <v>0</v>
      </c>
      <c r="X239" s="6">
        <v>151</v>
      </c>
      <c r="Y239" s="6"/>
      <c r="Z239" s="35">
        <f t="shared" si="46"/>
        <v>0</v>
      </c>
      <c r="AA239" s="35">
        <v>151</v>
      </c>
      <c r="AB239" s="35"/>
      <c r="AC239" s="35">
        <f t="shared" si="47"/>
        <v>0</v>
      </c>
      <c r="AD239" s="6">
        <v>151</v>
      </c>
      <c r="AE239" s="6"/>
      <c r="AF239" s="35">
        <f t="shared" si="48"/>
        <v>0</v>
      </c>
      <c r="AG239" s="6"/>
      <c r="AH239" s="6"/>
      <c r="AI239" s="34"/>
      <c r="AJ239" s="35">
        <v>151</v>
      </c>
      <c r="AK239" s="35"/>
      <c r="AL239" s="35">
        <f t="shared" si="49"/>
        <v>0</v>
      </c>
      <c r="AM239" s="6">
        <v>151</v>
      </c>
      <c r="AN239" s="6"/>
      <c r="AO239" s="35">
        <f t="shared" si="50"/>
        <v>0</v>
      </c>
      <c r="AP239" s="6">
        <v>151</v>
      </c>
      <c r="AQ239" s="6"/>
      <c r="AR239" s="35">
        <f t="shared" si="51"/>
        <v>0</v>
      </c>
      <c r="AS239" s="35">
        <v>151</v>
      </c>
      <c r="AT239" s="35"/>
      <c r="AU239" s="35">
        <f t="shared" si="52"/>
        <v>0</v>
      </c>
      <c r="AV239" s="35">
        <v>360</v>
      </c>
      <c r="AW239" s="6"/>
      <c r="AX239" s="35">
        <f t="shared" si="53"/>
        <v>209</v>
      </c>
      <c r="AY239" s="6">
        <v>621</v>
      </c>
      <c r="AZ239" s="6"/>
      <c r="BA239" s="35">
        <f t="shared" si="54"/>
        <v>261</v>
      </c>
      <c r="BB239" s="6"/>
      <c r="BC239" s="6"/>
      <c r="BD239" s="6"/>
      <c r="BE239" s="35">
        <v>881</v>
      </c>
      <c r="BF239" s="35"/>
      <c r="BG239" s="6">
        <f t="shared" si="55"/>
        <v>260</v>
      </c>
      <c r="BH239" s="35">
        <v>1147</v>
      </c>
      <c r="BI239" s="35"/>
      <c r="BJ239" s="35">
        <f t="shared" si="56"/>
        <v>266</v>
      </c>
      <c r="BK239" s="35">
        <v>216</v>
      </c>
      <c r="BL239" s="35">
        <v>1200</v>
      </c>
      <c r="BM239" s="6">
        <f t="shared" si="57"/>
        <v>269</v>
      </c>
      <c r="BN239" s="35">
        <v>480</v>
      </c>
      <c r="BO239" s="35"/>
      <c r="BP239" s="35">
        <f t="shared" si="58"/>
        <v>264</v>
      </c>
      <c r="BQ239" s="35">
        <v>748</v>
      </c>
      <c r="BR239" s="6"/>
      <c r="BS239" s="6">
        <f t="shared" si="59"/>
        <v>268</v>
      </c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10"/>
      <c r="CZ239" s="6"/>
      <c r="DA239" s="6"/>
      <c r="DB239" s="10"/>
      <c r="DC239" s="6"/>
      <c r="DD239" s="6"/>
      <c r="DE239" s="10"/>
      <c r="DF239" s="6"/>
      <c r="DG239" s="6"/>
      <c r="DH239" s="10"/>
      <c r="DI239" s="6"/>
    </row>
    <row r="240" spans="1:113">
      <c r="A240" s="151">
        <v>236</v>
      </c>
      <c r="B240" s="6"/>
      <c r="C240" s="10"/>
      <c r="D240" s="6"/>
      <c r="E240" s="141"/>
      <c r="F240" s="141"/>
      <c r="G240" s="347"/>
      <c r="H240" s="353" t="s">
        <v>75</v>
      </c>
      <c r="I240" s="356" t="s">
        <v>75</v>
      </c>
      <c r="J240" s="356" t="s">
        <v>75</v>
      </c>
      <c r="K240" s="356" t="s">
        <v>75</v>
      </c>
      <c r="L240" s="356" t="s">
        <v>75</v>
      </c>
      <c r="M240" s="356" t="s">
        <v>75</v>
      </c>
      <c r="N240" s="356" t="s">
        <v>75</v>
      </c>
      <c r="O240" s="356" t="s">
        <v>75</v>
      </c>
      <c r="P240" s="356" t="s">
        <v>75</v>
      </c>
      <c r="Q240" s="356" t="s">
        <v>75</v>
      </c>
      <c r="R240" s="356" t="s">
        <v>75</v>
      </c>
      <c r="S240" s="356" t="s">
        <v>75</v>
      </c>
      <c r="T240" s="356" t="s">
        <v>75</v>
      </c>
      <c r="U240" s="6"/>
      <c r="V240" s="6"/>
      <c r="W240" s="35"/>
      <c r="X240" s="6"/>
      <c r="Y240" s="6"/>
      <c r="Z240" s="35"/>
      <c r="AA240" s="35">
        <v>188</v>
      </c>
      <c r="AB240" s="35"/>
      <c r="AC240" s="35">
        <f t="shared" si="47"/>
        <v>188</v>
      </c>
      <c r="AD240" s="6">
        <v>436</v>
      </c>
      <c r="AE240" s="6"/>
      <c r="AF240" s="35">
        <f t="shared" si="48"/>
        <v>248</v>
      </c>
      <c r="AG240" s="6"/>
      <c r="AH240" s="6"/>
      <c r="AI240" s="34"/>
      <c r="AJ240" s="35">
        <v>691</v>
      </c>
      <c r="AK240" s="35"/>
      <c r="AL240" s="35">
        <f t="shared" si="49"/>
        <v>255</v>
      </c>
      <c r="AM240" s="6">
        <v>945</v>
      </c>
      <c r="AN240" s="6"/>
      <c r="AO240" s="35">
        <f t="shared" si="50"/>
        <v>254</v>
      </c>
      <c r="AP240" s="6">
        <v>1</v>
      </c>
      <c r="AQ240" s="6">
        <v>1200</v>
      </c>
      <c r="AR240" s="35">
        <f t="shared" si="51"/>
        <v>256</v>
      </c>
      <c r="AS240" s="35">
        <v>254</v>
      </c>
      <c r="AT240" s="35"/>
      <c r="AU240" s="35">
        <f t="shared" si="52"/>
        <v>253</v>
      </c>
      <c r="AV240" s="35">
        <v>504</v>
      </c>
      <c r="AW240" s="6"/>
      <c r="AX240" s="35">
        <f t="shared" si="53"/>
        <v>250</v>
      </c>
      <c r="AY240" s="6">
        <v>756</v>
      </c>
      <c r="AZ240" s="6"/>
      <c r="BA240" s="35">
        <f t="shared" si="54"/>
        <v>252</v>
      </c>
      <c r="BB240" s="6"/>
      <c r="BC240" s="6"/>
      <c r="BD240" s="6"/>
      <c r="BE240" s="35">
        <v>231</v>
      </c>
      <c r="BF240" s="35">
        <v>811</v>
      </c>
      <c r="BG240" s="6">
        <f t="shared" si="55"/>
        <v>286</v>
      </c>
      <c r="BH240" s="35">
        <v>515</v>
      </c>
      <c r="BI240" s="35"/>
      <c r="BJ240" s="35">
        <f t="shared" si="56"/>
        <v>284</v>
      </c>
      <c r="BK240" s="35">
        <v>183</v>
      </c>
      <c r="BL240" s="35">
        <v>600</v>
      </c>
      <c r="BM240" s="6">
        <f t="shared" si="57"/>
        <v>268</v>
      </c>
      <c r="BN240" s="35">
        <v>438</v>
      </c>
      <c r="BO240" s="35"/>
      <c r="BP240" s="35">
        <f t="shared" si="58"/>
        <v>255</v>
      </c>
      <c r="BQ240" s="35">
        <v>694</v>
      </c>
      <c r="BR240" s="6"/>
      <c r="BS240" s="6">
        <f t="shared" si="59"/>
        <v>256</v>
      </c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10"/>
      <c r="CZ240" s="6"/>
      <c r="DA240" s="6"/>
      <c r="DB240" s="10"/>
      <c r="DC240" s="6"/>
      <c r="DD240" s="6"/>
      <c r="DE240" s="10"/>
      <c r="DF240" s="6"/>
      <c r="DG240" s="6"/>
      <c r="DH240" s="10"/>
      <c r="DI240" s="6"/>
    </row>
    <row r="241" spans="1:113">
      <c r="A241" s="151">
        <v>237</v>
      </c>
      <c r="B241" s="6">
        <v>216</v>
      </c>
      <c r="C241" s="10"/>
      <c r="D241" s="6">
        <v>0</v>
      </c>
      <c r="E241" s="141" t="s">
        <v>72</v>
      </c>
      <c r="F241" s="141" t="s">
        <v>72</v>
      </c>
      <c r="G241" s="347" t="s">
        <v>72</v>
      </c>
      <c r="H241" s="347" t="s">
        <v>72</v>
      </c>
      <c r="I241" s="347" t="s">
        <v>72</v>
      </c>
      <c r="J241" s="347" t="s">
        <v>72</v>
      </c>
      <c r="K241" s="347" t="s">
        <v>72</v>
      </c>
      <c r="L241" s="347" t="s">
        <v>72</v>
      </c>
      <c r="M241" s="347" t="s">
        <v>72</v>
      </c>
      <c r="N241" s="347" t="s">
        <v>72</v>
      </c>
      <c r="O241" s="347" t="s">
        <v>72</v>
      </c>
      <c r="P241" s="347" t="s">
        <v>72</v>
      </c>
      <c r="Q241" s="347" t="s">
        <v>72</v>
      </c>
      <c r="R241" s="347" t="s">
        <v>72</v>
      </c>
      <c r="S241" s="419" t="s">
        <v>75</v>
      </c>
      <c r="T241" s="421" t="s">
        <v>75</v>
      </c>
      <c r="U241" s="6">
        <v>216</v>
      </c>
      <c r="V241" s="6"/>
      <c r="W241" s="35">
        <f t="shared" si="45"/>
        <v>0</v>
      </c>
      <c r="X241" s="6">
        <v>216</v>
      </c>
      <c r="Y241" s="6"/>
      <c r="Z241" s="35">
        <f t="shared" si="46"/>
        <v>0</v>
      </c>
      <c r="AA241" s="35">
        <v>216</v>
      </c>
      <c r="AB241" s="35"/>
      <c r="AC241" s="35">
        <f t="shared" si="47"/>
        <v>0</v>
      </c>
      <c r="AD241" s="6">
        <v>216</v>
      </c>
      <c r="AE241" s="6"/>
      <c r="AF241" s="35">
        <f t="shared" si="48"/>
        <v>0</v>
      </c>
      <c r="AG241" s="6"/>
      <c r="AH241" s="6"/>
      <c r="AI241" s="34"/>
      <c r="AJ241" s="35">
        <v>216</v>
      </c>
      <c r="AK241" s="35"/>
      <c r="AL241" s="35">
        <f t="shared" si="49"/>
        <v>0</v>
      </c>
      <c r="AM241" s="6">
        <v>216</v>
      </c>
      <c r="AN241" s="6"/>
      <c r="AO241" s="35">
        <f t="shared" si="50"/>
        <v>0</v>
      </c>
      <c r="AP241" s="6">
        <v>216</v>
      </c>
      <c r="AQ241" s="6"/>
      <c r="AR241" s="35">
        <f t="shared" si="51"/>
        <v>0</v>
      </c>
      <c r="AS241" s="35">
        <v>222</v>
      </c>
      <c r="AT241" s="35"/>
      <c r="AU241" s="35">
        <f t="shared" si="52"/>
        <v>6</v>
      </c>
      <c r="AV241" s="35">
        <v>461</v>
      </c>
      <c r="AW241" s="6"/>
      <c r="AX241" s="35">
        <f t="shared" si="53"/>
        <v>239</v>
      </c>
      <c r="AY241" s="6">
        <v>697</v>
      </c>
      <c r="AZ241" s="6"/>
      <c r="BA241" s="35">
        <f t="shared" si="54"/>
        <v>236</v>
      </c>
      <c r="BB241" s="6"/>
      <c r="BC241" s="6"/>
      <c r="BD241" s="6"/>
      <c r="BE241" s="35">
        <v>946</v>
      </c>
      <c r="BF241" s="35"/>
      <c r="BG241" s="6">
        <f t="shared" si="55"/>
        <v>249</v>
      </c>
      <c r="BH241" s="35">
        <v>1191</v>
      </c>
      <c r="BI241" s="35"/>
      <c r="BJ241" s="35">
        <f t="shared" si="56"/>
        <v>245</v>
      </c>
      <c r="BK241" s="35">
        <v>0</v>
      </c>
      <c r="BL241" s="35">
        <v>1276</v>
      </c>
      <c r="BM241" s="6">
        <f t="shared" si="57"/>
        <v>85</v>
      </c>
      <c r="BN241" s="35">
        <v>219</v>
      </c>
      <c r="BO241" s="35"/>
      <c r="BP241" s="35">
        <f t="shared" si="58"/>
        <v>219</v>
      </c>
      <c r="BQ241" s="35">
        <v>468</v>
      </c>
      <c r="BR241" s="6"/>
      <c r="BS241" s="6">
        <f t="shared" si="59"/>
        <v>249</v>
      </c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10"/>
      <c r="CZ241" s="6"/>
      <c r="DA241" s="6"/>
      <c r="DB241" s="10"/>
      <c r="DC241" s="6"/>
      <c r="DD241" s="6"/>
      <c r="DE241" s="10"/>
      <c r="DF241" s="6"/>
      <c r="DG241" s="6"/>
      <c r="DH241" s="10"/>
      <c r="DI241" s="6"/>
    </row>
    <row r="242" spans="1:113">
      <c r="A242" s="151">
        <v>238</v>
      </c>
      <c r="B242" s="6"/>
      <c r="C242" s="10"/>
      <c r="D242" s="6"/>
      <c r="E242" s="141"/>
      <c r="F242" s="141"/>
      <c r="G242" s="347"/>
      <c r="H242" s="347"/>
      <c r="I242" s="347"/>
      <c r="J242" s="347"/>
      <c r="K242" s="365" t="s">
        <v>307</v>
      </c>
      <c r="L242" s="379" t="s">
        <v>307</v>
      </c>
      <c r="M242" s="379" t="s">
        <v>307</v>
      </c>
      <c r="N242" s="379" t="s">
        <v>307</v>
      </c>
      <c r="O242" s="379" t="s">
        <v>307</v>
      </c>
      <c r="P242" s="379" t="s">
        <v>307</v>
      </c>
      <c r="Q242" s="379" t="s">
        <v>307</v>
      </c>
      <c r="R242" s="379" t="s">
        <v>307</v>
      </c>
      <c r="S242" s="379" t="s">
        <v>307</v>
      </c>
      <c r="T242" s="379" t="s">
        <v>307</v>
      </c>
      <c r="U242" s="6"/>
      <c r="V242" s="6"/>
      <c r="W242" s="35"/>
      <c r="X242" s="6"/>
      <c r="Y242" s="6"/>
      <c r="Z242" s="35"/>
      <c r="AA242" s="35"/>
      <c r="AB242" s="35"/>
      <c r="AC242" s="35"/>
      <c r="AD242" s="6"/>
      <c r="AE242" s="6"/>
      <c r="AF242" s="35"/>
      <c r="AG242" s="6"/>
      <c r="AH242" s="6"/>
      <c r="AI242" s="34"/>
      <c r="AJ242" s="35"/>
      <c r="AK242" s="35"/>
      <c r="AL242" s="35"/>
      <c r="AM242" s="6">
        <v>278</v>
      </c>
      <c r="AN242" s="6"/>
      <c r="AO242" s="35">
        <f t="shared" si="50"/>
        <v>278</v>
      </c>
      <c r="AP242" s="6">
        <v>665</v>
      </c>
      <c r="AQ242" s="6"/>
      <c r="AR242" s="35">
        <f t="shared" si="51"/>
        <v>387</v>
      </c>
      <c r="AS242" s="35">
        <v>1035</v>
      </c>
      <c r="AT242" s="35"/>
      <c r="AU242" s="35">
        <f t="shared" si="52"/>
        <v>370</v>
      </c>
      <c r="AV242" s="35">
        <v>1420</v>
      </c>
      <c r="AW242" s="6"/>
      <c r="AX242" s="35">
        <f t="shared" si="53"/>
        <v>385</v>
      </c>
      <c r="AY242" s="6">
        <v>233</v>
      </c>
      <c r="AZ242" s="6">
        <v>1561</v>
      </c>
      <c r="BA242" s="35">
        <f t="shared" si="54"/>
        <v>374</v>
      </c>
      <c r="BB242" s="6"/>
      <c r="BC242" s="6"/>
      <c r="BD242" s="6"/>
      <c r="BE242" s="35">
        <v>610</v>
      </c>
      <c r="BF242" s="35"/>
      <c r="BG242" s="6">
        <f t="shared" si="55"/>
        <v>377</v>
      </c>
      <c r="BH242" s="35">
        <v>988</v>
      </c>
      <c r="BI242" s="35"/>
      <c r="BJ242" s="35">
        <f t="shared" si="56"/>
        <v>378</v>
      </c>
      <c r="BK242" s="35">
        <v>1369</v>
      </c>
      <c r="BL242" s="35"/>
      <c r="BM242" s="6">
        <f t="shared" si="57"/>
        <v>381</v>
      </c>
      <c r="BN242" s="35">
        <v>194</v>
      </c>
      <c r="BO242" s="35">
        <v>1560</v>
      </c>
      <c r="BP242" s="35">
        <f t="shared" si="58"/>
        <v>385</v>
      </c>
      <c r="BQ242" s="35">
        <v>567</v>
      </c>
      <c r="BR242" s="6"/>
      <c r="BS242" s="6">
        <f t="shared" si="59"/>
        <v>373</v>
      </c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10"/>
      <c r="CZ242" s="6"/>
      <c r="DA242" s="6"/>
      <c r="DB242" s="10"/>
      <c r="DC242" s="6"/>
      <c r="DD242" s="6"/>
      <c r="DE242" s="10"/>
      <c r="DF242" s="6"/>
      <c r="DG242" s="6"/>
      <c r="DH242" s="10"/>
      <c r="DI242" s="6"/>
    </row>
    <row r="243" spans="1:113">
      <c r="A243" s="151">
        <v>239</v>
      </c>
      <c r="B243" s="6">
        <v>301</v>
      </c>
      <c r="C243" s="10"/>
      <c r="D243" s="6">
        <v>0</v>
      </c>
      <c r="E243" s="141" t="s">
        <v>72</v>
      </c>
      <c r="F243" s="141" t="s">
        <v>72</v>
      </c>
      <c r="G243" s="347" t="s">
        <v>72</v>
      </c>
      <c r="H243" s="347" t="s">
        <v>72</v>
      </c>
      <c r="I243" s="347" t="s">
        <v>72</v>
      </c>
      <c r="J243" s="347" t="s">
        <v>72</v>
      </c>
      <c r="K243" s="347" t="s">
        <v>72</v>
      </c>
      <c r="L243" s="347" t="s">
        <v>72</v>
      </c>
      <c r="M243" s="347" t="s">
        <v>72</v>
      </c>
      <c r="N243" s="347" t="s">
        <v>72</v>
      </c>
      <c r="O243" s="347" t="s">
        <v>72</v>
      </c>
      <c r="P243" s="347" t="s">
        <v>72</v>
      </c>
      <c r="Q243" s="347" t="s">
        <v>72</v>
      </c>
      <c r="R243" s="347" t="s">
        <v>72</v>
      </c>
      <c r="S243" s="347" t="s">
        <v>72</v>
      </c>
      <c r="T243" s="422" t="s">
        <v>75</v>
      </c>
      <c r="U243" s="6">
        <v>301</v>
      </c>
      <c r="V243" s="6"/>
      <c r="W243" s="35">
        <f t="shared" si="45"/>
        <v>0</v>
      </c>
      <c r="X243" s="6">
        <v>301</v>
      </c>
      <c r="Y243" s="6"/>
      <c r="Z243" s="35">
        <f t="shared" si="46"/>
        <v>0</v>
      </c>
      <c r="AA243" s="35">
        <v>301</v>
      </c>
      <c r="AB243" s="35"/>
      <c r="AC243" s="35">
        <f t="shared" si="47"/>
        <v>0</v>
      </c>
      <c r="AD243" s="6">
        <v>301</v>
      </c>
      <c r="AE243" s="6"/>
      <c r="AF243" s="35">
        <f t="shared" si="48"/>
        <v>0</v>
      </c>
      <c r="AG243" s="6"/>
      <c r="AH243" s="6"/>
      <c r="AI243" s="34"/>
      <c r="AJ243" s="35">
        <v>301</v>
      </c>
      <c r="AK243" s="35"/>
      <c r="AL243" s="35">
        <f t="shared" si="49"/>
        <v>0</v>
      </c>
      <c r="AM243" s="6">
        <v>301</v>
      </c>
      <c r="AN243" s="6"/>
      <c r="AO243" s="35">
        <f t="shared" si="50"/>
        <v>0</v>
      </c>
      <c r="AP243" s="6">
        <v>301</v>
      </c>
      <c r="AQ243" s="6"/>
      <c r="AR243" s="35">
        <f t="shared" si="51"/>
        <v>0</v>
      </c>
      <c r="AS243" s="35">
        <v>301</v>
      </c>
      <c r="AT243" s="35"/>
      <c r="AU243" s="35">
        <f t="shared" si="52"/>
        <v>0</v>
      </c>
      <c r="AV243" s="35">
        <v>561</v>
      </c>
      <c r="AW243" s="6"/>
      <c r="AX243" s="35">
        <f t="shared" si="53"/>
        <v>260</v>
      </c>
      <c r="AY243" s="6">
        <v>800</v>
      </c>
      <c r="AZ243" s="6"/>
      <c r="BA243" s="35">
        <f t="shared" si="54"/>
        <v>239</v>
      </c>
      <c r="BB243" s="6"/>
      <c r="BC243" s="6"/>
      <c r="BD243" s="6"/>
      <c r="BE243" s="35">
        <v>112</v>
      </c>
      <c r="BF243" s="35">
        <v>930</v>
      </c>
      <c r="BG243" s="6">
        <f t="shared" si="55"/>
        <v>242</v>
      </c>
      <c r="BH243" s="35">
        <v>50</v>
      </c>
      <c r="BI243" s="35">
        <v>273</v>
      </c>
      <c r="BJ243" s="35">
        <f t="shared" si="56"/>
        <v>211</v>
      </c>
      <c r="BK243" s="35">
        <v>308</v>
      </c>
      <c r="BL243" s="35"/>
      <c r="BM243" s="6">
        <f t="shared" si="57"/>
        <v>258</v>
      </c>
      <c r="BN243" s="6">
        <v>0</v>
      </c>
      <c r="BO243" s="35">
        <v>480</v>
      </c>
      <c r="BP243" s="35">
        <f t="shared" si="58"/>
        <v>172</v>
      </c>
      <c r="BQ243" s="35">
        <v>232</v>
      </c>
      <c r="BR243" s="6"/>
      <c r="BS243" s="6">
        <f t="shared" si="59"/>
        <v>232</v>
      </c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10"/>
      <c r="CZ243" s="6"/>
      <c r="DA243" s="6"/>
      <c r="DB243" s="10"/>
      <c r="DC243" s="6"/>
      <c r="DD243" s="6"/>
      <c r="DE243" s="10"/>
      <c r="DF243" s="6"/>
      <c r="DG243" s="6"/>
      <c r="DH243" s="10"/>
      <c r="DI243" s="6"/>
    </row>
    <row r="244" spans="1:113">
      <c r="A244" s="151">
        <v>240</v>
      </c>
      <c r="B244" s="6">
        <v>0</v>
      </c>
      <c r="C244" s="10"/>
      <c r="D244" s="6">
        <v>0</v>
      </c>
      <c r="E244" s="141" t="s">
        <v>451</v>
      </c>
      <c r="F244" s="141" t="s">
        <v>451</v>
      </c>
      <c r="G244" s="347" t="s">
        <v>451</v>
      </c>
      <c r="H244" s="347" t="s">
        <v>451</v>
      </c>
      <c r="I244" s="347" t="s">
        <v>451</v>
      </c>
      <c r="J244" s="347" t="s">
        <v>451</v>
      </c>
      <c r="K244" s="347" t="s">
        <v>451</v>
      </c>
      <c r="L244" s="347" t="s">
        <v>451</v>
      </c>
      <c r="M244" s="347" t="s">
        <v>451</v>
      </c>
      <c r="N244" s="347" t="s">
        <v>451</v>
      </c>
      <c r="O244" s="347" t="s">
        <v>451</v>
      </c>
      <c r="P244" s="404" t="s">
        <v>72</v>
      </c>
      <c r="Q244" s="407" t="s">
        <v>72</v>
      </c>
      <c r="R244" s="407" t="s">
        <v>72</v>
      </c>
      <c r="S244" s="407" t="s">
        <v>72</v>
      </c>
      <c r="T244" s="407" t="s">
        <v>72</v>
      </c>
      <c r="U244" s="6">
        <v>0</v>
      </c>
      <c r="V244" s="6"/>
      <c r="W244" s="35">
        <f t="shared" si="45"/>
        <v>0</v>
      </c>
      <c r="X244" s="6">
        <v>0</v>
      </c>
      <c r="Y244" s="6"/>
      <c r="Z244" s="35">
        <f t="shared" si="46"/>
        <v>0</v>
      </c>
      <c r="AA244" s="35">
        <v>0</v>
      </c>
      <c r="AB244" s="35"/>
      <c r="AC244" s="35">
        <f t="shared" si="47"/>
        <v>0</v>
      </c>
      <c r="AD244" s="6">
        <v>0</v>
      </c>
      <c r="AE244" s="6"/>
      <c r="AF244" s="35">
        <f t="shared" si="48"/>
        <v>0</v>
      </c>
      <c r="AG244" s="6"/>
      <c r="AH244" s="6"/>
      <c r="AI244" s="34"/>
      <c r="AJ244" s="35">
        <v>0</v>
      </c>
      <c r="AK244" s="35"/>
      <c r="AL244" s="35">
        <f t="shared" si="49"/>
        <v>0</v>
      </c>
      <c r="AM244" s="6">
        <v>0</v>
      </c>
      <c r="AN244" s="6"/>
      <c r="AO244" s="35">
        <f t="shared" si="50"/>
        <v>0</v>
      </c>
      <c r="AP244" s="6">
        <v>0</v>
      </c>
      <c r="AQ244" s="6"/>
      <c r="AR244" s="35">
        <f t="shared" si="51"/>
        <v>0</v>
      </c>
      <c r="AS244" s="35">
        <v>161</v>
      </c>
      <c r="AT244" s="35"/>
      <c r="AU244" s="35">
        <f t="shared" si="52"/>
        <v>161</v>
      </c>
      <c r="AV244" s="35">
        <v>495</v>
      </c>
      <c r="AW244" s="6"/>
      <c r="AX244" s="35">
        <f t="shared" si="53"/>
        <v>334</v>
      </c>
      <c r="AY244" s="6">
        <v>0</v>
      </c>
      <c r="AZ244" s="6">
        <v>715</v>
      </c>
      <c r="BA244" s="35">
        <f t="shared" si="54"/>
        <v>220</v>
      </c>
      <c r="BB244" s="6"/>
      <c r="BC244" s="6"/>
      <c r="BD244" s="6"/>
      <c r="BE244" s="35">
        <v>0</v>
      </c>
      <c r="BF244" s="35"/>
      <c r="BG244" s="6">
        <f t="shared" si="55"/>
        <v>0</v>
      </c>
      <c r="BH244" s="35">
        <v>0</v>
      </c>
      <c r="BI244" s="35"/>
      <c r="BJ244" s="35">
        <f t="shared" si="56"/>
        <v>0</v>
      </c>
      <c r="BK244" s="35">
        <v>0</v>
      </c>
      <c r="BL244" s="35"/>
      <c r="BM244" s="6">
        <f t="shared" si="57"/>
        <v>0</v>
      </c>
      <c r="BN244" s="6">
        <v>245</v>
      </c>
      <c r="BO244" s="35"/>
      <c r="BP244" s="35">
        <f t="shared" si="58"/>
        <v>245</v>
      </c>
      <c r="BQ244" s="35">
        <v>498</v>
      </c>
      <c r="BR244" s="6"/>
      <c r="BS244" s="6">
        <f t="shared" si="59"/>
        <v>253</v>
      </c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10"/>
      <c r="CZ244" s="6"/>
      <c r="DA244" s="6"/>
      <c r="DB244" s="10"/>
      <c r="DC244" s="6"/>
      <c r="DD244" s="6"/>
      <c r="DE244" s="10"/>
      <c r="DF244" s="6"/>
      <c r="DG244" s="6"/>
      <c r="DH244" s="10"/>
      <c r="DI244" s="6"/>
    </row>
    <row r="245" spans="1:113">
      <c r="A245" s="151">
        <v>241</v>
      </c>
      <c r="B245" s="6">
        <v>966</v>
      </c>
      <c r="C245" s="10"/>
      <c r="D245" s="6">
        <v>0</v>
      </c>
      <c r="E245" s="141" t="s">
        <v>72</v>
      </c>
      <c r="F245" s="141" t="s">
        <v>72</v>
      </c>
      <c r="G245" s="347" t="s">
        <v>72</v>
      </c>
      <c r="H245" s="347" t="s">
        <v>72</v>
      </c>
      <c r="I245" s="347" t="s">
        <v>72</v>
      </c>
      <c r="J245" s="347" t="s">
        <v>72</v>
      </c>
      <c r="K245" s="347" t="s">
        <v>72</v>
      </c>
      <c r="L245" s="347" t="s">
        <v>72</v>
      </c>
      <c r="M245" s="390" t="s">
        <v>75</v>
      </c>
      <c r="N245" s="392" t="s">
        <v>75</v>
      </c>
      <c r="O245" s="392" t="s">
        <v>75</v>
      </c>
      <c r="P245" s="392" t="s">
        <v>75</v>
      </c>
      <c r="Q245" s="392" t="s">
        <v>75</v>
      </c>
      <c r="R245" s="392" t="s">
        <v>75</v>
      </c>
      <c r="S245" s="392" t="s">
        <v>75</v>
      </c>
      <c r="T245" s="392" t="s">
        <v>75</v>
      </c>
      <c r="U245" s="6">
        <v>966</v>
      </c>
      <c r="V245" s="6"/>
      <c r="W245" s="35">
        <f t="shared" si="45"/>
        <v>0</v>
      </c>
      <c r="X245" s="6">
        <v>966</v>
      </c>
      <c r="Y245" s="6"/>
      <c r="Z245" s="35">
        <f t="shared" si="46"/>
        <v>0</v>
      </c>
      <c r="AA245" s="35">
        <v>966</v>
      </c>
      <c r="AB245" s="35"/>
      <c r="AC245" s="35">
        <f t="shared" si="47"/>
        <v>0</v>
      </c>
      <c r="AD245" s="6">
        <v>966</v>
      </c>
      <c r="AE245" s="6"/>
      <c r="AF245" s="35">
        <f t="shared" si="48"/>
        <v>0</v>
      </c>
      <c r="AG245" s="6"/>
      <c r="AH245" s="6"/>
      <c r="AI245" s="34"/>
      <c r="AJ245" s="35">
        <v>966</v>
      </c>
      <c r="AK245" s="35"/>
      <c r="AL245" s="35">
        <f t="shared" si="49"/>
        <v>0</v>
      </c>
      <c r="AM245" s="6">
        <v>1226</v>
      </c>
      <c r="AN245" s="6"/>
      <c r="AO245" s="35">
        <f t="shared" si="50"/>
        <v>260</v>
      </c>
      <c r="AP245" s="6">
        <v>0</v>
      </c>
      <c r="AQ245" s="6">
        <v>1428</v>
      </c>
      <c r="AR245" s="35">
        <f t="shared" si="51"/>
        <v>202</v>
      </c>
      <c r="AS245" s="35">
        <v>250</v>
      </c>
      <c r="AT245" s="35"/>
      <c r="AU245" s="35">
        <f t="shared" si="52"/>
        <v>250</v>
      </c>
      <c r="AV245" s="35">
        <v>514</v>
      </c>
      <c r="AW245" s="6"/>
      <c r="AX245" s="35">
        <f t="shared" si="53"/>
        <v>264</v>
      </c>
      <c r="AY245" s="6">
        <v>776</v>
      </c>
      <c r="AZ245" s="6"/>
      <c r="BA245" s="35">
        <f t="shared" si="54"/>
        <v>262</v>
      </c>
      <c r="BB245" s="6"/>
      <c r="BC245" s="6"/>
      <c r="BD245" s="6"/>
      <c r="BE245" s="35">
        <v>237</v>
      </c>
      <c r="BF245" s="35">
        <v>832</v>
      </c>
      <c r="BG245" s="6">
        <f t="shared" si="55"/>
        <v>293</v>
      </c>
      <c r="BH245" s="35">
        <v>517</v>
      </c>
      <c r="BI245" s="35"/>
      <c r="BJ245" s="35">
        <f t="shared" si="56"/>
        <v>280</v>
      </c>
      <c r="BK245" s="35">
        <v>162</v>
      </c>
      <c r="BL245" s="35">
        <v>600</v>
      </c>
      <c r="BM245" s="6">
        <f t="shared" si="57"/>
        <v>245</v>
      </c>
      <c r="BN245" s="6">
        <v>404</v>
      </c>
      <c r="BO245" s="35"/>
      <c r="BP245" s="35">
        <f t="shared" si="58"/>
        <v>242</v>
      </c>
      <c r="BQ245" s="35">
        <v>664</v>
      </c>
      <c r="BR245" s="6"/>
      <c r="BS245" s="6">
        <f t="shared" si="59"/>
        <v>260</v>
      </c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10"/>
      <c r="CZ245" s="6"/>
      <c r="DA245" s="6"/>
      <c r="DB245" s="10"/>
      <c r="DC245" s="6"/>
      <c r="DD245" s="6"/>
      <c r="DE245" s="10"/>
      <c r="DF245" s="6"/>
      <c r="DG245" s="6"/>
      <c r="DH245" s="10"/>
      <c r="DI245" s="6"/>
    </row>
    <row r="246" spans="1:113">
      <c r="A246" s="151">
        <v>242</v>
      </c>
      <c r="B246" s="6">
        <v>809</v>
      </c>
      <c r="C246" s="10"/>
      <c r="D246" s="6">
        <v>0</v>
      </c>
      <c r="E246" s="141" t="s">
        <v>372</v>
      </c>
      <c r="F246" s="141" t="s">
        <v>372</v>
      </c>
      <c r="G246" s="347" t="s">
        <v>372</v>
      </c>
      <c r="H246" s="347" t="s">
        <v>372</v>
      </c>
      <c r="I246" s="347" t="s">
        <v>372</v>
      </c>
      <c r="J246" s="347" t="s">
        <v>372</v>
      </c>
      <c r="K246" s="347" t="s">
        <v>372</v>
      </c>
      <c r="L246" s="347" t="s">
        <v>372</v>
      </c>
      <c r="M246" s="347" t="s">
        <v>372</v>
      </c>
      <c r="N246" s="347" t="s">
        <v>372</v>
      </c>
      <c r="O246" s="347" t="s">
        <v>372</v>
      </c>
      <c r="P246" s="347" t="s">
        <v>372</v>
      </c>
      <c r="Q246" s="347" t="s">
        <v>372</v>
      </c>
      <c r="R246" s="347" t="s">
        <v>372</v>
      </c>
      <c r="S246" s="347" t="s">
        <v>372</v>
      </c>
      <c r="T246" s="347" t="s">
        <v>372</v>
      </c>
      <c r="U246" s="6">
        <v>809</v>
      </c>
      <c r="V246" s="6"/>
      <c r="W246" s="35">
        <f t="shared" si="45"/>
        <v>0</v>
      </c>
      <c r="X246" s="6">
        <v>809</v>
      </c>
      <c r="Y246" s="6"/>
      <c r="Z246" s="35">
        <f t="shared" si="46"/>
        <v>0</v>
      </c>
      <c r="AA246" s="35">
        <v>809</v>
      </c>
      <c r="AB246" s="35"/>
      <c r="AC246" s="35">
        <f t="shared" si="47"/>
        <v>0</v>
      </c>
      <c r="AD246" s="6">
        <v>809</v>
      </c>
      <c r="AE246" s="6"/>
      <c r="AF246" s="35">
        <f t="shared" si="48"/>
        <v>0</v>
      </c>
      <c r="AG246" s="6"/>
      <c r="AH246" s="6"/>
      <c r="AI246" s="34"/>
      <c r="AJ246" s="35">
        <v>809</v>
      </c>
      <c r="AK246" s="35"/>
      <c r="AL246" s="35">
        <f t="shared" si="49"/>
        <v>0</v>
      </c>
      <c r="AM246" s="6">
        <v>809</v>
      </c>
      <c r="AN246" s="6"/>
      <c r="AO246" s="35">
        <f t="shared" si="50"/>
        <v>0</v>
      </c>
      <c r="AP246" s="6">
        <v>809</v>
      </c>
      <c r="AQ246" s="6"/>
      <c r="AR246" s="35">
        <f t="shared" si="51"/>
        <v>0</v>
      </c>
      <c r="AS246" s="35">
        <v>809</v>
      </c>
      <c r="AT246" s="35"/>
      <c r="AU246" s="35">
        <f t="shared" si="52"/>
        <v>0</v>
      </c>
      <c r="AV246" s="35">
        <v>1080</v>
      </c>
      <c r="AW246" s="6"/>
      <c r="AX246" s="35">
        <f t="shared" si="53"/>
        <v>271</v>
      </c>
      <c r="AY246" s="6">
        <v>253</v>
      </c>
      <c r="AZ246" s="6">
        <v>1100</v>
      </c>
      <c r="BA246" s="35">
        <f t="shared" si="54"/>
        <v>273</v>
      </c>
      <c r="BB246" s="6"/>
      <c r="BC246" s="6"/>
      <c r="BD246" s="6"/>
      <c r="BE246" s="35">
        <v>537</v>
      </c>
      <c r="BF246" s="35"/>
      <c r="BG246" s="6">
        <f t="shared" si="55"/>
        <v>284</v>
      </c>
      <c r="BH246" s="35">
        <v>813</v>
      </c>
      <c r="BI246" s="35"/>
      <c r="BJ246" s="35">
        <f t="shared" si="56"/>
        <v>276</v>
      </c>
      <c r="BK246" s="35">
        <v>1085</v>
      </c>
      <c r="BL246" s="35"/>
      <c r="BM246" s="6">
        <f t="shared" si="57"/>
        <v>272</v>
      </c>
      <c r="BN246" s="6">
        <v>194</v>
      </c>
      <c r="BO246" s="35">
        <v>1166</v>
      </c>
      <c r="BP246" s="35">
        <f t="shared" si="58"/>
        <v>275</v>
      </c>
      <c r="BQ246" s="35">
        <v>0</v>
      </c>
      <c r="BR246" s="6">
        <v>336</v>
      </c>
      <c r="BS246" s="6">
        <f t="shared" si="59"/>
        <v>142</v>
      </c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10"/>
      <c r="CZ246" s="6"/>
      <c r="DA246" s="6"/>
      <c r="DB246" s="10"/>
      <c r="DC246" s="6"/>
      <c r="DD246" s="6"/>
      <c r="DE246" s="10"/>
      <c r="DF246" s="6"/>
      <c r="DG246" s="6"/>
      <c r="DH246" s="10"/>
      <c r="DI246" s="6"/>
    </row>
    <row r="247" spans="1:113">
      <c r="A247" s="151">
        <v>243</v>
      </c>
      <c r="B247" s="6">
        <v>278</v>
      </c>
      <c r="C247" s="10"/>
      <c r="D247" s="6">
        <v>0</v>
      </c>
      <c r="E247" s="141" t="s">
        <v>72</v>
      </c>
      <c r="F247" s="141" t="s">
        <v>72</v>
      </c>
      <c r="G247" s="347" t="s">
        <v>72</v>
      </c>
      <c r="H247" s="347" t="s">
        <v>72</v>
      </c>
      <c r="I247" s="347" t="s">
        <v>72</v>
      </c>
      <c r="J247" s="347" t="s">
        <v>72</v>
      </c>
      <c r="K247" s="347" t="s">
        <v>72</v>
      </c>
      <c r="L247" s="347" t="s">
        <v>72</v>
      </c>
      <c r="M247" s="347" t="s">
        <v>72</v>
      </c>
      <c r="N247" s="347" t="s">
        <v>72</v>
      </c>
      <c r="O247" s="398" t="s">
        <v>75</v>
      </c>
      <c r="P247" s="403" t="s">
        <v>75</v>
      </c>
      <c r="Q247" s="403" t="s">
        <v>75</v>
      </c>
      <c r="R247" s="403" t="s">
        <v>75</v>
      </c>
      <c r="S247" s="403" t="s">
        <v>75</v>
      </c>
      <c r="T247" s="403" t="s">
        <v>75</v>
      </c>
      <c r="U247" s="6">
        <v>278</v>
      </c>
      <c r="V247" s="6"/>
      <c r="W247" s="35">
        <f t="shared" si="45"/>
        <v>0</v>
      </c>
      <c r="X247" s="6">
        <v>278</v>
      </c>
      <c r="Y247" s="6"/>
      <c r="Z247" s="35">
        <f t="shared" si="46"/>
        <v>0</v>
      </c>
      <c r="AA247" s="35">
        <v>278</v>
      </c>
      <c r="AB247" s="35"/>
      <c r="AC247" s="35">
        <f t="shared" si="47"/>
        <v>0</v>
      </c>
      <c r="AD247" s="6">
        <v>278</v>
      </c>
      <c r="AE247" s="6"/>
      <c r="AF247" s="35">
        <f t="shared" si="48"/>
        <v>0</v>
      </c>
      <c r="AG247" s="6"/>
      <c r="AH247" s="6"/>
      <c r="AI247" s="34"/>
      <c r="AJ247" s="35">
        <v>278</v>
      </c>
      <c r="AK247" s="35"/>
      <c r="AL247" s="35">
        <f t="shared" si="49"/>
        <v>0</v>
      </c>
      <c r="AM247" s="6">
        <v>520</v>
      </c>
      <c r="AN247" s="6"/>
      <c r="AO247" s="35">
        <f t="shared" si="50"/>
        <v>242</v>
      </c>
      <c r="AP247" s="6">
        <v>769</v>
      </c>
      <c r="AQ247" s="6"/>
      <c r="AR247" s="35">
        <f t="shared" si="51"/>
        <v>249</v>
      </c>
      <c r="AS247" s="35">
        <v>1010</v>
      </c>
      <c r="AT247" s="35"/>
      <c r="AU247" s="35">
        <f t="shared" si="52"/>
        <v>241</v>
      </c>
      <c r="AV247" s="35">
        <v>0</v>
      </c>
      <c r="AW247" s="6">
        <v>1060</v>
      </c>
      <c r="AX247" s="35">
        <f t="shared" si="53"/>
        <v>50</v>
      </c>
      <c r="AY247" s="6">
        <v>245</v>
      </c>
      <c r="AZ247" s="6"/>
      <c r="BA247" s="35">
        <f t="shared" si="54"/>
        <v>245</v>
      </c>
      <c r="BB247" s="6"/>
      <c r="BC247" s="6"/>
      <c r="BD247" s="6"/>
      <c r="BE247" s="35">
        <v>501</v>
      </c>
      <c r="BF247" s="35"/>
      <c r="BG247" s="6">
        <f t="shared" si="55"/>
        <v>256</v>
      </c>
      <c r="BH247" s="35">
        <v>161</v>
      </c>
      <c r="BI247" s="35">
        <v>600</v>
      </c>
      <c r="BJ247" s="35">
        <f t="shared" si="56"/>
        <v>260</v>
      </c>
      <c r="BK247" s="35">
        <v>442</v>
      </c>
      <c r="BL247" s="35"/>
      <c r="BM247" s="6">
        <f t="shared" si="57"/>
        <v>281</v>
      </c>
      <c r="BN247" s="6">
        <v>112</v>
      </c>
      <c r="BO247" s="35">
        <v>600</v>
      </c>
      <c r="BP247" s="35">
        <f t="shared" si="58"/>
        <v>270</v>
      </c>
      <c r="BQ247" s="35">
        <v>367</v>
      </c>
      <c r="BR247" s="6"/>
      <c r="BS247" s="6">
        <f t="shared" si="59"/>
        <v>255</v>
      </c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10"/>
      <c r="CZ247" s="6"/>
      <c r="DA247" s="6"/>
      <c r="DB247" s="10"/>
      <c r="DC247" s="6"/>
      <c r="DD247" s="6"/>
      <c r="DE247" s="10"/>
      <c r="DF247" s="6"/>
      <c r="DG247" s="6"/>
      <c r="DH247" s="10"/>
      <c r="DI247" s="6"/>
    </row>
    <row r="248" spans="1:113">
      <c r="A248" s="151">
        <v>244</v>
      </c>
      <c r="B248" s="6">
        <v>1061</v>
      </c>
      <c r="C248" s="10"/>
      <c r="D248" s="6">
        <v>0</v>
      </c>
      <c r="E248" s="141" t="s">
        <v>372</v>
      </c>
      <c r="F248" s="141" t="s">
        <v>372</v>
      </c>
      <c r="G248" s="347" t="s">
        <v>372</v>
      </c>
      <c r="H248" s="347" t="s">
        <v>372</v>
      </c>
      <c r="I248" s="347" t="s">
        <v>372</v>
      </c>
      <c r="J248" s="347" t="s">
        <v>372</v>
      </c>
      <c r="K248" s="347" t="s">
        <v>372</v>
      </c>
      <c r="L248" s="347" t="s">
        <v>372</v>
      </c>
      <c r="M248" s="347" t="s">
        <v>372</v>
      </c>
      <c r="N248" s="347" t="s">
        <v>372</v>
      </c>
      <c r="O248" s="347" t="s">
        <v>372</v>
      </c>
      <c r="P248" s="347" t="s">
        <v>372</v>
      </c>
      <c r="Q248" s="347" t="s">
        <v>372</v>
      </c>
      <c r="R248" s="347" t="s">
        <v>372</v>
      </c>
      <c r="S248" s="347" t="s">
        <v>372</v>
      </c>
      <c r="T248" s="380" t="s">
        <v>372</v>
      </c>
      <c r="U248" s="6">
        <v>1061</v>
      </c>
      <c r="V248" s="6"/>
      <c r="W248" s="35">
        <f t="shared" si="45"/>
        <v>0</v>
      </c>
      <c r="X248" s="6">
        <v>1061</v>
      </c>
      <c r="Y248" s="6"/>
      <c r="Z248" s="35">
        <f t="shared" si="46"/>
        <v>0</v>
      </c>
      <c r="AA248" s="35">
        <v>1061</v>
      </c>
      <c r="AB248" s="35"/>
      <c r="AC248" s="35">
        <f t="shared" si="47"/>
        <v>0</v>
      </c>
      <c r="AD248" s="35">
        <v>1061</v>
      </c>
      <c r="AE248" s="6"/>
      <c r="AF248" s="35">
        <f t="shared" si="48"/>
        <v>0</v>
      </c>
      <c r="AG248" s="6"/>
      <c r="AH248" s="6"/>
      <c r="AI248" s="34"/>
      <c r="AJ248" s="35">
        <v>1061</v>
      </c>
      <c r="AK248" s="35"/>
      <c r="AL248" s="35">
        <f t="shared" si="49"/>
        <v>0</v>
      </c>
      <c r="AM248" s="6">
        <v>1061</v>
      </c>
      <c r="AN248" s="6"/>
      <c r="AO248" s="35">
        <f t="shared" si="50"/>
        <v>0</v>
      </c>
      <c r="AP248" s="6">
        <v>1061</v>
      </c>
      <c r="AQ248" s="6"/>
      <c r="AR248" s="35">
        <f t="shared" si="51"/>
        <v>0</v>
      </c>
      <c r="AS248" s="35">
        <v>1061</v>
      </c>
      <c r="AT248" s="35"/>
      <c r="AU248" s="35">
        <f t="shared" si="52"/>
        <v>0</v>
      </c>
      <c r="AV248" s="35">
        <v>230</v>
      </c>
      <c r="AW248" s="6">
        <v>1100</v>
      </c>
      <c r="AX248" s="35">
        <f t="shared" si="53"/>
        <v>269</v>
      </c>
      <c r="AY248" s="6">
        <v>504</v>
      </c>
      <c r="AZ248" s="6"/>
      <c r="BA248" s="35">
        <f t="shared" si="54"/>
        <v>274</v>
      </c>
      <c r="BB248" s="6"/>
      <c r="BC248" s="35"/>
      <c r="BD248" s="6"/>
      <c r="BE248" s="35">
        <v>789</v>
      </c>
      <c r="BF248" s="35"/>
      <c r="BG248" s="6">
        <f t="shared" si="55"/>
        <v>285</v>
      </c>
      <c r="BH248" s="35">
        <v>1061</v>
      </c>
      <c r="BI248" s="35"/>
      <c r="BJ248" s="35">
        <f t="shared" si="56"/>
        <v>272</v>
      </c>
      <c r="BK248" s="35">
        <v>175</v>
      </c>
      <c r="BL248" s="35">
        <v>1165</v>
      </c>
      <c r="BM248" s="6">
        <f t="shared" si="57"/>
        <v>279</v>
      </c>
      <c r="BN248" s="6">
        <v>0</v>
      </c>
      <c r="BO248" s="35">
        <v>328</v>
      </c>
      <c r="BP248" s="35">
        <f t="shared" si="58"/>
        <v>153</v>
      </c>
      <c r="BQ248" s="35">
        <v>243</v>
      </c>
      <c r="BR248" s="6"/>
      <c r="BS248" s="6">
        <f t="shared" si="59"/>
        <v>243</v>
      </c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10"/>
      <c r="CZ248" s="6"/>
      <c r="DA248" s="6"/>
      <c r="DB248" s="10"/>
      <c r="DC248" s="6"/>
      <c r="DD248" s="6"/>
      <c r="DE248" s="10"/>
      <c r="DF248" s="6"/>
      <c r="DG248" s="6"/>
      <c r="DH248" s="10"/>
      <c r="DI248" s="6"/>
    </row>
    <row r="249" spans="1:113">
      <c r="A249" s="151">
        <v>245</v>
      </c>
      <c r="B249" s="6">
        <v>725</v>
      </c>
      <c r="C249" s="10"/>
      <c r="D249" s="6">
        <v>0</v>
      </c>
      <c r="E249" s="141" t="s">
        <v>75</v>
      </c>
      <c r="F249" s="141" t="s">
        <v>75</v>
      </c>
      <c r="G249" s="347" t="s">
        <v>75</v>
      </c>
      <c r="H249" s="347" t="s">
        <v>75</v>
      </c>
      <c r="I249" s="347" t="s">
        <v>75</v>
      </c>
      <c r="J249" s="347" t="s">
        <v>75</v>
      </c>
      <c r="K249" s="347" t="s">
        <v>75</v>
      </c>
      <c r="L249" s="347" t="s">
        <v>75</v>
      </c>
      <c r="M249" s="347" t="s">
        <v>75</v>
      </c>
      <c r="N249" s="347" t="s">
        <v>75</v>
      </c>
      <c r="O249" s="347" t="s">
        <v>75</v>
      </c>
      <c r="P249" s="347" t="s">
        <v>75</v>
      </c>
      <c r="Q249" s="347" t="s">
        <v>75</v>
      </c>
      <c r="R249" s="347" t="s">
        <v>75</v>
      </c>
      <c r="S249" s="347" t="s">
        <v>75</v>
      </c>
      <c r="T249" s="347" t="s">
        <v>75</v>
      </c>
      <c r="U249" s="6">
        <v>725</v>
      </c>
      <c r="V249" s="6"/>
      <c r="W249" s="35">
        <f t="shared" si="45"/>
        <v>0</v>
      </c>
      <c r="X249" s="6">
        <v>725</v>
      </c>
      <c r="Y249" s="6"/>
      <c r="Z249" s="35">
        <f t="shared" si="46"/>
        <v>0</v>
      </c>
      <c r="AA249" s="35">
        <v>229</v>
      </c>
      <c r="AB249" s="35">
        <v>726</v>
      </c>
      <c r="AC249" s="35">
        <f t="shared" si="47"/>
        <v>230</v>
      </c>
      <c r="AD249" s="6">
        <v>480</v>
      </c>
      <c r="AE249" s="6"/>
      <c r="AF249" s="35">
        <f t="shared" si="48"/>
        <v>251</v>
      </c>
      <c r="AG249" s="6"/>
      <c r="AH249" s="6"/>
      <c r="AI249" s="34"/>
      <c r="AJ249" s="35">
        <v>737</v>
      </c>
      <c r="AK249" s="35"/>
      <c r="AL249" s="35">
        <f t="shared" si="49"/>
        <v>257</v>
      </c>
      <c r="AM249" s="6">
        <v>4</v>
      </c>
      <c r="AN249" s="6">
        <v>991</v>
      </c>
      <c r="AO249" s="35">
        <f t="shared" si="50"/>
        <v>258</v>
      </c>
      <c r="AP249" s="6">
        <v>1</v>
      </c>
      <c r="AQ249" s="6">
        <v>300</v>
      </c>
      <c r="AR249" s="35">
        <f t="shared" si="51"/>
        <v>297</v>
      </c>
      <c r="AS249" s="35">
        <v>255</v>
      </c>
      <c r="AT249" s="35"/>
      <c r="AU249" s="35">
        <f t="shared" si="52"/>
        <v>254</v>
      </c>
      <c r="AV249" s="35">
        <v>517</v>
      </c>
      <c r="AW249" s="6"/>
      <c r="AX249" s="35">
        <f t="shared" si="53"/>
        <v>262</v>
      </c>
      <c r="AY249" s="6">
        <v>775</v>
      </c>
      <c r="AZ249" s="6"/>
      <c r="BA249" s="35">
        <f t="shared" si="54"/>
        <v>258</v>
      </c>
      <c r="BB249" s="6"/>
      <c r="BC249" s="6"/>
      <c r="BD249" s="6"/>
      <c r="BE249" s="35">
        <v>233</v>
      </c>
      <c r="BF249" s="35">
        <v>828</v>
      </c>
      <c r="BG249" s="6">
        <f t="shared" si="55"/>
        <v>286</v>
      </c>
      <c r="BH249" s="35">
        <v>524</v>
      </c>
      <c r="BI249" s="35"/>
      <c r="BJ249" s="35">
        <f t="shared" si="56"/>
        <v>291</v>
      </c>
      <c r="BK249" s="35">
        <v>197</v>
      </c>
      <c r="BL249" s="35">
        <v>600</v>
      </c>
      <c r="BM249" s="6">
        <f t="shared" si="57"/>
        <v>273</v>
      </c>
      <c r="BN249" s="6">
        <v>457</v>
      </c>
      <c r="BO249" s="35"/>
      <c r="BP249" s="35">
        <f t="shared" si="58"/>
        <v>260</v>
      </c>
      <c r="BQ249" s="35">
        <v>720</v>
      </c>
      <c r="BR249" s="6"/>
      <c r="BS249" s="6">
        <f t="shared" si="59"/>
        <v>263</v>
      </c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10"/>
      <c r="CZ249" s="6"/>
      <c r="DA249" s="6"/>
      <c r="DB249" s="10"/>
      <c r="DC249" s="6"/>
      <c r="DD249" s="6"/>
      <c r="DE249" s="10"/>
      <c r="DF249" s="6"/>
      <c r="DG249" s="6"/>
      <c r="DH249" s="10"/>
      <c r="DI249" s="6"/>
    </row>
    <row r="250" spans="1:113">
      <c r="A250" s="151">
        <v>246</v>
      </c>
      <c r="B250" s="6">
        <v>113</v>
      </c>
      <c r="C250" s="10"/>
      <c r="D250" s="6">
        <v>0</v>
      </c>
      <c r="E250" s="141" t="s">
        <v>372</v>
      </c>
      <c r="F250" s="141" t="s">
        <v>372</v>
      </c>
      <c r="G250" s="347" t="s">
        <v>372</v>
      </c>
      <c r="H250" s="347" t="s">
        <v>372</v>
      </c>
      <c r="I250" s="347" t="s">
        <v>372</v>
      </c>
      <c r="J250" s="347" t="s">
        <v>372</v>
      </c>
      <c r="K250" s="347" t="s">
        <v>372</v>
      </c>
      <c r="L250" s="347" t="s">
        <v>372</v>
      </c>
      <c r="M250" s="347" t="s">
        <v>372</v>
      </c>
      <c r="N250" s="347" t="s">
        <v>372</v>
      </c>
      <c r="O250" s="347" t="s">
        <v>372</v>
      </c>
      <c r="P250" s="347" t="s">
        <v>372</v>
      </c>
      <c r="Q250" s="347" t="s">
        <v>372</v>
      </c>
      <c r="R250" s="347" t="s">
        <v>372</v>
      </c>
      <c r="S250" s="347" t="s">
        <v>372</v>
      </c>
      <c r="T250" s="347" t="s">
        <v>372</v>
      </c>
      <c r="U250" s="6">
        <v>113</v>
      </c>
      <c r="V250" s="6"/>
      <c r="W250" s="35">
        <f t="shared" si="45"/>
        <v>0</v>
      </c>
      <c r="X250" s="6">
        <v>113</v>
      </c>
      <c r="Y250" s="6"/>
      <c r="Z250" s="35">
        <f t="shared" si="46"/>
        <v>0</v>
      </c>
      <c r="AA250" s="35">
        <v>113</v>
      </c>
      <c r="AB250" s="35"/>
      <c r="AC250" s="35">
        <f t="shared" si="47"/>
        <v>0</v>
      </c>
      <c r="AD250" s="6">
        <v>113</v>
      </c>
      <c r="AE250" s="6"/>
      <c r="AF250" s="35">
        <f t="shared" si="48"/>
        <v>0</v>
      </c>
      <c r="AG250" s="6"/>
      <c r="AH250" s="6"/>
      <c r="AI250" s="34"/>
      <c r="AJ250" s="35">
        <v>113</v>
      </c>
      <c r="AK250" s="35"/>
      <c r="AL250" s="35">
        <f t="shared" si="49"/>
        <v>0</v>
      </c>
      <c r="AM250" s="6">
        <v>113</v>
      </c>
      <c r="AN250" s="6"/>
      <c r="AO250" s="35">
        <f t="shared" si="50"/>
        <v>0</v>
      </c>
      <c r="AP250" s="6">
        <v>113</v>
      </c>
      <c r="AQ250" s="6"/>
      <c r="AR250" s="35">
        <f t="shared" si="51"/>
        <v>0</v>
      </c>
      <c r="AS250" s="35">
        <v>113</v>
      </c>
      <c r="AT250" s="35"/>
      <c r="AU250" s="35">
        <f t="shared" si="52"/>
        <v>0</v>
      </c>
      <c r="AV250" s="35">
        <v>375</v>
      </c>
      <c r="AW250" s="6"/>
      <c r="AX250" s="35">
        <f t="shared" si="53"/>
        <v>262</v>
      </c>
      <c r="AY250" s="6">
        <v>646</v>
      </c>
      <c r="AZ250" s="6"/>
      <c r="BA250" s="35">
        <f t="shared" si="54"/>
        <v>271</v>
      </c>
      <c r="BB250" s="6"/>
      <c r="BC250" s="6"/>
      <c r="BD250" s="6"/>
      <c r="BE250" s="35">
        <v>926</v>
      </c>
      <c r="BF250" s="35"/>
      <c r="BG250" s="6">
        <f t="shared" si="55"/>
        <v>280</v>
      </c>
      <c r="BH250" s="35">
        <v>4</v>
      </c>
      <c r="BI250" s="35">
        <v>1085</v>
      </c>
      <c r="BJ250" s="35">
        <f t="shared" si="56"/>
        <v>163</v>
      </c>
      <c r="BK250" s="35">
        <v>257</v>
      </c>
      <c r="BL250" s="35"/>
      <c r="BM250" s="6">
        <f t="shared" si="57"/>
        <v>253</v>
      </c>
      <c r="BN250" s="6">
        <v>523</v>
      </c>
      <c r="BO250" s="35"/>
      <c r="BP250" s="35">
        <f t="shared" si="58"/>
        <v>266</v>
      </c>
      <c r="BQ250" s="6">
        <v>0</v>
      </c>
      <c r="BR250" s="6">
        <v>690</v>
      </c>
      <c r="BS250" s="6">
        <f t="shared" si="59"/>
        <v>167</v>
      </c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10"/>
      <c r="CZ250" s="6"/>
      <c r="DA250" s="6"/>
      <c r="DB250" s="10"/>
      <c r="DC250" s="6"/>
      <c r="DD250" s="6"/>
      <c r="DE250" s="10"/>
      <c r="DF250" s="6"/>
      <c r="DG250" s="6"/>
      <c r="DH250" s="10"/>
      <c r="DI250" s="6"/>
    </row>
    <row r="251" spans="1:113">
      <c r="A251" s="151">
        <v>247</v>
      </c>
      <c r="B251" s="6">
        <v>176</v>
      </c>
      <c r="C251" s="10"/>
      <c r="D251" s="6">
        <v>0</v>
      </c>
      <c r="E251" s="141" t="s">
        <v>72</v>
      </c>
      <c r="F251" s="141" t="s">
        <v>72</v>
      </c>
      <c r="G251" s="347" t="s">
        <v>72</v>
      </c>
      <c r="H251" s="347" t="s">
        <v>72</v>
      </c>
      <c r="I251" s="347" t="s">
        <v>72</v>
      </c>
      <c r="J251" s="347" t="s">
        <v>72</v>
      </c>
      <c r="K251" s="347" t="s">
        <v>72</v>
      </c>
      <c r="L251" s="382" t="s">
        <v>75</v>
      </c>
      <c r="M251" s="388" t="s">
        <v>75</v>
      </c>
      <c r="N251" s="388" t="s">
        <v>75</v>
      </c>
      <c r="O251" s="388" t="s">
        <v>75</v>
      </c>
      <c r="P251" s="388" t="s">
        <v>75</v>
      </c>
      <c r="Q251" s="388" t="s">
        <v>75</v>
      </c>
      <c r="R251" s="388" t="s">
        <v>75</v>
      </c>
      <c r="S251" s="388" t="s">
        <v>75</v>
      </c>
      <c r="T251" s="388" t="s">
        <v>75</v>
      </c>
      <c r="U251" s="6">
        <v>176</v>
      </c>
      <c r="V251" s="6"/>
      <c r="W251" s="35">
        <f t="shared" si="45"/>
        <v>0</v>
      </c>
      <c r="X251" s="6">
        <v>176</v>
      </c>
      <c r="Y251" s="6"/>
      <c r="Z251" s="35">
        <f t="shared" si="46"/>
        <v>0</v>
      </c>
      <c r="AA251" s="35">
        <v>176</v>
      </c>
      <c r="AB251" s="35"/>
      <c r="AC251" s="35">
        <f t="shared" si="47"/>
        <v>0</v>
      </c>
      <c r="AD251" s="6">
        <v>176</v>
      </c>
      <c r="AE251" s="6"/>
      <c r="AF251" s="35">
        <f t="shared" si="48"/>
        <v>0</v>
      </c>
      <c r="AG251" s="6"/>
      <c r="AH251" s="6"/>
      <c r="AI251" s="34"/>
      <c r="AJ251" s="35">
        <v>363</v>
      </c>
      <c r="AK251" s="35"/>
      <c r="AL251" s="35">
        <f t="shared" si="49"/>
        <v>187</v>
      </c>
      <c r="AM251" s="6">
        <v>614</v>
      </c>
      <c r="AN251" s="6"/>
      <c r="AO251" s="35">
        <f t="shared" si="50"/>
        <v>251</v>
      </c>
      <c r="AP251" s="6">
        <v>170</v>
      </c>
      <c r="AQ251" s="6">
        <v>686</v>
      </c>
      <c r="AR251" s="35">
        <f t="shared" si="51"/>
        <v>242</v>
      </c>
      <c r="AS251" s="35">
        <v>425</v>
      </c>
      <c r="AT251" s="35"/>
      <c r="AU251" s="35">
        <f t="shared" si="52"/>
        <v>255</v>
      </c>
      <c r="AV251" s="35">
        <v>680</v>
      </c>
      <c r="AW251" s="6"/>
      <c r="AX251" s="35">
        <f t="shared" si="53"/>
        <v>255</v>
      </c>
      <c r="AY251" s="6">
        <v>933</v>
      </c>
      <c r="AZ251" s="6"/>
      <c r="BA251" s="35">
        <f t="shared" si="54"/>
        <v>253</v>
      </c>
      <c r="BB251" s="6"/>
      <c r="BC251" s="6"/>
      <c r="BD251" s="6"/>
      <c r="BE251" s="35">
        <v>233</v>
      </c>
      <c r="BF251" s="35">
        <v>986</v>
      </c>
      <c r="BG251" s="6">
        <f t="shared" si="55"/>
        <v>286</v>
      </c>
      <c r="BH251" s="35">
        <v>520</v>
      </c>
      <c r="BI251" s="35"/>
      <c r="BJ251" s="35">
        <f t="shared" si="56"/>
        <v>287</v>
      </c>
      <c r="BK251" s="35">
        <v>187</v>
      </c>
      <c r="BL251" s="35">
        <v>600</v>
      </c>
      <c r="BM251" s="6">
        <f t="shared" si="57"/>
        <v>267</v>
      </c>
      <c r="BN251" s="6">
        <v>447</v>
      </c>
      <c r="BO251" s="6"/>
      <c r="BP251" s="35">
        <f t="shared" si="58"/>
        <v>260</v>
      </c>
      <c r="BQ251" s="6">
        <v>706</v>
      </c>
      <c r="BR251" s="6"/>
      <c r="BS251" s="6">
        <f t="shared" si="59"/>
        <v>259</v>
      </c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10"/>
      <c r="CZ251" s="6"/>
      <c r="DA251" s="6"/>
      <c r="DB251" s="10"/>
      <c r="DC251" s="6"/>
      <c r="DD251" s="6"/>
      <c r="DE251" s="10"/>
      <c r="DF251" s="6"/>
      <c r="DG251" s="6"/>
      <c r="DH251" s="10"/>
      <c r="DI251" s="6"/>
    </row>
    <row r="252" spans="1:113">
      <c r="A252" s="151">
        <v>248</v>
      </c>
      <c r="B252" s="6">
        <v>199</v>
      </c>
      <c r="C252" s="10"/>
      <c r="D252" s="6">
        <v>0</v>
      </c>
      <c r="E252" s="141" t="s">
        <v>388</v>
      </c>
      <c r="F252" s="141" t="s">
        <v>388</v>
      </c>
      <c r="G252" s="347" t="s">
        <v>388</v>
      </c>
      <c r="H252" s="347" t="s">
        <v>388</v>
      </c>
      <c r="I252" s="347" t="s">
        <v>388</v>
      </c>
      <c r="J252" s="347" t="s">
        <v>388</v>
      </c>
      <c r="K252" s="347" t="s">
        <v>388</v>
      </c>
      <c r="L252" s="347" t="s">
        <v>388</v>
      </c>
      <c r="M252" s="347" t="s">
        <v>388</v>
      </c>
      <c r="N252" s="347" t="s">
        <v>388</v>
      </c>
      <c r="O252" s="347" t="s">
        <v>388</v>
      </c>
      <c r="P252" s="347" t="s">
        <v>388</v>
      </c>
      <c r="Q252" s="347" t="s">
        <v>388</v>
      </c>
      <c r="R252" s="347" t="s">
        <v>388</v>
      </c>
      <c r="S252" s="419" t="s">
        <v>380</v>
      </c>
      <c r="T252" s="421" t="s">
        <v>380</v>
      </c>
      <c r="U252" s="6">
        <v>199</v>
      </c>
      <c r="V252" s="6"/>
      <c r="W252" s="35">
        <f t="shared" si="45"/>
        <v>0</v>
      </c>
      <c r="X252" s="6">
        <v>199</v>
      </c>
      <c r="Y252" s="6"/>
      <c r="Z252" s="35">
        <f t="shared" si="46"/>
        <v>0</v>
      </c>
      <c r="AA252" s="35">
        <v>199</v>
      </c>
      <c r="AB252" s="35"/>
      <c r="AC252" s="35">
        <f t="shared" si="47"/>
        <v>0</v>
      </c>
      <c r="AD252" s="6">
        <v>199</v>
      </c>
      <c r="AE252" s="6"/>
      <c r="AF252" s="35">
        <f t="shared" si="48"/>
        <v>0</v>
      </c>
      <c r="AG252" s="6"/>
      <c r="AH252" s="6"/>
      <c r="AI252" s="34"/>
      <c r="AJ252" s="35">
        <v>199</v>
      </c>
      <c r="AK252" s="35"/>
      <c r="AL252" s="35">
        <f t="shared" si="49"/>
        <v>0</v>
      </c>
      <c r="AM252" s="6">
        <v>199</v>
      </c>
      <c r="AN252" s="6"/>
      <c r="AO252" s="35">
        <f t="shared" si="50"/>
        <v>0</v>
      </c>
      <c r="AP252" s="6">
        <v>199</v>
      </c>
      <c r="AQ252" s="6"/>
      <c r="AR252" s="35">
        <f t="shared" si="51"/>
        <v>0</v>
      </c>
      <c r="AS252" s="35">
        <v>199</v>
      </c>
      <c r="AT252" s="35"/>
      <c r="AU252" s="35">
        <f t="shared" si="52"/>
        <v>0</v>
      </c>
      <c r="AV252" s="35">
        <v>469</v>
      </c>
      <c r="AW252" s="6"/>
      <c r="AX252" s="35">
        <f t="shared" si="53"/>
        <v>270</v>
      </c>
      <c r="AY252" s="6">
        <v>744</v>
      </c>
      <c r="AZ252" s="6"/>
      <c r="BA252" s="35">
        <f t="shared" si="54"/>
        <v>275</v>
      </c>
      <c r="BB252" s="6"/>
      <c r="BC252" s="6"/>
      <c r="BD252" s="6"/>
      <c r="BE252" s="35">
        <v>1029</v>
      </c>
      <c r="BF252" s="35"/>
      <c r="BG252" s="6">
        <f t="shared" si="55"/>
        <v>285</v>
      </c>
      <c r="BH252" s="35">
        <v>209</v>
      </c>
      <c r="BI252" s="35">
        <v>1100</v>
      </c>
      <c r="BJ252" s="35">
        <f t="shared" si="56"/>
        <v>280</v>
      </c>
      <c r="BK252" s="35">
        <v>0</v>
      </c>
      <c r="BL252" s="35">
        <v>420</v>
      </c>
      <c r="BM252" s="6">
        <f t="shared" si="57"/>
        <v>211</v>
      </c>
      <c r="BN252" s="6">
        <v>236</v>
      </c>
      <c r="BO252" s="6"/>
      <c r="BP252" s="35">
        <f t="shared" si="58"/>
        <v>236</v>
      </c>
      <c r="BQ252" s="6">
        <v>496</v>
      </c>
      <c r="BR252" s="6"/>
      <c r="BS252" s="6">
        <f t="shared" si="59"/>
        <v>260</v>
      </c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10"/>
      <c r="CZ252" s="6"/>
      <c r="DA252" s="6"/>
      <c r="DB252" s="10"/>
      <c r="DC252" s="6"/>
      <c r="DD252" s="6"/>
      <c r="DE252" s="10"/>
      <c r="DF252" s="6"/>
      <c r="DG252" s="6"/>
      <c r="DH252" s="10"/>
      <c r="DI252" s="6"/>
    </row>
    <row r="253" spans="1:113">
      <c r="A253" s="151">
        <v>249</v>
      </c>
      <c r="B253" s="6">
        <v>720</v>
      </c>
      <c r="C253" s="10"/>
      <c r="D253" s="6">
        <v>0</v>
      </c>
      <c r="E253" s="33" t="s">
        <v>75</v>
      </c>
      <c r="F253" s="33" t="s">
        <v>75</v>
      </c>
      <c r="G253" s="344" t="s">
        <v>75</v>
      </c>
      <c r="H253" s="344" t="s">
        <v>75</v>
      </c>
      <c r="I253" s="344" t="s">
        <v>75</v>
      </c>
      <c r="J253" s="344" t="s">
        <v>75</v>
      </c>
      <c r="K253" s="344" t="s">
        <v>75</v>
      </c>
      <c r="L253" s="346" t="s">
        <v>75</v>
      </c>
      <c r="M253" s="344" t="s">
        <v>75</v>
      </c>
      <c r="N253" s="344" t="s">
        <v>75</v>
      </c>
      <c r="O253" s="344" t="s">
        <v>75</v>
      </c>
      <c r="P253" s="344" t="s">
        <v>75</v>
      </c>
      <c r="Q253" s="344" t="s">
        <v>75</v>
      </c>
      <c r="R253" s="344" t="s">
        <v>75</v>
      </c>
      <c r="S253" s="344" t="s">
        <v>75</v>
      </c>
      <c r="T253" s="344" t="s">
        <v>75</v>
      </c>
      <c r="U253" s="6">
        <v>720</v>
      </c>
      <c r="V253" s="6"/>
      <c r="W253" s="35">
        <f t="shared" si="45"/>
        <v>0</v>
      </c>
      <c r="X253" s="6">
        <v>720</v>
      </c>
      <c r="Y253" s="6"/>
      <c r="Z253" s="35">
        <f t="shared" si="46"/>
        <v>0</v>
      </c>
      <c r="AA253" s="35">
        <v>234</v>
      </c>
      <c r="AB253" s="35">
        <v>721</v>
      </c>
      <c r="AC253" s="35">
        <f t="shared" si="47"/>
        <v>235</v>
      </c>
      <c r="AD253" s="6">
        <v>482</v>
      </c>
      <c r="AE253" s="6"/>
      <c r="AF253" s="35">
        <f t="shared" si="48"/>
        <v>248</v>
      </c>
      <c r="AG253" s="6"/>
      <c r="AH253" s="6"/>
      <c r="AI253" s="34"/>
      <c r="AJ253" s="35">
        <v>741</v>
      </c>
      <c r="AK253" s="35"/>
      <c r="AL253" s="35">
        <f t="shared" si="49"/>
        <v>259</v>
      </c>
      <c r="AM253" s="6">
        <v>0</v>
      </c>
      <c r="AN253" s="6">
        <v>942</v>
      </c>
      <c r="AO253" s="35">
        <f t="shared" si="50"/>
        <v>201</v>
      </c>
      <c r="AP253" s="6">
        <v>246</v>
      </c>
      <c r="AQ253" s="6"/>
      <c r="AR253" s="35">
        <f t="shared" si="51"/>
        <v>246</v>
      </c>
      <c r="AS253" s="35">
        <v>501</v>
      </c>
      <c r="AT253" s="35"/>
      <c r="AU253" s="35">
        <f t="shared" si="52"/>
        <v>255</v>
      </c>
      <c r="AV253" s="35">
        <v>762</v>
      </c>
      <c r="AW253" s="6"/>
      <c r="AX253" s="35">
        <f t="shared" si="53"/>
        <v>261</v>
      </c>
      <c r="AY253" s="6">
        <v>1018</v>
      </c>
      <c r="AZ253" s="6"/>
      <c r="BA253" s="35">
        <f t="shared" si="54"/>
        <v>256</v>
      </c>
      <c r="BB253" s="6"/>
      <c r="BC253" s="6"/>
      <c r="BD253" s="6"/>
      <c r="BE253" s="35">
        <v>229</v>
      </c>
      <c r="BF253" s="35">
        <v>1069</v>
      </c>
      <c r="BG253" s="6">
        <f t="shared" si="55"/>
        <v>280</v>
      </c>
      <c r="BH253" s="35">
        <v>511</v>
      </c>
      <c r="BI253" s="35"/>
      <c r="BJ253" s="35">
        <f t="shared" si="56"/>
        <v>282</v>
      </c>
      <c r="BK253" s="35">
        <v>181</v>
      </c>
      <c r="BL253" s="35">
        <v>600</v>
      </c>
      <c r="BM253" s="6">
        <f t="shared" si="57"/>
        <v>270</v>
      </c>
      <c r="BN253" s="6">
        <v>438</v>
      </c>
      <c r="BO253" s="6"/>
      <c r="BP253" s="35">
        <f t="shared" si="58"/>
        <v>257</v>
      </c>
      <c r="BQ253" s="6">
        <v>699</v>
      </c>
      <c r="BR253" s="6"/>
      <c r="BS253" s="6">
        <f t="shared" si="59"/>
        <v>261</v>
      </c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10"/>
      <c r="CZ253" s="6"/>
      <c r="DA253" s="6"/>
      <c r="DB253" s="10"/>
      <c r="DC253" s="6"/>
      <c r="DD253" s="6"/>
      <c r="DE253" s="10"/>
      <c r="DF253" s="6"/>
      <c r="DG253" s="6"/>
      <c r="DH253" s="10"/>
      <c r="DI253" s="6"/>
    </row>
    <row r="254" spans="1:113">
      <c r="A254" s="151">
        <v>250</v>
      </c>
      <c r="B254" s="6">
        <v>815</v>
      </c>
      <c r="C254" s="10"/>
      <c r="D254" s="6">
        <v>0</v>
      </c>
      <c r="E254" s="141" t="s">
        <v>380</v>
      </c>
      <c r="F254" s="141" t="s">
        <v>380</v>
      </c>
      <c r="G254" s="347" t="s">
        <v>380</v>
      </c>
      <c r="H254" s="347" t="s">
        <v>380</v>
      </c>
      <c r="I254" s="347" t="s">
        <v>380</v>
      </c>
      <c r="J254" s="347" t="s">
        <v>380</v>
      </c>
      <c r="K254" s="347" t="s">
        <v>380</v>
      </c>
      <c r="L254" s="380" t="s">
        <v>380</v>
      </c>
      <c r="M254" s="347" t="s">
        <v>380</v>
      </c>
      <c r="N254" s="347" t="s">
        <v>380</v>
      </c>
      <c r="O254" s="347" t="s">
        <v>380</v>
      </c>
      <c r="P254" s="347" t="s">
        <v>380</v>
      </c>
      <c r="Q254" s="347" t="s">
        <v>380</v>
      </c>
      <c r="R254" s="347" t="s">
        <v>380</v>
      </c>
      <c r="S254" s="347" t="s">
        <v>380</v>
      </c>
      <c r="T254" s="347" t="s">
        <v>380</v>
      </c>
      <c r="U254" s="6">
        <v>815</v>
      </c>
      <c r="V254" s="6"/>
      <c r="W254" s="35">
        <f t="shared" si="45"/>
        <v>0</v>
      </c>
      <c r="X254" s="6">
        <v>0</v>
      </c>
      <c r="Y254" s="6">
        <v>815</v>
      </c>
      <c r="Z254" s="35">
        <f t="shared" si="46"/>
        <v>0</v>
      </c>
      <c r="AA254" s="35">
        <v>162</v>
      </c>
      <c r="AB254" s="35"/>
      <c r="AC254" s="35">
        <f t="shared" si="47"/>
        <v>162</v>
      </c>
      <c r="AD254" s="6">
        <v>396</v>
      </c>
      <c r="AE254" s="6"/>
      <c r="AF254" s="35">
        <f t="shared" si="48"/>
        <v>234</v>
      </c>
      <c r="AG254" s="6"/>
      <c r="AH254" s="6"/>
      <c r="AI254" s="34"/>
      <c r="AJ254" s="35">
        <v>630</v>
      </c>
      <c r="AK254" s="35"/>
      <c r="AL254" s="35">
        <f t="shared" si="49"/>
        <v>234</v>
      </c>
      <c r="AM254" s="6">
        <v>874</v>
      </c>
      <c r="AN254" s="6"/>
      <c r="AO254" s="35">
        <f t="shared" si="50"/>
        <v>244</v>
      </c>
      <c r="AP254" s="6">
        <v>219</v>
      </c>
      <c r="AQ254" s="6">
        <v>885</v>
      </c>
      <c r="AR254" s="35">
        <f t="shared" si="51"/>
        <v>230</v>
      </c>
      <c r="AS254" s="35">
        <v>468</v>
      </c>
      <c r="AT254" s="35"/>
      <c r="AU254" s="35">
        <f t="shared" si="52"/>
        <v>249</v>
      </c>
      <c r="AV254" s="35">
        <v>716</v>
      </c>
      <c r="AW254" s="6"/>
      <c r="AX254" s="35">
        <f t="shared" si="53"/>
        <v>248</v>
      </c>
      <c r="AY254" s="6">
        <v>961</v>
      </c>
      <c r="AZ254" s="6"/>
      <c r="BA254" s="35">
        <f t="shared" si="54"/>
        <v>245</v>
      </c>
      <c r="BB254" s="6"/>
      <c r="BC254" s="6"/>
      <c r="BD254" s="6"/>
      <c r="BE254" s="35">
        <v>195</v>
      </c>
      <c r="BF254" s="35">
        <v>1010</v>
      </c>
      <c r="BG254" s="6">
        <f t="shared" si="55"/>
        <v>244</v>
      </c>
      <c r="BH254" s="35">
        <v>440</v>
      </c>
      <c r="BI254" s="35"/>
      <c r="BJ254" s="35">
        <f t="shared" si="56"/>
        <v>245</v>
      </c>
      <c r="BK254" s="35">
        <v>93</v>
      </c>
      <c r="BL254" s="35">
        <v>600</v>
      </c>
      <c r="BM254" s="6">
        <f t="shared" si="57"/>
        <v>253</v>
      </c>
      <c r="BN254" s="35">
        <v>344</v>
      </c>
      <c r="BO254" s="6"/>
      <c r="BP254" s="35">
        <f t="shared" si="58"/>
        <v>251</v>
      </c>
      <c r="BQ254" s="6">
        <v>595</v>
      </c>
      <c r="BR254" s="6"/>
      <c r="BS254" s="6">
        <f t="shared" si="59"/>
        <v>251</v>
      </c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10"/>
      <c r="CZ254" s="6"/>
      <c r="DA254" s="6"/>
      <c r="DB254" s="10"/>
      <c r="DC254" s="6"/>
      <c r="DD254" s="6"/>
      <c r="DE254" s="10"/>
      <c r="DF254" s="6"/>
      <c r="DG254" s="6"/>
      <c r="DH254" s="10"/>
      <c r="DI254" s="6"/>
    </row>
    <row r="255" spans="1:113">
      <c r="A255" s="151">
        <v>251</v>
      </c>
      <c r="B255" s="6">
        <v>1005</v>
      </c>
      <c r="C255" s="10"/>
      <c r="D255" s="6">
        <v>0</v>
      </c>
      <c r="E255" s="33" t="s">
        <v>75</v>
      </c>
      <c r="F255" s="33" t="s">
        <v>75</v>
      </c>
      <c r="G255" s="344" t="s">
        <v>75</v>
      </c>
      <c r="H255" s="344" t="s">
        <v>75</v>
      </c>
      <c r="I255" s="344" t="s">
        <v>75</v>
      </c>
      <c r="J255" s="346" t="s">
        <v>75</v>
      </c>
      <c r="K255" s="344" t="s">
        <v>75</v>
      </c>
      <c r="L255" s="344" t="s">
        <v>75</v>
      </c>
      <c r="M255" s="344" t="s">
        <v>75</v>
      </c>
      <c r="N255" s="344" t="s">
        <v>75</v>
      </c>
      <c r="O255" s="344" t="s">
        <v>75</v>
      </c>
      <c r="P255" s="344" t="s">
        <v>75</v>
      </c>
      <c r="Q255" s="344" t="s">
        <v>75</v>
      </c>
      <c r="R255" s="344" t="s">
        <v>75</v>
      </c>
      <c r="S255" s="344" t="s">
        <v>75</v>
      </c>
      <c r="T255" s="344" t="s">
        <v>75</v>
      </c>
      <c r="U255" s="6">
        <v>1005</v>
      </c>
      <c r="V255" s="6"/>
      <c r="W255" s="35">
        <f t="shared" si="45"/>
        <v>0</v>
      </c>
      <c r="X255" s="6">
        <v>0</v>
      </c>
      <c r="Y255" s="6">
        <v>1005</v>
      </c>
      <c r="Z255" s="35">
        <f t="shared" si="46"/>
        <v>0</v>
      </c>
      <c r="AA255" s="35">
        <v>226</v>
      </c>
      <c r="AB255" s="35"/>
      <c r="AC255" s="35">
        <f t="shared" si="47"/>
        <v>226</v>
      </c>
      <c r="AD255" s="6">
        <v>0</v>
      </c>
      <c r="AE255" s="6">
        <v>320</v>
      </c>
      <c r="AF255" s="35">
        <f t="shared" si="48"/>
        <v>94</v>
      </c>
      <c r="AG255" s="6"/>
      <c r="AH255" s="6"/>
      <c r="AI255" s="34"/>
      <c r="AJ255" s="35">
        <v>254</v>
      </c>
      <c r="AK255" s="35"/>
      <c r="AL255" s="35">
        <f t="shared" si="49"/>
        <v>254</v>
      </c>
      <c r="AM255" s="6">
        <v>511</v>
      </c>
      <c r="AN255" s="6"/>
      <c r="AO255" s="35">
        <f t="shared" si="50"/>
        <v>257</v>
      </c>
      <c r="AP255" s="6">
        <v>769</v>
      </c>
      <c r="AQ255" s="6"/>
      <c r="AR255" s="35">
        <f t="shared" si="51"/>
        <v>258</v>
      </c>
      <c r="AS255" s="35">
        <v>1025</v>
      </c>
      <c r="AT255" s="35"/>
      <c r="AU255" s="35">
        <f t="shared" si="52"/>
        <v>256</v>
      </c>
      <c r="AV255" s="35">
        <v>84</v>
      </c>
      <c r="AW255" s="6">
        <v>1200</v>
      </c>
      <c r="AX255" s="35">
        <f t="shared" si="53"/>
        <v>259</v>
      </c>
      <c r="AY255" s="6">
        <v>340</v>
      </c>
      <c r="AZ255" s="6"/>
      <c r="BA255" s="35">
        <f t="shared" si="54"/>
        <v>256</v>
      </c>
      <c r="BB255" s="6"/>
      <c r="BC255" s="6"/>
      <c r="BD255" s="6"/>
      <c r="BE255" s="35">
        <v>4</v>
      </c>
      <c r="BF255" s="35">
        <v>602</v>
      </c>
      <c r="BG255" s="6">
        <f t="shared" si="55"/>
        <v>266</v>
      </c>
      <c r="BH255" s="35">
        <v>289</v>
      </c>
      <c r="BI255" s="35"/>
      <c r="BJ255" s="35">
        <f t="shared" si="56"/>
        <v>285</v>
      </c>
      <c r="BK255" s="35">
        <v>581</v>
      </c>
      <c r="BL255" s="35"/>
      <c r="BM255" s="6">
        <f t="shared" si="57"/>
        <v>292</v>
      </c>
      <c r="BN255" s="6">
        <v>247</v>
      </c>
      <c r="BO255" s="6">
        <v>600</v>
      </c>
      <c r="BP255" s="35">
        <f t="shared" si="58"/>
        <v>266</v>
      </c>
      <c r="BQ255" s="6">
        <v>504</v>
      </c>
      <c r="BR255" s="6"/>
      <c r="BS255" s="6">
        <f t="shared" si="59"/>
        <v>257</v>
      </c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10"/>
      <c r="CZ255" s="6"/>
      <c r="DA255" s="6"/>
      <c r="DB255" s="10"/>
      <c r="DC255" s="6"/>
      <c r="DD255" s="6"/>
      <c r="DE255" s="10"/>
      <c r="DF255" s="6"/>
      <c r="DG255" s="6"/>
      <c r="DH255" s="10"/>
      <c r="DI255" s="6"/>
    </row>
    <row r="256" spans="1:113">
      <c r="A256" s="151">
        <v>252</v>
      </c>
      <c r="B256" s="6">
        <v>282</v>
      </c>
      <c r="C256" s="10"/>
      <c r="D256" s="6">
        <v>0</v>
      </c>
      <c r="E256" s="33" t="s">
        <v>75</v>
      </c>
      <c r="F256" s="33" t="s">
        <v>75</v>
      </c>
      <c r="G256" s="344" t="s">
        <v>75</v>
      </c>
      <c r="H256" s="344" t="s">
        <v>75</v>
      </c>
      <c r="I256" s="344" t="s">
        <v>75</v>
      </c>
      <c r="J256" s="344" t="s">
        <v>75</v>
      </c>
      <c r="K256" s="344" t="s">
        <v>75</v>
      </c>
      <c r="L256" s="344" t="s">
        <v>75</v>
      </c>
      <c r="M256" s="344" t="s">
        <v>75</v>
      </c>
      <c r="N256" s="346" t="s">
        <v>75</v>
      </c>
      <c r="O256" s="344" t="s">
        <v>75</v>
      </c>
      <c r="P256" s="344" t="s">
        <v>75</v>
      </c>
      <c r="Q256" s="344" t="s">
        <v>75</v>
      </c>
      <c r="R256" s="344" t="s">
        <v>75</v>
      </c>
      <c r="S256" s="344" t="s">
        <v>75</v>
      </c>
      <c r="T256" s="344" t="s">
        <v>75</v>
      </c>
      <c r="U256" s="6">
        <v>282</v>
      </c>
      <c r="V256" s="6"/>
      <c r="W256" s="35">
        <f t="shared" si="45"/>
        <v>0</v>
      </c>
      <c r="X256" s="6">
        <v>282</v>
      </c>
      <c r="Y256" s="6"/>
      <c r="Z256" s="35">
        <f t="shared" si="46"/>
        <v>0</v>
      </c>
      <c r="AA256" s="35">
        <v>522</v>
      </c>
      <c r="AB256" s="35"/>
      <c r="AC256" s="35">
        <f t="shared" si="47"/>
        <v>240</v>
      </c>
      <c r="AD256" s="6">
        <v>776</v>
      </c>
      <c r="AE256" s="6"/>
      <c r="AF256" s="35">
        <f t="shared" si="48"/>
        <v>254</v>
      </c>
      <c r="AG256" s="6"/>
      <c r="AH256" s="6"/>
      <c r="AI256" s="34"/>
      <c r="AJ256" s="35">
        <v>1040</v>
      </c>
      <c r="AK256" s="35"/>
      <c r="AL256" s="35">
        <f t="shared" si="49"/>
        <v>264</v>
      </c>
      <c r="AM256" s="6">
        <v>102</v>
      </c>
      <c r="AN256" s="6">
        <v>1200</v>
      </c>
      <c r="AO256" s="35">
        <f t="shared" si="50"/>
        <v>262</v>
      </c>
      <c r="AP256" s="6">
        <v>365</v>
      </c>
      <c r="AQ256" s="6"/>
      <c r="AR256" s="35">
        <f t="shared" si="51"/>
        <v>263</v>
      </c>
      <c r="AS256" s="35">
        <v>0</v>
      </c>
      <c r="AT256" s="35">
        <v>463</v>
      </c>
      <c r="AU256" s="35">
        <f t="shared" si="52"/>
        <v>98</v>
      </c>
      <c r="AV256" s="35">
        <v>247</v>
      </c>
      <c r="AW256" s="6"/>
      <c r="AX256" s="35">
        <f t="shared" si="53"/>
        <v>247</v>
      </c>
      <c r="AY256" s="6">
        <v>508</v>
      </c>
      <c r="AZ256" s="6"/>
      <c r="BA256" s="35">
        <f t="shared" si="54"/>
        <v>261</v>
      </c>
      <c r="BB256" s="6"/>
      <c r="BC256" s="6"/>
      <c r="BD256" s="6"/>
      <c r="BE256" s="35">
        <v>13</v>
      </c>
      <c r="BF256" s="35">
        <v>767</v>
      </c>
      <c r="BG256" s="6">
        <f t="shared" si="55"/>
        <v>272</v>
      </c>
      <c r="BH256" s="35">
        <v>310</v>
      </c>
      <c r="BI256" s="35"/>
      <c r="BJ256" s="35">
        <f t="shared" si="56"/>
        <v>297</v>
      </c>
      <c r="BK256" s="35">
        <v>9</v>
      </c>
      <c r="BL256" s="35">
        <v>600</v>
      </c>
      <c r="BM256" s="6">
        <f t="shared" si="57"/>
        <v>299</v>
      </c>
      <c r="BN256" s="35">
        <v>274</v>
      </c>
      <c r="BO256" s="6"/>
      <c r="BP256" s="35">
        <f t="shared" si="58"/>
        <v>265</v>
      </c>
      <c r="BQ256" s="6">
        <v>542</v>
      </c>
      <c r="BR256" s="6"/>
      <c r="BS256" s="6">
        <f t="shared" si="59"/>
        <v>268</v>
      </c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10"/>
      <c r="CZ256" s="6"/>
      <c r="DA256" s="6"/>
      <c r="DB256" s="10"/>
      <c r="DC256" s="6"/>
      <c r="DD256" s="6"/>
      <c r="DE256" s="10"/>
      <c r="DF256" s="6"/>
      <c r="DG256" s="6"/>
      <c r="DH256" s="10"/>
      <c r="DI256" s="6"/>
    </row>
    <row r="257" spans="1:113">
      <c r="A257" s="6">
        <v>253</v>
      </c>
      <c r="B257" s="6"/>
      <c r="C257" s="10"/>
      <c r="D257" s="6"/>
      <c r="E257" s="141"/>
      <c r="F257" s="141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6"/>
      <c r="V257" s="6"/>
      <c r="W257" s="35"/>
      <c r="X257" s="6"/>
      <c r="Y257" s="6"/>
      <c r="Z257" s="35"/>
      <c r="AA257" s="35"/>
      <c r="AB257" s="35"/>
      <c r="AC257" s="35"/>
      <c r="AD257" s="6"/>
      <c r="AE257" s="6"/>
      <c r="AF257" s="35"/>
      <c r="AG257" s="6"/>
      <c r="AH257" s="6"/>
      <c r="AI257" s="34"/>
      <c r="AJ257" s="35"/>
      <c r="AK257" s="35"/>
      <c r="AL257" s="35"/>
      <c r="AM257" s="6"/>
      <c r="AN257" s="6"/>
      <c r="AO257" s="35"/>
      <c r="AP257" s="6"/>
      <c r="AQ257" s="6"/>
      <c r="AR257" s="35"/>
      <c r="AS257" s="35"/>
      <c r="AT257" s="35"/>
      <c r="AU257" s="35"/>
      <c r="AV257" s="269"/>
      <c r="AW257" s="6"/>
      <c r="AX257" s="35"/>
      <c r="AY257" s="6"/>
      <c r="AZ257" s="6"/>
      <c r="BA257" s="35"/>
      <c r="BB257" s="6"/>
      <c r="BC257" s="6"/>
      <c r="BD257" s="6"/>
      <c r="BE257" s="35"/>
      <c r="BF257" s="35"/>
      <c r="BG257" s="6"/>
      <c r="BH257" s="35"/>
      <c r="BI257" s="35"/>
      <c r="BJ257" s="35"/>
      <c r="BK257" s="35"/>
      <c r="BL257" s="35"/>
      <c r="BM257" s="6"/>
      <c r="BN257" s="6"/>
      <c r="BO257" s="6"/>
      <c r="BP257" s="35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10"/>
      <c r="CZ257" s="6"/>
      <c r="DA257" s="6"/>
      <c r="DB257" s="10"/>
      <c r="DC257" s="6"/>
      <c r="DD257" s="6"/>
      <c r="DE257" s="10"/>
      <c r="DF257" s="6"/>
      <c r="DG257" s="6"/>
      <c r="DH257" s="10"/>
      <c r="DI257" s="6"/>
    </row>
    <row r="258" spans="1:113">
      <c r="A258" s="6">
        <v>254</v>
      </c>
      <c r="B258" s="6"/>
      <c r="C258" s="10"/>
      <c r="D258" s="6"/>
      <c r="E258" s="141"/>
      <c r="F258" s="141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6"/>
      <c r="V258" s="6"/>
      <c r="W258" s="35"/>
      <c r="X258" s="6"/>
      <c r="Y258" s="6"/>
      <c r="Z258" s="35"/>
      <c r="AA258" s="35"/>
      <c r="AB258" s="35"/>
      <c r="AC258" s="35"/>
      <c r="AD258" s="6"/>
      <c r="AE258" s="6"/>
      <c r="AF258" s="35"/>
      <c r="AG258" s="6"/>
      <c r="AH258" s="6"/>
      <c r="AI258" s="34"/>
      <c r="AJ258" s="35"/>
      <c r="AK258" s="35"/>
      <c r="AL258" s="35"/>
      <c r="AM258" s="6"/>
      <c r="AN258" s="6"/>
      <c r="AO258" s="35"/>
      <c r="AP258" s="6"/>
      <c r="AQ258" s="6"/>
      <c r="AR258" s="35"/>
      <c r="AS258" s="35"/>
      <c r="AT258" s="35"/>
      <c r="AU258" s="35"/>
      <c r="AV258" s="35"/>
      <c r="AW258" s="6"/>
      <c r="AX258" s="35"/>
      <c r="AY258" s="6"/>
      <c r="AZ258" s="6"/>
      <c r="BA258" s="35"/>
      <c r="BB258" s="6"/>
      <c r="BC258" s="6"/>
      <c r="BD258" s="6"/>
      <c r="BE258" s="35"/>
      <c r="BF258" s="35"/>
      <c r="BG258" s="6"/>
      <c r="BH258" s="35"/>
      <c r="BI258" s="35"/>
      <c r="BJ258" s="35"/>
      <c r="BK258" s="35"/>
      <c r="BL258" s="35"/>
      <c r="BM258" s="6"/>
      <c r="BN258" s="6"/>
      <c r="BO258" s="6"/>
      <c r="BP258" s="35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10"/>
      <c r="CZ258" s="6"/>
      <c r="DA258" s="6"/>
      <c r="DB258" s="10"/>
      <c r="DC258" s="6"/>
      <c r="DD258" s="6"/>
      <c r="DE258" s="10"/>
      <c r="DF258" s="6"/>
      <c r="DG258" s="6"/>
      <c r="DH258" s="10"/>
      <c r="DI258" s="6"/>
    </row>
    <row r="259" spans="1:113">
      <c r="A259" s="6">
        <v>255</v>
      </c>
      <c r="B259" s="6"/>
      <c r="C259" s="10"/>
      <c r="D259" s="6"/>
      <c r="E259" s="141"/>
      <c r="F259" s="141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6"/>
      <c r="V259" s="6"/>
      <c r="W259" s="35"/>
      <c r="X259" s="6"/>
      <c r="Y259" s="6"/>
      <c r="Z259" s="35"/>
      <c r="AA259" s="35"/>
      <c r="AB259" s="35"/>
      <c r="AC259" s="35"/>
      <c r="AD259" s="6"/>
      <c r="AE259" s="6"/>
      <c r="AF259" s="35"/>
      <c r="AG259" s="6"/>
      <c r="AH259" s="6"/>
      <c r="AI259" s="34"/>
      <c r="AJ259" s="35"/>
      <c r="AK259" s="35"/>
      <c r="AL259" s="35"/>
      <c r="AM259" s="6"/>
      <c r="AN259" s="6"/>
      <c r="AO259" s="35"/>
      <c r="AP259" s="6"/>
      <c r="AQ259" s="6"/>
      <c r="AR259" s="35"/>
      <c r="AS259" s="35"/>
      <c r="AT259" s="35"/>
      <c r="AU259" s="35"/>
      <c r="AV259" s="35"/>
      <c r="AW259" s="6"/>
      <c r="AX259" s="35"/>
      <c r="AY259" s="6"/>
      <c r="AZ259" s="6"/>
      <c r="BA259" s="35"/>
      <c r="BB259" s="6"/>
      <c r="BC259" s="6"/>
      <c r="BD259" s="6"/>
      <c r="BE259" s="35"/>
      <c r="BF259" s="35"/>
      <c r="BG259" s="6"/>
      <c r="BH259" s="35"/>
      <c r="BI259" s="35"/>
      <c r="BJ259" s="35"/>
      <c r="BK259" s="35"/>
      <c r="BL259" s="35"/>
      <c r="BM259" s="6"/>
      <c r="BN259" s="6"/>
      <c r="BO259" s="6"/>
      <c r="BP259" s="35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10"/>
      <c r="CZ259" s="6"/>
      <c r="DA259" s="6"/>
      <c r="DB259" s="10"/>
      <c r="DC259" s="6"/>
      <c r="DD259" s="6"/>
      <c r="DE259" s="10"/>
      <c r="DF259" s="6"/>
      <c r="DG259" s="6"/>
      <c r="DH259" s="10"/>
      <c r="DI259" s="6"/>
    </row>
    <row r="260" spans="1:113">
      <c r="A260" s="6">
        <v>256</v>
      </c>
      <c r="B260" s="6"/>
      <c r="C260" s="10"/>
      <c r="D260" s="6"/>
      <c r="E260" s="141"/>
      <c r="F260" s="141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6"/>
      <c r="V260" s="6"/>
      <c r="W260" s="35"/>
      <c r="X260" s="6"/>
      <c r="Y260" s="6"/>
      <c r="Z260" s="35"/>
      <c r="AA260" s="35"/>
      <c r="AB260" s="35"/>
      <c r="AC260" s="35"/>
      <c r="AD260" s="6"/>
      <c r="AE260" s="6"/>
      <c r="AF260" s="35"/>
      <c r="AG260" s="6"/>
      <c r="AH260" s="6"/>
      <c r="AI260" s="34"/>
      <c r="AJ260" s="35"/>
      <c r="AK260" s="35"/>
      <c r="AL260" s="35"/>
      <c r="AM260" s="6"/>
      <c r="AN260" s="6"/>
      <c r="AO260" s="35"/>
      <c r="AP260" s="6"/>
      <c r="AQ260" s="6"/>
      <c r="AR260" s="35"/>
      <c r="AS260" s="35"/>
      <c r="AT260" s="35"/>
      <c r="AU260" s="35"/>
      <c r="AV260" s="35"/>
      <c r="AW260" s="6"/>
      <c r="AX260" s="35"/>
      <c r="AY260" s="6"/>
      <c r="AZ260" s="6"/>
      <c r="BA260" s="35"/>
      <c r="BB260" s="6"/>
      <c r="BC260" s="6"/>
      <c r="BD260" s="6"/>
      <c r="BE260" s="35"/>
      <c r="BF260" s="35"/>
      <c r="BG260" s="6"/>
      <c r="BH260" s="35"/>
      <c r="BI260" s="35"/>
      <c r="BJ260" s="35"/>
      <c r="BK260" s="35"/>
      <c r="BL260" s="35"/>
      <c r="BM260" s="6"/>
      <c r="BN260" s="6"/>
      <c r="BO260" s="6"/>
      <c r="BP260" s="35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10"/>
      <c r="CZ260" s="6"/>
      <c r="DA260" s="6"/>
      <c r="DB260" s="10"/>
      <c r="DC260" s="6"/>
      <c r="DD260" s="6"/>
      <c r="DE260" s="10"/>
      <c r="DF260" s="6"/>
      <c r="DG260" s="6"/>
      <c r="DH260" s="10"/>
      <c r="DI260" s="6"/>
    </row>
    <row r="261" spans="1:113">
      <c r="A261" s="6">
        <v>257</v>
      </c>
      <c r="B261" s="6"/>
      <c r="C261" s="10"/>
      <c r="D261" s="6"/>
      <c r="E261" s="141"/>
      <c r="F261" s="141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6"/>
      <c r="V261" s="6"/>
      <c r="W261" s="35"/>
      <c r="X261" s="6"/>
      <c r="Y261" s="6"/>
      <c r="Z261" s="35"/>
      <c r="AA261" s="35"/>
      <c r="AB261" s="35"/>
      <c r="AC261" s="35"/>
      <c r="AD261" s="6"/>
      <c r="AE261" s="6"/>
      <c r="AF261" s="35"/>
      <c r="AG261" s="6"/>
      <c r="AH261" s="6"/>
      <c r="AI261" s="34"/>
      <c r="AJ261" s="35"/>
      <c r="AK261" s="35"/>
      <c r="AL261" s="35"/>
      <c r="AM261" s="6"/>
      <c r="AN261" s="6"/>
      <c r="AO261" s="35"/>
      <c r="AP261" s="6"/>
      <c r="AQ261" s="6"/>
      <c r="AR261" s="35"/>
      <c r="AS261" s="35"/>
      <c r="AT261" s="35"/>
      <c r="AU261" s="35"/>
      <c r="AV261" s="35"/>
      <c r="AW261" s="6"/>
      <c r="AX261" s="35"/>
      <c r="AY261" s="6"/>
      <c r="AZ261" s="6"/>
      <c r="BA261" s="35"/>
      <c r="BB261" s="6"/>
      <c r="BC261" s="6"/>
      <c r="BD261" s="6"/>
      <c r="BE261" s="35"/>
      <c r="BF261" s="35"/>
      <c r="BG261" s="6"/>
      <c r="BH261" s="35"/>
      <c r="BI261" s="35"/>
      <c r="BJ261" s="35"/>
      <c r="BK261" s="35"/>
      <c r="BL261" s="35"/>
      <c r="BM261" s="6"/>
      <c r="BN261" s="6"/>
      <c r="BO261" s="6"/>
      <c r="BP261" s="35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10"/>
      <c r="CZ261" s="6"/>
      <c r="DA261" s="6"/>
      <c r="DB261" s="10"/>
      <c r="DC261" s="6"/>
      <c r="DD261" s="6"/>
      <c r="DE261" s="10"/>
      <c r="DF261" s="6"/>
      <c r="DG261" s="6"/>
      <c r="DH261" s="10"/>
      <c r="DI261" s="6"/>
    </row>
    <row r="262" spans="1:113">
      <c r="A262" s="6">
        <v>258</v>
      </c>
      <c r="B262" s="6"/>
      <c r="C262" s="10"/>
      <c r="D262" s="6"/>
      <c r="E262" s="141"/>
      <c r="F262" s="141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6"/>
      <c r="V262" s="6"/>
      <c r="W262" s="35"/>
      <c r="X262" s="6"/>
      <c r="Y262" s="6"/>
      <c r="Z262" s="35"/>
      <c r="AA262" s="35"/>
      <c r="AB262" s="35"/>
      <c r="AC262" s="35"/>
      <c r="AD262" s="6"/>
      <c r="AE262" s="6"/>
      <c r="AF262" s="35"/>
      <c r="AG262" s="6"/>
      <c r="AH262" s="6"/>
      <c r="AI262" s="34"/>
      <c r="AJ262" s="35"/>
      <c r="AK262" s="35"/>
      <c r="AL262" s="35"/>
      <c r="AM262" s="6"/>
      <c r="AN262" s="6"/>
      <c r="AO262" s="35"/>
      <c r="AP262" s="6"/>
      <c r="AQ262" s="6"/>
      <c r="AR262" s="35"/>
      <c r="AS262" s="35"/>
      <c r="AT262" s="35"/>
      <c r="AU262" s="35"/>
      <c r="AV262" s="35"/>
      <c r="AW262" s="6"/>
      <c r="AX262" s="35"/>
      <c r="AY262" s="6"/>
      <c r="AZ262" s="6"/>
      <c r="BA262" s="35"/>
      <c r="BB262" s="6"/>
      <c r="BC262" s="6"/>
      <c r="BD262" s="6"/>
      <c r="BE262" s="35"/>
      <c r="BF262" s="35"/>
      <c r="BG262" s="6"/>
      <c r="BH262" s="35"/>
      <c r="BI262" s="35"/>
      <c r="BJ262" s="35"/>
      <c r="BK262" s="35"/>
      <c r="BL262" s="35"/>
      <c r="BM262" s="6"/>
      <c r="BN262" s="6"/>
      <c r="BO262" s="6"/>
      <c r="BP262" s="35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10"/>
      <c r="CZ262" s="6"/>
      <c r="DA262" s="6"/>
      <c r="DB262" s="10"/>
      <c r="DC262" s="6"/>
      <c r="DD262" s="6"/>
      <c r="DE262" s="10"/>
      <c r="DF262" s="6"/>
      <c r="DG262" s="6"/>
      <c r="DH262" s="10"/>
      <c r="DI262" s="6"/>
    </row>
    <row r="263" spans="1:113" ht="14.25" customHeight="1">
      <c r="A263" s="6">
        <v>259</v>
      </c>
      <c r="B263" s="6"/>
      <c r="C263" s="10"/>
      <c r="D263" s="6"/>
      <c r="E263" s="33"/>
      <c r="F263" s="33"/>
      <c r="G263" s="344"/>
      <c r="H263" s="344"/>
      <c r="I263" s="344"/>
      <c r="J263" s="344"/>
      <c r="K263" s="344"/>
      <c r="L263" s="344"/>
      <c r="M263" s="344"/>
      <c r="N263" s="344"/>
      <c r="O263" s="344"/>
      <c r="P263" s="344"/>
      <c r="Q263" s="344"/>
      <c r="R263" s="344"/>
      <c r="S263" s="344"/>
      <c r="T263" s="344"/>
      <c r="U263" s="6"/>
      <c r="V263" s="6"/>
      <c r="W263" s="35"/>
      <c r="X263" s="6"/>
      <c r="Y263" s="6"/>
      <c r="Z263" s="35"/>
      <c r="AA263" s="35"/>
      <c r="AB263" s="35"/>
      <c r="AC263" s="35"/>
      <c r="AD263" s="6"/>
      <c r="AE263" s="6"/>
      <c r="AF263" s="35"/>
      <c r="AG263" s="6"/>
      <c r="AH263" s="6"/>
      <c r="AI263" s="34"/>
      <c r="AJ263" s="35"/>
      <c r="AK263" s="35"/>
      <c r="AL263" s="35"/>
      <c r="AM263" s="6"/>
      <c r="AN263" s="6"/>
      <c r="AO263" s="35"/>
      <c r="AP263" s="6"/>
      <c r="AQ263" s="6"/>
      <c r="AR263" s="35"/>
      <c r="AS263" s="35"/>
      <c r="AT263" s="35"/>
      <c r="AU263" s="35"/>
      <c r="AV263" s="35"/>
      <c r="AW263" s="6"/>
      <c r="AX263" s="35"/>
      <c r="AY263" s="6"/>
      <c r="AZ263" s="6"/>
      <c r="BA263" s="35"/>
      <c r="BB263" s="6"/>
      <c r="BC263" s="6"/>
      <c r="BD263" s="6"/>
      <c r="BE263" s="35"/>
      <c r="BF263" s="35"/>
      <c r="BG263" s="6"/>
      <c r="BH263" s="35"/>
      <c r="BI263" s="35"/>
      <c r="BJ263" s="35"/>
      <c r="BK263" s="35"/>
      <c r="BL263" s="35"/>
      <c r="BM263" s="6"/>
      <c r="BN263" s="6"/>
      <c r="BO263" s="6"/>
      <c r="BP263" s="35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10"/>
      <c r="CZ263" s="6"/>
      <c r="DA263" s="6"/>
      <c r="DB263" s="10"/>
      <c r="DC263" s="6"/>
      <c r="DD263" s="6"/>
      <c r="DE263" s="10"/>
      <c r="DF263" s="6"/>
      <c r="DG263" s="6"/>
      <c r="DH263" s="10"/>
      <c r="DI263" s="6"/>
    </row>
    <row r="264" spans="1:113">
      <c r="A264" s="6">
        <v>260</v>
      </c>
      <c r="B264" s="6"/>
      <c r="C264" s="10"/>
      <c r="D264" s="6"/>
      <c r="E264" s="141"/>
      <c r="F264" s="141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6"/>
      <c r="V264" s="6"/>
      <c r="W264" s="35"/>
      <c r="X264" s="6"/>
      <c r="Y264" s="6"/>
      <c r="Z264" s="35"/>
      <c r="AA264" s="35"/>
      <c r="AB264" s="35"/>
      <c r="AC264" s="35"/>
      <c r="AD264" s="6"/>
      <c r="AE264" s="6"/>
      <c r="AF264" s="35"/>
      <c r="AG264" s="6"/>
      <c r="AH264" s="6"/>
      <c r="AI264" s="34"/>
      <c r="AJ264" s="35"/>
      <c r="AK264" s="35"/>
      <c r="AL264" s="35"/>
      <c r="AM264" s="6"/>
      <c r="AN264" s="6"/>
      <c r="AO264" s="35"/>
      <c r="AP264" s="6"/>
      <c r="AQ264" s="6"/>
      <c r="AR264" s="35"/>
      <c r="AS264" s="35"/>
      <c r="AT264" s="35"/>
      <c r="AU264" s="35"/>
      <c r="AV264" s="35"/>
      <c r="AW264" s="6"/>
      <c r="AX264" s="35"/>
      <c r="AY264" s="6"/>
      <c r="AZ264" s="6"/>
      <c r="BA264" s="35"/>
      <c r="BB264" s="6"/>
      <c r="BC264" s="6"/>
      <c r="BD264" s="6"/>
      <c r="BE264" s="35"/>
      <c r="BF264" s="35"/>
      <c r="BG264" s="6"/>
      <c r="BH264" s="35"/>
      <c r="BI264" s="35"/>
      <c r="BJ264" s="35"/>
      <c r="BK264" s="35"/>
      <c r="BL264" s="35"/>
      <c r="BM264" s="6"/>
      <c r="BN264" s="6"/>
      <c r="BO264" s="6"/>
      <c r="BP264" s="35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10"/>
      <c r="CZ264" s="6"/>
      <c r="DA264" s="6"/>
      <c r="DB264" s="10"/>
      <c r="DC264" s="6"/>
      <c r="DD264" s="6"/>
      <c r="DE264" s="10"/>
      <c r="DF264" s="6"/>
      <c r="DG264" s="6"/>
      <c r="DH264" s="10"/>
      <c r="DI264" s="6"/>
    </row>
    <row r="265" spans="1:113">
      <c r="A265" s="6">
        <v>261</v>
      </c>
      <c r="B265" s="6"/>
      <c r="C265" s="10"/>
      <c r="D265" s="6"/>
      <c r="E265" s="141"/>
      <c r="F265" s="141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6"/>
      <c r="V265" s="6"/>
      <c r="W265" s="35"/>
      <c r="X265" s="6"/>
      <c r="Y265" s="6"/>
      <c r="Z265" s="35"/>
      <c r="AA265" s="35"/>
      <c r="AB265" s="35"/>
      <c r="AC265" s="35"/>
      <c r="AD265" s="6"/>
      <c r="AE265" s="6"/>
      <c r="AF265" s="35"/>
      <c r="AG265" s="6"/>
      <c r="AH265" s="6"/>
      <c r="AI265" s="34"/>
      <c r="AJ265" s="35"/>
      <c r="AK265" s="35"/>
      <c r="AL265" s="35"/>
      <c r="AM265" s="6"/>
      <c r="AN265" s="6"/>
      <c r="AO265" s="35"/>
      <c r="AP265" s="6"/>
      <c r="AQ265" s="6"/>
      <c r="AR265" s="35"/>
      <c r="AS265" s="35"/>
      <c r="AT265" s="35"/>
      <c r="AU265" s="35"/>
      <c r="AV265" s="35"/>
      <c r="AW265" s="6"/>
      <c r="AX265" s="35"/>
      <c r="AY265" s="6"/>
      <c r="AZ265" s="6"/>
      <c r="BA265" s="35"/>
      <c r="BB265" s="6"/>
      <c r="BC265" s="6"/>
      <c r="BD265" s="6"/>
      <c r="BE265" s="35"/>
      <c r="BF265" s="35"/>
      <c r="BG265" s="6"/>
      <c r="BH265" s="35"/>
      <c r="BI265" s="35"/>
      <c r="BJ265" s="35"/>
      <c r="BK265" s="35"/>
      <c r="BL265" s="35"/>
      <c r="BM265" s="6"/>
      <c r="BN265" s="6"/>
      <c r="BO265" s="6"/>
      <c r="BP265" s="35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10"/>
      <c r="CZ265" s="6"/>
      <c r="DA265" s="6"/>
      <c r="DB265" s="10"/>
      <c r="DC265" s="6"/>
      <c r="DD265" s="6"/>
      <c r="DE265" s="10"/>
      <c r="DF265" s="6"/>
      <c r="DG265" s="6"/>
      <c r="DH265" s="10"/>
      <c r="DI265" s="6"/>
    </row>
    <row r="266" spans="1:113">
      <c r="A266" s="6">
        <v>262</v>
      </c>
      <c r="B266" s="6"/>
      <c r="C266" s="10"/>
      <c r="D266" s="6"/>
      <c r="E266" s="141"/>
      <c r="F266" s="141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6"/>
      <c r="V266" s="6"/>
      <c r="W266" s="35"/>
      <c r="X266" s="6"/>
      <c r="Y266" s="6"/>
      <c r="Z266" s="35"/>
      <c r="AA266" s="35"/>
      <c r="AB266" s="35"/>
      <c r="AC266" s="35"/>
      <c r="AD266" s="6"/>
      <c r="AE266" s="6"/>
      <c r="AF266" s="35"/>
      <c r="AG266" s="6"/>
      <c r="AH266" s="6"/>
      <c r="AI266" s="34"/>
      <c r="AJ266" s="35"/>
      <c r="AK266" s="35"/>
      <c r="AL266" s="35"/>
      <c r="AM266" s="6"/>
      <c r="AN266" s="6"/>
      <c r="AO266" s="35"/>
      <c r="AP266" s="6"/>
      <c r="AQ266" s="6"/>
      <c r="AR266" s="35"/>
      <c r="AS266" s="35"/>
      <c r="AT266" s="35"/>
      <c r="AU266" s="35"/>
      <c r="AV266" s="35"/>
      <c r="AW266" s="6"/>
      <c r="AX266" s="35"/>
      <c r="AY266" s="6"/>
      <c r="AZ266" s="6"/>
      <c r="BA266" s="35"/>
      <c r="BB266" s="6"/>
      <c r="BC266" s="6"/>
      <c r="BD266" s="6"/>
      <c r="BE266" s="35"/>
      <c r="BF266" s="35"/>
      <c r="BG266" s="6"/>
      <c r="BH266" s="35"/>
      <c r="BI266" s="35"/>
      <c r="BJ266" s="35"/>
      <c r="BK266" s="35"/>
      <c r="BL266" s="35"/>
      <c r="BM266" s="6"/>
      <c r="BN266" s="6"/>
      <c r="BO266" s="6"/>
      <c r="BP266" s="35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10"/>
      <c r="CZ266" s="6"/>
      <c r="DA266" s="6"/>
      <c r="DB266" s="10"/>
      <c r="DC266" s="6"/>
      <c r="DD266" s="6"/>
      <c r="DE266" s="10"/>
      <c r="DF266" s="6"/>
      <c r="DG266" s="6"/>
      <c r="DH266" s="10"/>
      <c r="DI266" s="6"/>
    </row>
    <row r="267" spans="1:113">
      <c r="A267" s="6">
        <v>263</v>
      </c>
      <c r="B267" s="6"/>
      <c r="C267" s="10"/>
      <c r="D267" s="6"/>
      <c r="E267" s="141"/>
      <c r="F267" s="141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6"/>
      <c r="V267" s="6"/>
      <c r="W267" s="35"/>
      <c r="X267" s="6"/>
      <c r="Y267" s="6"/>
      <c r="Z267" s="35"/>
      <c r="AA267" s="35"/>
      <c r="AB267" s="35"/>
      <c r="AC267" s="35"/>
      <c r="AD267" s="6"/>
      <c r="AE267" s="6"/>
      <c r="AF267" s="35"/>
      <c r="AG267" s="6"/>
      <c r="AH267" s="6"/>
      <c r="AI267" s="34"/>
      <c r="AJ267" s="35"/>
      <c r="AK267" s="35"/>
      <c r="AL267" s="35"/>
      <c r="AM267" s="6"/>
      <c r="AN267" s="6"/>
      <c r="AO267" s="35"/>
      <c r="AP267" s="6"/>
      <c r="AQ267" s="6"/>
      <c r="AR267" s="35"/>
      <c r="AS267" s="35"/>
      <c r="AT267" s="35"/>
      <c r="AU267" s="35"/>
      <c r="AV267" s="35"/>
      <c r="AW267" s="6"/>
      <c r="AX267" s="35"/>
      <c r="AY267" s="6"/>
      <c r="AZ267" s="6"/>
      <c r="BA267" s="35"/>
      <c r="BB267" s="6"/>
      <c r="BC267" s="6"/>
      <c r="BD267" s="6"/>
      <c r="BE267" s="35"/>
      <c r="BF267" s="35"/>
      <c r="BG267" s="6"/>
      <c r="BH267" s="35"/>
      <c r="BI267" s="35"/>
      <c r="BJ267" s="35"/>
      <c r="BK267" s="35"/>
      <c r="BL267" s="35"/>
      <c r="BM267" s="6"/>
      <c r="BN267" s="6"/>
      <c r="BO267" s="6"/>
      <c r="BP267" s="35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10"/>
      <c r="CZ267" s="6"/>
      <c r="DA267" s="6"/>
      <c r="DB267" s="10"/>
      <c r="DC267" s="6"/>
      <c r="DD267" s="6"/>
      <c r="DE267" s="10"/>
      <c r="DF267" s="6"/>
      <c r="DG267" s="6"/>
      <c r="DH267" s="10"/>
      <c r="DI267" s="6"/>
    </row>
    <row r="268" spans="1:113">
      <c r="A268" s="6">
        <v>264</v>
      </c>
      <c r="B268" s="6"/>
      <c r="C268" s="10"/>
      <c r="D268" s="6"/>
      <c r="E268" s="141"/>
      <c r="F268" s="141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6"/>
      <c r="V268" s="6"/>
      <c r="W268" s="35"/>
      <c r="X268" s="6"/>
      <c r="Y268" s="6"/>
      <c r="Z268" s="35"/>
      <c r="AA268" s="35"/>
      <c r="AB268" s="35"/>
      <c r="AC268" s="35"/>
      <c r="AD268" s="6"/>
      <c r="AE268" s="6"/>
      <c r="AF268" s="35"/>
      <c r="AG268" s="6"/>
      <c r="AH268" s="6"/>
      <c r="AI268" s="34"/>
      <c r="AJ268" s="35"/>
      <c r="AK268" s="35"/>
      <c r="AL268" s="35"/>
      <c r="AM268" s="6"/>
      <c r="AN268" s="6"/>
      <c r="AO268" s="35"/>
      <c r="AP268" s="6"/>
      <c r="AQ268" s="6"/>
      <c r="AR268" s="35"/>
      <c r="AS268" s="35"/>
      <c r="AT268" s="35"/>
      <c r="AU268" s="35"/>
      <c r="AV268" s="35"/>
      <c r="AW268" s="6"/>
      <c r="AX268" s="35"/>
      <c r="AY268" s="6"/>
      <c r="AZ268" s="6"/>
      <c r="BA268" s="35"/>
      <c r="BB268" s="6"/>
      <c r="BC268" s="6"/>
      <c r="BD268" s="6"/>
      <c r="BE268" s="35"/>
      <c r="BF268" s="35"/>
      <c r="BG268" s="6"/>
      <c r="BH268" s="35"/>
      <c r="BI268" s="35"/>
      <c r="BJ268" s="35"/>
      <c r="BK268" s="35"/>
      <c r="BL268" s="35"/>
      <c r="BM268" s="6"/>
      <c r="BN268" s="6"/>
      <c r="BO268" s="6"/>
      <c r="BP268" s="35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10"/>
      <c r="CZ268" s="6"/>
      <c r="DA268" s="6"/>
      <c r="DB268" s="10"/>
      <c r="DC268" s="6"/>
      <c r="DD268" s="6"/>
      <c r="DE268" s="10"/>
      <c r="DF268" s="6"/>
      <c r="DG268" s="6"/>
      <c r="DH268" s="10"/>
      <c r="DI268" s="6"/>
    </row>
    <row r="269" spans="1:113">
      <c r="A269" s="6">
        <v>265</v>
      </c>
      <c r="B269" s="6"/>
      <c r="C269" s="10"/>
      <c r="D269" s="6"/>
      <c r="E269" s="141"/>
      <c r="F269" s="141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6"/>
      <c r="V269" s="6"/>
      <c r="W269" s="35"/>
      <c r="X269" s="6"/>
      <c r="Y269" s="6"/>
      <c r="Z269" s="35"/>
      <c r="AA269" s="35"/>
      <c r="AB269" s="35"/>
      <c r="AC269" s="35"/>
      <c r="AD269" s="6"/>
      <c r="AE269" s="6"/>
      <c r="AF269" s="35"/>
      <c r="AG269" s="6"/>
      <c r="AH269" s="6"/>
      <c r="AI269" s="34"/>
      <c r="AJ269" s="35"/>
      <c r="AK269" s="35"/>
      <c r="AL269" s="35"/>
      <c r="AM269" s="6"/>
      <c r="AN269" s="6"/>
      <c r="AO269" s="35"/>
      <c r="AP269" s="6"/>
      <c r="AQ269" s="6"/>
      <c r="AR269" s="35"/>
      <c r="AS269" s="35"/>
      <c r="AT269" s="35"/>
      <c r="AU269" s="35"/>
      <c r="AV269" s="35"/>
      <c r="AW269" s="6"/>
      <c r="AX269" s="35"/>
      <c r="AY269" s="6"/>
      <c r="AZ269" s="6"/>
      <c r="BA269" s="35"/>
      <c r="BB269" s="6"/>
      <c r="BC269" s="6"/>
      <c r="BD269" s="6"/>
      <c r="BE269" s="35"/>
      <c r="BF269" s="35"/>
      <c r="BG269" s="6"/>
      <c r="BH269" s="35"/>
      <c r="BI269" s="35"/>
      <c r="BJ269" s="35"/>
      <c r="BK269" s="35"/>
      <c r="BL269" s="35"/>
      <c r="BM269" s="6"/>
      <c r="BN269" s="6"/>
      <c r="BO269" s="6"/>
      <c r="BP269" s="35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10"/>
      <c r="CZ269" s="6"/>
      <c r="DA269" s="6"/>
      <c r="DB269" s="10"/>
      <c r="DC269" s="6"/>
      <c r="DD269" s="6"/>
      <c r="DE269" s="10"/>
      <c r="DF269" s="6"/>
      <c r="DG269" s="6"/>
      <c r="DH269" s="10"/>
      <c r="DI269" s="6"/>
    </row>
    <row r="270" spans="1:113">
      <c r="A270" s="6">
        <v>266</v>
      </c>
      <c r="B270" s="6"/>
      <c r="C270" s="10"/>
      <c r="D270" s="6"/>
      <c r="E270" s="141"/>
      <c r="F270" s="141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6"/>
      <c r="V270" s="6"/>
      <c r="W270" s="35"/>
      <c r="X270" s="6"/>
      <c r="Y270" s="6"/>
      <c r="Z270" s="35"/>
      <c r="AA270" s="35"/>
      <c r="AB270" s="35"/>
      <c r="AC270" s="35"/>
      <c r="AD270" s="6"/>
      <c r="AE270" s="6"/>
      <c r="AF270" s="35"/>
      <c r="AG270" s="6"/>
      <c r="AH270" s="6"/>
      <c r="AI270" s="34"/>
      <c r="AJ270" s="35"/>
      <c r="AK270" s="35"/>
      <c r="AL270" s="35"/>
      <c r="AM270" s="6"/>
      <c r="AN270" s="6"/>
      <c r="AO270" s="35"/>
      <c r="AP270" s="6"/>
      <c r="AQ270" s="6"/>
      <c r="AR270" s="35"/>
      <c r="AS270" s="35"/>
      <c r="AT270" s="35"/>
      <c r="AU270" s="35"/>
      <c r="AV270" s="35"/>
      <c r="AW270" s="6"/>
      <c r="AX270" s="35"/>
      <c r="AY270" s="6"/>
      <c r="AZ270" s="6"/>
      <c r="BA270" s="35"/>
      <c r="BB270" s="6"/>
      <c r="BC270" s="6"/>
      <c r="BD270" s="6"/>
      <c r="BE270" s="35"/>
      <c r="BF270" s="35"/>
      <c r="BG270" s="6"/>
      <c r="BH270" s="35"/>
      <c r="BI270" s="35"/>
      <c r="BJ270" s="35"/>
      <c r="BK270" s="35"/>
      <c r="BL270" s="35"/>
      <c r="BM270" s="6"/>
      <c r="BN270" s="6"/>
      <c r="BO270" s="6"/>
      <c r="BP270" s="35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10"/>
      <c r="CZ270" s="6"/>
      <c r="DA270" s="6"/>
      <c r="DB270" s="10"/>
      <c r="DC270" s="6"/>
      <c r="DD270" s="6"/>
      <c r="DE270" s="10"/>
      <c r="DF270" s="6"/>
      <c r="DG270" s="6"/>
      <c r="DH270" s="10"/>
      <c r="DI270" s="6"/>
    </row>
    <row r="271" spans="1:113">
      <c r="A271" s="6">
        <v>267</v>
      </c>
      <c r="B271" s="6"/>
      <c r="C271" s="10"/>
      <c r="D271" s="6"/>
      <c r="E271" s="141"/>
      <c r="F271" s="141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6"/>
      <c r="V271" s="6"/>
      <c r="W271" s="35"/>
      <c r="X271" s="6"/>
      <c r="Y271" s="6"/>
      <c r="Z271" s="35"/>
      <c r="AA271" s="35"/>
      <c r="AB271" s="35"/>
      <c r="AC271" s="35"/>
      <c r="AD271" s="6"/>
      <c r="AE271" s="6"/>
      <c r="AF271" s="35"/>
      <c r="AG271" s="6"/>
      <c r="AH271" s="6"/>
      <c r="AI271" s="34"/>
      <c r="AJ271" s="35"/>
      <c r="AK271" s="35"/>
      <c r="AL271" s="35"/>
      <c r="AM271" s="6"/>
      <c r="AN271" s="6"/>
      <c r="AO271" s="35"/>
      <c r="AP271" s="6"/>
      <c r="AQ271" s="6"/>
      <c r="AR271" s="35"/>
      <c r="AS271" s="35"/>
      <c r="AT271" s="35"/>
      <c r="AU271" s="35"/>
      <c r="AV271" s="35"/>
      <c r="AW271" s="6"/>
      <c r="AX271" s="35"/>
      <c r="AY271" s="6"/>
      <c r="AZ271" s="6"/>
      <c r="BA271" s="35"/>
      <c r="BB271" s="6"/>
      <c r="BC271" s="6"/>
      <c r="BD271" s="6"/>
      <c r="BE271" s="35"/>
      <c r="BF271" s="35"/>
      <c r="BG271" s="6"/>
      <c r="BH271" s="35"/>
      <c r="BI271" s="35"/>
      <c r="BJ271" s="35"/>
      <c r="BK271" s="35"/>
      <c r="BL271" s="35"/>
      <c r="BM271" s="6"/>
      <c r="BN271" s="6"/>
      <c r="BO271" s="6"/>
      <c r="BP271" s="35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10"/>
      <c r="CZ271" s="6"/>
      <c r="DA271" s="6"/>
      <c r="DB271" s="10"/>
      <c r="DC271" s="6"/>
      <c r="DD271" s="6"/>
      <c r="DE271" s="10"/>
      <c r="DF271" s="6"/>
      <c r="DG271" s="6"/>
      <c r="DH271" s="10"/>
      <c r="DI271" s="6"/>
    </row>
    <row r="272" spans="1:113">
      <c r="A272" s="6">
        <v>268</v>
      </c>
      <c r="B272" s="6"/>
      <c r="C272" s="10"/>
      <c r="D272" s="6"/>
      <c r="E272" s="141"/>
      <c r="F272" s="141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6"/>
      <c r="V272" s="6"/>
      <c r="W272" s="35"/>
      <c r="X272" s="6"/>
      <c r="Y272" s="6"/>
      <c r="Z272" s="35"/>
      <c r="AA272" s="35"/>
      <c r="AB272" s="35"/>
      <c r="AC272" s="35"/>
      <c r="AD272" s="6"/>
      <c r="AE272" s="6"/>
      <c r="AF272" s="35"/>
      <c r="AG272" s="6"/>
      <c r="AH272" s="6"/>
      <c r="AI272" s="34"/>
      <c r="AJ272" s="35"/>
      <c r="AK272" s="35"/>
      <c r="AL272" s="35"/>
      <c r="AM272" s="6"/>
      <c r="AN272" s="6"/>
      <c r="AO272" s="35"/>
      <c r="AP272" s="6"/>
      <c r="AQ272" s="6"/>
      <c r="AR272" s="35"/>
      <c r="AS272" s="35"/>
      <c r="AT272" s="35"/>
      <c r="AU272" s="35"/>
      <c r="AV272" s="35"/>
      <c r="AW272" s="6"/>
      <c r="AX272" s="35"/>
      <c r="AY272" s="6"/>
      <c r="AZ272" s="6"/>
      <c r="BA272" s="35"/>
      <c r="BB272" s="6"/>
      <c r="BC272" s="6"/>
      <c r="BD272" s="6"/>
      <c r="BE272" s="35"/>
      <c r="BF272" s="35"/>
      <c r="BG272" s="6"/>
      <c r="BH272" s="35"/>
      <c r="BI272" s="35"/>
      <c r="BJ272" s="35"/>
      <c r="BK272" s="35"/>
      <c r="BL272" s="35"/>
      <c r="BM272" s="6"/>
      <c r="BN272" s="6"/>
      <c r="BO272" s="6"/>
      <c r="BP272" s="35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10"/>
      <c r="CZ272" s="6"/>
      <c r="DA272" s="6"/>
      <c r="DB272" s="10"/>
      <c r="DC272" s="6"/>
      <c r="DD272" s="6"/>
      <c r="DE272" s="10"/>
      <c r="DF272" s="6"/>
      <c r="DG272" s="6"/>
      <c r="DH272" s="10"/>
      <c r="DI272" s="6"/>
    </row>
    <row r="273" spans="1:113">
      <c r="A273" s="6">
        <v>269</v>
      </c>
      <c r="B273" s="6">
        <v>306</v>
      </c>
      <c r="C273" s="10"/>
      <c r="D273" s="6">
        <v>0</v>
      </c>
      <c r="E273" s="141" t="s">
        <v>422</v>
      </c>
      <c r="F273" s="141" t="s">
        <v>422</v>
      </c>
      <c r="G273" s="347" t="s">
        <v>422</v>
      </c>
      <c r="H273" s="347" t="s">
        <v>422</v>
      </c>
      <c r="I273" s="347" t="s">
        <v>422</v>
      </c>
      <c r="J273" s="347" t="s">
        <v>422</v>
      </c>
      <c r="K273" s="347" t="s">
        <v>422</v>
      </c>
      <c r="L273" s="347" t="s">
        <v>422</v>
      </c>
      <c r="M273" s="347" t="s">
        <v>422</v>
      </c>
      <c r="N273" s="347" t="s">
        <v>422</v>
      </c>
      <c r="O273" s="347" t="s">
        <v>422</v>
      </c>
      <c r="P273" s="347" t="s">
        <v>422</v>
      </c>
      <c r="Q273" s="347" t="s">
        <v>422</v>
      </c>
      <c r="R273" s="347" t="s">
        <v>422</v>
      </c>
      <c r="S273" s="347" t="s">
        <v>422</v>
      </c>
      <c r="T273" s="347" t="s">
        <v>422</v>
      </c>
      <c r="U273" s="6">
        <v>306</v>
      </c>
      <c r="V273" s="6"/>
      <c r="W273" s="35">
        <f t="shared" ref="W273:W307" si="60">V273+U273-B273</f>
        <v>0</v>
      </c>
      <c r="X273" s="6">
        <v>306</v>
      </c>
      <c r="Y273" s="6"/>
      <c r="Z273" s="35">
        <f t="shared" ref="Z273:Z307" si="61">Y273+X273-U273</f>
        <v>0</v>
      </c>
      <c r="AA273" s="35">
        <v>306</v>
      </c>
      <c r="AB273" s="35"/>
      <c r="AC273" s="35">
        <f t="shared" ref="AC273:AC307" si="62">AB273+AA273-X273</f>
        <v>0</v>
      </c>
      <c r="AD273" s="6">
        <v>306</v>
      </c>
      <c r="AE273" s="6"/>
      <c r="AF273" s="35">
        <f t="shared" ref="AF273:AF307" si="63">AE273+AD273-AA273</f>
        <v>0</v>
      </c>
      <c r="AG273" s="6"/>
      <c r="AH273" s="6"/>
      <c r="AI273" s="34"/>
      <c r="AJ273" s="35">
        <v>306</v>
      </c>
      <c r="AK273" s="35"/>
      <c r="AL273" s="35">
        <f t="shared" ref="AL273:AL307" si="64">AK273+AJ273-AD273</f>
        <v>0</v>
      </c>
      <c r="AM273" s="6">
        <v>306</v>
      </c>
      <c r="AN273" s="6"/>
      <c r="AO273" s="35">
        <f t="shared" ref="AO273:AO307" si="65">AN273+AM273-AJ273</f>
        <v>0</v>
      </c>
      <c r="AP273" s="6">
        <v>306</v>
      </c>
      <c r="AQ273" s="6"/>
      <c r="AR273" s="35">
        <f t="shared" ref="AR273:AR307" si="66">AQ273+AP273-AM273</f>
        <v>0</v>
      </c>
      <c r="AS273" s="35">
        <v>306</v>
      </c>
      <c r="AT273" s="35"/>
      <c r="AU273" s="35">
        <f t="shared" ref="AU273:AU307" si="67">AT273+AS273-AP273</f>
        <v>0</v>
      </c>
      <c r="AV273" s="35">
        <v>306</v>
      </c>
      <c r="AW273" s="6"/>
      <c r="AX273" s="35">
        <f t="shared" ref="AX273:AX307" si="68">AW273+AV273-AS273</f>
        <v>0</v>
      </c>
      <c r="AY273" s="6">
        <v>306</v>
      </c>
      <c r="AZ273" s="6"/>
      <c r="BA273" s="35">
        <f t="shared" ref="BA273:BA307" si="69">AZ273+AY273-AV273</f>
        <v>0</v>
      </c>
      <c r="BB273" s="6"/>
      <c r="BC273" s="6"/>
      <c r="BD273" s="6"/>
      <c r="BE273" s="35">
        <v>306</v>
      </c>
      <c r="BF273" s="35"/>
      <c r="BG273" s="6">
        <f t="shared" ref="BG273:BG307" si="70">BF273+BE273-AY273</f>
        <v>0</v>
      </c>
      <c r="BH273" s="35">
        <v>306</v>
      </c>
      <c r="BI273" s="35"/>
      <c r="BJ273" s="35">
        <f t="shared" ref="BJ273:BJ307" si="71">BI273+BH273-BE273</f>
        <v>0</v>
      </c>
      <c r="BK273" s="35">
        <v>306</v>
      </c>
      <c r="BL273" s="35"/>
      <c r="BM273" s="6">
        <f t="shared" ref="BM273:BM307" si="72">BL273+BK273-BH273</f>
        <v>0</v>
      </c>
      <c r="BN273" s="6">
        <v>306</v>
      </c>
      <c r="BO273" s="6"/>
      <c r="BP273" s="35">
        <f t="shared" ref="BP273:BP307" si="73">BO273+BN273-BK273</f>
        <v>0</v>
      </c>
      <c r="BQ273" s="6">
        <v>306</v>
      </c>
      <c r="BR273" s="6"/>
      <c r="BS273" s="6">
        <f t="shared" ref="BS273:BS307" si="74">BR273+BQ273-BN273</f>
        <v>0</v>
      </c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10"/>
      <c r="CZ273" s="6"/>
      <c r="DA273" s="6"/>
      <c r="DB273" s="10"/>
      <c r="DC273" s="6"/>
      <c r="DD273" s="6"/>
      <c r="DE273" s="10"/>
      <c r="DF273" s="6"/>
      <c r="DG273" s="6"/>
      <c r="DH273" s="10"/>
      <c r="DI273" s="6"/>
    </row>
    <row r="274" spans="1:113">
      <c r="A274" s="6">
        <v>270</v>
      </c>
      <c r="B274" s="6">
        <v>52</v>
      </c>
      <c r="C274" s="10"/>
      <c r="D274" s="6">
        <v>0</v>
      </c>
      <c r="E274" s="141" t="s">
        <v>422</v>
      </c>
      <c r="F274" s="141" t="s">
        <v>422</v>
      </c>
      <c r="G274" s="347" t="s">
        <v>422</v>
      </c>
      <c r="H274" s="347" t="s">
        <v>422</v>
      </c>
      <c r="I274" s="347" t="s">
        <v>422</v>
      </c>
      <c r="J274" s="347" t="s">
        <v>422</v>
      </c>
      <c r="K274" s="347" t="s">
        <v>422</v>
      </c>
      <c r="L274" s="347" t="s">
        <v>422</v>
      </c>
      <c r="M274" s="347" t="s">
        <v>422</v>
      </c>
      <c r="N274" s="347" t="s">
        <v>422</v>
      </c>
      <c r="O274" s="347" t="s">
        <v>422</v>
      </c>
      <c r="P274" s="347" t="s">
        <v>422</v>
      </c>
      <c r="Q274" s="347" t="s">
        <v>422</v>
      </c>
      <c r="R274" s="347" t="s">
        <v>422</v>
      </c>
      <c r="S274" s="347" t="s">
        <v>422</v>
      </c>
      <c r="T274" s="347" t="s">
        <v>422</v>
      </c>
      <c r="U274" s="6">
        <v>52</v>
      </c>
      <c r="V274" s="6"/>
      <c r="W274" s="35">
        <f t="shared" si="60"/>
        <v>0</v>
      </c>
      <c r="X274" s="6">
        <v>52</v>
      </c>
      <c r="Y274" s="6"/>
      <c r="Z274" s="35">
        <f t="shared" si="61"/>
        <v>0</v>
      </c>
      <c r="AA274" s="35">
        <v>52</v>
      </c>
      <c r="AB274" s="35"/>
      <c r="AC274" s="35">
        <f t="shared" si="62"/>
        <v>0</v>
      </c>
      <c r="AD274" s="6">
        <v>52</v>
      </c>
      <c r="AE274" s="6"/>
      <c r="AF274" s="35">
        <f t="shared" si="63"/>
        <v>0</v>
      </c>
      <c r="AG274" s="6"/>
      <c r="AH274" s="6"/>
      <c r="AI274" s="34"/>
      <c r="AJ274" s="35">
        <v>52</v>
      </c>
      <c r="AK274" s="35"/>
      <c r="AL274" s="35">
        <f t="shared" si="64"/>
        <v>0</v>
      </c>
      <c r="AM274" s="6">
        <v>52</v>
      </c>
      <c r="AN274" s="6"/>
      <c r="AO274" s="35">
        <f t="shared" si="65"/>
        <v>0</v>
      </c>
      <c r="AP274" s="6">
        <v>52</v>
      </c>
      <c r="AQ274" s="6"/>
      <c r="AR274" s="35">
        <f t="shared" si="66"/>
        <v>0</v>
      </c>
      <c r="AS274" s="35">
        <v>52</v>
      </c>
      <c r="AT274" s="35"/>
      <c r="AU274" s="35">
        <f t="shared" si="67"/>
        <v>0</v>
      </c>
      <c r="AV274" s="35">
        <v>52</v>
      </c>
      <c r="AW274" s="6"/>
      <c r="AX274" s="35">
        <f t="shared" si="68"/>
        <v>0</v>
      </c>
      <c r="AY274" s="6">
        <v>52</v>
      </c>
      <c r="AZ274" s="6"/>
      <c r="BA274" s="35">
        <f t="shared" si="69"/>
        <v>0</v>
      </c>
      <c r="BB274" s="6"/>
      <c r="BC274" s="6"/>
      <c r="BD274" s="6"/>
      <c r="BE274" s="35">
        <v>52</v>
      </c>
      <c r="BF274" s="35"/>
      <c r="BG274" s="6">
        <f t="shared" si="70"/>
        <v>0</v>
      </c>
      <c r="BH274" s="35">
        <v>52</v>
      </c>
      <c r="BI274" s="35"/>
      <c r="BJ274" s="35">
        <f t="shared" si="71"/>
        <v>0</v>
      </c>
      <c r="BK274" s="35">
        <v>52</v>
      </c>
      <c r="BL274" s="35"/>
      <c r="BM274" s="6">
        <f t="shared" si="72"/>
        <v>0</v>
      </c>
      <c r="BN274" s="6">
        <v>52</v>
      </c>
      <c r="BO274" s="6"/>
      <c r="BP274" s="35">
        <f t="shared" si="73"/>
        <v>0</v>
      </c>
      <c r="BQ274" s="6">
        <v>52</v>
      </c>
      <c r="BR274" s="6"/>
      <c r="BS274" s="6">
        <f t="shared" si="74"/>
        <v>0</v>
      </c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10"/>
      <c r="CZ274" s="6"/>
      <c r="DA274" s="6"/>
      <c r="DB274" s="10"/>
      <c r="DC274" s="6"/>
      <c r="DD274" s="6"/>
      <c r="DE274" s="10"/>
      <c r="DF274" s="6"/>
      <c r="DG274" s="6"/>
      <c r="DH274" s="10"/>
      <c r="DI274" s="6"/>
    </row>
    <row r="275" spans="1:113">
      <c r="A275" s="6">
        <v>271</v>
      </c>
      <c r="B275" s="6">
        <v>498</v>
      </c>
      <c r="C275" s="10"/>
      <c r="D275" s="6">
        <v>0</v>
      </c>
      <c r="E275" s="141" t="s">
        <v>422</v>
      </c>
      <c r="F275" s="141" t="s">
        <v>422</v>
      </c>
      <c r="G275" s="347" t="s">
        <v>422</v>
      </c>
      <c r="H275" s="347" t="s">
        <v>422</v>
      </c>
      <c r="I275" s="347" t="s">
        <v>422</v>
      </c>
      <c r="J275" s="347" t="s">
        <v>422</v>
      </c>
      <c r="K275" s="347" t="s">
        <v>422</v>
      </c>
      <c r="L275" s="347" t="s">
        <v>422</v>
      </c>
      <c r="M275" s="347" t="s">
        <v>422</v>
      </c>
      <c r="N275" s="347" t="s">
        <v>422</v>
      </c>
      <c r="O275" s="347" t="s">
        <v>422</v>
      </c>
      <c r="P275" s="347" t="s">
        <v>422</v>
      </c>
      <c r="Q275" s="347" t="s">
        <v>422</v>
      </c>
      <c r="R275" s="347" t="s">
        <v>422</v>
      </c>
      <c r="S275" s="347" t="s">
        <v>422</v>
      </c>
      <c r="T275" s="347" t="s">
        <v>422</v>
      </c>
      <c r="U275" s="6">
        <v>498</v>
      </c>
      <c r="V275" s="6"/>
      <c r="W275" s="35">
        <f t="shared" si="60"/>
        <v>0</v>
      </c>
      <c r="X275" s="6">
        <v>498</v>
      </c>
      <c r="Y275" s="6"/>
      <c r="Z275" s="35">
        <f t="shared" si="61"/>
        <v>0</v>
      </c>
      <c r="AA275" s="35">
        <v>498</v>
      </c>
      <c r="AB275" s="35"/>
      <c r="AC275" s="35">
        <f t="shared" si="62"/>
        <v>0</v>
      </c>
      <c r="AD275" s="6">
        <v>498</v>
      </c>
      <c r="AE275" s="6"/>
      <c r="AF275" s="35">
        <f t="shared" si="63"/>
        <v>0</v>
      </c>
      <c r="AG275" s="6"/>
      <c r="AH275" s="6"/>
      <c r="AI275" s="34"/>
      <c r="AJ275" s="35">
        <v>498</v>
      </c>
      <c r="AK275" s="35"/>
      <c r="AL275" s="35">
        <f t="shared" si="64"/>
        <v>0</v>
      </c>
      <c r="AM275" s="6">
        <v>498</v>
      </c>
      <c r="AN275" s="6"/>
      <c r="AO275" s="35">
        <f t="shared" si="65"/>
        <v>0</v>
      </c>
      <c r="AP275" s="6">
        <v>498</v>
      </c>
      <c r="AQ275" s="6"/>
      <c r="AR275" s="35">
        <f t="shared" si="66"/>
        <v>0</v>
      </c>
      <c r="AS275" s="35">
        <v>498</v>
      </c>
      <c r="AT275" s="35"/>
      <c r="AU275" s="35">
        <f t="shared" si="67"/>
        <v>0</v>
      </c>
      <c r="AV275" s="35">
        <v>498</v>
      </c>
      <c r="AW275" s="6"/>
      <c r="AX275" s="35">
        <f t="shared" si="68"/>
        <v>0</v>
      </c>
      <c r="AY275" s="6">
        <v>498</v>
      </c>
      <c r="AZ275" s="6"/>
      <c r="BA275" s="35">
        <f t="shared" si="69"/>
        <v>0</v>
      </c>
      <c r="BB275" s="6"/>
      <c r="BC275" s="6"/>
      <c r="BD275" s="6"/>
      <c r="BE275" s="35">
        <v>498</v>
      </c>
      <c r="BF275" s="35"/>
      <c r="BG275" s="6">
        <f t="shared" si="70"/>
        <v>0</v>
      </c>
      <c r="BH275" s="35">
        <v>498</v>
      </c>
      <c r="BI275" s="35"/>
      <c r="BJ275" s="35">
        <f t="shared" si="71"/>
        <v>0</v>
      </c>
      <c r="BK275" s="35">
        <v>498</v>
      </c>
      <c r="BL275" s="35"/>
      <c r="BM275" s="6">
        <f t="shared" si="72"/>
        <v>0</v>
      </c>
      <c r="BN275" s="6">
        <v>498</v>
      </c>
      <c r="BO275" s="6"/>
      <c r="BP275" s="35">
        <f t="shared" si="73"/>
        <v>0</v>
      </c>
      <c r="BQ275" s="6">
        <v>498</v>
      </c>
      <c r="BR275" s="6"/>
      <c r="BS275" s="6">
        <f t="shared" si="74"/>
        <v>0</v>
      </c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10"/>
      <c r="CZ275" s="6"/>
      <c r="DA275" s="6"/>
      <c r="DB275" s="10"/>
      <c r="DC275" s="6"/>
      <c r="DD275" s="6"/>
      <c r="DE275" s="10"/>
      <c r="DF275" s="6"/>
      <c r="DG275" s="6"/>
      <c r="DH275" s="10"/>
      <c r="DI275" s="6"/>
    </row>
    <row r="276" spans="1:113">
      <c r="A276" s="6">
        <v>272</v>
      </c>
      <c r="B276" s="6">
        <v>54</v>
      </c>
      <c r="C276" s="10"/>
      <c r="D276" s="6">
        <v>0</v>
      </c>
      <c r="E276" s="141" t="s">
        <v>422</v>
      </c>
      <c r="F276" s="141" t="s">
        <v>422</v>
      </c>
      <c r="G276" s="347" t="s">
        <v>422</v>
      </c>
      <c r="H276" s="347" t="s">
        <v>422</v>
      </c>
      <c r="I276" s="347" t="s">
        <v>422</v>
      </c>
      <c r="J276" s="347" t="s">
        <v>422</v>
      </c>
      <c r="K276" s="347" t="s">
        <v>422</v>
      </c>
      <c r="L276" s="347" t="s">
        <v>422</v>
      </c>
      <c r="M276" s="347" t="s">
        <v>422</v>
      </c>
      <c r="N276" s="347" t="s">
        <v>422</v>
      </c>
      <c r="O276" s="347" t="s">
        <v>422</v>
      </c>
      <c r="P276" s="347" t="s">
        <v>422</v>
      </c>
      <c r="Q276" s="347" t="s">
        <v>422</v>
      </c>
      <c r="R276" s="347" t="s">
        <v>422</v>
      </c>
      <c r="S276" s="347" t="s">
        <v>422</v>
      </c>
      <c r="T276" s="347" t="s">
        <v>422</v>
      </c>
      <c r="U276" s="6">
        <v>54</v>
      </c>
      <c r="V276" s="6"/>
      <c r="W276" s="35">
        <f t="shared" si="60"/>
        <v>0</v>
      </c>
      <c r="X276" s="6">
        <v>54</v>
      </c>
      <c r="Y276" s="6"/>
      <c r="Z276" s="35">
        <f t="shared" si="61"/>
        <v>0</v>
      </c>
      <c r="AA276" s="35">
        <v>54</v>
      </c>
      <c r="AB276" s="35"/>
      <c r="AC276" s="35">
        <f t="shared" si="62"/>
        <v>0</v>
      </c>
      <c r="AD276" s="6">
        <v>54</v>
      </c>
      <c r="AE276" s="6"/>
      <c r="AF276" s="35">
        <f t="shared" si="63"/>
        <v>0</v>
      </c>
      <c r="AG276" s="6"/>
      <c r="AH276" s="6"/>
      <c r="AI276" s="34"/>
      <c r="AJ276" s="35">
        <v>54</v>
      </c>
      <c r="AK276" s="35"/>
      <c r="AL276" s="35">
        <f t="shared" si="64"/>
        <v>0</v>
      </c>
      <c r="AM276" s="6">
        <v>54</v>
      </c>
      <c r="AN276" s="6"/>
      <c r="AO276" s="35">
        <f t="shared" si="65"/>
        <v>0</v>
      </c>
      <c r="AP276" s="6">
        <v>54</v>
      </c>
      <c r="AQ276" s="6"/>
      <c r="AR276" s="35">
        <f t="shared" si="66"/>
        <v>0</v>
      </c>
      <c r="AS276" s="35">
        <v>54</v>
      </c>
      <c r="AT276" s="35"/>
      <c r="AU276" s="35">
        <f t="shared" si="67"/>
        <v>0</v>
      </c>
      <c r="AV276" s="35">
        <v>54</v>
      </c>
      <c r="AW276" s="6"/>
      <c r="AX276" s="35">
        <f t="shared" si="68"/>
        <v>0</v>
      </c>
      <c r="AY276" s="6">
        <v>54</v>
      </c>
      <c r="AZ276" s="6"/>
      <c r="BA276" s="35">
        <f t="shared" si="69"/>
        <v>0</v>
      </c>
      <c r="BB276" s="6"/>
      <c r="BC276" s="6"/>
      <c r="BD276" s="6"/>
      <c r="BE276" s="35">
        <v>54</v>
      </c>
      <c r="BF276" s="35"/>
      <c r="BG276" s="6">
        <f t="shared" si="70"/>
        <v>0</v>
      </c>
      <c r="BH276" s="35">
        <v>54</v>
      </c>
      <c r="BI276" s="35"/>
      <c r="BJ276" s="35">
        <f t="shared" si="71"/>
        <v>0</v>
      </c>
      <c r="BK276" s="35">
        <v>54</v>
      </c>
      <c r="BL276" s="35"/>
      <c r="BM276" s="6">
        <f t="shared" si="72"/>
        <v>0</v>
      </c>
      <c r="BN276" s="6">
        <v>54</v>
      </c>
      <c r="BO276" s="6"/>
      <c r="BP276" s="35">
        <f t="shared" si="73"/>
        <v>0</v>
      </c>
      <c r="BQ276" s="6">
        <v>54</v>
      </c>
      <c r="BR276" s="6"/>
      <c r="BS276" s="6">
        <f t="shared" si="74"/>
        <v>0</v>
      </c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10"/>
      <c r="CZ276" s="6"/>
      <c r="DA276" s="6"/>
      <c r="DB276" s="10"/>
      <c r="DC276" s="6"/>
      <c r="DD276" s="6"/>
      <c r="DE276" s="10"/>
      <c r="DF276" s="6"/>
      <c r="DG276" s="6"/>
      <c r="DH276" s="10"/>
      <c r="DI276" s="6"/>
    </row>
    <row r="277" spans="1:113">
      <c r="A277" s="6">
        <v>273</v>
      </c>
      <c r="B277" s="6">
        <v>141</v>
      </c>
      <c r="C277" s="10"/>
      <c r="D277" s="6">
        <v>0</v>
      </c>
      <c r="E277" s="141" t="s">
        <v>422</v>
      </c>
      <c r="F277" s="141" t="s">
        <v>422</v>
      </c>
      <c r="G277" s="347" t="s">
        <v>422</v>
      </c>
      <c r="H277" s="347" t="s">
        <v>422</v>
      </c>
      <c r="I277" s="347" t="s">
        <v>422</v>
      </c>
      <c r="J277" s="347" t="s">
        <v>422</v>
      </c>
      <c r="K277" s="347" t="s">
        <v>422</v>
      </c>
      <c r="L277" s="347" t="s">
        <v>422</v>
      </c>
      <c r="M277" s="347" t="s">
        <v>422</v>
      </c>
      <c r="N277" s="347" t="s">
        <v>422</v>
      </c>
      <c r="O277" s="347" t="s">
        <v>422</v>
      </c>
      <c r="P277" s="347" t="s">
        <v>422</v>
      </c>
      <c r="Q277" s="347" t="s">
        <v>422</v>
      </c>
      <c r="R277" s="347" t="s">
        <v>422</v>
      </c>
      <c r="S277" s="347" t="s">
        <v>422</v>
      </c>
      <c r="T277" s="347" t="s">
        <v>422</v>
      </c>
      <c r="U277" s="6">
        <v>141</v>
      </c>
      <c r="V277" s="6"/>
      <c r="W277" s="35">
        <f t="shared" si="60"/>
        <v>0</v>
      </c>
      <c r="X277" s="6">
        <v>141</v>
      </c>
      <c r="Y277" s="6"/>
      <c r="Z277" s="35">
        <f t="shared" si="61"/>
        <v>0</v>
      </c>
      <c r="AA277" s="35">
        <v>141</v>
      </c>
      <c r="AB277" s="35"/>
      <c r="AC277" s="35">
        <f t="shared" si="62"/>
        <v>0</v>
      </c>
      <c r="AD277" s="6">
        <v>141</v>
      </c>
      <c r="AE277" s="6"/>
      <c r="AF277" s="35">
        <f t="shared" si="63"/>
        <v>0</v>
      </c>
      <c r="AG277" s="6"/>
      <c r="AH277" s="6"/>
      <c r="AI277" s="34"/>
      <c r="AJ277" s="35">
        <v>141</v>
      </c>
      <c r="AK277" s="35"/>
      <c r="AL277" s="35">
        <f t="shared" si="64"/>
        <v>0</v>
      </c>
      <c r="AM277" s="6">
        <v>141</v>
      </c>
      <c r="AN277" s="6"/>
      <c r="AO277" s="35">
        <f t="shared" si="65"/>
        <v>0</v>
      </c>
      <c r="AP277" s="6">
        <v>141</v>
      </c>
      <c r="AQ277" s="6"/>
      <c r="AR277" s="35">
        <f t="shared" si="66"/>
        <v>0</v>
      </c>
      <c r="AS277" s="35">
        <v>141</v>
      </c>
      <c r="AT277" s="35"/>
      <c r="AU277" s="35">
        <f t="shared" si="67"/>
        <v>0</v>
      </c>
      <c r="AV277" s="35">
        <v>141</v>
      </c>
      <c r="AW277" s="6"/>
      <c r="AX277" s="35">
        <f t="shared" si="68"/>
        <v>0</v>
      </c>
      <c r="AY277" s="6">
        <v>141</v>
      </c>
      <c r="AZ277" s="6"/>
      <c r="BA277" s="35">
        <f t="shared" si="69"/>
        <v>0</v>
      </c>
      <c r="BB277" s="6"/>
      <c r="BC277" s="6"/>
      <c r="BD277" s="6"/>
      <c r="BE277" s="35">
        <v>141</v>
      </c>
      <c r="BF277" s="35"/>
      <c r="BG277" s="6">
        <f t="shared" si="70"/>
        <v>0</v>
      </c>
      <c r="BH277" s="35">
        <v>141</v>
      </c>
      <c r="BI277" s="35"/>
      <c r="BJ277" s="35">
        <f t="shared" si="71"/>
        <v>0</v>
      </c>
      <c r="BK277" s="35">
        <v>141</v>
      </c>
      <c r="BL277" s="35"/>
      <c r="BM277" s="6">
        <f t="shared" si="72"/>
        <v>0</v>
      </c>
      <c r="BN277" s="6">
        <v>141</v>
      </c>
      <c r="BO277" s="6"/>
      <c r="BP277" s="35">
        <f t="shared" si="73"/>
        <v>0</v>
      </c>
      <c r="BQ277" s="6">
        <v>141</v>
      </c>
      <c r="BR277" s="6"/>
      <c r="BS277" s="6">
        <f t="shared" si="74"/>
        <v>0</v>
      </c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10"/>
      <c r="CZ277" s="6"/>
      <c r="DA277" s="6"/>
      <c r="DB277" s="10"/>
      <c r="DC277" s="6"/>
      <c r="DD277" s="6"/>
      <c r="DE277" s="10"/>
      <c r="DF277" s="6"/>
      <c r="DG277" s="6"/>
      <c r="DH277" s="10"/>
      <c r="DI277" s="6"/>
    </row>
    <row r="278" spans="1:113">
      <c r="A278" s="6">
        <v>274</v>
      </c>
      <c r="B278" s="6">
        <v>344</v>
      </c>
      <c r="C278" s="10"/>
      <c r="D278" s="6">
        <v>0</v>
      </c>
      <c r="E278" s="141" t="s">
        <v>422</v>
      </c>
      <c r="F278" s="141" t="s">
        <v>422</v>
      </c>
      <c r="G278" s="347" t="s">
        <v>422</v>
      </c>
      <c r="H278" s="347" t="s">
        <v>422</v>
      </c>
      <c r="I278" s="347" t="s">
        <v>422</v>
      </c>
      <c r="J278" s="347" t="s">
        <v>422</v>
      </c>
      <c r="K278" s="347" t="s">
        <v>422</v>
      </c>
      <c r="L278" s="347" t="s">
        <v>422</v>
      </c>
      <c r="M278" s="347" t="s">
        <v>422</v>
      </c>
      <c r="N278" s="347" t="s">
        <v>422</v>
      </c>
      <c r="O278" s="347" t="s">
        <v>422</v>
      </c>
      <c r="P278" s="347" t="s">
        <v>422</v>
      </c>
      <c r="Q278" s="347" t="s">
        <v>422</v>
      </c>
      <c r="R278" s="347" t="s">
        <v>422</v>
      </c>
      <c r="S278" s="347" t="s">
        <v>422</v>
      </c>
      <c r="T278" s="347" t="s">
        <v>422</v>
      </c>
      <c r="U278" s="6">
        <v>344</v>
      </c>
      <c r="V278" s="6"/>
      <c r="W278" s="35">
        <f t="shared" si="60"/>
        <v>0</v>
      </c>
      <c r="X278" s="6">
        <v>344</v>
      </c>
      <c r="Y278" s="6"/>
      <c r="Z278" s="35">
        <f t="shared" si="61"/>
        <v>0</v>
      </c>
      <c r="AA278" s="35">
        <v>344</v>
      </c>
      <c r="AB278" s="35"/>
      <c r="AC278" s="35">
        <f t="shared" si="62"/>
        <v>0</v>
      </c>
      <c r="AD278" s="6">
        <v>344</v>
      </c>
      <c r="AE278" s="6"/>
      <c r="AF278" s="35">
        <f t="shared" si="63"/>
        <v>0</v>
      </c>
      <c r="AG278" s="6"/>
      <c r="AH278" s="6"/>
      <c r="AI278" s="34"/>
      <c r="AJ278" s="35">
        <v>344</v>
      </c>
      <c r="AK278" s="35"/>
      <c r="AL278" s="35">
        <f t="shared" si="64"/>
        <v>0</v>
      </c>
      <c r="AM278" s="6">
        <v>344</v>
      </c>
      <c r="AN278" s="6"/>
      <c r="AO278" s="35">
        <f t="shared" si="65"/>
        <v>0</v>
      </c>
      <c r="AP278" s="6">
        <v>344</v>
      </c>
      <c r="AQ278" s="6"/>
      <c r="AR278" s="35">
        <f t="shared" si="66"/>
        <v>0</v>
      </c>
      <c r="AS278" s="35">
        <v>344</v>
      </c>
      <c r="AT278" s="35"/>
      <c r="AU278" s="35">
        <f t="shared" si="67"/>
        <v>0</v>
      </c>
      <c r="AV278" s="35">
        <v>344</v>
      </c>
      <c r="AW278" s="6"/>
      <c r="AX278" s="35">
        <f t="shared" si="68"/>
        <v>0</v>
      </c>
      <c r="AY278" s="6">
        <v>344</v>
      </c>
      <c r="AZ278" s="6"/>
      <c r="BA278" s="35">
        <f t="shared" si="69"/>
        <v>0</v>
      </c>
      <c r="BB278" s="6"/>
      <c r="BC278" s="6"/>
      <c r="BD278" s="6"/>
      <c r="BE278" s="35">
        <v>344</v>
      </c>
      <c r="BF278" s="35"/>
      <c r="BG278" s="6">
        <f t="shared" si="70"/>
        <v>0</v>
      </c>
      <c r="BH278" s="35">
        <v>344</v>
      </c>
      <c r="BI278" s="35"/>
      <c r="BJ278" s="35">
        <f t="shared" si="71"/>
        <v>0</v>
      </c>
      <c r="BK278" s="35">
        <v>344</v>
      </c>
      <c r="BL278" s="35"/>
      <c r="BM278" s="6">
        <f t="shared" si="72"/>
        <v>0</v>
      </c>
      <c r="BN278" s="6">
        <v>344</v>
      </c>
      <c r="BO278" s="6"/>
      <c r="BP278" s="35">
        <f t="shared" si="73"/>
        <v>0</v>
      </c>
      <c r="BQ278" s="6">
        <v>344</v>
      </c>
      <c r="BR278" s="6"/>
      <c r="BS278" s="6">
        <f t="shared" si="74"/>
        <v>0</v>
      </c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10"/>
      <c r="CZ278" s="6"/>
      <c r="DA278" s="6"/>
      <c r="DB278" s="10"/>
      <c r="DC278" s="6"/>
      <c r="DD278" s="6"/>
      <c r="DE278" s="10"/>
      <c r="DF278" s="6"/>
      <c r="DG278" s="6"/>
      <c r="DH278" s="10"/>
      <c r="DI278" s="6"/>
    </row>
    <row r="279" spans="1:113">
      <c r="A279" s="6">
        <v>275</v>
      </c>
      <c r="B279" s="6">
        <v>270</v>
      </c>
      <c r="C279" s="10"/>
      <c r="D279" s="6">
        <v>0</v>
      </c>
      <c r="E279" s="141" t="s">
        <v>422</v>
      </c>
      <c r="F279" s="141" t="s">
        <v>422</v>
      </c>
      <c r="G279" s="347" t="s">
        <v>422</v>
      </c>
      <c r="H279" s="347" t="s">
        <v>422</v>
      </c>
      <c r="I279" s="347" t="s">
        <v>422</v>
      </c>
      <c r="J279" s="347" t="s">
        <v>422</v>
      </c>
      <c r="K279" s="347" t="s">
        <v>422</v>
      </c>
      <c r="L279" s="347" t="s">
        <v>422</v>
      </c>
      <c r="M279" s="347" t="s">
        <v>422</v>
      </c>
      <c r="N279" s="347" t="s">
        <v>422</v>
      </c>
      <c r="O279" s="347" t="s">
        <v>422</v>
      </c>
      <c r="P279" s="347" t="s">
        <v>422</v>
      </c>
      <c r="Q279" s="347" t="s">
        <v>422</v>
      </c>
      <c r="R279" s="347" t="s">
        <v>422</v>
      </c>
      <c r="S279" s="347" t="s">
        <v>422</v>
      </c>
      <c r="T279" s="347" t="s">
        <v>422</v>
      </c>
      <c r="U279" s="6">
        <v>270</v>
      </c>
      <c r="V279" s="6"/>
      <c r="W279" s="35">
        <f t="shared" si="60"/>
        <v>0</v>
      </c>
      <c r="X279" s="6">
        <v>270</v>
      </c>
      <c r="Y279" s="6"/>
      <c r="Z279" s="35">
        <f t="shared" si="61"/>
        <v>0</v>
      </c>
      <c r="AA279" s="35">
        <v>270</v>
      </c>
      <c r="AB279" s="35"/>
      <c r="AC279" s="35">
        <f t="shared" si="62"/>
        <v>0</v>
      </c>
      <c r="AD279" s="6">
        <v>270</v>
      </c>
      <c r="AE279" s="6"/>
      <c r="AF279" s="35">
        <f t="shared" si="63"/>
        <v>0</v>
      </c>
      <c r="AG279" s="6"/>
      <c r="AH279" s="6"/>
      <c r="AI279" s="34"/>
      <c r="AJ279" s="35">
        <v>270</v>
      </c>
      <c r="AK279" s="35"/>
      <c r="AL279" s="35">
        <f t="shared" si="64"/>
        <v>0</v>
      </c>
      <c r="AM279" s="6">
        <v>270</v>
      </c>
      <c r="AN279" s="6"/>
      <c r="AO279" s="35">
        <f t="shared" si="65"/>
        <v>0</v>
      </c>
      <c r="AP279" s="6">
        <v>270</v>
      </c>
      <c r="AQ279" s="6"/>
      <c r="AR279" s="35">
        <f t="shared" si="66"/>
        <v>0</v>
      </c>
      <c r="AS279" s="35">
        <v>270</v>
      </c>
      <c r="AT279" s="35"/>
      <c r="AU279" s="35">
        <f t="shared" si="67"/>
        <v>0</v>
      </c>
      <c r="AV279" s="35">
        <v>270</v>
      </c>
      <c r="AW279" s="6"/>
      <c r="AX279" s="35">
        <f t="shared" si="68"/>
        <v>0</v>
      </c>
      <c r="AY279" s="6">
        <v>270</v>
      </c>
      <c r="AZ279" s="6"/>
      <c r="BA279" s="35">
        <f t="shared" si="69"/>
        <v>0</v>
      </c>
      <c r="BB279" s="6"/>
      <c r="BC279" s="6"/>
      <c r="BD279" s="6"/>
      <c r="BE279" s="35">
        <v>270</v>
      </c>
      <c r="BF279" s="35"/>
      <c r="BG279" s="6">
        <f t="shared" si="70"/>
        <v>0</v>
      </c>
      <c r="BH279" s="35">
        <v>270</v>
      </c>
      <c r="BI279" s="35"/>
      <c r="BJ279" s="35">
        <f t="shared" si="71"/>
        <v>0</v>
      </c>
      <c r="BK279" s="35">
        <v>270</v>
      </c>
      <c r="BL279" s="35"/>
      <c r="BM279" s="6">
        <f t="shared" si="72"/>
        <v>0</v>
      </c>
      <c r="BN279" s="6">
        <v>270</v>
      </c>
      <c r="BO279" s="6"/>
      <c r="BP279" s="35">
        <f t="shared" si="73"/>
        <v>0</v>
      </c>
      <c r="BQ279" s="6">
        <v>270</v>
      </c>
      <c r="BR279" s="6"/>
      <c r="BS279" s="6">
        <f t="shared" si="74"/>
        <v>0</v>
      </c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10"/>
      <c r="CZ279" s="6"/>
      <c r="DA279" s="6"/>
      <c r="DB279" s="10"/>
      <c r="DC279" s="6"/>
      <c r="DD279" s="6"/>
      <c r="DE279" s="10"/>
      <c r="DF279" s="6"/>
      <c r="DG279" s="6"/>
      <c r="DH279" s="10"/>
      <c r="DI279" s="6"/>
    </row>
    <row r="280" spans="1:113">
      <c r="A280" s="6">
        <v>276</v>
      </c>
      <c r="B280" s="6">
        <v>104</v>
      </c>
      <c r="C280" s="10"/>
      <c r="D280" s="6">
        <v>0</v>
      </c>
      <c r="E280" s="141" t="s">
        <v>422</v>
      </c>
      <c r="F280" s="141" t="s">
        <v>422</v>
      </c>
      <c r="G280" s="347" t="s">
        <v>422</v>
      </c>
      <c r="H280" s="347" t="s">
        <v>422</v>
      </c>
      <c r="I280" s="347" t="s">
        <v>422</v>
      </c>
      <c r="J280" s="347" t="s">
        <v>422</v>
      </c>
      <c r="K280" s="347" t="s">
        <v>422</v>
      </c>
      <c r="L280" s="347" t="s">
        <v>422</v>
      </c>
      <c r="M280" s="347" t="s">
        <v>422</v>
      </c>
      <c r="N280" s="347" t="s">
        <v>422</v>
      </c>
      <c r="O280" s="347" t="s">
        <v>422</v>
      </c>
      <c r="P280" s="347" t="s">
        <v>422</v>
      </c>
      <c r="Q280" s="347" t="s">
        <v>422</v>
      </c>
      <c r="R280" s="347" t="s">
        <v>422</v>
      </c>
      <c r="S280" s="347" t="s">
        <v>422</v>
      </c>
      <c r="T280" s="347" t="s">
        <v>422</v>
      </c>
      <c r="U280" s="6">
        <v>104</v>
      </c>
      <c r="V280" s="6"/>
      <c r="W280" s="35">
        <f t="shared" si="60"/>
        <v>0</v>
      </c>
      <c r="X280" s="6">
        <v>104</v>
      </c>
      <c r="Y280" s="6"/>
      <c r="Z280" s="35">
        <f t="shared" si="61"/>
        <v>0</v>
      </c>
      <c r="AA280" s="35">
        <v>104</v>
      </c>
      <c r="AB280" s="35"/>
      <c r="AC280" s="35">
        <f t="shared" si="62"/>
        <v>0</v>
      </c>
      <c r="AD280" s="6">
        <v>104</v>
      </c>
      <c r="AE280" s="6"/>
      <c r="AF280" s="35">
        <f t="shared" si="63"/>
        <v>0</v>
      </c>
      <c r="AG280" s="6"/>
      <c r="AH280" s="6"/>
      <c r="AI280" s="34"/>
      <c r="AJ280" s="35">
        <v>104</v>
      </c>
      <c r="AK280" s="35"/>
      <c r="AL280" s="35">
        <f t="shared" si="64"/>
        <v>0</v>
      </c>
      <c r="AM280" s="6">
        <v>104</v>
      </c>
      <c r="AN280" s="6"/>
      <c r="AO280" s="35">
        <f t="shared" si="65"/>
        <v>0</v>
      </c>
      <c r="AP280" s="6">
        <v>104</v>
      </c>
      <c r="AQ280" s="6"/>
      <c r="AR280" s="35">
        <f t="shared" si="66"/>
        <v>0</v>
      </c>
      <c r="AS280" s="35">
        <v>104</v>
      </c>
      <c r="AT280" s="35"/>
      <c r="AU280" s="35">
        <f t="shared" si="67"/>
        <v>0</v>
      </c>
      <c r="AV280" s="35">
        <v>104</v>
      </c>
      <c r="AW280" s="6"/>
      <c r="AX280" s="35">
        <f t="shared" si="68"/>
        <v>0</v>
      </c>
      <c r="AY280" s="6">
        <v>104</v>
      </c>
      <c r="AZ280" s="6"/>
      <c r="BA280" s="35">
        <f t="shared" si="69"/>
        <v>0</v>
      </c>
      <c r="BB280" s="6"/>
      <c r="BC280" s="6"/>
      <c r="BD280" s="6"/>
      <c r="BE280" s="35">
        <v>104</v>
      </c>
      <c r="BF280" s="35"/>
      <c r="BG280" s="6">
        <f t="shared" si="70"/>
        <v>0</v>
      </c>
      <c r="BH280" s="35">
        <v>104</v>
      </c>
      <c r="BI280" s="35"/>
      <c r="BJ280" s="35">
        <f t="shared" si="71"/>
        <v>0</v>
      </c>
      <c r="BK280" s="35">
        <v>104</v>
      </c>
      <c r="BL280" s="35"/>
      <c r="BM280" s="6">
        <f t="shared" si="72"/>
        <v>0</v>
      </c>
      <c r="BN280" s="6">
        <v>104</v>
      </c>
      <c r="BO280" s="6"/>
      <c r="BP280" s="35">
        <f t="shared" si="73"/>
        <v>0</v>
      </c>
      <c r="BQ280" s="6">
        <v>104</v>
      </c>
      <c r="BR280" s="6"/>
      <c r="BS280" s="6">
        <f t="shared" si="74"/>
        <v>0</v>
      </c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10"/>
      <c r="CZ280" s="6"/>
      <c r="DA280" s="6"/>
      <c r="DB280" s="10"/>
      <c r="DC280" s="6"/>
      <c r="DD280" s="6"/>
      <c r="DE280" s="10"/>
      <c r="DF280" s="6"/>
      <c r="DG280" s="6"/>
      <c r="DH280" s="10"/>
      <c r="DI280" s="6"/>
    </row>
    <row r="281" spans="1:113">
      <c r="A281" s="6">
        <v>277</v>
      </c>
      <c r="B281" s="6">
        <v>0</v>
      </c>
      <c r="C281" s="10"/>
      <c r="D281" s="6">
        <v>0</v>
      </c>
      <c r="E281" s="141" t="s">
        <v>422</v>
      </c>
      <c r="F281" s="141" t="s">
        <v>422</v>
      </c>
      <c r="G281" s="347" t="s">
        <v>422</v>
      </c>
      <c r="H281" s="347" t="s">
        <v>422</v>
      </c>
      <c r="I281" s="347" t="s">
        <v>422</v>
      </c>
      <c r="J281" s="347" t="s">
        <v>422</v>
      </c>
      <c r="K281" s="347" t="s">
        <v>422</v>
      </c>
      <c r="L281" s="347" t="s">
        <v>422</v>
      </c>
      <c r="M281" s="347" t="s">
        <v>422</v>
      </c>
      <c r="N281" s="347" t="s">
        <v>422</v>
      </c>
      <c r="O281" s="347" t="s">
        <v>422</v>
      </c>
      <c r="P281" s="347" t="s">
        <v>422</v>
      </c>
      <c r="Q281" s="347" t="s">
        <v>422</v>
      </c>
      <c r="R281" s="347" t="s">
        <v>422</v>
      </c>
      <c r="S281" s="347" t="s">
        <v>422</v>
      </c>
      <c r="T281" s="347" t="s">
        <v>422</v>
      </c>
      <c r="U281" s="6">
        <v>0</v>
      </c>
      <c r="V281" s="6"/>
      <c r="W281" s="35">
        <f t="shared" si="60"/>
        <v>0</v>
      </c>
      <c r="X281" s="6">
        <v>0</v>
      </c>
      <c r="Y281" s="6"/>
      <c r="Z281" s="35">
        <f t="shared" si="61"/>
        <v>0</v>
      </c>
      <c r="AA281" s="35">
        <v>0</v>
      </c>
      <c r="AB281" s="35"/>
      <c r="AC281" s="35">
        <f t="shared" si="62"/>
        <v>0</v>
      </c>
      <c r="AD281" s="6">
        <v>0</v>
      </c>
      <c r="AE281" s="6"/>
      <c r="AF281" s="35">
        <f t="shared" si="63"/>
        <v>0</v>
      </c>
      <c r="AG281" s="6"/>
      <c r="AH281" s="6"/>
      <c r="AI281" s="34"/>
      <c r="AJ281" s="35">
        <v>0</v>
      </c>
      <c r="AK281" s="35"/>
      <c r="AL281" s="35">
        <f t="shared" si="64"/>
        <v>0</v>
      </c>
      <c r="AM281" s="6">
        <v>0</v>
      </c>
      <c r="AN281" s="6"/>
      <c r="AO281" s="35">
        <f t="shared" si="65"/>
        <v>0</v>
      </c>
      <c r="AP281" s="6">
        <v>0</v>
      </c>
      <c r="AQ281" s="6"/>
      <c r="AR281" s="35">
        <f t="shared" si="66"/>
        <v>0</v>
      </c>
      <c r="AS281" s="35">
        <v>0</v>
      </c>
      <c r="AT281" s="35"/>
      <c r="AU281" s="35">
        <f t="shared" si="67"/>
        <v>0</v>
      </c>
      <c r="AV281" s="35">
        <v>0</v>
      </c>
      <c r="AW281" s="6"/>
      <c r="AX281" s="35">
        <f t="shared" si="68"/>
        <v>0</v>
      </c>
      <c r="AY281" s="6">
        <v>0</v>
      </c>
      <c r="AZ281" s="6"/>
      <c r="BA281" s="35">
        <f t="shared" si="69"/>
        <v>0</v>
      </c>
      <c r="BB281" s="6"/>
      <c r="BC281" s="6"/>
      <c r="BD281" s="6"/>
      <c r="BE281" s="35">
        <v>0</v>
      </c>
      <c r="BF281" s="35"/>
      <c r="BG281" s="6">
        <f t="shared" si="70"/>
        <v>0</v>
      </c>
      <c r="BH281" s="35">
        <v>0</v>
      </c>
      <c r="BI281" s="35"/>
      <c r="BJ281" s="35">
        <f t="shared" si="71"/>
        <v>0</v>
      </c>
      <c r="BK281" s="35">
        <v>0</v>
      </c>
      <c r="BL281" s="35"/>
      <c r="BM281" s="6">
        <f t="shared" si="72"/>
        <v>0</v>
      </c>
      <c r="BN281" s="6">
        <v>0</v>
      </c>
      <c r="BO281" s="6"/>
      <c r="BP281" s="35">
        <f t="shared" si="73"/>
        <v>0</v>
      </c>
      <c r="BQ281" s="6">
        <v>0</v>
      </c>
      <c r="BR281" s="6"/>
      <c r="BS281" s="6">
        <f t="shared" si="74"/>
        <v>0</v>
      </c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10"/>
      <c r="CZ281" s="6"/>
      <c r="DA281" s="6"/>
      <c r="DB281" s="10"/>
      <c r="DC281" s="6"/>
      <c r="DD281" s="6"/>
      <c r="DE281" s="10"/>
      <c r="DF281" s="6"/>
      <c r="DG281" s="6"/>
      <c r="DH281" s="10"/>
      <c r="DI281" s="6"/>
    </row>
    <row r="282" spans="1:113">
      <c r="A282" s="6">
        <v>278</v>
      </c>
      <c r="B282" s="6">
        <v>0</v>
      </c>
      <c r="C282" s="10"/>
      <c r="D282" s="6">
        <v>0</v>
      </c>
      <c r="E282" s="141" t="s">
        <v>422</v>
      </c>
      <c r="F282" s="141" t="s">
        <v>422</v>
      </c>
      <c r="G282" s="347" t="s">
        <v>422</v>
      </c>
      <c r="H282" s="347" t="s">
        <v>422</v>
      </c>
      <c r="I282" s="347" t="s">
        <v>422</v>
      </c>
      <c r="J282" s="347" t="s">
        <v>422</v>
      </c>
      <c r="K282" s="347" t="s">
        <v>422</v>
      </c>
      <c r="L282" s="347" t="s">
        <v>422</v>
      </c>
      <c r="M282" s="347" t="s">
        <v>422</v>
      </c>
      <c r="N282" s="347" t="s">
        <v>422</v>
      </c>
      <c r="O282" s="347" t="s">
        <v>422</v>
      </c>
      <c r="P282" s="347" t="s">
        <v>422</v>
      </c>
      <c r="Q282" s="347" t="s">
        <v>422</v>
      </c>
      <c r="R282" s="347" t="s">
        <v>422</v>
      </c>
      <c r="S282" s="347" t="s">
        <v>422</v>
      </c>
      <c r="T282" s="347" t="s">
        <v>422</v>
      </c>
      <c r="U282" s="6">
        <v>0</v>
      </c>
      <c r="V282" s="6"/>
      <c r="W282" s="35">
        <f t="shared" si="60"/>
        <v>0</v>
      </c>
      <c r="X282" s="6">
        <v>0</v>
      </c>
      <c r="Y282" s="6"/>
      <c r="Z282" s="35">
        <f t="shared" si="61"/>
        <v>0</v>
      </c>
      <c r="AA282" s="35">
        <v>0</v>
      </c>
      <c r="AB282" s="35"/>
      <c r="AC282" s="35">
        <f t="shared" si="62"/>
        <v>0</v>
      </c>
      <c r="AD282" s="6">
        <v>0</v>
      </c>
      <c r="AE282" s="6"/>
      <c r="AF282" s="35">
        <f t="shared" si="63"/>
        <v>0</v>
      </c>
      <c r="AG282" s="6"/>
      <c r="AH282" s="6"/>
      <c r="AI282" s="34"/>
      <c r="AJ282" s="35">
        <v>0</v>
      </c>
      <c r="AK282" s="35"/>
      <c r="AL282" s="35">
        <f t="shared" si="64"/>
        <v>0</v>
      </c>
      <c r="AM282" s="6">
        <v>0</v>
      </c>
      <c r="AN282" s="6"/>
      <c r="AO282" s="35">
        <f t="shared" si="65"/>
        <v>0</v>
      </c>
      <c r="AP282" s="6">
        <v>0</v>
      </c>
      <c r="AQ282" s="6"/>
      <c r="AR282" s="35">
        <f t="shared" si="66"/>
        <v>0</v>
      </c>
      <c r="AS282" s="35">
        <v>0</v>
      </c>
      <c r="AT282" s="35"/>
      <c r="AU282" s="35">
        <f t="shared" si="67"/>
        <v>0</v>
      </c>
      <c r="AV282" s="35">
        <v>0</v>
      </c>
      <c r="AW282" s="6"/>
      <c r="AX282" s="35">
        <f t="shared" si="68"/>
        <v>0</v>
      </c>
      <c r="AY282" s="6">
        <v>0</v>
      </c>
      <c r="AZ282" s="6"/>
      <c r="BA282" s="35">
        <f t="shared" si="69"/>
        <v>0</v>
      </c>
      <c r="BB282" s="6"/>
      <c r="BC282" s="6"/>
      <c r="BD282" s="6"/>
      <c r="BE282" s="35">
        <v>0</v>
      </c>
      <c r="BF282" s="35"/>
      <c r="BG282" s="6">
        <f t="shared" si="70"/>
        <v>0</v>
      </c>
      <c r="BH282" s="35">
        <v>0</v>
      </c>
      <c r="BI282" s="35"/>
      <c r="BJ282" s="35">
        <f t="shared" si="71"/>
        <v>0</v>
      </c>
      <c r="BK282" s="35">
        <v>0</v>
      </c>
      <c r="BL282" s="35"/>
      <c r="BM282" s="6">
        <f t="shared" si="72"/>
        <v>0</v>
      </c>
      <c r="BN282" s="6">
        <v>0</v>
      </c>
      <c r="BO282" s="6"/>
      <c r="BP282" s="35">
        <f t="shared" si="73"/>
        <v>0</v>
      </c>
      <c r="BQ282" s="6">
        <v>0</v>
      </c>
      <c r="BR282" s="6"/>
      <c r="BS282" s="6">
        <f t="shared" si="74"/>
        <v>0</v>
      </c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10"/>
      <c r="CZ282" s="6"/>
      <c r="DA282" s="6"/>
      <c r="DB282" s="10"/>
      <c r="DC282" s="6"/>
      <c r="DD282" s="6"/>
      <c r="DE282" s="10"/>
      <c r="DF282" s="6"/>
      <c r="DG282" s="6"/>
      <c r="DH282" s="10"/>
      <c r="DI282" s="6"/>
    </row>
    <row r="283" spans="1:113">
      <c r="A283" s="6">
        <v>279</v>
      </c>
      <c r="B283" s="6">
        <v>659</v>
      </c>
      <c r="C283" s="10"/>
      <c r="D283" s="6">
        <v>0</v>
      </c>
      <c r="E283" s="33" t="s">
        <v>422</v>
      </c>
      <c r="F283" s="33" t="s">
        <v>422</v>
      </c>
      <c r="G283" s="344" t="s">
        <v>422</v>
      </c>
      <c r="H283" s="344" t="s">
        <v>422</v>
      </c>
      <c r="I283" s="344" t="s">
        <v>422</v>
      </c>
      <c r="J283" s="344" t="s">
        <v>422</v>
      </c>
      <c r="K283" s="344" t="s">
        <v>422</v>
      </c>
      <c r="L283" s="344" t="s">
        <v>422</v>
      </c>
      <c r="M283" s="344" t="s">
        <v>422</v>
      </c>
      <c r="N283" s="344" t="s">
        <v>422</v>
      </c>
      <c r="O283" s="344" t="s">
        <v>422</v>
      </c>
      <c r="P283" s="344" t="s">
        <v>422</v>
      </c>
      <c r="Q283" s="344" t="s">
        <v>422</v>
      </c>
      <c r="R283" s="344" t="s">
        <v>422</v>
      </c>
      <c r="S283" s="344" t="s">
        <v>422</v>
      </c>
      <c r="T283" s="344" t="s">
        <v>422</v>
      </c>
      <c r="U283" s="6">
        <v>659</v>
      </c>
      <c r="V283" s="6"/>
      <c r="W283" s="35">
        <f t="shared" si="60"/>
        <v>0</v>
      </c>
      <c r="X283" s="6">
        <v>659</v>
      </c>
      <c r="Y283" s="6"/>
      <c r="Z283" s="35">
        <f t="shared" si="61"/>
        <v>0</v>
      </c>
      <c r="AA283" s="35">
        <v>659</v>
      </c>
      <c r="AB283" s="35"/>
      <c r="AC283" s="35">
        <f t="shared" si="62"/>
        <v>0</v>
      </c>
      <c r="AD283" s="6">
        <v>659</v>
      </c>
      <c r="AE283" s="6"/>
      <c r="AF283" s="35">
        <f t="shared" si="63"/>
        <v>0</v>
      </c>
      <c r="AG283" s="6"/>
      <c r="AH283" s="34"/>
      <c r="AI283" s="34"/>
      <c r="AJ283" s="35">
        <v>659</v>
      </c>
      <c r="AK283" s="35"/>
      <c r="AL283" s="35">
        <f t="shared" si="64"/>
        <v>0</v>
      </c>
      <c r="AM283" s="6">
        <v>659</v>
      </c>
      <c r="AN283" s="6"/>
      <c r="AO283" s="35">
        <f t="shared" si="65"/>
        <v>0</v>
      </c>
      <c r="AP283" s="6">
        <v>659</v>
      </c>
      <c r="AQ283" s="6"/>
      <c r="AR283" s="35">
        <f t="shared" si="66"/>
        <v>0</v>
      </c>
      <c r="AS283" s="35">
        <v>659</v>
      </c>
      <c r="AT283" s="6"/>
      <c r="AU283" s="35">
        <f t="shared" si="67"/>
        <v>0</v>
      </c>
      <c r="AV283" s="35">
        <v>659</v>
      </c>
      <c r="AW283" s="6"/>
      <c r="AX283" s="35">
        <f t="shared" si="68"/>
        <v>0</v>
      </c>
      <c r="AY283" s="6">
        <v>659</v>
      </c>
      <c r="AZ283" s="6"/>
      <c r="BA283" s="35">
        <f t="shared" si="69"/>
        <v>0</v>
      </c>
      <c r="BB283" s="6"/>
      <c r="BC283" s="6"/>
      <c r="BD283" s="6"/>
      <c r="BE283" s="35">
        <v>659</v>
      </c>
      <c r="BF283" s="35"/>
      <c r="BG283" s="6">
        <f t="shared" si="70"/>
        <v>0</v>
      </c>
      <c r="BH283" s="35">
        <v>659</v>
      </c>
      <c r="BI283" s="35"/>
      <c r="BJ283" s="35">
        <f t="shared" si="71"/>
        <v>0</v>
      </c>
      <c r="BK283" s="35">
        <v>659</v>
      </c>
      <c r="BL283" s="35"/>
      <c r="BM283" s="6">
        <f t="shared" si="72"/>
        <v>0</v>
      </c>
      <c r="BN283" s="6">
        <v>659</v>
      </c>
      <c r="BO283" s="6"/>
      <c r="BP283" s="35">
        <f t="shared" si="73"/>
        <v>0</v>
      </c>
      <c r="BQ283" s="6">
        <v>659</v>
      </c>
      <c r="BR283" s="6"/>
      <c r="BS283" s="6">
        <f t="shared" si="74"/>
        <v>0</v>
      </c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10"/>
      <c r="CZ283" s="6"/>
      <c r="DA283" s="6"/>
      <c r="DB283" s="10"/>
      <c r="DC283" s="6"/>
      <c r="DD283" s="6"/>
      <c r="DE283" s="10"/>
      <c r="DF283" s="6"/>
      <c r="DG283" s="6"/>
      <c r="DH283" s="10"/>
      <c r="DI283" s="6"/>
    </row>
    <row r="284" spans="1:113">
      <c r="A284" s="6">
        <v>280</v>
      </c>
      <c r="B284" s="6">
        <v>455</v>
      </c>
      <c r="C284" s="10"/>
      <c r="D284" s="6">
        <v>0</v>
      </c>
      <c r="E284" s="141" t="s">
        <v>422</v>
      </c>
      <c r="F284" s="141" t="s">
        <v>422</v>
      </c>
      <c r="G284" s="347" t="s">
        <v>422</v>
      </c>
      <c r="H284" s="347" t="s">
        <v>422</v>
      </c>
      <c r="I284" s="347" t="s">
        <v>422</v>
      </c>
      <c r="J284" s="347" t="s">
        <v>422</v>
      </c>
      <c r="K284" s="347" t="s">
        <v>422</v>
      </c>
      <c r="L284" s="347" t="s">
        <v>422</v>
      </c>
      <c r="M284" s="347" t="s">
        <v>422</v>
      </c>
      <c r="N284" s="347" t="s">
        <v>422</v>
      </c>
      <c r="O284" s="347" t="s">
        <v>422</v>
      </c>
      <c r="P284" s="347" t="s">
        <v>422</v>
      </c>
      <c r="Q284" s="347" t="s">
        <v>422</v>
      </c>
      <c r="R284" s="347" t="s">
        <v>422</v>
      </c>
      <c r="S284" s="347" t="s">
        <v>422</v>
      </c>
      <c r="T284" s="347" t="s">
        <v>422</v>
      </c>
      <c r="U284" s="6">
        <v>455</v>
      </c>
      <c r="V284" s="6"/>
      <c r="W284" s="35">
        <f t="shared" si="60"/>
        <v>0</v>
      </c>
      <c r="X284" s="6">
        <v>455</v>
      </c>
      <c r="Y284" s="6"/>
      <c r="Z284" s="35">
        <f t="shared" si="61"/>
        <v>0</v>
      </c>
      <c r="AA284" s="35">
        <v>455</v>
      </c>
      <c r="AB284" s="35"/>
      <c r="AC284" s="35">
        <f t="shared" si="62"/>
        <v>0</v>
      </c>
      <c r="AD284" s="6">
        <v>455</v>
      </c>
      <c r="AE284" s="6"/>
      <c r="AF284" s="35">
        <f t="shared" si="63"/>
        <v>0</v>
      </c>
      <c r="AG284" s="6"/>
      <c r="AH284" s="34"/>
      <c r="AI284" s="34"/>
      <c r="AJ284" s="35">
        <v>455</v>
      </c>
      <c r="AK284" s="35"/>
      <c r="AL284" s="35">
        <f t="shared" si="64"/>
        <v>0</v>
      </c>
      <c r="AM284" s="6">
        <v>455</v>
      </c>
      <c r="AN284" s="6"/>
      <c r="AO284" s="35">
        <f t="shared" si="65"/>
        <v>0</v>
      </c>
      <c r="AP284" s="6">
        <v>455</v>
      </c>
      <c r="AQ284" s="6"/>
      <c r="AR284" s="35">
        <f t="shared" si="66"/>
        <v>0</v>
      </c>
      <c r="AS284" s="35">
        <v>455</v>
      </c>
      <c r="AT284" s="6"/>
      <c r="AU284" s="35">
        <f t="shared" si="67"/>
        <v>0</v>
      </c>
      <c r="AV284" s="35">
        <v>455</v>
      </c>
      <c r="AW284" s="6"/>
      <c r="AX284" s="35">
        <f t="shared" si="68"/>
        <v>0</v>
      </c>
      <c r="AY284" s="6">
        <v>455</v>
      </c>
      <c r="AZ284" s="6"/>
      <c r="BA284" s="35">
        <f t="shared" si="69"/>
        <v>0</v>
      </c>
      <c r="BB284" s="6"/>
      <c r="BC284" s="6"/>
      <c r="BD284" s="6"/>
      <c r="BE284" s="35">
        <v>455</v>
      </c>
      <c r="BF284" s="35"/>
      <c r="BG284" s="6">
        <f t="shared" si="70"/>
        <v>0</v>
      </c>
      <c r="BH284" s="35">
        <v>455</v>
      </c>
      <c r="BI284" s="35"/>
      <c r="BJ284" s="35">
        <f t="shared" si="71"/>
        <v>0</v>
      </c>
      <c r="BK284" s="35">
        <v>455</v>
      </c>
      <c r="BL284" s="35"/>
      <c r="BM284" s="6">
        <f t="shared" si="72"/>
        <v>0</v>
      </c>
      <c r="BN284" s="6">
        <v>455</v>
      </c>
      <c r="BO284" s="6"/>
      <c r="BP284" s="35">
        <f t="shared" si="73"/>
        <v>0</v>
      </c>
      <c r="BQ284" s="6">
        <v>455</v>
      </c>
      <c r="BR284" s="6"/>
      <c r="BS284" s="6">
        <f t="shared" si="74"/>
        <v>0</v>
      </c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10"/>
      <c r="CZ284" s="6"/>
      <c r="DA284" s="6"/>
      <c r="DB284" s="10"/>
      <c r="DC284" s="6"/>
      <c r="DD284" s="6"/>
      <c r="DE284" s="10"/>
      <c r="DF284" s="6"/>
      <c r="DG284" s="6"/>
      <c r="DH284" s="10"/>
      <c r="DI284" s="6"/>
    </row>
    <row r="285" spans="1:113">
      <c r="A285" s="6">
        <v>281</v>
      </c>
      <c r="B285" s="6">
        <v>460</v>
      </c>
      <c r="C285" s="10"/>
      <c r="D285" s="6">
        <v>0</v>
      </c>
      <c r="E285" s="33" t="s">
        <v>422</v>
      </c>
      <c r="F285" s="33" t="s">
        <v>422</v>
      </c>
      <c r="G285" s="344" t="s">
        <v>422</v>
      </c>
      <c r="H285" s="344" t="s">
        <v>422</v>
      </c>
      <c r="I285" s="344" t="s">
        <v>422</v>
      </c>
      <c r="J285" s="344" t="s">
        <v>422</v>
      </c>
      <c r="K285" s="344" t="s">
        <v>422</v>
      </c>
      <c r="L285" s="344" t="s">
        <v>422</v>
      </c>
      <c r="M285" s="344" t="s">
        <v>422</v>
      </c>
      <c r="N285" s="344" t="s">
        <v>422</v>
      </c>
      <c r="O285" s="344" t="s">
        <v>422</v>
      </c>
      <c r="P285" s="344" t="s">
        <v>422</v>
      </c>
      <c r="Q285" s="344" t="s">
        <v>422</v>
      </c>
      <c r="R285" s="344" t="s">
        <v>422</v>
      </c>
      <c r="S285" s="344" t="s">
        <v>422</v>
      </c>
      <c r="T285" s="344" t="s">
        <v>422</v>
      </c>
      <c r="U285" s="6">
        <v>460</v>
      </c>
      <c r="V285" s="6"/>
      <c r="W285" s="35">
        <f t="shared" si="60"/>
        <v>0</v>
      </c>
      <c r="X285" s="6">
        <v>460</v>
      </c>
      <c r="Y285" s="6"/>
      <c r="Z285" s="35">
        <f t="shared" si="61"/>
        <v>0</v>
      </c>
      <c r="AA285" s="35">
        <v>460</v>
      </c>
      <c r="AB285" s="35"/>
      <c r="AC285" s="35">
        <f t="shared" si="62"/>
        <v>0</v>
      </c>
      <c r="AD285" s="6">
        <v>460</v>
      </c>
      <c r="AE285" s="6"/>
      <c r="AF285" s="35">
        <f t="shared" si="63"/>
        <v>0</v>
      </c>
      <c r="AG285" s="6"/>
      <c r="AH285" s="34"/>
      <c r="AI285" s="34"/>
      <c r="AJ285" s="35">
        <v>460</v>
      </c>
      <c r="AK285" s="35"/>
      <c r="AL285" s="35">
        <f t="shared" si="64"/>
        <v>0</v>
      </c>
      <c r="AM285" s="6">
        <v>460</v>
      </c>
      <c r="AN285" s="6"/>
      <c r="AO285" s="35">
        <f t="shared" si="65"/>
        <v>0</v>
      </c>
      <c r="AP285" s="6">
        <v>460</v>
      </c>
      <c r="AQ285" s="6"/>
      <c r="AR285" s="35">
        <f t="shared" si="66"/>
        <v>0</v>
      </c>
      <c r="AS285" s="35">
        <v>460</v>
      </c>
      <c r="AT285" s="6"/>
      <c r="AU285" s="35">
        <f t="shared" si="67"/>
        <v>0</v>
      </c>
      <c r="AV285" s="35">
        <v>460</v>
      </c>
      <c r="AW285" s="6"/>
      <c r="AX285" s="35">
        <f t="shared" si="68"/>
        <v>0</v>
      </c>
      <c r="AY285" s="6">
        <v>460</v>
      </c>
      <c r="AZ285" s="6"/>
      <c r="BA285" s="35">
        <f t="shared" si="69"/>
        <v>0</v>
      </c>
      <c r="BB285" s="6"/>
      <c r="BC285" s="6"/>
      <c r="BD285" s="6"/>
      <c r="BE285" s="35">
        <v>460</v>
      </c>
      <c r="BF285" s="35"/>
      <c r="BG285" s="6">
        <f t="shared" si="70"/>
        <v>0</v>
      </c>
      <c r="BH285" s="35">
        <v>460</v>
      </c>
      <c r="BI285" s="35"/>
      <c r="BJ285" s="35">
        <f t="shared" si="71"/>
        <v>0</v>
      </c>
      <c r="BK285" s="35">
        <v>460</v>
      </c>
      <c r="BL285" s="35"/>
      <c r="BM285" s="6">
        <f t="shared" si="72"/>
        <v>0</v>
      </c>
      <c r="BN285" s="6">
        <v>460</v>
      </c>
      <c r="BO285" s="6"/>
      <c r="BP285" s="35">
        <f t="shared" si="73"/>
        <v>0</v>
      </c>
      <c r="BQ285" s="6">
        <v>460</v>
      </c>
      <c r="BR285" s="6"/>
      <c r="BS285" s="6">
        <f t="shared" si="74"/>
        <v>0</v>
      </c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10"/>
      <c r="CZ285" s="6"/>
      <c r="DA285" s="6"/>
      <c r="DB285" s="10"/>
      <c r="DC285" s="6"/>
      <c r="DD285" s="6"/>
      <c r="DE285" s="10"/>
      <c r="DF285" s="6"/>
      <c r="DG285" s="6"/>
      <c r="DH285" s="10"/>
      <c r="DI285" s="6"/>
    </row>
    <row r="286" spans="1:113">
      <c r="A286" s="6">
        <v>282</v>
      </c>
      <c r="B286" s="6">
        <v>375</v>
      </c>
      <c r="C286" s="10"/>
      <c r="D286" s="6">
        <v>0</v>
      </c>
      <c r="E286" s="33" t="s">
        <v>422</v>
      </c>
      <c r="F286" s="33" t="s">
        <v>422</v>
      </c>
      <c r="G286" s="344" t="s">
        <v>422</v>
      </c>
      <c r="H286" s="344" t="s">
        <v>422</v>
      </c>
      <c r="I286" s="344" t="s">
        <v>422</v>
      </c>
      <c r="J286" s="344" t="s">
        <v>422</v>
      </c>
      <c r="K286" s="344" t="s">
        <v>422</v>
      </c>
      <c r="L286" s="344" t="s">
        <v>422</v>
      </c>
      <c r="M286" s="344" t="s">
        <v>422</v>
      </c>
      <c r="N286" s="344" t="s">
        <v>422</v>
      </c>
      <c r="O286" s="344" t="s">
        <v>422</v>
      </c>
      <c r="P286" s="344" t="s">
        <v>422</v>
      </c>
      <c r="Q286" s="344" t="s">
        <v>422</v>
      </c>
      <c r="R286" s="344" t="s">
        <v>422</v>
      </c>
      <c r="S286" s="344" t="s">
        <v>422</v>
      </c>
      <c r="T286" s="344" t="s">
        <v>422</v>
      </c>
      <c r="U286" s="6">
        <v>375</v>
      </c>
      <c r="V286" s="6"/>
      <c r="W286" s="35">
        <f t="shared" si="60"/>
        <v>0</v>
      </c>
      <c r="X286" s="6">
        <v>375</v>
      </c>
      <c r="Y286" s="6"/>
      <c r="Z286" s="35">
        <f t="shared" si="61"/>
        <v>0</v>
      </c>
      <c r="AA286" s="35">
        <v>375</v>
      </c>
      <c r="AB286" s="35"/>
      <c r="AC286" s="35">
        <f t="shared" si="62"/>
        <v>0</v>
      </c>
      <c r="AD286" s="6">
        <v>375</v>
      </c>
      <c r="AE286" s="6"/>
      <c r="AF286" s="35">
        <f t="shared" si="63"/>
        <v>0</v>
      </c>
      <c r="AG286" s="6"/>
      <c r="AH286" s="34"/>
      <c r="AI286" s="34"/>
      <c r="AJ286" s="35">
        <v>375</v>
      </c>
      <c r="AK286" s="35"/>
      <c r="AL286" s="35">
        <f t="shared" si="64"/>
        <v>0</v>
      </c>
      <c r="AM286" s="6">
        <v>375</v>
      </c>
      <c r="AN286" s="6"/>
      <c r="AO286" s="35">
        <f t="shared" si="65"/>
        <v>0</v>
      </c>
      <c r="AP286" s="6">
        <v>375</v>
      </c>
      <c r="AQ286" s="6"/>
      <c r="AR286" s="35">
        <f t="shared" si="66"/>
        <v>0</v>
      </c>
      <c r="AS286" s="35">
        <v>375</v>
      </c>
      <c r="AT286" s="6"/>
      <c r="AU286" s="35">
        <f t="shared" si="67"/>
        <v>0</v>
      </c>
      <c r="AV286" s="35">
        <v>375</v>
      </c>
      <c r="AW286" s="6"/>
      <c r="AX286" s="35">
        <f t="shared" si="68"/>
        <v>0</v>
      </c>
      <c r="AY286" s="6">
        <v>375</v>
      </c>
      <c r="AZ286" s="6"/>
      <c r="BA286" s="35">
        <f t="shared" si="69"/>
        <v>0</v>
      </c>
      <c r="BB286" s="6"/>
      <c r="BC286" s="6"/>
      <c r="BD286" s="6"/>
      <c r="BE286" s="35">
        <v>375</v>
      </c>
      <c r="BF286" s="35"/>
      <c r="BG286" s="6">
        <f t="shared" si="70"/>
        <v>0</v>
      </c>
      <c r="BH286" s="35">
        <v>375</v>
      </c>
      <c r="BI286" s="35"/>
      <c r="BJ286" s="35">
        <f t="shared" si="71"/>
        <v>0</v>
      </c>
      <c r="BK286" s="35">
        <v>375</v>
      </c>
      <c r="BL286" s="35"/>
      <c r="BM286" s="6">
        <f t="shared" si="72"/>
        <v>0</v>
      </c>
      <c r="BN286" s="6">
        <v>375</v>
      </c>
      <c r="BO286" s="6"/>
      <c r="BP286" s="35">
        <f t="shared" si="73"/>
        <v>0</v>
      </c>
      <c r="BQ286" s="6">
        <v>375</v>
      </c>
      <c r="BR286" s="6"/>
      <c r="BS286" s="6">
        <f t="shared" si="74"/>
        <v>0</v>
      </c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10"/>
      <c r="CZ286" s="6"/>
      <c r="DA286" s="6"/>
      <c r="DB286" s="10"/>
      <c r="DC286" s="6"/>
      <c r="DD286" s="6"/>
      <c r="DE286" s="10"/>
      <c r="DF286" s="6"/>
      <c r="DG286" s="6"/>
      <c r="DH286" s="10"/>
      <c r="DI286" s="6"/>
    </row>
    <row r="287" spans="1:113">
      <c r="A287" s="6">
        <v>283</v>
      </c>
      <c r="B287" s="6">
        <v>108</v>
      </c>
      <c r="C287" s="10"/>
      <c r="D287" s="6">
        <v>0</v>
      </c>
      <c r="E287" s="33" t="s">
        <v>422</v>
      </c>
      <c r="F287" s="33" t="s">
        <v>422</v>
      </c>
      <c r="G287" s="344" t="s">
        <v>422</v>
      </c>
      <c r="H287" s="344" t="s">
        <v>422</v>
      </c>
      <c r="I287" s="344" t="s">
        <v>422</v>
      </c>
      <c r="J287" s="344" t="s">
        <v>422</v>
      </c>
      <c r="K287" s="344" t="s">
        <v>422</v>
      </c>
      <c r="L287" s="344" t="s">
        <v>422</v>
      </c>
      <c r="M287" s="344" t="s">
        <v>422</v>
      </c>
      <c r="N287" s="344" t="s">
        <v>422</v>
      </c>
      <c r="O287" s="344" t="s">
        <v>422</v>
      </c>
      <c r="P287" s="344" t="s">
        <v>422</v>
      </c>
      <c r="Q287" s="344" t="s">
        <v>422</v>
      </c>
      <c r="R287" s="344" t="s">
        <v>422</v>
      </c>
      <c r="S287" s="344" t="s">
        <v>422</v>
      </c>
      <c r="T287" s="344" t="s">
        <v>422</v>
      </c>
      <c r="U287" s="6">
        <v>108</v>
      </c>
      <c r="V287" s="6"/>
      <c r="W287" s="35">
        <f t="shared" si="60"/>
        <v>0</v>
      </c>
      <c r="X287" s="6">
        <v>108</v>
      </c>
      <c r="Y287" s="6"/>
      <c r="Z287" s="35">
        <f t="shared" si="61"/>
        <v>0</v>
      </c>
      <c r="AA287" s="35">
        <v>108</v>
      </c>
      <c r="AB287" s="35"/>
      <c r="AC287" s="35">
        <f t="shared" si="62"/>
        <v>0</v>
      </c>
      <c r="AD287" s="6">
        <v>108</v>
      </c>
      <c r="AE287" s="6"/>
      <c r="AF287" s="35">
        <f t="shared" si="63"/>
        <v>0</v>
      </c>
      <c r="AG287" s="6"/>
      <c r="AH287" s="34"/>
      <c r="AI287" s="34"/>
      <c r="AJ287" s="35">
        <v>108</v>
      </c>
      <c r="AK287" s="35"/>
      <c r="AL287" s="35">
        <f t="shared" si="64"/>
        <v>0</v>
      </c>
      <c r="AM287" s="6">
        <v>108</v>
      </c>
      <c r="AN287" s="6"/>
      <c r="AO287" s="35">
        <f t="shared" si="65"/>
        <v>0</v>
      </c>
      <c r="AP287" s="6">
        <v>108</v>
      </c>
      <c r="AQ287" s="6"/>
      <c r="AR287" s="35">
        <f t="shared" si="66"/>
        <v>0</v>
      </c>
      <c r="AS287" s="35">
        <v>108</v>
      </c>
      <c r="AT287" s="6"/>
      <c r="AU287" s="35">
        <f t="shared" si="67"/>
        <v>0</v>
      </c>
      <c r="AV287" s="35">
        <v>108</v>
      </c>
      <c r="AW287" s="6"/>
      <c r="AX287" s="35">
        <f t="shared" si="68"/>
        <v>0</v>
      </c>
      <c r="AY287" s="6">
        <v>108</v>
      </c>
      <c r="AZ287" s="6"/>
      <c r="BA287" s="35">
        <f t="shared" si="69"/>
        <v>0</v>
      </c>
      <c r="BB287" s="6"/>
      <c r="BC287" s="6"/>
      <c r="BD287" s="6"/>
      <c r="BE287" s="35">
        <v>108</v>
      </c>
      <c r="BF287" s="35"/>
      <c r="BG287" s="6">
        <f t="shared" si="70"/>
        <v>0</v>
      </c>
      <c r="BH287" s="35">
        <v>108</v>
      </c>
      <c r="BI287" s="35"/>
      <c r="BJ287" s="35">
        <f t="shared" si="71"/>
        <v>0</v>
      </c>
      <c r="BK287" s="35">
        <v>108</v>
      </c>
      <c r="BL287" s="35"/>
      <c r="BM287" s="6">
        <f t="shared" si="72"/>
        <v>0</v>
      </c>
      <c r="BN287" s="6">
        <v>108</v>
      </c>
      <c r="BO287" s="6"/>
      <c r="BP287" s="35">
        <f t="shared" si="73"/>
        <v>0</v>
      </c>
      <c r="BQ287" s="6">
        <v>108</v>
      </c>
      <c r="BR287" s="6"/>
      <c r="BS287" s="6">
        <f t="shared" si="74"/>
        <v>0</v>
      </c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10"/>
      <c r="CZ287" s="6"/>
      <c r="DA287" s="6"/>
      <c r="DB287" s="10"/>
      <c r="DC287" s="6"/>
      <c r="DD287" s="6"/>
      <c r="DE287" s="10"/>
      <c r="DF287" s="6"/>
      <c r="DG287" s="6"/>
      <c r="DH287" s="10"/>
      <c r="DI287" s="6"/>
    </row>
    <row r="288" spans="1:113">
      <c r="A288" s="6">
        <v>284</v>
      </c>
      <c r="B288" s="6">
        <v>154</v>
      </c>
      <c r="C288" s="10"/>
      <c r="D288" s="6">
        <v>0</v>
      </c>
      <c r="E288" s="33" t="s">
        <v>422</v>
      </c>
      <c r="F288" s="33" t="s">
        <v>422</v>
      </c>
      <c r="G288" s="344" t="s">
        <v>422</v>
      </c>
      <c r="H288" s="344" t="s">
        <v>422</v>
      </c>
      <c r="I288" s="344" t="s">
        <v>422</v>
      </c>
      <c r="J288" s="344" t="s">
        <v>422</v>
      </c>
      <c r="K288" s="344" t="s">
        <v>422</v>
      </c>
      <c r="L288" s="344" t="s">
        <v>422</v>
      </c>
      <c r="M288" s="344" t="s">
        <v>422</v>
      </c>
      <c r="N288" s="344" t="s">
        <v>422</v>
      </c>
      <c r="O288" s="344" t="s">
        <v>422</v>
      </c>
      <c r="P288" s="344" t="s">
        <v>422</v>
      </c>
      <c r="Q288" s="344" t="s">
        <v>422</v>
      </c>
      <c r="R288" s="344" t="s">
        <v>422</v>
      </c>
      <c r="S288" s="344" t="s">
        <v>422</v>
      </c>
      <c r="T288" s="344" t="s">
        <v>422</v>
      </c>
      <c r="U288" s="6">
        <v>154</v>
      </c>
      <c r="V288" s="6"/>
      <c r="W288" s="35">
        <f t="shared" si="60"/>
        <v>0</v>
      </c>
      <c r="X288" s="6">
        <v>154</v>
      </c>
      <c r="Y288" s="6"/>
      <c r="Z288" s="35">
        <f t="shared" si="61"/>
        <v>0</v>
      </c>
      <c r="AA288" s="35">
        <v>154</v>
      </c>
      <c r="AB288" s="35"/>
      <c r="AC288" s="35">
        <f t="shared" si="62"/>
        <v>0</v>
      </c>
      <c r="AD288" s="6">
        <v>154</v>
      </c>
      <c r="AE288" s="6"/>
      <c r="AF288" s="35">
        <f t="shared" si="63"/>
        <v>0</v>
      </c>
      <c r="AG288" s="6"/>
      <c r="AH288" s="34"/>
      <c r="AI288" s="34"/>
      <c r="AJ288" s="35">
        <v>154</v>
      </c>
      <c r="AK288" s="35"/>
      <c r="AL288" s="35">
        <f t="shared" si="64"/>
        <v>0</v>
      </c>
      <c r="AM288" s="6">
        <v>154</v>
      </c>
      <c r="AN288" s="6"/>
      <c r="AO288" s="35">
        <f t="shared" si="65"/>
        <v>0</v>
      </c>
      <c r="AP288" s="6">
        <v>154</v>
      </c>
      <c r="AQ288" s="6"/>
      <c r="AR288" s="35">
        <f t="shared" si="66"/>
        <v>0</v>
      </c>
      <c r="AS288" s="35">
        <v>154</v>
      </c>
      <c r="AT288" s="6"/>
      <c r="AU288" s="35">
        <f t="shared" si="67"/>
        <v>0</v>
      </c>
      <c r="AV288" s="35">
        <v>154</v>
      </c>
      <c r="AW288" s="6"/>
      <c r="AX288" s="35">
        <f t="shared" si="68"/>
        <v>0</v>
      </c>
      <c r="AY288" s="6">
        <v>154</v>
      </c>
      <c r="AZ288" s="6"/>
      <c r="BA288" s="35">
        <f t="shared" si="69"/>
        <v>0</v>
      </c>
      <c r="BB288" s="6"/>
      <c r="BC288" s="6"/>
      <c r="BD288" s="6"/>
      <c r="BE288" s="35">
        <v>154</v>
      </c>
      <c r="BF288" s="35"/>
      <c r="BG288" s="6">
        <f t="shared" si="70"/>
        <v>0</v>
      </c>
      <c r="BH288" s="35">
        <v>154</v>
      </c>
      <c r="BI288" s="35"/>
      <c r="BJ288" s="35">
        <f t="shared" si="71"/>
        <v>0</v>
      </c>
      <c r="BK288" s="35">
        <v>154</v>
      </c>
      <c r="BL288" s="35"/>
      <c r="BM288" s="6">
        <f t="shared" si="72"/>
        <v>0</v>
      </c>
      <c r="BN288" s="6">
        <v>154</v>
      </c>
      <c r="BO288" s="6"/>
      <c r="BP288" s="35">
        <f t="shared" si="73"/>
        <v>0</v>
      </c>
      <c r="BQ288" s="6">
        <v>154</v>
      </c>
      <c r="BR288" s="6"/>
      <c r="BS288" s="6">
        <f t="shared" si="74"/>
        <v>0</v>
      </c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10"/>
      <c r="CZ288" s="6"/>
      <c r="DA288" s="6"/>
      <c r="DB288" s="10"/>
      <c r="DC288" s="6"/>
      <c r="DD288" s="6"/>
      <c r="DE288" s="10"/>
      <c r="DF288" s="6"/>
      <c r="DG288" s="6"/>
      <c r="DH288" s="10"/>
      <c r="DI288" s="6"/>
    </row>
    <row r="289" spans="1:113">
      <c r="A289" s="6">
        <v>285</v>
      </c>
      <c r="B289" s="6">
        <v>214</v>
      </c>
      <c r="C289" s="10"/>
      <c r="D289" s="6">
        <v>0</v>
      </c>
      <c r="E289" s="33" t="s">
        <v>422</v>
      </c>
      <c r="F289" s="33" t="s">
        <v>422</v>
      </c>
      <c r="G289" s="344" t="s">
        <v>422</v>
      </c>
      <c r="H289" s="344" t="s">
        <v>422</v>
      </c>
      <c r="I289" s="344" t="s">
        <v>422</v>
      </c>
      <c r="J289" s="344" t="s">
        <v>422</v>
      </c>
      <c r="K289" s="344" t="s">
        <v>422</v>
      </c>
      <c r="L289" s="344" t="s">
        <v>422</v>
      </c>
      <c r="M289" s="344" t="s">
        <v>422</v>
      </c>
      <c r="N289" s="344" t="s">
        <v>422</v>
      </c>
      <c r="O289" s="344" t="s">
        <v>422</v>
      </c>
      <c r="P289" s="344" t="s">
        <v>422</v>
      </c>
      <c r="Q289" s="344" t="s">
        <v>422</v>
      </c>
      <c r="R289" s="344" t="s">
        <v>422</v>
      </c>
      <c r="S289" s="344" t="s">
        <v>422</v>
      </c>
      <c r="T289" s="344" t="s">
        <v>422</v>
      </c>
      <c r="U289" s="6">
        <v>214</v>
      </c>
      <c r="V289" s="6"/>
      <c r="W289" s="35">
        <f t="shared" si="60"/>
        <v>0</v>
      </c>
      <c r="X289" s="6">
        <v>214</v>
      </c>
      <c r="Y289" s="6"/>
      <c r="Z289" s="35">
        <f t="shared" si="61"/>
        <v>0</v>
      </c>
      <c r="AA289" s="35">
        <v>214</v>
      </c>
      <c r="AB289" s="35"/>
      <c r="AC289" s="35">
        <f t="shared" si="62"/>
        <v>0</v>
      </c>
      <c r="AD289" s="6">
        <v>214</v>
      </c>
      <c r="AE289" s="6"/>
      <c r="AF289" s="35">
        <f t="shared" si="63"/>
        <v>0</v>
      </c>
      <c r="AG289" s="6"/>
      <c r="AH289" s="34"/>
      <c r="AI289" s="34"/>
      <c r="AJ289" s="35">
        <v>214</v>
      </c>
      <c r="AK289" s="35"/>
      <c r="AL289" s="35">
        <f t="shared" si="64"/>
        <v>0</v>
      </c>
      <c r="AM289" s="6">
        <v>214</v>
      </c>
      <c r="AN289" s="6"/>
      <c r="AO289" s="35">
        <f t="shared" si="65"/>
        <v>0</v>
      </c>
      <c r="AP289" s="6">
        <v>214</v>
      </c>
      <c r="AQ289" s="6"/>
      <c r="AR289" s="35">
        <f t="shared" si="66"/>
        <v>0</v>
      </c>
      <c r="AS289" s="35">
        <v>214</v>
      </c>
      <c r="AT289" s="6"/>
      <c r="AU289" s="35">
        <f t="shared" si="67"/>
        <v>0</v>
      </c>
      <c r="AV289" s="35">
        <v>214</v>
      </c>
      <c r="AW289" s="6"/>
      <c r="AX289" s="35">
        <f t="shared" si="68"/>
        <v>0</v>
      </c>
      <c r="AY289" s="6">
        <v>214</v>
      </c>
      <c r="AZ289" s="6"/>
      <c r="BA289" s="35">
        <f t="shared" si="69"/>
        <v>0</v>
      </c>
      <c r="BB289" s="6"/>
      <c r="BC289" s="6"/>
      <c r="BD289" s="6"/>
      <c r="BE289" s="35">
        <v>214</v>
      </c>
      <c r="BF289" s="35"/>
      <c r="BG289" s="6">
        <f t="shared" si="70"/>
        <v>0</v>
      </c>
      <c r="BH289" s="35">
        <v>214</v>
      </c>
      <c r="BI289" s="35"/>
      <c r="BJ289" s="35">
        <f t="shared" si="71"/>
        <v>0</v>
      </c>
      <c r="BK289" s="35">
        <v>214</v>
      </c>
      <c r="BL289" s="35"/>
      <c r="BM289" s="6">
        <f t="shared" si="72"/>
        <v>0</v>
      </c>
      <c r="BN289" s="6">
        <v>214</v>
      </c>
      <c r="BO289" s="6"/>
      <c r="BP289" s="35">
        <f t="shared" si="73"/>
        <v>0</v>
      </c>
      <c r="BQ289" s="6">
        <v>214</v>
      </c>
      <c r="BR289" s="6"/>
      <c r="BS289" s="6">
        <f t="shared" si="74"/>
        <v>0</v>
      </c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10"/>
      <c r="CZ289" s="6"/>
      <c r="DA289" s="6"/>
      <c r="DB289" s="10"/>
      <c r="DC289" s="6"/>
      <c r="DD289" s="6"/>
      <c r="DE289" s="10"/>
      <c r="DF289" s="6"/>
      <c r="DG289" s="6"/>
      <c r="DH289" s="10"/>
      <c r="DI289" s="6"/>
    </row>
    <row r="290" spans="1:113">
      <c r="A290" s="6">
        <v>286</v>
      </c>
      <c r="B290" s="6">
        <v>227</v>
      </c>
      <c r="C290" s="10"/>
      <c r="D290" s="6">
        <v>0</v>
      </c>
      <c r="E290" s="33" t="s">
        <v>422</v>
      </c>
      <c r="F290" s="33" t="s">
        <v>422</v>
      </c>
      <c r="G290" s="344" t="s">
        <v>422</v>
      </c>
      <c r="H290" s="344" t="s">
        <v>422</v>
      </c>
      <c r="I290" s="344" t="s">
        <v>422</v>
      </c>
      <c r="J290" s="344" t="s">
        <v>422</v>
      </c>
      <c r="K290" s="344" t="s">
        <v>422</v>
      </c>
      <c r="L290" s="344" t="s">
        <v>422</v>
      </c>
      <c r="M290" s="344" t="s">
        <v>422</v>
      </c>
      <c r="N290" s="344" t="s">
        <v>422</v>
      </c>
      <c r="O290" s="344" t="s">
        <v>422</v>
      </c>
      <c r="P290" s="344" t="s">
        <v>422</v>
      </c>
      <c r="Q290" s="344" t="s">
        <v>422</v>
      </c>
      <c r="R290" s="344" t="s">
        <v>422</v>
      </c>
      <c r="S290" s="344" t="s">
        <v>422</v>
      </c>
      <c r="T290" s="344" t="s">
        <v>422</v>
      </c>
      <c r="U290" s="6">
        <v>227</v>
      </c>
      <c r="V290" s="6"/>
      <c r="W290" s="35">
        <f t="shared" si="60"/>
        <v>0</v>
      </c>
      <c r="X290" s="6">
        <v>227</v>
      </c>
      <c r="Y290" s="6"/>
      <c r="Z290" s="35">
        <f t="shared" si="61"/>
        <v>0</v>
      </c>
      <c r="AA290" s="35">
        <v>227</v>
      </c>
      <c r="AB290" s="35"/>
      <c r="AC290" s="35">
        <f t="shared" si="62"/>
        <v>0</v>
      </c>
      <c r="AD290" s="6">
        <v>227</v>
      </c>
      <c r="AE290" s="6"/>
      <c r="AF290" s="35">
        <f t="shared" si="63"/>
        <v>0</v>
      </c>
      <c r="AG290" s="6"/>
      <c r="AH290" s="34"/>
      <c r="AI290" s="34"/>
      <c r="AJ290" s="35">
        <v>227</v>
      </c>
      <c r="AK290" s="35"/>
      <c r="AL290" s="35">
        <f t="shared" si="64"/>
        <v>0</v>
      </c>
      <c r="AM290" s="6">
        <v>227</v>
      </c>
      <c r="AN290" s="6"/>
      <c r="AO290" s="35">
        <f t="shared" si="65"/>
        <v>0</v>
      </c>
      <c r="AP290" s="6">
        <v>227</v>
      </c>
      <c r="AQ290" s="6"/>
      <c r="AR290" s="35">
        <f t="shared" si="66"/>
        <v>0</v>
      </c>
      <c r="AS290" s="35">
        <v>227</v>
      </c>
      <c r="AT290" s="6"/>
      <c r="AU290" s="35">
        <f t="shared" si="67"/>
        <v>0</v>
      </c>
      <c r="AV290" s="35">
        <v>227</v>
      </c>
      <c r="AW290" s="6"/>
      <c r="AX290" s="35">
        <f t="shared" si="68"/>
        <v>0</v>
      </c>
      <c r="AY290" s="6">
        <v>227</v>
      </c>
      <c r="AZ290" s="6"/>
      <c r="BA290" s="35">
        <f t="shared" si="69"/>
        <v>0</v>
      </c>
      <c r="BB290" s="6"/>
      <c r="BC290" s="6"/>
      <c r="BD290" s="6"/>
      <c r="BE290" s="35">
        <v>227</v>
      </c>
      <c r="BF290" s="35"/>
      <c r="BG290" s="6">
        <f t="shared" si="70"/>
        <v>0</v>
      </c>
      <c r="BH290" s="35">
        <v>227</v>
      </c>
      <c r="BI290" s="35"/>
      <c r="BJ290" s="35">
        <f t="shared" si="71"/>
        <v>0</v>
      </c>
      <c r="BK290" s="35">
        <v>227</v>
      </c>
      <c r="BL290" s="35"/>
      <c r="BM290" s="6">
        <f t="shared" si="72"/>
        <v>0</v>
      </c>
      <c r="BN290" s="6">
        <v>227</v>
      </c>
      <c r="BO290" s="6"/>
      <c r="BP290" s="35">
        <f t="shared" si="73"/>
        <v>0</v>
      </c>
      <c r="BQ290" s="6">
        <v>227</v>
      </c>
      <c r="BR290" s="6"/>
      <c r="BS290" s="6">
        <f t="shared" si="74"/>
        <v>0</v>
      </c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10"/>
      <c r="CZ290" s="6"/>
      <c r="DA290" s="6"/>
      <c r="DB290" s="10"/>
      <c r="DC290" s="6"/>
      <c r="DD290" s="6"/>
      <c r="DE290" s="10"/>
      <c r="DF290" s="6"/>
      <c r="DG290" s="6"/>
      <c r="DH290" s="10"/>
      <c r="DI290" s="6"/>
    </row>
    <row r="291" spans="1:113">
      <c r="A291" s="6">
        <v>287</v>
      </c>
      <c r="B291" s="6">
        <v>709</v>
      </c>
      <c r="C291" s="10"/>
      <c r="D291" s="6">
        <v>0</v>
      </c>
      <c r="E291" s="33" t="s">
        <v>422</v>
      </c>
      <c r="F291" s="33" t="s">
        <v>422</v>
      </c>
      <c r="G291" s="344" t="s">
        <v>422</v>
      </c>
      <c r="H291" s="344" t="s">
        <v>422</v>
      </c>
      <c r="I291" s="344" t="s">
        <v>422</v>
      </c>
      <c r="J291" s="344" t="s">
        <v>422</v>
      </c>
      <c r="K291" s="344" t="s">
        <v>422</v>
      </c>
      <c r="L291" s="344" t="s">
        <v>422</v>
      </c>
      <c r="M291" s="344" t="s">
        <v>422</v>
      </c>
      <c r="N291" s="344" t="s">
        <v>422</v>
      </c>
      <c r="O291" s="344" t="s">
        <v>422</v>
      </c>
      <c r="P291" s="344" t="s">
        <v>422</v>
      </c>
      <c r="Q291" s="344" t="s">
        <v>422</v>
      </c>
      <c r="R291" s="344" t="s">
        <v>422</v>
      </c>
      <c r="S291" s="344" t="s">
        <v>422</v>
      </c>
      <c r="T291" s="344" t="s">
        <v>422</v>
      </c>
      <c r="U291" s="6">
        <v>709</v>
      </c>
      <c r="V291" s="6"/>
      <c r="W291" s="35">
        <f t="shared" si="60"/>
        <v>0</v>
      </c>
      <c r="X291" s="6">
        <v>709</v>
      </c>
      <c r="Y291" s="6"/>
      <c r="Z291" s="35">
        <f t="shared" si="61"/>
        <v>0</v>
      </c>
      <c r="AA291" s="35">
        <v>709</v>
      </c>
      <c r="AB291" s="35"/>
      <c r="AC291" s="35">
        <f t="shared" si="62"/>
        <v>0</v>
      </c>
      <c r="AD291" s="6">
        <v>709</v>
      </c>
      <c r="AE291" s="6"/>
      <c r="AF291" s="35">
        <f t="shared" si="63"/>
        <v>0</v>
      </c>
      <c r="AG291" s="6"/>
      <c r="AH291" s="34"/>
      <c r="AI291" s="34"/>
      <c r="AJ291" s="35">
        <v>709</v>
      </c>
      <c r="AK291" s="35"/>
      <c r="AL291" s="35">
        <f t="shared" si="64"/>
        <v>0</v>
      </c>
      <c r="AM291" s="6">
        <v>709</v>
      </c>
      <c r="AN291" s="6"/>
      <c r="AO291" s="35">
        <f t="shared" si="65"/>
        <v>0</v>
      </c>
      <c r="AP291" s="6">
        <v>709</v>
      </c>
      <c r="AQ291" s="6"/>
      <c r="AR291" s="35">
        <f t="shared" si="66"/>
        <v>0</v>
      </c>
      <c r="AS291" s="35">
        <v>709</v>
      </c>
      <c r="AT291" s="6"/>
      <c r="AU291" s="35">
        <f t="shared" si="67"/>
        <v>0</v>
      </c>
      <c r="AV291" s="35">
        <v>709</v>
      </c>
      <c r="AW291" s="6"/>
      <c r="AX291" s="35">
        <f t="shared" si="68"/>
        <v>0</v>
      </c>
      <c r="AY291" s="6">
        <v>709</v>
      </c>
      <c r="AZ291" s="6"/>
      <c r="BA291" s="35">
        <f t="shared" si="69"/>
        <v>0</v>
      </c>
      <c r="BB291" s="6"/>
      <c r="BC291" s="6"/>
      <c r="BD291" s="6"/>
      <c r="BE291" s="35">
        <v>709</v>
      </c>
      <c r="BF291" s="35"/>
      <c r="BG291" s="6">
        <f t="shared" si="70"/>
        <v>0</v>
      </c>
      <c r="BH291" s="35">
        <v>709</v>
      </c>
      <c r="BI291" s="35"/>
      <c r="BJ291" s="35">
        <f t="shared" si="71"/>
        <v>0</v>
      </c>
      <c r="BK291" s="35">
        <v>709</v>
      </c>
      <c r="BL291" s="35"/>
      <c r="BM291" s="6">
        <f t="shared" si="72"/>
        <v>0</v>
      </c>
      <c r="BN291" s="6">
        <v>709</v>
      </c>
      <c r="BO291" s="6"/>
      <c r="BP291" s="35">
        <f t="shared" si="73"/>
        <v>0</v>
      </c>
      <c r="BQ291" s="6">
        <v>709</v>
      </c>
      <c r="BR291" s="6"/>
      <c r="BS291" s="6">
        <f t="shared" si="74"/>
        <v>0</v>
      </c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10"/>
      <c r="CZ291" s="6"/>
      <c r="DA291" s="6"/>
      <c r="DB291" s="10"/>
      <c r="DC291" s="6"/>
      <c r="DD291" s="6"/>
      <c r="DE291" s="10"/>
      <c r="DF291" s="6"/>
      <c r="DG291" s="6"/>
      <c r="DH291" s="10"/>
      <c r="DI291" s="6"/>
    </row>
    <row r="292" spans="1:113">
      <c r="A292" s="6">
        <v>288</v>
      </c>
      <c r="B292" s="6">
        <v>659</v>
      </c>
      <c r="C292" s="10"/>
      <c r="D292" s="6">
        <v>0</v>
      </c>
      <c r="E292" s="33" t="s">
        <v>422</v>
      </c>
      <c r="F292" s="33" t="s">
        <v>422</v>
      </c>
      <c r="G292" s="344" t="s">
        <v>422</v>
      </c>
      <c r="H292" s="344" t="s">
        <v>422</v>
      </c>
      <c r="I292" s="344" t="s">
        <v>422</v>
      </c>
      <c r="J292" s="344" t="s">
        <v>422</v>
      </c>
      <c r="K292" s="344" t="s">
        <v>422</v>
      </c>
      <c r="L292" s="344" t="s">
        <v>422</v>
      </c>
      <c r="M292" s="344" t="s">
        <v>422</v>
      </c>
      <c r="N292" s="344" t="s">
        <v>422</v>
      </c>
      <c r="O292" s="344" t="s">
        <v>422</v>
      </c>
      <c r="P292" s="344" t="s">
        <v>422</v>
      </c>
      <c r="Q292" s="344" t="s">
        <v>422</v>
      </c>
      <c r="R292" s="344" t="s">
        <v>422</v>
      </c>
      <c r="S292" s="344" t="s">
        <v>422</v>
      </c>
      <c r="T292" s="344" t="s">
        <v>422</v>
      </c>
      <c r="U292" s="6">
        <v>659</v>
      </c>
      <c r="V292" s="6"/>
      <c r="W292" s="35">
        <f t="shared" si="60"/>
        <v>0</v>
      </c>
      <c r="X292" s="6">
        <v>659</v>
      </c>
      <c r="Y292" s="6"/>
      <c r="Z292" s="35">
        <f t="shared" si="61"/>
        <v>0</v>
      </c>
      <c r="AA292" s="35">
        <v>659</v>
      </c>
      <c r="AB292" s="35"/>
      <c r="AC292" s="35">
        <f t="shared" si="62"/>
        <v>0</v>
      </c>
      <c r="AD292" s="6">
        <v>659</v>
      </c>
      <c r="AE292" s="6"/>
      <c r="AF292" s="35">
        <f t="shared" si="63"/>
        <v>0</v>
      </c>
      <c r="AG292" s="6"/>
      <c r="AH292" s="34"/>
      <c r="AI292" s="34"/>
      <c r="AJ292" s="35">
        <v>659</v>
      </c>
      <c r="AK292" s="35"/>
      <c r="AL292" s="35">
        <f t="shared" si="64"/>
        <v>0</v>
      </c>
      <c r="AM292" s="6">
        <v>659</v>
      </c>
      <c r="AN292" s="6"/>
      <c r="AO292" s="35">
        <f t="shared" si="65"/>
        <v>0</v>
      </c>
      <c r="AP292" s="6">
        <v>659</v>
      </c>
      <c r="AQ292" s="6"/>
      <c r="AR292" s="35">
        <f t="shared" si="66"/>
        <v>0</v>
      </c>
      <c r="AS292" s="35">
        <v>659</v>
      </c>
      <c r="AT292" s="6"/>
      <c r="AU292" s="35">
        <f t="shared" si="67"/>
        <v>0</v>
      </c>
      <c r="AV292" s="35">
        <v>659</v>
      </c>
      <c r="AW292" s="6"/>
      <c r="AX292" s="35">
        <f t="shared" si="68"/>
        <v>0</v>
      </c>
      <c r="AY292" s="6">
        <v>659</v>
      </c>
      <c r="AZ292" s="6"/>
      <c r="BA292" s="35">
        <f t="shared" si="69"/>
        <v>0</v>
      </c>
      <c r="BB292" s="6"/>
      <c r="BC292" s="6"/>
      <c r="BD292" s="6"/>
      <c r="BE292" s="35">
        <v>659</v>
      </c>
      <c r="BF292" s="35"/>
      <c r="BG292" s="6">
        <f t="shared" si="70"/>
        <v>0</v>
      </c>
      <c r="BH292" s="35">
        <v>659</v>
      </c>
      <c r="BI292" s="35"/>
      <c r="BJ292" s="35">
        <f t="shared" si="71"/>
        <v>0</v>
      </c>
      <c r="BK292" s="35">
        <v>659</v>
      </c>
      <c r="BL292" s="35"/>
      <c r="BM292" s="6">
        <f t="shared" si="72"/>
        <v>0</v>
      </c>
      <c r="BN292" s="6">
        <v>659</v>
      </c>
      <c r="BO292" s="6"/>
      <c r="BP292" s="35">
        <f t="shared" si="73"/>
        <v>0</v>
      </c>
      <c r="BQ292" s="6">
        <v>659</v>
      </c>
      <c r="BR292" s="6"/>
      <c r="BS292" s="6">
        <f t="shared" si="74"/>
        <v>0</v>
      </c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10"/>
      <c r="CZ292" s="6"/>
      <c r="DA292" s="6"/>
      <c r="DB292" s="10"/>
      <c r="DC292" s="6"/>
      <c r="DD292" s="6"/>
      <c r="DE292" s="10"/>
      <c r="DF292" s="6"/>
      <c r="DG292" s="6"/>
      <c r="DH292" s="10"/>
      <c r="DI292" s="6"/>
    </row>
    <row r="293" spans="1:113">
      <c r="A293" s="6">
        <v>319</v>
      </c>
      <c r="B293" s="6">
        <v>382</v>
      </c>
      <c r="C293" s="10"/>
      <c r="D293" s="6">
        <v>0</v>
      </c>
      <c r="E293" s="33" t="s">
        <v>108</v>
      </c>
      <c r="F293" s="33" t="s">
        <v>108</v>
      </c>
      <c r="G293" s="344" t="s">
        <v>108</v>
      </c>
      <c r="H293" s="344" t="s">
        <v>108</v>
      </c>
      <c r="I293" s="344" t="s">
        <v>108</v>
      </c>
      <c r="J293" s="344" t="s">
        <v>108</v>
      </c>
      <c r="K293" s="344" t="s">
        <v>108</v>
      </c>
      <c r="L293" s="344"/>
      <c r="M293" s="344"/>
      <c r="N293" s="344"/>
      <c r="O293" s="344"/>
      <c r="P293" s="344"/>
      <c r="Q293" s="344"/>
      <c r="R293" s="344"/>
      <c r="S293" s="344"/>
      <c r="T293" s="344"/>
      <c r="U293" s="6">
        <v>382</v>
      </c>
      <c r="V293" s="6"/>
      <c r="W293" s="35">
        <f t="shared" si="60"/>
        <v>0</v>
      </c>
      <c r="X293" s="6">
        <v>382</v>
      </c>
      <c r="Y293" s="6"/>
      <c r="Z293" s="35">
        <f t="shared" si="61"/>
        <v>0</v>
      </c>
      <c r="AA293" s="35">
        <v>382</v>
      </c>
      <c r="AB293" s="35"/>
      <c r="AC293" s="35">
        <f t="shared" si="62"/>
        <v>0</v>
      </c>
      <c r="AD293" s="6">
        <v>382</v>
      </c>
      <c r="AE293" s="6"/>
      <c r="AF293" s="35">
        <f t="shared" si="63"/>
        <v>0</v>
      </c>
      <c r="AG293" s="6"/>
      <c r="AH293" s="34"/>
      <c r="AI293" s="34"/>
      <c r="AJ293" s="35">
        <v>751</v>
      </c>
      <c r="AK293" s="35"/>
      <c r="AL293" s="35">
        <f t="shared" si="64"/>
        <v>369</v>
      </c>
      <c r="AM293" s="6">
        <v>0</v>
      </c>
      <c r="AN293" s="6">
        <v>1023</v>
      </c>
      <c r="AO293" s="35">
        <f t="shared" si="65"/>
        <v>272</v>
      </c>
      <c r="AP293" s="6"/>
      <c r="AQ293" s="6"/>
      <c r="AR293" s="35"/>
      <c r="AS293" s="35"/>
      <c r="AT293" s="6"/>
      <c r="AU293" s="35"/>
      <c r="AV293" s="35"/>
      <c r="AW293" s="6"/>
      <c r="AX293" s="35"/>
      <c r="AY293" s="6"/>
      <c r="AZ293" s="6"/>
      <c r="BA293" s="35"/>
      <c r="BB293" s="6"/>
      <c r="BC293" s="6"/>
      <c r="BD293" s="6"/>
      <c r="BE293" s="35"/>
      <c r="BF293" s="35"/>
      <c r="BG293" s="6"/>
      <c r="BH293" s="35"/>
      <c r="BI293" s="35"/>
      <c r="BJ293" s="35"/>
      <c r="BK293" s="35"/>
      <c r="BL293" s="35"/>
      <c r="BM293" s="6"/>
      <c r="BN293" s="6"/>
      <c r="BO293" s="6"/>
      <c r="BP293" s="35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10"/>
      <c r="CZ293" s="6"/>
      <c r="DA293" s="6"/>
      <c r="DB293" s="10"/>
      <c r="DC293" s="6"/>
      <c r="DD293" s="6"/>
      <c r="DE293" s="10"/>
      <c r="DF293" s="6"/>
      <c r="DG293" s="6"/>
      <c r="DH293" s="10"/>
      <c r="DI293" s="6"/>
    </row>
    <row r="294" spans="1:113">
      <c r="A294" s="6">
        <v>320</v>
      </c>
      <c r="B294" s="6">
        <v>336</v>
      </c>
      <c r="C294" s="10"/>
      <c r="D294" s="6">
        <v>0</v>
      </c>
      <c r="E294" s="33" t="s">
        <v>108</v>
      </c>
      <c r="F294" s="33" t="s">
        <v>108</v>
      </c>
      <c r="G294" s="344" t="s">
        <v>108</v>
      </c>
      <c r="H294" s="344" t="s">
        <v>108</v>
      </c>
      <c r="I294" s="344" t="s">
        <v>108</v>
      </c>
      <c r="J294" s="344" t="s">
        <v>108</v>
      </c>
      <c r="K294" s="344" t="s">
        <v>108</v>
      </c>
      <c r="L294" s="344"/>
      <c r="M294" s="344"/>
      <c r="N294" s="344"/>
      <c r="O294" s="344"/>
      <c r="P294" s="344"/>
      <c r="Q294" s="344"/>
      <c r="R294" s="344"/>
      <c r="S294" s="344"/>
      <c r="T294" s="344"/>
      <c r="U294" s="6">
        <v>336</v>
      </c>
      <c r="V294" s="6"/>
      <c r="W294" s="35">
        <f t="shared" si="60"/>
        <v>0</v>
      </c>
      <c r="X294" s="6">
        <v>336</v>
      </c>
      <c r="Y294" s="6"/>
      <c r="Z294" s="35">
        <f t="shared" si="61"/>
        <v>0</v>
      </c>
      <c r="AA294" s="35">
        <v>336</v>
      </c>
      <c r="AB294" s="35"/>
      <c r="AC294" s="35">
        <f t="shared" si="62"/>
        <v>0</v>
      </c>
      <c r="AD294" s="6">
        <v>336</v>
      </c>
      <c r="AE294" s="6"/>
      <c r="AF294" s="35">
        <f t="shared" si="63"/>
        <v>0</v>
      </c>
      <c r="AG294" s="6"/>
      <c r="AH294" s="34"/>
      <c r="AI294" s="34"/>
      <c r="AJ294" s="35">
        <v>689</v>
      </c>
      <c r="AK294" s="35"/>
      <c r="AL294" s="35">
        <f t="shared" si="64"/>
        <v>353</v>
      </c>
      <c r="AM294" s="6"/>
      <c r="AN294" s="6">
        <v>689</v>
      </c>
      <c r="AO294" s="35"/>
      <c r="AP294" s="6"/>
      <c r="AQ294" s="6"/>
      <c r="AR294" s="35"/>
      <c r="AS294" s="35"/>
      <c r="AT294" s="6"/>
      <c r="AU294" s="35"/>
      <c r="AV294" s="35"/>
      <c r="AW294" s="6"/>
      <c r="AX294" s="35"/>
      <c r="AY294" s="6"/>
      <c r="AZ294" s="6"/>
      <c r="BA294" s="35"/>
      <c r="BB294" s="6"/>
      <c r="BC294" s="6"/>
      <c r="BD294" s="6"/>
      <c r="BE294" s="35"/>
      <c r="BF294" s="35"/>
      <c r="BG294" s="6"/>
      <c r="BH294" s="35"/>
      <c r="BI294" s="35"/>
      <c r="BJ294" s="35"/>
      <c r="BK294" s="35"/>
      <c r="BL294" s="35"/>
      <c r="BM294" s="6"/>
      <c r="BN294" s="6"/>
      <c r="BO294" s="6"/>
      <c r="BP294" s="35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10"/>
      <c r="CZ294" s="6"/>
      <c r="DA294" s="6"/>
      <c r="DB294" s="10"/>
      <c r="DC294" s="6"/>
      <c r="DD294" s="6"/>
      <c r="DE294" s="10"/>
      <c r="DF294" s="6"/>
      <c r="DG294" s="6"/>
      <c r="DH294" s="10"/>
      <c r="DI294" s="6"/>
    </row>
    <row r="295" spans="1:113">
      <c r="A295" s="6">
        <v>321</v>
      </c>
      <c r="B295" s="6"/>
      <c r="C295" s="10"/>
      <c r="D295" s="6"/>
      <c r="E295" s="33"/>
      <c r="F295" s="33"/>
      <c r="G295" s="344"/>
      <c r="H295" s="344"/>
      <c r="I295" s="344"/>
      <c r="J295" s="344"/>
      <c r="K295" s="344"/>
      <c r="L295" s="344"/>
      <c r="M295" s="344"/>
      <c r="N295" s="344"/>
      <c r="O295" s="344"/>
      <c r="P295" s="344"/>
      <c r="Q295" s="344"/>
      <c r="R295" s="344"/>
      <c r="S295" s="344"/>
      <c r="T295" s="344"/>
      <c r="U295" s="6"/>
      <c r="V295" s="6"/>
      <c r="W295" s="35"/>
      <c r="X295" s="6"/>
      <c r="Y295" s="6"/>
      <c r="Z295" s="35"/>
      <c r="AA295" s="35"/>
      <c r="AB295" s="35"/>
      <c r="AC295" s="35"/>
      <c r="AD295" s="6"/>
      <c r="AE295" s="6"/>
      <c r="AF295" s="35"/>
      <c r="AG295" s="6"/>
      <c r="AH295" s="34"/>
      <c r="AI295" s="34"/>
      <c r="AJ295" s="35"/>
      <c r="AK295" s="35"/>
      <c r="AL295" s="35"/>
      <c r="AM295" s="6"/>
      <c r="AN295" s="6"/>
      <c r="AO295" s="35"/>
      <c r="AP295" s="6"/>
      <c r="AQ295" s="6"/>
      <c r="AR295" s="35"/>
      <c r="AS295" s="35"/>
      <c r="AT295" s="6"/>
      <c r="AU295" s="35"/>
      <c r="AV295" s="35"/>
      <c r="AW295" s="6"/>
      <c r="AX295" s="35"/>
      <c r="AY295" s="6"/>
      <c r="AZ295" s="6"/>
      <c r="BA295" s="35"/>
      <c r="BB295" s="6"/>
      <c r="BC295" s="6"/>
      <c r="BD295" s="6"/>
      <c r="BE295" s="35"/>
      <c r="BF295" s="35"/>
      <c r="BG295" s="6"/>
      <c r="BH295" s="35"/>
      <c r="BI295" s="35"/>
      <c r="BJ295" s="35"/>
      <c r="BK295" s="35"/>
      <c r="BL295" s="35"/>
      <c r="BM295" s="6"/>
      <c r="BN295" s="6"/>
      <c r="BO295" s="6"/>
      <c r="BP295" s="35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10"/>
      <c r="CZ295" s="6"/>
      <c r="DA295" s="6"/>
      <c r="DB295" s="10"/>
      <c r="DC295" s="6"/>
      <c r="DD295" s="6"/>
      <c r="DE295" s="10"/>
      <c r="DF295" s="6"/>
      <c r="DG295" s="6"/>
      <c r="DH295" s="10"/>
      <c r="DI295" s="6"/>
    </row>
    <row r="296" spans="1:113">
      <c r="A296" s="6">
        <v>322</v>
      </c>
      <c r="B296" s="6"/>
      <c r="C296" s="10"/>
      <c r="D296" s="6"/>
      <c r="E296" s="33"/>
      <c r="F296" s="33"/>
      <c r="G296" s="344"/>
      <c r="H296" s="344"/>
      <c r="I296" s="344"/>
      <c r="J296" s="344"/>
      <c r="K296" s="344"/>
      <c r="L296" s="344"/>
      <c r="M296" s="344"/>
      <c r="N296" s="344"/>
      <c r="O296" s="344"/>
      <c r="P296" s="344"/>
      <c r="Q296" s="344"/>
      <c r="R296" s="344"/>
      <c r="S296" s="344"/>
      <c r="T296" s="344"/>
      <c r="U296" s="6"/>
      <c r="V296" s="6"/>
      <c r="W296" s="35"/>
      <c r="X296" s="6"/>
      <c r="Y296" s="6"/>
      <c r="Z296" s="35"/>
      <c r="AA296" s="35"/>
      <c r="AB296" s="35"/>
      <c r="AC296" s="35"/>
      <c r="AD296" s="6"/>
      <c r="AE296" s="6"/>
      <c r="AF296" s="35"/>
      <c r="AG296" s="6"/>
      <c r="AH296" s="34"/>
      <c r="AI296" s="34"/>
      <c r="AJ296" s="35"/>
      <c r="AK296" s="35"/>
      <c r="AL296" s="35"/>
      <c r="AM296" s="6"/>
      <c r="AN296" s="6"/>
      <c r="AO296" s="35"/>
      <c r="AP296" s="6"/>
      <c r="AQ296" s="6"/>
      <c r="AR296" s="35"/>
      <c r="AS296" s="35"/>
      <c r="AT296" s="6"/>
      <c r="AU296" s="35"/>
      <c r="AV296" s="35"/>
      <c r="AW296" s="6"/>
      <c r="AX296" s="35"/>
      <c r="AY296" s="6"/>
      <c r="AZ296" s="6"/>
      <c r="BA296" s="35"/>
      <c r="BB296" s="6"/>
      <c r="BC296" s="6"/>
      <c r="BD296" s="6"/>
      <c r="BE296" s="35"/>
      <c r="BF296" s="35"/>
      <c r="BG296" s="6"/>
      <c r="BH296" s="35"/>
      <c r="BI296" s="35"/>
      <c r="BJ296" s="35"/>
      <c r="BK296" s="35"/>
      <c r="BL296" s="35"/>
      <c r="BM296" s="6"/>
      <c r="BN296" s="6"/>
      <c r="BO296" s="6"/>
      <c r="BP296" s="35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10"/>
      <c r="CZ296" s="6"/>
      <c r="DA296" s="6"/>
      <c r="DB296" s="10"/>
      <c r="DC296" s="6"/>
      <c r="DD296" s="6"/>
      <c r="DE296" s="10"/>
      <c r="DF296" s="6"/>
      <c r="DG296" s="6"/>
      <c r="DH296" s="10"/>
      <c r="DI296" s="6"/>
    </row>
    <row r="297" spans="1:113">
      <c r="A297" s="6">
        <v>323</v>
      </c>
      <c r="B297" s="6"/>
      <c r="C297" s="10"/>
      <c r="D297" s="6"/>
      <c r="E297" s="33"/>
      <c r="F297" s="33"/>
      <c r="G297" s="344"/>
      <c r="H297" s="344"/>
      <c r="I297" s="344"/>
      <c r="J297" s="344"/>
      <c r="K297" s="344"/>
      <c r="L297" s="344"/>
      <c r="M297" s="344"/>
      <c r="N297" s="344"/>
      <c r="O297" s="344"/>
      <c r="P297" s="344"/>
      <c r="Q297" s="344"/>
      <c r="R297" s="344"/>
      <c r="S297" s="344"/>
      <c r="T297" s="344"/>
      <c r="U297" s="6"/>
      <c r="V297" s="6"/>
      <c r="W297" s="35"/>
      <c r="X297" s="6"/>
      <c r="Y297" s="6"/>
      <c r="Z297" s="35"/>
      <c r="AA297" s="35"/>
      <c r="AB297" s="35"/>
      <c r="AC297" s="35"/>
      <c r="AD297" s="6"/>
      <c r="AE297" s="6"/>
      <c r="AF297" s="35"/>
      <c r="AG297" s="6"/>
      <c r="AH297" s="34"/>
      <c r="AI297" s="34"/>
      <c r="AJ297" s="35"/>
      <c r="AK297" s="35"/>
      <c r="AL297" s="35"/>
      <c r="AM297" s="6"/>
      <c r="AN297" s="6"/>
      <c r="AO297" s="35"/>
      <c r="AP297" s="6"/>
      <c r="AQ297" s="6"/>
      <c r="AR297" s="35"/>
      <c r="AS297" s="35"/>
      <c r="AT297" s="6"/>
      <c r="AU297" s="35"/>
      <c r="AV297" s="35"/>
      <c r="AW297" s="6"/>
      <c r="AX297" s="35"/>
      <c r="AY297" s="6"/>
      <c r="AZ297" s="6"/>
      <c r="BA297" s="35"/>
      <c r="BB297" s="6"/>
      <c r="BC297" s="6"/>
      <c r="BD297" s="6"/>
      <c r="BE297" s="35"/>
      <c r="BF297" s="35"/>
      <c r="BG297" s="6"/>
      <c r="BH297" s="35"/>
      <c r="BI297" s="35"/>
      <c r="BJ297" s="35"/>
      <c r="BK297" s="35"/>
      <c r="BL297" s="35"/>
      <c r="BM297" s="6"/>
      <c r="BN297" s="6"/>
      <c r="BO297" s="6"/>
      <c r="BP297" s="35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10"/>
      <c r="CZ297" s="6"/>
      <c r="DA297" s="6"/>
      <c r="DB297" s="10"/>
      <c r="DC297" s="6"/>
      <c r="DD297" s="6"/>
      <c r="DE297" s="10"/>
      <c r="DF297" s="6"/>
      <c r="DG297" s="6"/>
      <c r="DH297" s="10"/>
      <c r="DI297" s="6"/>
    </row>
    <row r="298" spans="1:113">
      <c r="A298" s="6">
        <v>324</v>
      </c>
      <c r="B298" s="6"/>
      <c r="C298" s="10"/>
      <c r="D298" s="6"/>
      <c r="E298" s="33"/>
      <c r="F298" s="33"/>
      <c r="G298" s="344"/>
      <c r="H298" s="344"/>
      <c r="I298" s="344"/>
      <c r="J298" s="344"/>
      <c r="K298" s="344"/>
      <c r="L298" s="344"/>
      <c r="M298" s="344"/>
      <c r="N298" s="344"/>
      <c r="O298" s="344"/>
      <c r="P298" s="344"/>
      <c r="Q298" s="344"/>
      <c r="R298" s="344"/>
      <c r="S298" s="344"/>
      <c r="T298" s="344"/>
      <c r="U298" s="6"/>
      <c r="V298" s="6"/>
      <c r="W298" s="35"/>
      <c r="X298" s="6"/>
      <c r="Y298" s="6"/>
      <c r="Z298" s="35"/>
      <c r="AA298" s="35"/>
      <c r="AB298" s="35"/>
      <c r="AC298" s="35"/>
      <c r="AD298" s="6"/>
      <c r="AE298" s="6"/>
      <c r="AF298" s="35"/>
      <c r="AG298" s="6"/>
      <c r="AH298" s="34"/>
      <c r="AI298" s="34"/>
      <c r="AJ298" s="35"/>
      <c r="AK298" s="35"/>
      <c r="AL298" s="35"/>
      <c r="AM298" s="6"/>
      <c r="AN298" s="6"/>
      <c r="AO298" s="35"/>
      <c r="AP298" s="6"/>
      <c r="AQ298" s="6"/>
      <c r="AR298" s="35"/>
      <c r="AS298" s="35"/>
      <c r="AT298" s="6"/>
      <c r="AU298" s="35"/>
      <c r="AV298" s="35"/>
      <c r="AW298" s="6"/>
      <c r="AX298" s="35"/>
      <c r="AY298" s="6"/>
      <c r="AZ298" s="6"/>
      <c r="BA298" s="35"/>
      <c r="BB298" s="6"/>
      <c r="BC298" s="6"/>
      <c r="BD298" s="6"/>
      <c r="BE298" s="35"/>
      <c r="BF298" s="35"/>
      <c r="BG298" s="6"/>
      <c r="BH298" s="35"/>
      <c r="BI298" s="35"/>
      <c r="BJ298" s="35"/>
      <c r="BK298" s="35"/>
      <c r="BL298" s="35"/>
      <c r="BM298" s="6"/>
      <c r="BN298" s="6"/>
      <c r="BO298" s="6"/>
      <c r="BP298" s="35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10"/>
      <c r="CZ298" s="6"/>
      <c r="DA298" s="6"/>
      <c r="DB298" s="10"/>
      <c r="DC298" s="6"/>
      <c r="DD298" s="6"/>
      <c r="DE298" s="10"/>
      <c r="DF298" s="6"/>
      <c r="DG298" s="6"/>
      <c r="DH298" s="10"/>
      <c r="DI298" s="6"/>
    </row>
    <row r="299" spans="1:113">
      <c r="A299" s="6">
        <v>326</v>
      </c>
      <c r="B299" s="6"/>
      <c r="C299" s="10"/>
      <c r="D299" s="6"/>
      <c r="E299" s="33"/>
      <c r="F299" s="33"/>
      <c r="G299" s="344"/>
      <c r="H299" s="344"/>
      <c r="I299" s="344"/>
      <c r="J299" s="344"/>
      <c r="K299" s="344"/>
      <c r="L299" s="344"/>
      <c r="M299" s="344"/>
      <c r="N299" s="344"/>
      <c r="O299" s="344"/>
      <c r="P299" s="344"/>
      <c r="Q299" s="344"/>
      <c r="R299" s="344"/>
      <c r="S299" s="344"/>
      <c r="T299" s="344"/>
      <c r="U299" s="6"/>
      <c r="V299" s="6"/>
      <c r="W299" s="35"/>
      <c r="X299" s="6"/>
      <c r="Y299" s="6"/>
      <c r="Z299" s="35"/>
      <c r="AA299" s="35"/>
      <c r="AB299" s="35"/>
      <c r="AC299" s="35"/>
      <c r="AD299" s="6"/>
      <c r="AE299" s="6"/>
      <c r="AF299" s="35"/>
      <c r="AG299" s="6"/>
      <c r="AH299" s="34"/>
      <c r="AI299" s="34"/>
      <c r="AJ299" s="35"/>
      <c r="AK299" s="35"/>
      <c r="AL299" s="35"/>
      <c r="AM299" s="6"/>
      <c r="AN299" s="6"/>
      <c r="AO299" s="35"/>
      <c r="AP299" s="6"/>
      <c r="AQ299" s="6"/>
      <c r="AR299" s="35"/>
      <c r="AS299" s="35"/>
      <c r="AT299" s="6"/>
      <c r="AU299" s="35"/>
      <c r="AV299" s="35"/>
      <c r="AW299" s="6"/>
      <c r="AX299" s="35"/>
      <c r="AY299" s="6"/>
      <c r="AZ299" s="6"/>
      <c r="BA299" s="35"/>
      <c r="BB299" s="6"/>
      <c r="BC299" s="6"/>
      <c r="BD299" s="6"/>
      <c r="BE299" s="35"/>
      <c r="BF299" s="35"/>
      <c r="BG299" s="6"/>
      <c r="BH299" s="35"/>
      <c r="BI299" s="35"/>
      <c r="BJ299" s="35"/>
      <c r="BK299" s="35"/>
      <c r="BL299" s="35"/>
      <c r="BM299" s="6"/>
      <c r="BN299" s="6"/>
      <c r="BO299" s="6"/>
      <c r="BP299" s="35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10"/>
      <c r="CZ299" s="6"/>
      <c r="DA299" s="6"/>
      <c r="DB299" s="10"/>
      <c r="DC299" s="6"/>
      <c r="DD299" s="6"/>
      <c r="DE299" s="10"/>
      <c r="DF299" s="6"/>
      <c r="DG299" s="6"/>
      <c r="DH299" s="10"/>
      <c r="DI299" s="6"/>
    </row>
    <row r="300" spans="1:113">
      <c r="A300" s="6">
        <v>361</v>
      </c>
      <c r="B300" s="6">
        <v>47</v>
      </c>
      <c r="C300" s="10"/>
      <c r="D300" s="6">
        <v>0</v>
      </c>
      <c r="E300" s="33" t="s">
        <v>110</v>
      </c>
      <c r="F300" s="33" t="s">
        <v>110</v>
      </c>
      <c r="G300" s="344" t="s">
        <v>110</v>
      </c>
      <c r="H300" s="344" t="s">
        <v>110</v>
      </c>
      <c r="I300" s="344" t="s">
        <v>110</v>
      </c>
      <c r="J300" s="344" t="s">
        <v>110</v>
      </c>
      <c r="K300" s="344" t="s">
        <v>110</v>
      </c>
      <c r="L300" s="344" t="s">
        <v>110</v>
      </c>
      <c r="M300" s="344" t="s">
        <v>110</v>
      </c>
      <c r="N300" s="344" t="s">
        <v>110</v>
      </c>
      <c r="O300" s="344" t="s">
        <v>110</v>
      </c>
      <c r="P300" s="344" t="s">
        <v>110</v>
      </c>
      <c r="Q300" s="344" t="s">
        <v>110</v>
      </c>
      <c r="R300" s="414" t="s">
        <v>512</v>
      </c>
      <c r="S300" s="417" t="s">
        <v>512</v>
      </c>
      <c r="T300" s="417" t="s">
        <v>512</v>
      </c>
      <c r="U300" s="6">
        <v>47</v>
      </c>
      <c r="V300" s="6"/>
      <c r="W300" s="35">
        <f t="shared" si="60"/>
        <v>0</v>
      </c>
      <c r="X300" s="6">
        <v>47</v>
      </c>
      <c r="Y300" s="6"/>
      <c r="Z300" s="35">
        <f t="shared" si="61"/>
        <v>0</v>
      </c>
      <c r="AA300" s="35">
        <v>47</v>
      </c>
      <c r="AB300" s="35"/>
      <c r="AC300" s="35">
        <f t="shared" si="62"/>
        <v>0</v>
      </c>
      <c r="AD300" s="6">
        <v>47</v>
      </c>
      <c r="AE300" s="6"/>
      <c r="AF300" s="35">
        <f t="shared" si="63"/>
        <v>0</v>
      </c>
      <c r="AG300" s="6"/>
      <c r="AH300" s="34"/>
      <c r="AI300" s="34"/>
      <c r="AJ300" s="35">
        <v>47</v>
      </c>
      <c r="AK300" s="35"/>
      <c r="AL300" s="35">
        <f t="shared" si="64"/>
        <v>0</v>
      </c>
      <c r="AM300" s="6">
        <v>47</v>
      </c>
      <c r="AN300" s="6"/>
      <c r="AO300" s="35">
        <f t="shared" si="65"/>
        <v>0</v>
      </c>
      <c r="AP300" s="6">
        <v>47</v>
      </c>
      <c r="AQ300" s="6"/>
      <c r="AR300" s="35">
        <f t="shared" si="66"/>
        <v>0</v>
      </c>
      <c r="AS300" s="35">
        <v>47</v>
      </c>
      <c r="AT300" s="6"/>
      <c r="AU300" s="35">
        <f t="shared" si="67"/>
        <v>0</v>
      </c>
      <c r="AV300" s="35">
        <v>47</v>
      </c>
      <c r="AW300" s="6"/>
      <c r="AX300" s="35">
        <f t="shared" si="68"/>
        <v>0</v>
      </c>
      <c r="AY300" s="6">
        <v>47</v>
      </c>
      <c r="AZ300" s="6"/>
      <c r="BA300" s="35">
        <f t="shared" si="69"/>
        <v>0</v>
      </c>
      <c r="BB300" s="6"/>
      <c r="BC300" s="6"/>
      <c r="BD300" s="6"/>
      <c r="BE300" s="35">
        <v>47</v>
      </c>
      <c r="BF300" s="35"/>
      <c r="BG300" s="6">
        <f t="shared" si="70"/>
        <v>0</v>
      </c>
      <c r="BH300" s="35"/>
      <c r="BI300" s="35">
        <v>47</v>
      </c>
      <c r="BJ300" s="35"/>
      <c r="BK300" s="35">
        <v>0</v>
      </c>
      <c r="BL300" s="35"/>
      <c r="BM300" s="6">
        <f t="shared" si="72"/>
        <v>0</v>
      </c>
      <c r="BN300" s="6">
        <v>219</v>
      </c>
      <c r="BO300" s="6"/>
      <c r="BP300" s="35">
        <f t="shared" si="73"/>
        <v>219</v>
      </c>
      <c r="BQ300" s="6">
        <v>463</v>
      </c>
      <c r="BR300" s="6"/>
      <c r="BS300" s="6">
        <f t="shared" si="74"/>
        <v>244</v>
      </c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10"/>
      <c r="CZ300" s="6"/>
      <c r="DA300" s="6"/>
      <c r="DB300" s="10"/>
      <c r="DC300" s="6"/>
      <c r="DD300" s="6"/>
      <c r="DE300" s="10"/>
      <c r="DF300" s="6"/>
      <c r="DG300" s="6"/>
      <c r="DH300" s="10"/>
      <c r="DI300" s="6"/>
    </row>
    <row r="301" spans="1:113">
      <c r="A301" s="6">
        <v>362</v>
      </c>
      <c r="B301" s="6">
        <v>34</v>
      </c>
      <c r="C301" s="10"/>
      <c r="D301" s="6">
        <v>0</v>
      </c>
      <c r="E301" s="33" t="s">
        <v>111</v>
      </c>
      <c r="F301" s="33" t="s">
        <v>111</v>
      </c>
      <c r="G301" s="344" t="s">
        <v>111</v>
      </c>
      <c r="H301" s="344" t="s">
        <v>111</v>
      </c>
      <c r="I301" s="344" t="s">
        <v>111</v>
      </c>
      <c r="J301" s="344" t="s">
        <v>111</v>
      </c>
      <c r="K301" s="344" t="s">
        <v>111</v>
      </c>
      <c r="L301" s="344" t="s">
        <v>111</v>
      </c>
      <c r="M301" s="344" t="s">
        <v>111</v>
      </c>
      <c r="N301" s="394" t="s">
        <v>512</v>
      </c>
      <c r="O301" s="396" t="s">
        <v>512</v>
      </c>
      <c r="P301" s="396" t="s">
        <v>512</v>
      </c>
      <c r="Q301" s="396" t="s">
        <v>512</v>
      </c>
      <c r="R301" s="396" t="s">
        <v>512</v>
      </c>
      <c r="S301" s="396" t="s">
        <v>512</v>
      </c>
      <c r="T301" s="396" t="s">
        <v>512</v>
      </c>
      <c r="U301" s="6">
        <v>34</v>
      </c>
      <c r="V301" s="6"/>
      <c r="W301" s="35">
        <f t="shared" si="60"/>
        <v>0</v>
      </c>
      <c r="X301" s="6">
        <v>34</v>
      </c>
      <c r="Y301" s="6"/>
      <c r="Z301" s="35">
        <f t="shared" si="61"/>
        <v>0</v>
      </c>
      <c r="AA301" s="35">
        <v>34</v>
      </c>
      <c r="AB301" s="35"/>
      <c r="AC301" s="35">
        <f t="shared" si="62"/>
        <v>0</v>
      </c>
      <c r="AD301" s="6">
        <v>34</v>
      </c>
      <c r="AE301" s="6"/>
      <c r="AF301" s="35">
        <f t="shared" si="63"/>
        <v>0</v>
      </c>
      <c r="AG301" s="6"/>
      <c r="AH301" s="34"/>
      <c r="AI301" s="34"/>
      <c r="AJ301" s="35">
        <v>34</v>
      </c>
      <c r="AK301" s="35"/>
      <c r="AL301" s="35">
        <f t="shared" si="64"/>
        <v>0</v>
      </c>
      <c r="AM301" s="6">
        <v>34</v>
      </c>
      <c r="AN301" s="6"/>
      <c r="AO301" s="35">
        <f t="shared" si="65"/>
        <v>0</v>
      </c>
      <c r="AP301" s="6">
        <v>34</v>
      </c>
      <c r="AQ301" s="6"/>
      <c r="AR301" s="35">
        <f t="shared" si="66"/>
        <v>0</v>
      </c>
      <c r="AS301" s="35">
        <v>34</v>
      </c>
      <c r="AT301" s="6"/>
      <c r="AU301" s="35">
        <f t="shared" si="67"/>
        <v>0</v>
      </c>
      <c r="AV301" s="35">
        <v>134</v>
      </c>
      <c r="AW301" s="6">
        <v>34</v>
      </c>
      <c r="AX301" s="35">
        <f t="shared" si="68"/>
        <v>134</v>
      </c>
      <c r="AY301" s="6">
        <v>342</v>
      </c>
      <c r="AZ301" s="6"/>
      <c r="BA301" s="35">
        <f t="shared" si="69"/>
        <v>208</v>
      </c>
      <c r="BB301" s="6"/>
      <c r="BC301" s="6"/>
      <c r="BD301" s="6"/>
      <c r="BE301" s="35">
        <v>534</v>
      </c>
      <c r="BF301" s="35"/>
      <c r="BG301" s="6">
        <f t="shared" si="70"/>
        <v>192</v>
      </c>
      <c r="BH301" s="35">
        <v>765</v>
      </c>
      <c r="BI301" s="35"/>
      <c r="BJ301" s="35">
        <f t="shared" si="71"/>
        <v>231</v>
      </c>
      <c r="BK301" s="35">
        <v>189</v>
      </c>
      <c r="BL301" s="35">
        <v>805</v>
      </c>
      <c r="BM301" s="6">
        <f t="shared" si="72"/>
        <v>229</v>
      </c>
      <c r="BN301" s="6">
        <v>422</v>
      </c>
      <c r="BO301" s="6"/>
      <c r="BP301" s="35">
        <f t="shared" si="73"/>
        <v>233</v>
      </c>
      <c r="BQ301" s="6">
        <v>666</v>
      </c>
      <c r="BR301" s="6"/>
      <c r="BS301" s="6">
        <f t="shared" si="74"/>
        <v>244</v>
      </c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10"/>
      <c r="CZ301" s="6"/>
      <c r="DA301" s="6"/>
      <c r="DB301" s="10"/>
      <c r="DC301" s="6"/>
      <c r="DD301" s="6"/>
      <c r="DE301" s="10"/>
      <c r="DF301" s="6"/>
      <c r="DG301" s="6"/>
      <c r="DH301" s="10"/>
      <c r="DI301" s="6"/>
    </row>
    <row r="302" spans="1:113">
      <c r="A302" s="6">
        <v>363</v>
      </c>
      <c r="B302" s="6"/>
      <c r="C302" s="10"/>
      <c r="D302" s="6"/>
      <c r="E302" s="33"/>
      <c r="F302" s="33"/>
      <c r="G302" s="344"/>
      <c r="H302" s="344"/>
      <c r="I302" s="344"/>
      <c r="J302" s="344"/>
      <c r="K302" s="344"/>
      <c r="L302" s="381" t="s">
        <v>512</v>
      </c>
      <c r="M302" s="387" t="s">
        <v>512</v>
      </c>
      <c r="N302" s="387" t="s">
        <v>512</v>
      </c>
      <c r="O302" s="387" t="s">
        <v>512</v>
      </c>
      <c r="P302" s="387" t="s">
        <v>512</v>
      </c>
      <c r="Q302" s="387" t="s">
        <v>512</v>
      </c>
      <c r="R302" s="387" t="s">
        <v>512</v>
      </c>
      <c r="S302" s="387" t="s">
        <v>512</v>
      </c>
      <c r="T302" s="387" t="s">
        <v>512</v>
      </c>
      <c r="U302" s="6"/>
      <c r="V302" s="6"/>
      <c r="W302" s="35"/>
      <c r="X302" s="6"/>
      <c r="Y302" s="6"/>
      <c r="Z302" s="35"/>
      <c r="AA302" s="35"/>
      <c r="AB302" s="35"/>
      <c r="AC302" s="35"/>
      <c r="AD302" s="6"/>
      <c r="AE302" s="6"/>
      <c r="AF302" s="35"/>
      <c r="AG302" s="6"/>
      <c r="AH302" s="34"/>
      <c r="AI302" s="34"/>
      <c r="AJ302" s="35"/>
      <c r="AK302" s="35"/>
      <c r="AL302" s="35"/>
      <c r="AM302" s="6"/>
      <c r="AN302" s="6"/>
      <c r="AO302" s="35"/>
      <c r="AP302" s="6">
        <v>0</v>
      </c>
      <c r="AQ302" s="6"/>
      <c r="AR302" s="35">
        <f t="shared" si="66"/>
        <v>0</v>
      </c>
      <c r="AS302" s="35">
        <v>101</v>
      </c>
      <c r="AT302" s="6"/>
      <c r="AU302" s="35">
        <f t="shared" si="67"/>
        <v>101</v>
      </c>
      <c r="AV302" s="35">
        <v>317</v>
      </c>
      <c r="AW302" s="6"/>
      <c r="AX302" s="35">
        <f t="shared" si="68"/>
        <v>216</v>
      </c>
      <c r="AY302" s="6">
        <v>555</v>
      </c>
      <c r="AZ302" s="6"/>
      <c r="BA302" s="35">
        <f t="shared" si="69"/>
        <v>238</v>
      </c>
      <c r="BB302" s="6"/>
      <c r="BC302" s="6"/>
      <c r="BD302" s="6"/>
      <c r="BE302" s="35">
        <v>111</v>
      </c>
      <c r="BF302" s="35">
        <v>685</v>
      </c>
      <c r="BG302" s="6">
        <f t="shared" si="70"/>
        <v>241</v>
      </c>
      <c r="BH302" s="35">
        <v>355</v>
      </c>
      <c r="BI302" s="35"/>
      <c r="BJ302" s="35">
        <f t="shared" si="71"/>
        <v>244</v>
      </c>
      <c r="BK302" s="35">
        <v>598</v>
      </c>
      <c r="BL302" s="35"/>
      <c r="BM302" s="6">
        <f t="shared" si="72"/>
        <v>243</v>
      </c>
      <c r="BN302" s="6">
        <v>843</v>
      </c>
      <c r="BO302" s="6"/>
      <c r="BP302" s="35">
        <f t="shared" si="73"/>
        <v>245</v>
      </c>
      <c r="BQ302" s="6">
        <v>1</v>
      </c>
      <c r="BR302" s="6">
        <v>1080</v>
      </c>
      <c r="BS302" s="6">
        <f t="shared" si="74"/>
        <v>238</v>
      </c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10"/>
      <c r="CZ302" s="6"/>
      <c r="DA302" s="6"/>
      <c r="DB302" s="10"/>
      <c r="DC302" s="6"/>
      <c r="DD302" s="6"/>
      <c r="DE302" s="10"/>
      <c r="DF302" s="6"/>
      <c r="DG302" s="6"/>
      <c r="DH302" s="10"/>
      <c r="DI302" s="6"/>
    </row>
    <row r="303" spans="1:113">
      <c r="A303" s="6">
        <v>364</v>
      </c>
      <c r="B303" s="6">
        <v>185</v>
      </c>
      <c r="C303" s="10">
        <v>843</v>
      </c>
      <c r="D303" s="6">
        <v>210</v>
      </c>
      <c r="E303" s="33" t="s">
        <v>456</v>
      </c>
      <c r="F303" s="33" t="s">
        <v>456</v>
      </c>
      <c r="G303" s="344" t="s">
        <v>456</v>
      </c>
      <c r="H303" s="344" t="s">
        <v>456</v>
      </c>
      <c r="I303" s="344" t="s">
        <v>456</v>
      </c>
      <c r="J303" s="344" t="s">
        <v>456</v>
      </c>
      <c r="K303" s="344" t="s">
        <v>456</v>
      </c>
      <c r="L303" s="344" t="s">
        <v>456</v>
      </c>
      <c r="M303" s="344" t="s">
        <v>456</v>
      </c>
      <c r="N303" s="344" t="s">
        <v>456</v>
      </c>
      <c r="O303" s="344" t="s">
        <v>456</v>
      </c>
      <c r="P303" s="344" t="s">
        <v>456</v>
      </c>
      <c r="Q303" s="344" t="s">
        <v>456</v>
      </c>
      <c r="R303" s="344" t="s">
        <v>456</v>
      </c>
      <c r="S303" s="344" t="s">
        <v>456</v>
      </c>
      <c r="T303" s="344" t="s">
        <v>456</v>
      </c>
      <c r="U303" s="6">
        <v>433</v>
      </c>
      <c r="V303" s="6"/>
      <c r="W303" s="35">
        <f t="shared" si="60"/>
        <v>248</v>
      </c>
      <c r="X303" s="6">
        <v>670</v>
      </c>
      <c r="Y303" s="6"/>
      <c r="Z303" s="35">
        <f t="shared" si="61"/>
        <v>237</v>
      </c>
      <c r="AA303" s="35">
        <v>811</v>
      </c>
      <c r="AB303" s="35"/>
      <c r="AC303" s="35">
        <f t="shared" si="62"/>
        <v>141</v>
      </c>
      <c r="AD303" s="6">
        <v>811</v>
      </c>
      <c r="AE303" s="6"/>
      <c r="AF303" s="35">
        <f t="shared" si="63"/>
        <v>0</v>
      </c>
      <c r="AG303" s="6"/>
      <c r="AH303" s="34"/>
      <c r="AI303" s="34"/>
      <c r="AJ303" s="35">
        <v>811</v>
      </c>
      <c r="AK303" s="35"/>
      <c r="AL303" s="35">
        <f t="shared" si="64"/>
        <v>0</v>
      </c>
      <c r="AM303" s="6">
        <v>811</v>
      </c>
      <c r="AN303" s="6"/>
      <c r="AO303" s="35">
        <f t="shared" si="65"/>
        <v>0</v>
      </c>
      <c r="AP303" s="6">
        <v>811</v>
      </c>
      <c r="AQ303" s="6"/>
      <c r="AR303" s="35">
        <f t="shared" si="66"/>
        <v>0</v>
      </c>
      <c r="AS303" s="35">
        <v>811</v>
      </c>
      <c r="AT303" s="6"/>
      <c r="AU303" s="35">
        <f t="shared" si="67"/>
        <v>0</v>
      </c>
      <c r="AV303" s="35">
        <v>811</v>
      </c>
      <c r="AW303" s="6"/>
      <c r="AX303" s="35">
        <f t="shared" si="68"/>
        <v>0</v>
      </c>
      <c r="AY303" s="6">
        <v>811</v>
      </c>
      <c r="AZ303" s="6"/>
      <c r="BA303" s="35">
        <f t="shared" si="69"/>
        <v>0</v>
      </c>
      <c r="BB303" s="6"/>
      <c r="BC303" s="6"/>
      <c r="BD303" s="6"/>
      <c r="BE303" s="35">
        <v>811</v>
      </c>
      <c r="BF303" s="35"/>
      <c r="BG303" s="6">
        <f t="shared" si="70"/>
        <v>0</v>
      </c>
      <c r="BH303" s="35">
        <v>811</v>
      </c>
      <c r="BI303" s="35"/>
      <c r="BJ303" s="35">
        <f t="shared" si="71"/>
        <v>0</v>
      </c>
      <c r="BK303" s="35">
        <v>811</v>
      </c>
      <c r="BL303" s="35"/>
      <c r="BM303" s="6">
        <f t="shared" si="72"/>
        <v>0</v>
      </c>
      <c r="BN303" s="6">
        <v>179</v>
      </c>
      <c r="BO303" s="6">
        <v>811</v>
      </c>
      <c r="BP303" s="35">
        <f t="shared" si="73"/>
        <v>179</v>
      </c>
      <c r="BQ303" s="6">
        <v>0</v>
      </c>
      <c r="BR303" s="6">
        <v>228</v>
      </c>
      <c r="BS303" s="6">
        <f t="shared" si="74"/>
        <v>49</v>
      </c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10"/>
      <c r="CZ303" s="6"/>
      <c r="DA303" s="6"/>
      <c r="DB303" s="10"/>
      <c r="DC303" s="6"/>
      <c r="DD303" s="6"/>
      <c r="DE303" s="10"/>
      <c r="DF303" s="6"/>
      <c r="DG303" s="6"/>
      <c r="DH303" s="10"/>
      <c r="DI303" s="6"/>
    </row>
    <row r="304" spans="1:113">
      <c r="A304" s="6" t="s">
        <v>293</v>
      </c>
      <c r="B304" s="6">
        <v>245</v>
      </c>
      <c r="C304" s="10"/>
      <c r="D304" s="6">
        <v>245</v>
      </c>
      <c r="E304" s="33" t="s">
        <v>446</v>
      </c>
      <c r="F304" s="33" t="s">
        <v>446</v>
      </c>
      <c r="G304" s="344" t="s">
        <v>446</v>
      </c>
      <c r="H304" s="344" t="s">
        <v>446</v>
      </c>
      <c r="I304" s="344" t="s">
        <v>446</v>
      </c>
      <c r="J304" s="344" t="s">
        <v>446</v>
      </c>
      <c r="K304" s="344" t="s">
        <v>446</v>
      </c>
      <c r="L304" s="344" t="s">
        <v>446</v>
      </c>
      <c r="M304" s="389" t="s">
        <v>509</v>
      </c>
      <c r="N304" s="391" t="s">
        <v>509</v>
      </c>
      <c r="O304" s="391" t="s">
        <v>509</v>
      </c>
      <c r="P304" s="391" t="s">
        <v>509</v>
      </c>
      <c r="Q304" s="391" t="s">
        <v>509</v>
      </c>
      <c r="R304" s="412" t="s">
        <v>523</v>
      </c>
      <c r="S304" s="418" t="s">
        <v>523</v>
      </c>
      <c r="T304" s="418" t="s">
        <v>523</v>
      </c>
      <c r="U304" s="6">
        <v>547</v>
      </c>
      <c r="V304" s="6"/>
      <c r="W304" s="35">
        <f t="shared" si="60"/>
        <v>302</v>
      </c>
      <c r="X304" s="6">
        <v>800</v>
      </c>
      <c r="Y304" s="6"/>
      <c r="Z304" s="35">
        <f t="shared" si="61"/>
        <v>253</v>
      </c>
      <c r="AA304" s="35">
        <v>800</v>
      </c>
      <c r="AB304" s="35"/>
      <c r="AC304" s="35">
        <f t="shared" si="62"/>
        <v>0</v>
      </c>
      <c r="AD304" s="6">
        <v>800</v>
      </c>
      <c r="AE304" s="6"/>
      <c r="AF304" s="35">
        <f t="shared" si="63"/>
        <v>0</v>
      </c>
      <c r="AG304" s="6"/>
      <c r="AH304" s="34"/>
      <c r="AI304" s="34"/>
      <c r="AJ304" s="35">
        <v>267</v>
      </c>
      <c r="AK304" s="35">
        <v>800</v>
      </c>
      <c r="AL304" s="35">
        <f t="shared" si="64"/>
        <v>267</v>
      </c>
      <c r="AM304" s="6">
        <v>549</v>
      </c>
      <c r="AN304" s="6"/>
      <c r="AO304" s="35">
        <f t="shared" si="65"/>
        <v>282</v>
      </c>
      <c r="AP304" s="6">
        <v>842</v>
      </c>
      <c r="AQ304" s="6"/>
      <c r="AR304" s="35">
        <f t="shared" si="66"/>
        <v>293</v>
      </c>
      <c r="AS304" s="35">
        <v>158</v>
      </c>
      <c r="AT304" s="6">
        <v>882</v>
      </c>
      <c r="AU304" s="35">
        <f t="shared" si="67"/>
        <v>198</v>
      </c>
      <c r="AV304" s="35">
        <v>432</v>
      </c>
      <c r="AW304" s="6"/>
      <c r="AX304" s="35">
        <f t="shared" si="68"/>
        <v>274</v>
      </c>
      <c r="AY304" s="6">
        <v>706</v>
      </c>
      <c r="AZ304" s="6"/>
      <c r="BA304" s="35">
        <f t="shared" si="69"/>
        <v>274</v>
      </c>
      <c r="BB304" s="6"/>
      <c r="BC304" s="6"/>
      <c r="BD304" s="6"/>
      <c r="BE304" s="35">
        <v>985</v>
      </c>
      <c r="BF304" s="35"/>
      <c r="BG304" s="6">
        <f t="shared" si="70"/>
        <v>279</v>
      </c>
      <c r="BH304" s="35">
        <v>0</v>
      </c>
      <c r="BI304" s="35">
        <v>1000</v>
      </c>
      <c r="BJ304" s="35">
        <f t="shared" si="71"/>
        <v>15</v>
      </c>
      <c r="BK304" s="35">
        <v>221</v>
      </c>
      <c r="BL304" s="35"/>
      <c r="BM304" s="6">
        <f t="shared" si="72"/>
        <v>221</v>
      </c>
      <c r="BN304" s="6">
        <v>284</v>
      </c>
      <c r="BO304" s="6">
        <v>278</v>
      </c>
      <c r="BP304" s="35">
        <f t="shared" si="73"/>
        <v>341</v>
      </c>
      <c r="BQ304" s="6">
        <v>288</v>
      </c>
      <c r="BR304" s="6">
        <v>309</v>
      </c>
      <c r="BS304" s="6">
        <f t="shared" si="74"/>
        <v>313</v>
      </c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10"/>
      <c r="CZ304" s="6"/>
      <c r="DA304" s="6"/>
      <c r="DB304" s="10"/>
      <c r="DC304" s="6"/>
      <c r="DD304" s="6"/>
      <c r="DE304" s="10"/>
      <c r="DF304" s="6"/>
      <c r="DG304" s="6"/>
      <c r="DH304" s="10"/>
      <c r="DI304" s="6"/>
    </row>
    <row r="305" spans="1:115">
      <c r="A305" s="6" t="s">
        <v>294</v>
      </c>
      <c r="B305" s="6">
        <v>1838</v>
      </c>
      <c r="C305" s="10"/>
      <c r="D305" s="6">
        <v>0</v>
      </c>
      <c r="E305" s="33" t="s">
        <v>246</v>
      </c>
      <c r="F305" s="33" t="s">
        <v>246</v>
      </c>
      <c r="G305" s="344" t="s">
        <v>246</v>
      </c>
      <c r="H305" s="344" t="s">
        <v>246</v>
      </c>
      <c r="I305" s="344" t="s">
        <v>246</v>
      </c>
      <c r="J305" s="344" t="s">
        <v>246</v>
      </c>
      <c r="K305" s="364" t="s">
        <v>509</v>
      </c>
      <c r="L305" s="378" t="s">
        <v>509</v>
      </c>
      <c r="M305" s="378" t="s">
        <v>509</v>
      </c>
      <c r="N305" s="378" t="s">
        <v>509</v>
      </c>
      <c r="O305" s="378" t="s">
        <v>509</v>
      </c>
      <c r="P305" s="378" t="s">
        <v>509</v>
      </c>
      <c r="Q305" s="378" t="s">
        <v>509</v>
      </c>
      <c r="R305" s="378" t="s">
        <v>509</v>
      </c>
      <c r="S305" s="378" t="s">
        <v>509</v>
      </c>
      <c r="T305" s="378" t="s">
        <v>509</v>
      </c>
      <c r="U305" s="6">
        <v>1838</v>
      </c>
      <c r="V305" s="6"/>
      <c r="W305" s="35">
        <f t="shared" si="60"/>
        <v>0</v>
      </c>
      <c r="X305" s="6">
        <v>1838</v>
      </c>
      <c r="Y305" s="6"/>
      <c r="Z305" s="35">
        <f t="shared" si="61"/>
        <v>0</v>
      </c>
      <c r="AA305" s="35">
        <v>1838</v>
      </c>
      <c r="AB305" s="35"/>
      <c r="AC305" s="35">
        <f t="shared" si="62"/>
        <v>0</v>
      </c>
      <c r="AD305" s="6">
        <v>1838</v>
      </c>
      <c r="AE305" s="6"/>
      <c r="AF305" s="35">
        <f t="shared" si="63"/>
        <v>0</v>
      </c>
      <c r="AG305" s="6"/>
      <c r="AH305" s="34"/>
      <c r="AI305" s="34"/>
      <c r="AJ305" s="35">
        <v>1838</v>
      </c>
      <c r="AK305" s="35"/>
      <c r="AL305" s="35">
        <f t="shared" si="64"/>
        <v>0</v>
      </c>
      <c r="AM305" s="6">
        <v>212</v>
      </c>
      <c r="AN305" s="6">
        <v>1838</v>
      </c>
      <c r="AO305" s="35">
        <f t="shared" si="65"/>
        <v>212</v>
      </c>
      <c r="AP305" s="6">
        <v>496</v>
      </c>
      <c r="AQ305" s="6"/>
      <c r="AR305" s="35">
        <f t="shared" si="66"/>
        <v>284</v>
      </c>
      <c r="AS305" s="35">
        <v>232</v>
      </c>
      <c r="AT305" s="6">
        <v>533</v>
      </c>
      <c r="AU305" s="35">
        <f t="shared" si="67"/>
        <v>269</v>
      </c>
      <c r="AV305" s="35">
        <v>520</v>
      </c>
      <c r="AW305" s="6"/>
      <c r="AX305" s="35">
        <f t="shared" si="68"/>
        <v>288</v>
      </c>
      <c r="AY305" s="6">
        <v>800</v>
      </c>
      <c r="AZ305" s="6"/>
      <c r="BA305" s="35">
        <f t="shared" si="69"/>
        <v>280</v>
      </c>
      <c r="BB305" s="6"/>
      <c r="BC305" s="6"/>
      <c r="BD305" s="6"/>
      <c r="BE305" s="35">
        <v>1088</v>
      </c>
      <c r="BF305" s="35"/>
      <c r="BG305" s="6">
        <f t="shared" si="70"/>
        <v>288</v>
      </c>
      <c r="BH305" s="35">
        <v>272</v>
      </c>
      <c r="BI305" s="35">
        <v>1092</v>
      </c>
      <c r="BJ305" s="35">
        <f t="shared" si="71"/>
        <v>276</v>
      </c>
      <c r="BK305" s="35">
        <v>561</v>
      </c>
      <c r="BL305" s="35"/>
      <c r="BM305" s="6">
        <f t="shared" si="72"/>
        <v>289</v>
      </c>
      <c r="BN305" s="6">
        <v>848</v>
      </c>
      <c r="BO305" s="6"/>
      <c r="BP305" s="35">
        <f t="shared" si="73"/>
        <v>287</v>
      </c>
      <c r="BQ305" s="6">
        <v>133</v>
      </c>
      <c r="BR305" s="6">
        <v>1000</v>
      </c>
      <c r="BS305" s="6">
        <f t="shared" si="74"/>
        <v>285</v>
      </c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10"/>
      <c r="CZ305" s="6"/>
      <c r="DA305" s="6"/>
      <c r="DB305" s="10"/>
      <c r="DC305" s="6"/>
      <c r="DD305" s="6"/>
      <c r="DE305" s="10"/>
      <c r="DF305" s="6"/>
      <c r="DG305" s="6"/>
      <c r="DH305" s="10"/>
      <c r="DI305" s="6"/>
    </row>
    <row r="306" spans="1:115">
      <c r="A306" s="6" t="s">
        <v>321</v>
      </c>
      <c r="B306" s="6">
        <v>1957</v>
      </c>
      <c r="C306" s="10"/>
      <c r="D306" s="6">
        <v>0</v>
      </c>
      <c r="E306" s="33" t="s">
        <v>246</v>
      </c>
      <c r="F306" s="33" t="s">
        <v>246</v>
      </c>
      <c r="G306" s="344" t="s">
        <v>246</v>
      </c>
      <c r="H306" s="344" t="s">
        <v>246</v>
      </c>
      <c r="I306" s="344" t="s">
        <v>246</v>
      </c>
      <c r="J306" s="344" t="s">
        <v>246</v>
      </c>
      <c r="K306" s="344" t="s">
        <v>246</v>
      </c>
      <c r="L306" s="344" t="s">
        <v>246</v>
      </c>
      <c r="M306" s="344" t="s">
        <v>246</v>
      </c>
      <c r="N306" s="344" t="s">
        <v>246</v>
      </c>
      <c r="O306" s="344" t="s">
        <v>246</v>
      </c>
      <c r="P306" s="344" t="s">
        <v>246</v>
      </c>
      <c r="Q306" s="344" t="s">
        <v>246</v>
      </c>
      <c r="R306" s="344" t="s">
        <v>246</v>
      </c>
      <c r="S306" s="344" t="s">
        <v>246</v>
      </c>
      <c r="T306" s="344" t="s">
        <v>246</v>
      </c>
      <c r="U306" s="6">
        <v>1957</v>
      </c>
      <c r="V306" s="6"/>
      <c r="W306" s="35">
        <f t="shared" si="60"/>
        <v>0</v>
      </c>
      <c r="X306" s="6">
        <v>1957</v>
      </c>
      <c r="Y306" s="6"/>
      <c r="Z306" s="35">
        <f t="shared" si="61"/>
        <v>0</v>
      </c>
      <c r="AA306" s="35">
        <v>1957</v>
      </c>
      <c r="AB306" s="35"/>
      <c r="AC306" s="35">
        <f t="shared" si="62"/>
        <v>0</v>
      </c>
      <c r="AD306" s="6">
        <v>1957</v>
      </c>
      <c r="AE306" s="6"/>
      <c r="AF306" s="35">
        <f t="shared" si="63"/>
        <v>0</v>
      </c>
      <c r="AG306" s="6"/>
      <c r="AH306" s="34"/>
      <c r="AI306" s="34"/>
      <c r="AJ306" s="35">
        <v>1957</v>
      </c>
      <c r="AK306" s="35"/>
      <c r="AL306" s="35">
        <f t="shared" si="64"/>
        <v>0</v>
      </c>
      <c r="AM306" s="6">
        <v>1957</v>
      </c>
      <c r="AN306" s="6"/>
      <c r="AO306" s="35">
        <f t="shared" si="65"/>
        <v>0</v>
      </c>
      <c r="AP306" s="6">
        <v>1957</v>
      </c>
      <c r="AQ306" s="6"/>
      <c r="AR306" s="35">
        <f t="shared" si="66"/>
        <v>0</v>
      </c>
      <c r="AS306" s="35">
        <v>164</v>
      </c>
      <c r="AT306" s="6">
        <v>1957</v>
      </c>
      <c r="AU306" s="35">
        <f t="shared" si="67"/>
        <v>164</v>
      </c>
      <c r="AV306" s="35">
        <v>400</v>
      </c>
      <c r="AW306" s="6"/>
      <c r="AX306" s="35">
        <f t="shared" si="68"/>
        <v>236</v>
      </c>
      <c r="AY306" s="6">
        <v>618</v>
      </c>
      <c r="AZ306" s="6"/>
      <c r="BA306" s="35">
        <f t="shared" si="69"/>
        <v>218</v>
      </c>
      <c r="BB306" s="6"/>
      <c r="BC306" s="6"/>
      <c r="BD306" s="6"/>
      <c r="BE306" s="35">
        <v>859</v>
      </c>
      <c r="BF306" s="35"/>
      <c r="BG306" s="6">
        <f t="shared" si="70"/>
        <v>241</v>
      </c>
      <c r="BH306" s="35">
        <v>1094</v>
      </c>
      <c r="BI306" s="35"/>
      <c r="BJ306" s="35">
        <f t="shared" si="71"/>
        <v>235</v>
      </c>
      <c r="BK306" s="35">
        <v>1332</v>
      </c>
      <c r="BL306" s="35"/>
      <c r="BM306" s="6">
        <f t="shared" si="72"/>
        <v>238</v>
      </c>
      <c r="BN306" s="6">
        <v>1563</v>
      </c>
      <c r="BO306" s="6"/>
      <c r="BP306" s="35">
        <f t="shared" si="73"/>
        <v>231</v>
      </c>
      <c r="BQ306" s="6">
        <v>1799</v>
      </c>
      <c r="BR306" s="6"/>
      <c r="BS306" s="6">
        <f t="shared" si="74"/>
        <v>236</v>
      </c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10"/>
      <c r="CZ306" s="6"/>
      <c r="DA306" s="6"/>
      <c r="DB306" s="10"/>
      <c r="DC306" s="6"/>
      <c r="DD306" s="6"/>
      <c r="DE306" s="10"/>
      <c r="DF306" s="6"/>
      <c r="DG306" s="6"/>
      <c r="DH306" s="10"/>
      <c r="DI306" s="6"/>
    </row>
    <row r="307" spans="1:115">
      <c r="A307" s="6" t="s">
        <v>322</v>
      </c>
      <c r="B307" s="6">
        <v>2557</v>
      </c>
      <c r="C307" s="10"/>
      <c r="D307" s="6">
        <v>0</v>
      </c>
      <c r="E307" s="33" t="s">
        <v>246</v>
      </c>
      <c r="F307" s="33" t="s">
        <v>246</v>
      </c>
      <c r="G307" s="344" t="s">
        <v>246</v>
      </c>
      <c r="H307" s="344" t="s">
        <v>246</v>
      </c>
      <c r="I307" s="344" t="s">
        <v>246</v>
      </c>
      <c r="J307" s="344" t="s">
        <v>246</v>
      </c>
      <c r="K307" s="344" t="s">
        <v>246</v>
      </c>
      <c r="L307" s="344" t="s">
        <v>246</v>
      </c>
      <c r="M307" s="344" t="s">
        <v>246</v>
      </c>
      <c r="N307" s="344" t="s">
        <v>246</v>
      </c>
      <c r="O307" s="397" t="s">
        <v>518</v>
      </c>
      <c r="P307" s="402" t="s">
        <v>518</v>
      </c>
      <c r="Q307" s="402" t="s">
        <v>518</v>
      </c>
      <c r="R307" s="402" t="s">
        <v>518</v>
      </c>
      <c r="S307" s="402" t="s">
        <v>518</v>
      </c>
      <c r="T307" s="402" t="s">
        <v>518</v>
      </c>
      <c r="U307" s="6">
        <v>2557</v>
      </c>
      <c r="V307" s="6"/>
      <c r="W307" s="35">
        <f t="shared" si="60"/>
        <v>0</v>
      </c>
      <c r="X307" s="6">
        <v>2557</v>
      </c>
      <c r="Y307" s="6"/>
      <c r="Z307" s="35">
        <f t="shared" si="61"/>
        <v>0</v>
      </c>
      <c r="AA307" s="35">
        <v>2557</v>
      </c>
      <c r="AB307" s="35"/>
      <c r="AC307" s="35">
        <f t="shared" si="62"/>
        <v>0</v>
      </c>
      <c r="AD307" s="6">
        <v>2557</v>
      </c>
      <c r="AE307" s="6"/>
      <c r="AF307" s="35">
        <f t="shared" si="63"/>
        <v>0</v>
      </c>
      <c r="AG307" s="6"/>
      <c r="AH307" s="34"/>
      <c r="AI307" s="34"/>
      <c r="AJ307" s="35">
        <v>2557</v>
      </c>
      <c r="AK307" s="35"/>
      <c r="AL307" s="35">
        <f t="shared" si="64"/>
        <v>0</v>
      </c>
      <c r="AM307" s="6">
        <v>2557</v>
      </c>
      <c r="AN307" s="6"/>
      <c r="AO307" s="35">
        <f t="shared" si="65"/>
        <v>0</v>
      </c>
      <c r="AP307" s="6">
        <v>169</v>
      </c>
      <c r="AQ307" s="6">
        <v>2557</v>
      </c>
      <c r="AR307" s="35">
        <f t="shared" si="66"/>
        <v>169</v>
      </c>
      <c r="AS307" s="35">
        <v>396</v>
      </c>
      <c r="AT307" s="6"/>
      <c r="AU307" s="35">
        <f t="shared" si="67"/>
        <v>227</v>
      </c>
      <c r="AV307" s="35">
        <v>621</v>
      </c>
      <c r="AW307" s="6"/>
      <c r="AX307" s="35">
        <f t="shared" si="68"/>
        <v>225</v>
      </c>
      <c r="AY307" s="6">
        <v>226</v>
      </c>
      <c r="AZ307" s="6">
        <v>624</v>
      </c>
      <c r="BA307" s="35">
        <f t="shared" si="69"/>
        <v>229</v>
      </c>
      <c r="BB307" s="35"/>
      <c r="BC307" s="6"/>
      <c r="BD307" s="6"/>
      <c r="BE307" s="35">
        <v>512</v>
      </c>
      <c r="BF307" s="35"/>
      <c r="BG307" s="6">
        <f t="shared" si="70"/>
        <v>286</v>
      </c>
      <c r="BH307" s="35">
        <v>798</v>
      </c>
      <c r="BI307" s="35"/>
      <c r="BJ307" s="35">
        <f t="shared" si="71"/>
        <v>286</v>
      </c>
      <c r="BK307" s="35">
        <v>1083</v>
      </c>
      <c r="BL307" s="35"/>
      <c r="BM307" s="6">
        <f t="shared" si="72"/>
        <v>285</v>
      </c>
      <c r="BN307" s="6">
        <v>233</v>
      </c>
      <c r="BO307" s="6">
        <v>1132</v>
      </c>
      <c r="BP307" s="35">
        <f t="shared" si="73"/>
        <v>282</v>
      </c>
      <c r="BQ307" s="6">
        <v>516</v>
      </c>
      <c r="BR307" s="6"/>
      <c r="BS307" s="6">
        <f t="shared" si="74"/>
        <v>283</v>
      </c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10"/>
      <c r="CZ307" s="6"/>
      <c r="DA307" s="6"/>
      <c r="DB307" s="10"/>
      <c r="DC307" s="6"/>
      <c r="DD307" s="6"/>
      <c r="DE307" s="10"/>
      <c r="DF307" s="6"/>
      <c r="DG307" s="6"/>
      <c r="DH307" s="10"/>
      <c r="DI307" s="6"/>
    </row>
    <row r="308" spans="1:115">
      <c r="A308" s="6" t="s">
        <v>525</v>
      </c>
      <c r="B308" s="35"/>
      <c r="C308" s="35">
        <f>SUM(C5:C307)</f>
        <v>59261</v>
      </c>
      <c r="D308" s="35">
        <f>SUM(D5:D307)</f>
        <v>72230</v>
      </c>
      <c r="E308" s="142"/>
      <c r="F308" s="142"/>
      <c r="G308" s="348"/>
      <c r="H308" s="348"/>
      <c r="I308" s="348"/>
      <c r="J308" s="348"/>
      <c r="K308" s="348"/>
      <c r="L308" s="348"/>
      <c r="M308" s="348"/>
      <c r="N308" s="348"/>
      <c r="O308" s="348"/>
      <c r="P308" s="348"/>
      <c r="Q308" s="348"/>
      <c r="R308" s="348"/>
      <c r="S308" s="348"/>
      <c r="T308" s="348"/>
      <c r="U308" s="35"/>
      <c r="V308" s="35">
        <f t="shared" ref="V308:AC308" si="75">SUBTOTAL(9,V4:V307)</f>
        <v>100025</v>
      </c>
      <c r="W308" s="35">
        <f t="shared" si="75"/>
        <v>69351</v>
      </c>
      <c r="X308" s="35"/>
      <c r="Y308" s="35">
        <f t="shared" si="75"/>
        <v>63010</v>
      </c>
      <c r="Z308" s="35">
        <f t="shared" si="75"/>
        <v>64965</v>
      </c>
      <c r="AA308" s="35"/>
      <c r="AB308" s="35">
        <f t="shared" si="75"/>
        <v>78585</v>
      </c>
      <c r="AC308" s="35">
        <f t="shared" si="75"/>
        <v>64132</v>
      </c>
      <c r="AD308" s="35"/>
      <c r="AE308" s="35">
        <f>SUBTOTAL(9,AE5:AE307)</f>
        <v>68819</v>
      </c>
      <c r="AF308" s="35">
        <f>SUBTOTAL(9,AF5:AF307)</f>
        <v>75556</v>
      </c>
      <c r="AG308" s="35">
        <f>SUBTOTAL(9,AG5:AG307)</f>
        <v>0</v>
      </c>
      <c r="AH308" s="35">
        <f>SUBTOTAL(9,AH5:AH307)</f>
        <v>0</v>
      </c>
      <c r="AI308" s="35">
        <f>SUBTOTAL(9,AI5:AI307)</f>
        <v>0</v>
      </c>
      <c r="AJ308" s="35"/>
      <c r="AK308" s="35">
        <f>SUBTOTAL(9,AK5:AK307)</f>
        <v>50066</v>
      </c>
      <c r="AL308" s="35">
        <f>SUBTOTAL(9,AL5:AL307)</f>
        <v>82331</v>
      </c>
      <c r="AM308" s="35"/>
      <c r="AN308" s="35">
        <f>SUBTOTAL(9,AN5:AN307)</f>
        <v>70584</v>
      </c>
      <c r="AO308" s="35">
        <f>SUBTOTAL(9,AO5:AO307)</f>
        <v>84393</v>
      </c>
      <c r="AP308" s="35"/>
      <c r="AQ308" s="35">
        <f>SUBTOTAL(9,AQ5:AQ307)</f>
        <v>80711</v>
      </c>
      <c r="AR308" s="35">
        <f>SUBTOTAL(9,AR5:AR307)</f>
        <v>85489</v>
      </c>
      <c r="AS308" s="35"/>
      <c r="AT308" s="35">
        <f>SUBTOTAL(9,AT5:AT307)</f>
        <v>121418</v>
      </c>
      <c r="AU308" s="35">
        <f>SUBTOTAL(9,AU5:AU307)</f>
        <v>86979</v>
      </c>
      <c r="AV308" s="35"/>
      <c r="AW308" s="35">
        <f>SUBTOTAL(9,AW5:AW307)</f>
        <v>74254</v>
      </c>
      <c r="AX308" s="35">
        <f>SUBTOTAL(9,AX5:AX307)</f>
        <v>90947</v>
      </c>
      <c r="AY308" s="35"/>
      <c r="AZ308" s="35">
        <f>SUBTOTAL(9,AZ5:AZ307)</f>
        <v>101166</v>
      </c>
      <c r="BA308" s="35">
        <f>SUBTOTAL(9,BA5:BA307)</f>
        <v>88464</v>
      </c>
      <c r="BB308" s="35"/>
      <c r="BC308" s="35">
        <f t="shared" ref="BC308:BJ308" si="76">SUBTOTAL(9,BC5:BC307)</f>
        <v>0</v>
      </c>
      <c r="BD308" s="35">
        <f t="shared" si="76"/>
        <v>0</v>
      </c>
      <c r="BE308" s="35"/>
      <c r="BF308" s="35">
        <f t="shared" si="76"/>
        <v>84606</v>
      </c>
      <c r="BG308" s="35">
        <f t="shared" si="76"/>
        <v>92217</v>
      </c>
      <c r="BH308" s="35"/>
      <c r="BI308" s="35">
        <f t="shared" si="76"/>
        <v>65880</v>
      </c>
      <c r="BJ308" s="35">
        <f t="shared" si="76"/>
        <v>90873</v>
      </c>
      <c r="BK308" s="35"/>
      <c r="BL308" s="35">
        <f>SUBTOTAL(9,BL5:BL307)</f>
        <v>112178</v>
      </c>
      <c r="BM308" s="35">
        <f>SUBTOTAL(9,BM5:BM307)</f>
        <v>90771</v>
      </c>
      <c r="BN308" s="35"/>
      <c r="BO308" s="35">
        <f t="shared" ref="BO308:DI308" si="77">SUBTOTAL(9,BO5:BO307)</f>
        <v>104215</v>
      </c>
      <c r="BP308" s="35">
        <f t="shared" si="77"/>
        <v>91824</v>
      </c>
      <c r="BQ308" s="35"/>
      <c r="BR308" s="35">
        <f t="shared" si="77"/>
        <v>81429</v>
      </c>
      <c r="BS308" s="35">
        <f t="shared" si="77"/>
        <v>91069</v>
      </c>
      <c r="BT308" s="35">
        <f t="shared" si="77"/>
        <v>0</v>
      </c>
      <c r="BU308" s="35">
        <f>SUBTOTAL(9,BU5:BU307)</f>
        <v>0</v>
      </c>
      <c r="BV308" s="35">
        <f t="shared" si="77"/>
        <v>0</v>
      </c>
      <c r="BW308" s="35"/>
      <c r="BX308" s="35">
        <f t="shared" si="77"/>
        <v>0</v>
      </c>
      <c r="BY308" s="35">
        <f t="shared" si="77"/>
        <v>0</v>
      </c>
      <c r="BZ308" s="35"/>
      <c r="CA308" s="35">
        <f>SUBTOTAL(9,CA5:CA307)</f>
        <v>0</v>
      </c>
      <c r="CB308" s="35">
        <f>SUBTOTAL(9,CB5:CB307)</f>
        <v>0</v>
      </c>
      <c r="CC308" s="35"/>
      <c r="CD308" s="35">
        <f t="shared" si="77"/>
        <v>0</v>
      </c>
      <c r="CE308" s="35">
        <f t="shared" si="77"/>
        <v>0</v>
      </c>
      <c r="CF308" s="35"/>
      <c r="CG308" s="35">
        <f t="shared" si="77"/>
        <v>0</v>
      </c>
      <c r="CH308" s="35">
        <f t="shared" si="77"/>
        <v>0</v>
      </c>
      <c r="CI308" s="35"/>
      <c r="CJ308" s="35">
        <f>SUBTOTAL(9,CJ5:CJ307)</f>
        <v>0</v>
      </c>
      <c r="CK308" s="35">
        <f>SUBTOTAL(9,CK5:CK307)</f>
        <v>0</v>
      </c>
      <c r="CL308" s="35"/>
      <c r="CM308" s="35">
        <f t="shared" si="77"/>
        <v>0</v>
      </c>
      <c r="CN308" s="35">
        <f t="shared" si="77"/>
        <v>0</v>
      </c>
      <c r="CO308" s="35"/>
      <c r="CP308" s="35">
        <f>SUBTOTAL(9,CP5:CP307)</f>
        <v>0</v>
      </c>
      <c r="CQ308" s="35">
        <f>SUBTOTAL(9,CQ5:CQ307)</f>
        <v>0</v>
      </c>
      <c r="CR308" s="35"/>
      <c r="CS308" s="35">
        <f t="shared" si="77"/>
        <v>0</v>
      </c>
      <c r="CT308" s="35">
        <f t="shared" si="77"/>
        <v>0</v>
      </c>
      <c r="CU308" s="35"/>
      <c r="CV308" s="35">
        <f t="shared" si="77"/>
        <v>0</v>
      </c>
      <c r="CW308" s="35">
        <f t="shared" si="77"/>
        <v>0</v>
      </c>
      <c r="CX308" s="35">
        <f t="shared" si="77"/>
        <v>0</v>
      </c>
      <c r="CY308" s="35">
        <f t="shared" si="77"/>
        <v>0</v>
      </c>
      <c r="CZ308" s="35">
        <f t="shared" si="77"/>
        <v>0</v>
      </c>
      <c r="DA308" s="35"/>
      <c r="DB308" s="35">
        <f t="shared" si="77"/>
        <v>0</v>
      </c>
      <c r="DC308" s="35">
        <f t="shared" si="77"/>
        <v>0</v>
      </c>
      <c r="DD308" s="35"/>
      <c r="DE308" s="35">
        <f>SUBTOTAL(9,DE5:DE307)</f>
        <v>0</v>
      </c>
      <c r="DF308" s="35">
        <f>SUBTOTAL(9,DF5:DF307)</f>
        <v>0</v>
      </c>
      <c r="DG308" s="35"/>
      <c r="DH308" s="35">
        <f t="shared" si="77"/>
        <v>0</v>
      </c>
      <c r="DI308" s="35">
        <f t="shared" si="77"/>
        <v>0</v>
      </c>
    </row>
    <row r="309" spans="1:115">
      <c r="A309" s="5"/>
      <c r="B309" s="29"/>
      <c r="E309" s="143"/>
      <c r="F309" s="143"/>
      <c r="G309" s="349"/>
      <c r="H309" s="349"/>
      <c r="I309" s="349"/>
      <c r="J309" s="349"/>
      <c r="K309" s="349"/>
      <c r="L309" s="349"/>
      <c r="M309" s="349"/>
      <c r="N309" s="349"/>
      <c r="O309" s="349"/>
      <c r="P309" s="349"/>
      <c r="Q309" s="349"/>
      <c r="R309" s="349"/>
      <c r="S309" s="349"/>
      <c r="T309" s="349"/>
      <c r="AG309" s="29"/>
      <c r="AS309" s="29"/>
      <c r="AU309" s="29"/>
      <c r="AV309" s="29"/>
      <c r="AY309" s="29"/>
      <c r="AZ309" s="29"/>
      <c r="BA309" s="29"/>
      <c r="BK309" s="29"/>
      <c r="BL309" s="29"/>
      <c r="BM309" s="29"/>
      <c r="BN309" s="29"/>
      <c r="BO309" s="29"/>
      <c r="BP309" s="29"/>
      <c r="BR309" s="29"/>
      <c r="BS309" s="29"/>
      <c r="BT309" s="29"/>
      <c r="BU309" s="29"/>
      <c r="BV309" s="29"/>
      <c r="BX309" s="29"/>
      <c r="BY309" s="29"/>
      <c r="CB309" s="29"/>
      <c r="CD309" s="29"/>
      <c r="CE309" s="29"/>
      <c r="CG309" s="29"/>
      <c r="CH309" s="29"/>
      <c r="CJ309" s="29"/>
      <c r="CK309" s="29"/>
      <c r="CP309" s="29"/>
      <c r="CQ309" s="29"/>
    </row>
    <row r="310" spans="1:115">
      <c r="A310" s="5"/>
      <c r="E310" s="143"/>
      <c r="F310" s="143"/>
      <c r="G310" s="349"/>
      <c r="H310" s="349"/>
      <c r="I310" s="349"/>
      <c r="J310" s="349"/>
      <c r="K310" s="349"/>
      <c r="L310" s="349"/>
      <c r="M310" s="349"/>
      <c r="N310" s="349"/>
      <c r="O310" s="349"/>
      <c r="P310" s="349"/>
      <c r="Q310" s="349"/>
      <c r="R310" s="349"/>
      <c r="S310" s="349"/>
      <c r="T310" s="349"/>
      <c r="AC310" s="29"/>
      <c r="AX310" s="29"/>
      <c r="AY310" s="29"/>
      <c r="BD310" s="29"/>
      <c r="BL310" s="29"/>
      <c r="BM310" s="29"/>
      <c r="BO310" s="29"/>
      <c r="BP310" s="29"/>
      <c r="BR310" s="29"/>
      <c r="BS310" s="29"/>
      <c r="BU310" s="29"/>
      <c r="BV310" s="29"/>
      <c r="BY310" s="29"/>
      <c r="CE310" s="29"/>
    </row>
    <row r="311" spans="1:115">
      <c r="B311" s="9"/>
      <c r="U311" s="9" t="s">
        <v>465</v>
      </c>
      <c r="X311" s="9" t="s">
        <v>466</v>
      </c>
      <c r="AA311" s="9" t="s">
        <v>467</v>
      </c>
      <c r="AD311" s="9" t="s">
        <v>468</v>
      </c>
      <c r="AG311" s="9" t="s">
        <v>469</v>
      </c>
      <c r="AJ311" s="9" t="s">
        <v>470</v>
      </c>
      <c r="AM311" s="4" t="s">
        <v>471</v>
      </c>
      <c r="AP311" s="9" t="s">
        <v>472</v>
      </c>
      <c r="AS311" s="9" t="s">
        <v>473</v>
      </c>
      <c r="AV311" s="9" t="s">
        <v>474</v>
      </c>
      <c r="AY311" s="9" t="s">
        <v>475</v>
      </c>
      <c r="BB311" s="9"/>
      <c r="BE311" s="9" t="s">
        <v>477</v>
      </c>
      <c r="BH311" s="9" t="s">
        <v>478</v>
      </c>
      <c r="BK311" s="9" t="s">
        <v>479</v>
      </c>
      <c r="BN311" s="9" t="s">
        <v>480</v>
      </c>
      <c r="BQ311" s="9" t="s">
        <v>481</v>
      </c>
      <c r="BT311" s="9" t="s">
        <v>482</v>
      </c>
      <c r="BW311" s="9" t="s">
        <v>483</v>
      </c>
      <c r="BZ311" s="9" t="s">
        <v>484</v>
      </c>
      <c r="CC311" s="9" t="s">
        <v>485</v>
      </c>
      <c r="CF311" s="9" t="s">
        <v>486</v>
      </c>
      <c r="CI311" s="9" t="s">
        <v>487</v>
      </c>
      <c r="CL311" s="9" t="s">
        <v>488</v>
      </c>
      <c r="CO311" s="9" t="s">
        <v>489</v>
      </c>
      <c r="CR311" s="9" t="s">
        <v>490</v>
      </c>
      <c r="CU311" s="4" t="s">
        <v>491</v>
      </c>
      <c r="CW311" s="9"/>
      <c r="CX311" s="4" t="s">
        <v>492</v>
      </c>
      <c r="CZ311" s="9"/>
      <c r="DA311" s="4" t="s">
        <v>493</v>
      </c>
      <c r="DC311" s="9"/>
      <c r="DD311" s="4" t="s">
        <v>494</v>
      </c>
      <c r="DF311" s="9"/>
      <c r="DG311" s="4" t="s">
        <v>495</v>
      </c>
      <c r="DI311" s="9"/>
    </row>
    <row r="312" spans="1:115" s="4" customFormat="1">
      <c r="A312" s="23"/>
      <c r="B312" s="24"/>
      <c r="C312" s="24"/>
      <c r="D312" s="24"/>
      <c r="E312" s="144"/>
      <c r="F312" s="144"/>
      <c r="G312" s="350"/>
      <c r="H312" s="350"/>
      <c r="I312" s="350"/>
      <c r="J312" s="350"/>
      <c r="K312" s="350"/>
      <c r="L312" s="350"/>
      <c r="M312" s="350"/>
      <c r="N312" s="350"/>
      <c r="O312" s="350"/>
      <c r="P312" s="350"/>
      <c r="Q312" s="350"/>
      <c r="R312" s="350"/>
      <c r="S312" s="350"/>
      <c r="T312" s="350"/>
      <c r="U312" s="24" t="s">
        <v>41</v>
      </c>
      <c r="V312" s="24" t="s">
        <v>4</v>
      </c>
      <c r="W312" s="24" t="s">
        <v>2</v>
      </c>
      <c r="X312" s="24" t="s">
        <v>41</v>
      </c>
      <c r="Y312" s="24" t="s">
        <v>4</v>
      </c>
      <c r="Z312" s="24" t="s">
        <v>2</v>
      </c>
      <c r="AA312" s="24" t="s">
        <v>41</v>
      </c>
      <c r="AB312" s="24" t="s">
        <v>4</v>
      </c>
      <c r="AC312" s="24" t="s">
        <v>2</v>
      </c>
      <c r="AD312" s="24" t="s">
        <v>41</v>
      </c>
      <c r="AE312" s="24" t="s">
        <v>4</v>
      </c>
      <c r="AF312" s="24" t="s">
        <v>2</v>
      </c>
      <c r="AG312" s="24" t="s">
        <v>41</v>
      </c>
      <c r="AH312" s="24" t="s">
        <v>4</v>
      </c>
      <c r="AI312" s="24" t="s">
        <v>2</v>
      </c>
      <c r="AJ312" s="24" t="s">
        <v>41</v>
      </c>
      <c r="AK312" s="24" t="s">
        <v>4</v>
      </c>
      <c r="AL312" s="24" t="s">
        <v>2</v>
      </c>
      <c r="AM312" s="24" t="s">
        <v>41</v>
      </c>
      <c r="AN312" s="24" t="s">
        <v>4</v>
      </c>
      <c r="AO312" s="24" t="s">
        <v>2</v>
      </c>
      <c r="AP312" s="24" t="s">
        <v>41</v>
      </c>
      <c r="AQ312" s="24" t="s">
        <v>4</v>
      </c>
      <c r="AR312" s="24" t="s">
        <v>2</v>
      </c>
      <c r="AS312" s="24" t="s">
        <v>41</v>
      </c>
      <c r="AT312" s="24" t="s">
        <v>4</v>
      </c>
      <c r="AU312" s="24" t="s">
        <v>2</v>
      </c>
      <c r="AV312" s="24" t="s">
        <v>41</v>
      </c>
      <c r="AW312" s="24" t="s">
        <v>4</v>
      </c>
      <c r="AX312" s="24" t="s">
        <v>2</v>
      </c>
      <c r="AY312" s="24" t="s">
        <v>41</v>
      </c>
      <c r="AZ312" s="24" t="s">
        <v>4</v>
      </c>
      <c r="BA312" s="24" t="s">
        <v>2</v>
      </c>
      <c r="BB312" s="24"/>
      <c r="BC312" s="24" t="s">
        <v>4</v>
      </c>
      <c r="BD312" s="24" t="s">
        <v>2</v>
      </c>
      <c r="BE312" s="24" t="s">
        <v>41</v>
      </c>
      <c r="BF312" s="24" t="s">
        <v>4</v>
      </c>
      <c r="BG312" s="24" t="s">
        <v>2</v>
      </c>
      <c r="BH312" s="24" t="s">
        <v>41</v>
      </c>
      <c r="BI312" s="24" t="s">
        <v>4</v>
      </c>
      <c r="BJ312" s="24" t="s">
        <v>2</v>
      </c>
      <c r="BK312" s="24" t="s">
        <v>41</v>
      </c>
      <c r="BL312" s="24" t="s">
        <v>4</v>
      </c>
      <c r="BM312" s="24" t="s">
        <v>2</v>
      </c>
      <c r="BN312" s="24" t="s">
        <v>41</v>
      </c>
      <c r="BO312" s="24" t="s">
        <v>4</v>
      </c>
      <c r="BP312" s="24" t="s">
        <v>2</v>
      </c>
      <c r="BQ312" s="24" t="s">
        <v>41</v>
      </c>
      <c r="BR312" s="24" t="s">
        <v>4</v>
      </c>
      <c r="BS312" s="24" t="s">
        <v>2</v>
      </c>
      <c r="BT312" s="24" t="s">
        <v>41</v>
      </c>
      <c r="BU312" s="24" t="s">
        <v>4</v>
      </c>
      <c r="BV312" s="24" t="s">
        <v>2</v>
      </c>
      <c r="BW312" s="24" t="s">
        <v>41</v>
      </c>
      <c r="BX312" s="24" t="s">
        <v>4</v>
      </c>
      <c r="BY312" s="24" t="s">
        <v>2</v>
      </c>
      <c r="BZ312" s="24" t="s">
        <v>41</v>
      </c>
      <c r="CA312" s="24" t="s">
        <v>4</v>
      </c>
      <c r="CB312" s="24" t="s">
        <v>2</v>
      </c>
      <c r="CC312" s="24" t="s">
        <v>41</v>
      </c>
      <c r="CD312" s="24" t="s">
        <v>4</v>
      </c>
      <c r="CE312" s="24" t="s">
        <v>2</v>
      </c>
      <c r="CF312" s="24" t="s">
        <v>41</v>
      </c>
      <c r="CG312" s="24" t="s">
        <v>4</v>
      </c>
      <c r="CH312" s="24" t="s">
        <v>2</v>
      </c>
      <c r="CI312" s="24" t="s">
        <v>41</v>
      </c>
      <c r="CJ312" s="24" t="s">
        <v>4</v>
      </c>
      <c r="CK312" s="24" t="s">
        <v>2</v>
      </c>
      <c r="CL312" s="24" t="s">
        <v>41</v>
      </c>
      <c r="CM312" s="24" t="s">
        <v>4</v>
      </c>
      <c r="CN312" s="24" t="s">
        <v>2</v>
      </c>
      <c r="CO312" s="24" t="s">
        <v>41</v>
      </c>
      <c r="CP312" s="24" t="s">
        <v>4</v>
      </c>
      <c r="CQ312" s="24" t="s">
        <v>2</v>
      </c>
      <c r="CR312" s="24" t="s">
        <v>41</v>
      </c>
      <c r="CS312" s="24" t="s">
        <v>4</v>
      </c>
      <c r="CT312" s="24" t="s">
        <v>2</v>
      </c>
      <c r="CU312" s="24" t="s">
        <v>41</v>
      </c>
      <c r="CV312" s="24" t="s">
        <v>4</v>
      </c>
      <c r="CW312" s="24" t="s">
        <v>2</v>
      </c>
      <c r="CX312" s="24" t="s">
        <v>41</v>
      </c>
      <c r="CY312" s="24" t="s">
        <v>4</v>
      </c>
      <c r="CZ312" s="24" t="s">
        <v>2</v>
      </c>
      <c r="DA312" s="24" t="s">
        <v>41</v>
      </c>
      <c r="DB312" s="24" t="s">
        <v>4</v>
      </c>
      <c r="DC312" s="24" t="s">
        <v>2</v>
      </c>
      <c r="DD312" s="24" t="s">
        <v>41</v>
      </c>
      <c r="DE312" s="24" t="s">
        <v>4</v>
      </c>
      <c r="DF312" s="24" t="s">
        <v>2</v>
      </c>
      <c r="DG312" s="24" t="s">
        <v>41</v>
      </c>
      <c r="DH312" s="24" t="s">
        <v>4</v>
      </c>
      <c r="DI312" s="24" t="s">
        <v>2</v>
      </c>
    </row>
    <row r="313" spans="1:115" s="4" customFormat="1" ht="16.5" customHeight="1">
      <c r="A313" s="73" t="s">
        <v>143</v>
      </c>
      <c r="B313" s="25"/>
      <c r="C313" s="25"/>
      <c r="D313" s="25"/>
      <c r="E313" s="145"/>
      <c r="F313" s="145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25">
        <v>150</v>
      </c>
      <c r="V313" s="25">
        <v>55053</v>
      </c>
      <c r="W313" s="25">
        <v>58857</v>
      </c>
      <c r="X313" s="25">
        <v>150</v>
      </c>
      <c r="Y313" s="25">
        <v>52912</v>
      </c>
      <c r="Z313" s="25">
        <v>56260</v>
      </c>
      <c r="AA313" s="25">
        <v>150</v>
      </c>
      <c r="AB313" s="25">
        <v>61501</v>
      </c>
      <c r="AC313" s="25">
        <v>56143</v>
      </c>
      <c r="AD313" s="25">
        <v>150</v>
      </c>
      <c r="AE313" s="25">
        <v>62907</v>
      </c>
      <c r="AF313" s="25">
        <v>54002</v>
      </c>
      <c r="AG313" s="25"/>
      <c r="AH313" s="25"/>
      <c r="AI313" s="25"/>
      <c r="AJ313" s="25">
        <v>143</v>
      </c>
      <c r="AK313" s="25">
        <v>41729</v>
      </c>
      <c r="AL313" s="25">
        <v>54199</v>
      </c>
      <c r="AM313" s="25">
        <v>145</v>
      </c>
      <c r="AN313" s="25">
        <v>54278</v>
      </c>
      <c r="AO313" s="25">
        <v>54825</v>
      </c>
      <c r="AP313" s="25">
        <v>152</v>
      </c>
      <c r="AQ313" s="25">
        <v>60528</v>
      </c>
      <c r="AR313" s="25">
        <v>56236</v>
      </c>
      <c r="AS313" s="25">
        <v>156</v>
      </c>
      <c r="AT313" s="25">
        <v>56999</v>
      </c>
      <c r="AU313" s="25">
        <v>57988</v>
      </c>
      <c r="AV313" s="25">
        <v>158</v>
      </c>
      <c r="AW313" s="25">
        <v>50203</v>
      </c>
      <c r="AX313" s="25">
        <v>59572</v>
      </c>
      <c r="AY313" s="25">
        <v>162</v>
      </c>
      <c r="AZ313" s="25">
        <v>70194</v>
      </c>
      <c r="BA313" s="25">
        <v>59148</v>
      </c>
      <c r="BB313" s="25"/>
      <c r="BC313" s="25"/>
      <c r="BD313" s="25"/>
      <c r="BE313" s="25">
        <v>165</v>
      </c>
      <c r="BF313" s="25">
        <v>55047</v>
      </c>
      <c r="BG313" s="25">
        <v>63489</v>
      </c>
      <c r="BH313" s="25">
        <v>169</v>
      </c>
      <c r="BI313" s="25">
        <v>56147</v>
      </c>
      <c r="BJ313" s="25">
        <v>63697</v>
      </c>
      <c r="BK313" s="25">
        <v>169</v>
      </c>
      <c r="BL313" s="25">
        <v>59111</v>
      </c>
      <c r="BM313" s="25">
        <v>63585</v>
      </c>
      <c r="BN313" s="25">
        <v>169</v>
      </c>
      <c r="BO313" s="25">
        <v>70304</v>
      </c>
      <c r="BP313" s="25">
        <v>63340</v>
      </c>
      <c r="BQ313" s="25">
        <v>169</v>
      </c>
      <c r="BR313" s="25">
        <v>63711</v>
      </c>
      <c r="BS313" s="25">
        <v>62798</v>
      </c>
      <c r="BT313" s="91"/>
      <c r="BU313" s="91"/>
      <c r="BV313" s="91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</row>
    <row r="314" spans="1:115" s="28" customFormat="1">
      <c r="A314" s="74" t="s">
        <v>312</v>
      </c>
      <c r="B314" s="27"/>
      <c r="C314" s="27"/>
      <c r="D314" s="27"/>
      <c r="E314" s="146"/>
      <c r="F314" s="146"/>
      <c r="G314" s="352"/>
      <c r="H314" s="352"/>
      <c r="I314" s="352"/>
      <c r="J314" s="352"/>
      <c r="K314" s="352"/>
      <c r="L314" s="352"/>
      <c r="M314" s="352"/>
      <c r="N314" s="352"/>
      <c r="O314" s="352"/>
      <c r="P314" s="352"/>
      <c r="Q314" s="352"/>
      <c r="R314" s="352"/>
      <c r="S314" s="352"/>
      <c r="T314" s="352"/>
      <c r="U314" s="27">
        <v>39</v>
      </c>
      <c r="V314" s="27">
        <v>39508</v>
      </c>
      <c r="W314" s="27">
        <v>7844</v>
      </c>
      <c r="X314" s="27">
        <v>39</v>
      </c>
      <c r="Y314" s="27">
        <v>4680</v>
      </c>
      <c r="Z314" s="27">
        <v>2769</v>
      </c>
      <c r="AA314" s="27">
        <v>39</v>
      </c>
      <c r="AB314" s="27">
        <v>9360</v>
      </c>
      <c r="AC314" s="27">
        <v>364</v>
      </c>
      <c r="AD314" s="27">
        <v>39</v>
      </c>
      <c r="AE314" s="27">
        <v>343</v>
      </c>
      <c r="AF314" s="27">
        <v>14051</v>
      </c>
      <c r="AG314" s="27"/>
      <c r="AH314" s="27"/>
      <c r="AI314" s="27"/>
      <c r="AJ314" s="27">
        <v>50</v>
      </c>
      <c r="AK314" s="27">
        <v>1780</v>
      </c>
      <c r="AL314" s="27">
        <v>18524</v>
      </c>
      <c r="AM314" s="27">
        <v>51</v>
      </c>
      <c r="AN314" s="27">
        <v>1896</v>
      </c>
      <c r="AO314" s="27">
        <v>19546</v>
      </c>
      <c r="AP314" s="27">
        <v>50</v>
      </c>
      <c r="AQ314" s="27">
        <v>6619</v>
      </c>
      <c r="AR314" s="27">
        <v>19267</v>
      </c>
      <c r="AS314" s="76">
        <v>49</v>
      </c>
      <c r="AT314" s="76">
        <v>51923</v>
      </c>
      <c r="AU314" s="76">
        <v>18783</v>
      </c>
      <c r="AV314" s="27">
        <v>49</v>
      </c>
      <c r="AW314" s="27">
        <v>14904</v>
      </c>
      <c r="AX314" s="27">
        <v>18742</v>
      </c>
      <c r="AY314" s="27">
        <v>45</v>
      </c>
      <c r="AZ314" s="27">
        <v>17413</v>
      </c>
      <c r="BA314" s="27">
        <v>16910</v>
      </c>
      <c r="BB314" s="27"/>
      <c r="BC314" s="27"/>
      <c r="BD314" s="27"/>
      <c r="BE314" s="27">
        <v>43</v>
      </c>
      <c r="BF314" s="27">
        <v>10553</v>
      </c>
      <c r="BG314" s="27">
        <v>16004</v>
      </c>
      <c r="BH314" s="27">
        <v>39</v>
      </c>
      <c r="BI314" s="27">
        <v>2889</v>
      </c>
      <c r="BJ314" s="27">
        <v>14665</v>
      </c>
      <c r="BK314" s="27">
        <v>39</v>
      </c>
      <c r="BL314" s="27">
        <v>35741</v>
      </c>
      <c r="BM314" s="27">
        <v>14382</v>
      </c>
      <c r="BN314" s="27">
        <v>39</v>
      </c>
      <c r="BO314" s="27">
        <v>20097</v>
      </c>
      <c r="BP314" s="27">
        <v>14594</v>
      </c>
      <c r="BQ314" s="27">
        <v>39</v>
      </c>
      <c r="BR314" s="27">
        <v>9974</v>
      </c>
      <c r="BS314" s="27">
        <v>14286</v>
      </c>
      <c r="BT314" s="27"/>
      <c r="BU314" s="27"/>
      <c r="BV314" s="27"/>
      <c r="BW314" s="27"/>
      <c r="BX314" s="27"/>
      <c r="BY314" s="27"/>
      <c r="BZ314" s="27"/>
      <c r="CA314" s="27"/>
      <c r="CB314" s="27"/>
      <c r="CC314" s="179"/>
      <c r="CD314" s="27"/>
      <c r="CE314" s="27"/>
      <c r="CF314" s="27"/>
      <c r="CG314" s="27"/>
      <c r="CH314" s="27"/>
      <c r="CI314" s="25"/>
      <c r="CJ314" s="27"/>
      <c r="CK314" s="25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</row>
    <row r="315" spans="1:115" s="4" customFormat="1">
      <c r="A315" s="74" t="s">
        <v>323</v>
      </c>
      <c r="B315" s="25"/>
      <c r="C315" s="25"/>
      <c r="D315" s="25"/>
      <c r="E315" s="146"/>
      <c r="F315" s="146"/>
      <c r="G315" s="352"/>
      <c r="H315" s="352"/>
      <c r="I315" s="352"/>
      <c r="J315" s="352"/>
      <c r="K315" s="352"/>
      <c r="L315" s="352"/>
      <c r="M315" s="352"/>
      <c r="N315" s="352"/>
      <c r="O315" s="352"/>
      <c r="P315" s="352"/>
      <c r="Q315" s="352"/>
      <c r="R315" s="352"/>
      <c r="S315" s="352"/>
      <c r="T315" s="352"/>
      <c r="U315" s="69">
        <v>3</v>
      </c>
      <c r="V315" s="69">
        <f>1390+685</f>
        <v>2075</v>
      </c>
      <c r="W315" s="69">
        <f>117+31</f>
        <v>148</v>
      </c>
      <c r="X315" s="69">
        <v>2</v>
      </c>
      <c r="Y315" s="69"/>
      <c r="Z315" s="69"/>
      <c r="AA315" s="68">
        <v>2</v>
      </c>
      <c r="AB315" s="68"/>
      <c r="AC315" s="68"/>
      <c r="AD315" s="70">
        <v>2</v>
      </c>
      <c r="AE315" s="70"/>
      <c r="AF315" s="70"/>
      <c r="AG315" s="70"/>
      <c r="AH315" s="25"/>
      <c r="AI315" s="25"/>
      <c r="AJ315" s="71">
        <v>2</v>
      </c>
      <c r="AK315" s="71">
        <v>916</v>
      </c>
      <c r="AL315" s="71"/>
      <c r="AM315" s="72"/>
      <c r="AN315" s="72">
        <v>651</v>
      </c>
      <c r="AO315" s="72"/>
      <c r="AP315" s="75"/>
      <c r="AQ315" s="75"/>
      <c r="AR315" s="174"/>
      <c r="AS315" s="76"/>
      <c r="AT315" s="76"/>
      <c r="AU315" s="76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/>
      <c r="DD315" s="25"/>
      <c r="DE315" s="25"/>
      <c r="DF315" s="25"/>
      <c r="DG315" s="25"/>
      <c r="DH315" s="25"/>
      <c r="DI315" s="25"/>
      <c r="DJ315" s="29"/>
      <c r="DK315" s="29"/>
    </row>
    <row r="316" spans="1:115" s="4" customFormat="1">
      <c r="A316" s="74" t="s">
        <v>151</v>
      </c>
      <c r="B316" s="25"/>
      <c r="C316" s="25"/>
      <c r="D316" s="25"/>
      <c r="E316" s="146"/>
      <c r="F316" s="146"/>
      <c r="G316" s="352"/>
      <c r="H316" s="352"/>
      <c r="I316" s="352"/>
      <c r="J316" s="352"/>
      <c r="K316" s="352"/>
      <c r="L316" s="352"/>
      <c r="M316" s="352"/>
      <c r="N316" s="352"/>
      <c r="O316" s="352"/>
      <c r="P316" s="352"/>
      <c r="Q316" s="352"/>
      <c r="R316" s="352"/>
      <c r="S316" s="352"/>
      <c r="T316" s="352"/>
      <c r="U316" s="25">
        <v>11</v>
      </c>
      <c r="V316" s="25"/>
      <c r="W316" s="25"/>
      <c r="X316" s="25">
        <v>11</v>
      </c>
      <c r="Y316" s="25">
        <v>2820</v>
      </c>
      <c r="Z316" s="25">
        <v>984</v>
      </c>
      <c r="AA316" s="68">
        <v>14</v>
      </c>
      <c r="AB316" s="68">
        <v>2204</v>
      </c>
      <c r="AC316" s="68">
        <v>2985</v>
      </c>
      <c r="AD316" s="70">
        <v>14</v>
      </c>
      <c r="AE316" s="99">
        <v>320</v>
      </c>
      <c r="AF316" s="70">
        <v>3309</v>
      </c>
      <c r="AG316" s="70"/>
      <c r="AH316" s="25"/>
      <c r="AI316" s="25"/>
      <c r="AJ316" s="71">
        <v>15</v>
      </c>
      <c r="AK316" s="71">
        <v>1200</v>
      </c>
      <c r="AL316" s="71">
        <v>3728</v>
      </c>
      <c r="AM316" s="72">
        <v>15</v>
      </c>
      <c r="AN316" s="72">
        <v>7809</v>
      </c>
      <c r="AO316" s="72">
        <v>3777</v>
      </c>
      <c r="AP316" s="75">
        <v>16</v>
      </c>
      <c r="AQ316" s="75">
        <v>3585</v>
      </c>
      <c r="AR316" s="75">
        <v>4033</v>
      </c>
      <c r="AS316" s="76">
        <v>17</v>
      </c>
      <c r="AT316" s="76">
        <v>3984</v>
      </c>
      <c r="AU316" s="76">
        <v>4180</v>
      </c>
      <c r="AV316" s="106">
        <v>17</v>
      </c>
      <c r="AW316" s="106">
        <v>2300</v>
      </c>
      <c r="AX316" s="106">
        <v>4408</v>
      </c>
      <c r="AY316" s="25">
        <v>18</v>
      </c>
      <c r="AZ316" s="25">
        <v>1200</v>
      </c>
      <c r="BA316" s="25">
        <v>4592</v>
      </c>
      <c r="BB316" s="25"/>
      <c r="BC316" s="25"/>
      <c r="BD316" s="25"/>
      <c r="BE316" s="25">
        <v>18</v>
      </c>
      <c r="BF316" s="25">
        <v>13782</v>
      </c>
      <c r="BG316" s="25">
        <v>5023</v>
      </c>
      <c r="BH316" s="25">
        <v>18</v>
      </c>
      <c r="BI316" s="25">
        <v>1600</v>
      </c>
      <c r="BJ316" s="56">
        <v>5060</v>
      </c>
      <c r="BK316" s="25">
        <v>18</v>
      </c>
      <c r="BL316" s="25">
        <v>8543</v>
      </c>
      <c r="BM316" s="25">
        <v>4879</v>
      </c>
      <c r="BN316" s="25">
        <v>19</v>
      </c>
      <c r="BO316" s="25">
        <v>1800</v>
      </c>
      <c r="BP316" s="25">
        <v>4948</v>
      </c>
      <c r="BQ316" s="25">
        <v>19</v>
      </c>
      <c r="BR316" s="25">
        <v>1094</v>
      </c>
      <c r="BS316" s="25">
        <v>4927</v>
      </c>
      <c r="BT316" s="91"/>
      <c r="BU316" s="91"/>
      <c r="BV316" s="91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</row>
    <row r="317" spans="1:115" s="4" customFormat="1">
      <c r="A317" s="74" t="s">
        <v>152</v>
      </c>
      <c r="B317" s="25"/>
      <c r="C317" s="25"/>
      <c r="D317" s="25"/>
      <c r="E317" s="146"/>
      <c r="F317" s="146"/>
      <c r="G317" s="352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  <c r="S317" s="352"/>
      <c r="T317" s="352"/>
      <c r="U317" s="25">
        <v>8</v>
      </c>
      <c r="V317" s="25"/>
      <c r="W317" s="25"/>
      <c r="X317" s="25">
        <v>8</v>
      </c>
      <c r="Y317" s="25"/>
      <c r="Z317" s="25"/>
      <c r="AA317" s="68">
        <v>8</v>
      </c>
      <c r="AB317" s="68"/>
      <c r="AC317" s="68"/>
      <c r="AD317" s="70">
        <v>8</v>
      </c>
      <c r="AE317" s="70"/>
      <c r="AF317" s="70"/>
      <c r="AG317" s="70"/>
      <c r="AH317" s="25"/>
      <c r="AI317" s="25"/>
      <c r="AJ317" s="71">
        <v>8</v>
      </c>
      <c r="AK317" s="71"/>
      <c r="AL317" s="71">
        <v>374</v>
      </c>
      <c r="AM317" s="86">
        <v>8</v>
      </c>
      <c r="AN317" s="86"/>
      <c r="AO317" s="86">
        <v>1001</v>
      </c>
      <c r="AP317" s="75">
        <v>7</v>
      </c>
      <c r="AQ317" s="75">
        <v>2114</v>
      </c>
      <c r="AR317" s="75">
        <v>765</v>
      </c>
      <c r="AS317" s="76">
        <v>5</v>
      </c>
      <c r="AT317" s="76">
        <v>1241</v>
      </c>
      <c r="AU317" s="76">
        <v>479</v>
      </c>
      <c r="AV317" s="106">
        <v>5</v>
      </c>
      <c r="AW317" s="106">
        <v>1060</v>
      </c>
      <c r="AX317" s="106">
        <v>999</v>
      </c>
      <c r="AY317" s="88">
        <v>4</v>
      </c>
      <c r="AZ317" s="88">
        <v>386</v>
      </c>
      <c r="BA317" s="88">
        <v>820</v>
      </c>
      <c r="BB317" s="25"/>
      <c r="BC317" s="25"/>
      <c r="BD317" s="25"/>
      <c r="BE317" s="25">
        <v>9</v>
      </c>
      <c r="BF317" s="25">
        <v>930</v>
      </c>
      <c r="BG317" s="25">
        <v>751</v>
      </c>
      <c r="BH317" s="25">
        <v>9</v>
      </c>
      <c r="BI317" s="25">
        <v>273</v>
      </c>
      <c r="BJ317" s="56">
        <v>722</v>
      </c>
      <c r="BK317" s="25">
        <v>7</v>
      </c>
      <c r="BL317" s="25">
        <v>2476</v>
      </c>
      <c r="BM317" s="25">
        <v>612</v>
      </c>
      <c r="BN317" s="25">
        <v>6</v>
      </c>
      <c r="BO317" s="25">
        <v>480</v>
      </c>
      <c r="BP317" s="25">
        <v>1418</v>
      </c>
      <c r="BQ317" s="25">
        <v>5</v>
      </c>
      <c r="BR317" s="25"/>
      <c r="BS317" s="25">
        <v>1319</v>
      </c>
      <c r="BT317" s="91"/>
      <c r="BU317" s="91"/>
      <c r="BV317" s="91"/>
      <c r="BW317" s="25"/>
      <c r="BX317" s="25"/>
      <c r="BY317" s="25"/>
      <c r="BZ317" s="25"/>
      <c r="CA317" s="25"/>
      <c r="CB317" s="25"/>
      <c r="CC317" s="25"/>
      <c r="CD317" s="25"/>
      <c r="CE317" s="25"/>
      <c r="CF317" s="313"/>
      <c r="CG317" s="25"/>
      <c r="CH317" s="25"/>
      <c r="CI317" s="149"/>
      <c r="CJ317" s="149"/>
      <c r="CK317" s="149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/>
      <c r="DD317" s="25"/>
      <c r="DE317" s="25"/>
      <c r="DF317" s="25"/>
      <c r="DG317" s="25"/>
      <c r="DH317" s="25"/>
      <c r="DI317" s="25"/>
    </row>
    <row r="318" spans="1:115" s="205" customFormat="1">
      <c r="A318" s="74" t="s">
        <v>374</v>
      </c>
      <c r="B318" s="202"/>
      <c r="C318" s="202"/>
      <c r="D318" s="202"/>
      <c r="E318" s="145"/>
      <c r="F318" s="145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202">
        <v>4</v>
      </c>
      <c r="V318" s="202"/>
      <c r="W318" s="202"/>
      <c r="X318" s="202">
        <v>4</v>
      </c>
      <c r="Y318" s="202"/>
      <c r="Z318" s="202"/>
      <c r="AA318" s="202">
        <v>4</v>
      </c>
      <c r="AB318" s="202"/>
      <c r="AC318" s="202"/>
      <c r="AD318" s="202">
        <v>4</v>
      </c>
      <c r="AE318" s="202"/>
      <c r="AF318" s="202"/>
      <c r="AG318" s="202"/>
      <c r="AH318" s="202"/>
      <c r="AI318" s="202"/>
      <c r="AJ318" s="202">
        <v>4</v>
      </c>
      <c r="AK318" s="202"/>
      <c r="AL318" s="202"/>
      <c r="AM318" s="202">
        <v>4</v>
      </c>
      <c r="AN318" s="202"/>
      <c r="AO318" s="202"/>
      <c r="AP318" s="202">
        <v>4</v>
      </c>
      <c r="AQ318" s="202"/>
      <c r="AR318" s="202"/>
      <c r="AS318" s="202">
        <v>4</v>
      </c>
      <c r="AT318" s="202"/>
      <c r="AU318" s="202"/>
      <c r="AV318" s="202">
        <v>4</v>
      </c>
      <c r="AW318" s="202">
        <v>1100</v>
      </c>
      <c r="AX318" s="202">
        <v>1072</v>
      </c>
      <c r="AY318" s="202">
        <v>4</v>
      </c>
      <c r="AZ318" s="202">
        <v>1100</v>
      </c>
      <c r="BA318" s="202">
        <v>1093</v>
      </c>
      <c r="BB318" s="202"/>
      <c r="BC318" s="202"/>
      <c r="BD318" s="202"/>
      <c r="BE318" s="202">
        <v>4</v>
      </c>
      <c r="BF318" s="202"/>
      <c r="BG318" s="202">
        <v>1134</v>
      </c>
      <c r="BH318" s="202">
        <v>4</v>
      </c>
      <c r="BI318" s="202">
        <v>2185</v>
      </c>
      <c r="BJ318" s="203">
        <v>991</v>
      </c>
      <c r="BK318" s="202">
        <v>4</v>
      </c>
      <c r="BL318" s="202">
        <v>1585</v>
      </c>
      <c r="BM318" s="202">
        <v>1015</v>
      </c>
      <c r="BN318" s="202">
        <v>3</v>
      </c>
      <c r="BO318" s="202">
        <v>1494</v>
      </c>
      <c r="BP318" s="202">
        <v>694</v>
      </c>
      <c r="BQ318" s="202">
        <v>3</v>
      </c>
      <c r="BR318" s="202">
        <v>1026</v>
      </c>
      <c r="BS318" s="202">
        <v>552</v>
      </c>
      <c r="BT318" s="202"/>
      <c r="BU318" s="202"/>
      <c r="BV318" s="202"/>
      <c r="BW318" s="202"/>
      <c r="BX318" s="202"/>
      <c r="BY318" s="202"/>
      <c r="BZ318" s="202"/>
      <c r="CA318" s="202"/>
      <c r="CB318" s="202"/>
      <c r="CC318" s="202"/>
      <c r="CD318" s="202"/>
      <c r="CE318" s="202"/>
      <c r="CF318" s="202"/>
      <c r="CG318" s="202"/>
      <c r="CH318" s="202"/>
      <c r="CI318" s="202"/>
      <c r="CJ318" s="202"/>
      <c r="CK318" s="202"/>
      <c r="CL318" s="202"/>
      <c r="CM318" s="202"/>
      <c r="CN318" s="202"/>
      <c r="CO318" s="202"/>
      <c r="CP318" s="202"/>
      <c r="CQ318" s="202"/>
      <c r="CR318" s="202"/>
      <c r="CS318" s="202"/>
      <c r="CT318" s="202"/>
      <c r="CU318" s="202"/>
      <c r="CV318" s="202"/>
      <c r="CW318" s="202"/>
      <c r="CX318" s="202"/>
      <c r="CY318" s="202"/>
      <c r="CZ318" s="202"/>
      <c r="DA318" s="202"/>
      <c r="DB318" s="202"/>
      <c r="DC318" s="202"/>
      <c r="DD318" s="202"/>
      <c r="DE318" s="202"/>
      <c r="DF318" s="202"/>
      <c r="DG318" s="202"/>
      <c r="DH318" s="202"/>
      <c r="DI318" s="202"/>
    </row>
    <row r="319" spans="1:115" s="316" customFormat="1" ht="15" customHeight="1">
      <c r="A319" s="315" t="s">
        <v>461</v>
      </c>
      <c r="B319" s="42"/>
      <c r="C319" s="42"/>
      <c r="D319" s="42"/>
      <c r="E319" s="314"/>
      <c r="F319" s="314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97">
        <v>6</v>
      </c>
      <c r="V319" s="97"/>
      <c r="W319" s="97">
        <v>116</v>
      </c>
      <c r="X319" s="97">
        <v>6</v>
      </c>
      <c r="Y319" s="97">
        <v>624</v>
      </c>
      <c r="Z319" s="97">
        <v>1778</v>
      </c>
      <c r="AA319" s="98">
        <v>6</v>
      </c>
      <c r="AB319" s="98">
        <v>3600</v>
      </c>
      <c r="AC319" s="98">
        <v>1819</v>
      </c>
      <c r="AD319" s="95">
        <v>6</v>
      </c>
      <c r="AE319" s="214">
        <v>2400</v>
      </c>
      <c r="AF319" s="214">
        <v>1754</v>
      </c>
      <c r="AG319" s="101"/>
      <c r="AH319" s="101"/>
      <c r="AI319" s="101"/>
      <c r="AJ319" s="165">
        <v>6</v>
      </c>
      <c r="AK319" s="165"/>
      <c r="AL319" s="165">
        <v>1828</v>
      </c>
      <c r="AM319" s="166">
        <v>6</v>
      </c>
      <c r="AN319" s="166">
        <v>2400</v>
      </c>
      <c r="AO319" s="166">
        <v>1803</v>
      </c>
      <c r="AP319" s="104">
        <v>6</v>
      </c>
      <c r="AQ319" s="104">
        <v>2400</v>
      </c>
      <c r="AR319" s="104">
        <v>1816</v>
      </c>
      <c r="AS319" s="105">
        <v>6</v>
      </c>
      <c r="AT319" s="105">
        <v>2400</v>
      </c>
      <c r="AU319" s="105">
        <v>1812</v>
      </c>
      <c r="AV319" s="172">
        <v>6</v>
      </c>
      <c r="AW319" s="172">
        <v>1000</v>
      </c>
      <c r="AX319" s="172">
        <v>1821</v>
      </c>
      <c r="AY319" s="108">
        <v>6</v>
      </c>
      <c r="AZ319" s="108">
        <v>3812</v>
      </c>
      <c r="BA319" s="108">
        <v>1784</v>
      </c>
      <c r="BB319" s="110"/>
      <c r="BC319" s="110"/>
      <c r="BD319" s="110"/>
      <c r="BE319" s="175">
        <v>6</v>
      </c>
      <c r="BF319" s="175">
        <v>1628</v>
      </c>
      <c r="BG319" s="175">
        <v>1782</v>
      </c>
      <c r="BH319" s="52">
        <v>6</v>
      </c>
      <c r="BI319" s="52"/>
      <c r="BJ319" s="52">
        <v>1856</v>
      </c>
      <c r="BK319" s="54">
        <v>6</v>
      </c>
      <c r="BL319" s="54">
        <v>2199</v>
      </c>
      <c r="BM319" s="54">
        <v>1807</v>
      </c>
      <c r="BN319" s="55">
        <v>6</v>
      </c>
      <c r="BO319" s="55">
        <v>3237</v>
      </c>
      <c r="BP319" s="55">
        <v>1637</v>
      </c>
      <c r="BQ319" s="55">
        <v>6</v>
      </c>
      <c r="BR319" s="55">
        <v>1200</v>
      </c>
      <c r="BS319" s="55">
        <v>1831</v>
      </c>
      <c r="BT319" s="124"/>
      <c r="BU319" s="124"/>
      <c r="BV319" s="124"/>
      <c r="BW319" s="178"/>
      <c r="BX319" s="178"/>
      <c r="BY319" s="178"/>
      <c r="BZ319" s="57"/>
      <c r="CA319" s="57"/>
      <c r="CB319" s="57"/>
      <c r="CC319" s="58"/>
      <c r="CD319" s="58"/>
      <c r="CE319" s="58"/>
      <c r="CF319" s="60"/>
      <c r="CG319" s="60"/>
      <c r="CH319" s="60"/>
      <c r="CI319" s="314"/>
      <c r="CJ319" s="314"/>
      <c r="CK319" s="314"/>
      <c r="CL319" s="314"/>
      <c r="CM319" s="314"/>
      <c r="CN319" s="314"/>
      <c r="CO319" s="314"/>
      <c r="CP319" s="314"/>
      <c r="CQ319" s="314"/>
      <c r="CR319" s="314"/>
      <c r="CS319" s="314"/>
      <c r="CT319" s="314"/>
      <c r="CU319" s="314"/>
      <c r="CV319" s="314"/>
      <c r="CW319" s="314"/>
      <c r="CX319" s="314"/>
      <c r="CY319" s="314"/>
      <c r="CZ319" s="314"/>
      <c r="DA319" s="314"/>
      <c r="DB319" s="314"/>
      <c r="DC319" s="314"/>
      <c r="DD319" s="314"/>
      <c r="DE319" s="314"/>
      <c r="DF319" s="314"/>
      <c r="DG319" s="314"/>
      <c r="DH319" s="314"/>
      <c r="DI319" s="314"/>
    </row>
    <row r="320" spans="1:115" s="316" customFormat="1" ht="15" customHeight="1">
      <c r="A320" s="315" t="s">
        <v>455</v>
      </c>
      <c r="B320" s="42"/>
      <c r="C320" s="42"/>
      <c r="D320" s="42"/>
      <c r="E320" s="314"/>
      <c r="F320" s="314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97">
        <v>1</v>
      </c>
      <c r="V320" s="97"/>
      <c r="W320" s="97">
        <v>248</v>
      </c>
      <c r="X320" s="97">
        <v>1</v>
      </c>
      <c r="Y320" s="97"/>
      <c r="Z320" s="97">
        <v>237</v>
      </c>
      <c r="AA320" s="98">
        <v>1</v>
      </c>
      <c r="AB320" s="98"/>
      <c r="AC320" s="98">
        <v>141</v>
      </c>
      <c r="AD320" s="95">
        <v>1</v>
      </c>
      <c r="AE320" s="214"/>
      <c r="AF320" s="214"/>
      <c r="AG320" s="101"/>
      <c r="AH320" s="101"/>
      <c r="AI320" s="101"/>
      <c r="AJ320" s="165">
        <v>1</v>
      </c>
      <c r="AK320" s="165"/>
      <c r="AL320" s="165"/>
      <c r="AM320" s="166">
        <v>1</v>
      </c>
      <c r="AN320" s="166"/>
      <c r="AO320" s="166"/>
      <c r="AP320" s="104">
        <v>1</v>
      </c>
      <c r="AQ320" s="104"/>
      <c r="AR320" s="104"/>
      <c r="AS320" s="105">
        <v>1</v>
      </c>
      <c r="AT320" s="105"/>
      <c r="AU320" s="105"/>
      <c r="AV320" s="172">
        <v>1</v>
      </c>
      <c r="AW320" s="172"/>
      <c r="AX320" s="172"/>
      <c r="AY320" s="108">
        <v>1</v>
      </c>
      <c r="AZ320" s="108"/>
      <c r="BA320" s="108"/>
      <c r="BB320" s="110"/>
      <c r="BC320" s="110"/>
      <c r="BD320" s="110"/>
      <c r="BE320" s="175">
        <v>1</v>
      </c>
      <c r="BF320" s="175"/>
      <c r="BG320" s="175"/>
      <c r="BH320" s="52">
        <v>1</v>
      </c>
      <c r="BI320" s="52"/>
      <c r="BJ320" s="52"/>
      <c r="BK320" s="54">
        <v>1</v>
      </c>
      <c r="BL320" s="54"/>
      <c r="BM320" s="54"/>
      <c r="BN320" s="55">
        <v>1</v>
      </c>
      <c r="BO320" s="55">
        <v>811</v>
      </c>
      <c r="BP320" s="55">
        <v>179</v>
      </c>
      <c r="BQ320" s="55">
        <v>1</v>
      </c>
      <c r="BR320" s="55">
        <v>228</v>
      </c>
      <c r="BS320" s="55">
        <v>49</v>
      </c>
      <c r="BT320" s="124"/>
      <c r="BU320" s="124"/>
      <c r="BV320" s="124"/>
      <c r="BW320" s="178"/>
      <c r="BX320" s="178"/>
      <c r="BY320" s="178"/>
      <c r="BZ320" s="57"/>
      <c r="CA320" s="57"/>
      <c r="CB320" s="57"/>
      <c r="CC320" s="58"/>
      <c r="CD320" s="58"/>
      <c r="CE320" s="58"/>
      <c r="CF320" s="60"/>
      <c r="CG320" s="60"/>
      <c r="CH320" s="60"/>
      <c r="CI320" s="314"/>
      <c r="CJ320" s="314"/>
      <c r="CK320" s="314"/>
      <c r="CL320" s="314"/>
      <c r="CM320" s="314"/>
      <c r="CN320" s="314"/>
      <c r="CO320" s="314"/>
      <c r="CP320" s="314"/>
      <c r="CQ320" s="314"/>
      <c r="CR320" s="314"/>
      <c r="CS320" s="314"/>
      <c r="CT320" s="314"/>
      <c r="CU320" s="314"/>
      <c r="CV320" s="314"/>
      <c r="CW320" s="314"/>
      <c r="CX320" s="314"/>
      <c r="CY320" s="314"/>
      <c r="CZ320" s="314"/>
      <c r="DA320" s="314"/>
      <c r="DB320" s="314"/>
      <c r="DC320" s="314"/>
      <c r="DD320" s="314"/>
      <c r="DE320" s="314"/>
      <c r="DF320" s="314"/>
      <c r="DG320" s="314"/>
      <c r="DH320" s="314"/>
      <c r="DI320" s="314"/>
    </row>
    <row r="321" spans="1:113" s="16" customFormat="1" ht="15" customHeight="1">
      <c r="A321" s="90" t="s">
        <v>368</v>
      </c>
      <c r="B321" s="42"/>
      <c r="C321" s="42"/>
      <c r="D321" s="42"/>
      <c r="E321" s="145"/>
      <c r="F321" s="145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97">
        <v>3</v>
      </c>
      <c r="V321" s="97"/>
      <c r="W321" s="97"/>
      <c r="X321" s="97">
        <v>3</v>
      </c>
      <c r="Y321" s="97"/>
      <c r="Z321" s="97"/>
      <c r="AA321" s="98">
        <v>3</v>
      </c>
      <c r="AB321" s="98"/>
      <c r="AC321" s="98"/>
      <c r="AD321" s="95">
        <v>3</v>
      </c>
      <c r="AE321" s="214"/>
      <c r="AF321" s="214"/>
      <c r="AG321" s="101"/>
      <c r="AH321" s="101"/>
      <c r="AI321" s="101"/>
      <c r="AJ321" s="165">
        <v>3</v>
      </c>
      <c r="AK321" s="165"/>
      <c r="AL321" s="165"/>
      <c r="AM321" s="166">
        <v>2</v>
      </c>
      <c r="AN321" s="166">
        <v>1838</v>
      </c>
      <c r="AO321" s="166"/>
      <c r="AP321" s="104">
        <v>2</v>
      </c>
      <c r="AQ321" s="104">
        <v>2557</v>
      </c>
      <c r="AR321" s="104">
        <v>169</v>
      </c>
      <c r="AS321" s="105">
        <v>2</v>
      </c>
      <c r="AT321" s="105">
        <v>1957</v>
      </c>
      <c r="AU321" s="105">
        <v>391</v>
      </c>
      <c r="AV321" s="172">
        <v>2</v>
      </c>
      <c r="AW321" s="172"/>
      <c r="AX321" s="172">
        <v>461</v>
      </c>
      <c r="AY321" s="108">
        <v>1</v>
      </c>
      <c r="AZ321" s="108">
        <v>624</v>
      </c>
      <c r="BA321" s="108">
        <v>221</v>
      </c>
      <c r="BB321" s="110"/>
      <c r="BC321" s="110"/>
      <c r="BD321" s="110"/>
      <c r="BE321" s="175">
        <v>1</v>
      </c>
      <c r="BF321" s="175"/>
      <c r="BG321" s="175">
        <v>241</v>
      </c>
      <c r="BH321" s="52">
        <v>1</v>
      </c>
      <c r="BI321" s="52"/>
      <c r="BJ321" s="52">
        <v>235</v>
      </c>
      <c r="BK321" s="54">
        <v>1</v>
      </c>
      <c r="BL321" s="54"/>
      <c r="BM321" s="54">
        <v>238</v>
      </c>
      <c r="BN321" s="55">
        <v>1</v>
      </c>
      <c r="BO321" s="55"/>
      <c r="BP321" s="55">
        <v>231</v>
      </c>
      <c r="BQ321" s="55">
        <v>1</v>
      </c>
      <c r="BR321" s="55"/>
      <c r="BS321" s="55">
        <v>236</v>
      </c>
      <c r="BT321" s="124"/>
      <c r="BU321" s="124"/>
      <c r="BV321" s="124"/>
      <c r="BW321" s="178"/>
      <c r="BX321" s="178"/>
      <c r="BY321" s="178"/>
      <c r="BZ321" s="57"/>
      <c r="CA321" s="57"/>
      <c r="CB321" s="57"/>
      <c r="CC321" s="58"/>
      <c r="CD321" s="58"/>
      <c r="CE321" s="58"/>
      <c r="CF321" s="60"/>
      <c r="CG321" s="60"/>
      <c r="CH321" s="60"/>
      <c r="CI321" s="150"/>
      <c r="CJ321" s="150"/>
      <c r="CK321" s="150"/>
      <c r="CL321" s="62"/>
      <c r="CM321" s="62"/>
      <c r="CN321" s="62"/>
      <c r="CO321" s="95"/>
      <c r="CP321" s="95"/>
      <c r="CQ321" s="95"/>
      <c r="CR321" s="95"/>
      <c r="CS321" s="95"/>
      <c r="CT321" s="95"/>
      <c r="CU321" s="95"/>
      <c r="CV321" s="95"/>
      <c r="CW321" s="95"/>
      <c r="CX321" s="42"/>
      <c r="CY321" s="42"/>
      <c r="CZ321" s="42"/>
      <c r="DA321" s="42"/>
      <c r="DB321" s="42"/>
      <c r="DC321" s="42"/>
      <c r="DD321" s="42"/>
      <c r="DE321" s="42"/>
      <c r="DF321" s="42"/>
      <c r="DG321" s="42"/>
      <c r="DH321" s="42"/>
      <c r="DI321" s="42"/>
    </row>
    <row r="322" spans="1:113" s="16" customFormat="1" ht="15" customHeight="1">
      <c r="A322" s="90" t="s">
        <v>519</v>
      </c>
      <c r="B322" s="42"/>
      <c r="C322" s="42"/>
      <c r="D322" s="42"/>
      <c r="E322" s="145"/>
      <c r="F322" s="145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97"/>
      <c r="V322" s="97"/>
      <c r="W322" s="97"/>
      <c r="X322" s="97"/>
      <c r="Y322" s="97"/>
      <c r="Z322" s="97"/>
      <c r="AA322" s="98"/>
      <c r="AB322" s="98"/>
      <c r="AC322" s="98"/>
      <c r="AD322" s="95"/>
      <c r="AE322" s="214"/>
      <c r="AF322" s="214"/>
      <c r="AG322" s="101"/>
      <c r="AH322" s="101"/>
      <c r="AI322" s="101"/>
      <c r="AJ322" s="165"/>
      <c r="AK322" s="165"/>
      <c r="AL322" s="165"/>
      <c r="AM322" s="166"/>
      <c r="AN322" s="166"/>
      <c r="AO322" s="166"/>
      <c r="AP322" s="104"/>
      <c r="AQ322" s="104"/>
      <c r="AR322" s="104"/>
      <c r="AS322" s="105"/>
      <c r="AT322" s="105"/>
      <c r="AU322" s="105"/>
      <c r="AV322" s="172"/>
      <c r="AW322" s="172"/>
      <c r="AX322" s="172"/>
      <c r="AY322" s="108"/>
      <c r="AZ322" s="108"/>
      <c r="BA322" s="108"/>
      <c r="BB322" s="110"/>
      <c r="BC322" s="110"/>
      <c r="BD322" s="110"/>
      <c r="BE322" s="175"/>
      <c r="BF322" s="175"/>
      <c r="BG322" s="175"/>
      <c r="BH322" s="52"/>
      <c r="BI322" s="52"/>
      <c r="BJ322" s="52"/>
      <c r="BK322" s="54">
        <v>1</v>
      </c>
      <c r="BL322" s="54"/>
      <c r="BM322" s="54">
        <v>221</v>
      </c>
      <c r="BN322" s="55">
        <v>1</v>
      </c>
      <c r="BO322" s="55">
        <v>278</v>
      </c>
      <c r="BP322" s="55">
        <v>341</v>
      </c>
      <c r="BQ322" s="55">
        <v>1</v>
      </c>
      <c r="BR322" s="55">
        <v>309</v>
      </c>
      <c r="BS322" s="55">
        <v>313</v>
      </c>
      <c r="BT322" s="124"/>
      <c r="BU322" s="124"/>
      <c r="BV322" s="124"/>
      <c r="BW322" s="178"/>
      <c r="BX322" s="178"/>
      <c r="BY322" s="178"/>
      <c r="BZ322" s="57"/>
      <c r="CA322" s="57"/>
      <c r="CB322" s="57"/>
      <c r="CC322" s="58"/>
      <c r="CD322" s="58"/>
      <c r="CE322" s="58"/>
      <c r="CF322" s="60"/>
      <c r="CG322" s="60"/>
      <c r="CH322" s="60"/>
      <c r="CI322" s="150"/>
      <c r="CJ322" s="150"/>
      <c r="CK322" s="150"/>
      <c r="CL322" s="62"/>
      <c r="CM322" s="62"/>
      <c r="CN322" s="62"/>
      <c r="CO322" s="95"/>
      <c r="CP322" s="95"/>
      <c r="CQ322" s="95"/>
      <c r="CR322" s="95"/>
      <c r="CS322" s="95"/>
      <c r="CT322" s="95"/>
      <c r="CU322" s="95"/>
      <c r="CV322" s="95"/>
      <c r="CW322" s="95"/>
      <c r="CX322" s="42"/>
      <c r="CY322" s="42"/>
      <c r="CZ322" s="42"/>
      <c r="DA322" s="42"/>
      <c r="DB322" s="42"/>
      <c r="DC322" s="42"/>
      <c r="DD322" s="42"/>
      <c r="DE322" s="42"/>
      <c r="DF322" s="42"/>
      <c r="DG322" s="42"/>
      <c r="DH322" s="42"/>
      <c r="DI322" s="42"/>
    </row>
    <row r="323" spans="1:113" s="16" customFormat="1" ht="15" customHeight="1">
      <c r="A323" s="90" t="s">
        <v>517</v>
      </c>
      <c r="B323" s="42"/>
      <c r="C323" s="42"/>
      <c r="D323" s="42"/>
      <c r="E323" s="145"/>
      <c r="F323" s="145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97"/>
      <c r="V323" s="97"/>
      <c r="W323" s="97"/>
      <c r="X323" s="97"/>
      <c r="Y323" s="97"/>
      <c r="Z323" s="97"/>
      <c r="AA323" s="98"/>
      <c r="AB323" s="98"/>
      <c r="AC323" s="98"/>
      <c r="AD323" s="95"/>
      <c r="AE323" s="214"/>
      <c r="AF323" s="214"/>
      <c r="AG323" s="101"/>
      <c r="AH323" s="101"/>
      <c r="AI323" s="101"/>
      <c r="AJ323" s="165"/>
      <c r="AK323" s="165"/>
      <c r="AL323" s="165"/>
      <c r="AM323" s="166"/>
      <c r="AN323" s="166"/>
      <c r="AO323" s="166"/>
      <c r="AP323" s="104"/>
      <c r="AQ323" s="104"/>
      <c r="AR323" s="104"/>
      <c r="AS323" s="105"/>
      <c r="AT323" s="105"/>
      <c r="AU323" s="105"/>
      <c r="AV323" s="172"/>
      <c r="AW323" s="172"/>
      <c r="AX323" s="172"/>
      <c r="AY323" s="108">
        <v>1</v>
      </c>
      <c r="AZ323" s="108"/>
      <c r="BA323" s="108">
        <v>226</v>
      </c>
      <c r="BB323" s="110"/>
      <c r="BC323" s="110"/>
      <c r="BD323" s="110"/>
      <c r="BE323" s="175">
        <v>1</v>
      </c>
      <c r="BF323" s="175"/>
      <c r="BG323" s="175">
        <v>286</v>
      </c>
      <c r="BH323" s="52">
        <v>1</v>
      </c>
      <c r="BI323" s="52"/>
      <c r="BJ323" s="52">
        <v>286</v>
      </c>
      <c r="BK323" s="54">
        <v>1</v>
      </c>
      <c r="BL323" s="54"/>
      <c r="BM323" s="54">
        <v>285</v>
      </c>
      <c r="BN323" s="55">
        <v>1</v>
      </c>
      <c r="BO323" s="55">
        <v>1132</v>
      </c>
      <c r="BP323" s="55">
        <v>282</v>
      </c>
      <c r="BQ323" s="55">
        <v>1</v>
      </c>
      <c r="BR323" s="55"/>
      <c r="BS323" s="55">
        <v>283</v>
      </c>
      <c r="BT323" s="124"/>
      <c r="BU323" s="124"/>
      <c r="BV323" s="124"/>
      <c r="BW323" s="178"/>
      <c r="BX323" s="178"/>
      <c r="BY323" s="178"/>
      <c r="BZ323" s="57"/>
      <c r="CA323" s="57"/>
      <c r="CB323" s="57"/>
      <c r="CC323" s="58"/>
      <c r="CD323" s="58"/>
      <c r="CE323" s="58"/>
      <c r="CF323" s="60"/>
      <c r="CG323" s="60"/>
      <c r="CH323" s="60"/>
      <c r="CI323" s="150"/>
      <c r="CJ323" s="150"/>
      <c r="CK323" s="150"/>
      <c r="CL323" s="62"/>
      <c r="CM323" s="62"/>
      <c r="CN323" s="62"/>
      <c r="CO323" s="95"/>
      <c r="CP323" s="95"/>
      <c r="CQ323" s="95"/>
      <c r="CR323" s="95"/>
      <c r="CS323" s="95"/>
      <c r="CT323" s="95"/>
      <c r="CU323" s="95"/>
      <c r="CV323" s="95"/>
      <c r="CW323" s="95"/>
      <c r="CX323" s="42"/>
      <c r="CY323" s="42"/>
      <c r="CZ323" s="42"/>
      <c r="DA323" s="42"/>
      <c r="DB323" s="42"/>
      <c r="DC323" s="42"/>
      <c r="DD323" s="42"/>
      <c r="DE323" s="42"/>
      <c r="DF323" s="42"/>
      <c r="DG323" s="42"/>
      <c r="DH323" s="42"/>
      <c r="DI323" s="42"/>
    </row>
    <row r="324" spans="1:113" s="16" customFormat="1" ht="15" customHeight="1">
      <c r="A324" s="90" t="s">
        <v>510</v>
      </c>
      <c r="B324" s="42"/>
      <c r="C324" s="42"/>
      <c r="D324" s="42"/>
      <c r="E324" s="145"/>
      <c r="F324" s="145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97"/>
      <c r="V324" s="97"/>
      <c r="W324" s="97"/>
      <c r="X324" s="97"/>
      <c r="Y324" s="97"/>
      <c r="Z324" s="97"/>
      <c r="AA324" s="98"/>
      <c r="AB324" s="98"/>
      <c r="AC324" s="98"/>
      <c r="AD324" s="95"/>
      <c r="AE324" s="214"/>
      <c r="AF324" s="214"/>
      <c r="AG324" s="101"/>
      <c r="AH324" s="101"/>
      <c r="AI324" s="101"/>
      <c r="AJ324" s="165"/>
      <c r="AK324" s="165"/>
      <c r="AL324" s="165"/>
      <c r="AM324" s="166">
        <v>1</v>
      </c>
      <c r="AN324" s="166"/>
      <c r="AO324" s="166">
        <v>212</v>
      </c>
      <c r="AP324" s="104">
        <v>1</v>
      </c>
      <c r="AQ324" s="104"/>
      <c r="AR324" s="104">
        <v>284</v>
      </c>
      <c r="AS324" s="105">
        <v>2</v>
      </c>
      <c r="AT324" s="105">
        <v>533</v>
      </c>
      <c r="AU324" s="105">
        <v>427</v>
      </c>
      <c r="AV324" s="172">
        <v>2</v>
      </c>
      <c r="AW324" s="172"/>
      <c r="AX324" s="172">
        <v>562</v>
      </c>
      <c r="AY324" s="108">
        <v>2</v>
      </c>
      <c r="AZ324" s="108"/>
      <c r="BA324" s="108">
        <v>554</v>
      </c>
      <c r="BB324" s="110"/>
      <c r="BC324" s="110"/>
      <c r="BD324" s="110"/>
      <c r="BE324" s="175">
        <v>2</v>
      </c>
      <c r="BF324" s="175"/>
      <c r="BG324" s="175">
        <v>567</v>
      </c>
      <c r="BH324" s="52">
        <v>2</v>
      </c>
      <c r="BI324" s="52">
        <v>2092</v>
      </c>
      <c r="BJ324" s="52">
        <v>291</v>
      </c>
      <c r="BK324" s="54">
        <v>1</v>
      </c>
      <c r="BL324" s="54"/>
      <c r="BM324" s="54">
        <v>289</v>
      </c>
      <c r="BN324" s="55">
        <v>1</v>
      </c>
      <c r="BO324" s="55"/>
      <c r="BP324" s="55">
        <v>287</v>
      </c>
      <c r="BQ324" s="55">
        <v>1</v>
      </c>
      <c r="BR324" s="55">
        <v>1000</v>
      </c>
      <c r="BS324" s="55">
        <v>285</v>
      </c>
      <c r="BT324" s="124"/>
      <c r="BU324" s="124"/>
      <c r="BV324" s="124"/>
      <c r="BW324" s="178"/>
      <c r="BX324" s="178"/>
      <c r="BY324" s="178"/>
      <c r="BZ324" s="57"/>
      <c r="CA324" s="57"/>
      <c r="CB324" s="57"/>
      <c r="CC324" s="58"/>
      <c r="CD324" s="58"/>
      <c r="CE324" s="58"/>
      <c r="CF324" s="60"/>
      <c r="CG324" s="60"/>
      <c r="CH324" s="60"/>
      <c r="CI324" s="150"/>
      <c r="CJ324" s="150"/>
      <c r="CK324" s="150"/>
      <c r="CL324" s="62"/>
      <c r="CM324" s="62"/>
      <c r="CN324" s="62"/>
      <c r="CO324" s="95"/>
      <c r="CP324" s="95"/>
      <c r="CQ324" s="95"/>
      <c r="CR324" s="95"/>
      <c r="CS324" s="95"/>
      <c r="CT324" s="95"/>
      <c r="CU324" s="95"/>
      <c r="CV324" s="95"/>
      <c r="CW324" s="95"/>
      <c r="CX324" s="42"/>
      <c r="CY324" s="42"/>
      <c r="CZ324" s="42"/>
      <c r="DA324" s="42"/>
      <c r="DB324" s="42"/>
      <c r="DC324" s="42"/>
      <c r="DD324" s="42"/>
      <c r="DE324" s="42"/>
      <c r="DF324" s="42"/>
      <c r="DG324" s="42"/>
      <c r="DH324" s="42"/>
      <c r="DI324" s="42"/>
    </row>
    <row r="325" spans="1:113" s="16" customFormat="1" ht="15" customHeight="1">
      <c r="A325" s="90" t="s">
        <v>513</v>
      </c>
      <c r="B325" s="42"/>
      <c r="C325" s="42"/>
      <c r="D325" s="42"/>
      <c r="E325" s="145"/>
      <c r="F325" s="145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97"/>
      <c r="V325" s="97"/>
      <c r="W325" s="97"/>
      <c r="X325" s="97"/>
      <c r="Y325" s="97"/>
      <c r="Z325" s="97"/>
      <c r="AA325" s="98"/>
      <c r="AB325" s="98"/>
      <c r="AC325" s="98"/>
      <c r="AD325" s="95"/>
      <c r="AE325" s="214"/>
      <c r="AF325" s="214"/>
      <c r="AG325" s="101"/>
      <c r="AH325" s="101"/>
      <c r="AI325" s="101"/>
      <c r="AJ325" s="165"/>
      <c r="AK325" s="165"/>
      <c r="AL325" s="165"/>
      <c r="AM325" s="166"/>
      <c r="AN325" s="166"/>
      <c r="AO325" s="166"/>
      <c r="AP325" s="104">
        <v>1</v>
      </c>
      <c r="AQ325" s="104"/>
      <c r="AR325" s="104"/>
      <c r="AS325" s="105">
        <v>1</v>
      </c>
      <c r="AT325" s="105"/>
      <c r="AU325" s="105">
        <v>101</v>
      </c>
      <c r="AV325" s="172">
        <v>2</v>
      </c>
      <c r="AW325" s="172"/>
      <c r="AX325" s="172">
        <v>350</v>
      </c>
      <c r="AY325" s="108">
        <v>2</v>
      </c>
      <c r="AZ325" s="108"/>
      <c r="BA325" s="108">
        <v>446</v>
      </c>
      <c r="BB325" s="110"/>
      <c r="BC325" s="110"/>
      <c r="BD325" s="110"/>
      <c r="BE325" s="175">
        <v>2</v>
      </c>
      <c r="BF325" s="175">
        <v>685</v>
      </c>
      <c r="BG325" s="175">
        <v>433</v>
      </c>
      <c r="BH325" s="52">
        <v>2</v>
      </c>
      <c r="BI325" s="52"/>
      <c r="BJ325" s="52">
        <v>475</v>
      </c>
      <c r="BK325" s="54">
        <v>3</v>
      </c>
      <c r="BL325" s="54">
        <v>805</v>
      </c>
      <c r="BM325" s="54">
        <v>472</v>
      </c>
      <c r="BN325" s="55">
        <v>3</v>
      </c>
      <c r="BO325" s="55"/>
      <c r="BP325" s="55">
        <v>697</v>
      </c>
      <c r="BQ325" s="55">
        <v>3</v>
      </c>
      <c r="BR325" s="55">
        <v>1080</v>
      </c>
      <c r="BS325" s="55">
        <v>726</v>
      </c>
      <c r="BT325" s="124"/>
      <c r="BU325" s="124"/>
      <c r="BV325" s="124"/>
      <c r="BW325" s="178"/>
      <c r="BX325" s="178"/>
      <c r="BY325" s="178"/>
      <c r="BZ325" s="57"/>
      <c r="CA325" s="57"/>
      <c r="CB325" s="57"/>
      <c r="CC325" s="58"/>
      <c r="CD325" s="58"/>
      <c r="CE325" s="58"/>
      <c r="CF325" s="60"/>
      <c r="CG325" s="60"/>
      <c r="CH325" s="60"/>
      <c r="CI325" s="150"/>
      <c r="CJ325" s="150"/>
      <c r="CK325" s="150"/>
      <c r="CL325" s="62"/>
      <c r="CM325" s="62"/>
      <c r="CN325" s="62"/>
      <c r="CO325" s="95"/>
      <c r="CP325" s="95"/>
      <c r="CQ325" s="95"/>
      <c r="CR325" s="95"/>
      <c r="CS325" s="95"/>
      <c r="CT325" s="95"/>
      <c r="CU325" s="95"/>
      <c r="CV325" s="95"/>
      <c r="CW325" s="95"/>
      <c r="CX325" s="42"/>
      <c r="CY325" s="42"/>
      <c r="CZ325" s="42"/>
      <c r="DA325" s="42"/>
      <c r="DB325" s="42"/>
      <c r="DC325" s="42"/>
      <c r="DD325" s="42"/>
      <c r="DE325" s="42"/>
      <c r="DF325" s="42"/>
      <c r="DG325" s="42"/>
      <c r="DH325" s="42"/>
      <c r="DI325" s="42"/>
    </row>
    <row r="326" spans="1:113" s="16" customFormat="1" ht="15" customHeight="1">
      <c r="A326" s="90" t="s">
        <v>448</v>
      </c>
      <c r="B326" s="42"/>
      <c r="C326" s="42"/>
      <c r="D326" s="42"/>
      <c r="E326" s="145"/>
      <c r="F326" s="145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97">
        <v>1</v>
      </c>
      <c r="V326" s="97"/>
      <c r="W326" s="97">
        <v>302</v>
      </c>
      <c r="X326" s="97">
        <v>1</v>
      </c>
      <c r="Y326" s="97"/>
      <c r="Z326" s="97">
        <v>253</v>
      </c>
      <c r="AA326" s="98">
        <v>1</v>
      </c>
      <c r="AB326" s="98"/>
      <c r="AC326" s="98"/>
      <c r="AD326" s="95">
        <v>1</v>
      </c>
      <c r="AE326" s="214"/>
      <c r="AF326" s="214"/>
      <c r="AG326" s="101"/>
      <c r="AH326" s="101"/>
      <c r="AI326" s="101"/>
      <c r="AJ326" s="165">
        <v>1</v>
      </c>
      <c r="AK326" s="165">
        <v>800</v>
      </c>
      <c r="AL326" s="165">
        <v>267</v>
      </c>
      <c r="AM326" s="166">
        <v>1</v>
      </c>
      <c r="AN326" s="166"/>
      <c r="AO326" s="166">
        <v>282</v>
      </c>
      <c r="AP326" s="104">
        <v>1</v>
      </c>
      <c r="AQ326" s="104"/>
      <c r="AR326" s="104">
        <v>293</v>
      </c>
      <c r="AS326" s="105"/>
      <c r="AT326" s="105">
        <v>882</v>
      </c>
      <c r="AU326" s="105">
        <v>40</v>
      </c>
      <c r="AV326" s="172"/>
      <c r="AW326" s="172"/>
      <c r="AX326" s="172"/>
      <c r="AY326" s="108"/>
      <c r="AZ326" s="108"/>
      <c r="BA326" s="108"/>
      <c r="BB326" s="110"/>
      <c r="BC326" s="110"/>
      <c r="BD326" s="110"/>
      <c r="BE326" s="175"/>
      <c r="BF326" s="175"/>
      <c r="BG326" s="175"/>
      <c r="BH326" s="52"/>
      <c r="BI326" s="52"/>
      <c r="BJ326" s="52"/>
      <c r="BK326" s="54"/>
      <c r="BL326" s="54"/>
      <c r="BM326" s="54"/>
      <c r="BN326" s="55"/>
      <c r="BO326" s="55"/>
      <c r="BP326" s="55"/>
      <c r="BQ326" s="55"/>
      <c r="BR326" s="55"/>
      <c r="BS326" s="55"/>
      <c r="BT326" s="124"/>
      <c r="BU326" s="124"/>
      <c r="BV326" s="124"/>
      <c r="BW326" s="178"/>
      <c r="BX326" s="178"/>
      <c r="BY326" s="178"/>
      <c r="BZ326" s="57"/>
      <c r="CA326" s="57"/>
      <c r="CB326" s="57"/>
      <c r="CC326" s="58"/>
      <c r="CD326" s="58"/>
      <c r="CE326" s="58"/>
      <c r="CF326" s="60"/>
      <c r="CG326" s="60"/>
      <c r="CH326" s="60"/>
      <c r="CI326" s="150"/>
      <c r="CJ326" s="150"/>
      <c r="CK326" s="150"/>
      <c r="CL326" s="62"/>
      <c r="CM326" s="62"/>
      <c r="CN326" s="62"/>
      <c r="CO326" s="95"/>
      <c r="CP326" s="95"/>
      <c r="CQ326" s="95"/>
      <c r="CR326" s="95"/>
      <c r="CS326" s="95"/>
      <c r="CT326" s="95"/>
      <c r="CU326" s="95"/>
      <c r="CV326" s="95"/>
      <c r="CW326" s="95"/>
      <c r="CX326" s="42"/>
      <c r="CY326" s="42"/>
      <c r="CZ326" s="42"/>
      <c r="DA326" s="42"/>
      <c r="DB326" s="42"/>
      <c r="DC326" s="42"/>
      <c r="DD326" s="42"/>
      <c r="DE326" s="42"/>
      <c r="DF326" s="42"/>
      <c r="DG326" s="42"/>
      <c r="DH326" s="42"/>
      <c r="DI326" s="42"/>
    </row>
    <row r="327" spans="1:113" s="16" customFormat="1" ht="15" customHeight="1">
      <c r="A327" s="90" t="s">
        <v>449</v>
      </c>
      <c r="B327" s="42"/>
      <c r="C327" s="42"/>
      <c r="D327" s="42"/>
      <c r="E327" s="145"/>
      <c r="F327" s="145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97">
        <v>1</v>
      </c>
      <c r="V327" s="97"/>
      <c r="W327" s="97"/>
      <c r="X327" s="97">
        <v>1</v>
      </c>
      <c r="Y327" s="97"/>
      <c r="Z327" s="97"/>
      <c r="AA327" s="98">
        <v>1</v>
      </c>
      <c r="AB327" s="98"/>
      <c r="AC327" s="98"/>
      <c r="AD327" s="95">
        <v>1</v>
      </c>
      <c r="AE327" s="320"/>
      <c r="AF327" s="320"/>
      <c r="AG327" s="101"/>
      <c r="AH327" s="101"/>
      <c r="AI327" s="101"/>
      <c r="AJ327" s="165">
        <v>1</v>
      </c>
      <c r="AK327" s="165"/>
      <c r="AL327" s="165"/>
      <c r="AM327" s="166">
        <v>1</v>
      </c>
      <c r="AN327" s="166"/>
      <c r="AO327" s="166"/>
      <c r="AP327" s="104">
        <v>1</v>
      </c>
      <c r="AQ327" s="104"/>
      <c r="AR327" s="104"/>
      <c r="AS327" s="105">
        <v>1</v>
      </c>
      <c r="AT327" s="105"/>
      <c r="AU327" s="105">
        <v>161</v>
      </c>
      <c r="AV327" s="105">
        <v>1</v>
      </c>
      <c r="AW327" s="172"/>
      <c r="AX327" s="172">
        <v>334</v>
      </c>
      <c r="AY327" s="108">
        <v>1</v>
      </c>
      <c r="AZ327" s="108">
        <v>715</v>
      </c>
      <c r="BA327" s="108">
        <v>220</v>
      </c>
      <c r="BB327" s="110"/>
      <c r="BC327" s="110"/>
      <c r="BD327" s="110"/>
      <c r="BE327" s="175"/>
      <c r="BF327" s="175"/>
      <c r="BG327" s="175"/>
      <c r="BH327" s="52"/>
      <c r="BI327" s="52"/>
      <c r="BJ327" s="52"/>
      <c r="BK327" s="54"/>
      <c r="BL327" s="54"/>
      <c r="BM327" s="54"/>
      <c r="BN327" s="55"/>
      <c r="BO327" s="55"/>
      <c r="BP327" s="55"/>
      <c r="BQ327" s="55"/>
      <c r="BR327" s="55"/>
      <c r="BS327" s="55"/>
      <c r="BT327" s="124"/>
      <c r="BU327" s="124"/>
      <c r="BV327" s="124"/>
      <c r="BW327" s="178"/>
      <c r="BX327" s="178"/>
      <c r="BY327" s="178"/>
      <c r="BZ327" s="57"/>
      <c r="CA327" s="57"/>
      <c r="CB327" s="57"/>
      <c r="CC327" s="58"/>
      <c r="CD327" s="58"/>
      <c r="CE327" s="58"/>
      <c r="CF327" s="60"/>
      <c r="CG327" s="60"/>
      <c r="CH327" s="60"/>
      <c r="CI327" s="150"/>
      <c r="CJ327" s="150"/>
      <c r="CK327" s="150"/>
      <c r="CL327" s="62"/>
      <c r="CM327" s="62"/>
      <c r="CN327" s="62"/>
      <c r="CO327" s="95"/>
      <c r="CP327" s="95"/>
      <c r="CQ327" s="95"/>
      <c r="CR327" s="95"/>
      <c r="CS327" s="95"/>
      <c r="CT327" s="95"/>
      <c r="CU327" s="95"/>
      <c r="CV327" s="95"/>
      <c r="CW327" s="95"/>
      <c r="CX327" s="42"/>
      <c r="CY327" s="42"/>
      <c r="CZ327" s="42"/>
      <c r="DA327" s="42"/>
      <c r="DB327" s="42"/>
      <c r="DC327" s="42"/>
      <c r="DD327" s="42"/>
      <c r="DE327" s="42"/>
      <c r="DF327" s="42"/>
      <c r="DG327" s="42"/>
      <c r="DH327" s="42"/>
      <c r="DI327" s="42"/>
    </row>
    <row r="328" spans="1:113" s="16" customFormat="1" ht="15" customHeight="1">
      <c r="A328" s="90" t="s">
        <v>369</v>
      </c>
      <c r="B328" s="42"/>
      <c r="C328" s="42"/>
      <c r="D328" s="42"/>
      <c r="E328" s="145"/>
      <c r="F328" s="145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97">
        <v>2</v>
      </c>
      <c r="V328" s="97">
        <v>1000</v>
      </c>
      <c r="W328" s="97">
        <v>852</v>
      </c>
      <c r="X328" s="97">
        <v>4</v>
      </c>
      <c r="Y328" s="97"/>
      <c r="Z328" s="97">
        <v>1518</v>
      </c>
      <c r="AA328" s="98">
        <v>4</v>
      </c>
      <c r="AB328" s="98">
        <v>1920</v>
      </c>
      <c r="AC328" s="98">
        <v>1626</v>
      </c>
      <c r="AD328" s="95">
        <v>4</v>
      </c>
      <c r="AE328" s="285"/>
      <c r="AF328" s="285">
        <v>1521</v>
      </c>
      <c r="AG328" s="101"/>
      <c r="AH328" s="101"/>
      <c r="AI328" s="101"/>
      <c r="AJ328" s="165">
        <v>4</v>
      </c>
      <c r="AK328" s="165">
        <v>3641</v>
      </c>
      <c r="AL328" s="165">
        <v>1607</v>
      </c>
      <c r="AM328" s="166">
        <v>4</v>
      </c>
      <c r="AN328" s="166"/>
      <c r="AO328" s="166">
        <v>1565</v>
      </c>
      <c r="AP328" s="104">
        <v>4</v>
      </c>
      <c r="AQ328" s="104">
        <v>1384</v>
      </c>
      <c r="AR328" s="104">
        <v>1510</v>
      </c>
      <c r="AS328" s="105">
        <v>4</v>
      </c>
      <c r="AT328" s="105"/>
      <c r="AU328" s="105">
        <v>1502</v>
      </c>
      <c r="AV328" s="105">
        <v>4</v>
      </c>
      <c r="AW328" s="172">
        <v>3653</v>
      </c>
      <c r="AX328" s="172">
        <v>1543</v>
      </c>
      <c r="AY328" s="108">
        <v>4</v>
      </c>
      <c r="AZ328" s="108">
        <v>3103</v>
      </c>
      <c r="BA328" s="108">
        <v>1418</v>
      </c>
      <c r="BB328" s="110"/>
      <c r="BC328" s="110"/>
      <c r="BD328" s="110"/>
      <c r="BE328" s="175">
        <v>4</v>
      </c>
      <c r="BF328" s="175"/>
      <c r="BG328" s="175">
        <v>1442</v>
      </c>
      <c r="BH328" s="52">
        <v>4</v>
      </c>
      <c r="BI328" s="52"/>
      <c r="BJ328" s="52">
        <v>1492</v>
      </c>
      <c r="BK328" s="54">
        <v>4</v>
      </c>
      <c r="BL328" s="54">
        <v>1718</v>
      </c>
      <c r="BM328" s="54">
        <v>1507</v>
      </c>
      <c r="BN328" s="55">
        <v>4</v>
      </c>
      <c r="BO328" s="55">
        <v>4067</v>
      </c>
      <c r="BP328" s="55">
        <v>1409</v>
      </c>
      <c r="BQ328" s="55">
        <v>4</v>
      </c>
      <c r="BR328" s="55"/>
      <c r="BS328" s="55">
        <v>1533</v>
      </c>
      <c r="BT328" s="124"/>
      <c r="BU328" s="124"/>
      <c r="BV328" s="124"/>
      <c r="BW328" s="178"/>
      <c r="BX328" s="178"/>
      <c r="BY328" s="178"/>
      <c r="BZ328" s="57"/>
      <c r="CA328" s="57"/>
      <c r="CB328" s="57"/>
      <c r="CC328" s="58"/>
      <c r="CD328" s="58"/>
      <c r="CE328" s="58"/>
      <c r="CF328" s="60"/>
      <c r="CG328" s="60"/>
      <c r="CH328" s="60"/>
      <c r="CI328" s="150"/>
      <c r="CJ328" s="150"/>
      <c r="CK328" s="150"/>
      <c r="CL328" s="62"/>
      <c r="CM328" s="62"/>
      <c r="CN328" s="62"/>
      <c r="CO328" s="95"/>
      <c r="CP328" s="95"/>
      <c r="CQ328" s="95"/>
      <c r="CR328" s="95"/>
      <c r="CS328" s="95"/>
      <c r="CT328" s="95"/>
      <c r="CU328" s="95"/>
      <c r="CV328" s="95"/>
      <c r="CW328" s="95"/>
      <c r="CX328" s="42"/>
      <c r="CY328" s="42"/>
      <c r="CZ328" s="42"/>
      <c r="DA328" s="42"/>
      <c r="DB328" s="42"/>
      <c r="DC328" s="42"/>
      <c r="DD328" s="42"/>
      <c r="DE328" s="42"/>
      <c r="DF328" s="42"/>
      <c r="DG328" s="42"/>
      <c r="DH328" s="42"/>
      <c r="DI328" s="42"/>
    </row>
    <row r="329" spans="1:113" s="16" customFormat="1" ht="15" customHeight="1">
      <c r="A329" s="90" t="s">
        <v>377</v>
      </c>
      <c r="B329" s="42"/>
      <c r="C329" s="42"/>
      <c r="D329" s="42"/>
      <c r="E329" s="145"/>
      <c r="F329" s="145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97">
        <v>2</v>
      </c>
      <c r="V329" s="97"/>
      <c r="W329" s="97">
        <v>55</v>
      </c>
      <c r="X329" s="97">
        <v>2</v>
      </c>
      <c r="Y329" s="97"/>
      <c r="Z329" s="97">
        <v>839</v>
      </c>
      <c r="AA329" s="98">
        <v>2</v>
      </c>
      <c r="AB329" s="98"/>
      <c r="AC329" s="98">
        <v>808</v>
      </c>
      <c r="AD329" s="95">
        <v>2</v>
      </c>
      <c r="AE329" s="285">
        <v>2849</v>
      </c>
      <c r="AF329" s="285">
        <v>673</v>
      </c>
      <c r="AG329" s="101"/>
      <c r="AH329" s="101"/>
      <c r="AI329" s="101"/>
      <c r="AJ329" s="165">
        <v>2</v>
      </c>
      <c r="AK329" s="165"/>
      <c r="AL329" s="165">
        <v>827</v>
      </c>
      <c r="AM329" s="166">
        <v>2</v>
      </c>
      <c r="AN329" s="166"/>
      <c r="AO329" s="166">
        <v>855</v>
      </c>
      <c r="AP329" s="104">
        <v>2</v>
      </c>
      <c r="AQ329" s="104">
        <v>1524</v>
      </c>
      <c r="AR329" s="104">
        <v>862</v>
      </c>
      <c r="AS329" s="105">
        <v>2</v>
      </c>
      <c r="AT329" s="105">
        <v>1499</v>
      </c>
      <c r="AU329" s="105">
        <v>861</v>
      </c>
      <c r="AV329" s="105">
        <v>2</v>
      </c>
      <c r="AW329" s="172"/>
      <c r="AX329" s="172">
        <v>844</v>
      </c>
      <c r="AY329" s="108">
        <v>2</v>
      </c>
      <c r="AZ329" s="108">
        <v>619</v>
      </c>
      <c r="BA329" s="108">
        <v>799</v>
      </c>
      <c r="BB329" s="110"/>
      <c r="BC329" s="110"/>
      <c r="BD329" s="110"/>
      <c r="BE329" s="175">
        <v>2</v>
      </c>
      <c r="BF329" s="175">
        <v>1981</v>
      </c>
      <c r="BG329" s="175">
        <v>820</v>
      </c>
      <c r="BH329" s="52">
        <v>2</v>
      </c>
      <c r="BI329" s="52">
        <v>647</v>
      </c>
      <c r="BJ329" s="52">
        <v>849</v>
      </c>
      <c r="BK329" s="54">
        <v>2</v>
      </c>
      <c r="BL329" s="54"/>
      <c r="BM329" s="54">
        <v>802</v>
      </c>
      <c r="BN329" s="55">
        <v>2</v>
      </c>
      <c r="BO329" s="55">
        <v>515</v>
      </c>
      <c r="BP329" s="55">
        <v>776</v>
      </c>
      <c r="BQ329" s="55">
        <v>2</v>
      </c>
      <c r="BR329" s="55">
        <v>1807</v>
      </c>
      <c r="BS329" s="55">
        <v>689</v>
      </c>
      <c r="BT329" s="124"/>
      <c r="BU329" s="124"/>
      <c r="BV329" s="124"/>
      <c r="BW329" s="178"/>
      <c r="BX329" s="178"/>
      <c r="BY329" s="178"/>
      <c r="BZ329" s="57"/>
      <c r="CA329" s="57"/>
      <c r="CB329" s="57"/>
      <c r="CC329" s="58"/>
      <c r="CD329" s="58"/>
      <c r="CE329" s="58"/>
      <c r="CF329" s="60"/>
      <c r="CG329" s="60"/>
      <c r="CH329" s="60"/>
      <c r="CI329" s="150"/>
      <c r="CJ329" s="150"/>
      <c r="CK329" s="150"/>
      <c r="CL329" s="62"/>
      <c r="CM329" s="62"/>
      <c r="CN329" s="62"/>
      <c r="CO329" s="95"/>
      <c r="CP329" s="95"/>
      <c r="CQ329" s="95"/>
      <c r="CR329" s="95"/>
      <c r="CS329" s="95"/>
      <c r="CT329" s="95"/>
      <c r="CU329" s="95"/>
      <c r="CV329" s="95"/>
      <c r="CW329" s="95"/>
      <c r="CX329" s="42"/>
      <c r="CY329" s="42"/>
      <c r="CZ329" s="42"/>
      <c r="DA329" s="42"/>
      <c r="DB329" s="42"/>
      <c r="DC329" s="42"/>
      <c r="DD329" s="42"/>
      <c r="DE329" s="42"/>
      <c r="DF329" s="42"/>
      <c r="DG329" s="42"/>
      <c r="DH329" s="42"/>
      <c r="DI329" s="42"/>
    </row>
    <row r="330" spans="1:113" s="16" customFormat="1" ht="15" customHeight="1">
      <c r="A330" s="90" t="s">
        <v>163</v>
      </c>
      <c r="B330" s="42"/>
      <c r="C330" s="42"/>
      <c r="D330" s="42"/>
      <c r="E330" s="145"/>
      <c r="F330" s="145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97">
        <v>2</v>
      </c>
      <c r="V330" s="97"/>
      <c r="W330" s="97"/>
      <c r="X330" s="97">
        <v>2</v>
      </c>
      <c r="Y330" s="97"/>
      <c r="Z330" s="97"/>
      <c r="AA330" s="98">
        <v>2</v>
      </c>
      <c r="AB330" s="98"/>
      <c r="AC330" s="98"/>
      <c r="AD330" s="95">
        <v>2</v>
      </c>
      <c r="AE330" s="320"/>
      <c r="AF330" s="320"/>
      <c r="AG330" s="101"/>
      <c r="AH330" s="101"/>
      <c r="AI330" s="101"/>
      <c r="AJ330" s="165">
        <v>2</v>
      </c>
      <c r="AK330" s="165"/>
      <c r="AL330" s="165">
        <v>722</v>
      </c>
      <c r="AM330" s="166">
        <v>1</v>
      </c>
      <c r="AN330" s="166">
        <v>1712</v>
      </c>
      <c r="AO330" s="166">
        <v>272</v>
      </c>
      <c r="AP330" s="104"/>
      <c r="AQ330" s="104"/>
      <c r="AR330" s="104"/>
      <c r="AS330" s="105"/>
      <c r="AT330" s="105"/>
      <c r="AU330" s="105"/>
      <c r="AV330" s="105"/>
      <c r="AW330" s="172"/>
      <c r="AX330" s="172"/>
      <c r="AY330" s="108"/>
      <c r="AZ330" s="108"/>
      <c r="BA330" s="108"/>
      <c r="BB330" s="110"/>
      <c r="BC330" s="110"/>
      <c r="BD330" s="110"/>
      <c r="BE330" s="175"/>
      <c r="BF330" s="175"/>
      <c r="BG330" s="175"/>
      <c r="BH330" s="52"/>
      <c r="BI330" s="52"/>
      <c r="BJ330" s="52"/>
      <c r="BK330" s="54"/>
      <c r="BL330" s="54"/>
      <c r="BM330" s="54"/>
      <c r="BN330" s="55"/>
      <c r="BO330" s="55"/>
      <c r="BP330" s="55"/>
      <c r="BQ330" s="55"/>
      <c r="BR330" s="55"/>
      <c r="BS330" s="55"/>
      <c r="BT330" s="124"/>
      <c r="BU330" s="124"/>
      <c r="BV330" s="124"/>
      <c r="BW330" s="178"/>
      <c r="BX330" s="178"/>
      <c r="BY330" s="178"/>
      <c r="BZ330" s="57"/>
      <c r="CA330" s="57"/>
      <c r="CB330" s="57"/>
      <c r="CC330" s="58"/>
      <c r="CD330" s="58"/>
      <c r="CE330" s="58"/>
      <c r="CF330" s="60"/>
      <c r="CG330" s="60"/>
      <c r="CH330" s="60"/>
      <c r="CI330" s="150"/>
      <c r="CJ330" s="150"/>
      <c r="CK330" s="150"/>
      <c r="CL330" s="62"/>
      <c r="CM330" s="62"/>
      <c r="CN330" s="62"/>
      <c r="CO330" s="95"/>
      <c r="CP330" s="95"/>
      <c r="CQ330" s="95"/>
      <c r="CR330" s="95"/>
      <c r="CS330" s="95"/>
      <c r="CT330" s="95"/>
      <c r="CU330" s="95"/>
      <c r="CV330" s="95"/>
      <c r="CW330" s="95"/>
      <c r="CX330" s="42"/>
      <c r="CY330" s="42"/>
      <c r="CZ330" s="42"/>
      <c r="DA330" s="42"/>
      <c r="DB330" s="42"/>
      <c r="DC330" s="42"/>
      <c r="DD330" s="42"/>
      <c r="DE330" s="42"/>
      <c r="DF330" s="42"/>
      <c r="DG330" s="42"/>
      <c r="DH330" s="42"/>
      <c r="DI330" s="42"/>
    </row>
    <row r="331" spans="1:113" s="16" customFormat="1" ht="15" customHeight="1">
      <c r="A331" s="90" t="s">
        <v>423</v>
      </c>
      <c r="B331" s="42"/>
      <c r="C331" s="42"/>
      <c r="D331" s="42"/>
      <c r="E331" s="145"/>
      <c r="F331" s="145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97">
        <v>20</v>
      </c>
      <c r="V331" s="97"/>
      <c r="W331" s="97"/>
      <c r="X331" s="97">
        <v>20</v>
      </c>
      <c r="Y331" s="97"/>
      <c r="Z331" s="97"/>
      <c r="AA331" s="98">
        <v>20</v>
      </c>
      <c r="AB331" s="98"/>
      <c r="AC331" s="98"/>
      <c r="AD331" s="95">
        <v>20</v>
      </c>
      <c r="AE331" s="285"/>
      <c r="AF331" s="285"/>
      <c r="AG331" s="101"/>
      <c r="AH331" s="101"/>
      <c r="AI331" s="101"/>
      <c r="AJ331" s="165">
        <v>20</v>
      </c>
      <c r="AK331" s="165"/>
      <c r="AL331" s="165"/>
      <c r="AM331" s="166">
        <v>20</v>
      </c>
      <c r="AN331" s="166"/>
      <c r="AO331" s="166"/>
      <c r="AP331" s="104">
        <v>20</v>
      </c>
      <c r="AQ331" s="104"/>
      <c r="AR331" s="104"/>
      <c r="AS331" s="105">
        <v>20</v>
      </c>
      <c r="AT331" s="105"/>
      <c r="AU331" s="105"/>
      <c r="AV331" s="105">
        <v>20</v>
      </c>
      <c r="AW331" s="172"/>
      <c r="AX331" s="172"/>
      <c r="AY331" s="108">
        <v>20</v>
      </c>
      <c r="AZ331" s="108"/>
      <c r="BA331" s="108"/>
      <c r="BB331" s="110"/>
      <c r="BC331" s="110"/>
      <c r="BD331" s="110"/>
      <c r="BE331" s="175">
        <v>20</v>
      </c>
      <c r="BF331" s="175"/>
      <c r="BG331" s="175"/>
      <c r="BH331" s="52">
        <v>20</v>
      </c>
      <c r="BI331" s="52"/>
      <c r="BJ331" s="52"/>
      <c r="BK331" s="54">
        <v>20</v>
      </c>
      <c r="BL331" s="54"/>
      <c r="BM331" s="54"/>
      <c r="BN331" s="55">
        <v>20</v>
      </c>
      <c r="BO331" s="55"/>
      <c r="BP331" s="55"/>
      <c r="BQ331" s="55">
        <v>20</v>
      </c>
      <c r="BR331" s="55"/>
      <c r="BS331" s="55"/>
      <c r="BT331" s="124"/>
      <c r="BU331" s="124"/>
      <c r="BV331" s="124"/>
      <c r="BW331" s="178"/>
      <c r="BX331" s="178"/>
      <c r="BY331" s="178"/>
      <c r="BZ331" s="57"/>
      <c r="CA331" s="57"/>
      <c r="CB331" s="57"/>
      <c r="CC331" s="58"/>
      <c r="CD331" s="58"/>
      <c r="CE331" s="58"/>
      <c r="CF331" s="60"/>
      <c r="CG331" s="60"/>
      <c r="CH331" s="60"/>
      <c r="CI331" s="150"/>
      <c r="CJ331" s="150"/>
      <c r="CK331" s="150"/>
      <c r="CL331" s="62"/>
      <c r="CM331" s="62"/>
      <c r="CN331" s="62"/>
      <c r="CO331" s="95"/>
      <c r="CP331" s="95"/>
      <c r="CQ331" s="95"/>
      <c r="CR331" s="95"/>
      <c r="CS331" s="95"/>
      <c r="CT331" s="95"/>
      <c r="CU331" s="95"/>
      <c r="CV331" s="95"/>
      <c r="CW331" s="95"/>
      <c r="CX331" s="42"/>
      <c r="CY331" s="42"/>
      <c r="CZ331" s="42"/>
      <c r="DA331" s="42"/>
      <c r="DB331" s="42"/>
      <c r="DC331" s="42"/>
      <c r="DD331" s="42"/>
      <c r="DE331" s="42"/>
      <c r="DF331" s="42"/>
      <c r="DG331" s="42"/>
      <c r="DH331" s="42"/>
      <c r="DI331" s="42"/>
    </row>
    <row r="332" spans="1:113" s="16" customFormat="1" ht="15" customHeight="1">
      <c r="A332" s="90" t="s">
        <v>158</v>
      </c>
      <c r="B332" s="42"/>
      <c r="C332" s="42"/>
      <c r="D332" s="42"/>
      <c r="E332" s="145"/>
      <c r="F332" s="145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97">
        <v>4</v>
      </c>
      <c r="V332" s="97">
        <v>2389</v>
      </c>
      <c r="W332" s="97">
        <v>929</v>
      </c>
      <c r="X332" s="97">
        <v>2</v>
      </c>
      <c r="Y332" s="97">
        <v>1974</v>
      </c>
      <c r="Z332" s="97">
        <v>86</v>
      </c>
      <c r="AA332" s="98"/>
      <c r="AB332" s="98"/>
      <c r="AC332" s="98"/>
      <c r="AD332" s="95"/>
      <c r="AE332" s="285"/>
      <c r="AF332" s="285"/>
      <c r="AG332" s="101"/>
      <c r="AH332" s="101"/>
      <c r="AI332" s="101"/>
      <c r="AJ332" s="165"/>
      <c r="AK332" s="165"/>
      <c r="AL332" s="165"/>
      <c r="AM332" s="166"/>
      <c r="AN332" s="166"/>
      <c r="AO332" s="166"/>
      <c r="AP332" s="104"/>
      <c r="AQ332" s="104"/>
      <c r="AR332" s="104"/>
      <c r="AS332" s="105"/>
      <c r="AT332" s="105"/>
      <c r="AU332" s="105"/>
      <c r="AV332" s="105"/>
      <c r="AW332" s="172"/>
      <c r="AX332" s="172"/>
      <c r="AY332" s="108"/>
      <c r="AZ332" s="108"/>
      <c r="BA332" s="108"/>
      <c r="BB332" s="110"/>
      <c r="BC332" s="110"/>
      <c r="BD332" s="110"/>
      <c r="BE332" s="175"/>
      <c r="BF332" s="175"/>
      <c r="BG332" s="175"/>
      <c r="BH332" s="52"/>
      <c r="BI332" s="52"/>
      <c r="BJ332" s="52"/>
      <c r="BK332" s="54">
        <v>2</v>
      </c>
      <c r="BL332" s="54"/>
      <c r="BM332" s="54">
        <v>421</v>
      </c>
      <c r="BN332" s="55">
        <v>3</v>
      </c>
      <c r="BO332" s="55"/>
      <c r="BP332" s="55">
        <v>734</v>
      </c>
      <c r="BQ332" s="55">
        <v>4</v>
      </c>
      <c r="BR332" s="55"/>
      <c r="BS332" s="55">
        <v>987</v>
      </c>
      <c r="BT332" s="124"/>
      <c r="BU332" s="124"/>
      <c r="BV332" s="124"/>
      <c r="BW332" s="178"/>
      <c r="BX332" s="178"/>
      <c r="BY332" s="178"/>
      <c r="BZ332" s="57"/>
      <c r="CA332" s="57"/>
      <c r="CB332" s="57"/>
      <c r="CC332" s="58"/>
      <c r="CD332" s="58"/>
      <c r="CE332" s="58"/>
      <c r="CF332" s="60"/>
      <c r="CG332" s="60"/>
      <c r="CH332" s="60"/>
      <c r="CI332" s="150"/>
      <c r="CJ332" s="150"/>
      <c r="CK332" s="150"/>
      <c r="CL332" s="62"/>
      <c r="CM332" s="62"/>
      <c r="CN332" s="62"/>
      <c r="CO332" s="95"/>
      <c r="CP332" s="95"/>
      <c r="CQ332" s="95"/>
      <c r="CR332" s="95"/>
      <c r="CS332" s="95"/>
      <c r="CT332" s="95"/>
      <c r="CU332" s="95"/>
      <c r="CV332" s="95"/>
      <c r="CW332" s="95"/>
      <c r="CX332" s="42"/>
      <c r="CY332" s="42"/>
      <c r="CZ332" s="42"/>
      <c r="DA332" s="42"/>
      <c r="DB332" s="42"/>
      <c r="DC332" s="42"/>
      <c r="DD332" s="42"/>
      <c r="DE332" s="42"/>
      <c r="DF332" s="42"/>
      <c r="DG332" s="42"/>
      <c r="DH332" s="42"/>
      <c r="DI332" s="42"/>
    </row>
    <row r="333" spans="1:113" s="16" customFormat="1" ht="15" customHeight="1">
      <c r="A333" s="90" t="s">
        <v>499</v>
      </c>
      <c r="B333" s="42"/>
      <c r="C333" s="42"/>
      <c r="D333" s="42"/>
      <c r="E333" s="145"/>
      <c r="F333" s="145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97">
        <v>1</v>
      </c>
      <c r="V333" s="97"/>
      <c r="W333" s="97"/>
      <c r="X333" s="97">
        <v>1</v>
      </c>
      <c r="Y333" s="97"/>
      <c r="Z333" s="97">
        <v>241</v>
      </c>
      <c r="AA333" s="98">
        <v>1</v>
      </c>
      <c r="AB333" s="98"/>
      <c r="AC333" s="98">
        <v>246</v>
      </c>
      <c r="AD333" s="95">
        <v>1</v>
      </c>
      <c r="AE333" s="285"/>
      <c r="AF333" s="285">
        <v>246</v>
      </c>
      <c r="AG333" s="101"/>
      <c r="AH333" s="101"/>
      <c r="AI333" s="101"/>
      <c r="AJ333" s="165">
        <v>1</v>
      </c>
      <c r="AK333" s="165"/>
      <c r="AL333" s="165">
        <v>255</v>
      </c>
      <c r="AM333" s="166">
        <v>1</v>
      </c>
      <c r="AN333" s="166"/>
      <c r="AO333" s="166">
        <v>255</v>
      </c>
      <c r="AP333" s="104">
        <v>1</v>
      </c>
      <c r="AQ333" s="104"/>
      <c r="AR333" s="104">
        <v>254</v>
      </c>
      <c r="AS333" s="105">
        <v>1</v>
      </c>
      <c r="AT333" s="105"/>
      <c r="AU333" s="105">
        <v>254</v>
      </c>
      <c r="AV333" s="105">
        <v>1</v>
      </c>
      <c r="AW333" s="172"/>
      <c r="AX333" s="172">
        <v>239</v>
      </c>
      <c r="AY333" s="108">
        <v>1</v>
      </c>
      <c r="AZ333" s="108">
        <v>2000</v>
      </c>
      <c r="BA333" s="108">
        <v>233</v>
      </c>
      <c r="BB333" s="110"/>
      <c r="BC333" s="110"/>
      <c r="BD333" s="110"/>
      <c r="BE333" s="175">
        <v>1</v>
      </c>
      <c r="BF333" s="175"/>
      <c r="BG333" s="175">
        <v>245</v>
      </c>
      <c r="BH333" s="52">
        <v>1</v>
      </c>
      <c r="BI333" s="52"/>
      <c r="BJ333" s="52">
        <v>254</v>
      </c>
      <c r="BK333" s="54">
        <v>1</v>
      </c>
      <c r="BL333" s="54"/>
      <c r="BM333" s="54">
        <v>256</v>
      </c>
      <c r="BN333" s="55">
        <v>1</v>
      </c>
      <c r="BO333" s="55"/>
      <c r="BP333" s="55">
        <v>257</v>
      </c>
      <c r="BQ333" s="55">
        <v>1</v>
      </c>
      <c r="BR333" s="55"/>
      <c r="BS333" s="55">
        <v>255</v>
      </c>
      <c r="BT333" s="124"/>
      <c r="BU333" s="124"/>
      <c r="BV333" s="124"/>
      <c r="BW333" s="178"/>
      <c r="BX333" s="178"/>
      <c r="BY333" s="178"/>
      <c r="BZ333" s="57"/>
      <c r="CA333" s="57"/>
      <c r="CB333" s="57"/>
      <c r="CC333" s="58"/>
      <c r="CD333" s="58"/>
      <c r="CE333" s="58"/>
      <c r="CF333" s="60"/>
      <c r="CG333" s="60"/>
      <c r="CH333" s="60"/>
      <c r="CI333" s="150"/>
      <c r="CJ333" s="150"/>
      <c r="CK333" s="150"/>
      <c r="CL333" s="62"/>
      <c r="CM333" s="62"/>
      <c r="CN333" s="62"/>
      <c r="CO333" s="95"/>
      <c r="CP333" s="95"/>
      <c r="CQ333" s="95"/>
      <c r="CR333" s="95"/>
      <c r="CS333" s="95"/>
      <c r="CT333" s="95"/>
      <c r="CU333" s="95"/>
      <c r="CV333" s="95"/>
      <c r="CW333" s="95"/>
      <c r="CX333" s="42"/>
      <c r="CY333" s="42"/>
      <c r="CZ333" s="42"/>
      <c r="DA333" s="42"/>
      <c r="DB333" s="42"/>
      <c r="DC333" s="42"/>
      <c r="DD333" s="42"/>
      <c r="DE333" s="42"/>
      <c r="DF333" s="42"/>
      <c r="DG333" s="42"/>
      <c r="DH333" s="42"/>
      <c r="DI333" s="42"/>
    </row>
    <row r="334" spans="1:113" s="16" customFormat="1" ht="15" customHeight="1">
      <c r="A334" s="90" t="s">
        <v>161</v>
      </c>
      <c r="B334" s="42"/>
      <c r="C334" s="42"/>
      <c r="D334" s="42"/>
      <c r="E334" s="145"/>
      <c r="F334" s="145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97">
        <v>1</v>
      </c>
      <c r="V334" s="97"/>
      <c r="W334" s="97"/>
      <c r="X334" s="97">
        <v>1</v>
      </c>
      <c r="Y334" s="97"/>
      <c r="Z334" s="97"/>
      <c r="AA334" s="98">
        <v>1</v>
      </c>
      <c r="AB334" s="98"/>
      <c r="AC334" s="98"/>
      <c r="AD334" s="95">
        <v>1</v>
      </c>
      <c r="AE334" s="40"/>
      <c r="AF334" s="40"/>
      <c r="AG334" s="101"/>
      <c r="AH334" s="101"/>
      <c r="AI334" s="101"/>
      <c r="AJ334" s="165">
        <v>1</v>
      </c>
      <c r="AK334" s="165"/>
      <c r="AL334" s="165"/>
      <c r="AM334" s="166">
        <v>1</v>
      </c>
      <c r="AN334" s="166"/>
      <c r="AO334" s="166"/>
      <c r="AP334" s="104">
        <v>1</v>
      </c>
      <c r="AQ334" s="104"/>
      <c r="AR334" s="104"/>
      <c r="AS334" s="105">
        <v>1</v>
      </c>
      <c r="AT334" s="105"/>
      <c r="AU334" s="105"/>
      <c r="AV334" s="105">
        <v>1</v>
      </c>
      <c r="AW334" s="172"/>
      <c r="AX334" s="172"/>
      <c r="AY334" s="108">
        <v>1</v>
      </c>
      <c r="AZ334" s="108"/>
      <c r="BA334" s="108"/>
      <c r="BB334" s="110"/>
      <c r="BC334" s="110"/>
      <c r="BD334" s="110"/>
      <c r="BE334" s="175">
        <v>1</v>
      </c>
      <c r="BF334" s="175"/>
      <c r="BG334" s="175"/>
      <c r="BH334" s="52"/>
      <c r="BI334" s="52">
        <v>47</v>
      </c>
      <c r="BJ334" s="52"/>
      <c r="BK334" s="54"/>
      <c r="BL334" s="54"/>
      <c r="BM334" s="54"/>
      <c r="BN334" s="55"/>
      <c r="BO334" s="55"/>
      <c r="BP334" s="55"/>
      <c r="BQ334" s="55"/>
      <c r="BR334" s="55"/>
      <c r="BS334" s="55"/>
      <c r="BT334" s="124"/>
      <c r="BU334" s="124"/>
      <c r="BV334" s="124"/>
      <c r="BW334" s="178"/>
      <c r="BX334" s="178"/>
      <c r="BY334" s="178"/>
      <c r="BZ334" s="57"/>
      <c r="CA334" s="57"/>
      <c r="CB334" s="57"/>
      <c r="CC334" s="58"/>
      <c r="CD334" s="58"/>
      <c r="CE334" s="58"/>
      <c r="CF334" s="60"/>
      <c r="CG334" s="60"/>
      <c r="CH334" s="60"/>
      <c r="CI334" s="150"/>
      <c r="CJ334" s="150"/>
      <c r="CK334" s="150"/>
      <c r="CL334" s="62"/>
      <c r="CM334" s="62"/>
      <c r="CN334" s="62"/>
      <c r="CO334" s="95"/>
      <c r="CP334" s="95"/>
      <c r="CQ334" s="95"/>
      <c r="CR334" s="95"/>
      <c r="CS334" s="95"/>
      <c r="CT334" s="95"/>
      <c r="CU334" s="95"/>
      <c r="CV334" s="95"/>
      <c r="CW334" s="95"/>
      <c r="CX334" s="42"/>
      <c r="CY334" s="42"/>
      <c r="CZ334" s="42"/>
      <c r="DA334" s="42"/>
      <c r="DB334" s="42"/>
      <c r="DC334" s="42"/>
      <c r="DD334" s="42"/>
      <c r="DE334" s="42"/>
      <c r="DF334" s="42"/>
      <c r="DG334" s="42"/>
      <c r="DH334" s="42"/>
      <c r="DI334" s="42"/>
    </row>
    <row r="335" spans="1:113" s="16" customFormat="1" ht="15" customHeight="1">
      <c r="A335" s="90" t="s">
        <v>164</v>
      </c>
      <c r="B335" s="42"/>
      <c r="C335" s="42"/>
      <c r="D335" s="42"/>
      <c r="E335" s="145"/>
      <c r="F335" s="145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97">
        <v>1</v>
      </c>
      <c r="V335" s="97"/>
      <c r="W335" s="97"/>
      <c r="X335" s="97">
        <v>1</v>
      </c>
      <c r="Y335" s="97"/>
      <c r="Z335" s="97"/>
      <c r="AA335" s="98">
        <v>1</v>
      </c>
      <c r="AB335" s="98"/>
      <c r="AC335" s="98"/>
      <c r="AD335" s="95">
        <v>1</v>
      </c>
      <c r="AE335" s="40"/>
      <c r="AF335" s="40"/>
      <c r="AG335" s="101"/>
      <c r="AH335" s="101"/>
      <c r="AI335" s="101"/>
      <c r="AJ335" s="165">
        <v>1</v>
      </c>
      <c r="AK335" s="165"/>
      <c r="AL335" s="165"/>
      <c r="AM335" s="166">
        <v>1</v>
      </c>
      <c r="AN335" s="166"/>
      <c r="AO335" s="166"/>
      <c r="AP335" s="104">
        <v>1</v>
      </c>
      <c r="AQ335" s="104"/>
      <c r="AR335" s="104"/>
      <c r="AS335" s="105">
        <v>1</v>
      </c>
      <c r="AT335" s="105"/>
      <c r="AU335" s="105"/>
      <c r="AV335" s="105"/>
      <c r="AW335" s="172">
        <v>34</v>
      </c>
      <c r="AX335" s="172"/>
      <c r="AY335" s="108"/>
      <c r="AZ335" s="108"/>
      <c r="BA335" s="108"/>
      <c r="BB335" s="110"/>
      <c r="BC335" s="110"/>
      <c r="BD335" s="110"/>
      <c r="BE335" s="175"/>
      <c r="BF335" s="175"/>
      <c r="BG335" s="175"/>
      <c r="BH335" s="52"/>
      <c r="BI335" s="52"/>
      <c r="BJ335" s="52"/>
      <c r="BK335" s="54"/>
      <c r="BL335" s="54"/>
      <c r="BM335" s="54"/>
      <c r="BN335" s="55"/>
      <c r="BO335" s="55"/>
      <c r="BP335" s="55"/>
      <c r="BQ335" s="55"/>
      <c r="BR335" s="55"/>
      <c r="BS335" s="55"/>
      <c r="BT335" s="124"/>
      <c r="BU335" s="124"/>
      <c r="BV335" s="124"/>
      <c r="BW335" s="178"/>
      <c r="BX335" s="178"/>
      <c r="BY335" s="178"/>
      <c r="BZ335" s="57"/>
      <c r="CA335" s="57"/>
      <c r="CB335" s="57"/>
      <c r="CC335" s="58"/>
      <c r="CD335" s="58"/>
      <c r="CE335" s="58"/>
      <c r="CF335" s="60"/>
      <c r="CG335" s="60"/>
      <c r="CH335" s="60"/>
      <c r="CI335" s="150"/>
      <c r="CJ335" s="150"/>
      <c r="CK335" s="150"/>
      <c r="CL335" s="62"/>
      <c r="CM335" s="62"/>
      <c r="CN335" s="62"/>
      <c r="CO335" s="95"/>
      <c r="CP335" s="95"/>
      <c r="CQ335" s="95"/>
      <c r="CR335" s="95"/>
      <c r="CS335" s="95"/>
      <c r="CT335" s="95"/>
      <c r="CU335" s="95"/>
      <c r="CV335" s="95"/>
      <c r="CW335" s="95"/>
      <c r="CX335" s="42"/>
      <c r="CY335" s="42"/>
      <c r="CZ335" s="42"/>
      <c r="DA335" s="42"/>
      <c r="DB335" s="42"/>
      <c r="DC335" s="42"/>
      <c r="DD335" s="42"/>
      <c r="DE335" s="42"/>
      <c r="DF335" s="42"/>
      <c r="DG335" s="42"/>
      <c r="DH335" s="42"/>
      <c r="DI335" s="42"/>
    </row>
    <row r="336" spans="1:113" s="22" customFormat="1" ht="15.75">
      <c r="A336" s="94" t="s">
        <v>70</v>
      </c>
      <c r="B336" s="26"/>
      <c r="C336" s="26"/>
      <c r="D336" s="26"/>
      <c r="E336" s="147"/>
      <c r="F336" s="147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>
        <f t="shared" ref="U336:AZ336" si="78">SUM(U313:U335)</f>
        <v>260</v>
      </c>
      <c r="V336" s="26">
        <f t="shared" si="78"/>
        <v>100025</v>
      </c>
      <c r="W336" s="26">
        <f t="shared" si="78"/>
        <v>69351</v>
      </c>
      <c r="X336" s="26">
        <f t="shared" si="78"/>
        <v>259</v>
      </c>
      <c r="Y336" s="26">
        <f t="shared" si="78"/>
        <v>63010</v>
      </c>
      <c r="Z336" s="26">
        <f t="shared" si="78"/>
        <v>64965</v>
      </c>
      <c r="AA336" s="26">
        <f t="shared" si="78"/>
        <v>260</v>
      </c>
      <c r="AB336" s="26">
        <f t="shared" si="78"/>
        <v>78585</v>
      </c>
      <c r="AC336" s="26">
        <f t="shared" si="78"/>
        <v>64132</v>
      </c>
      <c r="AD336" s="26">
        <f t="shared" si="78"/>
        <v>260</v>
      </c>
      <c r="AE336" s="26">
        <f t="shared" si="78"/>
        <v>68819</v>
      </c>
      <c r="AF336" s="26">
        <f t="shared" si="78"/>
        <v>75556</v>
      </c>
      <c r="AG336" s="26">
        <f t="shared" si="78"/>
        <v>0</v>
      </c>
      <c r="AH336" s="26">
        <f t="shared" si="78"/>
        <v>0</v>
      </c>
      <c r="AI336" s="26">
        <f t="shared" si="78"/>
        <v>0</v>
      </c>
      <c r="AJ336" s="26">
        <f t="shared" si="78"/>
        <v>265</v>
      </c>
      <c r="AK336" s="26">
        <f t="shared" si="78"/>
        <v>50066</v>
      </c>
      <c r="AL336" s="26">
        <f t="shared" si="78"/>
        <v>82331</v>
      </c>
      <c r="AM336" s="26">
        <f t="shared" si="78"/>
        <v>265</v>
      </c>
      <c r="AN336" s="26">
        <f t="shared" si="78"/>
        <v>70584</v>
      </c>
      <c r="AO336" s="26">
        <f t="shared" si="78"/>
        <v>84393</v>
      </c>
      <c r="AP336" s="26">
        <f t="shared" si="78"/>
        <v>271</v>
      </c>
      <c r="AQ336" s="26">
        <f t="shared" si="78"/>
        <v>80711</v>
      </c>
      <c r="AR336" s="26">
        <f t="shared" si="78"/>
        <v>85489</v>
      </c>
      <c r="AS336" s="26">
        <f t="shared" si="78"/>
        <v>273</v>
      </c>
      <c r="AT336" s="26">
        <f t="shared" si="78"/>
        <v>121418</v>
      </c>
      <c r="AU336" s="26">
        <f t="shared" si="78"/>
        <v>86979</v>
      </c>
      <c r="AV336" s="26">
        <f t="shared" si="78"/>
        <v>275</v>
      </c>
      <c r="AW336" s="26">
        <f t="shared" si="78"/>
        <v>74254</v>
      </c>
      <c r="AX336" s="26">
        <f t="shared" si="78"/>
        <v>90947</v>
      </c>
      <c r="AY336" s="26">
        <f t="shared" si="78"/>
        <v>275</v>
      </c>
      <c r="AZ336" s="26">
        <f t="shared" si="78"/>
        <v>101166</v>
      </c>
      <c r="BA336" s="26">
        <f t="shared" ref="BA336:CF336" si="79">SUM(BA313:BA335)</f>
        <v>88464</v>
      </c>
      <c r="BB336" s="26">
        <f t="shared" si="79"/>
        <v>0</v>
      </c>
      <c r="BC336" s="26">
        <f t="shared" si="79"/>
        <v>0</v>
      </c>
      <c r="BD336" s="26">
        <f t="shared" si="79"/>
        <v>0</v>
      </c>
      <c r="BE336" s="26">
        <f t="shared" si="79"/>
        <v>280</v>
      </c>
      <c r="BF336" s="26">
        <f t="shared" si="79"/>
        <v>84606</v>
      </c>
      <c r="BG336" s="26">
        <f t="shared" si="79"/>
        <v>92217</v>
      </c>
      <c r="BH336" s="26">
        <f t="shared" si="79"/>
        <v>279</v>
      </c>
      <c r="BI336" s="26">
        <f t="shared" si="79"/>
        <v>65880</v>
      </c>
      <c r="BJ336" s="26">
        <f t="shared" si="79"/>
        <v>90873</v>
      </c>
      <c r="BK336" s="26">
        <f t="shared" si="79"/>
        <v>280</v>
      </c>
      <c r="BL336" s="26">
        <f t="shared" si="79"/>
        <v>112178</v>
      </c>
      <c r="BM336" s="26">
        <f t="shared" si="79"/>
        <v>90771</v>
      </c>
      <c r="BN336" s="26">
        <f t="shared" si="79"/>
        <v>280</v>
      </c>
      <c r="BO336" s="26">
        <f t="shared" si="79"/>
        <v>104215</v>
      </c>
      <c r="BP336" s="26">
        <f t="shared" si="79"/>
        <v>91824</v>
      </c>
      <c r="BQ336" s="26">
        <f t="shared" si="79"/>
        <v>280</v>
      </c>
      <c r="BR336" s="26">
        <f t="shared" si="79"/>
        <v>81429</v>
      </c>
      <c r="BS336" s="26">
        <f t="shared" si="79"/>
        <v>91069</v>
      </c>
      <c r="BT336" s="26">
        <f t="shared" si="79"/>
        <v>0</v>
      </c>
      <c r="BU336" s="26">
        <f t="shared" si="79"/>
        <v>0</v>
      </c>
      <c r="BV336" s="26">
        <f t="shared" si="79"/>
        <v>0</v>
      </c>
      <c r="BW336" s="26">
        <f t="shared" si="79"/>
        <v>0</v>
      </c>
      <c r="BX336" s="26">
        <f t="shared" si="79"/>
        <v>0</v>
      </c>
      <c r="BY336" s="26">
        <f t="shared" si="79"/>
        <v>0</v>
      </c>
      <c r="BZ336" s="26">
        <f t="shared" si="79"/>
        <v>0</v>
      </c>
      <c r="CA336" s="26">
        <f t="shared" si="79"/>
        <v>0</v>
      </c>
      <c r="CB336" s="26">
        <f t="shared" si="79"/>
        <v>0</v>
      </c>
      <c r="CC336" s="26">
        <f t="shared" si="79"/>
        <v>0</v>
      </c>
      <c r="CD336" s="26">
        <f t="shared" si="79"/>
        <v>0</v>
      </c>
      <c r="CE336" s="26">
        <f t="shared" si="79"/>
        <v>0</v>
      </c>
      <c r="CF336" s="26">
        <f t="shared" si="79"/>
        <v>0</v>
      </c>
      <c r="CG336" s="26">
        <f t="shared" ref="CG336:DI336" si="80">SUM(CG313:CG335)</f>
        <v>0</v>
      </c>
      <c r="CH336" s="26">
        <f t="shared" si="80"/>
        <v>0</v>
      </c>
      <c r="CI336" s="26">
        <f t="shared" si="80"/>
        <v>0</v>
      </c>
      <c r="CJ336" s="26">
        <f t="shared" si="80"/>
        <v>0</v>
      </c>
      <c r="CK336" s="26">
        <f t="shared" si="80"/>
        <v>0</v>
      </c>
      <c r="CL336" s="26">
        <f t="shared" si="80"/>
        <v>0</v>
      </c>
      <c r="CM336" s="26">
        <f t="shared" si="80"/>
        <v>0</v>
      </c>
      <c r="CN336" s="26">
        <f t="shared" si="80"/>
        <v>0</v>
      </c>
      <c r="CO336" s="26">
        <f t="shared" si="80"/>
        <v>0</v>
      </c>
      <c r="CP336" s="26">
        <f t="shared" si="80"/>
        <v>0</v>
      </c>
      <c r="CQ336" s="26">
        <f t="shared" si="80"/>
        <v>0</v>
      </c>
      <c r="CR336" s="26">
        <f t="shared" si="80"/>
        <v>0</v>
      </c>
      <c r="CS336" s="26">
        <f t="shared" si="80"/>
        <v>0</v>
      </c>
      <c r="CT336" s="26">
        <f t="shared" si="80"/>
        <v>0</v>
      </c>
      <c r="CU336" s="26">
        <f t="shared" si="80"/>
        <v>0</v>
      </c>
      <c r="CV336" s="26">
        <f t="shared" si="80"/>
        <v>0</v>
      </c>
      <c r="CW336" s="26">
        <f t="shared" si="80"/>
        <v>0</v>
      </c>
      <c r="CX336" s="26">
        <f t="shared" si="80"/>
        <v>0</v>
      </c>
      <c r="CY336" s="26">
        <f t="shared" si="80"/>
        <v>0</v>
      </c>
      <c r="CZ336" s="26">
        <f t="shared" si="80"/>
        <v>0</v>
      </c>
      <c r="DA336" s="26">
        <f t="shared" si="80"/>
        <v>0</v>
      </c>
      <c r="DB336" s="26">
        <f t="shared" si="80"/>
        <v>0</v>
      </c>
      <c r="DC336" s="26">
        <f t="shared" si="80"/>
        <v>0</v>
      </c>
      <c r="DD336" s="26">
        <f t="shared" si="80"/>
        <v>0</v>
      </c>
      <c r="DE336" s="26">
        <f t="shared" si="80"/>
        <v>0</v>
      </c>
      <c r="DF336" s="26">
        <f t="shared" si="80"/>
        <v>0</v>
      </c>
      <c r="DG336" s="26">
        <f t="shared" si="80"/>
        <v>0</v>
      </c>
      <c r="DH336" s="26">
        <f t="shared" si="80"/>
        <v>0</v>
      </c>
      <c r="DI336" s="26">
        <f t="shared" si="80"/>
        <v>0</v>
      </c>
    </row>
    <row r="337" spans="23:101">
      <c r="W337" s="29"/>
      <c r="Z337" s="29"/>
      <c r="AB337" s="29"/>
      <c r="AC337" s="29"/>
      <c r="AE337" s="29"/>
      <c r="AF337" s="29"/>
      <c r="AI337" s="29"/>
      <c r="AO337" s="29"/>
      <c r="AQ337" s="29"/>
      <c r="AR337" s="29"/>
      <c r="AT337" s="29"/>
      <c r="AX337" s="29"/>
      <c r="AZ337" s="29"/>
      <c r="BA337" s="29"/>
      <c r="BG337" s="29"/>
      <c r="BL337" s="29"/>
      <c r="BM337" s="29"/>
      <c r="BO337" s="29"/>
      <c r="BP337" s="29"/>
      <c r="BU337" s="29"/>
      <c r="BV337" s="29"/>
      <c r="CB337" s="29"/>
      <c r="CH337" s="29"/>
      <c r="CT337" s="29"/>
      <c r="CV337" s="29"/>
      <c r="CW337" s="29"/>
    </row>
  </sheetData>
  <pageMargins left="0.7" right="0.7" top="0.75" bottom="0.75" header="0.3" footer="0.3"/>
  <pageSetup paperSize="9" scale="45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D592"/>
  <sheetViews>
    <sheetView zoomScale="90" zoomScaleNormal="90" workbookViewId="0">
      <pane xSplit="3" ySplit="3" topLeftCell="D4" activePane="bottomRight" state="frozen"/>
      <selection activeCell="E290" sqref="E290"/>
      <selection pane="topRight" activeCell="E290" sqref="E290"/>
      <selection pane="bottomLeft" activeCell="E290" sqref="E290"/>
      <selection pane="bottomRight" activeCell="E6" sqref="E6"/>
    </sheetView>
  </sheetViews>
  <sheetFormatPr defaultRowHeight="15"/>
  <cols>
    <col min="1" max="1" width="11.7109375" style="15" customWidth="1"/>
    <col min="2" max="2" width="18.5703125" style="1" customWidth="1"/>
    <col min="3" max="3" width="73.85546875" style="79" bestFit="1" customWidth="1"/>
    <col min="4" max="4" width="20.42578125" style="1" customWidth="1"/>
    <col min="5" max="5" width="13.28515625" style="1" customWidth="1"/>
    <col min="6" max="6" width="8.28515625" style="1" customWidth="1"/>
    <col min="7" max="7" width="14.85546875" style="1" customWidth="1"/>
    <col min="8" max="8" width="14.5703125" style="1" customWidth="1"/>
    <col min="9" max="9" width="11.140625" style="1" customWidth="1"/>
    <col min="10" max="11" width="14" style="1" customWidth="1"/>
    <col min="12" max="12" width="9" style="1" customWidth="1"/>
    <col min="13" max="13" width="12.140625" style="1" hidden="1" customWidth="1"/>
    <col min="14" max="14" width="9" style="1" hidden="1" customWidth="1"/>
    <col min="15" max="15" width="15.140625" style="13" customWidth="1"/>
    <col min="16" max="16" width="15.42578125" style="13" customWidth="1"/>
    <col min="17" max="17" width="9.85546875" style="1" hidden="1" customWidth="1"/>
    <col min="18" max="18" width="12.85546875" style="13" hidden="1" customWidth="1"/>
    <col min="19" max="19" width="13.7109375" style="13" hidden="1" customWidth="1"/>
    <col min="20" max="20" width="14.7109375" style="13" customWidth="1"/>
    <col min="21" max="21" width="10.5703125" style="13" customWidth="1"/>
    <col min="22" max="22" width="16" style="13" customWidth="1"/>
    <col min="23" max="23" width="19" style="1" customWidth="1"/>
    <col min="24" max="24" width="9.140625" style="1" customWidth="1"/>
    <col min="25" max="25" width="22.42578125" style="1" customWidth="1"/>
    <col min="26" max="26" width="10.7109375" style="1" customWidth="1"/>
    <col min="27" max="27" width="16.140625" style="1" customWidth="1"/>
    <col min="28" max="28" width="16.85546875" style="1" customWidth="1"/>
    <col min="29" max="30" width="9.140625" style="1"/>
    <col min="31" max="31" width="10.7109375" style="1" bestFit="1" customWidth="1"/>
    <col min="32" max="16384" width="9.140625" style="1"/>
  </cols>
  <sheetData>
    <row r="2" spans="1:25" ht="31.5" customHeight="1">
      <c r="A2" s="468" t="s">
        <v>38</v>
      </c>
      <c r="B2" s="465" t="s">
        <v>43</v>
      </c>
      <c r="C2" s="469" t="s">
        <v>62</v>
      </c>
      <c r="D2" s="465" t="s">
        <v>36</v>
      </c>
      <c r="E2" s="465" t="s">
        <v>39</v>
      </c>
      <c r="F2" s="469" t="s">
        <v>90</v>
      </c>
      <c r="G2" s="459" t="s">
        <v>49</v>
      </c>
      <c r="H2" s="459" t="s">
        <v>50</v>
      </c>
      <c r="I2" s="459" t="s">
        <v>51</v>
      </c>
      <c r="J2" s="459" t="s">
        <v>52</v>
      </c>
      <c r="K2" s="459" t="s">
        <v>81</v>
      </c>
      <c r="L2" s="459" t="s">
        <v>82</v>
      </c>
      <c r="M2" s="459" t="s">
        <v>83</v>
      </c>
      <c r="N2" s="459" t="s">
        <v>84</v>
      </c>
      <c r="O2" s="466" t="s">
        <v>86</v>
      </c>
      <c r="P2" s="466" t="s">
        <v>87</v>
      </c>
      <c r="Q2" s="465" t="s">
        <v>41</v>
      </c>
      <c r="R2" s="467" t="s">
        <v>46</v>
      </c>
      <c r="S2" s="467"/>
      <c r="T2" s="456" t="s">
        <v>76</v>
      </c>
      <c r="U2" s="456" t="s">
        <v>77</v>
      </c>
      <c r="V2" s="456" t="s">
        <v>78</v>
      </c>
      <c r="W2" s="469" t="s">
        <v>23</v>
      </c>
    </row>
    <row r="3" spans="1:25" ht="21" customHeight="1" thickBot="1">
      <c r="A3" s="468"/>
      <c r="B3" s="465"/>
      <c r="C3" s="461"/>
      <c r="D3" s="465"/>
      <c r="E3" s="465"/>
      <c r="F3" s="470"/>
      <c r="G3" s="461"/>
      <c r="H3" s="461"/>
      <c r="I3" s="492"/>
      <c r="J3" s="488"/>
      <c r="K3" s="492"/>
      <c r="L3" s="460"/>
      <c r="M3" s="460"/>
      <c r="N3" s="460"/>
      <c r="O3" s="467"/>
      <c r="P3" s="467"/>
      <c r="Q3" s="465"/>
      <c r="R3" s="17" t="s">
        <v>26</v>
      </c>
      <c r="S3" s="17" t="s">
        <v>27</v>
      </c>
      <c r="T3" s="458"/>
      <c r="U3" s="457"/>
      <c r="V3" s="458"/>
      <c r="W3" s="488"/>
    </row>
    <row r="4" spans="1:25" ht="15" customHeight="1">
      <c r="A4" s="426">
        <v>46204</v>
      </c>
      <c r="B4" s="429" t="s">
        <v>44</v>
      </c>
      <c r="C4" s="432" t="s">
        <v>240</v>
      </c>
      <c r="D4" s="19" t="s">
        <v>37</v>
      </c>
      <c r="E4" s="19" t="s">
        <v>25</v>
      </c>
      <c r="F4" s="39" t="s">
        <v>40</v>
      </c>
      <c r="G4" s="41"/>
      <c r="H4" s="32">
        <v>3440</v>
      </c>
      <c r="I4" s="32"/>
      <c r="J4" s="32"/>
      <c r="K4" s="20">
        <v>80000</v>
      </c>
      <c r="L4" s="20">
        <v>10</v>
      </c>
      <c r="M4" s="20">
        <v>72000</v>
      </c>
      <c r="N4" s="84">
        <v>9</v>
      </c>
      <c r="O4" s="32">
        <f>July!V313</f>
        <v>55053</v>
      </c>
      <c r="P4" s="32">
        <f>July!W313</f>
        <v>58857</v>
      </c>
      <c r="Q4" s="32">
        <f>July!U313</f>
        <v>150</v>
      </c>
      <c r="R4" s="435">
        <f>July!V336</f>
        <v>100025</v>
      </c>
      <c r="S4" s="435">
        <f>July!W336</f>
        <v>69351</v>
      </c>
      <c r="T4" s="20">
        <v>56095</v>
      </c>
      <c r="U4" s="20"/>
      <c r="V4" s="20">
        <f>O4-T4-U4+145690</f>
        <v>144648</v>
      </c>
      <c r="W4" s="77"/>
      <c r="X4" s="36"/>
    </row>
    <row r="5" spans="1:25" ht="15" customHeight="1">
      <c r="A5" s="427"/>
      <c r="B5" s="431"/>
      <c r="C5" s="434"/>
      <c r="D5" s="113" t="s">
        <v>307</v>
      </c>
      <c r="E5" s="113" t="s">
        <v>24</v>
      </c>
      <c r="F5" s="118" t="s">
        <v>40</v>
      </c>
      <c r="G5" s="170"/>
      <c r="H5" s="158">
        <v>1215</v>
      </c>
      <c r="I5" s="125"/>
      <c r="J5" s="125"/>
      <c r="K5" s="127"/>
      <c r="L5" s="127"/>
      <c r="M5" s="216">
        <v>215400</v>
      </c>
      <c r="N5" s="238">
        <v>27</v>
      </c>
      <c r="O5" s="126">
        <f>July!V314</f>
        <v>39508</v>
      </c>
      <c r="P5" s="125">
        <f>July!W314</f>
        <v>7844</v>
      </c>
      <c r="Q5" s="125">
        <f>July!U314</f>
        <v>39</v>
      </c>
      <c r="R5" s="436"/>
      <c r="S5" s="436"/>
      <c r="T5" s="127">
        <v>27528</v>
      </c>
      <c r="U5" s="127"/>
      <c r="V5" s="127">
        <f>O5-T5-U5+97618</f>
        <v>109598</v>
      </c>
      <c r="W5" s="46"/>
      <c r="X5" s="67"/>
    </row>
    <row r="6" spans="1:25" ht="15" customHeight="1">
      <c r="A6" s="427"/>
      <c r="B6" s="442" t="s">
        <v>45</v>
      </c>
      <c r="C6" s="448" t="s">
        <v>59</v>
      </c>
      <c r="D6" s="118" t="s">
        <v>75</v>
      </c>
      <c r="E6" s="131" t="s">
        <v>25</v>
      </c>
      <c r="F6" s="131" t="s">
        <v>57</v>
      </c>
      <c r="G6" s="87"/>
      <c r="H6" s="152"/>
      <c r="I6" s="126"/>
      <c r="J6" s="2"/>
      <c r="K6" s="127"/>
      <c r="L6" s="18"/>
      <c r="M6" s="18">
        <v>44680</v>
      </c>
      <c r="N6" s="80">
        <v>9</v>
      </c>
      <c r="O6" s="126"/>
      <c r="P6" s="126"/>
      <c r="Q6" s="2">
        <f>July!U316</f>
        <v>11</v>
      </c>
      <c r="R6" s="436"/>
      <c r="S6" s="436"/>
      <c r="T6" s="18"/>
      <c r="U6" s="18"/>
      <c r="V6" s="127">
        <f>O6-T6-U6+4811</f>
        <v>4811</v>
      </c>
      <c r="W6" s="46"/>
      <c r="Y6" s="13"/>
    </row>
    <row r="7" spans="1:25">
      <c r="A7" s="427"/>
      <c r="B7" s="439"/>
      <c r="C7" s="440"/>
      <c r="D7" s="118" t="s">
        <v>72</v>
      </c>
      <c r="E7" s="155" t="s">
        <v>24</v>
      </c>
      <c r="F7" s="131" t="s">
        <v>57</v>
      </c>
      <c r="G7" s="224"/>
      <c r="H7" s="152"/>
      <c r="I7" s="126"/>
      <c r="J7" s="126"/>
      <c r="K7" s="127"/>
      <c r="L7" s="18"/>
      <c r="M7" s="18">
        <v>49600</v>
      </c>
      <c r="N7" s="80">
        <v>10</v>
      </c>
      <c r="O7" s="126"/>
      <c r="P7" s="126"/>
      <c r="Q7" s="126">
        <f>July!U317</f>
        <v>8</v>
      </c>
      <c r="R7" s="436"/>
      <c r="S7" s="436"/>
      <c r="T7" s="18"/>
      <c r="U7" s="18"/>
      <c r="V7" s="127">
        <f>O7-T7-U7+23089</f>
        <v>23089</v>
      </c>
      <c r="W7" s="46"/>
      <c r="Y7" s="13"/>
    </row>
    <row r="8" spans="1:25" ht="14.25" customHeight="1">
      <c r="A8" s="427"/>
      <c r="B8" s="439"/>
      <c r="C8" s="440"/>
      <c r="D8" s="115" t="s">
        <v>79</v>
      </c>
      <c r="E8" s="155" t="s">
        <v>65</v>
      </c>
      <c r="F8" s="131" t="s">
        <v>57</v>
      </c>
      <c r="G8" s="224"/>
      <c r="H8" s="126"/>
      <c r="I8" s="126"/>
      <c r="J8" s="126"/>
      <c r="K8" s="18"/>
      <c r="L8" s="18"/>
      <c r="M8" s="18"/>
      <c r="N8" s="80"/>
      <c r="O8" s="126"/>
      <c r="P8" s="126"/>
      <c r="Q8" s="126"/>
      <c r="R8" s="436"/>
      <c r="S8" s="436"/>
      <c r="T8" s="18"/>
      <c r="U8" s="18"/>
      <c r="V8" s="127">
        <f>O8-T8-U8+10211</f>
        <v>10211</v>
      </c>
      <c r="W8" s="45"/>
      <c r="X8" s="36"/>
    </row>
    <row r="9" spans="1:25" ht="14.25" customHeight="1">
      <c r="A9" s="427"/>
      <c r="B9" s="439"/>
      <c r="C9" s="448" t="s">
        <v>299</v>
      </c>
      <c r="D9" s="115" t="s">
        <v>296</v>
      </c>
      <c r="E9" s="424" t="s">
        <v>25</v>
      </c>
      <c r="F9" s="131" t="s">
        <v>298</v>
      </c>
      <c r="G9" s="224"/>
      <c r="H9" s="37"/>
      <c r="I9" s="126"/>
      <c r="J9" s="126"/>
      <c r="K9" s="18"/>
      <c r="L9" s="18"/>
      <c r="M9" s="18"/>
      <c r="N9" s="80"/>
      <c r="O9" s="126"/>
      <c r="P9" s="126"/>
      <c r="Q9" s="126"/>
      <c r="R9" s="436"/>
      <c r="S9" s="436"/>
      <c r="T9" s="18"/>
      <c r="U9" s="18"/>
      <c r="V9" s="127">
        <f>O9-T9-U9+4427</f>
        <v>4427</v>
      </c>
      <c r="W9" s="45"/>
      <c r="X9" s="67"/>
    </row>
    <row r="10" spans="1:25" ht="14.25" customHeight="1">
      <c r="A10" s="427"/>
      <c r="B10" s="443"/>
      <c r="C10" s="449"/>
      <c r="D10" s="115" t="s">
        <v>75</v>
      </c>
      <c r="E10" s="425"/>
      <c r="F10" s="131" t="s">
        <v>298</v>
      </c>
      <c r="G10" s="229"/>
      <c r="H10" s="37"/>
      <c r="I10" s="126"/>
      <c r="J10" s="126"/>
      <c r="K10" s="18"/>
      <c r="L10" s="18"/>
      <c r="M10" s="18">
        <v>10000</v>
      </c>
      <c r="N10" s="80">
        <v>2</v>
      </c>
      <c r="O10" s="126"/>
      <c r="P10" s="126"/>
      <c r="Q10" s="126">
        <f>July!U318</f>
        <v>4</v>
      </c>
      <c r="R10" s="436"/>
      <c r="S10" s="436"/>
      <c r="T10" s="18"/>
      <c r="U10" s="18"/>
      <c r="V10" s="127">
        <f>O10-T10-U10+14595</f>
        <v>14595</v>
      </c>
      <c r="W10" s="45"/>
      <c r="X10" s="67"/>
    </row>
    <row r="11" spans="1:25" ht="14.25" customHeight="1">
      <c r="A11" s="427"/>
      <c r="B11" s="439" t="s">
        <v>53</v>
      </c>
      <c r="C11" s="445" t="s">
        <v>60</v>
      </c>
      <c r="D11" s="43" t="s">
        <v>320</v>
      </c>
      <c r="E11" s="441" t="s">
        <v>66</v>
      </c>
      <c r="F11" s="118" t="s">
        <v>54</v>
      </c>
      <c r="G11" s="224"/>
      <c r="H11" s="37"/>
      <c r="I11" s="126"/>
      <c r="J11" s="126"/>
      <c r="K11" s="18"/>
      <c r="L11" s="18"/>
      <c r="M11" s="18"/>
      <c r="N11" s="80"/>
      <c r="O11" s="126">
        <f>July!V315</f>
        <v>2075</v>
      </c>
      <c r="P11" s="126">
        <f>July!W315</f>
        <v>148</v>
      </c>
      <c r="Q11" s="126">
        <f>July!U315</f>
        <v>3</v>
      </c>
      <c r="R11" s="436"/>
      <c r="S11" s="436"/>
      <c r="T11" s="18"/>
      <c r="U11" s="18"/>
      <c r="V11" s="127">
        <f>O11-T11-U11+46064</f>
        <v>48139</v>
      </c>
      <c r="W11" s="45"/>
      <c r="X11" s="67"/>
    </row>
    <row r="12" spans="1:25" ht="14.25" customHeight="1">
      <c r="A12" s="427"/>
      <c r="B12" s="439"/>
      <c r="C12" s="445"/>
      <c r="D12" s="43" t="s">
        <v>387</v>
      </c>
      <c r="E12" s="425"/>
      <c r="F12" s="118" t="s">
        <v>54</v>
      </c>
      <c r="G12" s="229"/>
      <c r="H12" s="182"/>
      <c r="I12" s="125"/>
      <c r="J12" s="125"/>
      <c r="K12" s="127"/>
      <c r="L12" s="127"/>
      <c r="M12" s="127">
        <v>64800</v>
      </c>
      <c r="N12" s="171">
        <v>11</v>
      </c>
      <c r="O12" s="125"/>
      <c r="P12" s="125"/>
      <c r="Q12" s="125"/>
      <c r="R12" s="436"/>
      <c r="S12" s="436"/>
      <c r="T12" s="18"/>
      <c r="U12" s="18"/>
      <c r="V12" s="127">
        <f>O12-T12-U12+666</f>
        <v>666</v>
      </c>
      <c r="W12" s="45"/>
      <c r="X12" s="67"/>
    </row>
    <row r="13" spans="1:25" ht="14.25" customHeight="1">
      <c r="A13" s="427"/>
      <c r="B13" s="443"/>
      <c r="C13" s="446"/>
      <c r="D13" s="43" t="s">
        <v>199</v>
      </c>
      <c r="E13" s="114" t="s">
        <v>25</v>
      </c>
      <c r="F13" s="118" t="s">
        <v>54</v>
      </c>
      <c r="G13" s="224"/>
      <c r="H13" s="135"/>
      <c r="I13" s="158"/>
      <c r="J13" s="158"/>
      <c r="K13" s="128"/>
      <c r="L13" s="128"/>
      <c r="M13" s="128"/>
      <c r="N13" s="164"/>
      <c r="O13" s="158"/>
      <c r="P13" s="158"/>
      <c r="Q13" s="158"/>
      <c r="R13" s="436"/>
      <c r="S13" s="436"/>
      <c r="T13" s="18"/>
      <c r="U13" s="18"/>
      <c r="V13" s="127">
        <f>O13-T13-U13+68</f>
        <v>68</v>
      </c>
      <c r="W13" s="45"/>
      <c r="X13" s="67"/>
    </row>
    <row r="14" spans="1:25" ht="15.75" customHeight="1">
      <c r="A14" s="427"/>
      <c r="B14" s="137" t="s">
        <v>55</v>
      </c>
      <c r="C14" s="157" t="s">
        <v>133</v>
      </c>
      <c r="D14" s="48" t="s">
        <v>56</v>
      </c>
      <c r="E14" s="424" t="s">
        <v>25</v>
      </c>
      <c r="F14" s="118" t="s">
        <v>67</v>
      </c>
      <c r="G14" s="226"/>
      <c r="H14" s="126"/>
      <c r="I14" s="126"/>
      <c r="J14" s="2"/>
      <c r="K14" s="18"/>
      <c r="L14" s="18"/>
      <c r="M14" s="18"/>
      <c r="N14" s="18"/>
      <c r="O14" s="126"/>
      <c r="P14" s="126"/>
      <c r="Q14" s="126"/>
      <c r="R14" s="436"/>
      <c r="S14" s="436"/>
      <c r="T14" s="18"/>
      <c r="U14" s="18"/>
      <c r="V14" s="127">
        <f>O14-T14-U14+7022</f>
        <v>7022</v>
      </c>
      <c r="W14" s="45"/>
      <c r="X14" s="67"/>
    </row>
    <row r="15" spans="1:25" ht="15" customHeight="1">
      <c r="A15" s="427"/>
      <c r="B15" s="122" t="s">
        <v>122</v>
      </c>
      <c r="C15" s="180" t="s">
        <v>123</v>
      </c>
      <c r="D15" s="48" t="s">
        <v>56</v>
      </c>
      <c r="E15" s="441"/>
      <c r="F15" s="155" t="s">
        <v>64</v>
      </c>
      <c r="G15" s="119"/>
      <c r="H15" s="126"/>
      <c r="I15" s="126"/>
      <c r="J15" s="2"/>
      <c r="K15" s="18"/>
      <c r="L15" s="18"/>
      <c r="M15" s="18">
        <v>6400</v>
      </c>
      <c r="N15" s="18">
        <v>2</v>
      </c>
      <c r="O15" s="126"/>
      <c r="P15" s="126"/>
      <c r="Q15" s="126"/>
      <c r="R15" s="436"/>
      <c r="S15" s="436"/>
      <c r="T15" s="18"/>
      <c r="U15" s="18"/>
      <c r="V15" s="127">
        <f>O15-T15-U15+18121</f>
        <v>18121</v>
      </c>
      <c r="W15" s="45"/>
      <c r="X15" s="67"/>
    </row>
    <row r="16" spans="1:25" ht="14.25" customHeight="1">
      <c r="A16" s="427"/>
      <c r="B16" s="137" t="s">
        <v>58</v>
      </c>
      <c r="C16" s="157" t="s">
        <v>243</v>
      </c>
      <c r="D16" s="48" t="s">
        <v>56</v>
      </c>
      <c r="E16" s="441"/>
      <c r="F16" s="118" t="s">
        <v>64</v>
      </c>
      <c r="G16" s="225"/>
      <c r="H16" s="126"/>
      <c r="I16" s="126"/>
      <c r="J16" s="126"/>
      <c r="K16" s="18"/>
      <c r="L16" s="18"/>
      <c r="M16" s="18"/>
      <c r="N16" s="80"/>
      <c r="O16" s="126"/>
      <c r="P16" s="126"/>
      <c r="Q16" s="126"/>
      <c r="R16" s="436"/>
      <c r="S16" s="436"/>
      <c r="T16" s="18"/>
      <c r="U16" s="18"/>
      <c r="V16" s="127">
        <f>O16-T16-U16+8144</f>
        <v>8144</v>
      </c>
      <c r="W16" s="45"/>
      <c r="X16" s="67"/>
    </row>
    <row r="17" spans="1:24" ht="14.25" customHeight="1">
      <c r="A17" s="427"/>
      <c r="B17" s="122" t="s">
        <v>61</v>
      </c>
      <c r="C17" s="180" t="s">
        <v>137</v>
      </c>
      <c r="D17" s="48" t="s">
        <v>56</v>
      </c>
      <c r="E17" s="441"/>
      <c r="F17" s="118" t="s">
        <v>67</v>
      </c>
      <c r="G17" s="225"/>
      <c r="H17" s="126"/>
      <c r="I17" s="126"/>
      <c r="J17" s="126"/>
      <c r="K17" s="18"/>
      <c r="L17" s="18"/>
      <c r="M17" s="18"/>
      <c r="N17" s="80"/>
      <c r="O17" s="126"/>
      <c r="P17" s="126"/>
      <c r="Q17" s="126"/>
      <c r="R17" s="436"/>
      <c r="S17" s="436"/>
      <c r="T17" s="18"/>
      <c r="U17" s="18"/>
      <c r="V17" s="127">
        <f>O17-T17-U17+5844</f>
        <v>5844</v>
      </c>
      <c r="W17" s="45"/>
      <c r="X17" s="67"/>
    </row>
    <row r="18" spans="1:24" ht="14.25" customHeight="1">
      <c r="A18" s="427"/>
      <c r="B18" s="122" t="s">
        <v>125</v>
      </c>
      <c r="C18" s="180" t="s">
        <v>88</v>
      </c>
      <c r="D18" s="48" t="s">
        <v>124</v>
      </c>
      <c r="E18" s="441"/>
      <c r="F18" s="118" t="s">
        <v>64</v>
      </c>
      <c r="G18" s="225"/>
      <c r="H18" s="126">
        <v>120</v>
      </c>
      <c r="I18" s="126"/>
      <c r="J18" s="126"/>
      <c r="K18" s="18"/>
      <c r="L18" s="18"/>
      <c r="M18" s="18">
        <v>51200</v>
      </c>
      <c r="N18" s="80">
        <v>7</v>
      </c>
      <c r="O18" s="126"/>
      <c r="P18" s="126"/>
      <c r="Q18" s="126"/>
      <c r="R18" s="436"/>
      <c r="S18" s="436"/>
      <c r="T18" s="18"/>
      <c r="U18" s="18"/>
      <c r="V18" s="127">
        <f>O18-T18-U18+23615</f>
        <v>23615</v>
      </c>
      <c r="W18" s="45"/>
      <c r="X18" s="67"/>
    </row>
    <row r="19" spans="1:24" ht="14.25" customHeight="1">
      <c r="A19" s="427"/>
      <c r="B19" s="137" t="s">
        <v>463</v>
      </c>
      <c r="C19" s="157" t="s">
        <v>464</v>
      </c>
      <c r="D19" s="48" t="s">
        <v>246</v>
      </c>
      <c r="E19" s="441"/>
      <c r="F19" s="118" t="s">
        <v>64</v>
      </c>
      <c r="G19" s="225"/>
      <c r="H19" s="126"/>
      <c r="I19" s="126"/>
      <c r="J19" s="126"/>
      <c r="K19" s="18">
        <v>6000</v>
      </c>
      <c r="L19" s="18">
        <v>1</v>
      </c>
      <c r="M19" s="18"/>
      <c r="N19" s="80"/>
      <c r="O19" s="126"/>
      <c r="P19" s="126"/>
      <c r="Q19" s="126">
        <f>July!U333</f>
        <v>1</v>
      </c>
      <c r="R19" s="436"/>
      <c r="S19" s="436"/>
      <c r="T19" s="18"/>
      <c r="U19" s="18"/>
      <c r="V19" s="127">
        <f>O19-T19-U19</f>
        <v>0</v>
      </c>
      <c r="W19" s="45"/>
      <c r="X19" s="67"/>
    </row>
    <row r="20" spans="1:24" ht="14.25" customHeight="1">
      <c r="A20" s="427"/>
      <c r="B20" s="137" t="s">
        <v>47</v>
      </c>
      <c r="C20" s="157" t="s">
        <v>100</v>
      </c>
      <c r="D20" s="48" t="s">
        <v>458</v>
      </c>
      <c r="E20" s="441"/>
      <c r="F20" s="118" t="s">
        <v>71</v>
      </c>
      <c r="G20" s="225"/>
      <c r="H20" s="126"/>
      <c r="I20" s="126"/>
      <c r="J20" s="126"/>
      <c r="K20" s="18"/>
      <c r="L20" s="18"/>
      <c r="M20" s="18">
        <v>6100</v>
      </c>
      <c r="N20" s="80">
        <v>1</v>
      </c>
      <c r="O20" s="126"/>
      <c r="P20" s="126">
        <f>July!W319</f>
        <v>116</v>
      </c>
      <c r="Q20" s="126">
        <f>July!U319</f>
        <v>6</v>
      </c>
      <c r="R20" s="436"/>
      <c r="S20" s="436"/>
      <c r="T20" s="18"/>
      <c r="U20" s="18"/>
      <c r="V20" s="127">
        <f>O20-T20-U20</f>
        <v>0</v>
      </c>
      <c r="W20" s="45"/>
      <c r="X20" s="67"/>
    </row>
    <row r="21" spans="1:24" ht="14.25" customHeight="1">
      <c r="A21" s="427"/>
      <c r="B21" s="137" t="s">
        <v>47</v>
      </c>
      <c r="C21" s="157" t="s">
        <v>457</v>
      </c>
      <c r="D21" s="48" t="s">
        <v>458</v>
      </c>
      <c r="E21" s="441"/>
      <c r="F21" s="118" t="s">
        <v>459</v>
      </c>
      <c r="G21" s="225"/>
      <c r="H21" s="126"/>
      <c r="I21" s="126"/>
      <c r="J21" s="126"/>
      <c r="K21" s="18"/>
      <c r="L21" s="18"/>
      <c r="M21" s="18"/>
      <c r="N21" s="80"/>
      <c r="O21" s="126"/>
      <c r="P21" s="126">
        <f>July!W320</f>
        <v>248</v>
      </c>
      <c r="Q21" s="126">
        <f>July!U320</f>
        <v>1</v>
      </c>
      <c r="R21" s="436"/>
      <c r="S21" s="436"/>
      <c r="T21" s="18"/>
      <c r="U21" s="18"/>
      <c r="V21" s="127">
        <f>O21-T21-U21</f>
        <v>0</v>
      </c>
      <c r="W21" s="45"/>
      <c r="X21" s="67"/>
    </row>
    <row r="22" spans="1:24" s="4" customFormat="1" ht="15" customHeight="1">
      <c r="A22" s="427"/>
      <c r="B22" s="122" t="s">
        <v>196</v>
      </c>
      <c r="C22" s="180" t="s">
        <v>63</v>
      </c>
      <c r="D22" s="48" t="s">
        <v>135</v>
      </c>
      <c r="E22" s="441"/>
      <c r="F22" s="48" t="s">
        <v>64</v>
      </c>
      <c r="G22" s="259"/>
      <c r="H22" s="34">
        <v>102</v>
      </c>
      <c r="I22" s="34"/>
      <c r="J22" s="6"/>
      <c r="K22" s="211"/>
      <c r="L22" s="211"/>
      <c r="M22" s="211"/>
      <c r="N22" s="211"/>
      <c r="O22" s="34">
        <f>July!V332</f>
        <v>2389</v>
      </c>
      <c r="P22" s="34">
        <f>July!W332</f>
        <v>929</v>
      </c>
      <c r="Q22" s="34">
        <f>July!U332</f>
        <v>4</v>
      </c>
      <c r="R22" s="436"/>
      <c r="S22" s="436"/>
      <c r="T22" s="211"/>
      <c r="U22" s="211"/>
      <c r="V22" s="216">
        <f>O22-T22-U22+50124</f>
        <v>52513</v>
      </c>
      <c r="W22" s="260"/>
      <c r="X22" s="67"/>
    </row>
    <row r="23" spans="1:24" ht="15" customHeight="1">
      <c r="A23" s="427"/>
      <c r="B23" s="122" t="s">
        <v>253</v>
      </c>
      <c r="C23" s="180" t="s">
        <v>365</v>
      </c>
      <c r="D23" s="48" t="s">
        <v>246</v>
      </c>
      <c r="E23" s="441"/>
      <c r="F23" s="118" t="s">
        <v>247</v>
      </c>
      <c r="G23" s="226"/>
      <c r="H23" s="126"/>
      <c r="I23" s="126"/>
      <c r="J23" s="2"/>
      <c r="K23" s="18"/>
      <c r="L23" s="18"/>
      <c r="M23" s="18"/>
      <c r="N23" s="18"/>
      <c r="O23" s="126"/>
      <c r="P23" s="126"/>
      <c r="Q23" s="126">
        <f>July!U321</f>
        <v>3</v>
      </c>
      <c r="R23" s="436"/>
      <c r="S23" s="436"/>
      <c r="T23" s="18"/>
      <c r="U23" s="18"/>
      <c r="V23" s="127">
        <f>O23-T23-U23+12501</f>
        <v>12501</v>
      </c>
      <c r="W23" s="45"/>
      <c r="X23" s="67"/>
    </row>
    <row r="24" spans="1:24" ht="15" customHeight="1">
      <c r="A24" s="427"/>
      <c r="B24" s="122" t="s">
        <v>101</v>
      </c>
      <c r="C24" s="180" t="s">
        <v>327</v>
      </c>
      <c r="D24" s="48" t="s">
        <v>102</v>
      </c>
      <c r="E24" s="441"/>
      <c r="F24" s="118" t="s">
        <v>64</v>
      </c>
      <c r="G24" s="279">
        <v>2314.65</v>
      </c>
      <c r="H24" s="126"/>
      <c r="I24" s="126"/>
      <c r="J24" s="2"/>
      <c r="K24" s="18"/>
      <c r="L24" s="18"/>
      <c r="M24" s="18">
        <v>35000</v>
      </c>
      <c r="N24" s="18">
        <v>5</v>
      </c>
      <c r="O24" s="126">
        <f>July!V328</f>
        <v>1000</v>
      </c>
      <c r="P24" s="126">
        <f>July!W328</f>
        <v>852</v>
      </c>
      <c r="Q24" s="126">
        <f>July!U328</f>
        <v>2</v>
      </c>
      <c r="R24" s="436"/>
      <c r="S24" s="436"/>
      <c r="T24" s="18"/>
      <c r="U24" s="18"/>
      <c r="V24" s="18">
        <f>O24-T24-U24+373</f>
        <v>1373</v>
      </c>
      <c r="W24" s="45"/>
      <c r="X24" s="67"/>
    </row>
    <row r="25" spans="1:24" ht="15" customHeight="1">
      <c r="A25" s="427"/>
      <c r="B25" s="122" t="s">
        <v>366</v>
      </c>
      <c r="C25" s="180" t="s">
        <v>367</v>
      </c>
      <c r="D25" s="48" t="s">
        <v>132</v>
      </c>
      <c r="E25" s="441"/>
      <c r="F25" s="118" t="s">
        <v>64</v>
      </c>
      <c r="G25" s="119"/>
      <c r="H25" s="126"/>
      <c r="I25" s="126"/>
      <c r="J25" s="2"/>
      <c r="K25" s="18"/>
      <c r="L25" s="18"/>
      <c r="M25" s="18"/>
      <c r="N25" s="18"/>
      <c r="O25" s="126"/>
      <c r="P25" s="126">
        <f>July!W329</f>
        <v>55</v>
      </c>
      <c r="Q25" s="126">
        <f>July!U329</f>
        <v>2</v>
      </c>
      <c r="R25" s="436"/>
      <c r="S25" s="436"/>
      <c r="T25" s="18">
        <v>6708</v>
      </c>
      <c r="U25" s="18">
        <v>17</v>
      </c>
      <c r="V25" s="18">
        <f>O25-T25-U25+6725</f>
        <v>0</v>
      </c>
      <c r="W25" s="45"/>
      <c r="X25" s="67"/>
    </row>
    <row r="26" spans="1:24" ht="15" customHeight="1">
      <c r="A26" s="427"/>
      <c r="B26" s="122" t="s">
        <v>363</v>
      </c>
      <c r="C26" s="180" t="s">
        <v>325</v>
      </c>
      <c r="D26" s="48" t="s">
        <v>328</v>
      </c>
      <c r="E26" s="441"/>
      <c r="F26" s="118" t="s">
        <v>48</v>
      </c>
      <c r="G26" s="226"/>
      <c r="H26" s="126"/>
      <c r="I26" s="126"/>
      <c r="J26" s="2"/>
      <c r="K26" s="18"/>
      <c r="L26" s="18"/>
      <c r="M26" s="18"/>
      <c r="N26" s="18"/>
      <c r="O26" s="126"/>
      <c r="P26" s="126"/>
      <c r="Q26" s="126"/>
      <c r="R26" s="436"/>
      <c r="S26" s="436"/>
      <c r="T26" s="18"/>
      <c r="U26" s="18"/>
      <c r="V26" s="127">
        <f>O26-T26-U26+16454</f>
        <v>16454</v>
      </c>
      <c r="W26" s="45"/>
      <c r="X26" s="67"/>
    </row>
    <row r="27" spans="1:24" ht="15" customHeight="1">
      <c r="A27" s="427"/>
      <c r="B27" s="122" t="s">
        <v>107</v>
      </c>
      <c r="C27" s="180" t="s">
        <v>386</v>
      </c>
      <c r="D27" s="48" t="s">
        <v>108</v>
      </c>
      <c r="E27" s="441"/>
      <c r="F27" s="115" t="s">
        <v>48</v>
      </c>
      <c r="G27" s="113"/>
      <c r="H27" s="125"/>
      <c r="I27" s="125"/>
      <c r="J27" s="250"/>
      <c r="K27" s="127"/>
      <c r="L27" s="127"/>
      <c r="M27" s="127">
        <v>13000</v>
      </c>
      <c r="N27" s="127">
        <v>2</v>
      </c>
      <c r="O27" s="125"/>
      <c r="P27" s="125"/>
      <c r="Q27" s="125">
        <f>July!U330</f>
        <v>2</v>
      </c>
      <c r="R27" s="436"/>
      <c r="S27" s="436"/>
      <c r="T27" s="18">
        <v>903</v>
      </c>
      <c r="U27" s="18"/>
      <c r="V27" s="18">
        <f>O27-T27-U27+11956</f>
        <v>11053</v>
      </c>
      <c r="W27" s="85"/>
      <c r="X27" s="67"/>
    </row>
    <row r="28" spans="1:24" s="4" customFormat="1" ht="15" customHeight="1">
      <c r="A28" s="427"/>
      <c r="B28" s="268" t="s">
        <v>375</v>
      </c>
      <c r="C28" s="277" t="s">
        <v>376</v>
      </c>
      <c r="D28" s="43" t="s">
        <v>248</v>
      </c>
      <c r="E28" s="441"/>
      <c r="F28" s="43" t="s">
        <v>64</v>
      </c>
      <c r="G28" s="268"/>
      <c r="H28" s="331"/>
      <c r="I28" s="331"/>
      <c r="J28" s="341"/>
      <c r="K28" s="216"/>
      <c r="L28" s="216"/>
      <c r="M28" s="216"/>
      <c r="N28" s="216"/>
      <c r="O28" s="331"/>
      <c r="P28" s="331"/>
      <c r="Q28" s="331"/>
      <c r="R28" s="436"/>
      <c r="S28" s="436"/>
      <c r="T28" s="216"/>
      <c r="U28" s="216"/>
      <c r="V28" s="216">
        <f>O28-T28-U28+75911</f>
        <v>75911</v>
      </c>
      <c r="W28" s="260"/>
      <c r="X28" s="67"/>
    </row>
    <row r="29" spans="1:24" s="4" customFormat="1" ht="15" customHeight="1">
      <c r="A29" s="427"/>
      <c r="B29" s="137" t="s">
        <v>421</v>
      </c>
      <c r="C29" s="157" t="s">
        <v>420</v>
      </c>
      <c r="D29" s="48" t="s">
        <v>248</v>
      </c>
      <c r="E29" s="441"/>
      <c r="F29" s="48" t="s">
        <v>64</v>
      </c>
      <c r="G29" s="122"/>
      <c r="H29" s="34"/>
      <c r="I29" s="34"/>
      <c r="J29" s="6"/>
      <c r="K29" s="211"/>
      <c r="L29" s="211"/>
      <c r="M29" s="211">
        <v>46200</v>
      </c>
      <c r="N29" s="211">
        <v>11</v>
      </c>
      <c r="O29" s="34"/>
      <c r="P29" s="34"/>
      <c r="Q29" s="34">
        <f>July!U331</f>
        <v>20</v>
      </c>
      <c r="R29" s="436"/>
      <c r="S29" s="436"/>
      <c r="T29" s="211"/>
      <c r="U29" s="211"/>
      <c r="V29" s="211">
        <f>O29-T29-U29+57857</f>
        <v>57857</v>
      </c>
      <c r="W29" s="260"/>
      <c r="X29" s="67"/>
    </row>
    <row r="30" spans="1:24" s="4" customFormat="1" ht="15" customHeight="1">
      <c r="A30" s="427"/>
      <c r="B30" s="122" t="s">
        <v>289</v>
      </c>
      <c r="C30" s="180" t="s">
        <v>505</v>
      </c>
      <c r="D30" s="48" t="s">
        <v>432</v>
      </c>
      <c r="E30" s="441"/>
      <c r="F30" s="48" t="s">
        <v>435</v>
      </c>
      <c r="G30" s="122"/>
      <c r="H30" s="34"/>
      <c r="I30" s="34"/>
      <c r="J30" s="6"/>
      <c r="K30" s="211"/>
      <c r="L30" s="211"/>
      <c r="M30" s="211"/>
      <c r="N30" s="211"/>
      <c r="O30" s="34"/>
      <c r="P30" s="34">
        <f>July!W326</f>
        <v>302</v>
      </c>
      <c r="Q30" s="34">
        <f>July!U326</f>
        <v>1</v>
      </c>
      <c r="R30" s="436"/>
      <c r="S30" s="436"/>
      <c r="T30" s="211"/>
      <c r="U30" s="211"/>
      <c r="V30" s="211">
        <f>O30-T30-U30</f>
        <v>0</v>
      </c>
      <c r="W30" s="260"/>
      <c r="X30" s="67"/>
    </row>
    <row r="31" spans="1:24" s="4" customFormat="1" ht="15" customHeight="1">
      <c r="A31" s="427"/>
      <c r="B31" s="268" t="s">
        <v>453</v>
      </c>
      <c r="C31" s="180" t="s">
        <v>505</v>
      </c>
      <c r="D31" s="48" t="s">
        <v>432</v>
      </c>
      <c r="E31" s="441"/>
      <c r="F31" s="48" t="s">
        <v>57</v>
      </c>
      <c r="G31" s="122"/>
      <c r="H31" s="34"/>
      <c r="I31" s="34"/>
      <c r="J31" s="6"/>
      <c r="K31" s="211"/>
      <c r="L31" s="211"/>
      <c r="M31" s="211"/>
      <c r="N31" s="211"/>
      <c r="O31" s="34"/>
      <c r="P31" s="34"/>
      <c r="Q31" s="34">
        <f>July!U327</f>
        <v>1</v>
      </c>
      <c r="R31" s="436"/>
      <c r="S31" s="436"/>
      <c r="T31" s="211"/>
      <c r="U31" s="211"/>
      <c r="V31" s="211">
        <f>O31-T31-U31</f>
        <v>0</v>
      </c>
      <c r="W31" s="260"/>
      <c r="X31" s="67"/>
    </row>
    <row r="32" spans="1:24" s="4" customFormat="1" ht="15" customHeight="1">
      <c r="A32" s="427"/>
      <c r="B32" s="268" t="s">
        <v>454</v>
      </c>
      <c r="C32" s="180" t="s">
        <v>505</v>
      </c>
      <c r="D32" s="48" t="s">
        <v>432</v>
      </c>
      <c r="E32" s="441"/>
      <c r="F32" s="48" t="s">
        <v>57</v>
      </c>
      <c r="G32" s="122"/>
      <c r="H32" s="34"/>
      <c r="I32" s="34"/>
      <c r="J32" s="6"/>
      <c r="K32" s="211"/>
      <c r="L32" s="211"/>
      <c r="M32" s="211"/>
      <c r="N32" s="211"/>
      <c r="O32" s="34"/>
      <c r="P32" s="34"/>
      <c r="Q32" s="34"/>
      <c r="R32" s="436"/>
      <c r="S32" s="436"/>
      <c r="T32" s="211"/>
      <c r="U32" s="211"/>
      <c r="V32" s="211">
        <v>895</v>
      </c>
      <c r="W32" s="260"/>
      <c r="X32" s="67"/>
    </row>
    <row r="33" spans="1:25" ht="15" customHeight="1">
      <c r="A33" s="427"/>
      <c r="B33" s="122" t="s">
        <v>103</v>
      </c>
      <c r="C33" s="157" t="s">
        <v>197</v>
      </c>
      <c r="D33" s="48" t="s">
        <v>104</v>
      </c>
      <c r="E33" s="441"/>
      <c r="F33" s="118" t="s">
        <v>105</v>
      </c>
      <c r="G33" s="119"/>
      <c r="H33" s="126"/>
      <c r="I33" s="126"/>
      <c r="J33" s="2"/>
      <c r="K33" s="18"/>
      <c r="L33" s="18"/>
      <c r="M33" s="18"/>
      <c r="N33" s="18"/>
      <c r="O33" s="126"/>
      <c r="P33" s="126"/>
      <c r="Q33" s="126">
        <f>July!U334</f>
        <v>1</v>
      </c>
      <c r="R33" s="436"/>
      <c r="S33" s="436"/>
      <c r="T33" s="18"/>
      <c r="U33" s="18"/>
      <c r="V33" s="18"/>
      <c r="W33" s="45"/>
      <c r="X33" s="67"/>
    </row>
    <row r="34" spans="1:25" ht="15" customHeight="1" thickBot="1">
      <c r="A34" s="427"/>
      <c r="B34" s="137" t="s">
        <v>112</v>
      </c>
      <c r="C34" s="157" t="s">
        <v>197</v>
      </c>
      <c r="D34" s="48" t="s">
        <v>104</v>
      </c>
      <c r="E34" s="441"/>
      <c r="F34" s="118" t="s">
        <v>113</v>
      </c>
      <c r="G34" s="342"/>
      <c r="H34" s="262"/>
      <c r="I34" s="126"/>
      <c r="J34" s="2"/>
      <c r="K34" s="18"/>
      <c r="L34" s="18"/>
      <c r="M34" s="18"/>
      <c r="N34" s="18"/>
      <c r="O34" s="126"/>
      <c r="P34" s="126"/>
      <c r="Q34" s="126">
        <f>July!U335</f>
        <v>1</v>
      </c>
      <c r="R34" s="436"/>
      <c r="S34" s="436"/>
      <c r="T34" s="18"/>
      <c r="U34" s="264"/>
      <c r="V34" s="18"/>
      <c r="W34" s="45"/>
      <c r="X34" s="67"/>
    </row>
    <row r="35" spans="1:25" ht="15" customHeight="1">
      <c r="A35" s="426">
        <v>46205</v>
      </c>
      <c r="B35" s="429" t="s">
        <v>44</v>
      </c>
      <c r="C35" s="432" t="s">
        <v>240</v>
      </c>
      <c r="D35" s="19" t="s">
        <v>37</v>
      </c>
      <c r="E35" s="19" t="s">
        <v>25</v>
      </c>
      <c r="F35" s="39" t="s">
        <v>40</v>
      </c>
      <c r="G35" s="41">
        <v>3848.67</v>
      </c>
      <c r="H35" s="32">
        <v>5744</v>
      </c>
      <c r="I35" s="32"/>
      <c r="J35" s="32"/>
      <c r="K35" s="20">
        <v>112000</v>
      </c>
      <c r="L35" s="20">
        <v>14</v>
      </c>
      <c r="M35" s="20">
        <v>16000</v>
      </c>
      <c r="N35" s="84">
        <v>2</v>
      </c>
      <c r="O35" s="32">
        <f>July!Y313</f>
        <v>52912</v>
      </c>
      <c r="P35" s="32">
        <f>July!Z313</f>
        <v>56260</v>
      </c>
      <c r="Q35" s="32">
        <f>July!X313</f>
        <v>150</v>
      </c>
      <c r="R35" s="435">
        <f>July!Y336</f>
        <v>63010</v>
      </c>
      <c r="S35" s="435">
        <f>July!Z336</f>
        <v>64965</v>
      </c>
      <c r="T35" s="20">
        <v>44186</v>
      </c>
      <c r="U35" s="20">
        <v>6</v>
      </c>
      <c r="V35" s="20">
        <f t="shared" ref="V35:V40" si="0">O35-T35-U35+V4</f>
        <v>153368</v>
      </c>
      <c r="W35" s="77"/>
      <c r="X35" s="36"/>
    </row>
    <row r="36" spans="1:25" ht="15" customHeight="1">
      <c r="A36" s="427"/>
      <c r="B36" s="431"/>
      <c r="C36" s="434"/>
      <c r="D36" s="113" t="s">
        <v>307</v>
      </c>
      <c r="E36" s="113" t="s">
        <v>24</v>
      </c>
      <c r="F36" s="118" t="s">
        <v>40</v>
      </c>
      <c r="G36" s="170"/>
      <c r="H36" s="135"/>
      <c r="I36" s="125"/>
      <c r="J36" s="125"/>
      <c r="K36" s="127"/>
      <c r="L36" s="127"/>
      <c r="M36" s="216">
        <v>215400</v>
      </c>
      <c r="N36" s="238">
        <v>27</v>
      </c>
      <c r="O36" s="126">
        <f>July!Y314</f>
        <v>4680</v>
      </c>
      <c r="P36" s="125">
        <f>July!Z314</f>
        <v>2769</v>
      </c>
      <c r="Q36" s="125">
        <f>July!X314</f>
        <v>39</v>
      </c>
      <c r="R36" s="436"/>
      <c r="S36" s="436"/>
      <c r="T36" s="127">
        <v>26978</v>
      </c>
      <c r="U36" s="127"/>
      <c r="V36" s="127">
        <f t="shared" si="0"/>
        <v>87300</v>
      </c>
      <c r="W36" s="46"/>
      <c r="X36" s="67"/>
    </row>
    <row r="37" spans="1:25" ht="15" customHeight="1">
      <c r="A37" s="427"/>
      <c r="B37" s="442" t="s">
        <v>45</v>
      </c>
      <c r="C37" s="448" t="s">
        <v>59</v>
      </c>
      <c r="D37" s="118" t="s">
        <v>75</v>
      </c>
      <c r="E37" s="131" t="s">
        <v>25</v>
      </c>
      <c r="F37" s="131" t="s">
        <v>57</v>
      </c>
      <c r="G37" s="87"/>
      <c r="H37" s="152"/>
      <c r="I37" s="126"/>
      <c r="J37" s="2"/>
      <c r="K37" s="127"/>
      <c r="L37" s="18"/>
      <c r="M37" s="18">
        <v>44680</v>
      </c>
      <c r="N37" s="80">
        <v>9</v>
      </c>
      <c r="O37" s="126">
        <f>July!Y316</f>
        <v>2820</v>
      </c>
      <c r="P37" s="126">
        <f>July!Z316</f>
        <v>984</v>
      </c>
      <c r="Q37" s="2">
        <f>July!X316</f>
        <v>11</v>
      </c>
      <c r="R37" s="436"/>
      <c r="S37" s="436"/>
      <c r="T37" s="18">
        <v>6130</v>
      </c>
      <c r="U37" s="18"/>
      <c r="V37" s="127">
        <f t="shared" si="0"/>
        <v>1501</v>
      </c>
      <c r="W37" s="46"/>
      <c r="Y37" s="13"/>
    </row>
    <row r="38" spans="1:25">
      <c r="A38" s="427"/>
      <c r="B38" s="439"/>
      <c r="C38" s="440"/>
      <c r="D38" s="118" t="s">
        <v>72</v>
      </c>
      <c r="E38" s="155" t="s">
        <v>24</v>
      </c>
      <c r="F38" s="131" t="s">
        <v>57</v>
      </c>
      <c r="G38" s="224"/>
      <c r="H38" s="152"/>
      <c r="I38" s="126"/>
      <c r="J38" s="126"/>
      <c r="K38" s="127"/>
      <c r="L38" s="18"/>
      <c r="M38" s="18">
        <v>49600</v>
      </c>
      <c r="N38" s="80">
        <v>10</v>
      </c>
      <c r="O38" s="126"/>
      <c r="P38" s="126"/>
      <c r="Q38" s="126">
        <f>July!X317</f>
        <v>8</v>
      </c>
      <c r="R38" s="436"/>
      <c r="S38" s="436"/>
      <c r="T38" s="18"/>
      <c r="U38" s="18"/>
      <c r="V38" s="127">
        <f t="shared" si="0"/>
        <v>23089</v>
      </c>
      <c r="W38" s="46"/>
      <c r="Y38" s="13"/>
    </row>
    <row r="39" spans="1:25" ht="14.25" customHeight="1">
      <c r="A39" s="427"/>
      <c r="B39" s="439"/>
      <c r="C39" s="440"/>
      <c r="D39" s="115" t="s">
        <v>79</v>
      </c>
      <c r="E39" s="155" t="s">
        <v>65</v>
      </c>
      <c r="F39" s="131" t="s">
        <v>57</v>
      </c>
      <c r="G39" s="224"/>
      <c r="H39" s="126"/>
      <c r="I39" s="126"/>
      <c r="J39" s="126"/>
      <c r="K39" s="18"/>
      <c r="L39" s="18"/>
      <c r="M39" s="18"/>
      <c r="N39" s="80"/>
      <c r="O39" s="126"/>
      <c r="P39" s="126"/>
      <c r="Q39" s="126"/>
      <c r="R39" s="436"/>
      <c r="S39" s="436"/>
      <c r="T39" s="18"/>
      <c r="U39" s="18"/>
      <c r="V39" s="127">
        <f t="shared" si="0"/>
        <v>10211</v>
      </c>
      <c r="W39" s="45"/>
      <c r="X39" s="36"/>
    </row>
    <row r="40" spans="1:25" ht="14.25" customHeight="1">
      <c r="A40" s="427"/>
      <c r="B40" s="439"/>
      <c r="C40" s="448" t="s">
        <v>299</v>
      </c>
      <c r="D40" s="115" t="s">
        <v>296</v>
      </c>
      <c r="E40" s="424" t="s">
        <v>25</v>
      </c>
      <c r="F40" s="131" t="s">
        <v>298</v>
      </c>
      <c r="G40" s="224"/>
      <c r="H40" s="37"/>
      <c r="I40" s="126"/>
      <c r="J40" s="126"/>
      <c r="K40" s="18"/>
      <c r="L40" s="18"/>
      <c r="M40" s="18"/>
      <c r="N40" s="80"/>
      <c r="O40" s="126"/>
      <c r="P40" s="126"/>
      <c r="Q40" s="126"/>
      <c r="R40" s="436"/>
      <c r="S40" s="436"/>
      <c r="T40" s="18">
        <v>4427</v>
      </c>
      <c r="U40" s="18"/>
      <c r="V40" s="127">
        <f t="shared" si="0"/>
        <v>0</v>
      </c>
      <c r="W40" s="45"/>
      <c r="X40" s="67"/>
    </row>
    <row r="41" spans="1:25" ht="14.25" customHeight="1">
      <c r="A41" s="427"/>
      <c r="B41" s="443"/>
      <c r="C41" s="449"/>
      <c r="D41" s="115" t="s">
        <v>75</v>
      </c>
      <c r="E41" s="425"/>
      <c r="F41" s="131" t="s">
        <v>298</v>
      </c>
      <c r="G41" s="229"/>
      <c r="H41" s="37"/>
      <c r="I41" s="126"/>
      <c r="J41" s="126"/>
      <c r="K41" s="18"/>
      <c r="L41" s="18"/>
      <c r="M41" s="18">
        <v>10000</v>
      </c>
      <c r="N41" s="80">
        <v>2</v>
      </c>
      <c r="O41" s="126"/>
      <c r="P41" s="126"/>
      <c r="Q41" s="126">
        <f>July!X318</f>
        <v>4</v>
      </c>
      <c r="R41" s="436"/>
      <c r="S41" s="436"/>
      <c r="T41" s="18"/>
      <c r="U41" s="18"/>
      <c r="V41" s="127">
        <f>+O41-T41-U41+V10</f>
        <v>14595</v>
      </c>
      <c r="W41" s="45"/>
      <c r="X41" s="67"/>
    </row>
    <row r="42" spans="1:25" ht="14.25" customHeight="1">
      <c r="A42" s="427"/>
      <c r="B42" s="439" t="s">
        <v>53</v>
      </c>
      <c r="C42" s="445" t="s">
        <v>60</v>
      </c>
      <c r="D42" s="43" t="s">
        <v>320</v>
      </c>
      <c r="E42" s="441" t="s">
        <v>66</v>
      </c>
      <c r="F42" s="118" t="s">
        <v>54</v>
      </c>
      <c r="G42" s="224"/>
      <c r="H42" s="37"/>
      <c r="I42" s="126"/>
      <c r="J42" s="126"/>
      <c r="K42" s="18"/>
      <c r="L42" s="18"/>
      <c r="M42" s="18"/>
      <c r="N42" s="80"/>
      <c r="O42" s="126"/>
      <c r="P42" s="126"/>
      <c r="Q42" s="126">
        <f>July!X315</f>
        <v>2</v>
      </c>
      <c r="R42" s="436"/>
      <c r="S42" s="436"/>
      <c r="T42" s="18"/>
      <c r="U42" s="18"/>
      <c r="V42" s="127">
        <f t="shared" ref="V42:V52" si="1">O42-T42-U42+V11</f>
        <v>48139</v>
      </c>
      <c r="W42" s="45"/>
      <c r="X42" s="67"/>
    </row>
    <row r="43" spans="1:25" ht="14.25" customHeight="1">
      <c r="A43" s="427"/>
      <c r="B43" s="439"/>
      <c r="C43" s="445"/>
      <c r="D43" s="43" t="s">
        <v>387</v>
      </c>
      <c r="E43" s="425"/>
      <c r="F43" s="118" t="s">
        <v>54</v>
      </c>
      <c r="G43" s="229"/>
      <c r="H43" s="182"/>
      <c r="I43" s="125"/>
      <c r="J43" s="125"/>
      <c r="K43" s="127"/>
      <c r="L43" s="127"/>
      <c r="M43" s="127">
        <v>64800</v>
      </c>
      <c r="N43" s="171">
        <v>11</v>
      </c>
      <c r="O43" s="125"/>
      <c r="P43" s="125"/>
      <c r="Q43" s="125"/>
      <c r="R43" s="436"/>
      <c r="S43" s="436"/>
      <c r="T43" s="18"/>
      <c r="U43" s="18"/>
      <c r="V43" s="127">
        <f t="shared" si="1"/>
        <v>666</v>
      </c>
      <c r="W43" s="45"/>
      <c r="X43" s="67"/>
    </row>
    <row r="44" spans="1:25" ht="14.25" customHeight="1">
      <c r="A44" s="427"/>
      <c r="B44" s="443"/>
      <c r="C44" s="446"/>
      <c r="D44" s="43" t="s">
        <v>199</v>
      </c>
      <c r="E44" s="114" t="s">
        <v>25</v>
      </c>
      <c r="F44" s="118" t="s">
        <v>54</v>
      </c>
      <c r="G44" s="224"/>
      <c r="H44" s="135"/>
      <c r="I44" s="158"/>
      <c r="J44" s="158"/>
      <c r="K44" s="128"/>
      <c r="L44" s="128"/>
      <c r="M44" s="128"/>
      <c r="N44" s="164"/>
      <c r="O44" s="158"/>
      <c r="P44" s="158"/>
      <c r="Q44" s="158"/>
      <c r="R44" s="436"/>
      <c r="S44" s="436"/>
      <c r="T44" s="18"/>
      <c r="U44" s="18"/>
      <c r="V44" s="127">
        <f t="shared" si="1"/>
        <v>68</v>
      </c>
      <c r="W44" s="45"/>
      <c r="X44" s="67"/>
    </row>
    <row r="45" spans="1:25" ht="15.75" customHeight="1">
      <c r="A45" s="427"/>
      <c r="B45" s="137" t="s">
        <v>55</v>
      </c>
      <c r="C45" s="157" t="s">
        <v>133</v>
      </c>
      <c r="D45" s="48" t="s">
        <v>56</v>
      </c>
      <c r="E45" s="424" t="s">
        <v>25</v>
      </c>
      <c r="F45" s="118" t="s">
        <v>67</v>
      </c>
      <c r="G45" s="226"/>
      <c r="H45" s="126"/>
      <c r="I45" s="126"/>
      <c r="J45" s="2"/>
      <c r="K45" s="18"/>
      <c r="L45" s="18"/>
      <c r="M45" s="18"/>
      <c r="N45" s="18"/>
      <c r="O45" s="126"/>
      <c r="P45" s="126"/>
      <c r="Q45" s="126"/>
      <c r="R45" s="436"/>
      <c r="S45" s="436"/>
      <c r="T45" s="18"/>
      <c r="U45" s="18"/>
      <c r="V45" s="127">
        <f t="shared" si="1"/>
        <v>7022</v>
      </c>
      <c r="W45" s="45"/>
      <c r="X45" s="67"/>
    </row>
    <row r="46" spans="1:25" ht="15" customHeight="1">
      <c r="A46" s="427"/>
      <c r="B46" s="122" t="s">
        <v>122</v>
      </c>
      <c r="C46" s="180" t="s">
        <v>123</v>
      </c>
      <c r="D46" s="48" t="s">
        <v>56</v>
      </c>
      <c r="E46" s="441"/>
      <c r="F46" s="155" t="s">
        <v>64</v>
      </c>
      <c r="G46" s="119"/>
      <c r="H46" s="126"/>
      <c r="I46" s="126"/>
      <c r="J46" s="2"/>
      <c r="K46" s="18"/>
      <c r="L46" s="18"/>
      <c r="M46" s="18">
        <v>6400</v>
      </c>
      <c r="N46" s="18">
        <v>2</v>
      </c>
      <c r="O46" s="126"/>
      <c r="P46" s="126"/>
      <c r="Q46" s="126"/>
      <c r="R46" s="436"/>
      <c r="S46" s="436"/>
      <c r="T46" s="18"/>
      <c r="U46" s="18"/>
      <c r="V46" s="127">
        <f t="shared" si="1"/>
        <v>18121</v>
      </c>
      <c r="W46" s="45"/>
      <c r="X46" s="67"/>
    </row>
    <row r="47" spans="1:25" ht="14.25" customHeight="1">
      <c r="A47" s="427"/>
      <c r="B47" s="137" t="s">
        <v>58</v>
      </c>
      <c r="C47" s="157" t="s">
        <v>243</v>
      </c>
      <c r="D47" s="48" t="s">
        <v>56</v>
      </c>
      <c r="E47" s="441"/>
      <c r="F47" s="118" t="s">
        <v>64</v>
      </c>
      <c r="G47" s="225"/>
      <c r="H47" s="126"/>
      <c r="I47" s="126"/>
      <c r="J47" s="126"/>
      <c r="K47" s="18"/>
      <c r="L47" s="18"/>
      <c r="M47" s="18"/>
      <c r="N47" s="80"/>
      <c r="O47" s="126"/>
      <c r="P47" s="126"/>
      <c r="Q47" s="126"/>
      <c r="R47" s="436"/>
      <c r="S47" s="436"/>
      <c r="T47" s="18"/>
      <c r="U47" s="18"/>
      <c r="V47" s="127">
        <f t="shared" si="1"/>
        <v>8144</v>
      </c>
      <c r="W47" s="45"/>
      <c r="X47" s="67"/>
    </row>
    <row r="48" spans="1:25" ht="14.25" customHeight="1">
      <c r="A48" s="427"/>
      <c r="B48" s="122" t="s">
        <v>61</v>
      </c>
      <c r="C48" s="180" t="s">
        <v>137</v>
      </c>
      <c r="D48" s="48" t="s">
        <v>56</v>
      </c>
      <c r="E48" s="441"/>
      <c r="F48" s="118" t="s">
        <v>67</v>
      </c>
      <c r="G48" s="225"/>
      <c r="H48" s="126"/>
      <c r="I48" s="126"/>
      <c r="J48" s="126"/>
      <c r="K48" s="18"/>
      <c r="L48" s="18"/>
      <c r="M48" s="18"/>
      <c r="N48" s="80"/>
      <c r="O48" s="126"/>
      <c r="P48" s="126"/>
      <c r="Q48" s="126"/>
      <c r="R48" s="436"/>
      <c r="S48" s="436"/>
      <c r="T48" s="18"/>
      <c r="U48" s="18"/>
      <c r="V48" s="127">
        <f t="shared" si="1"/>
        <v>5844</v>
      </c>
      <c r="W48" s="45"/>
      <c r="X48" s="67"/>
    </row>
    <row r="49" spans="1:24" ht="14.25" customHeight="1">
      <c r="A49" s="427"/>
      <c r="B49" s="122" t="s">
        <v>125</v>
      </c>
      <c r="C49" s="180" t="s">
        <v>88</v>
      </c>
      <c r="D49" s="48" t="s">
        <v>124</v>
      </c>
      <c r="E49" s="441"/>
      <c r="F49" s="118" t="s">
        <v>64</v>
      </c>
      <c r="G49" s="225"/>
      <c r="H49" s="126"/>
      <c r="I49" s="126"/>
      <c r="J49" s="126"/>
      <c r="K49" s="18"/>
      <c r="L49" s="18"/>
      <c r="M49" s="18">
        <v>51200</v>
      </c>
      <c r="N49" s="80">
        <v>7</v>
      </c>
      <c r="O49" s="126"/>
      <c r="P49" s="126"/>
      <c r="Q49" s="126"/>
      <c r="R49" s="436"/>
      <c r="S49" s="436"/>
      <c r="T49" s="18"/>
      <c r="U49" s="18"/>
      <c r="V49" s="127">
        <f t="shared" si="1"/>
        <v>23615</v>
      </c>
      <c r="W49" s="45"/>
      <c r="X49" s="67"/>
    </row>
    <row r="50" spans="1:24" ht="14.25" customHeight="1">
      <c r="A50" s="427"/>
      <c r="B50" s="137" t="s">
        <v>463</v>
      </c>
      <c r="C50" s="157" t="s">
        <v>464</v>
      </c>
      <c r="D50" s="48" t="s">
        <v>246</v>
      </c>
      <c r="E50" s="441"/>
      <c r="F50" s="118" t="s">
        <v>64</v>
      </c>
      <c r="G50" s="225"/>
      <c r="H50" s="126"/>
      <c r="I50" s="126"/>
      <c r="J50" s="126"/>
      <c r="K50" s="18"/>
      <c r="L50" s="18"/>
      <c r="M50" s="18"/>
      <c r="N50" s="80"/>
      <c r="O50" s="126"/>
      <c r="P50" s="126">
        <f>July!Z333</f>
        <v>241</v>
      </c>
      <c r="Q50" s="126">
        <f>July!X333</f>
        <v>1</v>
      </c>
      <c r="R50" s="436"/>
      <c r="S50" s="436"/>
      <c r="T50" s="18"/>
      <c r="U50" s="18"/>
      <c r="V50" s="127">
        <f t="shared" si="1"/>
        <v>0</v>
      </c>
      <c r="W50" s="45"/>
      <c r="X50" s="67"/>
    </row>
    <row r="51" spans="1:24" ht="14.25" customHeight="1">
      <c r="A51" s="427"/>
      <c r="B51" s="137" t="s">
        <v>47</v>
      </c>
      <c r="C51" s="157" t="s">
        <v>100</v>
      </c>
      <c r="D51" s="48" t="s">
        <v>458</v>
      </c>
      <c r="E51" s="441"/>
      <c r="F51" s="118" t="s">
        <v>71</v>
      </c>
      <c r="G51" s="225"/>
      <c r="H51" s="126"/>
      <c r="I51" s="126"/>
      <c r="J51" s="126"/>
      <c r="K51" s="18"/>
      <c r="L51" s="18"/>
      <c r="M51" s="18">
        <v>6100</v>
      </c>
      <c r="N51" s="80">
        <v>1</v>
      </c>
      <c r="O51" s="126">
        <f>July!Y319</f>
        <v>624</v>
      </c>
      <c r="P51" s="126">
        <f>July!Z319</f>
        <v>1778</v>
      </c>
      <c r="Q51" s="126">
        <f>July!X319</f>
        <v>6</v>
      </c>
      <c r="R51" s="436"/>
      <c r="S51" s="436"/>
      <c r="T51" s="18"/>
      <c r="U51" s="18"/>
      <c r="V51" s="127">
        <f t="shared" si="1"/>
        <v>624</v>
      </c>
      <c r="W51" s="45"/>
      <c r="X51" s="67"/>
    </row>
    <row r="52" spans="1:24" ht="14.25" customHeight="1">
      <c r="A52" s="427"/>
      <c r="B52" s="442" t="s">
        <v>47</v>
      </c>
      <c r="C52" s="444" t="s">
        <v>457</v>
      </c>
      <c r="D52" s="48" t="s">
        <v>458</v>
      </c>
      <c r="E52" s="441"/>
      <c r="F52" s="118" t="s">
        <v>459</v>
      </c>
      <c r="G52" s="225"/>
      <c r="H52" s="126"/>
      <c r="I52" s="126"/>
      <c r="J52" s="126"/>
      <c r="K52" s="18"/>
      <c r="L52" s="18"/>
      <c r="M52" s="18"/>
      <c r="N52" s="80"/>
      <c r="O52" s="126"/>
      <c r="P52" s="126">
        <f>July!Z320</f>
        <v>237</v>
      </c>
      <c r="Q52" s="126">
        <f>July!X320</f>
        <v>1</v>
      </c>
      <c r="R52" s="436"/>
      <c r="S52" s="436"/>
      <c r="T52" s="18"/>
      <c r="U52" s="18"/>
      <c r="V52" s="127">
        <f t="shared" si="1"/>
        <v>0</v>
      </c>
      <c r="W52" s="45"/>
      <c r="X52" s="67"/>
    </row>
    <row r="53" spans="1:24" ht="14.25" customHeight="1">
      <c r="A53" s="427"/>
      <c r="B53" s="443"/>
      <c r="C53" s="446"/>
      <c r="D53" s="48" t="s">
        <v>121</v>
      </c>
      <c r="E53" s="441"/>
      <c r="F53" s="118"/>
      <c r="G53" s="225"/>
      <c r="H53" s="37">
        <v>61.2</v>
      </c>
      <c r="I53" s="126"/>
      <c r="J53" s="126"/>
      <c r="K53" s="18"/>
      <c r="L53" s="18"/>
      <c r="M53" s="18"/>
      <c r="N53" s="80"/>
      <c r="O53" s="126"/>
      <c r="P53" s="126"/>
      <c r="Q53" s="126"/>
      <c r="R53" s="436"/>
      <c r="S53" s="436"/>
      <c r="T53" s="18"/>
      <c r="U53" s="18"/>
      <c r="V53" s="127"/>
      <c r="W53" s="45"/>
      <c r="X53" s="67"/>
    </row>
    <row r="54" spans="1:24" ht="15" customHeight="1">
      <c r="A54" s="427"/>
      <c r="B54" s="122" t="s">
        <v>196</v>
      </c>
      <c r="C54" s="180" t="s">
        <v>63</v>
      </c>
      <c r="D54" s="48" t="s">
        <v>135</v>
      </c>
      <c r="E54" s="441"/>
      <c r="F54" s="118" t="s">
        <v>64</v>
      </c>
      <c r="G54" s="226"/>
      <c r="H54" s="126"/>
      <c r="I54" s="126"/>
      <c r="J54" s="2"/>
      <c r="K54" s="18"/>
      <c r="L54" s="18"/>
      <c r="M54" s="18"/>
      <c r="N54" s="18"/>
      <c r="O54" s="126">
        <f>July!Y332</f>
        <v>1974</v>
      </c>
      <c r="P54" s="126">
        <f>July!Z332</f>
        <v>86</v>
      </c>
      <c r="Q54" s="126">
        <f>July!X332</f>
        <v>2</v>
      </c>
      <c r="R54" s="436"/>
      <c r="S54" s="436"/>
      <c r="T54" s="18"/>
      <c r="U54" s="18"/>
      <c r="V54" s="127">
        <f t="shared" ref="V54:V64" si="2">O54-T54-U54+V22</f>
        <v>54487</v>
      </c>
      <c r="W54" s="45"/>
      <c r="X54" s="67"/>
    </row>
    <row r="55" spans="1:24" ht="15" customHeight="1">
      <c r="A55" s="427"/>
      <c r="B55" s="122" t="s">
        <v>253</v>
      </c>
      <c r="C55" s="180" t="s">
        <v>365</v>
      </c>
      <c r="D55" s="48" t="s">
        <v>246</v>
      </c>
      <c r="E55" s="441"/>
      <c r="F55" s="118" t="s">
        <v>247</v>
      </c>
      <c r="G55" s="226"/>
      <c r="H55" s="126"/>
      <c r="I55" s="126"/>
      <c r="J55" s="2"/>
      <c r="K55" s="18"/>
      <c r="L55" s="18"/>
      <c r="M55" s="18"/>
      <c r="N55" s="18"/>
      <c r="O55" s="126"/>
      <c r="P55" s="126"/>
      <c r="Q55" s="126">
        <f>July!X321</f>
        <v>3</v>
      </c>
      <c r="R55" s="436"/>
      <c r="S55" s="436"/>
      <c r="T55" s="18"/>
      <c r="U55" s="18"/>
      <c r="V55" s="127">
        <f t="shared" si="2"/>
        <v>12501</v>
      </c>
      <c r="W55" s="45"/>
      <c r="X55" s="67"/>
    </row>
    <row r="56" spans="1:24" ht="15" customHeight="1">
      <c r="A56" s="427"/>
      <c r="B56" s="122" t="s">
        <v>101</v>
      </c>
      <c r="C56" s="180" t="s">
        <v>327</v>
      </c>
      <c r="D56" s="48" t="s">
        <v>102</v>
      </c>
      <c r="E56" s="441"/>
      <c r="F56" s="118" t="s">
        <v>64</v>
      </c>
      <c r="G56" s="119"/>
      <c r="H56" s="126"/>
      <c r="I56" s="126"/>
      <c r="J56" s="2"/>
      <c r="K56" s="18">
        <v>14000</v>
      </c>
      <c r="L56" s="18">
        <v>2</v>
      </c>
      <c r="M56" s="18">
        <v>21000</v>
      </c>
      <c r="N56" s="18">
        <v>3</v>
      </c>
      <c r="O56" s="126"/>
      <c r="P56" s="126">
        <f>July!Z328</f>
        <v>1518</v>
      </c>
      <c r="Q56" s="126">
        <f>July!X328</f>
        <v>4</v>
      </c>
      <c r="R56" s="436"/>
      <c r="S56" s="436"/>
      <c r="T56" s="18"/>
      <c r="U56" s="18"/>
      <c r="V56" s="18">
        <f t="shared" si="2"/>
        <v>1373</v>
      </c>
      <c r="W56" s="45"/>
      <c r="X56" s="67"/>
    </row>
    <row r="57" spans="1:24" ht="15" customHeight="1">
      <c r="A57" s="427"/>
      <c r="B57" s="122" t="s">
        <v>366</v>
      </c>
      <c r="C57" s="180" t="s">
        <v>367</v>
      </c>
      <c r="D57" s="48" t="s">
        <v>132</v>
      </c>
      <c r="E57" s="441"/>
      <c r="F57" s="118" t="s">
        <v>64</v>
      </c>
      <c r="G57" s="119"/>
      <c r="H57" s="126"/>
      <c r="I57" s="126"/>
      <c r="J57" s="2"/>
      <c r="K57" s="18"/>
      <c r="L57" s="18"/>
      <c r="M57" s="18"/>
      <c r="N57" s="18"/>
      <c r="O57" s="126"/>
      <c r="P57" s="126">
        <f>July!Z329</f>
        <v>839</v>
      </c>
      <c r="Q57" s="126">
        <f>July!X329</f>
        <v>2</v>
      </c>
      <c r="R57" s="436"/>
      <c r="S57" s="436"/>
      <c r="T57" s="18"/>
      <c r="U57" s="18"/>
      <c r="V57" s="18">
        <f t="shared" si="2"/>
        <v>0</v>
      </c>
      <c r="W57" s="45"/>
      <c r="X57" s="67"/>
    </row>
    <row r="58" spans="1:24" ht="15" customHeight="1">
      <c r="A58" s="427"/>
      <c r="B58" s="122" t="s">
        <v>363</v>
      </c>
      <c r="C58" s="180" t="s">
        <v>325</v>
      </c>
      <c r="D58" s="48" t="s">
        <v>328</v>
      </c>
      <c r="E58" s="441"/>
      <c r="F58" s="118" t="s">
        <v>48</v>
      </c>
      <c r="G58" s="226"/>
      <c r="H58" s="126"/>
      <c r="I58" s="126"/>
      <c r="J58" s="2"/>
      <c r="K58" s="18"/>
      <c r="L58" s="18"/>
      <c r="M58" s="18"/>
      <c r="N58" s="18"/>
      <c r="O58" s="126"/>
      <c r="P58" s="126"/>
      <c r="Q58" s="126"/>
      <c r="R58" s="436"/>
      <c r="S58" s="436"/>
      <c r="T58" s="18"/>
      <c r="U58" s="18"/>
      <c r="V58" s="127">
        <f t="shared" si="2"/>
        <v>16454</v>
      </c>
      <c r="W58" s="45"/>
      <c r="X58" s="67"/>
    </row>
    <row r="59" spans="1:24" ht="15" customHeight="1">
      <c r="A59" s="427"/>
      <c r="B59" s="122" t="s">
        <v>107</v>
      </c>
      <c r="C59" s="180" t="s">
        <v>386</v>
      </c>
      <c r="D59" s="48" t="s">
        <v>108</v>
      </c>
      <c r="E59" s="441"/>
      <c r="F59" s="115" t="s">
        <v>48</v>
      </c>
      <c r="G59" s="113"/>
      <c r="H59" s="125"/>
      <c r="I59" s="125"/>
      <c r="J59" s="250"/>
      <c r="K59" s="127"/>
      <c r="L59" s="127"/>
      <c r="M59" s="127">
        <v>13000</v>
      </c>
      <c r="N59" s="127">
        <v>2</v>
      </c>
      <c r="O59" s="125"/>
      <c r="P59" s="125"/>
      <c r="Q59" s="125">
        <f>July!X330</f>
        <v>2</v>
      </c>
      <c r="R59" s="436"/>
      <c r="S59" s="436"/>
      <c r="T59" s="18"/>
      <c r="U59" s="18"/>
      <c r="V59" s="18">
        <f t="shared" si="2"/>
        <v>11053</v>
      </c>
      <c r="W59" s="85"/>
      <c r="X59" s="67"/>
    </row>
    <row r="60" spans="1:24" s="4" customFormat="1" ht="15" customHeight="1">
      <c r="A60" s="427"/>
      <c r="B60" s="268" t="s">
        <v>375</v>
      </c>
      <c r="C60" s="277" t="s">
        <v>376</v>
      </c>
      <c r="D60" s="43" t="s">
        <v>248</v>
      </c>
      <c r="E60" s="441"/>
      <c r="F60" s="43" t="s">
        <v>64</v>
      </c>
      <c r="G60" s="268"/>
      <c r="H60" s="331"/>
      <c r="I60" s="331"/>
      <c r="J60" s="341"/>
      <c r="K60" s="216"/>
      <c r="L60" s="216"/>
      <c r="M60" s="216"/>
      <c r="N60" s="216"/>
      <c r="O60" s="331"/>
      <c r="P60" s="331"/>
      <c r="Q60" s="331"/>
      <c r="R60" s="436"/>
      <c r="S60" s="436"/>
      <c r="T60" s="216"/>
      <c r="U60" s="216"/>
      <c r="V60" s="216">
        <f t="shared" si="2"/>
        <v>75911</v>
      </c>
      <c r="W60" s="260"/>
      <c r="X60" s="67"/>
    </row>
    <row r="61" spans="1:24" s="4" customFormat="1" ht="15" customHeight="1">
      <c r="A61" s="427"/>
      <c r="B61" s="137" t="s">
        <v>421</v>
      </c>
      <c r="C61" s="157" t="s">
        <v>420</v>
      </c>
      <c r="D61" s="48" t="s">
        <v>248</v>
      </c>
      <c r="E61" s="441"/>
      <c r="F61" s="48" t="s">
        <v>64</v>
      </c>
      <c r="G61" s="122"/>
      <c r="H61" s="34"/>
      <c r="I61" s="34"/>
      <c r="J61" s="6"/>
      <c r="K61" s="211"/>
      <c r="L61" s="211"/>
      <c r="M61" s="211">
        <v>46200</v>
      </c>
      <c r="N61" s="211">
        <v>11</v>
      </c>
      <c r="O61" s="34"/>
      <c r="P61" s="34"/>
      <c r="Q61" s="34">
        <f>July!X331</f>
        <v>20</v>
      </c>
      <c r="R61" s="436"/>
      <c r="S61" s="436"/>
      <c r="T61" s="211"/>
      <c r="U61" s="211"/>
      <c r="V61" s="211">
        <f t="shared" si="2"/>
        <v>57857</v>
      </c>
      <c r="W61" s="260"/>
      <c r="X61" s="67"/>
    </row>
    <row r="62" spans="1:24" s="4" customFormat="1" ht="15" customHeight="1">
      <c r="A62" s="427"/>
      <c r="B62" s="122" t="s">
        <v>289</v>
      </c>
      <c r="C62" s="180" t="s">
        <v>505</v>
      </c>
      <c r="D62" s="48" t="s">
        <v>432</v>
      </c>
      <c r="E62" s="441"/>
      <c r="F62" s="48" t="s">
        <v>435</v>
      </c>
      <c r="G62" s="122"/>
      <c r="H62" s="34"/>
      <c r="I62" s="34"/>
      <c r="J62" s="6"/>
      <c r="K62" s="211"/>
      <c r="L62" s="211"/>
      <c r="M62" s="211"/>
      <c r="N62" s="211"/>
      <c r="O62" s="34"/>
      <c r="P62" s="34">
        <f>July!Z326</f>
        <v>253</v>
      </c>
      <c r="Q62" s="34">
        <f>July!X326</f>
        <v>1</v>
      </c>
      <c r="R62" s="436"/>
      <c r="S62" s="436"/>
      <c r="T62" s="211"/>
      <c r="U62" s="211"/>
      <c r="V62" s="211">
        <f t="shared" si="2"/>
        <v>0</v>
      </c>
      <c r="W62" s="260"/>
      <c r="X62" s="67"/>
    </row>
    <row r="63" spans="1:24" s="4" customFormat="1" ht="15" customHeight="1">
      <c r="A63" s="427"/>
      <c r="B63" s="268" t="s">
        <v>453</v>
      </c>
      <c r="C63" s="180" t="s">
        <v>505</v>
      </c>
      <c r="D63" s="48" t="s">
        <v>432</v>
      </c>
      <c r="E63" s="441"/>
      <c r="F63" s="48" t="s">
        <v>57</v>
      </c>
      <c r="G63" s="122"/>
      <c r="H63" s="34"/>
      <c r="I63" s="34"/>
      <c r="J63" s="6"/>
      <c r="K63" s="211"/>
      <c r="L63" s="211"/>
      <c r="M63" s="211"/>
      <c r="N63" s="211"/>
      <c r="O63" s="34"/>
      <c r="P63" s="34"/>
      <c r="Q63" s="34">
        <f>July!X327</f>
        <v>1</v>
      </c>
      <c r="R63" s="436"/>
      <c r="S63" s="436"/>
      <c r="T63" s="211"/>
      <c r="U63" s="211"/>
      <c r="V63" s="211">
        <f t="shared" si="2"/>
        <v>0</v>
      </c>
      <c r="W63" s="260"/>
      <c r="X63" s="67"/>
    </row>
    <row r="64" spans="1:24" s="4" customFormat="1" ht="15" customHeight="1">
      <c r="A64" s="427"/>
      <c r="B64" s="122" t="s">
        <v>454</v>
      </c>
      <c r="C64" s="180" t="s">
        <v>505</v>
      </c>
      <c r="D64" s="48" t="s">
        <v>432</v>
      </c>
      <c r="E64" s="441"/>
      <c r="F64" s="48" t="s">
        <v>57</v>
      </c>
      <c r="G64" s="122"/>
      <c r="H64" s="34"/>
      <c r="I64" s="34"/>
      <c r="J64" s="6"/>
      <c r="K64" s="211"/>
      <c r="L64" s="211"/>
      <c r="M64" s="211"/>
      <c r="N64" s="211"/>
      <c r="O64" s="34"/>
      <c r="P64" s="34"/>
      <c r="Q64" s="34"/>
      <c r="R64" s="436"/>
      <c r="S64" s="436"/>
      <c r="T64" s="211"/>
      <c r="U64" s="211"/>
      <c r="V64" s="211">
        <f t="shared" si="2"/>
        <v>895</v>
      </c>
      <c r="W64" s="260"/>
      <c r="X64" s="67"/>
    </row>
    <row r="65" spans="1:25" ht="15" customHeight="1">
      <c r="A65" s="427"/>
      <c r="B65" s="122" t="s">
        <v>103</v>
      </c>
      <c r="C65" s="157" t="s">
        <v>197</v>
      </c>
      <c r="D65" s="48" t="s">
        <v>104</v>
      </c>
      <c r="E65" s="441"/>
      <c r="F65" s="118" t="s">
        <v>105</v>
      </c>
      <c r="G65" s="119"/>
      <c r="H65" s="126"/>
      <c r="I65" s="126"/>
      <c r="J65" s="2"/>
      <c r="K65" s="18"/>
      <c r="L65" s="18"/>
      <c r="M65" s="18"/>
      <c r="N65" s="18"/>
      <c r="O65" s="126"/>
      <c r="P65" s="126"/>
      <c r="Q65" s="126">
        <f>July!X334</f>
        <v>1</v>
      </c>
      <c r="R65" s="436"/>
      <c r="S65" s="436"/>
      <c r="T65" s="18"/>
      <c r="U65" s="18"/>
      <c r="V65" s="18"/>
      <c r="W65" s="45"/>
      <c r="X65" s="67"/>
    </row>
    <row r="66" spans="1:25" ht="15" customHeight="1" thickBot="1">
      <c r="A66" s="427"/>
      <c r="B66" s="137" t="s">
        <v>112</v>
      </c>
      <c r="C66" s="157" t="s">
        <v>197</v>
      </c>
      <c r="D66" s="48" t="s">
        <v>104</v>
      </c>
      <c r="E66" s="441"/>
      <c r="F66" s="118" t="s">
        <v>113</v>
      </c>
      <c r="G66" s="342"/>
      <c r="H66" s="262"/>
      <c r="I66" s="126"/>
      <c r="J66" s="2"/>
      <c r="K66" s="18"/>
      <c r="L66" s="18"/>
      <c r="M66" s="18"/>
      <c r="N66" s="18"/>
      <c r="O66" s="126"/>
      <c r="P66" s="126"/>
      <c r="Q66" s="126">
        <f>July!X335</f>
        <v>1</v>
      </c>
      <c r="R66" s="436"/>
      <c r="S66" s="436"/>
      <c r="T66" s="18"/>
      <c r="U66" s="264"/>
      <c r="V66" s="18"/>
      <c r="W66" s="45"/>
      <c r="X66" s="67"/>
    </row>
    <row r="67" spans="1:25" ht="15" customHeight="1">
      <c r="A67" s="426">
        <v>46206</v>
      </c>
      <c r="B67" s="429" t="s">
        <v>44</v>
      </c>
      <c r="C67" s="432" t="s">
        <v>240</v>
      </c>
      <c r="D67" s="19" t="s">
        <v>37</v>
      </c>
      <c r="E67" s="19" t="s">
        <v>25</v>
      </c>
      <c r="F67" s="39" t="s">
        <v>40</v>
      </c>
      <c r="G67" s="41">
        <f>5498.1+1649.43</f>
        <v>7147.5300000000007</v>
      </c>
      <c r="H67" s="32">
        <v>4016</v>
      </c>
      <c r="I67" s="32"/>
      <c r="J67" s="32"/>
      <c r="K67" s="20">
        <v>80000</v>
      </c>
      <c r="L67" s="20">
        <v>10</v>
      </c>
      <c r="M67" s="20">
        <v>40000</v>
      </c>
      <c r="N67" s="84">
        <v>5</v>
      </c>
      <c r="O67" s="32">
        <f>July!AB313</f>
        <v>61501</v>
      </c>
      <c r="P67" s="32">
        <f>July!AC313</f>
        <v>56143</v>
      </c>
      <c r="Q67" s="32">
        <f>July!AA313</f>
        <v>150</v>
      </c>
      <c r="R67" s="435">
        <f>July!AB336</f>
        <v>78585</v>
      </c>
      <c r="S67" s="435">
        <f>July!AC336</f>
        <v>64132</v>
      </c>
      <c r="T67" s="20">
        <v>69693</v>
      </c>
      <c r="U67" s="20">
        <v>71</v>
      </c>
      <c r="V67" s="20">
        <f>O67-T67-U67+V35</f>
        <v>145105</v>
      </c>
      <c r="W67" s="77"/>
      <c r="X67" s="36"/>
    </row>
    <row r="68" spans="1:25" ht="15" customHeight="1">
      <c r="A68" s="427"/>
      <c r="B68" s="431"/>
      <c r="C68" s="434"/>
      <c r="D68" s="113" t="s">
        <v>307</v>
      </c>
      <c r="E68" s="113" t="s">
        <v>24</v>
      </c>
      <c r="F68" s="118" t="s">
        <v>40</v>
      </c>
      <c r="G68" s="170"/>
      <c r="H68" s="135">
        <v>1822.5</v>
      </c>
      <c r="I68" s="125"/>
      <c r="J68" s="125"/>
      <c r="K68" s="127"/>
      <c r="L68" s="127"/>
      <c r="M68" s="216">
        <v>215400</v>
      </c>
      <c r="N68" s="238">
        <v>27</v>
      </c>
      <c r="O68" s="126">
        <f>July!AB314</f>
        <v>9360</v>
      </c>
      <c r="P68" s="125">
        <f>July!AC314</f>
        <v>364</v>
      </c>
      <c r="Q68" s="125">
        <f>July!AA314</f>
        <v>39</v>
      </c>
      <c r="R68" s="436"/>
      <c r="S68" s="436"/>
      <c r="T68" s="127">
        <v>18400</v>
      </c>
      <c r="U68" s="127"/>
      <c r="V68" s="127">
        <f>O68-T68-U68+V36</f>
        <v>78260</v>
      </c>
      <c r="W68" s="46"/>
      <c r="X68" s="67"/>
    </row>
    <row r="69" spans="1:25" ht="15" customHeight="1">
      <c r="A69" s="427"/>
      <c r="B69" s="442" t="s">
        <v>45</v>
      </c>
      <c r="C69" s="448" t="s">
        <v>59</v>
      </c>
      <c r="D69" s="118" t="s">
        <v>75</v>
      </c>
      <c r="E69" s="131" t="s">
        <v>25</v>
      </c>
      <c r="F69" s="131" t="s">
        <v>57</v>
      </c>
      <c r="G69" s="87"/>
      <c r="H69" s="152"/>
      <c r="I69" s="126"/>
      <c r="J69" s="2"/>
      <c r="K69" s="127">
        <v>14500</v>
      </c>
      <c r="L69" s="18">
        <v>3</v>
      </c>
      <c r="M69" s="18">
        <v>51200</v>
      </c>
      <c r="N69" s="80">
        <v>6</v>
      </c>
      <c r="O69" s="126">
        <f>July!AB316</f>
        <v>2204</v>
      </c>
      <c r="P69" s="126">
        <f>July!AC316</f>
        <v>2985</v>
      </c>
      <c r="Q69" s="2">
        <f>July!AA316</f>
        <v>14</v>
      </c>
      <c r="R69" s="436"/>
      <c r="S69" s="436"/>
      <c r="T69" s="18"/>
      <c r="U69" s="18"/>
      <c r="V69" s="127">
        <f>O69-T69-U69+V37</f>
        <v>3705</v>
      </c>
      <c r="W69" s="46"/>
      <c r="Y69" s="13"/>
    </row>
    <row r="70" spans="1:25">
      <c r="A70" s="427"/>
      <c r="B70" s="439"/>
      <c r="C70" s="440"/>
      <c r="D70" s="118" t="s">
        <v>72</v>
      </c>
      <c r="E70" s="155" t="s">
        <v>24</v>
      </c>
      <c r="F70" s="131" t="s">
        <v>57</v>
      </c>
      <c r="G70" s="224"/>
      <c r="H70" s="152"/>
      <c r="I70" s="126"/>
      <c r="J70" s="126"/>
      <c r="K70" s="127"/>
      <c r="L70" s="18"/>
      <c r="M70" s="18">
        <v>49600</v>
      </c>
      <c r="N70" s="80">
        <v>10</v>
      </c>
      <c r="O70" s="126"/>
      <c r="P70" s="126"/>
      <c r="Q70" s="126">
        <f>July!AA317</f>
        <v>8</v>
      </c>
      <c r="R70" s="436"/>
      <c r="S70" s="436"/>
      <c r="T70" s="18"/>
      <c r="U70" s="18"/>
      <c r="V70" s="127">
        <f>O70-T70-U70+V38</f>
        <v>23089</v>
      </c>
      <c r="W70" s="46"/>
      <c r="Y70" s="13"/>
    </row>
    <row r="71" spans="1:25" ht="14.25" customHeight="1">
      <c r="A71" s="427"/>
      <c r="B71" s="439"/>
      <c r="C71" s="449"/>
      <c r="D71" s="115" t="s">
        <v>79</v>
      </c>
      <c r="E71" s="118" t="s">
        <v>65</v>
      </c>
      <c r="F71" s="131" t="s">
        <v>57</v>
      </c>
      <c r="G71" s="224"/>
      <c r="H71" s="126"/>
      <c r="I71" s="126"/>
      <c r="J71" s="126"/>
      <c r="K71" s="18"/>
      <c r="L71" s="18"/>
      <c r="M71" s="18"/>
      <c r="N71" s="80"/>
      <c r="O71" s="126"/>
      <c r="P71" s="126"/>
      <c r="Q71" s="126"/>
      <c r="R71" s="436"/>
      <c r="S71" s="436"/>
      <c r="T71" s="18"/>
      <c r="U71" s="18"/>
      <c r="V71" s="127">
        <f>O71-T71-U71+V39</f>
        <v>10211</v>
      </c>
      <c r="W71" s="45"/>
      <c r="X71" s="36"/>
    </row>
    <row r="72" spans="1:25" ht="14.25" customHeight="1">
      <c r="A72" s="427"/>
      <c r="B72" s="443"/>
      <c r="C72" s="210" t="s">
        <v>500</v>
      </c>
      <c r="D72" s="115" t="s">
        <v>75</v>
      </c>
      <c r="E72" s="119" t="s">
        <v>25</v>
      </c>
      <c r="F72" s="131" t="s">
        <v>298</v>
      </c>
      <c r="G72" s="229"/>
      <c r="H72" s="37"/>
      <c r="I72" s="126"/>
      <c r="J72" s="126"/>
      <c r="K72" s="18"/>
      <c r="L72" s="18"/>
      <c r="M72" s="18">
        <v>10000</v>
      </c>
      <c r="N72" s="80">
        <v>2</v>
      </c>
      <c r="O72" s="126"/>
      <c r="P72" s="126"/>
      <c r="Q72" s="126">
        <f>July!AA318</f>
        <v>4</v>
      </c>
      <c r="R72" s="436"/>
      <c r="S72" s="436"/>
      <c r="T72" s="18"/>
      <c r="U72" s="18"/>
      <c r="V72" s="127">
        <f t="shared" ref="V72:V83" si="3">O72-T72-U72+V41</f>
        <v>14595</v>
      </c>
      <c r="W72" s="45"/>
      <c r="X72" s="67"/>
    </row>
    <row r="73" spans="1:25" ht="14.25" customHeight="1">
      <c r="A73" s="427"/>
      <c r="B73" s="439" t="s">
        <v>53</v>
      </c>
      <c r="C73" s="445" t="s">
        <v>60</v>
      </c>
      <c r="D73" s="43" t="s">
        <v>320</v>
      </c>
      <c r="E73" s="441" t="s">
        <v>66</v>
      </c>
      <c r="F73" s="118" t="s">
        <v>54</v>
      </c>
      <c r="G73" s="224"/>
      <c r="H73" s="37"/>
      <c r="I73" s="126"/>
      <c r="J73" s="126"/>
      <c r="K73" s="18"/>
      <c r="L73" s="18"/>
      <c r="M73" s="18"/>
      <c r="N73" s="80"/>
      <c r="O73" s="126"/>
      <c r="P73" s="126"/>
      <c r="Q73" s="126">
        <f>July!AA315</f>
        <v>2</v>
      </c>
      <c r="R73" s="436"/>
      <c r="S73" s="436"/>
      <c r="T73" s="18"/>
      <c r="U73" s="18"/>
      <c r="V73" s="127">
        <f t="shared" si="3"/>
        <v>48139</v>
      </c>
      <c r="W73" s="45"/>
      <c r="X73" s="67"/>
    </row>
    <row r="74" spans="1:25" ht="14.25" customHeight="1">
      <c r="A74" s="427"/>
      <c r="B74" s="439"/>
      <c r="C74" s="445"/>
      <c r="D74" s="43" t="s">
        <v>387</v>
      </c>
      <c r="E74" s="425"/>
      <c r="F74" s="118" t="s">
        <v>54</v>
      </c>
      <c r="G74" s="229"/>
      <c r="H74" s="182"/>
      <c r="I74" s="125"/>
      <c r="J74" s="125"/>
      <c r="K74" s="127"/>
      <c r="L74" s="127"/>
      <c r="M74" s="127">
        <v>64800</v>
      </c>
      <c r="N74" s="171">
        <v>11</v>
      </c>
      <c r="O74" s="125"/>
      <c r="P74" s="125"/>
      <c r="Q74" s="125"/>
      <c r="R74" s="436"/>
      <c r="S74" s="436"/>
      <c r="T74" s="18"/>
      <c r="U74" s="18"/>
      <c r="V74" s="127">
        <f t="shared" si="3"/>
        <v>666</v>
      </c>
      <c r="W74" s="45"/>
      <c r="X74" s="67"/>
    </row>
    <row r="75" spans="1:25" ht="14.25" customHeight="1">
      <c r="A75" s="427"/>
      <c r="B75" s="443"/>
      <c r="C75" s="446"/>
      <c r="D75" s="43" t="s">
        <v>199</v>
      </c>
      <c r="E75" s="114" t="s">
        <v>25</v>
      </c>
      <c r="F75" s="118" t="s">
        <v>54</v>
      </c>
      <c r="G75" s="224"/>
      <c r="H75" s="135"/>
      <c r="I75" s="158"/>
      <c r="J75" s="158"/>
      <c r="K75" s="128"/>
      <c r="L75" s="128"/>
      <c r="M75" s="128"/>
      <c r="N75" s="164"/>
      <c r="O75" s="158"/>
      <c r="P75" s="158"/>
      <c r="Q75" s="158"/>
      <c r="R75" s="436"/>
      <c r="S75" s="436"/>
      <c r="T75" s="18"/>
      <c r="U75" s="18"/>
      <c r="V75" s="127">
        <f t="shared" si="3"/>
        <v>68</v>
      </c>
      <c r="W75" s="45"/>
      <c r="X75" s="67"/>
    </row>
    <row r="76" spans="1:25" ht="15.75" customHeight="1">
      <c r="A76" s="427"/>
      <c r="B76" s="137" t="s">
        <v>55</v>
      </c>
      <c r="C76" s="157" t="s">
        <v>133</v>
      </c>
      <c r="D76" s="48" t="s">
        <v>56</v>
      </c>
      <c r="E76" s="424" t="s">
        <v>25</v>
      </c>
      <c r="F76" s="118" t="s">
        <v>67</v>
      </c>
      <c r="G76" s="226"/>
      <c r="H76" s="126"/>
      <c r="I76" s="126"/>
      <c r="J76" s="2"/>
      <c r="K76" s="18"/>
      <c r="L76" s="18"/>
      <c r="M76" s="18"/>
      <c r="N76" s="18"/>
      <c r="O76" s="126"/>
      <c r="P76" s="126"/>
      <c r="Q76" s="126"/>
      <c r="R76" s="436"/>
      <c r="S76" s="436"/>
      <c r="T76" s="18"/>
      <c r="U76" s="18"/>
      <c r="V76" s="127">
        <f t="shared" si="3"/>
        <v>7022</v>
      </c>
      <c r="W76" s="45"/>
      <c r="X76" s="67"/>
    </row>
    <row r="77" spans="1:25" ht="15" customHeight="1">
      <c r="A77" s="427"/>
      <c r="B77" s="122" t="s">
        <v>122</v>
      </c>
      <c r="C77" s="180" t="s">
        <v>123</v>
      </c>
      <c r="D77" s="48" t="s">
        <v>56</v>
      </c>
      <c r="E77" s="441"/>
      <c r="F77" s="155" t="s">
        <v>64</v>
      </c>
      <c r="G77" s="119"/>
      <c r="H77" s="126"/>
      <c r="I77" s="126"/>
      <c r="J77" s="2"/>
      <c r="K77" s="18"/>
      <c r="L77" s="18"/>
      <c r="M77" s="18">
        <v>6400</v>
      </c>
      <c r="N77" s="18">
        <v>2</v>
      </c>
      <c r="O77" s="126"/>
      <c r="P77" s="126"/>
      <c r="Q77" s="126"/>
      <c r="R77" s="436"/>
      <c r="S77" s="436"/>
      <c r="T77" s="18"/>
      <c r="U77" s="18"/>
      <c r="V77" s="127">
        <f t="shared" si="3"/>
        <v>18121</v>
      </c>
      <c r="W77" s="45"/>
      <c r="X77" s="67"/>
    </row>
    <row r="78" spans="1:25" ht="14.25" customHeight="1">
      <c r="A78" s="427"/>
      <c r="B78" s="137" t="s">
        <v>58</v>
      </c>
      <c r="C78" s="157" t="s">
        <v>243</v>
      </c>
      <c r="D78" s="48" t="s">
        <v>56</v>
      </c>
      <c r="E78" s="441"/>
      <c r="F78" s="118" t="s">
        <v>64</v>
      </c>
      <c r="G78" s="225"/>
      <c r="H78" s="126"/>
      <c r="I78" s="126"/>
      <c r="J78" s="126"/>
      <c r="K78" s="18"/>
      <c r="L78" s="18"/>
      <c r="M78" s="18"/>
      <c r="N78" s="80"/>
      <c r="O78" s="126"/>
      <c r="P78" s="126"/>
      <c r="Q78" s="126"/>
      <c r="R78" s="436"/>
      <c r="S78" s="436"/>
      <c r="T78" s="18"/>
      <c r="U78" s="18"/>
      <c r="V78" s="127">
        <f t="shared" si="3"/>
        <v>8144</v>
      </c>
      <c r="W78" s="45"/>
      <c r="X78" s="67"/>
    </row>
    <row r="79" spans="1:25" ht="14.25" customHeight="1">
      <c r="A79" s="427"/>
      <c r="B79" s="122" t="s">
        <v>61</v>
      </c>
      <c r="C79" s="180" t="s">
        <v>137</v>
      </c>
      <c r="D79" s="48" t="s">
        <v>56</v>
      </c>
      <c r="E79" s="441"/>
      <c r="F79" s="118" t="s">
        <v>67</v>
      </c>
      <c r="G79" s="225"/>
      <c r="H79" s="126"/>
      <c r="I79" s="126"/>
      <c r="J79" s="126"/>
      <c r="K79" s="18"/>
      <c r="L79" s="18"/>
      <c r="M79" s="18"/>
      <c r="N79" s="80"/>
      <c r="O79" s="126"/>
      <c r="P79" s="126"/>
      <c r="Q79" s="126"/>
      <c r="R79" s="436"/>
      <c r="S79" s="436"/>
      <c r="T79" s="18"/>
      <c r="U79" s="18"/>
      <c r="V79" s="127">
        <f t="shared" si="3"/>
        <v>5844</v>
      </c>
      <c r="W79" s="45"/>
      <c r="X79" s="67"/>
    </row>
    <row r="80" spans="1:25" ht="14.25" customHeight="1">
      <c r="A80" s="427"/>
      <c r="B80" s="122" t="s">
        <v>125</v>
      </c>
      <c r="C80" s="180" t="s">
        <v>88</v>
      </c>
      <c r="D80" s="48" t="s">
        <v>124</v>
      </c>
      <c r="E80" s="441"/>
      <c r="F80" s="118" t="s">
        <v>64</v>
      </c>
      <c r="G80" s="225"/>
      <c r="H80" s="126"/>
      <c r="I80" s="126"/>
      <c r="J80" s="126"/>
      <c r="K80" s="18"/>
      <c r="L80" s="18"/>
      <c r="M80" s="18">
        <v>51200</v>
      </c>
      <c r="N80" s="80">
        <v>7</v>
      </c>
      <c r="O80" s="126"/>
      <c r="P80" s="126"/>
      <c r="Q80" s="126"/>
      <c r="R80" s="436"/>
      <c r="S80" s="436"/>
      <c r="T80" s="18"/>
      <c r="U80" s="18"/>
      <c r="V80" s="127">
        <f t="shared" si="3"/>
        <v>23615</v>
      </c>
      <c r="W80" s="45"/>
      <c r="X80" s="67"/>
    </row>
    <row r="81" spans="1:24" ht="14.25" customHeight="1">
      <c r="A81" s="427"/>
      <c r="B81" s="137" t="s">
        <v>463</v>
      </c>
      <c r="C81" s="157" t="s">
        <v>464</v>
      </c>
      <c r="D81" s="48" t="s">
        <v>246</v>
      </c>
      <c r="E81" s="441"/>
      <c r="F81" s="118" t="s">
        <v>64</v>
      </c>
      <c r="G81" s="225"/>
      <c r="H81" s="126"/>
      <c r="I81" s="126"/>
      <c r="J81" s="126"/>
      <c r="K81" s="18"/>
      <c r="L81" s="18"/>
      <c r="M81" s="18"/>
      <c r="N81" s="80"/>
      <c r="O81" s="126"/>
      <c r="P81" s="126">
        <f>July!AC333</f>
        <v>246</v>
      </c>
      <c r="Q81" s="126">
        <f>July!AA333</f>
        <v>1</v>
      </c>
      <c r="R81" s="436"/>
      <c r="S81" s="436"/>
      <c r="T81" s="18"/>
      <c r="U81" s="18"/>
      <c r="V81" s="127">
        <f t="shared" si="3"/>
        <v>0</v>
      </c>
      <c r="W81" s="45"/>
      <c r="X81" s="67"/>
    </row>
    <row r="82" spans="1:24" ht="14.25" customHeight="1">
      <c r="A82" s="427"/>
      <c r="B82" s="137" t="s">
        <v>47</v>
      </c>
      <c r="C82" s="157" t="s">
        <v>100</v>
      </c>
      <c r="D82" s="48" t="s">
        <v>458</v>
      </c>
      <c r="E82" s="441"/>
      <c r="F82" s="118" t="s">
        <v>71</v>
      </c>
      <c r="G82" s="225"/>
      <c r="H82" s="126"/>
      <c r="I82" s="126"/>
      <c r="J82" s="126"/>
      <c r="K82" s="18"/>
      <c r="L82" s="18"/>
      <c r="M82" s="18">
        <v>6100</v>
      </c>
      <c r="N82" s="80">
        <v>1</v>
      </c>
      <c r="O82" s="126">
        <f>July!AB319</f>
        <v>3600</v>
      </c>
      <c r="P82" s="126">
        <f>July!AC319</f>
        <v>1819</v>
      </c>
      <c r="Q82" s="126">
        <f>July!AA319</f>
        <v>6</v>
      </c>
      <c r="R82" s="436"/>
      <c r="S82" s="436"/>
      <c r="T82" s="18"/>
      <c r="U82" s="18"/>
      <c r="V82" s="127">
        <f t="shared" si="3"/>
        <v>4224</v>
      </c>
      <c r="W82" s="45"/>
      <c r="X82" s="67"/>
    </row>
    <row r="83" spans="1:24" ht="14.25" customHeight="1">
      <c r="A83" s="427"/>
      <c r="B83" s="137" t="s">
        <v>47</v>
      </c>
      <c r="C83" s="157" t="s">
        <v>457</v>
      </c>
      <c r="D83" s="48" t="s">
        <v>458</v>
      </c>
      <c r="E83" s="441"/>
      <c r="F83" s="118" t="s">
        <v>459</v>
      </c>
      <c r="G83" s="225"/>
      <c r="H83" s="126"/>
      <c r="I83" s="126"/>
      <c r="J83" s="126"/>
      <c r="K83" s="18"/>
      <c r="L83" s="18"/>
      <c r="M83" s="18"/>
      <c r="N83" s="80"/>
      <c r="O83" s="126"/>
      <c r="P83" s="126">
        <f>July!AC320</f>
        <v>141</v>
      </c>
      <c r="Q83" s="126">
        <f>July!AA320</f>
        <v>1</v>
      </c>
      <c r="R83" s="436"/>
      <c r="S83" s="436"/>
      <c r="T83" s="18"/>
      <c r="U83" s="18"/>
      <c r="V83" s="127">
        <f t="shared" si="3"/>
        <v>0</v>
      </c>
      <c r="W83" s="45"/>
      <c r="X83" s="67"/>
    </row>
    <row r="84" spans="1:24" ht="15" customHeight="1">
      <c r="A84" s="427"/>
      <c r="B84" s="122" t="s">
        <v>196</v>
      </c>
      <c r="C84" s="180" t="s">
        <v>63</v>
      </c>
      <c r="D84" s="48" t="s">
        <v>135</v>
      </c>
      <c r="E84" s="441"/>
      <c r="F84" s="118" t="s">
        <v>64</v>
      </c>
      <c r="G84" s="226"/>
      <c r="H84" s="126"/>
      <c r="I84" s="126"/>
      <c r="J84" s="2"/>
      <c r="K84" s="18"/>
      <c r="L84" s="18"/>
      <c r="M84" s="18"/>
      <c r="N84" s="18"/>
      <c r="O84" s="126"/>
      <c r="P84" s="126"/>
      <c r="Q84" s="126"/>
      <c r="R84" s="436"/>
      <c r="S84" s="436"/>
      <c r="T84" s="18"/>
      <c r="U84" s="18"/>
      <c r="V84" s="127">
        <f t="shared" ref="V84:V91" si="4">O84-T84-U84+V54</f>
        <v>54487</v>
      </c>
      <c r="W84" s="45"/>
      <c r="X84" s="67"/>
    </row>
    <row r="85" spans="1:24" ht="15" customHeight="1">
      <c r="A85" s="427"/>
      <c r="B85" s="122" t="s">
        <v>253</v>
      </c>
      <c r="C85" s="180" t="s">
        <v>365</v>
      </c>
      <c r="D85" s="48" t="s">
        <v>246</v>
      </c>
      <c r="E85" s="441"/>
      <c r="F85" s="118" t="s">
        <v>247</v>
      </c>
      <c r="G85" s="226"/>
      <c r="H85" s="126"/>
      <c r="I85" s="126"/>
      <c r="J85" s="2"/>
      <c r="K85" s="18"/>
      <c r="L85" s="18"/>
      <c r="M85" s="18"/>
      <c r="N85" s="18"/>
      <c r="O85" s="126"/>
      <c r="P85" s="126"/>
      <c r="Q85" s="126">
        <f>July!AA321</f>
        <v>3</v>
      </c>
      <c r="R85" s="436"/>
      <c r="S85" s="436"/>
      <c r="T85" s="18"/>
      <c r="U85" s="18"/>
      <c r="V85" s="127">
        <f t="shared" si="4"/>
        <v>12501</v>
      </c>
      <c r="W85" s="45"/>
      <c r="X85" s="67"/>
    </row>
    <row r="86" spans="1:24" ht="15" customHeight="1">
      <c r="A86" s="427"/>
      <c r="B86" s="122" t="s">
        <v>101</v>
      </c>
      <c r="C86" s="180" t="s">
        <v>327</v>
      </c>
      <c r="D86" s="48" t="s">
        <v>102</v>
      </c>
      <c r="E86" s="441"/>
      <c r="F86" s="118" t="s">
        <v>64</v>
      </c>
      <c r="G86" s="119"/>
      <c r="H86" s="37">
        <v>535.5</v>
      </c>
      <c r="I86" s="126"/>
      <c r="J86" s="2"/>
      <c r="K86" s="18"/>
      <c r="L86" s="18"/>
      <c r="M86" s="18">
        <v>21000</v>
      </c>
      <c r="N86" s="18">
        <v>3</v>
      </c>
      <c r="O86" s="126">
        <f>July!AB328</f>
        <v>1920</v>
      </c>
      <c r="P86" s="126">
        <f>July!AC328</f>
        <v>1626</v>
      </c>
      <c r="Q86" s="126">
        <f>July!AA328</f>
        <v>4</v>
      </c>
      <c r="R86" s="436"/>
      <c r="S86" s="436"/>
      <c r="T86" s="18">
        <v>2200</v>
      </c>
      <c r="U86" s="18"/>
      <c r="V86" s="18">
        <f t="shared" si="4"/>
        <v>1093</v>
      </c>
      <c r="W86" s="45"/>
      <c r="X86" s="67"/>
    </row>
    <row r="87" spans="1:24" ht="15" customHeight="1">
      <c r="A87" s="427"/>
      <c r="B87" s="122" t="s">
        <v>366</v>
      </c>
      <c r="C87" s="180" t="s">
        <v>367</v>
      </c>
      <c r="D87" s="48" t="s">
        <v>132</v>
      </c>
      <c r="E87" s="441"/>
      <c r="F87" s="118" t="s">
        <v>64</v>
      </c>
      <c r="G87" s="38">
        <v>857.66</v>
      </c>
      <c r="H87" s="126"/>
      <c r="I87" s="126"/>
      <c r="J87" s="2"/>
      <c r="K87" s="18"/>
      <c r="L87" s="18"/>
      <c r="M87" s="18">
        <v>10000</v>
      </c>
      <c r="N87" s="18">
        <v>2</v>
      </c>
      <c r="O87" s="126"/>
      <c r="P87" s="126">
        <f>July!AC329</f>
        <v>808</v>
      </c>
      <c r="Q87" s="126">
        <f>July!AA329</f>
        <v>2</v>
      </c>
      <c r="R87" s="436"/>
      <c r="S87" s="436"/>
      <c r="T87" s="18"/>
      <c r="U87" s="18"/>
      <c r="V87" s="18">
        <f t="shared" si="4"/>
        <v>0</v>
      </c>
      <c r="W87" s="45"/>
      <c r="X87" s="67"/>
    </row>
    <row r="88" spans="1:24" ht="15" customHeight="1">
      <c r="A88" s="427"/>
      <c r="B88" s="122" t="s">
        <v>363</v>
      </c>
      <c r="C88" s="180" t="s">
        <v>325</v>
      </c>
      <c r="D88" s="48" t="s">
        <v>328</v>
      </c>
      <c r="E88" s="441"/>
      <c r="F88" s="118" t="s">
        <v>48</v>
      </c>
      <c r="G88" s="226"/>
      <c r="H88" s="126"/>
      <c r="I88" s="126"/>
      <c r="J88" s="2"/>
      <c r="K88" s="18"/>
      <c r="L88" s="18"/>
      <c r="M88" s="18"/>
      <c r="N88" s="18"/>
      <c r="O88" s="126"/>
      <c r="P88" s="126"/>
      <c r="Q88" s="126"/>
      <c r="R88" s="436"/>
      <c r="S88" s="436"/>
      <c r="T88" s="18"/>
      <c r="U88" s="18"/>
      <c r="V88" s="127">
        <f t="shared" si="4"/>
        <v>16454</v>
      </c>
      <c r="W88" s="45"/>
      <c r="X88" s="67"/>
    </row>
    <row r="89" spans="1:24" ht="15" customHeight="1">
      <c r="A89" s="427"/>
      <c r="B89" s="122" t="s">
        <v>107</v>
      </c>
      <c r="C89" s="180" t="s">
        <v>386</v>
      </c>
      <c r="D89" s="48" t="s">
        <v>108</v>
      </c>
      <c r="E89" s="441"/>
      <c r="F89" s="115" t="s">
        <v>48</v>
      </c>
      <c r="G89" s="113"/>
      <c r="H89" s="125"/>
      <c r="I89" s="125"/>
      <c r="J89" s="250"/>
      <c r="K89" s="127"/>
      <c r="L89" s="127"/>
      <c r="M89" s="127">
        <v>13000</v>
      </c>
      <c r="N89" s="127">
        <v>2</v>
      </c>
      <c r="O89" s="125"/>
      <c r="P89" s="125"/>
      <c r="Q89" s="125">
        <f>July!AA330</f>
        <v>2</v>
      </c>
      <c r="R89" s="436"/>
      <c r="S89" s="436"/>
      <c r="T89" s="18"/>
      <c r="U89" s="18"/>
      <c r="V89" s="18">
        <f t="shared" si="4"/>
        <v>11053</v>
      </c>
      <c r="W89" s="85"/>
      <c r="X89" s="67"/>
    </row>
    <row r="90" spans="1:24" s="4" customFormat="1" ht="15" customHeight="1">
      <c r="A90" s="427"/>
      <c r="B90" s="268" t="s">
        <v>375</v>
      </c>
      <c r="C90" s="277" t="s">
        <v>376</v>
      </c>
      <c r="D90" s="43" t="s">
        <v>248</v>
      </c>
      <c r="E90" s="441"/>
      <c r="F90" s="43" t="s">
        <v>64</v>
      </c>
      <c r="G90" s="268"/>
      <c r="H90" s="331"/>
      <c r="I90" s="331"/>
      <c r="J90" s="341"/>
      <c r="K90" s="216"/>
      <c r="L90" s="216"/>
      <c r="M90" s="216"/>
      <c r="N90" s="216"/>
      <c r="O90" s="331"/>
      <c r="P90" s="331"/>
      <c r="Q90" s="331"/>
      <c r="R90" s="436"/>
      <c r="S90" s="436"/>
      <c r="T90" s="216"/>
      <c r="U90" s="216"/>
      <c r="V90" s="216">
        <f t="shared" si="4"/>
        <v>75911</v>
      </c>
      <c r="W90" s="260"/>
      <c r="X90" s="67"/>
    </row>
    <row r="91" spans="1:24" s="4" customFormat="1" ht="15" customHeight="1">
      <c r="A91" s="427"/>
      <c r="B91" s="137" t="s">
        <v>421</v>
      </c>
      <c r="C91" s="157" t="s">
        <v>420</v>
      </c>
      <c r="D91" s="48" t="s">
        <v>248</v>
      </c>
      <c r="E91" s="441"/>
      <c r="F91" s="48" t="s">
        <v>64</v>
      </c>
      <c r="G91" s="122"/>
      <c r="H91" s="34"/>
      <c r="I91" s="34"/>
      <c r="J91" s="6"/>
      <c r="K91" s="211"/>
      <c r="L91" s="211"/>
      <c r="M91" s="211">
        <v>46200</v>
      </c>
      <c r="N91" s="211">
        <v>11</v>
      </c>
      <c r="O91" s="34"/>
      <c r="P91" s="34"/>
      <c r="Q91" s="34">
        <f>July!AA331</f>
        <v>20</v>
      </c>
      <c r="R91" s="436"/>
      <c r="S91" s="436"/>
      <c r="T91" s="211"/>
      <c r="U91" s="211"/>
      <c r="V91" s="211">
        <f t="shared" si="4"/>
        <v>57857</v>
      </c>
      <c r="W91" s="260"/>
      <c r="X91" s="67"/>
    </row>
    <row r="92" spans="1:24" s="4" customFormat="1" ht="15" customHeight="1">
      <c r="A92" s="427"/>
      <c r="B92" s="122" t="s">
        <v>289</v>
      </c>
      <c r="C92" s="157" t="s">
        <v>501</v>
      </c>
      <c r="D92" s="48" t="s">
        <v>432</v>
      </c>
      <c r="E92" s="441"/>
      <c r="F92" s="48" t="s">
        <v>502</v>
      </c>
      <c r="G92" s="38">
        <v>435.59</v>
      </c>
      <c r="H92" s="34"/>
      <c r="I92" s="34"/>
      <c r="J92" s="6"/>
      <c r="K92" s="211"/>
      <c r="L92" s="211"/>
      <c r="M92" s="211">
        <v>6000</v>
      </c>
      <c r="N92" s="211">
        <v>1</v>
      </c>
      <c r="O92" s="34"/>
      <c r="P92" s="34"/>
      <c r="Q92" s="34"/>
      <c r="R92" s="436"/>
      <c r="S92" s="436"/>
      <c r="T92" s="211"/>
      <c r="U92" s="211"/>
      <c r="V92" s="211">
        <f>O92-T92-U92</f>
        <v>0</v>
      </c>
      <c r="W92" s="260"/>
      <c r="X92" s="67"/>
    </row>
    <row r="93" spans="1:24" s="4" customFormat="1" ht="15" customHeight="1">
      <c r="A93" s="427"/>
      <c r="B93" s="122" t="s">
        <v>289</v>
      </c>
      <c r="C93" s="180" t="s">
        <v>505</v>
      </c>
      <c r="D93" s="48" t="s">
        <v>432</v>
      </c>
      <c r="E93" s="441"/>
      <c r="F93" s="48" t="s">
        <v>435</v>
      </c>
      <c r="G93" s="122"/>
      <c r="H93" s="34"/>
      <c r="I93" s="34"/>
      <c r="J93" s="6"/>
      <c r="K93" s="211"/>
      <c r="L93" s="211"/>
      <c r="M93" s="211"/>
      <c r="N93" s="211"/>
      <c r="O93" s="34"/>
      <c r="P93" s="34"/>
      <c r="Q93" s="34">
        <f>July!AA326</f>
        <v>1</v>
      </c>
      <c r="R93" s="436"/>
      <c r="S93" s="436"/>
      <c r="T93" s="211"/>
      <c r="U93" s="211"/>
      <c r="V93" s="211">
        <f>O93-T93-U93+V62</f>
        <v>0</v>
      </c>
      <c r="W93" s="260"/>
      <c r="X93" s="67"/>
    </row>
    <row r="94" spans="1:24" s="4" customFormat="1" ht="15" customHeight="1">
      <c r="A94" s="427"/>
      <c r="B94" s="268" t="s">
        <v>453</v>
      </c>
      <c r="C94" s="180" t="s">
        <v>505</v>
      </c>
      <c r="D94" s="48" t="s">
        <v>432</v>
      </c>
      <c r="E94" s="441"/>
      <c r="F94" s="48" t="s">
        <v>57</v>
      </c>
      <c r="G94" s="122"/>
      <c r="H94" s="34"/>
      <c r="I94" s="34"/>
      <c r="J94" s="6"/>
      <c r="K94" s="211"/>
      <c r="L94" s="211"/>
      <c r="M94" s="211"/>
      <c r="N94" s="211"/>
      <c r="O94" s="34"/>
      <c r="P94" s="34"/>
      <c r="Q94" s="34">
        <f>July!AA327</f>
        <v>1</v>
      </c>
      <c r="R94" s="436"/>
      <c r="S94" s="436"/>
      <c r="T94" s="211"/>
      <c r="U94" s="211"/>
      <c r="V94" s="211">
        <f>O94-T94-U94+V63</f>
        <v>0</v>
      </c>
      <c r="W94" s="260"/>
      <c r="X94" s="67"/>
    </row>
    <row r="95" spans="1:24" s="4" customFormat="1" ht="15" customHeight="1">
      <c r="A95" s="427"/>
      <c r="B95" s="122" t="s">
        <v>454</v>
      </c>
      <c r="C95" s="180" t="s">
        <v>505</v>
      </c>
      <c r="D95" s="48" t="s">
        <v>432</v>
      </c>
      <c r="E95" s="441"/>
      <c r="F95" s="48" t="s">
        <v>57</v>
      </c>
      <c r="G95" s="122"/>
      <c r="H95" s="34"/>
      <c r="I95" s="34"/>
      <c r="J95" s="6"/>
      <c r="K95" s="211"/>
      <c r="L95" s="211"/>
      <c r="M95" s="211"/>
      <c r="N95" s="211"/>
      <c r="O95" s="34"/>
      <c r="P95" s="34"/>
      <c r="Q95" s="34"/>
      <c r="R95" s="436"/>
      <c r="S95" s="436"/>
      <c r="T95" s="211"/>
      <c r="U95" s="211"/>
      <c r="V95" s="211">
        <f>O95-T95-U95+V64</f>
        <v>895</v>
      </c>
      <c r="W95" s="260"/>
      <c r="X95" s="67"/>
    </row>
    <row r="96" spans="1:24" ht="15" customHeight="1">
      <c r="A96" s="427"/>
      <c r="B96" s="122" t="s">
        <v>103</v>
      </c>
      <c r="C96" s="157" t="s">
        <v>197</v>
      </c>
      <c r="D96" s="48" t="s">
        <v>104</v>
      </c>
      <c r="E96" s="441"/>
      <c r="F96" s="118" t="s">
        <v>105</v>
      </c>
      <c r="G96" s="119"/>
      <c r="H96" s="126"/>
      <c r="I96" s="126"/>
      <c r="J96" s="2"/>
      <c r="K96" s="18"/>
      <c r="L96" s="18"/>
      <c r="M96" s="18"/>
      <c r="N96" s="18"/>
      <c r="O96" s="126"/>
      <c r="P96" s="126"/>
      <c r="Q96" s="126">
        <f>July!AA334</f>
        <v>1</v>
      </c>
      <c r="R96" s="436"/>
      <c r="S96" s="436"/>
      <c r="T96" s="18"/>
      <c r="U96" s="18"/>
      <c r="V96" s="18"/>
      <c r="W96" s="45"/>
      <c r="X96" s="67"/>
    </row>
    <row r="97" spans="1:25" ht="15" customHeight="1" thickBot="1">
      <c r="A97" s="427"/>
      <c r="B97" s="137" t="s">
        <v>112</v>
      </c>
      <c r="C97" s="157" t="s">
        <v>197</v>
      </c>
      <c r="D97" s="48" t="s">
        <v>104</v>
      </c>
      <c r="E97" s="441"/>
      <c r="F97" s="118" t="s">
        <v>113</v>
      </c>
      <c r="G97" s="342"/>
      <c r="H97" s="262"/>
      <c r="I97" s="126"/>
      <c r="J97" s="2"/>
      <c r="K97" s="18"/>
      <c r="L97" s="18"/>
      <c r="M97" s="18"/>
      <c r="N97" s="18"/>
      <c r="O97" s="126"/>
      <c r="P97" s="126"/>
      <c r="Q97" s="126">
        <f>July!AA335</f>
        <v>1</v>
      </c>
      <c r="R97" s="436"/>
      <c r="S97" s="436"/>
      <c r="T97" s="18"/>
      <c r="U97" s="264"/>
      <c r="V97" s="18"/>
      <c r="W97" s="45"/>
      <c r="X97" s="67"/>
    </row>
    <row r="98" spans="1:25" ht="15" customHeight="1">
      <c r="A98" s="426">
        <v>46207</v>
      </c>
      <c r="B98" s="429" t="s">
        <v>44</v>
      </c>
      <c r="C98" s="432" t="s">
        <v>240</v>
      </c>
      <c r="D98" s="19" t="s">
        <v>37</v>
      </c>
      <c r="E98" s="19" t="s">
        <v>25</v>
      </c>
      <c r="F98" s="39" t="s">
        <v>40</v>
      </c>
      <c r="G98" s="41">
        <v>3848.67</v>
      </c>
      <c r="H98" s="32"/>
      <c r="I98" s="32"/>
      <c r="J98" s="32"/>
      <c r="K98" s="20">
        <v>72000</v>
      </c>
      <c r="L98" s="20">
        <v>9</v>
      </c>
      <c r="M98" s="20">
        <v>24000</v>
      </c>
      <c r="N98" s="84">
        <v>3</v>
      </c>
      <c r="O98" s="32">
        <f>July!AE313</f>
        <v>62907</v>
      </c>
      <c r="P98" s="32">
        <f>July!AF313</f>
        <v>54002</v>
      </c>
      <c r="Q98" s="32">
        <f>July!AD313</f>
        <v>150</v>
      </c>
      <c r="R98" s="435">
        <f>July!AE336</f>
        <v>68819</v>
      </c>
      <c r="S98" s="435">
        <f>July!AF336</f>
        <v>75556</v>
      </c>
      <c r="T98" s="233">
        <v>55871</v>
      </c>
      <c r="U98" s="20">
        <v>4</v>
      </c>
      <c r="V98" s="20">
        <f t="shared" ref="V98:V126" si="5">O98-T98-U98+V67</f>
        <v>152137</v>
      </c>
      <c r="W98" s="77"/>
      <c r="X98" s="36"/>
    </row>
    <row r="99" spans="1:25" ht="15" customHeight="1">
      <c r="A99" s="427"/>
      <c r="B99" s="431"/>
      <c r="C99" s="434"/>
      <c r="D99" s="113" t="s">
        <v>307</v>
      </c>
      <c r="E99" s="113" t="s">
        <v>24</v>
      </c>
      <c r="F99" s="118" t="s">
        <v>40</v>
      </c>
      <c r="G99" s="170"/>
      <c r="H99" s="135"/>
      <c r="I99" s="125"/>
      <c r="J99" s="125"/>
      <c r="K99" s="127"/>
      <c r="L99" s="127"/>
      <c r="M99" s="216">
        <v>215400</v>
      </c>
      <c r="N99" s="238">
        <v>27</v>
      </c>
      <c r="O99" s="126">
        <f>July!AE314</f>
        <v>343</v>
      </c>
      <c r="P99" s="125">
        <f>July!AF314</f>
        <v>14051</v>
      </c>
      <c r="Q99" s="125">
        <f>July!AD314</f>
        <v>39</v>
      </c>
      <c r="R99" s="436"/>
      <c r="S99" s="436"/>
      <c r="T99" s="216">
        <v>36529</v>
      </c>
      <c r="U99" s="127"/>
      <c r="V99" s="127">
        <f t="shared" si="5"/>
        <v>42074</v>
      </c>
      <c r="W99" s="46"/>
      <c r="X99" s="67"/>
    </row>
    <row r="100" spans="1:25" ht="15" customHeight="1">
      <c r="A100" s="427"/>
      <c r="B100" s="442" t="s">
        <v>45</v>
      </c>
      <c r="C100" s="448" t="s">
        <v>59</v>
      </c>
      <c r="D100" s="118" t="s">
        <v>75</v>
      </c>
      <c r="E100" s="131" t="s">
        <v>25</v>
      </c>
      <c r="F100" s="131" t="s">
        <v>57</v>
      </c>
      <c r="G100" s="87">
        <v>3494.25</v>
      </c>
      <c r="H100" s="152"/>
      <c r="I100" s="126"/>
      <c r="J100" s="2"/>
      <c r="K100" s="127"/>
      <c r="L100" s="18"/>
      <c r="M100" s="18">
        <v>75180</v>
      </c>
      <c r="N100" s="80">
        <v>15</v>
      </c>
      <c r="O100" s="126">
        <f>July!AE316</f>
        <v>320</v>
      </c>
      <c r="P100" s="126">
        <f>July!AF316</f>
        <v>3309</v>
      </c>
      <c r="Q100" s="2">
        <f>July!AD316</f>
        <v>14</v>
      </c>
      <c r="R100" s="436"/>
      <c r="S100" s="436"/>
      <c r="T100" s="18"/>
      <c r="U100" s="18"/>
      <c r="V100" s="127">
        <f t="shared" si="5"/>
        <v>4025</v>
      </c>
      <c r="W100" s="46"/>
      <c r="Y100" s="13"/>
    </row>
    <row r="101" spans="1:25">
      <c r="A101" s="427"/>
      <c r="B101" s="439"/>
      <c r="C101" s="440"/>
      <c r="D101" s="118" t="s">
        <v>72</v>
      </c>
      <c r="E101" s="155" t="s">
        <v>24</v>
      </c>
      <c r="F101" s="131" t="s">
        <v>57</v>
      </c>
      <c r="G101" s="224"/>
      <c r="H101" s="152"/>
      <c r="I101" s="126"/>
      <c r="J101" s="126"/>
      <c r="K101" s="127"/>
      <c r="L101" s="18"/>
      <c r="M101" s="18">
        <v>49600</v>
      </c>
      <c r="N101" s="80">
        <v>10</v>
      </c>
      <c r="O101" s="126"/>
      <c r="P101" s="126"/>
      <c r="Q101" s="126">
        <f>July!AD317</f>
        <v>8</v>
      </c>
      <c r="R101" s="436"/>
      <c r="S101" s="436"/>
      <c r="T101" s="18"/>
      <c r="U101" s="18"/>
      <c r="V101" s="127">
        <f t="shared" si="5"/>
        <v>23089</v>
      </c>
      <c r="W101" s="46"/>
      <c r="Y101" s="13"/>
    </row>
    <row r="102" spans="1:25" ht="14.25" customHeight="1">
      <c r="A102" s="427"/>
      <c r="B102" s="439"/>
      <c r="C102" s="440"/>
      <c r="D102" s="115" t="s">
        <v>79</v>
      </c>
      <c r="E102" s="118" t="s">
        <v>65</v>
      </c>
      <c r="F102" s="131" t="s">
        <v>57</v>
      </c>
      <c r="G102" s="224"/>
      <c r="H102" s="126"/>
      <c r="I102" s="126"/>
      <c r="J102" s="126"/>
      <c r="K102" s="18"/>
      <c r="L102" s="18"/>
      <c r="M102" s="18"/>
      <c r="N102" s="80"/>
      <c r="O102" s="126"/>
      <c r="P102" s="126"/>
      <c r="Q102" s="126"/>
      <c r="R102" s="436"/>
      <c r="S102" s="436"/>
      <c r="T102" s="18"/>
      <c r="U102" s="18"/>
      <c r="V102" s="127">
        <f t="shared" si="5"/>
        <v>10211</v>
      </c>
      <c r="W102" s="45"/>
      <c r="X102" s="36"/>
    </row>
    <row r="103" spans="1:25" ht="14.25" customHeight="1">
      <c r="A103" s="427"/>
      <c r="B103" s="443"/>
      <c r="C103" s="271" t="s">
        <v>299</v>
      </c>
      <c r="D103" s="115" t="s">
        <v>75</v>
      </c>
      <c r="E103" s="119" t="s">
        <v>25</v>
      </c>
      <c r="F103" s="131" t="s">
        <v>298</v>
      </c>
      <c r="G103" s="229"/>
      <c r="H103" s="37"/>
      <c r="I103" s="126"/>
      <c r="J103" s="126"/>
      <c r="K103" s="18"/>
      <c r="L103" s="18"/>
      <c r="M103" s="18">
        <v>10000</v>
      </c>
      <c r="N103" s="80">
        <v>2</v>
      </c>
      <c r="O103" s="126"/>
      <c r="P103" s="126"/>
      <c r="Q103" s="126">
        <f>July!AD318</f>
        <v>4</v>
      </c>
      <c r="R103" s="436"/>
      <c r="S103" s="436"/>
      <c r="T103" s="18"/>
      <c r="U103" s="18"/>
      <c r="V103" s="127">
        <f t="shared" si="5"/>
        <v>14595</v>
      </c>
      <c r="W103" s="45"/>
      <c r="X103" s="67"/>
    </row>
    <row r="104" spans="1:25" ht="14.25" customHeight="1">
      <c r="A104" s="427"/>
      <c r="B104" s="439" t="s">
        <v>53</v>
      </c>
      <c r="C104" s="445" t="s">
        <v>60</v>
      </c>
      <c r="D104" s="43" t="s">
        <v>320</v>
      </c>
      <c r="E104" s="441" t="s">
        <v>66</v>
      </c>
      <c r="F104" s="118" t="s">
        <v>54</v>
      </c>
      <c r="G104" s="224"/>
      <c r="H104" s="37"/>
      <c r="I104" s="126"/>
      <c r="J104" s="126"/>
      <c r="K104" s="18"/>
      <c r="L104" s="18"/>
      <c r="M104" s="18"/>
      <c r="N104" s="80"/>
      <c r="O104" s="126"/>
      <c r="P104" s="126"/>
      <c r="Q104" s="126">
        <f>July!AD315</f>
        <v>2</v>
      </c>
      <c r="R104" s="436"/>
      <c r="S104" s="436"/>
      <c r="T104" s="18"/>
      <c r="U104" s="18"/>
      <c r="V104" s="127">
        <f t="shared" si="5"/>
        <v>48139</v>
      </c>
      <c r="W104" s="45"/>
      <c r="X104" s="67"/>
    </row>
    <row r="105" spans="1:25" ht="14.25" customHeight="1">
      <c r="A105" s="427"/>
      <c r="B105" s="439"/>
      <c r="C105" s="445"/>
      <c r="D105" s="43" t="s">
        <v>387</v>
      </c>
      <c r="E105" s="425"/>
      <c r="F105" s="118" t="s">
        <v>54</v>
      </c>
      <c r="G105" s="229"/>
      <c r="H105" s="182"/>
      <c r="I105" s="125"/>
      <c r="J105" s="125"/>
      <c r="K105" s="127"/>
      <c r="L105" s="127"/>
      <c r="M105" s="127">
        <v>64800</v>
      </c>
      <c r="N105" s="171">
        <v>11</v>
      </c>
      <c r="O105" s="125"/>
      <c r="P105" s="125"/>
      <c r="Q105" s="125"/>
      <c r="R105" s="436"/>
      <c r="S105" s="436"/>
      <c r="T105" s="18"/>
      <c r="U105" s="18"/>
      <c r="V105" s="127">
        <f t="shared" si="5"/>
        <v>666</v>
      </c>
      <c r="W105" s="45"/>
      <c r="X105" s="67"/>
    </row>
    <row r="106" spans="1:25" ht="14.25" customHeight="1">
      <c r="A106" s="427"/>
      <c r="B106" s="443"/>
      <c r="C106" s="446"/>
      <c r="D106" s="43" t="s">
        <v>199</v>
      </c>
      <c r="E106" s="114" t="s">
        <v>25</v>
      </c>
      <c r="F106" s="118" t="s">
        <v>54</v>
      </c>
      <c r="G106" s="224"/>
      <c r="H106" s="135"/>
      <c r="I106" s="158"/>
      <c r="J106" s="158"/>
      <c r="K106" s="128"/>
      <c r="L106" s="128"/>
      <c r="M106" s="128"/>
      <c r="N106" s="164"/>
      <c r="O106" s="158"/>
      <c r="P106" s="158"/>
      <c r="Q106" s="158"/>
      <c r="R106" s="436"/>
      <c r="S106" s="436"/>
      <c r="T106" s="18"/>
      <c r="U106" s="18"/>
      <c r="V106" s="127">
        <f t="shared" si="5"/>
        <v>68</v>
      </c>
      <c r="W106" s="45"/>
      <c r="X106" s="67"/>
    </row>
    <row r="107" spans="1:25" ht="15.75" customHeight="1">
      <c r="A107" s="427"/>
      <c r="B107" s="137" t="s">
        <v>55</v>
      </c>
      <c r="C107" s="157" t="s">
        <v>133</v>
      </c>
      <c r="D107" s="48" t="s">
        <v>56</v>
      </c>
      <c r="E107" s="424" t="s">
        <v>25</v>
      </c>
      <c r="F107" s="118" t="s">
        <v>67</v>
      </c>
      <c r="G107" s="226"/>
      <c r="H107" s="126"/>
      <c r="I107" s="126"/>
      <c r="J107" s="2"/>
      <c r="K107" s="18"/>
      <c r="L107" s="18"/>
      <c r="M107" s="18"/>
      <c r="N107" s="18"/>
      <c r="O107" s="126"/>
      <c r="P107" s="126"/>
      <c r="Q107" s="126"/>
      <c r="R107" s="436"/>
      <c r="S107" s="436"/>
      <c r="T107" s="18"/>
      <c r="U107" s="18"/>
      <c r="V107" s="127">
        <f t="shared" si="5"/>
        <v>7022</v>
      </c>
      <c r="W107" s="45"/>
      <c r="X107" s="67"/>
    </row>
    <row r="108" spans="1:25" ht="15" customHeight="1">
      <c r="A108" s="427"/>
      <c r="B108" s="122" t="s">
        <v>122</v>
      </c>
      <c r="C108" s="180" t="s">
        <v>123</v>
      </c>
      <c r="D108" s="48" t="s">
        <v>56</v>
      </c>
      <c r="E108" s="441"/>
      <c r="F108" s="155" t="s">
        <v>64</v>
      </c>
      <c r="G108" s="119"/>
      <c r="H108" s="126"/>
      <c r="I108" s="126"/>
      <c r="J108" s="2"/>
      <c r="K108" s="18"/>
      <c r="L108" s="18"/>
      <c r="M108" s="18">
        <v>6400</v>
      </c>
      <c r="N108" s="18">
        <v>2</v>
      </c>
      <c r="O108" s="126"/>
      <c r="P108" s="126"/>
      <c r="Q108" s="126"/>
      <c r="R108" s="436"/>
      <c r="S108" s="436"/>
      <c r="T108" s="18"/>
      <c r="U108" s="18"/>
      <c r="V108" s="127">
        <f t="shared" si="5"/>
        <v>18121</v>
      </c>
      <c r="W108" s="45"/>
      <c r="X108" s="67"/>
    </row>
    <row r="109" spans="1:25" ht="14.25" customHeight="1">
      <c r="A109" s="427"/>
      <c r="B109" s="137" t="s">
        <v>58</v>
      </c>
      <c r="C109" s="157" t="s">
        <v>243</v>
      </c>
      <c r="D109" s="48" t="s">
        <v>56</v>
      </c>
      <c r="E109" s="441"/>
      <c r="F109" s="118" t="s">
        <v>64</v>
      </c>
      <c r="G109" s="225"/>
      <c r="H109" s="126"/>
      <c r="I109" s="126"/>
      <c r="J109" s="126"/>
      <c r="K109" s="18"/>
      <c r="L109" s="18"/>
      <c r="M109" s="18"/>
      <c r="N109" s="80"/>
      <c r="O109" s="126"/>
      <c r="P109" s="126"/>
      <c r="Q109" s="126"/>
      <c r="R109" s="436"/>
      <c r="S109" s="436"/>
      <c r="T109" s="18"/>
      <c r="U109" s="18"/>
      <c r="V109" s="127">
        <f t="shared" si="5"/>
        <v>8144</v>
      </c>
      <c r="W109" s="45"/>
      <c r="X109" s="67"/>
    </row>
    <row r="110" spans="1:25" ht="14.25" customHeight="1">
      <c r="A110" s="427"/>
      <c r="B110" s="122" t="s">
        <v>61</v>
      </c>
      <c r="C110" s="180" t="s">
        <v>137</v>
      </c>
      <c r="D110" s="48" t="s">
        <v>56</v>
      </c>
      <c r="E110" s="441"/>
      <c r="F110" s="118" t="s">
        <v>67</v>
      </c>
      <c r="G110" s="225"/>
      <c r="H110" s="126"/>
      <c r="I110" s="126"/>
      <c r="J110" s="126"/>
      <c r="K110" s="18"/>
      <c r="L110" s="18"/>
      <c r="M110" s="18"/>
      <c r="N110" s="80"/>
      <c r="O110" s="126"/>
      <c r="P110" s="126"/>
      <c r="Q110" s="126"/>
      <c r="R110" s="436"/>
      <c r="S110" s="436"/>
      <c r="T110" s="18"/>
      <c r="U110" s="18"/>
      <c r="V110" s="127">
        <f t="shared" si="5"/>
        <v>5844</v>
      </c>
      <c r="W110" s="45"/>
      <c r="X110" s="67"/>
    </row>
    <row r="111" spans="1:25" ht="14.25" customHeight="1">
      <c r="A111" s="427"/>
      <c r="B111" s="122" t="s">
        <v>125</v>
      </c>
      <c r="C111" s="180" t="s">
        <v>88</v>
      </c>
      <c r="D111" s="48" t="s">
        <v>124</v>
      </c>
      <c r="E111" s="441"/>
      <c r="F111" s="118" t="s">
        <v>64</v>
      </c>
      <c r="G111" s="225"/>
      <c r="H111" s="126"/>
      <c r="I111" s="126"/>
      <c r="J111" s="126"/>
      <c r="K111" s="18"/>
      <c r="L111" s="18"/>
      <c r="M111" s="18">
        <v>51200</v>
      </c>
      <c r="N111" s="80">
        <v>7</v>
      </c>
      <c r="O111" s="126"/>
      <c r="P111" s="126"/>
      <c r="Q111" s="126"/>
      <c r="R111" s="436"/>
      <c r="S111" s="436"/>
      <c r="T111" s="18"/>
      <c r="U111" s="18"/>
      <c r="V111" s="127">
        <f t="shared" si="5"/>
        <v>23615</v>
      </c>
      <c r="W111" s="45"/>
      <c r="X111" s="67"/>
    </row>
    <row r="112" spans="1:25" ht="14.25" customHeight="1">
      <c r="A112" s="427"/>
      <c r="B112" s="137" t="s">
        <v>463</v>
      </c>
      <c r="C112" s="157" t="s">
        <v>464</v>
      </c>
      <c r="D112" s="48" t="s">
        <v>246</v>
      </c>
      <c r="E112" s="441"/>
      <c r="F112" s="118" t="s">
        <v>64</v>
      </c>
      <c r="G112" s="225"/>
      <c r="H112" s="126"/>
      <c r="I112" s="126"/>
      <c r="J112" s="126"/>
      <c r="K112" s="18"/>
      <c r="L112" s="18"/>
      <c r="M112" s="18"/>
      <c r="N112" s="80"/>
      <c r="O112" s="126"/>
      <c r="P112" s="126">
        <f>July!AF333</f>
        <v>246</v>
      </c>
      <c r="Q112" s="126">
        <f>July!AD333</f>
        <v>1</v>
      </c>
      <c r="R112" s="436"/>
      <c r="S112" s="436"/>
      <c r="T112" s="18"/>
      <c r="U112" s="18"/>
      <c r="V112" s="127">
        <f t="shared" si="5"/>
        <v>0</v>
      </c>
      <c r="W112" s="45"/>
      <c r="X112" s="67"/>
    </row>
    <row r="113" spans="1:24" ht="14.25" customHeight="1">
      <c r="A113" s="427"/>
      <c r="B113" s="137" t="s">
        <v>47</v>
      </c>
      <c r="C113" s="157" t="s">
        <v>100</v>
      </c>
      <c r="D113" s="48" t="s">
        <v>458</v>
      </c>
      <c r="E113" s="441"/>
      <c r="F113" s="118" t="s">
        <v>71</v>
      </c>
      <c r="G113" s="225"/>
      <c r="H113" s="126"/>
      <c r="I113" s="126"/>
      <c r="J113" s="126"/>
      <c r="K113" s="18"/>
      <c r="L113" s="18"/>
      <c r="M113" s="18">
        <v>6100</v>
      </c>
      <c r="N113" s="80">
        <v>1</v>
      </c>
      <c r="O113" s="126">
        <f>July!AE319</f>
        <v>2400</v>
      </c>
      <c r="P113" s="126">
        <f>July!AF319</f>
        <v>1754</v>
      </c>
      <c r="Q113" s="126">
        <f>July!AD319</f>
        <v>6</v>
      </c>
      <c r="R113" s="436"/>
      <c r="S113" s="436"/>
      <c r="T113" s="18"/>
      <c r="U113" s="18"/>
      <c r="V113" s="127">
        <f t="shared" si="5"/>
        <v>6624</v>
      </c>
      <c r="W113" s="45"/>
      <c r="X113" s="67"/>
    </row>
    <row r="114" spans="1:24" ht="14.25" customHeight="1">
      <c r="A114" s="427"/>
      <c r="B114" s="137" t="s">
        <v>47</v>
      </c>
      <c r="C114" s="157" t="s">
        <v>457</v>
      </c>
      <c r="D114" s="48" t="s">
        <v>458</v>
      </c>
      <c r="E114" s="441"/>
      <c r="F114" s="118" t="s">
        <v>459</v>
      </c>
      <c r="G114" s="225"/>
      <c r="H114" s="126"/>
      <c r="I114" s="126"/>
      <c r="J114" s="126"/>
      <c r="K114" s="18"/>
      <c r="L114" s="18"/>
      <c r="M114" s="18"/>
      <c r="N114" s="80"/>
      <c r="O114" s="126"/>
      <c r="P114" s="126"/>
      <c r="Q114" s="126">
        <f>July!AD320</f>
        <v>1</v>
      </c>
      <c r="R114" s="436"/>
      <c r="S114" s="436"/>
      <c r="T114" s="18"/>
      <c r="U114" s="18"/>
      <c r="V114" s="127">
        <f t="shared" si="5"/>
        <v>0</v>
      </c>
      <c r="W114" s="45"/>
      <c r="X114" s="67"/>
    </row>
    <row r="115" spans="1:24" ht="15" customHeight="1">
      <c r="A115" s="427"/>
      <c r="B115" s="122" t="s">
        <v>196</v>
      </c>
      <c r="C115" s="180" t="s">
        <v>63</v>
      </c>
      <c r="D115" s="48" t="s">
        <v>135</v>
      </c>
      <c r="E115" s="441"/>
      <c r="F115" s="118" t="s">
        <v>64</v>
      </c>
      <c r="G115" s="226"/>
      <c r="H115" s="126"/>
      <c r="I115" s="126"/>
      <c r="J115" s="2"/>
      <c r="K115" s="18"/>
      <c r="L115" s="18"/>
      <c r="M115" s="18"/>
      <c r="N115" s="18"/>
      <c r="O115" s="126"/>
      <c r="P115" s="126"/>
      <c r="Q115" s="126"/>
      <c r="R115" s="436"/>
      <c r="S115" s="436"/>
      <c r="T115" s="18"/>
      <c r="U115" s="18"/>
      <c r="V115" s="127">
        <f t="shared" si="5"/>
        <v>54487</v>
      </c>
      <c r="W115" s="45"/>
      <c r="X115" s="67"/>
    </row>
    <row r="116" spans="1:24" ht="15" customHeight="1">
      <c r="A116" s="427"/>
      <c r="B116" s="122" t="s">
        <v>253</v>
      </c>
      <c r="C116" s="180" t="s">
        <v>365</v>
      </c>
      <c r="D116" s="48" t="s">
        <v>246</v>
      </c>
      <c r="E116" s="441"/>
      <c r="F116" s="118" t="s">
        <v>247</v>
      </c>
      <c r="G116" s="226"/>
      <c r="H116" s="126"/>
      <c r="I116" s="126"/>
      <c r="J116" s="2"/>
      <c r="K116" s="18"/>
      <c r="L116" s="18"/>
      <c r="M116" s="18"/>
      <c r="N116" s="18"/>
      <c r="O116" s="126"/>
      <c r="P116" s="126"/>
      <c r="Q116" s="126">
        <f>July!AD321</f>
        <v>3</v>
      </c>
      <c r="R116" s="436"/>
      <c r="S116" s="436"/>
      <c r="T116" s="18"/>
      <c r="U116" s="18"/>
      <c r="V116" s="127">
        <f t="shared" si="5"/>
        <v>12501</v>
      </c>
      <c r="W116" s="45"/>
      <c r="X116" s="67"/>
    </row>
    <row r="117" spans="1:24" ht="15" customHeight="1">
      <c r="A117" s="427"/>
      <c r="B117" s="122" t="s">
        <v>101</v>
      </c>
      <c r="C117" s="180" t="s">
        <v>327</v>
      </c>
      <c r="D117" s="48" t="s">
        <v>102</v>
      </c>
      <c r="E117" s="441"/>
      <c r="F117" s="118" t="s">
        <v>64</v>
      </c>
      <c r="G117" s="119"/>
      <c r="H117" s="126"/>
      <c r="I117" s="126"/>
      <c r="J117" s="2"/>
      <c r="K117" s="18"/>
      <c r="L117" s="18"/>
      <c r="M117" s="18">
        <v>21000</v>
      </c>
      <c r="N117" s="18">
        <v>3</v>
      </c>
      <c r="O117" s="126"/>
      <c r="P117" s="126">
        <f>July!AF328</f>
        <v>1521</v>
      </c>
      <c r="Q117" s="126">
        <f>July!AD328</f>
        <v>4</v>
      </c>
      <c r="R117" s="436"/>
      <c r="S117" s="436"/>
      <c r="T117" s="18"/>
      <c r="U117" s="18"/>
      <c r="V117" s="18">
        <f t="shared" si="5"/>
        <v>1093</v>
      </c>
      <c r="W117" s="45"/>
      <c r="X117" s="67"/>
    </row>
    <row r="118" spans="1:24" ht="15" customHeight="1">
      <c r="A118" s="427"/>
      <c r="B118" s="122" t="s">
        <v>366</v>
      </c>
      <c r="C118" s="180" t="s">
        <v>367</v>
      </c>
      <c r="D118" s="48" t="s">
        <v>132</v>
      </c>
      <c r="E118" s="441"/>
      <c r="F118" s="118" t="s">
        <v>64</v>
      </c>
      <c r="G118" s="119"/>
      <c r="H118" s="126"/>
      <c r="I118" s="126"/>
      <c r="J118" s="2"/>
      <c r="K118" s="18">
        <v>5000</v>
      </c>
      <c r="L118" s="18">
        <v>1</v>
      </c>
      <c r="M118" s="18">
        <v>5000</v>
      </c>
      <c r="N118" s="18">
        <v>1</v>
      </c>
      <c r="O118" s="126">
        <f>July!AE329</f>
        <v>2849</v>
      </c>
      <c r="P118" s="126">
        <f>July!AF329</f>
        <v>673</v>
      </c>
      <c r="Q118" s="126">
        <f>July!AD329</f>
        <v>2</v>
      </c>
      <c r="R118" s="436"/>
      <c r="S118" s="436"/>
      <c r="T118" s="18"/>
      <c r="U118" s="18"/>
      <c r="V118" s="18">
        <f t="shared" si="5"/>
        <v>2849</v>
      </c>
      <c r="W118" s="45"/>
      <c r="X118" s="67"/>
    </row>
    <row r="119" spans="1:24" ht="15" customHeight="1">
      <c r="A119" s="427"/>
      <c r="B119" s="122" t="s">
        <v>363</v>
      </c>
      <c r="C119" s="180" t="s">
        <v>325</v>
      </c>
      <c r="D119" s="48" t="s">
        <v>328</v>
      </c>
      <c r="E119" s="441"/>
      <c r="F119" s="118" t="s">
        <v>48</v>
      </c>
      <c r="G119" s="226"/>
      <c r="H119" s="126"/>
      <c r="I119" s="126"/>
      <c r="J119" s="2"/>
      <c r="K119" s="18"/>
      <c r="L119" s="18"/>
      <c r="M119" s="18"/>
      <c r="N119" s="18"/>
      <c r="O119" s="126"/>
      <c r="P119" s="126"/>
      <c r="Q119" s="126"/>
      <c r="R119" s="436"/>
      <c r="S119" s="436"/>
      <c r="T119" s="18"/>
      <c r="U119" s="18"/>
      <c r="V119" s="127">
        <f t="shared" si="5"/>
        <v>16454</v>
      </c>
      <c r="W119" s="45"/>
      <c r="X119" s="67"/>
    </row>
    <row r="120" spans="1:24" ht="15" customHeight="1">
      <c r="A120" s="427"/>
      <c r="B120" s="122" t="s">
        <v>107</v>
      </c>
      <c r="C120" s="180" t="s">
        <v>386</v>
      </c>
      <c r="D120" s="48" t="s">
        <v>108</v>
      </c>
      <c r="E120" s="441"/>
      <c r="F120" s="115" t="s">
        <v>48</v>
      </c>
      <c r="G120" s="113"/>
      <c r="H120" s="125"/>
      <c r="I120" s="125"/>
      <c r="J120" s="250"/>
      <c r="K120" s="127"/>
      <c r="L120" s="127"/>
      <c r="M120" s="127">
        <v>13000</v>
      </c>
      <c r="N120" s="127">
        <v>2</v>
      </c>
      <c r="O120" s="125"/>
      <c r="P120" s="125"/>
      <c r="Q120" s="125">
        <f>July!AD330</f>
        <v>2</v>
      </c>
      <c r="R120" s="436"/>
      <c r="S120" s="436"/>
      <c r="T120" s="18"/>
      <c r="U120" s="18"/>
      <c r="V120" s="18">
        <f t="shared" si="5"/>
        <v>11053</v>
      </c>
      <c r="W120" s="85"/>
      <c r="X120" s="67"/>
    </row>
    <row r="121" spans="1:24" s="4" customFormat="1" ht="15" customHeight="1">
      <c r="A121" s="427"/>
      <c r="B121" s="268" t="s">
        <v>375</v>
      </c>
      <c r="C121" s="277" t="s">
        <v>376</v>
      </c>
      <c r="D121" s="43" t="s">
        <v>248</v>
      </c>
      <c r="E121" s="441"/>
      <c r="F121" s="43" t="s">
        <v>64</v>
      </c>
      <c r="G121" s="268"/>
      <c r="H121" s="331"/>
      <c r="I121" s="331"/>
      <c r="J121" s="341"/>
      <c r="K121" s="216"/>
      <c r="L121" s="216"/>
      <c r="M121" s="216"/>
      <c r="N121" s="216"/>
      <c r="O121" s="331"/>
      <c r="P121" s="331"/>
      <c r="Q121" s="331"/>
      <c r="R121" s="436"/>
      <c r="S121" s="436"/>
      <c r="T121" s="216"/>
      <c r="U121" s="216"/>
      <c r="V121" s="216">
        <f t="shared" si="5"/>
        <v>75911</v>
      </c>
      <c r="W121" s="260"/>
      <c r="X121" s="67"/>
    </row>
    <row r="122" spans="1:24" s="4" customFormat="1" ht="15" customHeight="1">
      <c r="A122" s="427"/>
      <c r="B122" s="137" t="s">
        <v>421</v>
      </c>
      <c r="C122" s="157" t="s">
        <v>420</v>
      </c>
      <c r="D122" s="48" t="s">
        <v>248</v>
      </c>
      <c r="E122" s="441"/>
      <c r="F122" s="48" t="s">
        <v>64</v>
      </c>
      <c r="G122" s="122"/>
      <c r="H122" s="34"/>
      <c r="I122" s="34"/>
      <c r="J122" s="6"/>
      <c r="K122" s="211"/>
      <c r="L122" s="211"/>
      <c r="M122" s="211">
        <v>46200</v>
      </c>
      <c r="N122" s="211">
        <v>11</v>
      </c>
      <c r="O122" s="34"/>
      <c r="P122" s="34"/>
      <c r="Q122" s="34">
        <f>July!AD331</f>
        <v>20</v>
      </c>
      <c r="R122" s="436"/>
      <c r="S122" s="436"/>
      <c r="T122" s="211"/>
      <c r="U122" s="211"/>
      <c r="V122" s="211">
        <f t="shared" si="5"/>
        <v>57857</v>
      </c>
      <c r="W122" s="260"/>
      <c r="X122" s="67"/>
    </row>
    <row r="123" spans="1:24" s="4" customFormat="1" ht="15" customHeight="1">
      <c r="A123" s="427"/>
      <c r="B123" s="122" t="s">
        <v>289</v>
      </c>
      <c r="C123" s="157" t="s">
        <v>501</v>
      </c>
      <c r="D123" s="48" t="s">
        <v>432</v>
      </c>
      <c r="E123" s="441"/>
      <c r="F123" s="48" t="s">
        <v>502</v>
      </c>
      <c r="G123" s="122"/>
      <c r="H123" s="34"/>
      <c r="I123" s="34"/>
      <c r="J123" s="6"/>
      <c r="K123" s="211"/>
      <c r="L123" s="211"/>
      <c r="M123" s="211">
        <v>6000</v>
      </c>
      <c r="N123" s="211">
        <v>1</v>
      </c>
      <c r="O123" s="34"/>
      <c r="P123" s="34"/>
      <c r="Q123" s="34"/>
      <c r="R123" s="436"/>
      <c r="S123" s="436"/>
      <c r="T123" s="211"/>
      <c r="U123" s="211"/>
      <c r="V123" s="211">
        <f t="shared" si="5"/>
        <v>0</v>
      </c>
      <c r="W123" s="260"/>
      <c r="X123" s="67"/>
    </row>
    <row r="124" spans="1:24" s="4" customFormat="1" ht="15" customHeight="1">
      <c r="A124" s="427"/>
      <c r="B124" s="122" t="s">
        <v>289</v>
      </c>
      <c r="C124" s="180" t="s">
        <v>505</v>
      </c>
      <c r="D124" s="48" t="s">
        <v>432</v>
      </c>
      <c r="E124" s="441"/>
      <c r="F124" s="48" t="s">
        <v>435</v>
      </c>
      <c r="G124" s="122"/>
      <c r="H124" s="34"/>
      <c r="I124" s="34"/>
      <c r="J124" s="6"/>
      <c r="K124" s="211"/>
      <c r="L124" s="211"/>
      <c r="M124" s="211"/>
      <c r="N124" s="211"/>
      <c r="O124" s="34"/>
      <c r="P124" s="34"/>
      <c r="Q124" s="34">
        <f>July!AD326</f>
        <v>1</v>
      </c>
      <c r="R124" s="436"/>
      <c r="S124" s="436"/>
      <c r="T124" s="211"/>
      <c r="U124" s="211"/>
      <c r="V124" s="211">
        <f t="shared" si="5"/>
        <v>0</v>
      </c>
      <c r="W124" s="260"/>
      <c r="X124" s="67"/>
    </row>
    <row r="125" spans="1:24" s="4" customFormat="1" ht="15" customHeight="1">
      <c r="A125" s="427"/>
      <c r="B125" s="268" t="s">
        <v>453</v>
      </c>
      <c r="C125" s="180" t="s">
        <v>505</v>
      </c>
      <c r="D125" s="43" t="s">
        <v>432</v>
      </c>
      <c r="E125" s="441"/>
      <c r="F125" s="48" t="s">
        <v>57</v>
      </c>
      <c r="G125" s="122"/>
      <c r="H125" s="34"/>
      <c r="I125" s="34"/>
      <c r="J125" s="6"/>
      <c r="K125" s="211"/>
      <c r="L125" s="211"/>
      <c r="M125" s="211"/>
      <c r="N125" s="211"/>
      <c r="O125" s="34"/>
      <c r="P125" s="34"/>
      <c r="Q125" s="34">
        <f>July!AD327</f>
        <v>1</v>
      </c>
      <c r="R125" s="436"/>
      <c r="S125" s="436"/>
      <c r="T125" s="211"/>
      <c r="U125" s="211"/>
      <c r="V125" s="211">
        <f t="shared" si="5"/>
        <v>0</v>
      </c>
      <c r="W125" s="260"/>
      <c r="X125" s="67"/>
    </row>
    <row r="126" spans="1:24" s="4" customFormat="1" ht="15" customHeight="1">
      <c r="A126" s="427"/>
      <c r="B126" s="122" t="s">
        <v>454</v>
      </c>
      <c r="C126" s="180" t="s">
        <v>505</v>
      </c>
      <c r="D126" s="48" t="s">
        <v>432</v>
      </c>
      <c r="E126" s="441"/>
      <c r="F126" s="48" t="s">
        <v>57</v>
      </c>
      <c r="G126" s="122"/>
      <c r="H126" s="34"/>
      <c r="I126" s="34"/>
      <c r="J126" s="6"/>
      <c r="K126" s="211"/>
      <c r="L126" s="211"/>
      <c r="M126" s="211"/>
      <c r="N126" s="211"/>
      <c r="O126" s="34"/>
      <c r="P126" s="34"/>
      <c r="Q126" s="34"/>
      <c r="R126" s="436"/>
      <c r="S126" s="436"/>
      <c r="T126" s="211"/>
      <c r="U126" s="211"/>
      <c r="V126" s="211">
        <f t="shared" si="5"/>
        <v>895</v>
      </c>
      <c r="W126" s="260"/>
      <c r="X126" s="67"/>
    </row>
    <row r="127" spans="1:24" ht="15" customHeight="1">
      <c r="A127" s="427"/>
      <c r="B127" s="122" t="s">
        <v>103</v>
      </c>
      <c r="C127" s="157" t="s">
        <v>197</v>
      </c>
      <c r="D127" s="48" t="s">
        <v>104</v>
      </c>
      <c r="E127" s="441"/>
      <c r="F127" s="118" t="s">
        <v>105</v>
      </c>
      <c r="G127" s="119"/>
      <c r="H127" s="126"/>
      <c r="I127" s="126"/>
      <c r="J127" s="2"/>
      <c r="K127" s="18"/>
      <c r="L127" s="18"/>
      <c r="M127" s="18"/>
      <c r="N127" s="18"/>
      <c r="O127" s="126"/>
      <c r="P127" s="126"/>
      <c r="Q127" s="126">
        <f>July!AD334</f>
        <v>1</v>
      </c>
      <c r="R127" s="436"/>
      <c r="S127" s="436"/>
      <c r="T127" s="18"/>
      <c r="U127" s="18"/>
      <c r="V127" s="18"/>
      <c r="W127" s="45"/>
      <c r="X127" s="67"/>
    </row>
    <row r="128" spans="1:24" ht="15" customHeight="1" thickBot="1">
      <c r="A128" s="427"/>
      <c r="B128" s="137" t="s">
        <v>112</v>
      </c>
      <c r="C128" s="157" t="s">
        <v>197</v>
      </c>
      <c r="D128" s="48" t="s">
        <v>104</v>
      </c>
      <c r="E128" s="441"/>
      <c r="F128" s="118" t="s">
        <v>113</v>
      </c>
      <c r="G128" s="342"/>
      <c r="H128" s="262"/>
      <c r="I128" s="126"/>
      <c r="J128" s="2"/>
      <c r="K128" s="18"/>
      <c r="L128" s="18"/>
      <c r="M128" s="18"/>
      <c r="N128" s="18"/>
      <c r="O128" s="126"/>
      <c r="P128" s="126"/>
      <c r="Q128" s="126">
        <f>July!AD335</f>
        <v>1</v>
      </c>
      <c r="R128" s="436"/>
      <c r="S128" s="436"/>
      <c r="T128" s="18"/>
      <c r="U128" s="264"/>
      <c r="V128" s="18"/>
      <c r="W128" s="45"/>
      <c r="X128" s="67"/>
    </row>
    <row r="129" spans="1:25" ht="15" customHeight="1">
      <c r="A129" s="426">
        <v>46209</v>
      </c>
      <c r="B129" s="429" t="s">
        <v>44</v>
      </c>
      <c r="C129" s="432" t="s">
        <v>240</v>
      </c>
      <c r="D129" s="19" t="s">
        <v>37</v>
      </c>
      <c r="E129" s="19" t="s">
        <v>25</v>
      </c>
      <c r="F129" s="39" t="s">
        <v>40</v>
      </c>
      <c r="G129" s="41">
        <v>1649.43</v>
      </c>
      <c r="H129" s="32">
        <f>4016+576</f>
        <v>4592</v>
      </c>
      <c r="I129" s="32"/>
      <c r="J129" s="32"/>
      <c r="K129" s="20">
        <v>24000</v>
      </c>
      <c r="L129" s="20">
        <v>3</v>
      </c>
      <c r="M129" s="20">
        <v>24000</v>
      </c>
      <c r="N129" s="84">
        <v>3</v>
      </c>
      <c r="O129" s="32">
        <f>July!AK313</f>
        <v>41729</v>
      </c>
      <c r="P129" s="32">
        <f>July!AL313</f>
        <v>54199</v>
      </c>
      <c r="Q129" s="32">
        <f>July!AJ313</f>
        <v>143</v>
      </c>
      <c r="R129" s="435">
        <f>July!AK336</f>
        <v>50066</v>
      </c>
      <c r="S129" s="435">
        <f>July!AL336</f>
        <v>82331</v>
      </c>
      <c r="T129" s="20">
        <v>63131</v>
      </c>
      <c r="U129" s="20"/>
      <c r="V129" s="20">
        <f>O129-T129-U129+V98</f>
        <v>130735</v>
      </c>
      <c r="W129" s="77"/>
      <c r="X129" s="36"/>
    </row>
    <row r="130" spans="1:25" ht="15" customHeight="1">
      <c r="A130" s="427"/>
      <c r="B130" s="431"/>
      <c r="C130" s="434"/>
      <c r="D130" s="113" t="s">
        <v>307</v>
      </c>
      <c r="E130" s="113" t="s">
        <v>24</v>
      </c>
      <c r="F130" s="118" t="s">
        <v>40</v>
      </c>
      <c r="G130" s="170"/>
      <c r="H130" s="135"/>
      <c r="I130" s="125"/>
      <c r="J130" s="125"/>
      <c r="K130" s="127">
        <v>96000</v>
      </c>
      <c r="L130" s="127">
        <v>12</v>
      </c>
      <c r="M130" s="216">
        <v>119400</v>
      </c>
      <c r="N130" s="238">
        <v>15</v>
      </c>
      <c r="O130" s="126">
        <f>July!AK314</f>
        <v>1780</v>
      </c>
      <c r="P130" s="125">
        <f>July!AL314</f>
        <v>18524</v>
      </c>
      <c r="Q130" s="125">
        <f>July!AJ314</f>
        <v>50</v>
      </c>
      <c r="R130" s="436"/>
      <c r="S130" s="436"/>
      <c r="T130" s="127"/>
      <c r="U130" s="127"/>
      <c r="V130" s="127">
        <f>O130-T130-U130+V99</f>
        <v>43854</v>
      </c>
      <c r="W130" s="46"/>
      <c r="X130" s="67"/>
    </row>
    <row r="131" spans="1:25" ht="15" customHeight="1">
      <c r="A131" s="427"/>
      <c r="B131" s="442" t="s">
        <v>45</v>
      </c>
      <c r="C131" s="448" t="s">
        <v>59</v>
      </c>
      <c r="D131" s="118" t="s">
        <v>75</v>
      </c>
      <c r="E131" s="438" t="s">
        <v>25</v>
      </c>
      <c r="F131" s="131" t="s">
        <v>57</v>
      </c>
      <c r="G131" s="87"/>
      <c r="H131" s="152"/>
      <c r="I131" s="126"/>
      <c r="J131" s="2"/>
      <c r="K131" s="127">
        <v>10180</v>
      </c>
      <c r="L131" s="18">
        <v>2</v>
      </c>
      <c r="M131" s="18">
        <v>65000</v>
      </c>
      <c r="N131" s="80">
        <v>13</v>
      </c>
      <c r="O131" s="126">
        <f>July!AK316</f>
        <v>1200</v>
      </c>
      <c r="P131" s="126">
        <f>July!AL316</f>
        <v>3728</v>
      </c>
      <c r="Q131" s="2">
        <f>July!AJ316</f>
        <v>15</v>
      </c>
      <c r="R131" s="436"/>
      <c r="S131" s="436"/>
      <c r="T131" s="18"/>
      <c r="U131" s="18"/>
      <c r="V131" s="127">
        <f>O131-T131-U131+V100</f>
        <v>5225</v>
      </c>
      <c r="W131" s="46"/>
      <c r="Y131" s="13"/>
    </row>
    <row r="132" spans="1:25" ht="15" customHeight="1">
      <c r="A132" s="427"/>
      <c r="B132" s="439"/>
      <c r="C132" s="440"/>
      <c r="D132" s="118" t="s">
        <v>94</v>
      </c>
      <c r="E132" s="431"/>
      <c r="F132" s="131"/>
      <c r="G132" s="87"/>
      <c r="H132" s="152">
        <f>486+1296</f>
        <v>1782</v>
      </c>
      <c r="I132" s="126"/>
      <c r="J132" s="2"/>
      <c r="K132" s="127"/>
      <c r="L132" s="18"/>
      <c r="M132" s="18"/>
      <c r="N132" s="80"/>
      <c r="O132" s="126"/>
      <c r="P132" s="126"/>
      <c r="Q132" s="2"/>
      <c r="R132" s="436"/>
      <c r="S132" s="436"/>
      <c r="T132" s="18"/>
      <c r="U132" s="18"/>
      <c r="V132" s="127"/>
      <c r="W132" s="46"/>
      <c r="Y132" s="13"/>
    </row>
    <row r="133" spans="1:25">
      <c r="A133" s="427"/>
      <c r="B133" s="439"/>
      <c r="C133" s="440"/>
      <c r="D133" s="118" t="s">
        <v>72</v>
      </c>
      <c r="E133" s="155" t="s">
        <v>24</v>
      </c>
      <c r="F133" s="131" t="s">
        <v>57</v>
      </c>
      <c r="G133" s="224"/>
      <c r="H133" s="152"/>
      <c r="I133" s="126"/>
      <c r="J133" s="126"/>
      <c r="K133" s="127"/>
      <c r="L133" s="18"/>
      <c r="M133" s="18">
        <v>49600</v>
      </c>
      <c r="N133" s="80">
        <v>10</v>
      </c>
      <c r="O133" s="126"/>
      <c r="P133" s="126">
        <f>July!AL317</f>
        <v>374</v>
      </c>
      <c r="Q133" s="126">
        <f>July!AJ317</f>
        <v>8</v>
      </c>
      <c r="R133" s="436"/>
      <c r="S133" s="436"/>
      <c r="T133" s="18"/>
      <c r="U133" s="18"/>
      <c r="V133" s="127">
        <f t="shared" ref="V133:V158" si="6">O133-T133-U133+V101</f>
        <v>23089</v>
      </c>
      <c r="W133" s="46"/>
      <c r="Y133" s="13"/>
    </row>
    <row r="134" spans="1:25" ht="14.25" customHeight="1">
      <c r="A134" s="427"/>
      <c r="B134" s="439"/>
      <c r="C134" s="440"/>
      <c r="D134" s="115" t="s">
        <v>79</v>
      </c>
      <c r="E134" s="118" t="s">
        <v>65</v>
      </c>
      <c r="F134" s="131" t="s">
        <v>57</v>
      </c>
      <c r="G134" s="224"/>
      <c r="H134" s="126"/>
      <c r="I134" s="126"/>
      <c r="J134" s="126"/>
      <c r="K134" s="18"/>
      <c r="L134" s="18"/>
      <c r="M134" s="18"/>
      <c r="N134" s="80"/>
      <c r="O134" s="126"/>
      <c r="P134" s="126"/>
      <c r="Q134" s="126"/>
      <c r="R134" s="436"/>
      <c r="S134" s="436"/>
      <c r="T134" s="18"/>
      <c r="U134" s="18"/>
      <c r="V134" s="127">
        <f t="shared" si="6"/>
        <v>10211</v>
      </c>
      <c r="W134" s="45"/>
      <c r="X134" s="36"/>
    </row>
    <row r="135" spans="1:25" ht="14.25" customHeight="1">
      <c r="A135" s="427"/>
      <c r="B135" s="443"/>
      <c r="C135" s="271" t="s">
        <v>299</v>
      </c>
      <c r="D135" s="115" t="s">
        <v>75</v>
      </c>
      <c r="E135" s="119" t="s">
        <v>25</v>
      </c>
      <c r="F135" s="131" t="s">
        <v>298</v>
      </c>
      <c r="G135" s="229"/>
      <c r="H135" s="37"/>
      <c r="I135" s="126"/>
      <c r="J135" s="126"/>
      <c r="K135" s="18"/>
      <c r="L135" s="18"/>
      <c r="M135" s="18">
        <v>10000</v>
      </c>
      <c r="N135" s="80">
        <v>2</v>
      </c>
      <c r="O135" s="126"/>
      <c r="P135" s="126"/>
      <c r="Q135" s="126">
        <f>July!AJ318</f>
        <v>4</v>
      </c>
      <c r="R135" s="436"/>
      <c r="S135" s="436"/>
      <c r="T135" s="18"/>
      <c r="U135" s="18"/>
      <c r="V135" s="127">
        <f t="shared" si="6"/>
        <v>14595</v>
      </c>
      <c r="W135" s="45"/>
      <c r="X135" s="67"/>
    </row>
    <row r="136" spans="1:25" ht="14.25" customHeight="1">
      <c r="A136" s="427"/>
      <c r="B136" s="439" t="s">
        <v>53</v>
      </c>
      <c r="C136" s="445" t="s">
        <v>60</v>
      </c>
      <c r="D136" s="43" t="s">
        <v>320</v>
      </c>
      <c r="E136" s="441" t="s">
        <v>66</v>
      </c>
      <c r="F136" s="118" t="s">
        <v>54</v>
      </c>
      <c r="G136" s="224"/>
      <c r="H136" s="37"/>
      <c r="I136" s="126"/>
      <c r="J136" s="126"/>
      <c r="K136" s="18"/>
      <c r="L136" s="18"/>
      <c r="M136" s="18"/>
      <c r="N136" s="80"/>
      <c r="O136" s="126">
        <f>July!AK315</f>
        <v>916</v>
      </c>
      <c r="P136" s="126"/>
      <c r="Q136" s="126">
        <f>July!AJ315</f>
        <v>2</v>
      </c>
      <c r="R136" s="436"/>
      <c r="S136" s="436"/>
      <c r="T136" s="18"/>
      <c r="U136" s="18"/>
      <c r="V136" s="127">
        <f t="shared" si="6"/>
        <v>49055</v>
      </c>
      <c r="W136" s="45"/>
      <c r="X136" s="67"/>
    </row>
    <row r="137" spans="1:25" ht="14.25" customHeight="1">
      <c r="A137" s="427"/>
      <c r="B137" s="439"/>
      <c r="C137" s="445"/>
      <c r="D137" s="43" t="s">
        <v>387</v>
      </c>
      <c r="E137" s="425"/>
      <c r="F137" s="118" t="s">
        <v>54</v>
      </c>
      <c r="G137" s="229"/>
      <c r="H137" s="182"/>
      <c r="I137" s="125"/>
      <c r="J137" s="125"/>
      <c r="K137" s="127"/>
      <c r="L137" s="127"/>
      <c r="M137" s="127">
        <v>64800</v>
      </c>
      <c r="N137" s="171">
        <v>11</v>
      </c>
      <c r="O137" s="125"/>
      <c r="P137" s="125"/>
      <c r="Q137" s="125"/>
      <c r="R137" s="436"/>
      <c r="S137" s="436"/>
      <c r="T137" s="18"/>
      <c r="U137" s="18"/>
      <c r="V137" s="127">
        <f t="shared" si="6"/>
        <v>666</v>
      </c>
      <c r="W137" s="45"/>
      <c r="X137" s="67"/>
    </row>
    <row r="138" spans="1:25" ht="14.25" customHeight="1">
      <c r="A138" s="427"/>
      <c r="B138" s="443"/>
      <c r="C138" s="446"/>
      <c r="D138" s="43" t="s">
        <v>199</v>
      </c>
      <c r="E138" s="114" t="s">
        <v>25</v>
      </c>
      <c r="F138" s="118" t="s">
        <v>54</v>
      </c>
      <c r="G138" s="224"/>
      <c r="H138" s="135"/>
      <c r="I138" s="158"/>
      <c r="J138" s="158"/>
      <c r="K138" s="128"/>
      <c r="L138" s="128"/>
      <c r="M138" s="128"/>
      <c r="N138" s="164"/>
      <c r="O138" s="158"/>
      <c r="P138" s="158"/>
      <c r="Q138" s="158"/>
      <c r="R138" s="436"/>
      <c r="S138" s="436"/>
      <c r="T138" s="18"/>
      <c r="U138" s="18"/>
      <c r="V138" s="127">
        <f t="shared" si="6"/>
        <v>68</v>
      </c>
      <c r="W138" s="45"/>
      <c r="X138" s="67"/>
    </row>
    <row r="139" spans="1:25" ht="15.75" customHeight="1">
      <c r="A139" s="427"/>
      <c r="B139" s="137" t="s">
        <v>55</v>
      </c>
      <c r="C139" s="157" t="s">
        <v>133</v>
      </c>
      <c r="D139" s="48" t="s">
        <v>56</v>
      </c>
      <c r="E139" s="424" t="s">
        <v>25</v>
      </c>
      <c r="F139" s="118" t="s">
        <v>67</v>
      </c>
      <c r="G139" s="226"/>
      <c r="H139" s="126"/>
      <c r="I139" s="126"/>
      <c r="J139" s="2"/>
      <c r="K139" s="18"/>
      <c r="L139" s="18"/>
      <c r="M139" s="18"/>
      <c r="N139" s="18"/>
      <c r="O139" s="126"/>
      <c r="P139" s="126"/>
      <c r="Q139" s="126"/>
      <c r="R139" s="436"/>
      <c r="S139" s="436"/>
      <c r="T139" s="18"/>
      <c r="U139" s="18"/>
      <c r="V139" s="127">
        <f t="shared" si="6"/>
        <v>7022</v>
      </c>
      <c r="W139" s="45"/>
      <c r="X139" s="67"/>
    </row>
    <row r="140" spans="1:25" ht="15" customHeight="1">
      <c r="A140" s="427"/>
      <c r="B140" s="122" t="s">
        <v>122</v>
      </c>
      <c r="C140" s="180" t="s">
        <v>123</v>
      </c>
      <c r="D140" s="48" t="s">
        <v>56</v>
      </c>
      <c r="E140" s="441"/>
      <c r="F140" s="155" t="s">
        <v>64</v>
      </c>
      <c r="G140" s="119"/>
      <c r="H140" s="126"/>
      <c r="I140" s="126"/>
      <c r="J140" s="2"/>
      <c r="K140" s="18"/>
      <c r="L140" s="18"/>
      <c r="M140" s="18">
        <v>6400</v>
      </c>
      <c r="N140" s="18">
        <v>2</v>
      </c>
      <c r="O140" s="126"/>
      <c r="P140" s="126"/>
      <c r="Q140" s="126"/>
      <c r="R140" s="436"/>
      <c r="S140" s="436"/>
      <c r="T140" s="18"/>
      <c r="U140" s="18"/>
      <c r="V140" s="127">
        <f t="shared" si="6"/>
        <v>18121</v>
      </c>
      <c r="W140" s="45"/>
      <c r="X140" s="67"/>
    </row>
    <row r="141" spans="1:25" ht="14.25" customHeight="1">
      <c r="A141" s="427"/>
      <c r="B141" s="137" t="s">
        <v>58</v>
      </c>
      <c r="C141" s="157" t="s">
        <v>243</v>
      </c>
      <c r="D141" s="48" t="s">
        <v>56</v>
      </c>
      <c r="E141" s="441"/>
      <c r="F141" s="118" t="s">
        <v>64</v>
      </c>
      <c r="G141" s="225"/>
      <c r="H141" s="126"/>
      <c r="I141" s="126"/>
      <c r="J141" s="126"/>
      <c r="K141" s="18"/>
      <c r="L141" s="18"/>
      <c r="M141" s="18"/>
      <c r="N141" s="80"/>
      <c r="O141" s="126"/>
      <c r="P141" s="126"/>
      <c r="Q141" s="126"/>
      <c r="R141" s="436"/>
      <c r="S141" s="436"/>
      <c r="T141" s="18"/>
      <c r="U141" s="18"/>
      <c r="V141" s="127">
        <f t="shared" si="6"/>
        <v>8144</v>
      </c>
      <c r="W141" s="45"/>
      <c r="X141" s="67"/>
    </row>
    <row r="142" spans="1:25" ht="14.25" customHeight="1">
      <c r="A142" s="427"/>
      <c r="B142" s="122" t="s">
        <v>61</v>
      </c>
      <c r="C142" s="180" t="s">
        <v>137</v>
      </c>
      <c r="D142" s="48" t="s">
        <v>56</v>
      </c>
      <c r="E142" s="441"/>
      <c r="F142" s="118" t="s">
        <v>67</v>
      </c>
      <c r="G142" s="225"/>
      <c r="H142" s="126"/>
      <c r="I142" s="126"/>
      <c r="J142" s="126"/>
      <c r="K142" s="18"/>
      <c r="L142" s="18"/>
      <c r="M142" s="18"/>
      <c r="N142" s="80"/>
      <c r="O142" s="126"/>
      <c r="P142" s="126"/>
      <c r="Q142" s="126"/>
      <c r="R142" s="436"/>
      <c r="S142" s="436"/>
      <c r="T142" s="18"/>
      <c r="U142" s="18"/>
      <c r="V142" s="127">
        <f t="shared" si="6"/>
        <v>5844</v>
      </c>
      <c r="W142" s="45"/>
      <c r="X142" s="67"/>
    </row>
    <row r="143" spans="1:25" ht="14.25" customHeight="1">
      <c r="A143" s="427"/>
      <c r="B143" s="122" t="s">
        <v>125</v>
      </c>
      <c r="C143" s="180" t="s">
        <v>88</v>
      </c>
      <c r="D143" s="48" t="s">
        <v>124</v>
      </c>
      <c r="E143" s="441"/>
      <c r="F143" s="118" t="s">
        <v>64</v>
      </c>
      <c r="G143" s="225"/>
      <c r="H143" s="126"/>
      <c r="I143" s="126"/>
      <c r="J143" s="126"/>
      <c r="K143" s="18"/>
      <c r="L143" s="18"/>
      <c r="M143" s="18">
        <v>51200</v>
      </c>
      <c r="N143" s="80">
        <v>7</v>
      </c>
      <c r="O143" s="126"/>
      <c r="P143" s="126"/>
      <c r="Q143" s="126"/>
      <c r="R143" s="436"/>
      <c r="S143" s="436"/>
      <c r="T143" s="18"/>
      <c r="U143" s="18"/>
      <c r="V143" s="127">
        <f t="shared" si="6"/>
        <v>23615</v>
      </c>
      <c r="W143" s="45"/>
      <c r="X143" s="67"/>
    </row>
    <row r="144" spans="1:25" ht="14.25" customHeight="1">
      <c r="A144" s="427"/>
      <c r="B144" s="137" t="s">
        <v>463</v>
      </c>
      <c r="C144" s="157" t="s">
        <v>464</v>
      </c>
      <c r="D144" s="48" t="s">
        <v>246</v>
      </c>
      <c r="E144" s="441"/>
      <c r="F144" s="118" t="s">
        <v>64</v>
      </c>
      <c r="G144" s="225"/>
      <c r="H144" s="126"/>
      <c r="I144" s="126"/>
      <c r="J144" s="126"/>
      <c r="K144" s="18"/>
      <c r="L144" s="18"/>
      <c r="M144" s="18"/>
      <c r="N144" s="80"/>
      <c r="O144" s="126"/>
      <c r="P144" s="126">
        <f>July!AL333</f>
        <v>255</v>
      </c>
      <c r="Q144" s="126">
        <f>July!AJ333</f>
        <v>1</v>
      </c>
      <c r="R144" s="436"/>
      <c r="S144" s="436"/>
      <c r="T144" s="18"/>
      <c r="U144" s="18"/>
      <c r="V144" s="127">
        <f t="shared" si="6"/>
        <v>0</v>
      </c>
      <c r="W144" s="45"/>
      <c r="X144" s="67"/>
    </row>
    <row r="145" spans="1:24" ht="14.25" customHeight="1">
      <c r="A145" s="427"/>
      <c r="B145" s="137" t="s">
        <v>47</v>
      </c>
      <c r="C145" s="157" t="s">
        <v>100</v>
      </c>
      <c r="D145" s="48" t="s">
        <v>458</v>
      </c>
      <c r="E145" s="441"/>
      <c r="F145" s="118" t="s">
        <v>71</v>
      </c>
      <c r="G145" s="225"/>
      <c r="H145" s="126"/>
      <c r="I145" s="126"/>
      <c r="J145" s="126"/>
      <c r="K145" s="18"/>
      <c r="L145" s="18"/>
      <c r="M145" s="18">
        <v>6100</v>
      </c>
      <c r="N145" s="80">
        <v>1</v>
      </c>
      <c r="O145" s="126"/>
      <c r="P145" s="126">
        <f>July!AL319</f>
        <v>1828</v>
      </c>
      <c r="Q145" s="126">
        <f>July!AJ319</f>
        <v>6</v>
      </c>
      <c r="R145" s="436"/>
      <c r="S145" s="436"/>
      <c r="T145" s="18"/>
      <c r="U145" s="18"/>
      <c r="V145" s="127">
        <f t="shared" si="6"/>
        <v>6624</v>
      </c>
      <c r="W145" s="45"/>
      <c r="X145" s="67"/>
    </row>
    <row r="146" spans="1:24" ht="14.25" customHeight="1">
      <c r="A146" s="427"/>
      <c r="B146" s="137" t="s">
        <v>47</v>
      </c>
      <c r="C146" s="157" t="s">
        <v>457</v>
      </c>
      <c r="D146" s="48" t="s">
        <v>458</v>
      </c>
      <c r="E146" s="441"/>
      <c r="F146" s="118" t="s">
        <v>459</v>
      </c>
      <c r="G146" s="225"/>
      <c r="H146" s="126"/>
      <c r="I146" s="126"/>
      <c r="J146" s="126"/>
      <c r="K146" s="18"/>
      <c r="L146" s="18"/>
      <c r="M146" s="18"/>
      <c r="N146" s="80"/>
      <c r="O146" s="126"/>
      <c r="P146" s="126"/>
      <c r="Q146" s="126">
        <f>July!AJ320</f>
        <v>1</v>
      </c>
      <c r="R146" s="436"/>
      <c r="S146" s="436"/>
      <c r="T146" s="18"/>
      <c r="U146" s="18"/>
      <c r="V146" s="127">
        <f t="shared" si="6"/>
        <v>0</v>
      </c>
      <c r="W146" s="45"/>
      <c r="X146" s="67"/>
    </row>
    <row r="147" spans="1:24" ht="15" customHeight="1">
      <c r="A147" s="427"/>
      <c r="B147" s="122" t="s">
        <v>196</v>
      </c>
      <c r="C147" s="180" t="s">
        <v>63</v>
      </c>
      <c r="D147" s="48" t="s">
        <v>135</v>
      </c>
      <c r="E147" s="441"/>
      <c r="F147" s="118" t="s">
        <v>64</v>
      </c>
      <c r="G147" s="226"/>
      <c r="H147" s="126"/>
      <c r="I147" s="126"/>
      <c r="J147" s="2"/>
      <c r="K147" s="18"/>
      <c r="L147" s="18"/>
      <c r="M147" s="18"/>
      <c r="N147" s="18"/>
      <c r="O147" s="126"/>
      <c r="P147" s="126"/>
      <c r="Q147" s="126"/>
      <c r="R147" s="436"/>
      <c r="S147" s="436"/>
      <c r="T147" s="18"/>
      <c r="U147" s="18"/>
      <c r="V147" s="127">
        <f t="shared" si="6"/>
        <v>54487</v>
      </c>
      <c r="W147" s="45"/>
      <c r="X147" s="67"/>
    </row>
    <row r="148" spans="1:24" ht="15" customHeight="1">
      <c r="A148" s="427"/>
      <c r="B148" s="122" t="s">
        <v>253</v>
      </c>
      <c r="C148" s="180" t="s">
        <v>365</v>
      </c>
      <c r="D148" s="48" t="s">
        <v>246</v>
      </c>
      <c r="E148" s="441"/>
      <c r="F148" s="118" t="s">
        <v>247</v>
      </c>
      <c r="G148" s="226"/>
      <c r="H148" s="126"/>
      <c r="I148" s="126"/>
      <c r="J148" s="2"/>
      <c r="K148" s="18"/>
      <c r="L148" s="18"/>
      <c r="M148" s="18"/>
      <c r="N148" s="18"/>
      <c r="O148" s="126"/>
      <c r="P148" s="126"/>
      <c r="Q148" s="126">
        <f>July!AJ321</f>
        <v>3</v>
      </c>
      <c r="R148" s="436"/>
      <c r="S148" s="436"/>
      <c r="T148" s="18"/>
      <c r="U148" s="18"/>
      <c r="V148" s="127">
        <f t="shared" si="6"/>
        <v>12501</v>
      </c>
      <c r="W148" s="45"/>
      <c r="X148" s="67"/>
    </row>
    <row r="149" spans="1:24" ht="15" customHeight="1">
      <c r="A149" s="427"/>
      <c r="B149" s="122" t="s">
        <v>101</v>
      </c>
      <c r="C149" s="180" t="s">
        <v>327</v>
      </c>
      <c r="D149" s="48" t="s">
        <v>102</v>
      </c>
      <c r="E149" s="441"/>
      <c r="F149" s="118" t="s">
        <v>64</v>
      </c>
      <c r="G149" s="119"/>
      <c r="H149" s="126"/>
      <c r="I149" s="126"/>
      <c r="J149" s="2"/>
      <c r="K149" s="18"/>
      <c r="L149" s="18"/>
      <c r="M149" s="18">
        <v>21000</v>
      </c>
      <c r="N149" s="18">
        <v>3</v>
      </c>
      <c r="O149" s="126">
        <f>July!AK328</f>
        <v>3641</v>
      </c>
      <c r="P149" s="126">
        <f>July!AL328</f>
        <v>1607</v>
      </c>
      <c r="Q149" s="126">
        <f>July!AJ328</f>
        <v>4</v>
      </c>
      <c r="R149" s="436"/>
      <c r="S149" s="436"/>
      <c r="T149" s="18"/>
      <c r="U149" s="18"/>
      <c r="V149" s="18">
        <f t="shared" si="6"/>
        <v>4734</v>
      </c>
      <c r="W149" s="45"/>
      <c r="X149" s="67"/>
    </row>
    <row r="150" spans="1:24" ht="15" customHeight="1">
      <c r="A150" s="427"/>
      <c r="B150" s="122" t="s">
        <v>366</v>
      </c>
      <c r="C150" s="180" t="s">
        <v>367</v>
      </c>
      <c r="D150" s="48" t="s">
        <v>132</v>
      </c>
      <c r="E150" s="441"/>
      <c r="F150" s="118" t="s">
        <v>64</v>
      </c>
      <c r="G150" s="119"/>
      <c r="H150" s="126"/>
      <c r="I150" s="126"/>
      <c r="J150" s="2"/>
      <c r="K150" s="18">
        <v>5000</v>
      </c>
      <c r="L150" s="18">
        <v>1</v>
      </c>
      <c r="M150" s="18"/>
      <c r="N150" s="18"/>
      <c r="O150" s="126"/>
      <c r="P150" s="126">
        <f>July!AL329</f>
        <v>827</v>
      </c>
      <c r="Q150" s="126">
        <f>July!AJ329</f>
        <v>2</v>
      </c>
      <c r="R150" s="436"/>
      <c r="S150" s="436"/>
      <c r="T150" s="18"/>
      <c r="U150" s="18"/>
      <c r="V150" s="18">
        <f t="shared" si="6"/>
        <v>2849</v>
      </c>
      <c r="W150" s="45"/>
      <c r="X150" s="67"/>
    </row>
    <row r="151" spans="1:24" ht="15" customHeight="1">
      <c r="A151" s="427"/>
      <c r="B151" s="122" t="s">
        <v>363</v>
      </c>
      <c r="C151" s="180" t="s">
        <v>325</v>
      </c>
      <c r="D151" s="48" t="s">
        <v>328</v>
      </c>
      <c r="E151" s="441"/>
      <c r="F151" s="118" t="s">
        <v>48</v>
      </c>
      <c r="G151" s="226"/>
      <c r="H151" s="126"/>
      <c r="I151" s="126"/>
      <c r="J151" s="2"/>
      <c r="K151" s="18"/>
      <c r="L151" s="18"/>
      <c r="M151" s="18"/>
      <c r="N151" s="18"/>
      <c r="O151" s="126"/>
      <c r="P151" s="126"/>
      <c r="Q151" s="126"/>
      <c r="R151" s="436"/>
      <c r="S151" s="436"/>
      <c r="T151" s="18"/>
      <c r="U151" s="18"/>
      <c r="V151" s="127">
        <f t="shared" si="6"/>
        <v>16454</v>
      </c>
      <c r="W151" s="45"/>
      <c r="X151" s="67"/>
    </row>
    <row r="152" spans="1:24" s="4" customFormat="1" ht="15" customHeight="1">
      <c r="A152" s="427"/>
      <c r="B152" s="122" t="s">
        <v>107</v>
      </c>
      <c r="C152" s="180" t="s">
        <v>386</v>
      </c>
      <c r="D152" s="48" t="s">
        <v>108</v>
      </c>
      <c r="E152" s="441"/>
      <c r="F152" s="43" t="s">
        <v>48</v>
      </c>
      <c r="G152" s="268"/>
      <c r="H152" s="331"/>
      <c r="I152" s="331"/>
      <c r="J152" s="341"/>
      <c r="K152" s="216"/>
      <c r="L152" s="216"/>
      <c r="M152" s="216">
        <v>13000</v>
      </c>
      <c r="N152" s="216">
        <v>2</v>
      </c>
      <c r="O152" s="331"/>
      <c r="P152" s="331">
        <f>July!AL330</f>
        <v>722</v>
      </c>
      <c r="Q152" s="331">
        <f>July!AJ330</f>
        <v>2</v>
      </c>
      <c r="R152" s="436"/>
      <c r="S152" s="436"/>
      <c r="T152" s="211"/>
      <c r="U152" s="211"/>
      <c r="V152" s="211">
        <f t="shared" si="6"/>
        <v>11053</v>
      </c>
      <c r="W152" s="360"/>
      <c r="X152" s="67"/>
    </row>
    <row r="153" spans="1:24" s="4" customFormat="1" ht="15" customHeight="1">
      <c r="A153" s="427"/>
      <c r="B153" s="268" t="s">
        <v>375</v>
      </c>
      <c r="C153" s="277" t="s">
        <v>376</v>
      </c>
      <c r="D153" s="43" t="s">
        <v>248</v>
      </c>
      <c r="E153" s="441"/>
      <c r="F153" s="43" t="s">
        <v>64</v>
      </c>
      <c r="G153" s="268"/>
      <c r="H153" s="331"/>
      <c r="I153" s="331"/>
      <c r="J153" s="341"/>
      <c r="K153" s="216"/>
      <c r="L153" s="216"/>
      <c r="M153" s="216"/>
      <c r="N153" s="216"/>
      <c r="O153" s="331"/>
      <c r="P153" s="331"/>
      <c r="Q153" s="331"/>
      <c r="R153" s="436"/>
      <c r="S153" s="436"/>
      <c r="T153" s="216"/>
      <c r="U153" s="216"/>
      <c r="V153" s="216">
        <f t="shared" si="6"/>
        <v>75911</v>
      </c>
      <c r="W153" s="260"/>
      <c r="X153" s="67"/>
    </row>
    <row r="154" spans="1:24" s="4" customFormat="1" ht="15" customHeight="1">
      <c r="A154" s="427"/>
      <c r="B154" s="137" t="s">
        <v>421</v>
      </c>
      <c r="C154" s="157" t="s">
        <v>420</v>
      </c>
      <c r="D154" s="48" t="s">
        <v>248</v>
      </c>
      <c r="E154" s="441"/>
      <c r="F154" s="48" t="s">
        <v>64</v>
      </c>
      <c r="G154" s="122"/>
      <c r="H154" s="34"/>
      <c r="I154" s="34"/>
      <c r="J154" s="6"/>
      <c r="K154" s="211"/>
      <c r="L154" s="211"/>
      <c r="M154" s="211">
        <v>46200</v>
      </c>
      <c r="N154" s="211">
        <v>11</v>
      </c>
      <c r="O154" s="34"/>
      <c r="P154" s="34"/>
      <c r="Q154" s="34">
        <f>July!AJ331</f>
        <v>20</v>
      </c>
      <c r="R154" s="436"/>
      <c r="S154" s="436"/>
      <c r="T154" s="211"/>
      <c r="U154" s="211"/>
      <c r="V154" s="211">
        <f t="shared" si="6"/>
        <v>57857</v>
      </c>
      <c r="W154" s="260"/>
      <c r="X154" s="67"/>
    </row>
    <row r="155" spans="1:24" s="4" customFormat="1" ht="15" customHeight="1">
      <c r="A155" s="427"/>
      <c r="B155" s="122" t="s">
        <v>289</v>
      </c>
      <c r="C155" s="157" t="s">
        <v>501</v>
      </c>
      <c r="D155" s="48" t="s">
        <v>432</v>
      </c>
      <c r="E155" s="441"/>
      <c r="F155" s="48" t="s">
        <v>502</v>
      </c>
      <c r="G155" s="122"/>
      <c r="H155" s="34"/>
      <c r="I155" s="34"/>
      <c r="J155" s="6"/>
      <c r="K155" s="211"/>
      <c r="L155" s="211"/>
      <c r="M155" s="211">
        <v>6000</v>
      </c>
      <c r="N155" s="211">
        <v>1</v>
      </c>
      <c r="O155" s="34"/>
      <c r="P155" s="34"/>
      <c r="Q155" s="34"/>
      <c r="R155" s="436"/>
      <c r="S155" s="436"/>
      <c r="T155" s="211"/>
      <c r="U155" s="211"/>
      <c r="V155" s="211">
        <f t="shared" si="6"/>
        <v>0</v>
      </c>
      <c r="W155" s="260"/>
      <c r="X155" s="67"/>
    </row>
    <row r="156" spans="1:24" s="4" customFormat="1" ht="15" customHeight="1">
      <c r="A156" s="427"/>
      <c r="B156" s="122" t="s">
        <v>289</v>
      </c>
      <c r="C156" s="180" t="s">
        <v>505</v>
      </c>
      <c r="D156" s="48" t="s">
        <v>432</v>
      </c>
      <c r="E156" s="441"/>
      <c r="F156" s="48" t="s">
        <v>435</v>
      </c>
      <c r="G156" s="122"/>
      <c r="H156" s="34"/>
      <c r="I156" s="34"/>
      <c r="J156" s="6"/>
      <c r="K156" s="211"/>
      <c r="L156" s="211"/>
      <c r="M156" s="211"/>
      <c r="N156" s="211"/>
      <c r="O156" s="34">
        <f>July!AK326</f>
        <v>800</v>
      </c>
      <c r="P156" s="34">
        <f>July!AL326</f>
        <v>267</v>
      </c>
      <c r="Q156" s="34">
        <f>July!AJ326</f>
        <v>1</v>
      </c>
      <c r="R156" s="436"/>
      <c r="S156" s="436"/>
      <c r="T156" s="211">
        <v>800</v>
      </c>
      <c r="U156" s="211"/>
      <c r="V156" s="211">
        <f t="shared" si="6"/>
        <v>0</v>
      </c>
      <c r="W156" s="260"/>
      <c r="X156" s="67"/>
    </row>
    <row r="157" spans="1:24" s="4" customFormat="1" ht="15" customHeight="1">
      <c r="A157" s="427"/>
      <c r="B157" s="268" t="s">
        <v>453</v>
      </c>
      <c r="C157" s="180" t="s">
        <v>505</v>
      </c>
      <c r="D157" s="43" t="s">
        <v>432</v>
      </c>
      <c r="E157" s="441"/>
      <c r="F157" s="48" t="s">
        <v>57</v>
      </c>
      <c r="G157" s="122"/>
      <c r="H157" s="34"/>
      <c r="I157" s="34"/>
      <c r="J157" s="6"/>
      <c r="K157" s="211"/>
      <c r="L157" s="211"/>
      <c r="M157" s="211"/>
      <c r="N157" s="211"/>
      <c r="O157" s="34"/>
      <c r="P157" s="34"/>
      <c r="Q157" s="34">
        <f>July!AJ327</f>
        <v>1</v>
      </c>
      <c r="R157" s="436"/>
      <c r="S157" s="436"/>
      <c r="T157" s="211"/>
      <c r="U157" s="211"/>
      <c r="V157" s="211">
        <f t="shared" si="6"/>
        <v>0</v>
      </c>
      <c r="W157" s="260"/>
      <c r="X157" s="67"/>
    </row>
    <row r="158" spans="1:24" s="4" customFormat="1" ht="15" customHeight="1">
      <c r="A158" s="427"/>
      <c r="B158" s="122" t="s">
        <v>454</v>
      </c>
      <c r="C158" s="180" t="s">
        <v>505</v>
      </c>
      <c r="D158" s="48" t="s">
        <v>432</v>
      </c>
      <c r="E158" s="441"/>
      <c r="F158" s="48" t="s">
        <v>57</v>
      </c>
      <c r="G158" s="122"/>
      <c r="H158" s="34"/>
      <c r="I158" s="34"/>
      <c r="J158" s="6"/>
      <c r="K158" s="211"/>
      <c r="L158" s="211"/>
      <c r="M158" s="211"/>
      <c r="N158" s="211"/>
      <c r="O158" s="34"/>
      <c r="P158" s="34"/>
      <c r="Q158" s="34"/>
      <c r="R158" s="436"/>
      <c r="S158" s="436"/>
      <c r="T158" s="211">
        <v>895</v>
      </c>
      <c r="U158" s="211"/>
      <c r="V158" s="211">
        <f t="shared" si="6"/>
        <v>0</v>
      </c>
      <c r="W158" s="260"/>
      <c r="X158" s="67"/>
    </row>
    <row r="159" spans="1:24" ht="15" customHeight="1">
      <c r="A159" s="427"/>
      <c r="B159" s="122" t="s">
        <v>103</v>
      </c>
      <c r="C159" s="157" t="s">
        <v>197</v>
      </c>
      <c r="D159" s="48" t="s">
        <v>104</v>
      </c>
      <c r="E159" s="441"/>
      <c r="F159" s="118" t="s">
        <v>105</v>
      </c>
      <c r="G159" s="119"/>
      <c r="H159" s="126"/>
      <c r="I159" s="126"/>
      <c r="J159" s="2"/>
      <c r="K159" s="18"/>
      <c r="L159" s="18"/>
      <c r="M159" s="18"/>
      <c r="N159" s="18"/>
      <c r="O159" s="126"/>
      <c r="P159" s="126"/>
      <c r="Q159" s="126">
        <f>July!AJ334</f>
        <v>1</v>
      </c>
      <c r="R159" s="436"/>
      <c r="S159" s="436"/>
      <c r="T159" s="18"/>
      <c r="U159" s="18"/>
      <c r="V159" s="18"/>
      <c r="W159" s="45"/>
      <c r="X159" s="67"/>
    </row>
    <row r="160" spans="1:24" ht="15" customHeight="1" thickBot="1">
      <c r="A160" s="427"/>
      <c r="B160" s="137" t="s">
        <v>112</v>
      </c>
      <c r="C160" s="157" t="s">
        <v>197</v>
      </c>
      <c r="D160" s="48" t="s">
        <v>104</v>
      </c>
      <c r="E160" s="441"/>
      <c r="F160" s="118" t="s">
        <v>113</v>
      </c>
      <c r="G160" s="342"/>
      <c r="H160" s="262"/>
      <c r="I160" s="126"/>
      <c r="J160" s="2"/>
      <c r="K160" s="18"/>
      <c r="L160" s="18"/>
      <c r="M160" s="18"/>
      <c r="N160" s="18"/>
      <c r="O160" s="126"/>
      <c r="P160" s="126"/>
      <c r="Q160" s="126">
        <f>July!AJ335</f>
        <v>1</v>
      </c>
      <c r="R160" s="436"/>
      <c r="S160" s="436"/>
      <c r="T160" s="18"/>
      <c r="U160" s="264"/>
      <c r="V160" s="18"/>
      <c r="W160" s="45"/>
      <c r="X160" s="67"/>
    </row>
    <row r="161" spans="1:25" ht="15" customHeight="1">
      <c r="A161" s="426">
        <v>46210</v>
      </c>
      <c r="B161" s="429" t="s">
        <v>44</v>
      </c>
      <c r="C161" s="432" t="s">
        <v>240</v>
      </c>
      <c r="D161" s="19" t="s">
        <v>37</v>
      </c>
      <c r="E161" s="19" t="s">
        <v>25</v>
      </c>
      <c r="F161" s="39" t="s">
        <v>40</v>
      </c>
      <c r="G161" s="41">
        <v>6047.91</v>
      </c>
      <c r="H161" s="32">
        <v>3456</v>
      </c>
      <c r="I161" s="32"/>
      <c r="J161" s="32"/>
      <c r="K161" s="20">
        <v>40000</v>
      </c>
      <c r="L161" s="20">
        <v>5</v>
      </c>
      <c r="M161" s="20">
        <v>72000</v>
      </c>
      <c r="N161" s="84">
        <v>9</v>
      </c>
      <c r="O161" s="32">
        <f>July!AN313</f>
        <v>54278</v>
      </c>
      <c r="P161" s="32">
        <f>July!AO313</f>
        <v>54825</v>
      </c>
      <c r="Q161" s="32">
        <f>July!AM313</f>
        <v>145</v>
      </c>
      <c r="R161" s="435">
        <f>July!AN336</f>
        <v>70584</v>
      </c>
      <c r="S161" s="435">
        <f>July!AO336</f>
        <v>84393</v>
      </c>
      <c r="T161" s="20">
        <v>65114</v>
      </c>
      <c r="U161" s="20">
        <v>4</v>
      </c>
      <c r="V161" s="20">
        <f>O161-T161-U161+V129</f>
        <v>119895</v>
      </c>
      <c r="W161" s="77"/>
      <c r="X161" s="36"/>
    </row>
    <row r="162" spans="1:25" ht="15" customHeight="1">
      <c r="A162" s="427"/>
      <c r="B162" s="431"/>
      <c r="C162" s="434"/>
      <c r="D162" s="113" t="s">
        <v>307</v>
      </c>
      <c r="E162" s="113" t="s">
        <v>24</v>
      </c>
      <c r="F162" s="118" t="s">
        <v>40</v>
      </c>
      <c r="G162" s="170"/>
      <c r="H162" s="158">
        <v>2430</v>
      </c>
      <c r="I162" s="125"/>
      <c r="J162" s="125"/>
      <c r="K162" s="127">
        <v>8000</v>
      </c>
      <c r="L162" s="127">
        <v>1</v>
      </c>
      <c r="M162" s="216">
        <v>111400</v>
      </c>
      <c r="N162" s="238">
        <v>14</v>
      </c>
      <c r="O162" s="126">
        <f>July!AN314</f>
        <v>1896</v>
      </c>
      <c r="P162" s="125">
        <f>July!AO314</f>
        <v>19546</v>
      </c>
      <c r="Q162" s="125">
        <f>July!AM314</f>
        <v>51</v>
      </c>
      <c r="R162" s="436"/>
      <c r="S162" s="436"/>
      <c r="T162" s="127">
        <v>27235</v>
      </c>
      <c r="U162" s="127"/>
      <c r="V162" s="127">
        <f>O162-T162-U162+V130</f>
        <v>18515</v>
      </c>
      <c r="W162" s="46"/>
      <c r="X162" s="67"/>
    </row>
    <row r="163" spans="1:25" ht="15" customHeight="1">
      <c r="A163" s="427"/>
      <c r="B163" s="442" t="s">
        <v>45</v>
      </c>
      <c r="C163" s="448" t="s">
        <v>59</v>
      </c>
      <c r="D163" s="118" t="s">
        <v>75</v>
      </c>
      <c r="E163" s="131" t="s">
        <v>25</v>
      </c>
      <c r="F163" s="131" t="s">
        <v>57</v>
      </c>
      <c r="G163" s="87"/>
      <c r="H163" s="152"/>
      <c r="I163" s="126"/>
      <c r="J163" s="2"/>
      <c r="K163" s="127"/>
      <c r="L163" s="18"/>
      <c r="M163" s="18">
        <v>65000</v>
      </c>
      <c r="N163" s="80">
        <v>13</v>
      </c>
      <c r="O163" s="126">
        <f>July!AN316</f>
        <v>7809</v>
      </c>
      <c r="P163" s="126">
        <f>July!AO316</f>
        <v>3777</v>
      </c>
      <c r="Q163" s="2">
        <f>July!AM316</f>
        <v>15</v>
      </c>
      <c r="R163" s="436"/>
      <c r="S163" s="436"/>
      <c r="T163" s="18">
        <v>186</v>
      </c>
      <c r="U163" s="18"/>
      <c r="V163" s="127">
        <f>O163-T163-U163+V131</f>
        <v>12848</v>
      </c>
      <c r="W163" s="46"/>
      <c r="Y163" s="13"/>
    </row>
    <row r="164" spans="1:25">
      <c r="A164" s="427"/>
      <c r="B164" s="439"/>
      <c r="C164" s="440"/>
      <c r="D164" s="118" t="s">
        <v>72</v>
      </c>
      <c r="E164" s="155" t="s">
        <v>24</v>
      </c>
      <c r="F164" s="131" t="s">
        <v>57</v>
      </c>
      <c r="G164" s="224"/>
      <c r="H164" s="152"/>
      <c r="I164" s="126"/>
      <c r="J164" s="126"/>
      <c r="K164" s="127"/>
      <c r="L164" s="18"/>
      <c r="M164" s="18">
        <v>49600</v>
      </c>
      <c r="N164" s="80">
        <v>10</v>
      </c>
      <c r="O164" s="126"/>
      <c r="P164" s="126">
        <f>July!AO317</f>
        <v>1001</v>
      </c>
      <c r="Q164" s="126">
        <f>July!AM317</f>
        <v>8</v>
      </c>
      <c r="R164" s="436"/>
      <c r="S164" s="436"/>
      <c r="T164" s="18"/>
      <c r="U164" s="18"/>
      <c r="V164" s="127">
        <f t="shared" ref="V164:V176" si="7">O164-T164-U164+V133</f>
        <v>23089</v>
      </c>
      <c r="W164" s="46"/>
      <c r="Y164" s="13"/>
    </row>
    <row r="165" spans="1:25" ht="14.25" customHeight="1">
      <c r="A165" s="427"/>
      <c r="B165" s="439"/>
      <c r="C165" s="440"/>
      <c r="D165" s="115" t="s">
        <v>79</v>
      </c>
      <c r="E165" s="118" t="s">
        <v>65</v>
      </c>
      <c r="F165" s="131" t="s">
        <v>57</v>
      </c>
      <c r="G165" s="224"/>
      <c r="H165" s="126"/>
      <c r="I165" s="126"/>
      <c r="J165" s="126"/>
      <c r="K165" s="18"/>
      <c r="L165" s="18"/>
      <c r="M165" s="18"/>
      <c r="N165" s="80"/>
      <c r="O165" s="126"/>
      <c r="P165" s="126"/>
      <c r="Q165" s="126"/>
      <c r="R165" s="436"/>
      <c r="S165" s="436"/>
      <c r="T165" s="18"/>
      <c r="U165" s="18"/>
      <c r="V165" s="127">
        <f t="shared" si="7"/>
        <v>10211</v>
      </c>
      <c r="W165" s="45"/>
      <c r="X165" s="36"/>
    </row>
    <row r="166" spans="1:25" ht="14.25" customHeight="1">
      <c r="A166" s="427"/>
      <c r="B166" s="443"/>
      <c r="C166" s="271" t="s">
        <v>299</v>
      </c>
      <c r="D166" s="115" t="s">
        <v>75</v>
      </c>
      <c r="E166" s="119" t="s">
        <v>25</v>
      </c>
      <c r="F166" s="131" t="s">
        <v>298</v>
      </c>
      <c r="G166" s="229"/>
      <c r="H166" s="37"/>
      <c r="I166" s="126"/>
      <c r="J166" s="126"/>
      <c r="K166" s="18"/>
      <c r="L166" s="18"/>
      <c r="M166" s="18">
        <v>10000</v>
      </c>
      <c r="N166" s="80">
        <v>2</v>
      </c>
      <c r="O166" s="126"/>
      <c r="P166" s="126"/>
      <c r="Q166" s="126">
        <f>July!AM318</f>
        <v>4</v>
      </c>
      <c r="R166" s="436"/>
      <c r="S166" s="436"/>
      <c r="T166" s="18"/>
      <c r="U166" s="18"/>
      <c r="V166" s="127">
        <f t="shared" si="7"/>
        <v>14595</v>
      </c>
      <c r="W166" s="45"/>
      <c r="X166" s="67"/>
    </row>
    <row r="167" spans="1:25" ht="14.25" customHeight="1">
      <c r="A167" s="427"/>
      <c r="B167" s="439" t="s">
        <v>53</v>
      </c>
      <c r="C167" s="445" t="s">
        <v>60</v>
      </c>
      <c r="D167" s="43" t="s">
        <v>320</v>
      </c>
      <c r="E167" s="441" t="s">
        <v>66</v>
      </c>
      <c r="F167" s="118" t="s">
        <v>54</v>
      </c>
      <c r="G167" s="224"/>
      <c r="H167" s="37"/>
      <c r="I167" s="126"/>
      <c r="J167" s="126"/>
      <c r="K167" s="18"/>
      <c r="L167" s="18"/>
      <c r="M167" s="18"/>
      <c r="N167" s="80"/>
      <c r="O167" s="126">
        <f>July!AN315</f>
        <v>651</v>
      </c>
      <c r="P167" s="126"/>
      <c r="Q167" s="126"/>
      <c r="R167" s="436"/>
      <c r="S167" s="436"/>
      <c r="T167" s="18"/>
      <c r="U167" s="18"/>
      <c r="V167" s="127">
        <f t="shared" si="7"/>
        <v>49706</v>
      </c>
      <c r="W167" s="45"/>
      <c r="X167" s="67"/>
    </row>
    <row r="168" spans="1:25" ht="14.25" customHeight="1">
      <c r="A168" s="427"/>
      <c r="B168" s="439"/>
      <c r="C168" s="445"/>
      <c r="D168" s="43" t="s">
        <v>387</v>
      </c>
      <c r="E168" s="425"/>
      <c r="F168" s="118" t="s">
        <v>54</v>
      </c>
      <c r="G168" s="229"/>
      <c r="H168" s="182"/>
      <c r="I168" s="125"/>
      <c r="J168" s="125"/>
      <c r="K168" s="127"/>
      <c r="L168" s="127"/>
      <c r="M168" s="127">
        <v>64800</v>
      </c>
      <c r="N168" s="171">
        <v>11</v>
      </c>
      <c r="O168" s="125"/>
      <c r="P168" s="125"/>
      <c r="Q168" s="125"/>
      <c r="R168" s="436"/>
      <c r="S168" s="436"/>
      <c r="T168" s="18"/>
      <c r="U168" s="18"/>
      <c r="V168" s="127">
        <f t="shared" si="7"/>
        <v>666</v>
      </c>
      <c r="W168" s="45"/>
      <c r="X168" s="67"/>
    </row>
    <row r="169" spans="1:25" ht="14.25" customHeight="1">
      <c r="A169" s="427"/>
      <c r="B169" s="443"/>
      <c r="C169" s="446"/>
      <c r="D169" s="43" t="s">
        <v>199</v>
      </c>
      <c r="E169" s="114" t="s">
        <v>25</v>
      </c>
      <c r="F169" s="118" t="s">
        <v>54</v>
      </c>
      <c r="G169" s="224"/>
      <c r="H169" s="135"/>
      <c r="I169" s="158"/>
      <c r="J169" s="158"/>
      <c r="K169" s="128"/>
      <c r="L169" s="128"/>
      <c r="M169" s="128"/>
      <c r="N169" s="164"/>
      <c r="O169" s="158"/>
      <c r="P169" s="158"/>
      <c r="Q169" s="158"/>
      <c r="R169" s="436"/>
      <c r="S169" s="436"/>
      <c r="T169" s="18"/>
      <c r="U169" s="18"/>
      <c r="V169" s="127">
        <f t="shared" si="7"/>
        <v>68</v>
      </c>
      <c r="W169" s="45"/>
      <c r="X169" s="67"/>
    </row>
    <row r="170" spans="1:25" ht="15.75" customHeight="1">
      <c r="A170" s="427"/>
      <c r="B170" s="137" t="s">
        <v>55</v>
      </c>
      <c r="C170" s="157" t="s">
        <v>133</v>
      </c>
      <c r="D170" s="48" t="s">
        <v>56</v>
      </c>
      <c r="E170" s="424" t="s">
        <v>25</v>
      </c>
      <c r="F170" s="118" t="s">
        <v>67</v>
      </c>
      <c r="G170" s="226"/>
      <c r="H170" s="126"/>
      <c r="I170" s="126"/>
      <c r="J170" s="2"/>
      <c r="K170" s="18"/>
      <c r="L170" s="18"/>
      <c r="M170" s="18"/>
      <c r="N170" s="18"/>
      <c r="O170" s="126"/>
      <c r="P170" s="126"/>
      <c r="Q170" s="126"/>
      <c r="R170" s="436"/>
      <c r="S170" s="436"/>
      <c r="T170" s="18">
        <v>700</v>
      </c>
      <c r="U170" s="18"/>
      <c r="V170" s="127">
        <f t="shared" si="7"/>
        <v>6322</v>
      </c>
      <c r="W170" s="45"/>
      <c r="X170" s="67"/>
    </row>
    <row r="171" spans="1:25" ht="15" customHeight="1">
      <c r="A171" s="427"/>
      <c r="B171" s="122" t="s">
        <v>122</v>
      </c>
      <c r="C171" s="180" t="s">
        <v>123</v>
      </c>
      <c r="D171" s="48" t="s">
        <v>56</v>
      </c>
      <c r="E171" s="441"/>
      <c r="F171" s="155" t="s">
        <v>64</v>
      </c>
      <c r="G171" s="119"/>
      <c r="H171" s="126"/>
      <c r="I171" s="126"/>
      <c r="J171" s="2"/>
      <c r="K171" s="18"/>
      <c r="L171" s="18"/>
      <c r="M171" s="18">
        <v>6400</v>
      </c>
      <c r="N171" s="18">
        <v>2</v>
      </c>
      <c r="O171" s="126"/>
      <c r="P171" s="126"/>
      <c r="Q171" s="126"/>
      <c r="R171" s="436"/>
      <c r="S171" s="436"/>
      <c r="T171" s="18"/>
      <c r="U171" s="18"/>
      <c r="V171" s="127">
        <f t="shared" si="7"/>
        <v>18121</v>
      </c>
      <c r="W171" s="45"/>
      <c r="X171" s="67"/>
    </row>
    <row r="172" spans="1:25" ht="14.25" customHeight="1">
      <c r="A172" s="427"/>
      <c r="B172" s="137" t="s">
        <v>58</v>
      </c>
      <c r="C172" s="157" t="s">
        <v>243</v>
      </c>
      <c r="D172" s="48" t="s">
        <v>56</v>
      </c>
      <c r="E172" s="441"/>
      <c r="F172" s="118" t="s">
        <v>64</v>
      </c>
      <c r="G172" s="225"/>
      <c r="H172" s="126"/>
      <c r="I172" s="126"/>
      <c r="J172" s="126"/>
      <c r="K172" s="18"/>
      <c r="L172" s="18"/>
      <c r="M172" s="18"/>
      <c r="N172" s="80"/>
      <c r="O172" s="126"/>
      <c r="P172" s="126"/>
      <c r="Q172" s="126"/>
      <c r="R172" s="436"/>
      <c r="S172" s="436"/>
      <c r="T172" s="18"/>
      <c r="U172" s="18"/>
      <c r="V172" s="127">
        <f t="shared" si="7"/>
        <v>8144</v>
      </c>
      <c r="W172" s="45"/>
      <c r="X172" s="67"/>
    </row>
    <row r="173" spans="1:25" ht="14.25" customHeight="1">
      <c r="A173" s="427"/>
      <c r="B173" s="122" t="s">
        <v>61</v>
      </c>
      <c r="C173" s="180" t="s">
        <v>137</v>
      </c>
      <c r="D173" s="48" t="s">
        <v>56</v>
      </c>
      <c r="E173" s="441"/>
      <c r="F173" s="118" t="s">
        <v>67</v>
      </c>
      <c r="G173" s="225"/>
      <c r="H173" s="126"/>
      <c r="I173" s="126"/>
      <c r="J173" s="126"/>
      <c r="K173" s="18"/>
      <c r="L173" s="18"/>
      <c r="M173" s="18"/>
      <c r="N173" s="80"/>
      <c r="O173" s="126"/>
      <c r="P173" s="126"/>
      <c r="Q173" s="126"/>
      <c r="R173" s="436"/>
      <c r="S173" s="436"/>
      <c r="T173" s="18"/>
      <c r="U173" s="18"/>
      <c r="V173" s="127">
        <f t="shared" si="7"/>
        <v>5844</v>
      </c>
      <c r="W173" s="45"/>
      <c r="X173" s="67"/>
    </row>
    <row r="174" spans="1:25" ht="14.25" customHeight="1">
      <c r="A174" s="427"/>
      <c r="B174" s="122" t="s">
        <v>125</v>
      </c>
      <c r="C174" s="180" t="s">
        <v>88</v>
      </c>
      <c r="D174" s="48" t="s">
        <v>124</v>
      </c>
      <c r="E174" s="441"/>
      <c r="F174" s="118" t="s">
        <v>64</v>
      </c>
      <c r="G174" s="225"/>
      <c r="H174" s="126"/>
      <c r="I174" s="126"/>
      <c r="J174" s="126"/>
      <c r="K174" s="18"/>
      <c r="L174" s="18"/>
      <c r="M174" s="18">
        <v>51200</v>
      </c>
      <c r="N174" s="80">
        <v>7</v>
      </c>
      <c r="O174" s="126"/>
      <c r="P174" s="126"/>
      <c r="Q174" s="126"/>
      <c r="R174" s="436"/>
      <c r="S174" s="436"/>
      <c r="T174" s="18"/>
      <c r="U174" s="18"/>
      <c r="V174" s="127">
        <f t="shared" si="7"/>
        <v>23615</v>
      </c>
      <c r="W174" s="45"/>
      <c r="X174" s="67"/>
    </row>
    <row r="175" spans="1:25" ht="14.25" customHeight="1">
      <c r="A175" s="427"/>
      <c r="B175" s="137" t="s">
        <v>463</v>
      </c>
      <c r="C175" s="157" t="s">
        <v>464</v>
      </c>
      <c r="D175" s="48" t="s">
        <v>246</v>
      </c>
      <c r="E175" s="441"/>
      <c r="F175" s="118" t="s">
        <v>64</v>
      </c>
      <c r="G175" s="225"/>
      <c r="H175" s="126"/>
      <c r="I175" s="126"/>
      <c r="J175" s="126"/>
      <c r="K175" s="18"/>
      <c r="L175" s="18"/>
      <c r="M175" s="18"/>
      <c r="N175" s="80"/>
      <c r="O175" s="126"/>
      <c r="P175" s="126">
        <f>July!AO333</f>
        <v>255</v>
      </c>
      <c r="Q175" s="126">
        <f>July!AM333</f>
        <v>1</v>
      </c>
      <c r="R175" s="436"/>
      <c r="S175" s="436"/>
      <c r="T175" s="18"/>
      <c r="U175" s="18"/>
      <c r="V175" s="127">
        <f t="shared" si="7"/>
        <v>0</v>
      </c>
      <c r="W175" s="45"/>
      <c r="X175" s="67"/>
    </row>
    <row r="176" spans="1:25" ht="14.25" customHeight="1">
      <c r="A176" s="427"/>
      <c r="B176" s="442" t="s">
        <v>47</v>
      </c>
      <c r="C176" s="444" t="s">
        <v>100</v>
      </c>
      <c r="D176" s="48" t="s">
        <v>458</v>
      </c>
      <c r="E176" s="441"/>
      <c r="F176" s="118" t="s">
        <v>71</v>
      </c>
      <c r="G176" s="225"/>
      <c r="H176" s="126"/>
      <c r="I176" s="126"/>
      <c r="J176" s="126"/>
      <c r="K176" s="18"/>
      <c r="L176" s="18"/>
      <c r="M176" s="18">
        <v>6100</v>
      </c>
      <c r="N176" s="80">
        <v>1</v>
      </c>
      <c r="O176" s="126">
        <f>July!AN319</f>
        <v>2400</v>
      </c>
      <c r="P176" s="126">
        <f>July!AO319</f>
        <v>1803</v>
      </c>
      <c r="Q176" s="126">
        <f>July!AM319</f>
        <v>6</v>
      </c>
      <c r="R176" s="436"/>
      <c r="S176" s="436"/>
      <c r="T176" s="18"/>
      <c r="U176" s="18"/>
      <c r="V176" s="127">
        <f t="shared" si="7"/>
        <v>9024</v>
      </c>
      <c r="W176" s="45"/>
      <c r="X176" s="67"/>
    </row>
    <row r="177" spans="1:24" ht="14.25" customHeight="1">
      <c r="A177" s="427"/>
      <c r="B177" s="443"/>
      <c r="C177" s="446"/>
      <c r="D177" s="48" t="s">
        <v>121</v>
      </c>
      <c r="E177" s="441"/>
      <c r="F177" s="118"/>
      <c r="G177" s="225"/>
      <c r="H177" s="126">
        <v>612</v>
      </c>
      <c r="I177" s="126"/>
      <c r="J177" s="126"/>
      <c r="K177" s="18"/>
      <c r="L177" s="18"/>
      <c r="M177" s="18"/>
      <c r="N177" s="80"/>
      <c r="O177" s="126"/>
      <c r="P177" s="126"/>
      <c r="Q177" s="126"/>
      <c r="R177" s="436"/>
      <c r="S177" s="436"/>
      <c r="T177" s="18"/>
      <c r="U177" s="18"/>
      <c r="V177" s="127"/>
      <c r="W177" s="45"/>
      <c r="X177" s="67"/>
    </row>
    <row r="178" spans="1:24" ht="14.25" customHeight="1">
      <c r="A178" s="427"/>
      <c r="B178" s="137" t="s">
        <v>47</v>
      </c>
      <c r="C178" s="157" t="s">
        <v>457</v>
      </c>
      <c r="D178" s="48" t="s">
        <v>458</v>
      </c>
      <c r="E178" s="441"/>
      <c r="F178" s="118" t="s">
        <v>459</v>
      </c>
      <c r="G178" s="225"/>
      <c r="H178" s="126"/>
      <c r="I178" s="126"/>
      <c r="J178" s="126"/>
      <c r="K178" s="18"/>
      <c r="L178" s="18"/>
      <c r="M178" s="18"/>
      <c r="N178" s="80"/>
      <c r="O178" s="126"/>
      <c r="P178" s="126"/>
      <c r="Q178" s="126">
        <f>July!AM320</f>
        <v>1</v>
      </c>
      <c r="R178" s="436"/>
      <c r="S178" s="436"/>
      <c r="T178" s="18"/>
      <c r="U178" s="18"/>
      <c r="V178" s="127">
        <f t="shared" ref="V178:V187" si="8">O178-T178-U178+V146</f>
        <v>0</v>
      </c>
      <c r="W178" s="45"/>
      <c r="X178" s="67"/>
    </row>
    <row r="179" spans="1:24" ht="15" customHeight="1">
      <c r="A179" s="427"/>
      <c r="B179" s="122" t="s">
        <v>196</v>
      </c>
      <c r="C179" s="180" t="s">
        <v>63</v>
      </c>
      <c r="D179" s="48" t="s">
        <v>135</v>
      </c>
      <c r="E179" s="441"/>
      <c r="F179" s="118" t="s">
        <v>64</v>
      </c>
      <c r="G179" s="226"/>
      <c r="H179" s="126"/>
      <c r="I179" s="126"/>
      <c r="J179" s="2"/>
      <c r="K179" s="18"/>
      <c r="L179" s="18"/>
      <c r="M179" s="18"/>
      <c r="N179" s="18"/>
      <c r="O179" s="126"/>
      <c r="P179" s="126"/>
      <c r="Q179" s="126"/>
      <c r="R179" s="436"/>
      <c r="S179" s="436"/>
      <c r="T179" s="18"/>
      <c r="U179" s="18"/>
      <c r="V179" s="127">
        <f t="shared" si="8"/>
        <v>54487</v>
      </c>
      <c r="W179" s="45"/>
      <c r="X179" s="67"/>
    </row>
    <row r="180" spans="1:24" ht="15" customHeight="1">
      <c r="A180" s="427"/>
      <c r="B180" s="122" t="s">
        <v>253</v>
      </c>
      <c r="C180" s="180" t="s">
        <v>365</v>
      </c>
      <c r="D180" s="48" t="s">
        <v>246</v>
      </c>
      <c r="E180" s="441"/>
      <c r="F180" s="118" t="s">
        <v>247</v>
      </c>
      <c r="G180" s="226"/>
      <c r="H180" s="126"/>
      <c r="I180" s="126"/>
      <c r="J180" s="2"/>
      <c r="K180" s="18"/>
      <c r="L180" s="18"/>
      <c r="M180" s="18"/>
      <c r="N180" s="18"/>
      <c r="O180" s="126">
        <f>July!AN321</f>
        <v>1838</v>
      </c>
      <c r="P180" s="126"/>
      <c r="Q180" s="126">
        <f>July!AM321</f>
        <v>2</v>
      </c>
      <c r="R180" s="436"/>
      <c r="S180" s="436"/>
      <c r="T180" s="18">
        <v>10417</v>
      </c>
      <c r="U180" s="18"/>
      <c r="V180" s="127">
        <f t="shared" si="8"/>
        <v>3922</v>
      </c>
      <c r="W180" s="45"/>
      <c r="X180" s="67"/>
    </row>
    <row r="181" spans="1:24" ht="15" customHeight="1">
      <c r="A181" s="427"/>
      <c r="B181" s="122" t="s">
        <v>101</v>
      </c>
      <c r="C181" s="180" t="s">
        <v>327</v>
      </c>
      <c r="D181" s="48" t="s">
        <v>102</v>
      </c>
      <c r="E181" s="441"/>
      <c r="F181" s="118" t="s">
        <v>64</v>
      </c>
      <c r="G181" s="119"/>
      <c r="H181" s="126"/>
      <c r="I181" s="126"/>
      <c r="J181" s="2"/>
      <c r="K181" s="18"/>
      <c r="L181" s="18"/>
      <c r="M181" s="18">
        <v>21000</v>
      </c>
      <c r="N181" s="18">
        <v>3</v>
      </c>
      <c r="O181" s="126"/>
      <c r="P181" s="126">
        <f>July!AO328</f>
        <v>1565</v>
      </c>
      <c r="Q181" s="126">
        <f>July!AM328</f>
        <v>4</v>
      </c>
      <c r="R181" s="436"/>
      <c r="S181" s="436"/>
      <c r="T181" s="18"/>
      <c r="U181" s="18"/>
      <c r="V181" s="18">
        <f t="shared" si="8"/>
        <v>4734</v>
      </c>
      <c r="W181" s="45"/>
      <c r="X181" s="67"/>
    </row>
    <row r="182" spans="1:24" s="4" customFormat="1" ht="15" customHeight="1">
      <c r="A182" s="427"/>
      <c r="B182" s="122" t="s">
        <v>366</v>
      </c>
      <c r="C182" s="180" t="s">
        <v>367</v>
      </c>
      <c r="D182" s="48" t="s">
        <v>132</v>
      </c>
      <c r="E182" s="441"/>
      <c r="F182" s="48" t="s">
        <v>64</v>
      </c>
      <c r="G182" s="122"/>
      <c r="H182" s="34"/>
      <c r="I182" s="34"/>
      <c r="J182" s="6"/>
      <c r="K182" s="211"/>
      <c r="L182" s="211"/>
      <c r="M182" s="211"/>
      <c r="N182" s="211"/>
      <c r="O182" s="34"/>
      <c r="P182" s="34">
        <f>July!AO329</f>
        <v>855</v>
      </c>
      <c r="Q182" s="34">
        <f>July!AM329</f>
        <v>2</v>
      </c>
      <c r="R182" s="436"/>
      <c r="S182" s="436"/>
      <c r="T182" s="211"/>
      <c r="U182" s="211"/>
      <c r="V182" s="211">
        <f t="shared" si="8"/>
        <v>2849</v>
      </c>
      <c r="W182" s="260"/>
      <c r="X182" s="67"/>
    </row>
    <row r="183" spans="1:24" s="4" customFormat="1" ht="15" customHeight="1">
      <c r="A183" s="427"/>
      <c r="B183" s="122" t="s">
        <v>363</v>
      </c>
      <c r="C183" s="180" t="s">
        <v>325</v>
      </c>
      <c r="D183" s="48" t="s">
        <v>328</v>
      </c>
      <c r="E183" s="441"/>
      <c r="F183" s="48" t="s">
        <v>48</v>
      </c>
      <c r="G183" s="259"/>
      <c r="H183" s="34"/>
      <c r="I183" s="34"/>
      <c r="J183" s="6"/>
      <c r="K183" s="211"/>
      <c r="L183" s="211"/>
      <c r="M183" s="211"/>
      <c r="N183" s="211"/>
      <c r="O183" s="34"/>
      <c r="P183" s="34"/>
      <c r="Q183" s="34"/>
      <c r="R183" s="436"/>
      <c r="S183" s="436"/>
      <c r="T183" s="211"/>
      <c r="U183" s="211"/>
      <c r="V183" s="216">
        <f t="shared" si="8"/>
        <v>16454</v>
      </c>
      <c r="W183" s="260"/>
      <c r="X183" s="67"/>
    </row>
    <row r="184" spans="1:24" s="4" customFormat="1" ht="15" customHeight="1">
      <c r="A184" s="427"/>
      <c r="B184" s="122" t="s">
        <v>107</v>
      </c>
      <c r="C184" s="180" t="s">
        <v>386</v>
      </c>
      <c r="D184" s="48" t="s">
        <v>108</v>
      </c>
      <c r="E184" s="441"/>
      <c r="F184" s="43" t="s">
        <v>48</v>
      </c>
      <c r="G184" s="268"/>
      <c r="H184" s="331"/>
      <c r="I184" s="331"/>
      <c r="J184" s="341"/>
      <c r="K184" s="216"/>
      <c r="L184" s="216"/>
      <c r="M184" s="216">
        <v>13000</v>
      </c>
      <c r="N184" s="216">
        <v>2</v>
      </c>
      <c r="O184" s="331">
        <f>July!AN330</f>
        <v>1712</v>
      </c>
      <c r="P184" s="331">
        <f>July!AO330</f>
        <v>272</v>
      </c>
      <c r="Q184" s="331">
        <f>July!AM330</f>
        <v>1</v>
      </c>
      <c r="R184" s="436"/>
      <c r="S184" s="436"/>
      <c r="T184" s="211"/>
      <c r="U184" s="211"/>
      <c r="V184" s="211">
        <f t="shared" si="8"/>
        <v>12765</v>
      </c>
      <c r="W184" s="360"/>
      <c r="X184" s="67"/>
    </row>
    <row r="185" spans="1:24" s="4" customFormat="1" ht="15" customHeight="1">
      <c r="A185" s="427"/>
      <c r="B185" s="268" t="s">
        <v>375</v>
      </c>
      <c r="C185" s="277" t="s">
        <v>376</v>
      </c>
      <c r="D185" s="43" t="s">
        <v>248</v>
      </c>
      <c r="E185" s="441"/>
      <c r="F185" s="43" t="s">
        <v>64</v>
      </c>
      <c r="G185" s="268"/>
      <c r="H185" s="331"/>
      <c r="I185" s="331"/>
      <c r="J185" s="341"/>
      <c r="K185" s="216"/>
      <c r="L185" s="216"/>
      <c r="M185" s="216"/>
      <c r="N185" s="216"/>
      <c r="O185" s="331"/>
      <c r="P185" s="331"/>
      <c r="Q185" s="331"/>
      <c r="R185" s="436"/>
      <c r="S185" s="436"/>
      <c r="T185" s="216"/>
      <c r="U185" s="216"/>
      <c r="V185" s="216">
        <f t="shared" si="8"/>
        <v>75911</v>
      </c>
      <c r="W185" s="260"/>
      <c r="X185" s="67"/>
    </row>
    <row r="186" spans="1:24" s="4" customFormat="1" ht="15" customHeight="1">
      <c r="A186" s="427"/>
      <c r="B186" s="137" t="s">
        <v>421</v>
      </c>
      <c r="C186" s="157" t="s">
        <v>420</v>
      </c>
      <c r="D186" s="48" t="s">
        <v>248</v>
      </c>
      <c r="E186" s="441"/>
      <c r="F186" s="48" t="s">
        <v>64</v>
      </c>
      <c r="G186" s="122"/>
      <c r="H186" s="34"/>
      <c r="I186" s="34"/>
      <c r="J186" s="6"/>
      <c r="K186" s="211"/>
      <c r="L186" s="211"/>
      <c r="M186" s="211">
        <v>46200</v>
      </c>
      <c r="N186" s="211">
        <v>11</v>
      </c>
      <c r="O186" s="34"/>
      <c r="P186" s="34"/>
      <c r="Q186" s="34">
        <f>July!AM331</f>
        <v>20</v>
      </c>
      <c r="R186" s="436"/>
      <c r="S186" s="436"/>
      <c r="T186" s="211"/>
      <c r="U186" s="211"/>
      <c r="V186" s="211">
        <f t="shared" si="8"/>
        <v>57857</v>
      </c>
      <c r="W186" s="260"/>
      <c r="X186" s="67"/>
    </row>
    <row r="187" spans="1:24" s="4" customFormat="1" ht="15" customHeight="1">
      <c r="A187" s="427"/>
      <c r="B187" s="442" t="s">
        <v>289</v>
      </c>
      <c r="C187" s="444" t="s">
        <v>501</v>
      </c>
      <c r="D187" s="48" t="s">
        <v>432</v>
      </c>
      <c r="E187" s="441"/>
      <c r="F187" s="48" t="s">
        <v>502</v>
      </c>
      <c r="G187" s="366">
        <v>435.59</v>
      </c>
      <c r="H187" s="34"/>
      <c r="I187" s="34"/>
      <c r="J187" s="6"/>
      <c r="K187" s="211">
        <v>6000</v>
      </c>
      <c r="L187" s="211">
        <v>1</v>
      </c>
      <c r="M187" s="211">
        <v>6000</v>
      </c>
      <c r="N187" s="211">
        <v>1</v>
      </c>
      <c r="O187" s="34"/>
      <c r="P187" s="34">
        <f>July!AO324</f>
        <v>212</v>
      </c>
      <c r="Q187" s="34">
        <f>July!AM324</f>
        <v>1</v>
      </c>
      <c r="R187" s="436"/>
      <c r="S187" s="436"/>
      <c r="T187" s="211"/>
      <c r="U187" s="211"/>
      <c r="V187" s="211">
        <f t="shared" si="8"/>
        <v>0</v>
      </c>
      <c r="W187" s="260"/>
      <c r="X187" s="67"/>
    </row>
    <row r="188" spans="1:24" s="4" customFormat="1" ht="15" customHeight="1">
      <c r="A188" s="427"/>
      <c r="B188" s="443"/>
      <c r="C188" s="446"/>
      <c r="D188" s="48" t="s">
        <v>433</v>
      </c>
      <c r="E188" s="441"/>
      <c r="F188" s="48"/>
      <c r="G188" s="137"/>
      <c r="H188" s="34">
        <v>306</v>
      </c>
      <c r="I188" s="34"/>
      <c r="J188" s="6"/>
      <c r="K188" s="211"/>
      <c r="L188" s="211"/>
      <c r="M188" s="211"/>
      <c r="N188" s="211"/>
      <c r="O188" s="34"/>
      <c r="P188" s="34"/>
      <c r="Q188" s="34"/>
      <c r="R188" s="436"/>
      <c r="S188" s="436"/>
      <c r="T188" s="211"/>
      <c r="U188" s="211"/>
      <c r="V188" s="211"/>
      <c r="W188" s="260"/>
      <c r="X188" s="67"/>
    </row>
    <row r="189" spans="1:24" s="4" customFormat="1" ht="15" customHeight="1">
      <c r="A189" s="427"/>
      <c r="B189" s="122" t="s">
        <v>289</v>
      </c>
      <c r="C189" s="157" t="s">
        <v>514</v>
      </c>
      <c r="D189" s="48" t="s">
        <v>432</v>
      </c>
      <c r="E189" s="441"/>
      <c r="F189" s="48" t="s">
        <v>506</v>
      </c>
      <c r="G189" s="366">
        <v>554.51</v>
      </c>
      <c r="H189" s="34"/>
      <c r="I189" s="34"/>
      <c r="J189" s="6"/>
      <c r="K189" s="211"/>
      <c r="L189" s="211"/>
      <c r="M189" s="211">
        <v>7000</v>
      </c>
      <c r="N189" s="211">
        <v>1</v>
      </c>
      <c r="O189" s="34"/>
      <c r="P189" s="34"/>
      <c r="Q189" s="34"/>
      <c r="R189" s="436"/>
      <c r="S189" s="436"/>
      <c r="T189" s="211"/>
      <c r="U189" s="211"/>
      <c r="V189" s="211"/>
      <c r="W189" s="260"/>
      <c r="X189" s="67"/>
    </row>
    <row r="190" spans="1:24" s="4" customFormat="1" ht="15" customHeight="1">
      <c r="A190" s="427"/>
      <c r="B190" s="122" t="s">
        <v>289</v>
      </c>
      <c r="C190" s="180" t="s">
        <v>505</v>
      </c>
      <c r="D190" s="48" t="s">
        <v>432</v>
      </c>
      <c r="E190" s="441"/>
      <c r="F190" s="48" t="s">
        <v>435</v>
      </c>
      <c r="G190" s="122"/>
      <c r="H190" s="34"/>
      <c r="I190" s="34"/>
      <c r="J190" s="6"/>
      <c r="K190" s="211"/>
      <c r="L190" s="211"/>
      <c r="M190" s="211"/>
      <c r="N190" s="211"/>
      <c r="O190" s="34"/>
      <c r="P190" s="34">
        <f>July!AO326</f>
        <v>282</v>
      </c>
      <c r="Q190" s="34">
        <f>July!AM326</f>
        <v>1</v>
      </c>
      <c r="R190" s="436"/>
      <c r="S190" s="436"/>
      <c r="T190" s="211"/>
      <c r="U190" s="211"/>
      <c r="V190" s="211">
        <f>O190-T190-U190+V156</f>
        <v>0</v>
      </c>
      <c r="W190" s="260"/>
      <c r="X190" s="67"/>
    </row>
    <row r="191" spans="1:24" s="4" customFormat="1" ht="15" customHeight="1">
      <c r="A191" s="427"/>
      <c r="B191" s="268" t="s">
        <v>453</v>
      </c>
      <c r="C191" s="180" t="s">
        <v>505</v>
      </c>
      <c r="D191" s="43" t="s">
        <v>432</v>
      </c>
      <c r="E191" s="441"/>
      <c r="F191" s="48" t="s">
        <v>57</v>
      </c>
      <c r="G191" s="122"/>
      <c r="H191" s="34"/>
      <c r="I191" s="34"/>
      <c r="J191" s="6"/>
      <c r="K191" s="211"/>
      <c r="L191" s="211"/>
      <c r="M191" s="211"/>
      <c r="N191" s="211"/>
      <c r="O191" s="34"/>
      <c r="P191" s="34"/>
      <c r="Q191" s="34">
        <f>July!AM327</f>
        <v>1</v>
      </c>
      <c r="R191" s="436"/>
      <c r="S191" s="436"/>
      <c r="T191" s="211"/>
      <c r="U191" s="211"/>
      <c r="V191" s="211">
        <f>O191-T191-U191+V157</f>
        <v>0</v>
      </c>
      <c r="W191" s="260"/>
      <c r="X191" s="67"/>
    </row>
    <row r="192" spans="1:24" ht="15" customHeight="1">
      <c r="A192" s="427"/>
      <c r="B192" s="122" t="s">
        <v>103</v>
      </c>
      <c r="C192" s="157" t="s">
        <v>197</v>
      </c>
      <c r="D192" s="48" t="s">
        <v>104</v>
      </c>
      <c r="E192" s="441"/>
      <c r="F192" s="118" t="s">
        <v>105</v>
      </c>
      <c r="G192" s="119"/>
      <c r="H192" s="126"/>
      <c r="I192" s="126"/>
      <c r="J192" s="2"/>
      <c r="K192" s="18"/>
      <c r="L192" s="18"/>
      <c r="M192" s="18"/>
      <c r="N192" s="18"/>
      <c r="O192" s="126"/>
      <c r="P192" s="126"/>
      <c r="Q192" s="126">
        <f>July!AM334</f>
        <v>1</v>
      </c>
      <c r="R192" s="436"/>
      <c r="S192" s="436"/>
      <c r="T192" s="18"/>
      <c r="U192" s="18"/>
      <c r="V192" s="18"/>
      <c r="W192" s="45"/>
      <c r="X192" s="67"/>
    </row>
    <row r="193" spans="1:25" ht="15" customHeight="1" thickBot="1">
      <c r="A193" s="427"/>
      <c r="B193" s="137" t="s">
        <v>112</v>
      </c>
      <c r="C193" s="157" t="s">
        <v>197</v>
      </c>
      <c r="D193" s="48" t="s">
        <v>104</v>
      </c>
      <c r="E193" s="441"/>
      <c r="F193" s="118" t="s">
        <v>113</v>
      </c>
      <c r="G193" s="342"/>
      <c r="H193" s="262"/>
      <c r="I193" s="126"/>
      <c r="J193" s="2"/>
      <c r="K193" s="18"/>
      <c r="L193" s="18"/>
      <c r="M193" s="18"/>
      <c r="N193" s="18"/>
      <c r="O193" s="126"/>
      <c r="P193" s="126"/>
      <c r="Q193" s="126">
        <f>July!AM335</f>
        <v>1</v>
      </c>
      <c r="R193" s="436"/>
      <c r="S193" s="436"/>
      <c r="T193" s="18"/>
      <c r="U193" s="264"/>
      <c r="V193" s="18"/>
      <c r="W193" s="45"/>
      <c r="X193" s="67"/>
    </row>
    <row r="194" spans="1:25" ht="15" customHeight="1">
      <c r="A194" s="426">
        <v>46211</v>
      </c>
      <c r="B194" s="429" t="s">
        <v>44</v>
      </c>
      <c r="C194" s="432" t="s">
        <v>240</v>
      </c>
      <c r="D194" s="19" t="s">
        <v>37</v>
      </c>
      <c r="E194" s="19" t="s">
        <v>25</v>
      </c>
      <c r="F194" s="39" t="s">
        <v>40</v>
      </c>
      <c r="G194" s="41">
        <v>7697.34</v>
      </c>
      <c r="H194" s="32">
        <v>4608</v>
      </c>
      <c r="I194" s="32"/>
      <c r="J194" s="32"/>
      <c r="K194" s="20">
        <v>72000</v>
      </c>
      <c r="L194" s="20">
        <v>9</v>
      </c>
      <c r="M194" s="20">
        <v>112000</v>
      </c>
      <c r="N194" s="84">
        <v>14</v>
      </c>
      <c r="O194" s="32">
        <f>July!AQ313</f>
        <v>60528</v>
      </c>
      <c r="P194" s="32">
        <f>July!AR313</f>
        <v>56236</v>
      </c>
      <c r="Q194" s="32">
        <f>July!AP313</f>
        <v>152</v>
      </c>
      <c r="R194" s="435">
        <f>July!AQ336</f>
        <v>80711</v>
      </c>
      <c r="S194" s="435">
        <f>July!AR336</f>
        <v>85489</v>
      </c>
      <c r="T194" s="20">
        <v>74110</v>
      </c>
      <c r="U194" s="20">
        <v>39</v>
      </c>
      <c r="V194" s="20">
        <f>O194-T194-U194+V161</f>
        <v>106274</v>
      </c>
      <c r="W194" s="77"/>
      <c r="X194" s="36"/>
    </row>
    <row r="195" spans="1:25" ht="15" customHeight="1">
      <c r="A195" s="427"/>
      <c r="B195" s="430"/>
      <c r="C195" s="433"/>
      <c r="D195" s="113" t="s">
        <v>307</v>
      </c>
      <c r="E195" s="438" t="s">
        <v>24</v>
      </c>
      <c r="F195" s="118" t="s">
        <v>40</v>
      </c>
      <c r="G195" s="38"/>
      <c r="H195" s="126"/>
      <c r="I195" s="125"/>
      <c r="J195" s="125"/>
      <c r="K195" s="127"/>
      <c r="L195" s="127"/>
      <c r="M195" s="216">
        <v>111400</v>
      </c>
      <c r="N195" s="238">
        <v>14</v>
      </c>
      <c r="O195" s="126">
        <f>July!AQ314</f>
        <v>6619</v>
      </c>
      <c r="P195" s="125">
        <f>July!AR314</f>
        <v>19267</v>
      </c>
      <c r="Q195" s="125">
        <f>July!AP314</f>
        <v>50</v>
      </c>
      <c r="R195" s="436"/>
      <c r="S195" s="436"/>
      <c r="T195" s="127">
        <v>9335</v>
      </c>
      <c r="U195" s="127"/>
      <c r="V195" s="127">
        <f>O195-T195-U195+V162</f>
        <v>15799</v>
      </c>
      <c r="W195" s="46"/>
      <c r="X195" s="67"/>
    </row>
    <row r="196" spans="1:25" ht="15" customHeight="1">
      <c r="A196" s="427"/>
      <c r="B196" s="431"/>
      <c r="C196" s="434"/>
      <c r="D196" s="113" t="s">
        <v>511</v>
      </c>
      <c r="E196" s="431"/>
      <c r="F196" s="155"/>
      <c r="G196" s="170"/>
      <c r="H196" s="158">
        <v>1215</v>
      </c>
      <c r="I196" s="125"/>
      <c r="J196" s="125"/>
      <c r="K196" s="127"/>
      <c r="L196" s="127"/>
      <c r="M196" s="216"/>
      <c r="N196" s="238"/>
      <c r="O196" s="126"/>
      <c r="P196" s="125"/>
      <c r="Q196" s="125"/>
      <c r="R196" s="436"/>
      <c r="S196" s="436"/>
      <c r="T196" s="127"/>
      <c r="U196" s="127"/>
      <c r="V196" s="127"/>
      <c r="W196" s="46"/>
      <c r="X196" s="67"/>
    </row>
    <row r="197" spans="1:25" ht="15" customHeight="1">
      <c r="A197" s="427"/>
      <c r="B197" s="442" t="s">
        <v>45</v>
      </c>
      <c r="C197" s="448" t="s">
        <v>59</v>
      </c>
      <c r="D197" s="118" t="s">
        <v>75</v>
      </c>
      <c r="E197" s="131" t="s">
        <v>25</v>
      </c>
      <c r="F197" s="131" t="s">
        <v>57</v>
      </c>
      <c r="G197" s="87"/>
      <c r="H197" s="152"/>
      <c r="I197" s="126"/>
      <c r="J197" s="2"/>
      <c r="K197" s="127">
        <v>15000</v>
      </c>
      <c r="L197" s="18">
        <v>3</v>
      </c>
      <c r="M197" s="18">
        <v>50000</v>
      </c>
      <c r="N197" s="80">
        <v>10</v>
      </c>
      <c r="O197" s="126">
        <f>July!AQ316</f>
        <v>3585</v>
      </c>
      <c r="P197" s="126">
        <f>July!AR316</f>
        <v>4033</v>
      </c>
      <c r="Q197" s="2">
        <f>July!AP316</f>
        <v>16</v>
      </c>
      <c r="R197" s="436"/>
      <c r="S197" s="436"/>
      <c r="T197" s="18"/>
      <c r="U197" s="18"/>
      <c r="V197" s="127">
        <f t="shared" ref="V197:V210" si="9">O197-T197-U197+V163</f>
        <v>16433</v>
      </c>
      <c r="W197" s="46"/>
      <c r="Y197" s="13"/>
    </row>
    <row r="198" spans="1:25">
      <c r="A198" s="427"/>
      <c r="B198" s="439"/>
      <c r="C198" s="440"/>
      <c r="D198" s="118" t="s">
        <v>72</v>
      </c>
      <c r="E198" s="155" t="s">
        <v>24</v>
      </c>
      <c r="F198" s="131" t="s">
        <v>57</v>
      </c>
      <c r="G198" s="224"/>
      <c r="H198" s="152"/>
      <c r="I198" s="126"/>
      <c r="J198" s="126"/>
      <c r="K198" s="127"/>
      <c r="L198" s="18"/>
      <c r="M198" s="18">
        <v>49600</v>
      </c>
      <c r="N198" s="80">
        <v>10</v>
      </c>
      <c r="O198" s="126">
        <f>July!AQ317</f>
        <v>2114</v>
      </c>
      <c r="P198" s="126">
        <f>July!AR317</f>
        <v>765</v>
      </c>
      <c r="Q198" s="126">
        <f>July!AP317</f>
        <v>7</v>
      </c>
      <c r="R198" s="436"/>
      <c r="S198" s="436"/>
      <c r="T198" s="18"/>
      <c r="U198" s="18"/>
      <c r="V198" s="127">
        <f t="shared" si="9"/>
        <v>25203</v>
      </c>
      <c r="W198" s="46"/>
      <c r="Y198" s="13"/>
    </row>
    <row r="199" spans="1:25" ht="14.25" customHeight="1">
      <c r="A199" s="427"/>
      <c r="B199" s="439"/>
      <c r="C199" s="440"/>
      <c r="D199" s="115" t="s">
        <v>79</v>
      </c>
      <c r="E199" s="118" t="s">
        <v>65</v>
      </c>
      <c r="F199" s="131" t="s">
        <v>57</v>
      </c>
      <c r="G199" s="224"/>
      <c r="H199" s="126"/>
      <c r="I199" s="126"/>
      <c r="J199" s="126"/>
      <c r="K199" s="18"/>
      <c r="L199" s="18"/>
      <c r="M199" s="18"/>
      <c r="N199" s="80"/>
      <c r="O199" s="126"/>
      <c r="P199" s="126"/>
      <c r="Q199" s="126"/>
      <c r="R199" s="436"/>
      <c r="S199" s="436"/>
      <c r="T199" s="18"/>
      <c r="U199" s="18"/>
      <c r="V199" s="127">
        <f t="shared" si="9"/>
        <v>10211</v>
      </c>
      <c r="W199" s="45"/>
      <c r="X199" s="36"/>
    </row>
    <row r="200" spans="1:25" ht="14.25" customHeight="1">
      <c r="A200" s="427"/>
      <c r="B200" s="443"/>
      <c r="C200" s="271" t="s">
        <v>299</v>
      </c>
      <c r="D200" s="115" t="s">
        <v>75</v>
      </c>
      <c r="E200" s="119" t="s">
        <v>25</v>
      </c>
      <c r="F200" s="131" t="s">
        <v>298</v>
      </c>
      <c r="G200" s="229"/>
      <c r="H200" s="37"/>
      <c r="I200" s="126"/>
      <c r="J200" s="126"/>
      <c r="K200" s="18"/>
      <c r="L200" s="18"/>
      <c r="M200" s="18">
        <v>10000</v>
      </c>
      <c r="N200" s="80">
        <v>2</v>
      </c>
      <c r="O200" s="126"/>
      <c r="P200" s="126"/>
      <c r="Q200" s="126">
        <f>July!AP318</f>
        <v>4</v>
      </c>
      <c r="R200" s="436"/>
      <c r="S200" s="436"/>
      <c r="T200" s="18"/>
      <c r="U200" s="18"/>
      <c r="V200" s="127">
        <f t="shared" si="9"/>
        <v>14595</v>
      </c>
      <c r="W200" s="45"/>
      <c r="X200" s="67"/>
    </row>
    <row r="201" spans="1:25" ht="14.25" customHeight="1">
      <c r="A201" s="427"/>
      <c r="B201" s="439" t="s">
        <v>53</v>
      </c>
      <c r="C201" s="445" t="s">
        <v>60</v>
      </c>
      <c r="D201" s="43" t="s">
        <v>320</v>
      </c>
      <c r="E201" s="441" t="s">
        <v>66</v>
      </c>
      <c r="F201" s="118" t="s">
        <v>54</v>
      </c>
      <c r="G201" s="224"/>
      <c r="H201" s="37"/>
      <c r="I201" s="126"/>
      <c r="J201" s="126"/>
      <c r="K201" s="18"/>
      <c r="L201" s="18"/>
      <c r="M201" s="18"/>
      <c r="N201" s="80"/>
      <c r="O201" s="126"/>
      <c r="P201" s="126"/>
      <c r="Q201" s="126"/>
      <c r="R201" s="436"/>
      <c r="S201" s="436"/>
      <c r="T201" s="18"/>
      <c r="U201" s="18"/>
      <c r="V201" s="127">
        <f t="shared" si="9"/>
        <v>49706</v>
      </c>
      <c r="W201" s="45"/>
      <c r="X201" s="67"/>
    </row>
    <row r="202" spans="1:25" ht="14.25" customHeight="1">
      <c r="A202" s="427"/>
      <c r="B202" s="439"/>
      <c r="C202" s="445"/>
      <c r="D202" s="43" t="s">
        <v>387</v>
      </c>
      <c r="E202" s="425"/>
      <c r="F202" s="118" t="s">
        <v>54</v>
      </c>
      <c r="G202" s="229"/>
      <c r="H202" s="182"/>
      <c r="I202" s="125"/>
      <c r="J202" s="125"/>
      <c r="K202" s="127"/>
      <c r="L202" s="127"/>
      <c r="M202" s="127">
        <v>64800</v>
      </c>
      <c r="N202" s="171">
        <v>11</v>
      </c>
      <c r="O202" s="125"/>
      <c r="P202" s="125"/>
      <c r="Q202" s="125"/>
      <c r="R202" s="436"/>
      <c r="S202" s="436"/>
      <c r="T202" s="18"/>
      <c r="U202" s="18"/>
      <c r="V202" s="127">
        <f t="shared" si="9"/>
        <v>666</v>
      </c>
      <c r="W202" s="45"/>
      <c r="X202" s="67"/>
    </row>
    <row r="203" spans="1:25" ht="14.25" customHeight="1">
      <c r="A203" s="427"/>
      <c r="B203" s="443"/>
      <c r="C203" s="446"/>
      <c r="D203" s="43" t="s">
        <v>199</v>
      </c>
      <c r="E203" s="114" t="s">
        <v>25</v>
      </c>
      <c r="F203" s="118" t="s">
        <v>54</v>
      </c>
      <c r="G203" s="224"/>
      <c r="H203" s="135"/>
      <c r="I203" s="158"/>
      <c r="J203" s="158"/>
      <c r="K203" s="128"/>
      <c r="L203" s="128"/>
      <c r="M203" s="128"/>
      <c r="N203" s="164"/>
      <c r="O203" s="158"/>
      <c r="P203" s="158"/>
      <c r="Q203" s="158"/>
      <c r="R203" s="436"/>
      <c r="S203" s="436"/>
      <c r="T203" s="18"/>
      <c r="U203" s="18"/>
      <c r="V203" s="127">
        <f t="shared" si="9"/>
        <v>68</v>
      </c>
      <c r="W203" s="45"/>
      <c r="X203" s="67"/>
    </row>
    <row r="204" spans="1:25" ht="15.75" customHeight="1">
      <c r="A204" s="427"/>
      <c r="B204" s="137" t="s">
        <v>55</v>
      </c>
      <c r="C204" s="157" t="s">
        <v>133</v>
      </c>
      <c r="D204" s="48" t="s">
        <v>56</v>
      </c>
      <c r="E204" s="424" t="s">
        <v>25</v>
      </c>
      <c r="F204" s="118" t="s">
        <v>67</v>
      </c>
      <c r="G204" s="226"/>
      <c r="H204" s="126"/>
      <c r="I204" s="126"/>
      <c r="J204" s="2"/>
      <c r="K204" s="18"/>
      <c r="L204" s="18"/>
      <c r="M204" s="18"/>
      <c r="N204" s="18"/>
      <c r="O204" s="126"/>
      <c r="P204" s="126"/>
      <c r="Q204" s="126"/>
      <c r="R204" s="436"/>
      <c r="S204" s="436"/>
      <c r="T204" s="18"/>
      <c r="U204" s="18"/>
      <c r="V204" s="127">
        <f t="shared" si="9"/>
        <v>6322</v>
      </c>
      <c r="W204" s="45"/>
      <c r="X204" s="67"/>
    </row>
    <row r="205" spans="1:25" ht="15" customHeight="1">
      <c r="A205" s="427"/>
      <c r="B205" s="122" t="s">
        <v>122</v>
      </c>
      <c r="C205" s="180" t="s">
        <v>123</v>
      </c>
      <c r="D205" s="48" t="s">
        <v>56</v>
      </c>
      <c r="E205" s="441"/>
      <c r="F205" s="155" t="s">
        <v>64</v>
      </c>
      <c r="G205" s="119"/>
      <c r="H205" s="126"/>
      <c r="I205" s="126"/>
      <c r="J205" s="2"/>
      <c r="K205" s="18"/>
      <c r="L205" s="18"/>
      <c r="M205" s="18">
        <v>6400</v>
      </c>
      <c r="N205" s="18">
        <v>2</v>
      </c>
      <c r="O205" s="126"/>
      <c r="P205" s="126"/>
      <c r="Q205" s="126"/>
      <c r="R205" s="436"/>
      <c r="S205" s="436"/>
      <c r="T205" s="18"/>
      <c r="U205" s="18"/>
      <c r="V205" s="127">
        <f t="shared" si="9"/>
        <v>18121</v>
      </c>
      <c r="W205" s="45"/>
      <c r="X205" s="67"/>
    </row>
    <row r="206" spans="1:25" ht="14.25" customHeight="1">
      <c r="A206" s="427"/>
      <c r="B206" s="137" t="s">
        <v>58</v>
      </c>
      <c r="C206" s="157" t="s">
        <v>243</v>
      </c>
      <c r="D206" s="48" t="s">
        <v>56</v>
      </c>
      <c r="E206" s="441"/>
      <c r="F206" s="118" t="s">
        <v>64</v>
      </c>
      <c r="G206" s="225"/>
      <c r="H206" s="126"/>
      <c r="I206" s="126"/>
      <c r="J206" s="126"/>
      <c r="K206" s="18"/>
      <c r="L206" s="18"/>
      <c r="M206" s="18"/>
      <c r="N206" s="80"/>
      <c r="O206" s="126"/>
      <c r="P206" s="126"/>
      <c r="Q206" s="126"/>
      <c r="R206" s="436"/>
      <c r="S206" s="436"/>
      <c r="T206" s="18"/>
      <c r="U206" s="18"/>
      <c r="V206" s="127">
        <f t="shared" si="9"/>
        <v>8144</v>
      </c>
      <c r="W206" s="45"/>
      <c r="X206" s="67"/>
    </row>
    <row r="207" spans="1:25" ht="14.25" customHeight="1">
      <c r="A207" s="427"/>
      <c r="B207" s="122" t="s">
        <v>61</v>
      </c>
      <c r="C207" s="180" t="s">
        <v>137</v>
      </c>
      <c r="D207" s="48" t="s">
        <v>56</v>
      </c>
      <c r="E207" s="441"/>
      <c r="F207" s="118" t="s">
        <v>67</v>
      </c>
      <c r="G207" s="225"/>
      <c r="H207" s="126"/>
      <c r="I207" s="126"/>
      <c r="J207" s="126"/>
      <c r="K207" s="18"/>
      <c r="L207" s="18"/>
      <c r="M207" s="18"/>
      <c r="N207" s="80"/>
      <c r="O207" s="126"/>
      <c r="P207" s="126"/>
      <c r="Q207" s="126"/>
      <c r="R207" s="436"/>
      <c r="S207" s="436"/>
      <c r="T207" s="18"/>
      <c r="U207" s="18"/>
      <c r="V207" s="127">
        <f t="shared" si="9"/>
        <v>5844</v>
      </c>
      <c r="W207" s="45"/>
      <c r="X207" s="67"/>
    </row>
    <row r="208" spans="1:25" ht="14.25" customHeight="1">
      <c r="A208" s="427"/>
      <c r="B208" s="122" t="s">
        <v>125</v>
      </c>
      <c r="C208" s="180" t="s">
        <v>88</v>
      </c>
      <c r="D208" s="48" t="s">
        <v>124</v>
      </c>
      <c r="E208" s="441"/>
      <c r="F208" s="118" t="s">
        <v>64</v>
      </c>
      <c r="G208" s="225"/>
      <c r="H208" s="126"/>
      <c r="I208" s="126"/>
      <c r="J208" s="126"/>
      <c r="K208" s="18"/>
      <c r="L208" s="18"/>
      <c r="M208" s="18">
        <v>51200</v>
      </c>
      <c r="N208" s="80">
        <v>7</v>
      </c>
      <c r="O208" s="126"/>
      <c r="P208" s="126"/>
      <c r="Q208" s="126"/>
      <c r="R208" s="436"/>
      <c r="S208" s="436"/>
      <c r="T208" s="18"/>
      <c r="U208" s="18"/>
      <c r="V208" s="127">
        <f t="shared" si="9"/>
        <v>23615</v>
      </c>
      <c r="W208" s="45"/>
      <c r="X208" s="67"/>
    </row>
    <row r="209" spans="1:24" ht="14.25" customHeight="1">
      <c r="A209" s="427"/>
      <c r="B209" s="137" t="s">
        <v>463</v>
      </c>
      <c r="C209" s="157" t="s">
        <v>464</v>
      </c>
      <c r="D209" s="48" t="s">
        <v>246</v>
      </c>
      <c r="E209" s="441"/>
      <c r="F209" s="118" t="s">
        <v>64</v>
      </c>
      <c r="G209" s="225"/>
      <c r="H209" s="126"/>
      <c r="I209" s="126"/>
      <c r="J209" s="126"/>
      <c r="K209" s="18"/>
      <c r="L209" s="18"/>
      <c r="M209" s="18"/>
      <c r="N209" s="80"/>
      <c r="O209" s="126"/>
      <c r="P209" s="126">
        <f>July!AR333</f>
        <v>254</v>
      </c>
      <c r="Q209" s="126">
        <f>July!AP333</f>
        <v>1</v>
      </c>
      <c r="R209" s="436"/>
      <c r="S209" s="436"/>
      <c r="T209" s="18"/>
      <c r="U209" s="18"/>
      <c r="V209" s="127">
        <f t="shared" si="9"/>
        <v>0</v>
      </c>
      <c r="W209" s="45"/>
      <c r="X209" s="67"/>
    </row>
    <row r="210" spans="1:24" ht="14.25" customHeight="1">
      <c r="A210" s="427"/>
      <c r="B210" s="137" t="s">
        <v>47</v>
      </c>
      <c r="C210" s="157" t="s">
        <v>100</v>
      </c>
      <c r="D210" s="48" t="s">
        <v>458</v>
      </c>
      <c r="E210" s="441"/>
      <c r="F210" s="118" t="s">
        <v>71</v>
      </c>
      <c r="G210" s="225"/>
      <c r="H210" s="126"/>
      <c r="I210" s="126"/>
      <c r="J210" s="126"/>
      <c r="K210" s="18"/>
      <c r="L210" s="18"/>
      <c r="M210" s="18">
        <v>6100</v>
      </c>
      <c r="N210" s="80">
        <v>1</v>
      </c>
      <c r="O210" s="126">
        <f>July!AQ319</f>
        <v>2400</v>
      </c>
      <c r="P210" s="126">
        <f>July!AR319</f>
        <v>1816</v>
      </c>
      <c r="Q210" s="126">
        <f>July!AP319</f>
        <v>6</v>
      </c>
      <c r="R210" s="436"/>
      <c r="S210" s="436"/>
      <c r="T210" s="18"/>
      <c r="U210" s="18"/>
      <c r="V210" s="127">
        <f t="shared" si="9"/>
        <v>11424</v>
      </c>
      <c r="W210" s="45"/>
      <c r="X210" s="67"/>
    </row>
    <row r="211" spans="1:24" ht="14.25" customHeight="1">
      <c r="A211" s="427"/>
      <c r="B211" s="137" t="s">
        <v>47</v>
      </c>
      <c r="C211" s="157" t="s">
        <v>457</v>
      </c>
      <c r="D211" s="48" t="s">
        <v>458</v>
      </c>
      <c r="E211" s="441"/>
      <c r="F211" s="118" t="s">
        <v>459</v>
      </c>
      <c r="G211" s="225"/>
      <c r="H211" s="126"/>
      <c r="I211" s="126"/>
      <c r="J211" s="126"/>
      <c r="K211" s="18"/>
      <c r="L211" s="18"/>
      <c r="M211" s="18"/>
      <c r="N211" s="80"/>
      <c r="O211" s="126"/>
      <c r="P211" s="126"/>
      <c r="Q211" s="126">
        <f>July!AP320</f>
        <v>1</v>
      </c>
      <c r="R211" s="436"/>
      <c r="S211" s="436"/>
      <c r="T211" s="18"/>
      <c r="U211" s="18"/>
      <c r="V211" s="127">
        <f t="shared" ref="V211:V220" si="10">O211-T211-U211+V178</f>
        <v>0</v>
      </c>
      <c r="W211" s="45"/>
      <c r="X211" s="67"/>
    </row>
    <row r="212" spans="1:24" ht="15" customHeight="1">
      <c r="A212" s="427"/>
      <c r="B212" s="122" t="s">
        <v>196</v>
      </c>
      <c r="C212" s="180" t="s">
        <v>63</v>
      </c>
      <c r="D212" s="48" t="s">
        <v>135</v>
      </c>
      <c r="E212" s="441"/>
      <c r="F212" s="118" t="s">
        <v>64</v>
      </c>
      <c r="G212" s="226"/>
      <c r="H212" s="126"/>
      <c r="I212" s="126"/>
      <c r="J212" s="2"/>
      <c r="K212" s="18"/>
      <c r="L212" s="18"/>
      <c r="M212" s="18"/>
      <c r="N212" s="18"/>
      <c r="O212" s="126"/>
      <c r="P212" s="126"/>
      <c r="Q212" s="126"/>
      <c r="R212" s="436"/>
      <c r="S212" s="436"/>
      <c r="T212" s="18">
        <v>49029</v>
      </c>
      <c r="U212" s="18">
        <v>17</v>
      </c>
      <c r="V212" s="127">
        <f t="shared" si="10"/>
        <v>5441</v>
      </c>
      <c r="W212" s="45"/>
      <c r="X212" s="67"/>
    </row>
    <row r="213" spans="1:24" ht="15" customHeight="1">
      <c r="A213" s="427"/>
      <c r="B213" s="122" t="s">
        <v>253</v>
      </c>
      <c r="C213" s="180" t="s">
        <v>365</v>
      </c>
      <c r="D213" s="48" t="s">
        <v>246</v>
      </c>
      <c r="E213" s="441"/>
      <c r="F213" s="118" t="s">
        <v>247</v>
      </c>
      <c r="G213" s="226"/>
      <c r="H213" s="126"/>
      <c r="I213" s="126"/>
      <c r="J213" s="2"/>
      <c r="K213" s="18"/>
      <c r="L213" s="18"/>
      <c r="M213" s="18"/>
      <c r="N213" s="18"/>
      <c r="O213" s="126">
        <f>July!AQ321</f>
        <v>2557</v>
      </c>
      <c r="P213" s="126">
        <f>July!AR321</f>
        <v>169</v>
      </c>
      <c r="Q213" s="126">
        <f>July!AP321</f>
        <v>2</v>
      </c>
      <c r="R213" s="436"/>
      <c r="S213" s="436"/>
      <c r="T213" s="18"/>
      <c r="U213" s="18"/>
      <c r="V213" s="127">
        <f t="shared" si="10"/>
        <v>6479</v>
      </c>
      <c r="W213" s="45"/>
      <c r="X213" s="67"/>
    </row>
    <row r="214" spans="1:24" ht="15" customHeight="1">
      <c r="A214" s="427"/>
      <c r="B214" s="122" t="s">
        <v>101</v>
      </c>
      <c r="C214" s="180" t="s">
        <v>327</v>
      </c>
      <c r="D214" s="48" t="s">
        <v>102</v>
      </c>
      <c r="E214" s="441"/>
      <c r="F214" s="118" t="s">
        <v>64</v>
      </c>
      <c r="G214" s="119"/>
      <c r="H214" s="126"/>
      <c r="I214" s="126"/>
      <c r="J214" s="2"/>
      <c r="K214" s="18"/>
      <c r="L214" s="18"/>
      <c r="M214" s="18">
        <v>21000</v>
      </c>
      <c r="N214" s="18">
        <v>3</v>
      </c>
      <c r="O214" s="126">
        <f>July!AQ328</f>
        <v>1384</v>
      </c>
      <c r="P214" s="126">
        <f>July!AR328</f>
        <v>1510</v>
      </c>
      <c r="Q214" s="126">
        <f>July!AP328</f>
        <v>4</v>
      </c>
      <c r="R214" s="436"/>
      <c r="S214" s="436"/>
      <c r="T214" s="18"/>
      <c r="U214" s="18"/>
      <c r="V214" s="18">
        <f t="shared" si="10"/>
        <v>6118</v>
      </c>
      <c r="W214" s="45"/>
      <c r="X214" s="67"/>
    </row>
    <row r="215" spans="1:24" ht="15" customHeight="1">
      <c r="A215" s="427"/>
      <c r="B215" s="122" t="s">
        <v>366</v>
      </c>
      <c r="C215" s="180" t="s">
        <v>367</v>
      </c>
      <c r="D215" s="48" t="s">
        <v>132</v>
      </c>
      <c r="E215" s="441"/>
      <c r="F215" s="118" t="s">
        <v>64</v>
      </c>
      <c r="G215" s="119"/>
      <c r="H215" s="126"/>
      <c r="I215" s="126"/>
      <c r="J215" s="2"/>
      <c r="K215" s="18"/>
      <c r="L215" s="18"/>
      <c r="M215" s="18"/>
      <c r="N215" s="18"/>
      <c r="O215" s="126">
        <f>July!AQ329</f>
        <v>1524</v>
      </c>
      <c r="P215" s="126">
        <f>July!AR329</f>
        <v>862</v>
      </c>
      <c r="Q215" s="126">
        <f>July!AP329</f>
        <v>2</v>
      </c>
      <c r="R215" s="436"/>
      <c r="S215" s="436"/>
      <c r="T215" s="18"/>
      <c r="U215" s="18"/>
      <c r="V215" s="18">
        <f t="shared" si="10"/>
        <v>4373</v>
      </c>
      <c r="W215" s="45"/>
      <c r="X215" s="67"/>
    </row>
    <row r="216" spans="1:24" ht="15" customHeight="1">
      <c r="A216" s="427"/>
      <c r="B216" s="122" t="s">
        <v>363</v>
      </c>
      <c r="C216" s="180" t="s">
        <v>325</v>
      </c>
      <c r="D216" s="48" t="s">
        <v>328</v>
      </c>
      <c r="E216" s="441"/>
      <c r="F216" s="118" t="s">
        <v>48</v>
      </c>
      <c r="G216" s="226"/>
      <c r="H216" s="126"/>
      <c r="I216" s="126"/>
      <c r="J216" s="2"/>
      <c r="K216" s="18"/>
      <c r="L216" s="18"/>
      <c r="M216" s="18"/>
      <c r="N216" s="18"/>
      <c r="O216" s="126"/>
      <c r="P216" s="126"/>
      <c r="Q216" s="126"/>
      <c r="R216" s="436"/>
      <c r="S216" s="436"/>
      <c r="T216" s="18"/>
      <c r="U216" s="18"/>
      <c r="V216" s="127">
        <f t="shared" si="10"/>
        <v>16454</v>
      </c>
      <c r="W216" s="45"/>
      <c r="X216" s="67"/>
    </row>
    <row r="217" spans="1:24" ht="15" customHeight="1">
      <c r="A217" s="427"/>
      <c r="B217" s="122" t="s">
        <v>107</v>
      </c>
      <c r="C217" s="180" t="s">
        <v>386</v>
      </c>
      <c r="D217" s="48" t="s">
        <v>108</v>
      </c>
      <c r="E217" s="441"/>
      <c r="F217" s="115" t="s">
        <v>48</v>
      </c>
      <c r="G217" s="113"/>
      <c r="H217" s="125"/>
      <c r="I217" s="125"/>
      <c r="J217" s="250"/>
      <c r="K217" s="127"/>
      <c r="L217" s="127"/>
      <c r="M217" s="127">
        <v>13000</v>
      </c>
      <c r="N217" s="127">
        <v>2</v>
      </c>
      <c r="O217" s="125"/>
      <c r="P217" s="125"/>
      <c r="Q217" s="125"/>
      <c r="R217" s="436"/>
      <c r="S217" s="436"/>
      <c r="T217" s="18"/>
      <c r="U217" s="18"/>
      <c r="V217" s="18">
        <f t="shared" si="10"/>
        <v>12765</v>
      </c>
      <c r="W217" s="85"/>
      <c r="X217" s="67"/>
    </row>
    <row r="218" spans="1:24" s="4" customFormat="1" ht="15" customHeight="1">
      <c r="A218" s="427"/>
      <c r="B218" s="268" t="s">
        <v>375</v>
      </c>
      <c r="C218" s="277" t="s">
        <v>376</v>
      </c>
      <c r="D218" s="43" t="s">
        <v>248</v>
      </c>
      <c r="E218" s="441"/>
      <c r="F218" s="43" t="s">
        <v>64</v>
      </c>
      <c r="G218" s="268"/>
      <c r="H218" s="331"/>
      <c r="I218" s="331"/>
      <c r="J218" s="341"/>
      <c r="K218" s="216"/>
      <c r="L218" s="216"/>
      <c r="M218" s="216"/>
      <c r="N218" s="216"/>
      <c r="O218" s="331"/>
      <c r="P218" s="331"/>
      <c r="Q218" s="331"/>
      <c r="R218" s="436"/>
      <c r="S218" s="436"/>
      <c r="T218" s="216"/>
      <c r="U218" s="216"/>
      <c r="V218" s="216">
        <f t="shared" si="10"/>
        <v>75911</v>
      </c>
      <c r="W218" s="260"/>
      <c r="X218" s="67"/>
    </row>
    <row r="219" spans="1:24" s="4" customFormat="1" ht="15" customHeight="1">
      <c r="A219" s="427"/>
      <c r="B219" s="137" t="s">
        <v>421</v>
      </c>
      <c r="C219" s="157" t="s">
        <v>420</v>
      </c>
      <c r="D219" s="48" t="s">
        <v>248</v>
      </c>
      <c r="E219" s="441"/>
      <c r="F219" s="48" t="s">
        <v>64</v>
      </c>
      <c r="G219" s="122"/>
      <c r="H219" s="34"/>
      <c r="I219" s="34"/>
      <c r="J219" s="6"/>
      <c r="K219" s="211"/>
      <c r="L219" s="211"/>
      <c r="M219" s="211">
        <v>46200</v>
      </c>
      <c r="N219" s="211">
        <v>11</v>
      </c>
      <c r="O219" s="34"/>
      <c r="P219" s="34"/>
      <c r="Q219" s="34">
        <f>July!AP331</f>
        <v>20</v>
      </c>
      <c r="R219" s="436"/>
      <c r="S219" s="436"/>
      <c r="T219" s="211"/>
      <c r="U219" s="211"/>
      <c r="V219" s="211">
        <f t="shared" si="10"/>
        <v>57857</v>
      </c>
      <c r="W219" s="260"/>
      <c r="X219" s="67"/>
    </row>
    <row r="220" spans="1:24" s="4" customFormat="1" ht="15" customHeight="1">
      <c r="A220" s="427"/>
      <c r="B220" s="137" t="s">
        <v>289</v>
      </c>
      <c r="C220" s="157" t="s">
        <v>501</v>
      </c>
      <c r="D220" s="48" t="s">
        <v>432</v>
      </c>
      <c r="E220" s="441"/>
      <c r="F220" s="48" t="s">
        <v>502</v>
      </c>
      <c r="G220" s="366">
        <v>435.59</v>
      </c>
      <c r="H220" s="34"/>
      <c r="I220" s="34"/>
      <c r="J220" s="6"/>
      <c r="K220" s="211"/>
      <c r="L220" s="211"/>
      <c r="M220" s="211">
        <v>12000</v>
      </c>
      <c r="N220" s="211">
        <v>2</v>
      </c>
      <c r="O220" s="34"/>
      <c r="P220" s="34">
        <f>July!AR324</f>
        <v>284</v>
      </c>
      <c r="Q220" s="34">
        <f>July!AP324</f>
        <v>1</v>
      </c>
      <c r="R220" s="436"/>
      <c r="S220" s="436"/>
      <c r="T220" s="211"/>
      <c r="U220" s="211"/>
      <c r="V220" s="211">
        <f t="shared" si="10"/>
        <v>0</v>
      </c>
      <c r="W220" s="260"/>
      <c r="X220" s="67"/>
    </row>
    <row r="221" spans="1:24" s="4" customFormat="1" ht="15" customHeight="1">
      <c r="A221" s="427"/>
      <c r="B221" s="122" t="s">
        <v>289</v>
      </c>
      <c r="C221" s="157" t="s">
        <v>514</v>
      </c>
      <c r="D221" s="48" t="s">
        <v>432</v>
      </c>
      <c r="E221" s="441"/>
      <c r="F221" s="48" t="s">
        <v>506</v>
      </c>
      <c r="G221" s="366">
        <v>554.51</v>
      </c>
      <c r="H221" s="34"/>
      <c r="I221" s="34"/>
      <c r="J221" s="6"/>
      <c r="K221" s="211">
        <v>7000</v>
      </c>
      <c r="L221" s="211">
        <v>1</v>
      </c>
      <c r="M221" s="211">
        <v>7000</v>
      </c>
      <c r="N221" s="211">
        <v>1</v>
      </c>
      <c r="O221" s="34"/>
      <c r="P221" s="34"/>
      <c r="Q221" s="34">
        <f>July!AP325</f>
        <v>1</v>
      </c>
      <c r="R221" s="436"/>
      <c r="S221" s="436"/>
      <c r="T221" s="211"/>
      <c r="U221" s="211"/>
      <c r="V221" s="211">
        <f>O221-T221-U221+V189</f>
        <v>0</v>
      </c>
      <c r="W221" s="260"/>
      <c r="X221" s="67"/>
    </row>
    <row r="222" spans="1:24" s="4" customFormat="1" ht="15" customHeight="1">
      <c r="A222" s="427"/>
      <c r="B222" s="122" t="s">
        <v>289</v>
      </c>
      <c r="C222" s="180" t="s">
        <v>505</v>
      </c>
      <c r="D222" s="48" t="s">
        <v>432</v>
      </c>
      <c r="E222" s="441"/>
      <c r="F222" s="48" t="s">
        <v>435</v>
      </c>
      <c r="G222" s="122"/>
      <c r="H222" s="34"/>
      <c r="I222" s="34"/>
      <c r="J222" s="6"/>
      <c r="K222" s="211"/>
      <c r="L222" s="211"/>
      <c r="M222" s="211"/>
      <c r="N222" s="211"/>
      <c r="O222" s="34"/>
      <c r="P222" s="34">
        <f>July!AR326</f>
        <v>293</v>
      </c>
      <c r="Q222" s="34">
        <f>July!AP326</f>
        <v>1</v>
      </c>
      <c r="R222" s="436"/>
      <c r="S222" s="436"/>
      <c r="T222" s="211"/>
      <c r="U222" s="211"/>
      <c r="V222" s="211">
        <f>O222-T222-U222+V190</f>
        <v>0</v>
      </c>
      <c r="W222" s="260"/>
      <c r="X222" s="67"/>
    </row>
    <row r="223" spans="1:24" s="4" customFormat="1" ht="15" customHeight="1">
      <c r="A223" s="427"/>
      <c r="B223" s="268" t="s">
        <v>453</v>
      </c>
      <c r="C223" s="180" t="s">
        <v>505</v>
      </c>
      <c r="D223" s="43" t="s">
        <v>432</v>
      </c>
      <c r="E223" s="441"/>
      <c r="F223" s="48" t="s">
        <v>57</v>
      </c>
      <c r="G223" s="122"/>
      <c r="H223" s="34"/>
      <c r="I223" s="34"/>
      <c r="J223" s="6"/>
      <c r="K223" s="211"/>
      <c r="L223" s="211"/>
      <c r="M223" s="211"/>
      <c r="N223" s="211"/>
      <c r="O223" s="34"/>
      <c r="P223" s="34"/>
      <c r="Q223" s="34">
        <f>July!AP327</f>
        <v>1</v>
      </c>
      <c r="R223" s="436"/>
      <c r="S223" s="436"/>
      <c r="T223" s="211"/>
      <c r="U223" s="211"/>
      <c r="V223" s="211">
        <f>O223-T223-U223+V191</f>
        <v>0</v>
      </c>
      <c r="W223" s="260"/>
      <c r="X223" s="67"/>
    </row>
    <row r="224" spans="1:24" ht="15" customHeight="1">
      <c r="A224" s="427"/>
      <c r="B224" s="122" t="s">
        <v>103</v>
      </c>
      <c r="C224" s="157" t="s">
        <v>197</v>
      </c>
      <c r="D224" s="48" t="s">
        <v>104</v>
      </c>
      <c r="E224" s="441"/>
      <c r="F224" s="118" t="s">
        <v>105</v>
      </c>
      <c r="G224" s="119"/>
      <c r="H224" s="126"/>
      <c r="I224" s="126"/>
      <c r="J224" s="2"/>
      <c r="K224" s="18"/>
      <c r="L224" s="18"/>
      <c r="M224" s="18"/>
      <c r="N224" s="18"/>
      <c r="O224" s="126"/>
      <c r="P224" s="126"/>
      <c r="Q224" s="126">
        <f>July!AP334</f>
        <v>1</v>
      </c>
      <c r="R224" s="436"/>
      <c r="S224" s="436"/>
      <c r="T224" s="18"/>
      <c r="U224" s="18"/>
      <c r="V224" s="18"/>
      <c r="W224" s="45"/>
      <c r="X224" s="67"/>
    </row>
    <row r="225" spans="1:25" ht="15" customHeight="1" thickBot="1">
      <c r="A225" s="427"/>
      <c r="B225" s="137" t="s">
        <v>112</v>
      </c>
      <c r="C225" s="157" t="s">
        <v>197</v>
      </c>
      <c r="D225" s="48" t="s">
        <v>104</v>
      </c>
      <c r="E225" s="441"/>
      <c r="F225" s="118" t="s">
        <v>113</v>
      </c>
      <c r="G225" s="342"/>
      <c r="H225" s="262"/>
      <c r="I225" s="126"/>
      <c r="J225" s="2"/>
      <c r="K225" s="18"/>
      <c r="L225" s="18"/>
      <c r="M225" s="18"/>
      <c r="N225" s="18"/>
      <c r="O225" s="126"/>
      <c r="P225" s="126"/>
      <c r="Q225" s="126">
        <f>July!AP335</f>
        <v>1</v>
      </c>
      <c r="R225" s="436"/>
      <c r="S225" s="436"/>
      <c r="T225" s="18"/>
      <c r="U225" s="264"/>
      <c r="V225" s="18"/>
      <c r="W225" s="45"/>
      <c r="X225" s="67"/>
    </row>
    <row r="226" spans="1:25" ht="15" customHeight="1">
      <c r="A226" s="426">
        <v>46212</v>
      </c>
      <c r="B226" s="429" t="s">
        <v>44</v>
      </c>
      <c r="C226" s="432" t="s">
        <v>240</v>
      </c>
      <c r="D226" s="19" t="s">
        <v>37</v>
      </c>
      <c r="E226" s="19" t="s">
        <v>25</v>
      </c>
      <c r="F226" s="39" t="s">
        <v>40</v>
      </c>
      <c r="G226" s="41">
        <v>7147.53</v>
      </c>
      <c r="H226" s="32">
        <v>3456</v>
      </c>
      <c r="I226" s="32"/>
      <c r="J226" s="32"/>
      <c r="K226" s="20">
        <v>72000</v>
      </c>
      <c r="L226" s="20">
        <v>9</v>
      </c>
      <c r="M226" s="20">
        <v>144000</v>
      </c>
      <c r="N226" s="84">
        <v>18</v>
      </c>
      <c r="O226" s="32">
        <f>July!AT313</f>
        <v>56999</v>
      </c>
      <c r="P226" s="32">
        <f>July!AU313</f>
        <v>57988</v>
      </c>
      <c r="Q226" s="32">
        <f>July!AS313</f>
        <v>156</v>
      </c>
      <c r="R226" s="435">
        <f>July!AT336</f>
        <v>121418</v>
      </c>
      <c r="S226" s="435">
        <f>July!AU336</f>
        <v>86979</v>
      </c>
      <c r="T226" s="20">
        <v>79125</v>
      </c>
      <c r="U226" s="20">
        <v>23</v>
      </c>
      <c r="V226" s="20">
        <f>O226-T226-U226+V194</f>
        <v>84125</v>
      </c>
      <c r="W226" s="77"/>
      <c r="X226" s="36"/>
    </row>
    <row r="227" spans="1:25" ht="15" customHeight="1">
      <c r="A227" s="427"/>
      <c r="B227" s="431"/>
      <c r="C227" s="434"/>
      <c r="D227" s="113" t="s">
        <v>307</v>
      </c>
      <c r="E227" s="113" t="s">
        <v>24</v>
      </c>
      <c r="F227" s="118" t="s">
        <v>40</v>
      </c>
      <c r="G227" s="170"/>
      <c r="H227" s="158"/>
      <c r="I227" s="125"/>
      <c r="J227" s="125"/>
      <c r="K227" s="127"/>
      <c r="L227" s="127"/>
      <c r="M227" s="216">
        <v>111400</v>
      </c>
      <c r="N227" s="238">
        <v>14</v>
      </c>
      <c r="O227" s="126">
        <f>July!AT314</f>
        <v>51923</v>
      </c>
      <c r="P227" s="125">
        <f>July!AU314</f>
        <v>18783</v>
      </c>
      <c r="Q227" s="125">
        <f>July!AS314</f>
        <v>49</v>
      </c>
      <c r="R227" s="436"/>
      <c r="S227" s="436"/>
      <c r="T227" s="127">
        <v>9130</v>
      </c>
      <c r="U227" s="127"/>
      <c r="V227" s="127">
        <f>O227-T227-U227+V195</f>
        <v>58592</v>
      </c>
      <c r="W227" s="46"/>
      <c r="X227" s="67"/>
    </row>
    <row r="228" spans="1:25" ht="15" customHeight="1">
      <c r="A228" s="427"/>
      <c r="B228" s="442" t="s">
        <v>45</v>
      </c>
      <c r="C228" s="448" t="s">
        <v>59</v>
      </c>
      <c r="D228" s="118" t="s">
        <v>75</v>
      </c>
      <c r="E228" s="438" t="s">
        <v>25</v>
      </c>
      <c r="F228" s="131" t="s">
        <v>57</v>
      </c>
      <c r="G228" s="87"/>
      <c r="H228" s="152"/>
      <c r="I228" s="126"/>
      <c r="J228" s="2"/>
      <c r="K228" s="127">
        <v>5000</v>
      </c>
      <c r="L228" s="18">
        <v>1</v>
      </c>
      <c r="M228" s="18">
        <v>45000</v>
      </c>
      <c r="N228" s="80">
        <v>9</v>
      </c>
      <c r="O228" s="126">
        <f>July!AT316</f>
        <v>3984</v>
      </c>
      <c r="P228" s="126">
        <f>July!AU316</f>
        <v>4180</v>
      </c>
      <c r="Q228" s="2">
        <f>July!AS316</f>
        <v>17</v>
      </c>
      <c r="R228" s="436"/>
      <c r="S228" s="436"/>
      <c r="T228" s="18">
        <v>300</v>
      </c>
      <c r="U228" s="18"/>
      <c r="V228" s="127">
        <f>O228-T228-U228+V197</f>
        <v>20117</v>
      </c>
      <c r="W228" s="46"/>
      <c r="Y228" s="13"/>
    </row>
    <row r="229" spans="1:25" ht="15" customHeight="1">
      <c r="A229" s="427"/>
      <c r="B229" s="439"/>
      <c r="C229" s="440"/>
      <c r="D229" s="118" t="s">
        <v>94</v>
      </c>
      <c r="E229" s="431"/>
      <c r="F229" s="131"/>
      <c r="G229" s="87"/>
      <c r="H229" s="152">
        <f>972+648</f>
        <v>1620</v>
      </c>
      <c r="I229" s="126"/>
      <c r="J229" s="2"/>
      <c r="K229" s="127"/>
      <c r="L229" s="18"/>
      <c r="M229" s="18"/>
      <c r="N229" s="80"/>
      <c r="O229" s="126"/>
      <c r="P229" s="126"/>
      <c r="Q229" s="2"/>
      <c r="R229" s="436"/>
      <c r="S229" s="436"/>
      <c r="T229" s="18"/>
      <c r="U229" s="18"/>
      <c r="V229" s="127"/>
      <c r="W229" s="46"/>
      <c r="Y229" s="13"/>
    </row>
    <row r="230" spans="1:25">
      <c r="A230" s="427"/>
      <c r="B230" s="439"/>
      <c r="C230" s="440"/>
      <c r="D230" s="118" t="s">
        <v>72</v>
      </c>
      <c r="E230" s="155" t="s">
        <v>24</v>
      </c>
      <c r="F230" s="131" t="s">
        <v>57</v>
      </c>
      <c r="G230" s="224"/>
      <c r="H230" s="152"/>
      <c r="I230" s="126"/>
      <c r="J230" s="126"/>
      <c r="K230" s="127"/>
      <c r="L230" s="18"/>
      <c r="M230" s="18">
        <v>49600</v>
      </c>
      <c r="N230" s="80">
        <v>10</v>
      </c>
      <c r="O230" s="126">
        <f>July!AT317</f>
        <v>1241</v>
      </c>
      <c r="P230" s="126">
        <f>July!AU317</f>
        <v>479</v>
      </c>
      <c r="Q230" s="126">
        <f>July!AS317</f>
        <v>5</v>
      </c>
      <c r="R230" s="436"/>
      <c r="S230" s="436"/>
      <c r="T230" s="18"/>
      <c r="U230" s="18"/>
      <c r="V230" s="127">
        <f t="shared" ref="V230:V251" si="11">O230-T230-U230+V198</f>
        <v>26444</v>
      </c>
      <c r="W230" s="46"/>
      <c r="Y230" s="13"/>
    </row>
    <row r="231" spans="1:25" ht="14.25" customHeight="1">
      <c r="A231" s="427"/>
      <c r="B231" s="439"/>
      <c r="C231" s="440"/>
      <c r="D231" s="115" t="s">
        <v>79</v>
      </c>
      <c r="E231" s="118" t="s">
        <v>65</v>
      </c>
      <c r="F231" s="131" t="s">
        <v>57</v>
      </c>
      <c r="G231" s="224"/>
      <c r="H231" s="126"/>
      <c r="I231" s="126"/>
      <c r="J231" s="126"/>
      <c r="K231" s="18"/>
      <c r="L231" s="18"/>
      <c r="M231" s="18"/>
      <c r="N231" s="80"/>
      <c r="O231" s="126"/>
      <c r="P231" s="126"/>
      <c r="Q231" s="126"/>
      <c r="R231" s="436"/>
      <c r="S231" s="436"/>
      <c r="T231" s="18">
        <v>5470</v>
      </c>
      <c r="U231" s="18"/>
      <c r="V231" s="127">
        <f t="shared" si="11"/>
        <v>4741</v>
      </c>
      <c r="W231" s="45"/>
      <c r="X231" s="36"/>
    </row>
    <row r="232" spans="1:25" ht="14.25" customHeight="1">
      <c r="A232" s="427"/>
      <c r="B232" s="443"/>
      <c r="C232" s="271" t="s">
        <v>299</v>
      </c>
      <c r="D232" s="115" t="s">
        <v>75</v>
      </c>
      <c r="E232" s="119" t="s">
        <v>25</v>
      </c>
      <c r="F232" s="131" t="s">
        <v>298</v>
      </c>
      <c r="G232" s="229"/>
      <c r="H232" s="37"/>
      <c r="I232" s="126"/>
      <c r="J232" s="126"/>
      <c r="K232" s="18"/>
      <c r="L232" s="18"/>
      <c r="M232" s="18">
        <v>10000</v>
      </c>
      <c r="N232" s="80">
        <v>2</v>
      </c>
      <c r="O232" s="126"/>
      <c r="P232" s="126"/>
      <c r="Q232" s="126">
        <f>July!AS318</f>
        <v>4</v>
      </c>
      <c r="R232" s="436"/>
      <c r="S232" s="436"/>
      <c r="T232" s="18"/>
      <c r="U232" s="18"/>
      <c r="V232" s="127">
        <f t="shared" si="11"/>
        <v>14595</v>
      </c>
      <c r="W232" s="45"/>
      <c r="X232" s="67"/>
    </row>
    <row r="233" spans="1:25" ht="14.25" customHeight="1">
      <c r="A233" s="427"/>
      <c r="B233" s="439" t="s">
        <v>53</v>
      </c>
      <c r="C233" s="445" t="s">
        <v>60</v>
      </c>
      <c r="D233" s="43" t="s">
        <v>320</v>
      </c>
      <c r="E233" s="441" t="s">
        <v>66</v>
      </c>
      <c r="F233" s="118" t="s">
        <v>54</v>
      </c>
      <c r="G233" s="224"/>
      <c r="H233" s="37"/>
      <c r="I233" s="126"/>
      <c r="J233" s="126"/>
      <c r="K233" s="18"/>
      <c r="L233" s="18"/>
      <c r="M233" s="18"/>
      <c r="N233" s="80"/>
      <c r="O233" s="126"/>
      <c r="P233" s="126"/>
      <c r="Q233" s="126"/>
      <c r="R233" s="436"/>
      <c r="S233" s="436"/>
      <c r="T233" s="18">
        <v>21830</v>
      </c>
      <c r="U233" s="18"/>
      <c r="V233" s="127">
        <f t="shared" si="11"/>
        <v>27876</v>
      </c>
      <c r="W233" s="45"/>
      <c r="X233" s="67"/>
    </row>
    <row r="234" spans="1:25" ht="14.25" customHeight="1">
      <c r="A234" s="427"/>
      <c r="B234" s="439"/>
      <c r="C234" s="445"/>
      <c r="D234" s="43" t="s">
        <v>387</v>
      </c>
      <c r="E234" s="425"/>
      <c r="F234" s="118" t="s">
        <v>54</v>
      </c>
      <c r="G234" s="229"/>
      <c r="H234" s="182"/>
      <c r="I234" s="125"/>
      <c r="J234" s="125"/>
      <c r="K234" s="127"/>
      <c r="L234" s="127"/>
      <c r="M234" s="127">
        <v>64800</v>
      </c>
      <c r="N234" s="171">
        <v>11</v>
      </c>
      <c r="O234" s="125"/>
      <c r="P234" s="125"/>
      <c r="Q234" s="125"/>
      <c r="R234" s="436"/>
      <c r="S234" s="436"/>
      <c r="T234" s="18"/>
      <c r="U234" s="18"/>
      <c r="V234" s="127">
        <f t="shared" si="11"/>
        <v>666</v>
      </c>
      <c r="W234" s="45"/>
      <c r="X234" s="67"/>
    </row>
    <row r="235" spans="1:25" ht="14.25" customHeight="1">
      <c r="A235" s="427"/>
      <c r="B235" s="443"/>
      <c r="C235" s="446"/>
      <c r="D235" s="43" t="s">
        <v>199</v>
      </c>
      <c r="E235" s="114" t="s">
        <v>25</v>
      </c>
      <c r="F235" s="118" t="s">
        <v>54</v>
      </c>
      <c r="G235" s="224"/>
      <c r="H235" s="135"/>
      <c r="I235" s="158"/>
      <c r="J235" s="158"/>
      <c r="K235" s="128"/>
      <c r="L235" s="128"/>
      <c r="M235" s="128"/>
      <c r="N235" s="164"/>
      <c r="O235" s="158"/>
      <c r="P235" s="158"/>
      <c r="Q235" s="158"/>
      <c r="R235" s="436"/>
      <c r="S235" s="436"/>
      <c r="T235" s="18"/>
      <c r="U235" s="18"/>
      <c r="V235" s="127">
        <f t="shared" si="11"/>
        <v>68</v>
      </c>
      <c r="W235" s="45"/>
      <c r="X235" s="67"/>
    </row>
    <row r="236" spans="1:25" ht="15.75" customHeight="1">
      <c r="A236" s="427"/>
      <c r="B236" s="137" t="s">
        <v>55</v>
      </c>
      <c r="C236" s="157" t="s">
        <v>133</v>
      </c>
      <c r="D236" s="48" t="s">
        <v>56</v>
      </c>
      <c r="E236" s="424" t="s">
        <v>25</v>
      </c>
      <c r="F236" s="118" t="s">
        <v>67</v>
      </c>
      <c r="G236" s="226"/>
      <c r="H236" s="126"/>
      <c r="I236" s="126"/>
      <c r="J236" s="2"/>
      <c r="K236" s="18"/>
      <c r="L236" s="18"/>
      <c r="M236" s="18"/>
      <c r="N236" s="18"/>
      <c r="O236" s="126"/>
      <c r="P236" s="126"/>
      <c r="Q236" s="126"/>
      <c r="R236" s="436"/>
      <c r="S236" s="436"/>
      <c r="T236" s="18"/>
      <c r="U236" s="18"/>
      <c r="V236" s="127">
        <f t="shared" si="11"/>
        <v>6322</v>
      </c>
      <c r="W236" s="45"/>
      <c r="X236" s="67"/>
    </row>
    <row r="237" spans="1:25" ht="15" customHeight="1">
      <c r="A237" s="427"/>
      <c r="B237" s="122" t="s">
        <v>122</v>
      </c>
      <c r="C237" s="180" t="s">
        <v>123</v>
      </c>
      <c r="D237" s="48" t="s">
        <v>56</v>
      </c>
      <c r="E237" s="441"/>
      <c r="F237" s="155" t="s">
        <v>64</v>
      </c>
      <c r="G237" s="119"/>
      <c r="H237" s="126"/>
      <c r="I237" s="126"/>
      <c r="J237" s="2"/>
      <c r="K237" s="18"/>
      <c r="L237" s="18"/>
      <c r="M237" s="18">
        <v>6400</v>
      </c>
      <c r="N237" s="18">
        <v>2</v>
      </c>
      <c r="O237" s="126"/>
      <c r="P237" s="126"/>
      <c r="Q237" s="126"/>
      <c r="R237" s="436"/>
      <c r="S237" s="436"/>
      <c r="T237" s="18"/>
      <c r="U237" s="18"/>
      <c r="V237" s="127">
        <f t="shared" si="11"/>
        <v>18121</v>
      </c>
      <c r="W237" s="45"/>
      <c r="X237" s="67"/>
    </row>
    <row r="238" spans="1:25" ht="14.25" customHeight="1">
      <c r="A238" s="427"/>
      <c r="B238" s="137" t="s">
        <v>58</v>
      </c>
      <c r="C238" s="157" t="s">
        <v>243</v>
      </c>
      <c r="D238" s="48" t="s">
        <v>56</v>
      </c>
      <c r="E238" s="441"/>
      <c r="F238" s="118" t="s">
        <v>64</v>
      </c>
      <c r="G238" s="225"/>
      <c r="H238" s="126"/>
      <c r="I238" s="126"/>
      <c r="J238" s="126"/>
      <c r="K238" s="18"/>
      <c r="L238" s="18"/>
      <c r="M238" s="18"/>
      <c r="N238" s="80"/>
      <c r="O238" s="126"/>
      <c r="P238" s="126"/>
      <c r="Q238" s="126"/>
      <c r="R238" s="436"/>
      <c r="S238" s="436"/>
      <c r="T238" s="18"/>
      <c r="U238" s="18"/>
      <c r="V238" s="127">
        <f t="shared" si="11"/>
        <v>8144</v>
      </c>
      <c r="W238" s="45"/>
      <c r="X238" s="67"/>
    </row>
    <row r="239" spans="1:25" ht="14.25" customHeight="1">
      <c r="A239" s="427"/>
      <c r="B239" s="122" t="s">
        <v>61</v>
      </c>
      <c r="C239" s="180" t="s">
        <v>137</v>
      </c>
      <c r="D239" s="48" t="s">
        <v>56</v>
      </c>
      <c r="E239" s="441"/>
      <c r="F239" s="118" t="s">
        <v>67</v>
      </c>
      <c r="G239" s="225"/>
      <c r="H239" s="126"/>
      <c r="I239" s="126"/>
      <c r="J239" s="126"/>
      <c r="K239" s="18"/>
      <c r="L239" s="18"/>
      <c r="M239" s="18"/>
      <c r="N239" s="80"/>
      <c r="O239" s="126"/>
      <c r="P239" s="126"/>
      <c r="Q239" s="126"/>
      <c r="R239" s="436"/>
      <c r="S239" s="436"/>
      <c r="T239" s="18"/>
      <c r="U239" s="18"/>
      <c r="V239" s="127">
        <f t="shared" si="11"/>
        <v>5844</v>
      </c>
      <c r="W239" s="45"/>
      <c r="X239" s="67"/>
    </row>
    <row r="240" spans="1:25" ht="14.25" customHeight="1">
      <c r="A240" s="427"/>
      <c r="B240" s="122" t="s">
        <v>125</v>
      </c>
      <c r="C240" s="180" t="s">
        <v>88</v>
      </c>
      <c r="D240" s="48" t="s">
        <v>124</v>
      </c>
      <c r="E240" s="441"/>
      <c r="F240" s="118" t="s">
        <v>64</v>
      </c>
      <c r="G240" s="225"/>
      <c r="H240" s="126"/>
      <c r="I240" s="126"/>
      <c r="J240" s="126"/>
      <c r="K240" s="18"/>
      <c r="L240" s="18"/>
      <c r="M240" s="18">
        <v>51200</v>
      </c>
      <c r="N240" s="80">
        <v>7</v>
      </c>
      <c r="O240" s="126"/>
      <c r="P240" s="126"/>
      <c r="Q240" s="126"/>
      <c r="R240" s="436"/>
      <c r="S240" s="436"/>
      <c r="T240" s="18"/>
      <c r="U240" s="18"/>
      <c r="V240" s="127">
        <f t="shared" si="11"/>
        <v>23615</v>
      </c>
      <c r="W240" s="45"/>
      <c r="X240" s="67"/>
    </row>
    <row r="241" spans="1:24" ht="14.25" customHeight="1">
      <c r="A241" s="427"/>
      <c r="B241" s="137" t="s">
        <v>463</v>
      </c>
      <c r="C241" s="157" t="s">
        <v>464</v>
      </c>
      <c r="D241" s="48" t="s">
        <v>246</v>
      </c>
      <c r="E241" s="441"/>
      <c r="F241" s="118" t="s">
        <v>64</v>
      </c>
      <c r="G241" s="225"/>
      <c r="H241" s="126"/>
      <c r="I241" s="126"/>
      <c r="J241" s="126"/>
      <c r="K241" s="18"/>
      <c r="L241" s="18"/>
      <c r="M241" s="18"/>
      <c r="N241" s="80"/>
      <c r="O241" s="126"/>
      <c r="P241" s="126">
        <f>July!AU333</f>
        <v>254</v>
      </c>
      <c r="Q241" s="126">
        <f>July!AS333</f>
        <v>1</v>
      </c>
      <c r="R241" s="436"/>
      <c r="S241" s="436"/>
      <c r="T241" s="18"/>
      <c r="U241" s="18"/>
      <c r="V241" s="127">
        <f t="shared" si="11"/>
        <v>0</v>
      </c>
      <c r="W241" s="45"/>
      <c r="X241" s="67"/>
    </row>
    <row r="242" spans="1:24" ht="14.25" customHeight="1">
      <c r="A242" s="427"/>
      <c r="B242" s="137" t="s">
        <v>47</v>
      </c>
      <c r="C242" s="157" t="s">
        <v>100</v>
      </c>
      <c r="D242" s="48" t="s">
        <v>458</v>
      </c>
      <c r="E242" s="441"/>
      <c r="F242" s="118" t="s">
        <v>71</v>
      </c>
      <c r="G242" s="225"/>
      <c r="H242" s="126"/>
      <c r="I242" s="126"/>
      <c r="J242" s="126"/>
      <c r="K242" s="18"/>
      <c r="L242" s="18"/>
      <c r="M242" s="18">
        <v>6100</v>
      </c>
      <c r="N242" s="80">
        <v>1</v>
      </c>
      <c r="O242" s="126">
        <f>July!AT319</f>
        <v>2400</v>
      </c>
      <c r="P242" s="126">
        <f>July!AU319</f>
        <v>1812</v>
      </c>
      <c r="Q242" s="126">
        <f>July!AS319</f>
        <v>6</v>
      </c>
      <c r="R242" s="436"/>
      <c r="S242" s="436"/>
      <c r="T242" s="18"/>
      <c r="U242" s="18"/>
      <c r="V242" s="127">
        <f t="shared" si="11"/>
        <v>13824</v>
      </c>
      <c r="W242" s="45"/>
      <c r="X242" s="67"/>
    </row>
    <row r="243" spans="1:24" ht="14.25" customHeight="1">
      <c r="A243" s="427"/>
      <c r="B243" s="137" t="s">
        <v>47</v>
      </c>
      <c r="C243" s="157" t="s">
        <v>457</v>
      </c>
      <c r="D243" s="48" t="s">
        <v>458</v>
      </c>
      <c r="E243" s="441"/>
      <c r="F243" s="118" t="s">
        <v>459</v>
      </c>
      <c r="G243" s="225"/>
      <c r="H243" s="126"/>
      <c r="I243" s="126"/>
      <c r="J243" s="126"/>
      <c r="K243" s="18"/>
      <c r="L243" s="18"/>
      <c r="M243" s="18"/>
      <c r="N243" s="80"/>
      <c r="O243" s="126"/>
      <c r="P243" s="126"/>
      <c r="Q243" s="126">
        <f>July!AS320</f>
        <v>1</v>
      </c>
      <c r="R243" s="436"/>
      <c r="S243" s="436"/>
      <c r="T243" s="18"/>
      <c r="U243" s="18"/>
      <c r="V243" s="127">
        <f t="shared" si="11"/>
        <v>0</v>
      </c>
      <c r="W243" s="45"/>
      <c r="X243" s="67"/>
    </row>
    <row r="244" spans="1:24" ht="15" customHeight="1">
      <c r="A244" s="427"/>
      <c r="B244" s="122" t="s">
        <v>196</v>
      </c>
      <c r="C244" s="180" t="s">
        <v>63</v>
      </c>
      <c r="D244" s="48" t="s">
        <v>135</v>
      </c>
      <c r="E244" s="441"/>
      <c r="F244" s="118" t="s">
        <v>64</v>
      </c>
      <c r="G244" s="226"/>
      <c r="H244" s="126"/>
      <c r="I244" s="126"/>
      <c r="J244" s="2"/>
      <c r="K244" s="18"/>
      <c r="L244" s="18"/>
      <c r="M244" s="18"/>
      <c r="N244" s="18"/>
      <c r="O244" s="126"/>
      <c r="P244" s="126"/>
      <c r="Q244" s="126"/>
      <c r="R244" s="436"/>
      <c r="S244" s="436"/>
      <c r="T244" s="18">
        <v>4882</v>
      </c>
      <c r="U244" s="18"/>
      <c r="V244" s="127"/>
      <c r="W244" s="45"/>
      <c r="X244" s="67"/>
    </row>
    <row r="245" spans="1:24" ht="15" customHeight="1">
      <c r="A245" s="427"/>
      <c r="B245" s="122" t="s">
        <v>253</v>
      </c>
      <c r="C245" s="180" t="s">
        <v>365</v>
      </c>
      <c r="D245" s="48" t="s">
        <v>246</v>
      </c>
      <c r="E245" s="441"/>
      <c r="F245" s="118" t="s">
        <v>247</v>
      </c>
      <c r="G245" s="226"/>
      <c r="H245" s="126"/>
      <c r="I245" s="126"/>
      <c r="J245" s="2"/>
      <c r="K245" s="18"/>
      <c r="L245" s="18"/>
      <c r="M245" s="18"/>
      <c r="N245" s="18"/>
      <c r="O245" s="126">
        <f>July!AT321</f>
        <v>1957</v>
      </c>
      <c r="P245" s="126">
        <f>July!AU321</f>
        <v>391</v>
      </c>
      <c r="Q245" s="126">
        <f>July!AS321</f>
        <v>2</v>
      </c>
      <c r="R245" s="436"/>
      <c r="S245" s="436"/>
      <c r="T245" s="18"/>
      <c r="U245" s="18"/>
      <c r="V245" s="127">
        <f t="shared" si="11"/>
        <v>8436</v>
      </c>
      <c r="W245" s="45"/>
      <c r="X245" s="67"/>
    </row>
    <row r="246" spans="1:24" ht="15" customHeight="1">
      <c r="A246" s="427"/>
      <c r="B246" s="122" t="s">
        <v>101</v>
      </c>
      <c r="C246" s="180" t="s">
        <v>327</v>
      </c>
      <c r="D246" s="48" t="s">
        <v>102</v>
      </c>
      <c r="E246" s="441"/>
      <c r="F246" s="118" t="s">
        <v>64</v>
      </c>
      <c r="G246" s="119"/>
      <c r="H246" s="126"/>
      <c r="I246" s="126"/>
      <c r="J246" s="2"/>
      <c r="K246" s="18"/>
      <c r="L246" s="18"/>
      <c r="M246" s="18">
        <v>21000</v>
      </c>
      <c r="N246" s="18">
        <v>3</v>
      </c>
      <c r="O246" s="126">
        <f>July!AT328</f>
        <v>0</v>
      </c>
      <c r="P246" s="126">
        <f>July!AU328</f>
        <v>1502</v>
      </c>
      <c r="Q246" s="126">
        <f>July!AS328</f>
        <v>4</v>
      </c>
      <c r="R246" s="436"/>
      <c r="S246" s="436"/>
      <c r="T246" s="18"/>
      <c r="U246" s="18"/>
      <c r="V246" s="18">
        <f t="shared" si="11"/>
        <v>6118</v>
      </c>
      <c r="W246" s="45"/>
      <c r="X246" s="67"/>
    </row>
    <row r="247" spans="1:24" ht="15" customHeight="1">
      <c r="A247" s="427"/>
      <c r="B247" s="122" t="s">
        <v>366</v>
      </c>
      <c r="C247" s="180" t="s">
        <v>367</v>
      </c>
      <c r="D247" s="48" t="s">
        <v>132</v>
      </c>
      <c r="E247" s="441"/>
      <c r="F247" s="118" t="s">
        <v>64</v>
      </c>
      <c r="G247" s="119"/>
      <c r="H247" s="126"/>
      <c r="I247" s="126"/>
      <c r="J247" s="2"/>
      <c r="K247" s="18"/>
      <c r="L247" s="18"/>
      <c r="M247" s="18"/>
      <c r="N247" s="18"/>
      <c r="O247" s="126">
        <f>July!AT329</f>
        <v>1499</v>
      </c>
      <c r="P247" s="126">
        <f>July!AU329</f>
        <v>861</v>
      </c>
      <c r="Q247" s="126">
        <f>July!AS329</f>
        <v>2</v>
      </c>
      <c r="R247" s="436"/>
      <c r="S247" s="436"/>
      <c r="T247" s="18"/>
      <c r="U247" s="18"/>
      <c r="V247" s="18">
        <f t="shared" si="11"/>
        <v>5872</v>
      </c>
      <c r="W247" s="45"/>
      <c r="X247" s="67"/>
    </row>
    <row r="248" spans="1:24" ht="15" customHeight="1">
      <c r="A248" s="427"/>
      <c r="B248" s="122" t="s">
        <v>363</v>
      </c>
      <c r="C248" s="180" t="s">
        <v>325</v>
      </c>
      <c r="D248" s="48" t="s">
        <v>328</v>
      </c>
      <c r="E248" s="441"/>
      <c r="F248" s="118" t="s">
        <v>48</v>
      </c>
      <c r="G248" s="226"/>
      <c r="H248" s="126"/>
      <c r="I248" s="126"/>
      <c r="J248" s="2"/>
      <c r="K248" s="18"/>
      <c r="L248" s="18"/>
      <c r="M248" s="18"/>
      <c r="N248" s="18"/>
      <c r="O248" s="126"/>
      <c r="P248" s="126"/>
      <c r="Q248" s="126"/>
      <c r="R248" s="436"/>
      <c r="S248" s="436"/>
      <c r="T248" s="18"/>
      <c r="U248" s="18"/>
      <c r="V248" s="127">
        <f t="shared" si="11"/>
        <v>16454</v>
      </c>
      <c r="W248" s="45"/>
      <c r="X248" s="67"/>
    </row>
    <row r="249" spans="1:24" ht="15" customHeight="1">
      <c r="A249" s="427"/>
      <c r="B249" s="122" t="s">
        <v>107</v>
      </c>
      <c r="C249" s="180" t="s">
        <v>386</v>
      </c>
      <c r="D249" s="48" t="s">
        <v>108</v>
      </c>
      <c r="E249" s="441"/>
      <c r="F249" s="115" t="s">
        <v>48</v>
      </c>
      <c r="G249" s="113"/>
      <c r="H249" s="125"/>
      <c r="I249" s="125"/>
      <c r="J249" s="250"/>
      <c r="K249" s="127"/>
      <c r="L249" s="127"/>
      <c r="M249" s="127">
        <v>13000</v>
      </c>
      <c r="N249" s="127">
        <v>2</v>
      </c>
      <c r="O249" s="125"/>
      <c r="P249" s="125"/>
      <c r="Q249" s="125"/>
      <c r="R249" s="436"/>
      <c r="S249" s="436"/>
      <c r="T249" s="18"/>
      <c r="U249" s="18"/>
      <c r="V249" s="18">
        <f t="shared" si="11"/>
        <v>12765</v>
      </c>
      <c r="W249" s="85"/>
      <c r="X249" s="67"/>
    </row>
    <row r="250" spans="1:24" s="4" customFormat="1" ht="15" customHeight="1">
      <c r="A250" s="427"/>
      <c r="B250" s="268" t="s">
        <v>375</v>
      </c>
      <c r="C250" s="277" t="s">
        <v>376</v>
      </c>
      <c r="D250" s="43" t="s">
        <v>248</v>
      </c>
      <c r="E250" s="441"/>
      <c r="F250" s="43" t="s">
        <v>64</v>
      </c>
      <c r="G250" s="268"/>
      <c r="H250" s="331"/>
      <c r="I250" s="331"/>
      <c r="J250" s="341"/>
      <c r="K250" s="216"/>
      <c r="L250" s="216"/>
      <c r="M250" s="216"/>
      <c r="N250" s="216"/>
      <c r="O250" s="331"/>
      <c r="P250" s="331"/>
      <c r="Q250" s="331"/>
      <c r="R250" s="436"/>
      <c r="S250" s="436"/>
      <c r="T250" s="216"/>
      <c r="U250" s="216"/>
      <c r="V250" s="216">
        <f t="shared" si="11"/>
        <v>75911</v>
      </c>
      <c r="W250" s="260"/>
      <c r="X250" s="67"/>
    </row>
    <row r="251" spans="1:24" s="4" customFormat="1" ht="15" customHeight="1">
      <c r="A251" s="427"/>
      <c r="B251" s="137" t="s">
        <v>421</v>
      </c>
      <c r="C251" s="157" t="s">
        <v>420</v>
      </c>
      <c r="D251" s="48" t="s">
        <v>248</v>
      </c>
      <c r="E251" s="441"/>
      <c r="F251" s="48" t="s">
        <v>64</v>
      </c>
      <c r="G251" s="122"/>
      <c r="H251" s="34"/>
      <c r="I251" s="34"/>
      <c r="J251" s="6"/>
      <c r="K251" s="211"/>
      <c r="L251" s="211"/>
      <c r="M251" s="211">
        <v>46200</v>
      </c>
      <c r="N251" s="211">
        <v>11</v>
      </c>
      <c r="O251" s="34"/>
      <c r="P251" s="34"/>
      <c r="Q251" s="34">
        <f>July!AS331</f>
        <v>20</v>
      </c>
      <c r="R251" s="436"/>
      <c r="S251" s="436"/>
      <c r="T251" s="211"/>
      <c r="U251" s="211"/>
      <c r="V251" s="211">
        <f t="shared" si="11"/>
        <v>57857</v>
      </c>
      <c r="W251" s="260"/>
      <c r="X251" s="67"/>
    </row>
    <row r="252" spans="1:24" s="4" customFormat="1" ht="15" customHeight="1">
      <c r="A252" s="427"/>
      <c r="B252" s="442" t="s">
        <v>289</v>
      </c>
      <c r="C252" s="444" t="s">
        <v>516</v>
      </c>
      <c r="D252" s="48" t="s">
        <v>432</v>
      </c>
      <c r="E252" s="441"/>
      <c r="F252" s="48" t="s">
        <v>515</v>
      </c>
      <c r="G252" s="386">
        <v>277.2</v>
      </c>
      <c r="H252" s="34"/>
      <c r="I252" s="34"/>
      <c r="J252" s="6"/>
      <c r="K252" s="211"/>
      <c r="L252" s="211"/>
      <c r="M252" s="211">
        <v>4000</v>
      </c>
      <c r="N252" s="211">
        <v>1</v>
      </c>
      <c r="O252" s="34"/>
      <c r="P252" s="34"/>
      <c r="Q252" s="34"/>
      <c r="R252" s="436"/>
      <c r="S252" s="436"/>
      <c r="T252" s="211"/>
      <c r="U252" s="211"/>
      <c r="V252" s="211"/>
      <c r="W252" s="260"/>
      <c r="X252" s="67"/>
    </row>
    <row r="253" spans="1:24" s="4" customFormat="1" ht="15" customHeight="1">
      <c r="A253" s="427"/>
      <c r="B253" s="443"/>
      <c r="C253" s="446"/>
      <c r="D253" s="48" t="s">
        <v>433</v>
      </c>
      <c r="E253" s="441"/>
      <c r="F253" s="48"/>
      <c r="G253" s="122"/>
      <c r="H253" s="34"/>
      <c r="I253" s="34"/>
      <c r="J253" s="6"/>
      <c r="K253" s="211"/>
      <c r="L253" s="211"/>
      <c r="M253" s="211"/>
      <c r="N253" s="211"/>
      <c r="O253" s="34"/>
      <c r="P253" s="34"/>
      <c r="Q253" s="34"/>
      <c r="R253" s="436"/>
      <c r="S253" s="436"/>
      <c r="T253" s="211"/>
      <c r="U253" s="211"/>
      <c r="V253" s="211"/>
      <c r="W253" s="260"/>
      <c r="X253" s="67"/>
    </row>
    <row r="254" spans="1:24" s="4" customFormat="1" ht="15" customHeight="1">
      <c r="A254" s="427"/>
      <c r="B254" s="137" t="s">
        <v>289</v>
      </c>
      <c r="C254" s="157" t="s">
        <v>501</v>
      </c>
      <c r="D254" s="48" t="s">
        <v>432</v>
      </c>
      <c r="E254" s="441"/>
      <c r="F254" s="48" t="s">
        <v>502</v>
      </c>
      <c r="G254" s="122"/>
      <c r="H254" s="34"/>
      <c r="I254" s="34"/>
      <c r="J254" s="6"/>
      <c r="K254" s="211">
        <v>6000</v>
      </c>
      <c r="L254" s="211">
        <v>1</v>
      </c>
      <c r="M254" s="211">
        <v>6000</v>
      </c>
      <c r="N254" s="211">
        <v>1</v>
      </c>
      <c r="O254" s="34">
        <f>July!AT324</f>
        <v>533</v>
      </c>
      <c r="P254" s="34">
        <f>July!AU324</f>
        <v>427</v>
      </c>
      <c r="Q254" s="34">
        <f>July!AS324</f>
        <v>2</v>
      </c>
      <c r="R254" s="436"/>
      <c r="S254" s="436"/>
      <c r="T254" s="211"/>
      <c r="U254" s="211"/>
      <c r="V254" s="211">
        <f>O254-T254-U254+V220</f>
        <v>533</v>
      </c>
      <c r="W254" s="260"/>
      <c r="X254" s="67"/>
    </row>
    <row r="255" spans="1:24" s="4" customFormat="1" ht="15" customHeight="1">
      <c r="A255" s="427"/>
      <c r="B255" s="137" t="s">
        <v>289</v>
      </c>
      <c r="C255" s="157" t="s">
        <v>514</v>
      </c>
      <c r="D255" s="48" t="s">
        <v>432</v>
      </c>
      <c r="E255" s="441"/>
      <c r="F255" s="48" t="s">
        <v>506</v>
      </c>
      <c r="G255" s="366"/>
      <c r="H255" s="34"/>
      <c r="I255" s="34"/>
      <c r="J255" s="6"/>
      <c r="K255" s="211"/>
      <c r="L255" s="211"/>
      <c r="M255" s="211">
        <v>7000</v>
      </c>
      <c r="N255" s="211">
        <v>1</v>
      </c>
      <c r="O255" s="34"/>
      <c r="P255" s="34">
        <f>July!AU325</f>
        <v>101</v>
      </c>
      <c r="Q255" s="34">
        <f>July!AS325</f>
        <v>1</v>
      </c>
      <c r="R255" s="436"/>
      <c r="S255" s="436"/>
      <c r="T255" s="211"/>
      <c r="U255" s="211"/>
      <c r="V255" s="211"/>
      <c r="W255" s="260"/>
      <c r="X255" s="67"/>
    </row>
    <row r="256" spans="1:24" s="4" customFormat="1" ht="15" customHeight="1">
      <c r="A256" s="427"/>
      <c r="B256" s="122" t="s">
        <v>289</v>
      </c>
      <c r="C256" s="180" t="s">
        <v>505</v>
      </c>
      <c r="D256" s="48" t="s">
        <v>432</v>
      </c>
      <c r="E256" s="441"/>
      <c r="F256" s="48" t="s">
        <v>435</v>
      </c>
      <c r="G256" s="122"/>
      <c r="H256" s="34"/>
      <c r="I256" s="34"/>
      <c r="J256" s="6"/>
      <c r="K256" s="211"/>
      <c r="L256" s="211"/>
      <c r="M256" s="211"/>
      <c r="N256" s="211"/>
      <c r="O256" s="34">
        <f>July!AT326</f>
        <v>882</v>
      </c>
      <c r="P256" s="34">
        <f>July!AU326</f>
        <v>40</v>
      </c>
      <c r="Q256" s="34"/>
      <c r="R256" s="436"/>
      <c r="S256" s="436"/>
      <c r="T256" s="211"/>
      <c r="U256" s="211"/>
      <c r="V256" s="211">
        <f>O256-T256-U256+V222</f>
        <v>882</v>
      </c>
      <c r="W256" s="260"/>
      <c r="X256" s="67"/>
    </row>
    <row r="257" spans="1:25" s="4" customFormat="1" ht="15.75" customHeight="1">
      <c r="A257" s="427"/>
      <c r="B257" s="268" t="s">
        <v>453</v>
      </c>
      <c r="C257" s="180" t="s">
        <v>505</v>
      </c>
      <c r="D257" s="43" t="s">
        <v>432</v>
      </c>
      <c r="E257" s="441"/>
      <c r="F257" s="48" t="s">
        <v>57</v>
      </c>
      <c r="G257" s="122"/>
      <c r="H257" s="34"/>
      <c r="I257" s="34"/>
      <c r="J257" s="6"/>
      <c r="K257" s="211"/>
      <c r="L257" s="211"/>
      <c r="M257" s="211"/>
      <c r="N257" s="211"/>
      <c r="O257" s="34"/>
      <c r="P257" s="34">
        <f>July!AU327</f>
        <v>161</v>
      </c>
      <c r="Q257" s="34">
        <f>July!AS327</f>
        <v>1</v>
      </c>
      <c r="R257" s="436"/>
      <c r="S257" s="436"/>
      <c r="T257" s="211"/>
      <c r="U257" s="211"/>
      <c r="V257" s="211"/>
      <c r="W257" s="260"/>
      <c r="X257" s="67"/>
    </row>
    <row r="258" spans="1:25" ht="15" customHeight="1">
      <c r="A258" s="427"/>
      <c r="B258" s="122" t="s">
        <v>103</v>
      </c>
      <c r="C258" s="157" t="s">
        <v>197</v>
      </c>
      <c r="D258" s="48" t="s">
        <v>104</v>
      </c>
      <c r="E258" s="441"/>
      <c r="F258" s="118" t="s">
        <v>105</v>
      </c>
      <c r="G258" s="119"/>
      <c r="H258" s="126"/>
      <c r="I258" s="126"/>
      <c r="J258" s="2"/>
      <c r="K258" s="18"/>
      <c r="L258" s="18"/>
      <c r="M258" s="18"/>
      <c r="N258" s="18"/>
      <c r="O258" s="126"/>
      <c r="P258" s="126"/>
      <c r="Q258" s="126">
        <f>July!AS334</f>
        <v>1</v>
      </c>
      <c r="R258" s="436"/>
      <c r="S258" s="436"/>
      <c r="T258" s="18"/>
      <c r="U258" s="18"/>
      <c r="V258" s="18"/>
      <c r="W258" s="45"/>
      <c r="X258" s="67"/>
    </row>
    <row r="259" spans="1:25" ht="15" customHeight="1" thickBot="1">
      <c r="A259" s="427"/>
      <c r="B259" s="137" t="s">
        <v>112</v>
      </c>
      <c r="C259" s="157" t="s">
        <v>197</v>
      </c>
      <c r="D259" s="48" t="s">
        <v>104</v>
      </c>
      <c r="E259" s="441"/>
      <c r="F259" s="118" t="s">
        <v>113</v>
      </c>
      <c r="G259" s="342"/>
      <c r="H259" s="262"/>
      <c r="I259" s="126"/>
      <c r="J259" s="2"/>
      <c r="K259" s="18"/>
      <c r="L259" s="18"/>
      <c r="M259" s="18"/>
      <c r="N259" s="18"/>
      <c r="O259" s="126"/>
      <c r="P259" s="126"/>
      <c r="Q259" s="126">
        <f>July!AS335</f>
        <v>1</v>
      </c>
      <c r="R259" s="436"/>
      <c r="S259" s="436"/>
      <c r="T259" s="18"/>
      <c r="U259" s="264"/>
      <c r="V259" s="18"/>
      <c r="W259" s="45"/>
      <c r="X259" s="67"/>
    </row>
    <row r="260" spans="1:25" ht="15" customHeight="1">
      <c r="A260" s="426">
        <v>46213</v>
      </c>
      <c r="B260" s="429" t="s">
        <v>44</v>
      </c>
      <c r="C260" s="432" t="s">
        <v>240</v>
      </c>
      <c r="D260" s="19" t="s">
        <v>37</v>
      </c>
      <c r="E260" s="19" t="s">
        <v>25</v>
      </c>
      <c r="F260" s="39" t="s">
        <v>40</v>
      </c>
      <c r="G260" s="41">
        <v>6597.72</v>
      </c>
      <c r="H260" s="32">
        <f>5760+2288</f>
        <v>8048</v>
      </c>
      <c r="I260" s="32"/>
      <c r="J260" s="32"/>
      <c r="K260" s="20">
        <v>64000</v>
      </c>
      <c r="L260" s="20">
        <v>8</v>
      </c>
      <c r="M260" s="20">
        <v>176000</v>
      </c>
      <c r="N260" s="84">
        <v>22</v>
      </c>
      <c r="O260" s="32">
        <f>July!AW313</f>
        <v>50203</v>
      </c>
      <c r="P260" s="32">
        <f>July!AX313</f>
        <v>59572</v>
      </c>
      <c r="Q260" s="32">
        <f>July!AV313</f>
        <v>158</v>
      </c>
      <c r="R260" s="435">
        <f>July!AW336</f>
        <v>74254</v>
      </c>
      <c r="S260" s="435">
        <f>July!AX336</f>
        <v>90947</v>
      </c>
      <c r="T260" s="20">
        <v>61020</v>
      </c>
      <c r="U260" s="20">
        <v>46</v>
      </c>
      <c r="V260" s="20">
        <f>O260-T260-U260+V226</f>
        <v>73262</v>
      </c>
      <c r="W260" s="77"/>
      <c r="X260" s="36"/>
    </row>
    <row r="261" spans="1:25" ht="15" customHeight="1">
      <c r="A261" s="427"/>
      <c r="B261" s="430"/>
      <c r="C261" s="433"/>
      <c r="D261" s="113" t="s">
        <v>307</v>
      </c>
      <c r="E261" s="438" t="s">
        <v>24</v>
      </c>
      <c r="F261" s="118" t="s">
        <v>40</v>
      </c>
      <c r="G261" s="38"/>
      <c r="H261" s="126"/>
      <c r="I261" s="125"/>
      <c r="J261" s="125"/>
      <c r="K261" s="127"/>
      <c r="L261" s="127"/>
      <c r="M261" s="216">
        <v>111400</v>
      </c>
      <c r="N261" s="238">
        <v>14</v>
      </c>
      <c r="O261" s="126">
        <f>July!AW314</f>
        <v>14904</v>
      </c>
      <c r="P261" s="125">
        <f>July!AX314</f>
        <v>18742</v>
      </c>
      <c r="Q261" s="125">
        <f>July!AV314</f>
        <v>49</v>
      </c>
      <c r="R261" s="436"/>
      <c r="S261" s="436"/>
      <c r="T261" s="127">
        <v>19021</v>
      </c>
      <c r="U261" s="127">
        <v>9</v>
      </c>
      <c r="V261" s="127">
        <f>O261-T261-U261+V227</f>
        <v>54466</v>
      </c>
      <c r="W261" s="46"/>
      <c r="X261" s="67"/>
    </row>
    <row r="262" spans="1:25" ht="15" customHeight="1">
      <c r="A262" s="427"/>
      <c r="B262" s="431"/>
      <c r="C262" s="434"/>
      <c r="D262" s="113" t="s">
        <v>511</v>
      </c>
      <c r="E262" s="431"/>
      <c r="F262" s="155"/>
      <c r="G262" s="170"/>
      <c r="H262" s="135">
        <f>559.2+1822.5</f>
        <v>2381.6999999999998</v>
      </c>
      <c r="I262" s="125"/>
      <c r="J262" s="125"/>
      <c r="K262" s="127"/>
      <c r="L262" s="127"/>
      <c r="M262" s="216"/>
      <c r="N262" s="238"/>
      <c r="O262" s="126"/>
      <c r="P262" s="125"/>
      <c r="Q262" s="125"/>
      <c r="R262" s="436"/>
      <c r="S262" s="436"/>
      <c r="T262" s="127"/>
      <c r="U262" s="127"/>
      <c r="V262" s="127"/>
      <c r="W262" s="46"/>
      <c r="X262" s="67"/>
    </row>
    <row r="263" spans="1:25" ht="15" customHeight="1">
      <c r="A263" s="427"/>
      <c r="B263" s="442" t="s">
        <v>45</v>
      </c>
      <c r="C263" s="448" t="s">
        <v>59</v>
      </c>
      <c r="D263" s="118" t="s">
        <v>75</v>
      </c>
      <c r="E263" s="131" t="s">
        <v>25</v>
      </c>
      <c r="F263" s="131" t="s">
        <v>57</v>
      </c>
      <c r="G263" s="87"/>
      <c r="H263" s="152"/>
      <c r="I263" s="126"/>
      <c r="J263" s="2"/>
      <c r="K263" s="127">
        <v>5000</v>
      </c>
      <c r="L263" s="18">
        <v>1</v>
      </c>
      <c r="M263" s="18">
        <v>40000</v>
      </c>
      <c r="N263" s="80">
        <v>8</v>
      </c>
      <c r="O263" s="126">
        <f>July!AW316</f>
        <v>2300</v>
      </c>
      <c r="P263" s="126">
        <f>July!AX316</f>
        <v>4408</v>
      </c>
      <c r="Q263" s="2">
        <f>July!AV316</f>
        <v>17</v>
      </c>
      <c r="R263" s="436"/>
      <c r="S263" s="436"/>
      <c r="T263" s="18">
        <v>11984</v>
      </c>
      <c r="U263" s="18"/>
      <c r="V263" s="127">
        <f>O263-T263-U263+V228</f>
        <v>10433</v>
      </c>
      <c r="W263" s="46"/>
      <c r="Y263" s="13"/>
    </row>
    <row r="264" spans="1:25">
      <c r="A264" s="427"/>
      <c r="B264" s="439"/>
      <c r="C264" s="440"/>
      <c r="D264" s="118" t="s">
        <v>72</v>
      </c>
      <c r="E264" s="155" t="s">
        <v>24</v>
      </c>
      <c r="F264" s="131" t="s">
        <v>57</v>
      </c>
      <c r="G264" s="224"/>
      <c r="H264" s="152"/>
      <c r="I264" s="126"/>
      <c r="J264" s="126"/>
      <c r="K264" s="127"/>
      <c r="L264" s="18"/>
      <c r="M264" s="18">
        <v>49600</v>
      </c>
      <c r="N264" s="80">
        <v>10</v>
      </c>
      <c r="O264" s="126">
        <f>July!AW317</f>
        <v>1060</v>
      </c>
      <c r="P264" s="126">
        <f>July!AX317</f>
        <v>999</v>
      </c>
      <c r="Q264" s="126">
        <f>July!AV317</f>
        <v>5</v>
      </c>
      <c r="R264" s="436"/>
      <c r="S264" s="436"/>
      <c r="T264" s="18"/>
      <c r="U264" s="18"/>
      <c r="V264" s="127">
        <f t="shared" ref="V264:V275" si="12">O264-T264-U264+V230</f>
        <v>27504</v>
      </c>
      <c r="W264" s="46"/>
      <c r="Y264" s="13"/>
    </row>
    <row r="265" spans="1:25" ht="14.25" customHeight="1">
      <c r="A265" s="427"/>
      <c r="B265" s="439"/>
      <c r="C265" s="440"/>
      <c r="D265" s="115" t="s">
        <v>79</v>
      </c>
      <c r="E265" s="118" t="s">
        <v>65</v>
      </c>
      <c r="F265" s="131" t="s">
        <v>57</v>
      </c>
      <c r="G265" s="224"/>
      <c r="H265" s="126"/>
      <c r="I265" s="126"/>
      <c r="J265" s="126"/>
      <c r="K265" s="18"/>
      <c r="L265" s="18"/>
      <c r="M265" s="18"/>
      <c r="N265" s="80"/>
      <c r="O265" s="126"/>
      <c r="P265" s="126"/>
      <c r="Q265" s="126"/>
      <c r="R265" s="436"/>
      <c r="S265" s="436"/>
      <c r="T265" s="18"/>
      <c r="U265" s="18"/>
      <c r="V265" s="127">
        <f t="shared" si="12"/>
        <v>4741</v>
      </c>
      <c r="W265" s="45"/>
      <c r="X265" s="36"/>
    </row>
    <row r="266" spans="1:25" ht="14.25" customHeight="1">
      <c r="A266" s="427"/>
      <c r="B266" s="443"/>
      <c r="C266" s="271" t="s">
        <v>299</v>
      </c>
      <c r="D266" s="115" t="s">
        <v>75</v>
      </c>
      <c r="E266" s="119" t="s">
        <v>25</v>
      </c>
      <c r="F266" s="131" t="s">
        <v>298</v>
      </c>
      <c r="G266" s="229"/>
      <c r="H266" s="37"/>
      <c r="I266" s="126"/>
      <c r="J266" s="126"/>
      <c r="K266" s="18"/>
      <c r="L266" s="18"/>
      <c r="M266" s="18">
        <v>10000</v>
      </c>
      <c r="N266" s="80">
        <v>2</v>
      </c>
      <c r="O266" s="126">
        <f>July!AW318</f>
        <v>1100</v>
      </c>
      <c r="P266" s="126">
        <f>July!AX318</f>
        <v>1072</v>
      </c>
      <c r="Q266" s="126">
        <f>July!AV318</f>
        <v>4</v>
      </c>
      <c r="R266" s="436"/>
      <c r="S266" s="436"/>
      <c r="T266" s="18"/>
      <c r="U266" s="18"/>
      <c r="V266" s="127">
        <f t="shared" si="12"/>
        <v>15695</v>
      </c>
      <c r="W266" s="45"/>
      <c r="X266" s="67"/>
    </row>
    <row r="267" spans="1:25" ht="14.25" customHeight="1">
      <c r="A267" s="427"/>
      <c r="B267" s="439" t="s">
        <v>53</v>
      </c>
      <c r="C267" s="445" t="s">
        <v>60</v>
      </c>
      <c r="D267" s="43" t="s">
        <v>320</v>
      </c>
      <c r="E267" s="441" t="s">
        <v>66</v>
      </c>
      <c r="F267" s="118" t="s">
        <v>54</v>
      </c>
      <c r="G267" s="224"/>
      <c r="H267" s="37"/>
      <c r="I267" s="126"/>
      <c r="J267" s="126"/>
      <c r="K267" s="18"/>
      <c r="L267" s="18"/>
      <c r="M267" s="18"/>
      <c r="N267" s="80"/>
      <c r="O267" s="126"/>
      <c r="P267" s="126"/>
      <c r="Q267" s="126"/>
      <c r="R267" s="436"/>
      <c r="S267" s="436"/>
      <c r="T267" s="18">
        <v>6311</v>
      </c>
      <c r="U267" s="18"/>
      <c r="V267" s="127">
        <f t="shared" si="12"/>
        <v>21565</v>
      </c>
      <c r="W267" s="45"/>
      <c r="X267" s="67"/>
    </row>
    <row r="268" spans="1:25" ht="14.25" customHeight="1">
      <c r="A268" s="427"/>
      <c r="B268" s="439"/>
      <c r="C268" s="445"/>
      <c r="D268" s="43" t="s">
        <v>387</v>
      </c>
      <c r="E268" s="425"/>
      <c r="F268" s="118" t="s">
        <v>54</v>
      </c>
      <c r="G268" s="229"/>
      <c r="H268" s="182"/>
      <c r="I268" s="125"/>
      <c r="J268" s="125"/>
      <c r="K268" s="127"/>
      <c r="L268" s="127"/>
      <c r="M268" s="127">
        <v>64800</v>
      </c>
      <c r="N268" s="171">
        <v>11</v>
      </c>
      <c r="O268" s="125"/>
      <c r="P268" s="125"/>
      <c r="Q268" s="125"/>
      <c r="R268" s="436"/>
      <c r="S268" s="436"/>
      <c r="T268" s="18"/>
      <c r="U268" s="18"/>
      <c r="V268" s="127">
        <f t="shared" si="12"/>
        <v>666</v>
      </c>
      <c r="W268" s="45"/>
      <c r="X268" s="67"/>
    </row>
    <row r="269" spans="1:25" ht="14.25" customHeight="1">
      <c r="A269" s="427"/>
      <c r="B269" s="443"/>
      <c r="C269" s="446"/>
      <c r="D269" s="43" t="s">
        <v>199</v>
      </c>
      <c r="E269" s="114" t="s">
        <v>25</v>
      </c>
      <c r="F269" s="118" t="s">
        <v>54</v>
      </c>
      <c r="G269" s="224"/>
      <c r="H269" s="135"/>
      <c r="I269" s="158"/>
      <c r="J269" s="158"/>
      <c r="K269" s="128"/>
      <c r="L269" s="128"/>
      <c r="M269" s="128"/>
      <c r="N269" s="164"/>
      <c r="O269" s="158"/>
      <c r="P269" s="158"/>
      <c r="Q269" s="158"/>
      <c r="R269" s="436"/>
      <c r="S269" s="436"/>
      <c r="T269" s="18"/>
      <c r="U269" s="18"/>
      <c r="V269" s="127">
        <f t="shared" si="12"/>
        <v>68</v>
      </c>
      <c r="W269" s="45"/>
      <c r="X269" s="67"/>
    </row>
    <row r="270" spans="1:25" ht="15.75" customHeight="1">
      <c r="A270" s="427"/>
      <c r="B270" s="137" t="s">
        <v>55</v>
      </c>
      <c r="C270" s="157" t="s">
        <v>133</v>
      </c>
      <c r="D270" s="48" t="s">
        <v>56</v>
      </c>
      <c r="E270" s="424" t="s">
        <v>25</v>
      </c>
      <c r="F270" s="118" t="s">
        <v>67</v>
      </c>
      <c r="G270" s="226"/>
      <c r="H270" s="126"/>
      <c r="I270" s="126"/>
      <c r="J270" s="2"/>
      <c r="K270" s="18"/>
      <c r="L270" s="18"/>
      <c r="M270" s="18"/>
      <c r="N270" s="18"/>
      <c r="O270" s="126"/>
      <c r="P270" s="126"/>
      <c r="Q270" s="126"/>
      <c r="R270" s="436"/>
      <c r="S270" s="436"/>
      <c r="T270" s="18"/>
      <c r="U270" s="18"/>
      <c r="V270" s="127">
        <f t="shared" si="12"/>
        <v>6322</v>
      </c>
      <c r="W270" s="45"/>
      <c r="X270" s="67"/>
    </row>
    <row r="271" spans="1:25" ht="15" customHeight="1">
      <c r="A271" s="427"/>
      <c r="B271" s="122" t="s">
        <v>122</v>
      </c>
      <c r="C271" s="180" t="s">
        <v>123</v>
      </c>
      <c r="D271" s="48" t="s">
        <v>56</v>
      </c>
      <c r="E271" s="441"/>
      <c r="F271" s="155" t="s">
        <v>64</v>
      </c>
      <c r="G271" s="119"/>
      <c r="H271" s="126"/>
      <c r="I271" s="126"/>
      <c r="J271" s="2"/>
      <c r="K271" s="18"/>
      <c r="L271" s="18"/>
      <c r="M271" s="18">
        <v>6400</v>
      </c>
      <c r="N271" s="18">
        <v>2</v>
      </c>
      <c r="O271" s="126"/>
      <c r="P271" s="126"/>
      <c r="Q271" s="126"/>
      <c r="R271" s="436"/>
      <c r="S271" s="436"/>
      <c r="T271" s="18"/>
      <c r="U271" s="18"/>
      <c r="V271" s="127">
        <f t="shared" si="12"/>
        <v>18121</v>
      </c>
      <c r="W271" s="45"/>
      <c r="X271" s="67"/>
    </row>
    <row r="272" spans="1:25" ht="14.25" customHeight="1">
      <c r="A272" s="427"/>
      <c r="B272" s="137" t="s">
        <v>58</v>
      </c>
      <c r="C272" s="157" t="s">
        <v>243</v>
      </c>
      <c r="D272" s="48" t="s">
        <v>56</v>
      </c>
      <c r="E272" s="441"/>
      <c r="F272" s="118" t="s">
        <v>64</v>
      </c>
      <c r="G272" s="225"/>
      <c r="H272" s="126"/>
      <c r="I272" s="126"/>
      <c r="J272" s="126"/>
      <c r="K272" s="18"/>
      <c r="L272" s="18"/>
      <c r="M272" s="18"/>
      <c r="N272" s="80"/>
      <c r="O272" s="126"/>
      <c r="P272" s="126"/>
      <c r="Q272" s="126"/>
      <c r="R272" s="436"/>
      <c r="S272" s="436"/>
      <c r="T272" s="18"/>
      <c r="U272" s="18"/>
      <c r="V272" s="127">
        <f t="shared" si="12"/>
        <v>8144</v>
      </c>
      <c r="W272" s="45"/>
      <c r="X272" s="67"/>
    </row>
    <row r="273" spans="1:24" ht="14.25" customHeight="1">
      <c r="A273" s="427"/>
      <c r="B273" s="122" t="s">
        <v>61</v>
      </c>
      <c r="C273" s="180" t="s">
        <v>137</v>
      </c>
      <c r="D273" s="48" t="s">
        <v>56</v>
      </c>
      <c r="E273" s="441"/>
      <c r="F273" s="118" t="s">
        <v>67</v>
      </c>
      <c r="G273" s="225"/>
      <c r="H273" s="126"/>
      <c r="I273" s="126"/>
      <c r="J273" s="126"/>
      <c r="K273" s="18"/>
      <c r="L273" s="18"/>
      <c r="M273" s="18"/>
      <c r="N273" s="80"/>
      <c r="O273" s="126"/>
      <c r="P273" s="126"/>
      <c r="Q273" s="126"/>
      <c r="R273" s="436"/>
      <c r="S273" s="436"/>
      <c r="T273" s="18"/>
      <c r="U273" s="18"/>
      <c r="V273" s="127">
        <f t="shared" si="12"/>
        <v>5844</v>
      </c>
      <c r="W273" s="45"/>
      <c r="X273" s="67"/>
    </row>
    <row r="274" spans="1:24" ht="14.25" customHeight="1">
      <c r="A274" s="427"/>
      <c r="B274" s="122" t="s">
        <v>125</v>
      </c>
      <c r="C274" s="180" t="s">
        <v>88</v>
      </c>
      <c r="D274" s="48" t="s">
        <v>124</v>
      </c>
      <c r="E274" s="441"/>
      <c r="F274" s="118" t="s">
        <v>64</v>
      </c>
      <c r="G274" s="225"/>
      <c r="H274" s="126"/>
      <c r="I274" s="126"/>
      <c r="J274" s="126"/>
      <c r="K274" s="18"/>
      <c r="L274" s="18"/>
      <c r="M274" s="18">
        <v>51200</v>
      </c>
      <c r="N274" s="80">
        <v>7</v>
      </c>
      <c r="O274" s="126"/>
      <c r="P274" s="126"/>
      <c r="Q274" s="126"/>
      <c r="R274" s="436"/>
      <c r="S274" s="436"/>
      <c r="T274" s="18"/>
      <c r="U274" s="18"/>
      <c r="V274" s="127">
        <f t="shared" si="12"/>
        <v>23615</v>
      </c>
      <c r="W274" s="45"/>
      <c r="X274" s="67"/>
    </row>
    <row r="275" spans="1:24" ht="14.25" customHeight="1">
      <c r="A275" s="427"/>
      <c r="B275" s="442" t="s">
        <v>463</v>
      </c>
      <c r="C275" s="444" t="s">
        <v>464</v>
      </c>
      <c r="D275" s="48" t="s">
        <v>246</v>
      </c>
      <c r="E275" s="441"/>
      <c r="F275" s="118" t="s">
        <v>64</v>
      </c>
      <c r="G275" s="225"/>
      <c r="H275" s="126"/>
      <c r="I275" s="126"/>
      <c r="J275" s="126"/>
      <c r="K275" s="18"/>
      <c r="L275" s="18"/>
      <c r="M275" s="18"/>
      <c r="N275" s="80"/>
      <c r="O275" s="126"/>
      <c r="P275" s="126">
        <f>July!AX333</f>
        <v>239</v>
      </c>
      <c r="Q275" s="126">
        <f>July!AV333</f>
        <v>1</v>
      </c>
      <c r="R275" s="436"/>
      <c r="S275" s="436"/>
      <c r="T275" s="18"/>
      <c r="U275" s="18"/>
      <c r="V275" s="127">
        <f t="shared" si="12"/>
        <v>0</v>
      </c>
      <c r="W275" s="45"/>
      <c r="X275" s="67"/>
    </row>
    <row r="276" spans="1:24" ht="14.25" customHeight="1">
      <c r="A276" s="427"/>
      <c r="B276" s="443"/>
      <c r="C276" s="446"/>
      <c r="D276" s="48" t="s">
        <v>124</v>
      </c>
      <c r="E276" s="441"/>
      <c r="F276" s="118"/>
      <c r="G276" s="225"/>
      <c r="H276" s="126">
        <v>80</v>
      </c>
      <c r="I276" s="126"/>
      <c r="J276" s="126"/>
      <c r="K276" s="18"/>
      <c r="L276" s="18"/>
      <c r="M276" s="18"/>
      <c r="N276" s="80"/>
      <c r="O276" s="126"/>
      <c r="P276" s="126"/>
      <c r="Q276" s="126"/>
      <c r="R276" s="436"/>
      <c r="S276" s="436"/>
      <c r="T276" s="18"/>
      <c r="U276" s="18"/>
      <c r="V276" s="127"/>
      <c r="W276" s="45"/>
      <c r="X276" s="67"/>
    </row>
    <row r="277" spans="1:24" ht="14.25" customHeight="1">
      <c r="A277" s="427"/>
      <c r="B277" s="137" t="s">
        <v>47</v>
      </c>
      <c r="C277" s="157" t="s">
        <v>100</v>
      </c>
      <c r="D277" s="48" t="s">
        <v>458</v>
      </c>
      <c r="E277" s="441"/>
      <c r="F277" s="118" t="s">
        <v>71</v>
      </c>
      <c r="G277" s="225"/>
      <c r="H277" s="126"/>
      <c r="I277" s="126"/>
      <c r="J277" s="126"/>
      <c r="K277" s="18"/>
      <c r="L277" s="18"/>
      <c r="M277" s="18">
        <v>6100</v>
      </c>
      <c r="N277" s="80">
        <v>1</v>
      </c>
      <c r="O277" s="126">
        <f>July!AW319</f>
        <v>1000</v>
      </c>
      <c r="P277" s="126">
        <f>July!AX319</f>
        <v>1821</v>
      </c>
      <c r="Q277" s="126">
        <f>July!AV319</f>
        <v>6</v>
      </c>
      <c r="R277" s="436"/>
      <c r="S277" s="436"/>
      <c r="T277" s="18">
        <v>9596</v>
      </c>
      <c r="U277" s="18">
        <v>4</v>
      </c>
      <c r="V277" s="127">
        <f>O277-T277-U277+V242</f>
        <v>5224</v>
      </c>
      <c r="W277" s="45"/>
      <c r="X277" s="67"/>
    </row>
    <row r="278" spans="1:24" ht="14.25" customHeight="1">
      <c r="A278" s="427"/>
      <c r="B278" s="137" t="s">
        <v>47</v>
      </c>
      <c r="C278" s="157" t="s">
        <v>457</v>
      </c>
      <c r="D278" s="48" t="s">
        <v>458</v>
      </c>
      <c r="E278" s="441"/>
      <c r="F278" s="118" t="s">
        <v>459</v>
      </c>
      <c r="G278" s="225"/>
      <c r="H278" s="126"/>
      <c r="I278" s="126"/>
      <c r="J278" s="126"/>
      <c r="K278" s="18"/>
      <c r="L278" s="18"/>
      <c r="M278" s="18"/>
      <c r="N278" s="80"/>
      <c r="O278" s="126"/>
      <c r="P278" s="126"/>
      <c r="Q278" s="126">
        <f>July!AV320</f>
        <v>1</v>
      </c>
      <c r="R278" s="436"/>
      <c r="S278" s="436"/>
      <c r="T278" s="18"/>
      <c r="U278" s="18"/>
      <c r="V278" s="127">
        <f>O278-T278-U278+V243</f>
        <v>0</v>
      </c>
      <c r="W278" s="45"/>
      <c r="X278" s="67"/>
    </row>
    <row r="279" spans="1:24" ht="14.25" customHeight="1">
      <c r="A279" s="427"/>
      <c r="B279" s="137" t="s">
        <v>196</v>
      </c>
      <c r="C279" s="157" t="s">
        <v>63</v>
      </c>
      <c r="D279" s="48" t="s">
        <v>135</v>
      </c>
      <c r="E279" s="441"/>
      <c r="F279" s="118" t="s">
        <v>64</v>
      </c>
      <c r="G279" s="400">
        <v>553.41999999999996</v>
      </c>
      <c r="H279" s="126"/>
      <c r="I279" s="126"/>
      <c r="J279" s="126"/>
      <c r="K279" s="18"/>
      <c r="L279" s="18"/>
      <c r="M279" s="18">
        <v>11800</v>
      </c>
      <c r="N279" s="80">
        <v>2</v>
      </c>
      <c r="O279" s="126"/>
      <c r="P279" s="126"/>
      <c r="Q279" s="126"/>
      <c r="R279" s="436"/>
      <c r="S279" s="436"/>
      <c r="T279" s="18"/>
      <c r="U279" s="18"/>
      <c r="V279" s="127"/>
      <c r="W279" s="45"/>
      <c r="X279" s="67"/>
    </row>
    <row r="280" spans="1:24" ht="15" customHeight="1">
      <c r="A280" s="427"/>
      <c r="B280" s="122" t="s">
        <v>253</v>
      </c>
      <c r="C280" s="180" t="s">
        <v>365</v>
      </c>
      <c r="D280" s="48" t="s">
        <v>246</v>
      </c>
      <c r="E280" s="441"/>
      <c r="F280" s="118" t="s">
        <v>247</v>
      </c>
      <c r="G280" s="226"/>
      <c r="H280" s="126"/>
      <c r="I280" s="126"/>
      <c r="J280" s="2"/>
      <c r="K280" s="18"/>
      <c r="L280" s="18"/>
      <c r="M280" s="18"/>
      <c r="N280" s="18"/>
      <c r="O280" s="126"/>
      <c r="P280" s="126">
        <f>July!AX321</f>
        <v>461</v>
      </c>
      <c r="Q280" s="126">
        <f>July!AV321</f>
        <v>2</v>
      </c>
      <c r="R280" s="436"/>
      <c r="S280" s="436"/>
      <c r="T280" s="18"/>
      <c r="U280" s="18"/>
      <c r="V280" s="127">
        <f t="shared" ref="V280:V286" si="13">O280-T280-U280+V245</f>
        <v>8436</v>
      </c>
      <c r="W280" s="45"/>
      <c r="X280" s="67"/>
    </row>
    <row r="281" spans="1:24" ht="15" customHeight="1">
      <c r="A281" s="427"/>
      <c r="B281" s="122" t="s">
        <v>101</v>
      </c>
      <c r="C281" s="180" t="s">
        <v>327</v>
      </c>
      <c r="D281" s="48" t="s">
        <v>102</v>
      </c>
      <c r="E281" s="441"/>
      <c r="F281" s="118" t="s">
        <v>64</v>
      </c>
      <c r="G281" s="119"/>
      <c r="H281" s="37">
        <v>535.5</v>
      </c>
      <c r="I281" s="126"/>
      <c r="J281" s="2"/>
      <c r="K281" s="18">
        <v>7000</v>
      </c>
      <c r="L281" s="18">
        <v>1</v>
      </c>
      <c r="M281" s="18">
        <v>14000</v>
      </c>
      <c r="N281" s="18">
        <v>2</v>
      </c>
      <c r="O281" s="126">
        <f>July!AW328</f>
        <v>3653</v>
      </c>
      <c r="P281" s="126">
        <f>July!AX328</f>
        <v>1543</v>
      </c>
      <c r="Q281" s="126">
        <f>July!AV328</f>
        <v>4</v>
      </c>
      <c r="R281" s="436"/>
      <c r="S281" s="436"/>
      <c r="T281" s="18"/>
      <c r="U281" s="18"/>
      <c r="V281" s="18">
        <f t="shared" si="13"/>
        <v>9771</v>
      </c>
      <c r="W281" s="45"/>
      <c r="X281" s="67"/>
    </row>
    <row r="282" spans="1:24" ht="15" customHeight="1">
      <c r="A282" s="427"/>
      <c r="B282" s="122" t="s">
        <v>366</v>
      </c>
      <c r="C282" s="180" t="s">
        <v>367</v>
      </c>
      <c r="D282" s="48" t="s">
        <v>132</v>
      </c>
      <c r="E282" s="441"/>
      <c r="F282" s="118" t="s">
        <v>64</v>
      </c>
      <c r="G282" s="119"/>
      <c r="H282" s="126">
        <v>189</v>
      </c>
      <c r="I282" s="126"/>
      <c r="J282" s="2"/>
      <c r="K282" s="18"/>
      <c r="L282" s="18"/>
      <c r="M282" s="18"/>
      <c r="N282" s="18"/>
      <c r="O282" s="126"/>
      <c r="P282" s="126">
        <f>July!AX329</f>
        <v>844</v>
      </c>
      <c r="Q282" s="126">
        <f>July!AV329</f>
        <v>2</v>
      </c>
      <c r="R282" s="436"/>
      <c r="S282" s="436"/>
      <c r="T282" s="18"/>
      <c r="U282" s="18"/>
      <c r="V282" s="18">
        <f t="shared" si="13"/>
        <v>5872</v>
      </c>
      <c r="W282" s="45"/>
      <c r="X282" s="67"/>
    </row>
    <row r="283" spans="1:24" ht="15" customHeight="1">
      <c r="A283" s="427"/>
      <c r="B283" s="122" t="s">
        <v>363</v>
      </c>
      <c r="C283" s="180" t="s">
        <v>325</v>
      </c>
      <c r="D283" s="48" t="s">
        <v>328</v>
      </c>
      <c r="E283" s="441"/>
      <c r="F283" s="118" t="s">
        <v>48</v>
      </c>
      <c r="G283" s="226"/>
      <c r="H283" s="126"/>
      <c r="I283" s="126"/>
      <c r="J283" s="2"/>
      <c r="K283" s="18"/>
      <c r="L283" s="18"/>
      <c r="M283" s="18"/>
      <c r="N283" s="18"/>
      <c r="O283" s="126"/>
      <c r="P283" s="126"/>
      <c r="Q283" s="126"/>
      <c r="R283" s="436"/>
      <c r="S283" s="436"/>
      <c r="T283" s="18"/>
      <c r="U283" s="18"/>
      <c r="V283" s="127">
        <f t="shared" si="13"/>
        <v>16454</v>
      </c>
      <c r="W283" s="45"/>
      <c r="X283" s="67"/>
    </row>
    <row r="284" spans="1:24" ht="15" customHeight="1">
      <c r="A284" s="427"/>
      <c r="B284" s="122" t="s">
        <v>107</v>
      </c>
      <c r="C284" s="180" t="s">
        <v>386</v>
      </c>
      <c r="D284" s="48" t="s">
        <v>108</v>
      </c>
      <c r="E284" s="441"/>
      <c r="F284" s="115" t="s">
        <v>48</v>
      </c>
      <c r="G284" s="113"/>
      <c r="H284" s="125"/>
      <c r="I284" s="125"/>
      <c r="J284" s="250"/>
      <c r="K284" s="127"/>
      <c r="L284" s="127"/>
      <c r="M284" s="127">
        <v>13000</v>
      </c>
      <c r="N284" s="127">
        <v>2</v>
      </c>
      <c r="O284" s="125"/>
      <c r="P284" s="125"/>
      <c r="Q284" s="125"/>
      <c r="R284" s="436"/>
      <c r="S284" s="436"/>
      <c r="T284" s="18"/>
      <c r="U284" s="18"/>
      <c r="V284" s="18">
        <f t="shared" si="13"/>
        <v>12765</v>
      </c>
      <c r="W284" s="85"/>
      <c r="X284" s="67"/>
    </row>
    <row r="285" spans="1:24" s="4" customFormat="1" ht="15" customHeight="1">
      <c r="A285" s="427"/>
      <c r="B285" s="268" t="s">
        <v>375</v>
      </c>
      <c r="C285" s="277" t="s">
        <v>376</v>
      </c>
      <c r="D285" s="43" t="s">
        <v>248</v>
      </c>
      <c r="E285" s="441"/>
      <c r="F285" s="43" t="s">
        <v>64</v>
      </c>
      <c r="G285" s="268"/>
      <c r="H285" s="331"/>
      <c r="I285" s="331"/>
      <c r="J285" s="341"/>
      <c r="K285" s="216"/>
      <c r="L285" s="216"/>
      <c r="M285" s="216"/>
      <c r="N285" s="216"/>
      <c r="O285" s="331"/>
      <c r="P285" s="331"/>
      <c r="Q285" s="331"/>
      <c r="R285" s="436"/>
      <c r="S285" s="436"/>
      <c r="T285" s="216"/>
      <c r="U285" s="216"/>
      <c r="V285" s="216">
        <f t="shared" si="13"/>
        <v>75911</v>
      </c>
      <c r="W285" s="260"/>
      <c r="X285" s="67"/>
    </row>
    <row r="286" spans="1:24" s="4" customFormat="1" ht="15" customHeight="1">
      <c r="A286" s="427"/>
      <c r="B286" s="137" t="s">
        <v>421</v>
      </c>
      <c r="C286" s="157" t="s">
        <v>420</v>
      </c>
      <c r="D286" s="48" t="s">
        <v>248</v>
      </c>
      <c r="E286" s="441"/>
      <c r="F286" s="48" t="s">
        <v>64</v>
      </c>
      <c r="G286" s="122"/>
      <c r="H286" s="34"/>
      <c r="I286" s="34"/>
      <c r="J286" s="6"/>
      <c r="K286" s="211"/>
      <c r="L286" s="211"/>
      <c r="M286" s="211">
        <v>46200</v>
      </c>
      <c r="N286" s="211">
        <v>11</v>
      </c>
      <c r="O286" s="34"/>
      <c r="P286" s="34"/>
      <c r="Q286" s="34">
        <f>July!AV331</f>
        <v>20</v>
      </c>
      <c r="R286" s="436"/>
      <c r="S286" s="436"/>
      <c r="T286" s="211"/>
      <c r="U286" s="211"/>
      <c r="V286" s="211">
        <f t="shared" si="13"/>
        <v>57857</v>
      </c>
      <c r="W286" s="260"/>
      <c r="X286" s="67"/>
    </row>
    <row r="287" spans="1:24" s="4" customFormat="1" ht="15" customHeight="1">
      <c r="A287" s="427"/>
      <c r="B287" s="137" t="s">
        <v>289</v>
      </c>
      <c r="C287" s="157" t="s">
        <v>516</v>
      </c>
      <c r="D287" s="48" t="s">
        <v>432</v>
      </c>
      <c r="E287" s="441"/>
      <c r="F287" s="48" t="s">
        <v>515</v>
      </c>
      <c r="G287" s="122"/>
      <c r="H287" s="34"/>
      <c r="I287" s="34"/>
      <c r="J287" s="6"/>
      <c r="K287" s="211"/>
      <c r="L287" s="211"/>
      <c r="M287" s="211">
        <v>4000</v>
      </c>
      <c r="N287" s="211">
        <v>1</v>
      </c>
      <c r="O287" s="34"/>
      <c r="P287" s="34"/>
      <c r="Q287" s="34"/>
      <c r="R287" s="436"/>
      <c r="S287" s="436"/>
      <c r="T287" s="211"/>
      <c r="U287" s="211"/>
      <c r="V287" s="211"/>
      <c r="W287" s="260"/>
      <c r="X287" s="67"/>
    </row>
    <row r="288" spans="1:24" s="4" customFormat="1" ht="15" customHeight="1">
      <c r="A288" s="427"/>
      <c r="B288" s="137" t="s">
        <v>289</v>
      </c>
      <c r="C288" s="157" t="s">
        <v>501</v>
      </c>
      <c r="D288" s="48" t="s">
        <v>432</v>
      </c>
      <c r="E288" s="441"/>
      <c r="F288" s="48" t="s">
        <v>502</v>
      </c>
      <c r="G288" s="122"/>
      <c r="H288" s="34"/>
      <c r="I288" s="34"/>
      <c r="J288" s="6"/>
      <c r="K288" s="211"/>
      <c r="L288" s="211"/>
      <c r="M288" s="211">
        <v>6000</v>
      </c>
      <c r="N288" s="211">
        <v>1</v>
      </c>
      <c r="O288" s="34"/>
      <c r="P288" s="34">
        <f>July!AX324</f>
        <v>562</v>
      </c>
      <c r="Q288" s="34">
        <f>July!AV324</f>
        <v>2</v>
      </c>
      <c r="R288" s="436"/>
      <c r="S288" s="436"/>
      <c r="T288" s="211"/>
      <c r="U288" s="211"/>
      <c r="V288" s="211">
        <f>O288-T288-U288+V254</f>
        <v>533</v>
      </c>
      <c r="W288" s="260"/>
      <c r="X288" s="67"/>
    </row>
    <row r="289" spans="1:25" s="4" customFormat="1" ht="15" customHeight="1">
      <c r="A289" s="427"/>
      <c r="B289" s="442" t="s">
        <v>289</v>
      </c>
      <c r="C289" s="444" t="s">
        <v>507</v>
      </c>
      <c r="D289" s="48" t="s">
        <v>432</v>
      </c>
      <c r="E289" s="441"/>
      <c r="F289" s="48" t="s">
        <v>506</v>
      </c>
      <c r="G289" s="366"/>
      <c r="H289" s="34"/>
      <c r="I289" s="34"/>
      <c r="J289" s="6"/>
      <c r="K289" s="211">
        <v>7000</v>
      </c>
      <c r="L289" s="211">
        <v>1</v>
      </c>
      <c r="M289" s="211"/>
      <c r="N289" s="211"/>
      <c r="O289" s="34"/>
      <c r="P289" s="34">
        <f>July!AX325</f>
        <v>350</v>
      </c>
      <c r="Q289" s="34">
        <f>July!AV325</f>
        <v>2</v>
      </c>
      <c r="R289" s="436"/>
      <c r="S289" s="436"/>
      <c r="T289" s="211"/>
      <c r="U289" s="211"/>
      <c r="V289" s="211"/>
      <c r="W289" s="260"/>
      <c r="X289" s="67"/>
    </row>
    <row r="290" spans="1:25" s="4" customFormat="1" ht="15" customHeight="1">
      <c r="A290" s="427"/>
      <c r="B290" s="443"/>
      <c r="C290" s="446"/>
      <c r="D290" s="48" t="s">
        <v>433</v>
      </c>
      <c r="E290" s="441"/>
      <c r="F290" s="48"/>
      <c r="G290" s="366"/>
      <c r="H290" s="34">
        <v>306</v>
      </c>
      <c r="I290" s="34"/>
      <c r="J290" s="6"/>
      <c r="K290" s="211"/>
      <c r="L290" s="211"/>
      <c r="M290" s="211"/>
      <c r="N290" s="211"/>
      <c r="O290" s="34"/>
      <c r="P290" s="34"/>
      <c r="Q290" s="34"/>
      <c r="R290" s="436"/>
      <c r="S290" s="436"/>
      <c r="T290" s="211"/>
      <c r="U290" s="211"/>
      <c r="V290" s="211"/>
      <c r="W290" s="260"/>
      <c r="X290" s="67"/>
    </row>
    <row r="291" spans="1:25" s="4" customFormat="1" ht="15" customHeight="1">
      <c r="A291" s="427"/>
      <c r="B291" s="122" t="s">
        <v>289</v>
      </c>
      <c r="C291" s="180" t="s">
        <v>505</v>
      </c>
      <c r="D291" s="48" t="s">
        <v>432</v>
      </c>
      <c r="E291" s="441"/>
      <c r="F291" s="48" t="s">
        <v>435</v>
      </c>
      <c r="G291" s="122"/>
      <c r="H291" s="34"/>
      <c r="I291" s="34"/>
      <c r="J291" s="6"/>
      <c r="K291" s="211"/>
      <c r="L291" s="211"/>
      <c r="M291" s="211"/>
      <c r="N291" s="211"/>
      <c r="O291" s="34"/>
      <c r="P291" s="34"/>
      <c r="Q291" s="34"/>
      <c r="R291" s="436"/>
      <c r="S291" s="436"/>
      <c r="T291" s="211"/>
      <c r="U291" s="211"/>
      <c r="V291" s="211">
        <f>O291-T291-U291+V256</f>
        <v>882</v>
      </c>
      <c r="W291" s="260"/>
      <c r="X291" s="67"/>
    </row>
    <row r="292" spans="1:25" s="4" customFormat="1" ht="15" customHeight="1">
      <c r="A292" s="427"/>
      <c r="B292" s="268" t="s">
        <v>453</v>
      </c>
      <c r="C292" s="180" t="s">
        <v>505</v>
      </c>
      <c r="D292" s="43" t="s">
        <v>432</v>
      </c>
      <c r="E292" s="441"/>
      <c r="F292" s="48" t="s">
        <v>57</v>
      </c>
      <c r="G292" s="122"/>
      <c r="H292" s="34"/>
      <c r="I292" s="34"/>
      <c r="J292" s="6"/>
      <c r="K292" s="211"/>
      <c r="L292" s="211"/>
      <c r="M292" s="211"/>
      <c r="N292" s="211"/>
      <c r="O292" s="34"/>
      <c r="P292" s="34">
        <f>July!AX327</f>
        <v>334</v>
      </c>
      <c r="Q292" s="34">
        <f>July!AV327</f>
        <v>1</v>
      </c>
      <c r="R292" s="436"/>
      <c r="S292" s="436"/>
      <c r="T292" s="211"/>
      <c r="U292" s="211"/>
      <c r="V292" s="211"/>
      <c r="W292" s="260"/>
      <c r="X292" s="67"/>
    </row>
    <row r="293" spans="1:25" ht="15" customHeight="1">
      <c r="A293" s="427"/>
      <c r="B293" s="122" t="s">
        <v>103</v>
      </c>
      <c r="C293" s="157" t="s">
        <v>197</v>
      </c>
      <c r="D293" s="48" t="s">
        <v>104</v>
      </c>
      <c r="E293" s="441"/>
      <c r="F293" s="118" t="s">
        <v>105</v>
      </c>
      <c r="G293" s="119"/>
      <c r="H293" s="126"/>
      <c r="I293" s="126"/>
      <c r="J293" s="2"/>
      <c r="K293" s="18"/>
      <c r="L293" s="18"/>
      <c r="M293" s="18"/>
      <c r="N293" s="18"/>
      <c r="O293" s="126"/>
      <c r="P293" s="126"/>
      <c r="Q293" s="126">
        <f>July!AV334</f>
        <v>1</v>
      </c>
      <c r="R293" s="436"/>
      <c r="S293" s="436"/>
      <c r="T293" s="18"/>
      <c r="U293" s="18"/>
      <c r="V293" s="18"/>
      <c r="W293" s="45"/>
      <c r="X293" s="67"/>
    </row>
    <row r="294" spans="1:25" ht="15" customHeight="1" thickBot="1">
      <c r="A294" s="427"/>
      <c r="B294" s="137" t="s">
        <v>112</v>
      </c>
      <c r="C294" s="157" t="s">
        <v>197</v>
      </c>
      <c r="D294" s="48" t="s">
        <v>104</v>
      </c>
      <c r="E294" s="441"/>
      <c r="F294" s="118" t="s">
        <v>113</v>
      </c>
      <c r="G294" s="342"/>
      <c r="H294" s="262"/>
      <c r="I294" s="126"/>
      <c r="J294" s="2"/>
      <c r="K294" s="18"/>
      <c r="L294" s="18"/>
      <c r="M294" s="18"/>
      <c r="N294" s="18"/>
      <c r="O294" s="126">
        <f>July!AW335</f>
        <v>34</v>
      </c>
      <c r="P294" s="126"/>
      <c r="Q294" s="126"/>
      <c r="R294" s="436"/>
      <c r="S294" s="436"/>
      <c r="T294" s="18"/>
      <c r="U294" s="264"/>
      <c r="V294" s="18">
        <f>O294-T294-U294+V259</f>
        <v>34</v>
      </c>
      <c r="W294" s="45"/>
      <c r="X294" s="67"/>
    </row>
    <row r="295" spans="1:25" ht="15" customHeight="1">
      <c r="A295" s="426">
        <v>46214</v>
      </c>
      <c r="B295" s="429" t="s">
        <v>44</v>
      </c>
      <c r="C295" s="432" t="s">
        <v>240</v>
      </c>
      <c r="D295" s="19" t="s">
        <v>37</v>
      </c>
      <c r="E295" s="19" t="s">
        <v>25</v>
      </c>
      <c r="F295" s="39" t="s">
        <v>40</v>
      </c>
      <c r="G295" s="41"/>
      <c r="H295" s="32"/>
      <c r="I295" s="32"/>
      <c r="J295" s="32"/>
      <c r="K295" s="20">
        <v>40000</v>
      </c>
      <c r="L295" s="20">
        <v>5</v>
      </c>
      <c r="M295" s="20">
        <v>136000</v>
      </c>
      <c r="N295" s="84">
        <v>17</v>
      </c>
      <c r="O295" s="32">
        <f>July!AZ313</f>
        <v>70194</v>
      </c>
      <c r="P295" s="32">
        <f>July!BA313</f>
        <v>59148</v>
      </c>
      <c r="Q295" s="32">
        <f>July!AY313</f>
        <v>162</v>
      </c>
      <c r="R295" s="435">
        <f>July!AZ336</f>
        <v>101166</v>
      </c>
      <c r="S295" s="435">
        <f>July!BA336</f>
        <v>88464</v>
      </c>
      <c r="T295" s="20">
        <v>18421</v>
      </c>
      <c r="U295" s="20">
        <v>5</v>
      </c>
      <c r="V295" s="20">
        <f>O295-T295-U295+V260</f>
        <v>125030</v>
      </c>
      <c r="W295" s="77"/>
      <c r="X295" s="36"/>
    </row>
    <row r="296" spans="1:25" ht="15" customHeight="1">
      <c r="A296" s="427"/>
      <c r="B296" s="430"/>
      <c r="C296" s="433"/>
      <c r="D296" s="113" t="s">
        <v>307</v>
      </c>
      <c r="E296" s="131" t="s">
        <v>24</v>
      </c>
      <c r="F296" s="118" t="s">
        <v>40</v>
      </c>
      <c r="G296" s="38"/>
      <c r="H296" s="126"/>
      <c r="I296" s="125"/>
      <c r="J296" s="125"/>
      <c r="K296" s="127"/>
      <c r="L296" s="127"/>
      <c r="M296" s="216">
        <v>111400</v>
      </c>
      <c r="N296" s="238">
        <v>14</v>
      </c>
      <c r="O296" s="126">
        <f>July!AZ314</f>
        <v>17413</v>
      </c>
      <c r="P296" s="125">
        <f>July!BA314</f>
        <v>16910</v>
      </c>
      <c r="Q296" s="125">
        <f>July!AY314</f>
        <v>45</v>
      </c>
      <c r="R296" s="436"/>
      <c r="S296" s="436"/>
      <c r="T296" s="127"/>
      <c r="U296" s="127"/>
      <c r="V296" s="127">
        <f>O296-T296-U296+V261</f>
        <v>71879</v>
      </c>
      <c r="W296" s="46"/>
      <c r="X296" s="67"/>
    </row>
    <row r="297" spans="1:25" ht="15" customHeight="1">
      <c r="A297" s="427"/>
      <c r="B297" s="442" t="s">
        <v>45</v>
      </c>
      <c r="C297" s="448" t="s">
        <v>59</v>
      </c>
      <c r="D297" s="118" t="s">
        <v>75</v>
      </c>
      <c r="E297" s="131" t="s">
        <v>25</v>
      </c>
      <c r="F297" s="131" t="s">
        <v>57</v>
      </c>
      <c r="G297" s="87"/>
      <c r="H297" s="152"/>
      <c r="I297" s="126"/>
      <c r="J297" s="2"/>
      <c r="K297" s="127">
        <v>5000</v>
      </c>
      <c r="L297" s="18">
        <v>1</v>
      </c>
      <c r="M297" s="18">
        <v>35000</v>
      </c>
      <c r="N297" s="80">
        <v>7</v>
      </c>
      <c r="O297" s="126">
        <f>July!AZ316</f>
        <v>1200</v>
      </c>
      <c r="P297" s="126">
        <f>July!BA316</f>
        <v>4592</v>
      </c>
      <c r="Q297" s="2">
        <f>July!AY316</f>
        <v>18</v>
      </c>
      <c r="R297" s="436"/>
      <c r="S297" s="436"/>
      <c r="T297" s="18"/>
      <c r="U297" s="18"/>
      <c r="V297" s="127">
        <f t="shared" ref="V297:V309" si="14">O297-T297-U297+V263</f>
        <v>11633</v>
      </c>
      <c r="W297" s="46"/>
      <c r="Y297" s="13"/>
    </row>
    <row r="298" spans="1:25">
      <c r="A298" s="427"/>
      <c r="B298" s="439"/>
      <c r="C298" s="440"/>
      <c r="D298" s="118" t="s">
        <v>72</v>
      </c>
      <c r="E298" s="155" t="s">
        <v>24</v>
      </c>
      <c r="F298" s="131" t="s">
        <v>57</v>
      </c>
      <c r="G298" s="224"/>
      <c r="H298" s="152"/>
      <c r="I298" s="126"/>
      <c r="J298" s="126"/>
      <c r="K298" s="127"/>
      <c r="L298" s="18"/>
      <c r="M298" s="18">
        <v>49600</v>
      </c>
      <c r="N298" s="80">
        <v>10</v>
      </c>
      <c r="O298" s="126">
        <f>July!AZ317</f>
        <v>386</v>
      </c>
      <c r="P298" s="126">
        <f>July!BA317</f>
        <v>820</v>
      </c>
      <c r="Q298" s="126">
        <f>July!AY317</f>
        <v>4</v>
      </c>
      <c r="R298" s="436"/>
      <c r="S298" s="436"/>
      <c r="T298" s="18"/>
      <c r="U298" s="18"/>
      <c r="V298" s="127">
        <f t="shared" si="14"/>
        <v>27890</v>
      </c>
      <c r="W298" s="46"/>
      <c r="Y298" s="13"/>
    </row>
    <row r="299" spans="1:25" ht="14.25" customHeight="1">
      <c r="A299" s="427"/>
      <c r="B299" s="439"/>
      <c r="C299" s="440"/>
      <c r="D299" s="115" t="s">
        <v>79</v>
      </c>
      <c r="E299" s="118" t="s">
        <v>65</v>
      </c>
      <c r="F299" s="131" t="s">
        <v>57</v>
      </c>
      <c r="G299" s="224"/>
      <c r="H299" s="126"/>
      <c r="I299" s="126"/>
      <c r="J299" s="126"/>
      <c r="K299" s="18"/>
      <c r="L299" s="18"/>
      <c r="M299" s="18"/>
      <c r="N299" s="80"/>
      <c r="O299" s="126"/>
      <c r="P299" s="126"/>
      <c r="Q299" s="126"/>
      <c r="R299" s="436"/>
      <c r="S299" s="436"/>
      <c r="T299" s="18"/>
      <c r="U299" s="18"/>
      <c r="V299" s="127">
        <f t="shared" si="14"/>
        <v>4741</v>
      </c>
      <c r="W299" s="45"/>
      <c r="X299" s="36"/>
    </row>
    <row r="300" spans="1:25" ht="14.25" customHeight="1">
      <c r="A300" s="427"/>
      <c r="B300" s="443"/>
      <c r="C300" s="271" t="s">
        <v>299</v>
      </c>
      <c r="D300" s="115" t="s">
        <v>75</v>
      </c>
      <c r="E300" s="119" t="s">
        <v>25</v>
      </c>
      <c r="F300" s="131" t="s">
        <v>298</v>
      </c>
      <c r="G300" s="229"/>
      <c r="H300" s="37"/>
      <c r="I300" s="126"/>
      <c r="J300" s="126"/>
      <c r="K300" s="18"/>
      <c r="L300" s="18"/>
      <c r="M300" s="18">
        <v>10000</v>
      </c>
      <c r="N300" s="80">
        <v>2</v>
      </c>
      <c r="O300" s="126">
        <f>July!AZ318</f>
        <v>1100</v>
      </c>
      <c r="P300" s="126">
        <f>July!BA318</f>
        <v>1093</v>
      </c>
      <c r="Q300" s="126">
        <f>July!AY318</f>
        <v>4</v>
      </c>
      <c r="R300" s="436"/>
      <c r="S300" s="436"/>
      <c r="T300" s="18"/>
      <c r="U300" s="18"/>
      <c r="V300" s="127">
        <f t="shared" si="14"/>
        <v>16795</v>
      </c>
      <c r="W300" s="45"/>
      <c r="X300" s="67"/>
    </row>
    <row r="301" spans="1:25" ht="14.25" customHeight="1">
      <c r="A301" s="427"/>
      <c r="B301" s="439" t="s">
        <v>53</v>
      </c>
      <c r="C301" s="445" t="s">
        <v>60</v>
      </c>
      <c r="D301" s="43" t="s">
        <v>320</v>
      </c>
      <c r="E301" s="441" t="s">
        <v>66</v>
      </c>
      <c r="F301" s="118" t="s">
        <v>54</v>
      </c>
      <c r="G301" s="224"/>
      <c r="H301" s="37"/>
      <c r="I301" s="126"/>
      <c r="J301" s="126"/>
      <c r="K301" s="18"/>
      <c r="L301" s="18"/>
      <c r="M301" s="18"/>
      <c r="N301" s="80"/>
      <c r="O301" s="126"/>
      <c r="P301" s="126"/>
      <c r="Q301" s="126"/>
      <c r="R301" s="436"/>
      <c r="S301" s="436"/>
      <c r="T301" s="18"/>
      <c r="U301" s="18"/>
      <c r="V301" s="127">
        <f t="shared" si="14"/>
        <v>21565</v>
      </c>
      <c r="W301" s="45"/>
      <c r="X301" s="67"/>
    </row>
    <row r="302" spans="1:25" ht="14.25" customHeight="1">
      <c r="A302" s="427"/>
      <c r="B302" s="439"/>
      <c r="C302" s="445"/>
      <c r="D302" s="43" t="s">
        <v>387</v>
      </c>
      <c r="E302" s="425"/>
      <c r="F302" s="118" t="s">
        <v>54</v>
      </c>
      <c r="G302" s="229"/>
      <c r="H302" s="182"/>
      <c r="I302" s="125"/>
      <c r="J302" s="125"/>
      <c r="K302" s="127"/>
      <c r="L302" s="127"/>
      <c r="M302" s="127">
        <v>64800</v>
      </c>
      <c r="N302" s="171">
        <v>11</v>
      </c>
      <c r="O302" s="125"/>
      <c r="P302" s="125"/>
      <c r="Q302" s="125"/>
      <c r="R302" s="436"/>
      <c r="S302" s="436"/>
      <c r="T302" s="18"/>
      <c r="U302" s="18"/>
      <c r="V302" s="127">
        <f t="shared" si="14"/>
        <v>666</v>
      </c>
      <c r="W302" s="45"/>
      <c r="X302" s="67"/>
    </row>
    <row r="303" spans="1:25" ht="14.25" customHeight="1">
      <c r="A303" s="427"/>
      <c r="B303" s="443"/>
      <c r="C303" s="446"/>
      <c r="D303" s="43" t="s">
        <v>199</v>
      </c>
      <c r="E303" s="114" t="s">
        <v>25</v>
      </c>
      <c r="F303" s="118" t="s">
        <v>54</v>
      </c>
      <c r="G303" s="224"/>
      <c r="H303" s="135"/>
      <c r="I303" s="158"/>
      <c r="J303" s="158"/>
      <c r="K303" s="128"/>
      <c r="L303" s="128"/>
      <c r="M303" s="128"/>
      <c r="N303" s="164"/>
      <c r="O303" s="158"/>
      <c r="P303" s="158"/>
      <c r="Q303" s="158"/>
      <c r="R303" s="436"/>
      <c r="S303" s="436"/>
      <c r="T303" s="18"/>
      <c r="U303" s="18"/>
      <c r="V303" s="127">
        <f t="shared" si="14"/>
        <v>68</v>
      </c>
      <c r="W303" s="45"/>
      <c r="X303" s="67"/>
    </row>
    <row r="304" spans="1:25" ht="15.75" customHeight="1">
      <c r="A304" s="427"/>
      <c r="B304" s="137" t="s">
        <v>55</v>
      </c>
      <c r="C304" s="157" t="s">
        <v>133</v>
      </c>
      <c r="D304" s="48" t="s">
        <v>56</v>
      </c>
      <c r="E304" s="424" t="s">
        <v>25</v>
      </c>
      <c r="F304" s="118" t="s">
        <v>67</v>
      </c>
      <c r="G304" s="226"/>
      <c r="H304" s="126"/>
      <c r="I304" s="126"/>
      <c r="J304" s="2"/>
      <c r="K304" s="18"/>
      <c r="L304" s="18"/>
      <c r="M304" s="18"/>
      <c r="N304" s="18"/>
      <c r="O304" s="126"/>
      <c r="P304" s="126"/>
      <c r="Q304" s="126"/>
      <c r="R304" s="436"/>
      <c r="S304" s="436"/>
      <c r="T304" s="18"/>
      <c r="U304" s="18"/>
      <c r="V304" s="127">
        <f>O304-T304-U304+V270</f>
        <v>6322</v>
      </c>
      <c r="W304" s="45"/>
      <c r="X304" s="67"/>
    </row>
    <row r="305" spans="1:24" ht="15" customHeight="1">
      <c r="A305" s="427"/>
      <c r="B305" s="122" t="s">
        <v>122</v>
      </c>
      <c r="C305" s="180" t="s">
        <v>123</v>
      </c>
      <c r="D305" s="48" t="s">
        <v>56</v>
      </c>
      <c r="E305" s="441"/>
      <c r="F305" s="155" t="s">
        <v>64</v>
      </c>
      <c r="G305" s="119"/>
      <c r="H305" s="126"/>
      <c r="I305" s="126"/>
      <c r="J305" s="2"/>
      <c r="K305" s="18"/>
      <c r="L305" s="18"/>
      <c r="M305" s="18">
        <v>6400</v>
      </c>
      <c r="N305" s="18">
        <v>2</v>
      </c>
      <c r="O305" s="126"/>
      <c r="P305" s="126"/>
      <c r="Q305" s="126"/>
      <c r="R305" s="436"/>
      <c r="S305" s="436"/>
      <c r="T305" s="18"/>
      <c r="U305" s="18"/>
      <c r="V305" s="127">
        <f t="shared" si="14"/>
        <v>18121</v>
      </c>
      <c r="W305" s="45"/>
      <c r="X305" s="67"/>
    </row>
    <row r="306" spans="1:24" ht="14.25" customHeight="1">
      <c r="A306" s="427"/>
      <c r="B306" s="137" t="s">
        <v>58</v>
      </c>
      <c r="C306" s="157" t="s">
        <v>243</v>
      </c>
      <c r="D306" s="48" t="s">
        <v>56</v>
      </c>
      <c r="E306" s="441"/>
      <c r="F306" s="118" t="s">
        <v>64</v>
      </c>
      <c r="G306" s="225"/>
      <c r="H306" s="126"/>
      <c r="I306" s="126"/>
      <c r="J306" s="126"/>
      <c r="K306" s="18"/>
      <c r="L306" s="18"/>
      <c r="M306" s="18"/>
      <c r="N306" s="80"/>
      <c r="O306" s="126"/>
      <c r="P306" s="126"/>
      <c r="Q306" s="126"/>
      <c r="R306" s="436"/>
      <c r="S306" s="436"/>
      <c r="T306" s="18"/>
      <c r="U306" s="18"/>
      <c r="V306" s="127">
        <f t="shared" si="14"/>
        <v>8144</v>
      </c>
      <c r="W306" s="45"/>
      <c r="X306" s="67"/>
    </row>
    <row r="307" spans="1:24" ht="14.25" customHeight="1">
      <c r="A307" s="427"/>
      <c r="B307" s="122" t="s">
        <v>61</v>
      </c>
      <c r="C307" s="180" t="s">
        <v>137</v>
      </c>
      <c r="D307" s="48" t="s">
        <v>56</v>
      </c>
      <c r="E307" s="441"/>
      <c r="F307" s="118" t="s">
        <v>67</v>
      </c>
      <c r="G307" s="225"/>
      <c r="H307" s="126"/>
      <c r="I307" s="126"/>
      <c r="J307" s="126"/>
      <c r="K307" s="18"/>
      <c r="L307" s="18"/>
      <c r="M307" s="18"/>
      <c r="N307" s="80"/>
      <c r="O307" s="126"/>
      <c r="P307" s="126"/>
      <c r="Q307" s="126"/>
      <c r="R307" s="436"/>
      <c r="S307" s="436"/>
      <c r="T307" s="18"/>
      <c r="U307" s="18"/>
      <c r="V307" s="127">
        <f t="shared" si="14"/>
        <v>5844</v>
      </c>
      <c r="W307" s="45"/>
      <c r="X307" s="67"/>
    </row>
    <row r="308" spans="1:24" ht="14.25" customHeight="1">
      <c r="A308" s="427"/>
      <c r="B308" s="122" t="s">
        <v>125</v>
      </c>
      <c r="C308" s="180" t="s">
        <v>88</v>
      </c>
      <c r="D308" s="48" t="s">
        <v>124</v>
      </c>
      <c r="E308" s="441"/>
      <c r="F308" s="118" t="s">
        <v>64</v>
      </c>
      <c r="G308" s="225"/>
      <c r="H308" s="126"/>
      <c r="I308" s="126"/>
      <c r="J308" s="126"/>
      <c r="K308" s="18"/>
      <c r="L308" s="18"/>
      <c r="M308" s="18">
        <v>51200</v>
      </c>
      <c r="N308" s="80">
        <v>7</v>
      </c>
      <c r="O308" s="126"/>
      <c r="P308" s="126"/>
      <c r="Q308" s="126"/>
      <c r="R308" s="436"/>
      <c r="S308" s="436"/>
      <c r="T308" s="18"/>
      <c r="U308" s="18"/>
      <c r="V308" s="127">
        <f t="shared" si="14"/>
        <v>23615</v>
      </c>
      <c r="W308" s="45"/>
      <c r="X308" s="67"/>
    </row>
    <row r="309" spans="1:24" ht="14.25" customHeight="1">
      <c r="A309" s="427"/>
      <c r="B309" s="137" t="s">
        <v>463</v>
      </c>
      <c r="C309" s="157" t="s">
        <v>464</v>
      </c>
      <c r="D309" s="48" t="s">
        <v>246</v>
      </c>
      <c r="E309" s="441"/>
      <c r="F309" s="118" t="s">
        <v>64</v>
      </c>
      <c r="G309" s="225"/>
      <c r="H309" s="126"/>
      <c r="I309" s="126"/>
      <c r="J309" s="126"/>
      <c r="K309" s="18"/>
      <c r="L309" s="18"/>
      <c r="M309" s="18"/>
      <c r="N309" s="80"/>
      <c r="O309" s="126">
        <f>July!AZ333</f>
        <v>2000</v>
      </c>
      <c r="P309" s="126">
        <f>July!BA333</f>
        <v>233</v>
      </c>
      <c r="Q309" s="126">
        <f>July!AY333</f>
        <v>1</v>
      </c>
      <c r="R309" s="436"/>
      <c r="S309" s="436"/>
      <c r="T309" s="18"/>
      <c r="U309" s="18"/>
      <c r="V309" s="127">
        <f t="shared" si="14"/>
        <v>2000</v>
      </c>
      <c r="W309" s="45"/>
      <c r="X309" s="67"/>
    </row>
    <row r="310" spans="1:24" ht="14.25" customHeight="1">
      <c r="A310" s="427"/>
      <c r="B310" s="137" t="s">
        <v>47</v>
      </c>
      <c r="C310" s="157" t="s">
        <v>100</v>
      </c>
      <c r="D310" s="48" t="s">
        <v>458</v>
      </c>
      <c r="E310" s="441"/>
      <c r="F310" s="118" t="s">
        <v>71</v>
      </c>
      <c r="G310" s="225"/>
      <c r="H310" s="126"/>
      <c r="I310" s="126"/>
      <c r="J310" s="126"/>
      <c r="K310" s="18"/>
      <c r="L310" s="18"/>
      <c r="M310" s="18">
        <v>6100</v>
      </c>
      <c r="N310" s="80">
        <v>1</v>
      </c>
      <c r="O310" s="126">
        <f>July!AZ319</f>
        <v>3812</v>
      </c>
      <c r="P310" s="126">
        <f>July!BA319</f>
        <v>1784</v>
      </c>
      <c r="Q310" s="126">
        <f>July!AY319</f>
        <v>6</v>
      </c>
      <c r="R310" s="436"/>
      <c r="S310" s="436"/>
      <c r="T310" s="18"/>
      <c r="U310" s="18"/>
      <c r="V310" s="127">
        <f>O310-T310-U310+V277</f>
        <v>9036</v>
      </c>
      <c r="W310" s="45"/>
      <c r="X310" s="67"/>
    </row>
    <row r="311" spans="1:24" ht="14.25" customHeight="1">
      <c r="A311" s="427"/>
      <c r="B311" s="137" t="s">
        <v>47</v>
      </c>
      <c r="C311" s="157" t="s">
        <v>457</v>
      </c>
      <c r="D311" s="48" t="s">
        <v>458</v>
      </c>
      <c r="E311" s="441"/>
      <c r="F311" s="118" t="s">
        <v>459</v>
      </c>
      <c r="G311" s="225"/>
      <c r="H311" s="126"/>
      <c r="I311" s="126"/>
      <c r="J311" s="126"/>
      <c r="K311" s="18"/>
      <c r="L311" s="18"/>
      <c r="M311" s="18"/>
      <c r="N311" s="80"/>
      <c r="O311" s="126"/>
      <c r="P311" s="126"/>
      <c r="Q311" s="126">
        <f>July!AY320</f>
        <v>1</v>
      </c>
      <c r="R311" s="436"/>
      <c r="S311" s="436"/>
      <c r="T311" s="18"/>
      <c r="U311" s="18"/>
      <c r="V311" s="127">
        <f>O311-T311-U311+V278</f>
        <v>0</v>
      </c>
      <c r="W311" s="45"/>
      <c r="X311" s="67"/>
    </row>
    <row r="312" spans="1:24" ht="15" customHeight="1">
      <c r="A312" s="427"/>
      <c r="B312" s="122" t="s">
        <v>253</v>
      </c>
      <c r="C312" s="180" t="s">
        <v>365</v>
      </c>
      <c r="D312" s="48" t="s">
        <v>246</v>
      </c>
      <c r="E312" s="441"/>
      <c r="F312" s="118" t="s">
        <v>247</v>
      </c>
      <c r="G312" s="226"/>
      <c r="H312" s="126"/>
      <c r="I312" s="126"/>
      <c r="J312" s="2"/>
      <c r="K312" s="18"/>
      <c r="L312" s="18"/>
      <c r="M312" s="18"/>
      <c r="N312" s="18"/>
      <c r="O312" s="126">
        <f>July!AZ321</f>
        <v>624</v>
      </c>
      <c r="P312" s="126">
        <f>July!BA321</f>
        <v>221</v>
      </c>
      <c r="Q312" s="126">
        <f>July!AY321</f>
        <v>1</v>
      </c>
      <c r="R312" s="436"/>
      <c r="S312" s="436"/>
      <c r="T312" s="18"/>
      <c r="U312" s="18"/>
      <c r="V312" s="127">
        <f>O312-T312-U312+V280</f>
        <v>9060</v>
      </c>
      <c r="W312" s="45"/>
      <c r="X312" s="67"/>
    </row>
    <row r="313" spans="1:24" ht="15" customHeight="1">
      <c r="A313" s="427"/>
      <c r="B313" s="122" t="s">
        <v>196</v>
      </c>
      <c r="C313" s="180" t="s">
        <v>63</v>
      </c>
      <c r="D313" s="48" t="s">
        <v>135</v>
      </c>
      <c r="E313" s="441"/>
      <c r="F313" s="118" t="s">
        <v>64</v>
      </c>
      <c r="G313" s="226"/>
      <c r="H313" s="126"/>
      <c r="I313" s="126"/>
      <c r="J313" s="2"/>
      <c r="K313" s="18"/>
      <c r="L313" s="18"/>
      <c r="M313" s="18">
        <v>11800</v>
      </c>
      <c r="N313" s="18">
        <v>2</v>
      </c>
      <c r="O313" s="126"/>
      <c r="P313" s="126"/>
      <c r="Q313" s="126"/>
      <c r="R313" s="436"/>
      <c r="S313" s="436"/>
      <c r="T313" s="18"/>
      <c r="U313" s="18"/>
      <c r="V313" s="127"/>
      <c r="W313" s="45"/>
      <c r="X313" s="67"/>
    </row>
    <row r="314" spans="1:24" ht="15" customHeight="1">
      <c r="A314" s="427"/>
      <c r="B314" s="122" t="s">
        <v>101</v>
      </c>
      <c r="C314" s="180" t="s">
        <v>327</v>
      </c>
      <c r="D314" s="48" t="s">
        <v>102</v>
      </c>
      <c r="E314" s="441"/>
      <c r="F314" s="118" t="s">
        <v>64</v>
      </c>
      <c r="G314" s="119"/>
      <c r="H314" s="126"/>
      <c r="I314" s="126"/>
      <c r="J314" s="2"/>
      <c r="K314" s="18"/>
      <c r="L314" s="18"/>
      <c r="M314" s="18">
        <v>14000</v>
      </c>
      <c r="N314" s="18">
        <v>2</v>
      </c>
      <c r="O314" s="126">
        <f>July!AZ328</f>
        <v>3103</v>
      </c>
      <c r="P314" s="126">
        <f>July!BA328</f>
        <v>1418</v>
      </c>
      <c r="Q314" s="126">
        <f>July!AY328</f>
        <v>4</v>
      </c>
      <c r="R314" s="436"/>
      <c r="S314" s="436"/>
      <c r="T314" s="18"/>
      <c r="U314" s="18"/>
      <c r="V314" s="18">
        <f>O314-T314-U314+V281</f>
        <v>12874</v>
      </c>
      <c r="W314" s="45"/>
      <c r="X314" s="67"/>
    </row>
    <row r="315" spans="1:24" ht="15" customHeight="1">
      <c r="A315" s="427"/>
      <c r="B315" s="122" t="s">
        <v>366</v>
      </c>
      <c r="C315" s="180" t="s">
        <v>367</v>
      </c>
      <c r="D315" s="48" t="s">
        <v>132</v>
      </c>
      <c r="E315" s="441"/>
      <c r="F315" s="118" t="s">
        <v>64</v>
      </c>
      <c r="G315" s="119"/>
      <c r="H315" s="126"/>
      <c r="I315" s="126"/>
      <c r="J315" s="2"/>
      <c r="K315" s="18"/>
      <c r="L315" s="18"/>
      <c r="M315" s="18"/>
      <c r="N315" s="18"/>
      <c r="O315" s="126">
        <f>July!AZ329</f>
        <v>619</v>
      </c>
      <c r="P315" s="126">
        <f>July!BA329</f>
        <v>799</v>
      </c>
      <c r="Q315" s="126">
        <f>July!AY329</f>
        <v>2</v>
      </c>
      <c r="R315" s="436"/>
      <c r="S315" s="436"/>
      <c r="T315" s="18"/>
      <c r="U315" s="18"/>
      <c r="V315" s="18">
        <f>O315-T315-U315+V282</f>
        <v>6491</v>
      </c>
      <c r="W315" s="45"/>
      <c r="X315" s="67"/>
    </row>
    <row r="316" spans="1:24" ht="15" customHeight="1">
      <c r="A316" s="427"/>
      <c r="B316" s="122" t="s">
        <v>363</v>
      </c>
      <c r="C316" s="180" t="s">
        <v>325</v>
      </c>
      <c r="D316" s="48" t="s">
        <v>328</v>
      </c>
      <c r="E316" s="441"/>
      <c r="F316" s="118" t="s">
        <v>48</v>
      </c>
      <c r="G316" s="226"/>
      <c r="H316" s="126"/>
      <c r="I316" s="126"/>
      <c r="J316" s="2"/>
      <c r="K316" s="18"/>
      <c r="L316" s="18"/>
      <c r="M316" s="18"/>
      <c r="N316" s="18"/>
      <c r="O316" s="126"/>
      <c r="P316" s="126"/>
      <c r="Q316" s="126"/>
      <c r="R316" s="436"/>
      <c r="S316" s="436"/>
      <c r="T316" s="18"/>
      <c r="U316" s="18"/>
      <c r="V316" s="127">
        <f>O316-T316-U316+V283</f>
        <v>16454</v>
      </c>
      <c r="W316" s="45"/>
      <c r="X316" s="67"/>
    </row>
    <row r="317" spans="1:24" ht="15" customHeight="1">
      <c r="A317" s="427"/>
      <c r="B317" s="122" t="s">
        <v>107</v>
      </c>
      <c r="C317" s="180" t="s">
        <v>386</v>
      </c>
      <c r="D317" s="48" t="s">
        <v>108</v>
      </c>
      <c r="E317" s="441"/>
      <c r="F317" s="115" t="s">
        <v>48</v>
      </c>
      <c r="G317" s="113"/>
      <c r="H317" s="125"/>
      <c r="I317" s="125"/>
      <c r="J317" s="250"/>
      <c r="K317" s="127"/>
      <c r="L317" s="127"/>
      <c r="M317" s="127">
        <v>13000</v>
      </c>
      <c r="N317" s="127">
        <v>2</v>
      </c>
      <c r="O317" s="125"/>
      <c r="P317" s="125"/>
      <c r="Q317" s="125"/>
      <c r="R317" s="436"/>
      <c r="S317" s="436"/>
      <c r="T317" s="18"/>
      <c r="U317" s="18"/>
      <c r="V317" s="18">
        <f>+O317-T317-U317+V284</f>
        <v>12765</v>
      </c>
      <c r="W317" s="85"/>
      <c r="X317" s="67"/>
    </row>
    <row r="318" spans="1:24" s="4" customFormat="1" ht="15" customHeight="1">
      <c r="A318" s="427"/>
      <c r="B318" s="268" t="s">
        <v>375</v>
      </c>
      <c r="C318" s="277" t="s">
        <v>376</v>
      </c>
      <c r="D318" s="43" t="s">
        <v>248</v>
      </c>
      <c r="E318" s="441"/>
      <c r="F318" s="43" t="s">
        <v>64</v>
      </c>
      <c r="G318" s="268"/>
      <c r="H318" s="331"/>
      <c r="I318" s="331"/>
      <c r="J318" s="341"/>
      <c r="K318" s="216"/>
      <c r="L318" s="216"/>
      <c r="M318" s="216"/>
      <c r="N318" s="216"/>
      <c r="O318" s="331"/>
      <c r="P318" s="331"/>
      <c r="Q318" s="331"/>
      <c r="R318" s="436"/>
      <c r="S318" s="436"/>
      <c r="T318" s="216"/>
      <c r="U318" s="216"/>
      <c r="V318" s="216">
        <f>O318-T318-U318+V285</f>
        <v>75911</v>
      </c>
      <c r="W318" s="260"/>
      <c r="X318" s="67"/>
    </row>
    <row r="319" spans="1:24" s="4" customFormat="1" ht="15" customHeight="1">
      <c r="A319" s="427"/>
      <c r="B319" s="137" t="s">
        <v>421</v>
      </c>
      <c r="C319" s="157" t="s">
        <v>420</v>
      </c>
      <c r="D319" s="48" t="s">
        <v>248</v>
      </c>
      <c r="E319" s="441"/>
      <c r="F319" s="48" t="s">
        <v>64</v>
      </c>
      <c r="G319" s="122"/>
      <c r="H319" s="34"/>
      <c r="I319" s="34"/>
      <c r="J319" s="6"/>
      <c r="K319" s="211"/>
      <c r="L319" s="211"/>
      <c r="M319" s="211">
        <v>46200</v>
      </c>
      <c r="N319" s="211">
        <v>11</v>
      </c>
      <c r="O319" s="34"/>
      <c r="P319" s="34"/>
      <c r="Q319" s="34">
        <f>July!AY331</f>
        <v>20</v>
      </c>
      <c r="R319" s="436"/>
      <c r="S319" s="436"/>
      <c r="T319" s="211"/>
      <c r="U319" s="211"/>
      <c r="V319" s="211">
        <f>O319-T319-U319+V286</f>
        <v>57857</v>
      </c>
      <c r="W319" s="260"/>
      <c r="X319" s="67"/>
    </row>
    <row r="320" spans="1:24" s="4" customFormat="1" ht="15" customHeight="1">
      <c r="A320" s="427"/>
      <c r="B320" s="137" t="s">
        <v>289</v>
      </c>
      <c r="C320" s="157" t="s">
        <v>516</v>
      </c>
      <c r="D320" s="48" t="s">
        <v>432</v>
      </c>
      <c r="E320" s="441"/>
      <c r="F320" s="48" t="s">
        <v>515</v>
      </c>
      <c r="G320" s="122"/>
      <c r="H320" s="34"/>
      <c r="I320" s="34"/>
      <c r="J320" s="6"/>
      <c r="K320" s="211">
        <v>4000</v>
      </c>
      <c r="L320" s="211">
        <v>1</v>
      </c>
      <c r="M320" s="211"/>
      <c r="N320" s="211"/>
      <c r="O320" s="34"/>
      <c r="P320" s="34">
        <f>July!BA323</f>
        <v>226</v>
      </c>
      <c r="Q320" s="34">
        <f>July!AY323</f>
        <v>1</v>
      </c>
      <c r="R320" s="436"/>
      <c r="S320" s="436"/>
      <c r="T320" s="211"/>
      <c r="U320" s="211"/>
      <c r="V320" s="211">
        <f>O320-T320-U320+V287</f>
        <v>0</v>
      </c>
      <c r="W320" s="260"/>
      <c r="X320" s="67"/>
    </row>
    <row r="321" spans="1:25" s="4" customFormat="1" ht="15" customHeight="1">
      <c r="A321" s="427"/>
      <c r="B321" s="137" t="s">
        <v>289</v>
      </c>
      <c r="C321" s="157" t="s">
        <v>501</v>
      </c>
      <c r="D321" s="48" t="s">
        <v>432</v>
      </c>
      <c r="E321" s="441"/>
      <c r="F321" s="48" t="s">
        <v>502</v>
      </c>
      <c r="G321" s="122"/>
      <c r="H321" s="34"/>
      <c r="I321" s="34"/>
      <c r="J321" s="6"/>
      <c r="K321" s="211"/>
      <c r="L321" s="211"/>
      <c r="M321" s="211">
        <v>6000</v>
      </c>
      <c r="N321" s="211">
        <v>1</v>
      </c>
      <c r="O321" s="34"/>
      <c r="P321" s="34">
        <f>July!BA324</f>
        <v>554</v>
      </c>
      <c r="Q321" s="34">
        <f>July!AY324</f>
        <v>2</v>
      </c>
      <c r="R321" s="436"/>
      <c r="S321" s="436"/>
      <c r="T321" s="211"/>
      <c r="U321" s="211"/>
      <c r="V321" s="211">
        <f>O321-T321-U321+V288</f>
        <v>533</v>
      </c>
      <c r="W321" s="260"/>
      <c r="X321" s="67"/>
    </row>
    <row r="322" spans="1:25" s="4" customFormat="1" ht="15" customHeight="1">
      <c r="A322" s="427"/>
      <c r="B322" s="122" t="s">
        <v>289</v>
      </c>
      <c r="C322" s="157" t="s">
        <v>507</v>
      </c>
      <c r="D322" s="48" t="s">
        <v>432</v>
      </c>
      <c r="E322" s="441"/>
      <c r="F322" s="48" t="s">
        <v>506</v>
      </c>
      <c r="G322" s="366"/>
      <c r="H322" s="34"/>
      <c r="I322" s="34"/>
      <c r="J322" s="6"/>
      <c r="K322" s="211"/>
      <c r="L322" s="211"/>
      <c r="M322" s="211"/>
      <c r="N322" s="211"/>
      <c r="O322" s="34"/>
      <c r="P322" s="34">
        <f>July!BA325</f>
        <v>446</v>
      </c>
      <c r="Q322" s="34">
        <f>July!AY325</f>
        <v>2</v>
      </c>
      <c r="R322" s="436"/>
      <c r="S322" s="436"/>
      <c r="T322" s="211"/>
      <c r="U322" s="211"/>
      <c r="V322" s="211">
        <f>O322-T322-U322+V289</f>
        <v>0</v>
      </c>
      <c r="W322" s="260"/>
      <c r="X322" s="67"/>
    </row>
    <row r="323" spans="1:25" s="4" customFormat="1" ht="15" customHeight="1">
      <c r="A323" s="427"/>
      <c r="B323" s="122" t="s">
        <v>289</v>
      </c>
      <c r="C323" s="180" t="s">
        <v>505</v>
      </c>
      <c r="D323" s="48" t="s">
        <v>432</v>
      </c>
      <c r="E323" s="441"/>
      <c r="F323" s="48" t="s">
        <v>435</v>
      </c>
      <c r="G323" s="122"/>
      <c r="H323" s="34"/>
      <c r="I323" s="34"/>
      <c r="J323" s="6"/>
      <c r="K323" s="211"/>
      <c r="L323" s="211"/>
      <c r="M323" s="211"/>
      <c r="N323" s="211"/>
      <c r="O323" s="34"/>
      <c r="P323" s="34"/>
      <c r="Q323" s="34"/>
      <c r="R323" s="436"/>
      <c r="S323" s="436"/>
      <c r="T323" s="211"/>
      <c r="U323" s="211"/>
      <c r="V323" s="211">
        <f>O323-T323-U323+V291</f>
        <v>882</v>
      </c>
      <c r="W323" s="260"/>
      <c r="X323" s="67"/>
    </row>
    <row r="324" spans="1:25" s="4" customFormat="1" ht="15" customHeight="1">
      <c r="A324" s="427"/>
      <c r="B324" s="268" t="s">
        <v>453</v>
      </c>
      <c r="C324" s="180" t="s">
        <v>505</v>
      </c>
      <c r="D324" s="43" t="s">
        <v>432</v>
      </c>
      <c r="E324" s="441"/>
      <c r="F324" s="48" t="s">
        <v>57</v>
      </c>
      <c r="G324" s="122"/>
      <c r="H324" s="34"/>
      <c r="I324" s="34"/>
      <c r="J324" s="6"/>
      <c r="K324" s="211"/>
      <c r="L324" s="211"/>
      <c r="M324" s="211"/>
      <c r="N324" s="211"/>
      <c r="O324" s="34">
        <f>July!AZ327</f>
        <v>715</v>
      </c>
      <c r="P324" s="34">
        <f>July!BA327</f>
        <v>220</v>
      </c>
      <c r="Q324" s="34">
        <f>July!AY327</f>
        <v>1</v>
      </c>
      <c r="R324" s="436"/>
      <c r="S324" s="436"/>
      <c r="T324" s="211"/>
      <c r="U324" s="211"/>
      <c r="V324" s="211">
        <f>O324-T324-U324+V292</f>
        <v>715</v>
      </c>
      <c r="W324" s="260"/>
      <c r="X324" s="67"/>
    </row>
    <row r="325" spans="1:25" ht="15" customHeight="1">
      <c r="A325" s="427"/>
      <c r="B325" s="122" t="s">
        <v>103</v>
      </c>
      <c r="C325" s="157" t="s">
        <v>197</v>
      </c>
      <c r="D325" s="48" t="s">
        <v>104</v>
      </c>
      <c r="E325" s="441"/>
      <c r="F325" s="118" t="s">
        <v>105</v>
      </c>
      <c r="G325" s="119"/>
      <c r="H325" s="126"/>
      <c r="I325" s="126"/>
      <c r="J325" s="2"/>
      <c r="K325" s="18"/>
      <c r="L325" s="18"/>
      <c r="M325" s="18"/>
      <c r="N325" s="18"/>
      <c r="O325" s="126"/>
      <c r="P325" s="126"/>
      <c r="Q325" s="126">
        <f>July!AY334</f>
        <v>1</v>
      </c>
      <c r="R325" s="436"/>
      <c r="S325" s="436"/>
      <c r="T325" s="18"/>
      <c r="U325" s="18"/>
      <c r="V325" s="18"/>
      <c r="W325" s="45"/>
      <c r="X325" s="67"/>
    </row>
    <row r="326" spans="1:25" ht="15" customHeight="1" thickBot="1">
      <c r="A326" s="427"/>
      <c r="B326" s="137" t="s">
        <v>112</v>
      </c>
      <c r="C326" s="157" t="s">
        <v>197</v>
      </c>
      <c r="D326" s="48" t="s">
        <v>104</v>
      </c>
      <c r="E326" s="441"/>
      <c r="F326" s="118" t="s">
        <v>113</v>
      </c>
      <c r="G326" s="342"/>
      <c r="H326" s="262"/>
      <c r="I326" s="126"/>
      <c r="J326" s="2"/>
      <c r="K326" s="18"/>
      <c r="L326" s="18"/>
      <c r="M326" s="18"/>
      <c r="N326" s="18"/>
      <c r="O326" s="126"/>
      <c r="P326" s="126"/>
      <c r="Q326" s="126"/>
      <c r="R326" s="436"/>
      <c r="S326" s="436"/>
      <c r="T326" s="18"/>
      <c r="U326" s="264"/>
      <c r="V326" s="18">
        <f>O326-T326-U326+V294</f>
        <v>34</v>
      </c>
      <c r="W326" s="45"/>
      <c r="X326" s="67"/>
    </row>
    <row r="327" spans="1:25" ht="15" customHeight="1">
      <c r="A327" s="426">
        <v>46216</v>
      </c>
      <c r="B327" s="429" t="s">
        <v>44</v>
      </c>
      <c r="C327" s="432" t="s">
        <v>240</v>
      </c>
      <c r="D327" s="19" t="s">
        <v>37</v>
      </c>
      <c r="E327" s="19" t="s">
        <v>25</v>
      </c>
      <c r="F327" s="39" t="s">
        <v>40</v>
      </c>
      <c r="G327" s="41">
        <v>4769.59</v>
      </c>
      <c r="H327" s="32">
        <v>4592</v>
      </c>
      <c r="I327" s="462">
        <v>612</v>
      </c>
      <c r="J327" s="32"/>
      <c r="K327" s="20">
        <v>32000</v>
      </c>
      <c r="L327" s="20">
        <v>4</v>
      </c>
      <c r="M327" s="20">
        <v>173400</v>
      </c>
      <c r="N327" s="84">
        <v>22</v>
      </c>
      <c r="O327" s="32">
        <f>July!BF313</f>
        <v>55047</v>
      </c>
      <c r="P327" s="32">
        <f>July!BG313</f>
        <v>63489</v>
      </c>
      <c r="Q327" s="32">
        <f>July!BE313</f>
        <v>165</v>
      </c>
      <c r="R327" s="435">
        <f>July!BF336</f>
        <v>84606</v>
      </c>
      <c r="S327" s="435">
        <f>July!BG336</f>
        <v>92217</v>
      </c>
      <c r="T327" s="20">
        <v>71767</v>
      </c>
      <c r="U327" s="20">
        <v>31</v>
      </c>
      <c r="V327" s="20">
        <f>O327-T327-U327+V295</f>
        <v>108279</v>
      </c>
      <c r="W327" s="77"/>
      <c r="X327" s="36"/>
    </row>
    <row r="328" spans="1:25" ht="15" customHeight="1">
      <c r="A328" s="427"/>
      <c r="B328" s="430"/>
      <c r="C328" s="433"/>
      <c r="D328" s="113" t="s">
        <v>307</v>
      </c>
      <c r="E328" s="438" t="s">
        <v>24</v>
      </c>
      <c r="F328" s="118" t="s">
        <v>40</v>
      </c>
      <c r="G328" s="38"/>
      <c r="H328" s="126"/>
      <c r="I328" s="463"/>
      <c r="J328" s="125"/>
      <c r="K328" s="127"/>
      <c r="L328" s="127"/>
      <c r="M328" s="216">
        <v>111400</v>
      </c>
      <c r="N328" s="238">
        <v>14</v>
      </c>
      <c r="O328" s="126">
        <f>July!BF314</f>
        <v>10553</v>
      </c>
      <c r="P328" s="125">
        <f>July!BG314</f>
        <v>16004</v>
      </c>
      <c r="Q328" s="125">
        <f>July!BE314</f>
        <v>43</v>
      </c>
      <c r="R328" s="436"/>
      <c r="S328" s="436"/>
      <c r="T328" s="127"/>
      <c r="U328" s="127"/>
      <c r="V328" s="127">
        <f>O328-T328-U328+V296</f>
        <v>82432</v>
      </c>
      <c r="W328" s="46"/>
      <c r="X328" s="67"/>
    </row>
    <row r="329" spans="1:25" ht="15" customHeight="1">
      <c r="A329" s="427"/>
      <c r="B329" s="431"/>
      <c r="C329" s="434"/>
      <c r="D329" s="113" t="s">
        <v>511</v>
      </c>
      <c r="E329" s="431"/>
      <c r="F329" s="155"/>
      <c r="G329" s="170"/>
      <c r="H329" s="158">
        <v>2430</v>
      </c>
      <c r="I329" s="463"/>
      <c r="J329" s="125"/>
      <c r="K329" s="127"/>
      <c r="L329" s="127"/>
      <c r="M329" s="216"/>
      <c r="N329" s="238"/>
      <c r="O329" s="126"/>
      <c r="P329" s="125"/>
      <c r="Q329" s="125"/>
      <c r="R329" s="436"/>
      <c r="S329" s="436"/>
      <c r="T329" s="127"/>
      <c r="U329" s="127"/>
      <c r="V329" s="127"/>
      <c r="W329" s="46"/>
      <c r="X329" s="67"/>
    </row>
    <row r="330" spans="1:25" ht="15" customHeight="1">
      <c r="A330" s="427"/>
      <c r="B330" s="442" t="s">
        <v>45</v>
      </c>
      <c r="C330" s="448" t="s">
        <v>59</v>
      </c>
      <c r="D330" s="118" t="s">
        <v>75</v>
      </c>
      <c r="E330" s="438" t="s">
        <v>25</v>
      </c>
      <c r="F330" s="131" t="s">
        <v>57</v>
      </c>
      <c r="G330" s="87"/>
      <c r="H330" s="152"/>
      <c r="I330" s="463"/>
      <c r="J330" s="2"/>
      <c r="K330" s="127"/>
      <c r="L330" s="18"/>
      <c r="M330" s="18">
        <v>35000</v>
      </c>
      <c r="N330" s="80">
        <v>7</v>
      </c>
      <c r="O330" s="126">
        <f>July!BF316</f>
        <v>13782</v>
      </c>
      <c r="P330" s="126">
        <f>July!BG316</f>
        <v>5023</v>
      </c>
      <c r="Q330" s="2">
        <f>July!BE316</f>
        <v>18</v>
      </c>
      <c r="R330" s="436"/>
      <c r="S330" s="436"/>
      <c r="T330" s="18">
        <v>6103</v>
      </c>
      <c r="U330" s="18"/>
      <c r="V330" s="127">
        <f>O330-T330-U330+V297</f>
        <v>19312</v>
      </c>
      <c r="W330" s="46"/>
      <c r="Y330" s="13"/>
    </row>
    <row r="331" spans="1:25" ht="15" customHeight="1">
      <c r="A331" s="427"/>
      <c r="B331" s="439"/>
      <c r="C331" s="440"/>
      <c r="D331" s="118" t="s">
        <v>94</v>
      </c>
      <c r="E331" s="431"/>
      <c r="F331" s="131"/>
      <c r="G331" s="87"/>
      <c r="H331" s="152"/>
      <c r="I331" s="463"/>
      <c r="J331" s="2"/>
      <c r="K331" s="127"/>
      <c r="L331" s="18"/>
      <c r="M331" s="18"/>
      <c r="N331" s="80"/>
      <c r="O331" s="126"/>
      <c r="P331" s="126"/>
      <c r="Q331" s="2"/>
      <c r="R331" s="436"/>
      <c r="S331" s="436"/>
      <c r="T331" s="18"/>
      <c r="U331" s="18"/>
      <c r="V331" s="127"/>
      <c r="W331" s="46"/>
      <c r="Y331" s="13"/>
    </row>
    <row r="332" spans="1:25">
      <c r="A332" s="427"/>
      <c r="B332" s="439"/>
      <c r="C332" s="440"/>
      <c r="D332" s="118" t="s">
        <v>72</v>
      </c>
      <c r="E332" s="424" t="s">
        <v>24</v>
      </c>
      <c r="F332" s="131" t="s">
        <v>57</v>
      </c>
      <c r="G332" s="224"/>
      <c r="H332" s="152"/>
      <c r="I332" s="463"/>
      <c r="J332" s="126"/>
      <c r="K332" s="127">
        <v>24800</v>
      </c>
      <c r="L332" s="18">
        <v>5</v>
      </c>
      <c r="M332" s="18">
        <v>24800</v>
      </c>
      <c r="N332" s="80">
        <v>5</v>
      </c>
      <c r="O332" s="126">
        <f>July!BF317</f>
        <v>930</v>
      </c>
      <c r="P332" s="126">
        <f>July!BG317</f>
        <v>751</v>
      </c>
      <c r="Q332" s="126">
        <f>July!BE317</f>
        <v>9</v>
      </c>
      <c r="R332" s="436"/>
      <c r="S332" s="436"/>
      <c r="T332" s="18"/>
      <c r="U332" s="18"/>
      <c r="V332" s="127">
        <f>O332-T332-U332+V298</f>
        <v>28820</v>
      </c>
      <c r="W332" s="46"/>
      <c r="Y332" s="13"/>
    </row>
    <row r="333" spans="1:25">
      <c r="A333" s="427"/>
      <c r="B333" s="439"/>
      <c r="C333" s="440"/>
      <c r="D333" s="115" t="s">
        <v>73</v>
      </c>
      <c r="E333" s="425"/>
      <c r="F333" s="131"/>
      <c r="G333" s="224"/>
      <c r="H333" s="152">
        <v>1320</v>
      </c>
      <c r="I333" s="463"/>
      <c r="J333" s="126"/>
      <c r="K333" s="127"/>
      <c r="L333" s="18"/>
      <c r="M333" s="18"/>
      <c r="N333" s="80"/>
      <c r="O333" s="126"/>
      <c r="P333" s="126"/>
      <c r="Q333" s="126"/>
      <c r="R333" s="436"/>
      <c r="S333" s="436"/>
      <c r="T333" s="18"/>
      <c r="U333" s="18"/>
      <c r="V333" s="127"/>
      <c r="W333" s="46"/>
      <c r="Y333" s="13"/>
    </row>
    <row r="334" spans="1:25" ht="14.25" customHeight="1">
      <c r="A334" s="427"/>
      <c r="B334" s="439"/>
      <c r="C334" s="449"/>
      <c r="D334" s="115" t="s">
        <v>79</v>
      </c>
      <c r="E334" s="118" t="s">
        <v>65</v>
      </c>
      <c r="F334" s="131" t="s">
        <v>57</v>
      </c>
      <c r="G334" s="224"/>
      <c r="H334" s="126"/>
      <c r="I334" s="463"/>
      <c r="J334" s="126"/>
      <c r="K334" s="18"/>
      <c r="L334" s="18"/>
      <c r="M334" s="18"/>
      <c r="N334" s="80"/>
      <c r="O334" s="126"/>
      <c r="P334" s="126"/>
      <c r="Q334" s="126"/>
      <c r="R334" s="436"/>
      <c r="S334" s="436"/>
      <c r="T334" s="18"/>
      <c r="U334" s="18"/>
      <c r="V334" s="127">
        <f t="shared" ref="V334:V346" si="15">O334-T334-U334+V299</f>
        <v>4741</v>
      </c>
      <c r="W334" s="45"/>
      <c r="X334" s="36"/>
    </row>
    <row r="335" spans="1:25" ht="14.25" customHeight="1">
      <c r="A335" s="427"/>
      <c r="B335" s="443"/>
      <c r="C335" s="271" t="s">
        <v>299</v>
      </c>
      <c r="D335" s="115" t="s">
        <v>75</v>
      </c>
      <c r="E335" s="119" t="s">
        <v>25</v>
      </c>
      <c r="F335" s="131" t="s">
        <v>298</v>
      </c>
      <c r="G335" s="229"/>
      <c r="H335" s="37"/>
      <c r="I335" s="463"/>
      <c r="J335" s="126"/>
      <c r="K335" s="18"/>
      <c r="L335" s="18"/>
      <c r="M335" s="18">
        <v>10000</v>
      </c>
      <c r="N335" s="80">
        <v>2</v>
      </c>
      <c r="O335" s="126"/>
      <c r="P335" s="126">
        <f>July!BG318</f>
        <v>1134</v>
      </c>
      <c r="Q335" s="126">
        <f>July!BE318</f>
        <v>4</v>
      </c>
      <c r="R335" s="436"/>
      <c r="S335" s="436"/>
      <c r="T335" s="18"/>
      <c r="U335" s="18"/>
      <c r="V335" s="127">
        <f t="shared" si="15"/>
        <v>16795</v>
      </c>
      <c r="W335" s="45"/>
      <c r="X335" s="67"/>
    </row>
    <row r="336" spans="1:25" ht="14.25" customHeight="1">
      <c r="A336" s="427"/>
      <c r="B336" s="442" t="s">
        <v>53</v>
      </c>
      <c r="C336" s="444" t="s">
        <v>60</v>
      </c>
      <c r="D336" s="43" t="s">
        <v>320</v>
      </c>
      <c r="E336" s="424" t="s">
        <v>66</v>
      </c>
      <c r="F336" s="118" t="s">
        <v>54</v>
      </c>
      <c r="G336" s="224"/>
      <c r="H336" s="37"/>
      <c r="I336" s="463"/>
      <c r="J336" s="126"/>
      <c r="K336" s="18"/>
      <c r="L336" s="18"/>
      <c r="M336" s="18"/>
      <c r="N336" s="80"/>
      <c r="O336" s="126"/>
      <c r="P336" s="126"/>
      <c r="Q336" s="126"/>
      <c r="R336" s="436"/>
      <c r="S336" s="436"/>
      <c r="T336" s="18"/>
      <c r="U336" s="18"/>
      <c r="V336" s="127">
        <f t="shared" si="15"/>
        <v>21565</v>
      </c>
      <c r="W336" s="45"/>
      <c r="X336" s="67"/>
    </row>
    <row r="337" spans="1:24" ht="14.25" customHeight="1">
      <c r="A337" s="427"/>
      <c r="B337" s="439"/>
      <c r="C337" s="445"/>
      <c r="D337" s="43" t="s">
        <v>387</v>
      </c>
      <c r="E337" s="425"/>
      <c r="F337" s="118" t="s">
        <v>54</v>
      </c>
      <c r="G337" s="229"/>
      <c r="H337" s="182"/>
      <c r="I337" s="463"/>
      <c r="J337" s="125"/>
      <c r="K337" s="127"/>
      <c r="L337" s="127"/>
      <c r="M337" s="127">
        <v>64800</v>
      </c>
      <c r="N337" s="171">
        <v>11</v>
      </c>
      <c r="O337" s="125"/>
      <c r="P337" s="125"/>
      <c r="Q337" s="125"/>
      <c r="R337" s="436"/>
      <c r="S337" s="436"/>
      <c r="T337" s="18"/>
      <c r="U337" s="18"/>
      <c r="V337" s="127">
        <f t="shared" si="15"/>
        <v>666</v>
      </c>
      <c r="W337" s="45"/>
      <c r="X337" s="67"/>
    </row>
    <row r="338" spans="1:24" ht="14.25" customHeight="1">
      <c r="A338" s="427"/>
      <c r="B338" s="443"/>
      <c r="C338" s="446"/>
      <c r="D338" s="43" t="s">
        <v>199</v>
      </c>
      <c r="E338" s="114" t="s">
        <v>25</v>
      </c>
      <c r="F338" s="118" t="s">
        <v>54</v>
      </c>
      <c r="G338" s="224"/>
      <c r="H338" s="135"/>
      <c r="I338" s="463"/>
      <c r="J338" s="158"/>
      <c r="K338" s="128"/>
      <c r="L338" s="128"/>
      <c r="M338" s="128"/>
      <c r="N338" s="164"/>
      <c r="O338" s="158"/>
      <c r="P338" s="158"/>
      <c r="Q338" s="158"/>
      <c r="R338" s="436"/>
      <c r="S338" s="436"/>
      <c r="T338" s="18"/>
      <c r="U338" s="18"/>
      <c r="V338" s="127">
        <f t="shared" si="15"/>
        <v>68</v>
      </c>
      <c r="W338" s="45"/>
      <c r="X338" s="67"/>
    </row>
    <row r="339" spans="1:24" ht="15.75" customHeight="1">
      <c r="A339" s="427"/>
      <c r="B339" s="137" t="s">
        <v>55</v>
      </c>
      <c r="C339" s="157" t="s">
        <v>133</v>
      </c>
      <c r="D339" s="48" t="s">
        <v>56</v>
      </c>
      <c r="E339" s="424" t="s">
        <v>25</v>
      </c>
      <c r="F339" s="118" t="s">
        <v>67</v>
      </c>
      <c r="G339" s="226"/>
      <c r="H339" s="126"/>
      <c r="I339" s="463"/>
      <c r="J339" s="2"/>
      <c r="K339" s="18"/>
      <c r="L339" s="18"/>
      <c r="M339" s="18"/>
      <c r="N339" s="18"/>
      <c r="O339" s="126"/>
      <c r="P339" s="126"/>
      <c r="Q339" s="126"/>
      <c r="R339" s="436"/>
      <c r="S339" s="436"/>
      <c r="T339" s="18"/>
      <c r="U339" s="18"/>
      <c r="V339" s="127">
        <f t="shared" si="15"/>
        <v>6322</v>
      </c>
      <c r="W339" s="45"/>
      <c r="X339" s="67"/>
    </row>
    <row r="340" spans="1:24" ht="15" customHeight="1">
      <c r="A340" s="427"/>
      <c r="B340" s="122" t="s">
        <v>122</v>
      </c>
      <c r="C340" s="180" t="s">
        <v>123</v>
      </c>
      <c r="D340" s="48" t="s">
        <v>56</v>
      </c>
      <c r="E340" s="441"/>
      <c r="F340" s="155" t="s">
        <v>64</v>
      </c>
      <c r="G340" s="119"/>
      <c r="H340" s="126"/>
      <c r="I340" s="463"/>
      <c r="J340" s="2"/>
      <c r="K340" s="18"/>
      <c r="L340" s="18"/>
      <c r="M340" s="18">
        <v>6400</v>
      </c>
      <c r="N340" s="18">
        <v>2</v>
      </c>
      <c r="O340" s="126"/>
      <c r="P340" s="126"/>
      <c r="Q340" s="126"/>
      <c r="R340" s="436"/>
      <c r="S340" s="436"/>
      <c r="T340" s="18"/>
      <c r="U340" s="18"/>
      <c r="V340" s="127">
        <f t="shared" si="15"/>
        <v>18121</v>
      </c>
      <c r="W340" s="45"/>
      <c r="X340" s="67"/>
    </row>
    <row r="341" spans="1:24" ht="14.25" customHeight="1">
      <c r="A341" s="427"/>
      <c r="B341" s="137" t="s">
        <v>58</v>
      </c>
      <c r="C341" s="157" t="s">
        <v>243</v>
      </c>
      <c r="D341" s="48" t="s">
        <v>56</v>
      </c>
      <c r="E341" s="441"/>
      <c r="F341" s="118" t="s">
        <v>64</v>
      </c>
      <c r="G341" s="225"/>
      <c r="H341" s="126"/>
      <c r="I341" s="463"/>
      <c r="J341" s="126"/>
      <c r="K341" s="18"/>
      <c r="L341" s="18"/>
      <c r="M341" s="18"/>
      <c r="N341" s="80"/>
      <c r="O341" s="126"/>
      <c r="P341" s="126"/>
      <c r="Q341" s="126"/>
      <c r="R341" s="436"/>
      <c r="S341" s="436"/>
      <c r="T341" s="18"/>
      <c r="U341" s="18"/>
      <c r="V341" s="127">
        <f t="shared" si="15"/>
        <v>8144</v>
      </c>
      <c r="W341" s="45"/>
      <c r="X341" s="67"/>
    </row>
    <row r="342" spans="1:24" ht="14.25" customHeight="1">
      <c r="A342" s="427"/>
      <c r="B342" s="122" t="s">
        <v>61</v>
      </c>
      <c r="C342" s="180" t="s">
        <v>137</v>
      </c>
      <c r="D342" s="48" t="s">
        <v>56</v>
      </c>
      <c r="E342" s="441"/>
      <c r="F342" s="118" t="s">
        <v>67</v>
      </c>
      <c r="G342" s="225"/>
      <c r="H342" s="126"/>
      <c r="I342" s="463"/>
      <c r="J342" s="126"/>
      <c r="K342" s="18"/>
      <c r="L342" s="18"/>
      <c r="M342" s="18"/>
      <c r="N342" s="80"/>
      <c r="O342" s="126"/>
      <c r="P342" s="126"/>
      <c r="Q342" s="126"/>
      <c r="R342" s="436"/>
      <c r="S342" s="436"/>
      <c r="T342" s="18"/>
      <c r="U342" s="18"/>
      <c r="V342" s="127">
        <f t="shared" si="15"/>
        <v>5844</v>
      </c>
      <c r="W342" s="45"/>
      <c r="X342" s="67"/>
    </row>
    <row r="343" spans="1:24" ht="14.25" customHeight="1">
      <c r="A343" s="427"/>
      <c r="B343" s="122" t="s">
        <v>125</v>
      </c>
      <c r="C343" s="180" t="s">
        <v>88</v>
      </c>
      <c r="D343" s="48" t="s">
        <v>124</v>
      </c>
      <c r="E343" s="441"/>
      <c r="F343" s="118" t="s">
        <v>64</v>
      </c>
      <c r="G343" s="225"/>
      <c r="H343" s="126"/>
      <c r="I343" s="463"/>
      <c r="J343" s="126"/>
      <c r="K343" s="18"/>
      <c r="L343" s="18"/>
      <c r="M343" s="18">
        <v>51200</v>
      </c>
      <c r="N343" s="80">
        <v>7</v>
      </c>
      <c r="O343" s="126"/>
      <c r="P343" s="126"/>
      <c r="Q343" s="126"/>
      <c r="R343" s="436"/>
      <c r="S343" s="436"/>
      <c r="T343" s="18"/>
      <c r="U343" s="18"/>
      <c r="V343" s="127">
        <f t="shared" si="15"/>
        <v>23615</v>
      </c>
      <c r="W343" s="45"/>
      <c r="X343" s="67"/>
    </row>
    <row r="344" spans="1:24" ht="14.25" customHeight="1">
      <c r="A344" s="427"/>
      <c r="B344" s="137" t="s">
        <v>463</v>
      </c>
      <c r="C344" s="157" t="s">
        <v>464</v>
      </c>
      <c r="D344" s="48" t="s">
        <v>246</v>
      </c>
      <c r="E344" s="441"/>
      <c r="F344" s="118" t="s">
        <v>64</v>
      </c>
      <c r="G344" s="225"/>
      <c r="H344" s="126"/>
      <c r="I344" s="463"/>
      <c r="J344" s="126"/>
      <c r="K344" s="18"/>
      <c r="L344" s="18"/>
      <c r="M344" s="18"/>
      <c r="N344" s="80"/>
      <c r="O344" s="126"/>
      <c r="P344" s="126">
        <f>July!BG333</f>
        <v>245</v>
      </c>
      <c r="Q344" s="126">
        <f>July!BE333</f>
        <v>1</v>
      </c>
      <c r="R344" s="436"/>
      <c r="S344" s="436"/>
      <c r="T344" s="18"/>
      <c r="U344" s="18"/>
      <c r="V344" s="127">
        <f t="shared" si="15"/>
        <v>2000</v>
      </c>
      <c r="W344" s="45"/>
      <c r="X344" s="67"/>
    </row>
    <row r="345" spans="1:24" ht="14.25" customHeight="1">
      <c r="A345" s="427"/>
      <c r="B345" s="137" t="s">
        <v>47</v>
      </c>
      <c r="C345" s="157" t="s">
        <v>100</v>
      </c>
      <c r="D345" s="48" t="s">
        <v>458</v>
      </c>
      <c r="E345" s="441"/>
      <c r="F345" s="118" t="s">
        <v>71</v>
      </c>
      <c r="G345" s="225"/>
      <c r="H345" s="126"/>
      <c r="I345" s="463"/>
      <c r="J345" s="126"/>
      <c r="K345" s="18"/>
      <c r="L345" s="18"/>
      <c r="M345" s="18">
        <v>6100</v>
      </c>
      <c r="N345" s="80">
        <v>1</v>
      </c>
      <c r="O345" s="126">
        <f>July!BF319</f>
        <v>1628</v>
      </c>
      <c r="P345" s="126">
        <f>July!BG319</f>
        <v>1782</v>
      </c>
      <c r="Q345" s="126">
        <f>July!BE319</f>
        <v>6</v>
      </c>
      <c r="R345" s="436"/>
      <c r="S345" s="436"/>
      <c r="T345" s="18">
        <v>9028</v>
      </c>
      <c r="U345" s="18">
        <v>8</v>
      </c>
      <c r="V345" s="127">
        <f t="shared" si="15"/>
        <v>1628</v>
      </c>
      <c r="W345" s="45"/>
      <c r="X345" s="67"/>
    </row>
    <row r="346" spans="1:24" ht="14.25" customHeight="1">
      <c r="A346" s="427"/>
      <c r="B346" s="137" t="s">
        <v>47</v>
      </c>
      <c r="C346" s="157" t="s">
        <v>457</v>
      </c>
      <c r="D346" s="48" t="s">
        <v>458</v>
      </c>
      <c r="E346" s="441"/>
      <c r="F346" s="118" t="s">
        <v>459</v>
      </c>
      <c r="G346" s="225"/>
      <c r="H346" s="126"/>
      <c r="I346" s="463"/>
      <c r="J346" s="126"/>
      <c r="K346" s="18"/>
      <c r="L346" s="18"/>
      <c r="M346" s="18"/>
      <c r="N346" s="80"/>
      <c r="O346" s="126"/>
      <c r="P346" s="126"/>
      <c r="Q346" s="126">
        <f>July!BE320</f>
        <v>1</v>
      </c>
      <c r="R346" s="436"/>
      <c r="S346" s="436"/>
      <c r="T346" s="18"/>
      <c r="U346" s="18"/>
      <c r="V346" s="127">
        <f t="shared" si="15"/>
        <v>0</v>
      </c>
      <c r="W346" s="45"/>
      <c r="X346" s="67"/>
    </row>
    <row r="347" spans="1:24" ht="15" customHeight="1">
      <c r="A347" s="427"/>
      <c r="B347" s="122" t="s">
        <v>196</v>
      </c>
      <c r="C347" s="180" t="s">
        <v>63</v>
      </c>
      <c r="D347" s="48" t="s">
        <v>135</v>
      </c>
      <c r="E347" s="441"/>
      <c r="F347" s="118" t="s">
        <v>64</v>
      </c>
      <c r="G347" s="226"/>
      <c r="H347" s="126"/>
      <c r="I347" s="463"/>
      <c r="J347" s="2"/>
      <c r="K347" s="18"/>
      <c r="L347" s="18"/>
      <c r="M347" s="18">
        <v>11800</v>
      </c>
      <c r="N347" s="18">
        <v>2</v>
      </c>
      <c r="O347" s="126"/>
      <c r="P347" s="126"/>
      <c r="Q347" s="126"/>
      <c r="R347" s="436"/>
      <c r="S347" s="436"/>
      <c r="T347" s="18"/>
      <c r="U347" s="18"/>
      <c r="V347" s="127"/>
      <c r="W347" s="45"/>
      <c r="X347" s="67"/>
    </row>
    <row r="348" spans="1:24" ht="15" customHeight="1">
      <c r="A348" s="427"/>
      <c r="B348" s="122" t="s">
        <v>253</v>
      </c>
      <c r="C348" s="180" t="s">
        <v>365</v>
      </c>
      <c r="D348" s="48" t="s">
        <v>246</v>
      </c>
      <c r="E348" s="441"/>
      <c r="F348" s="118" t="s">
        <v>247</v>
      </c>
      <c r="G348" s="226"/>
      <c r="H348" s="126"/>
      <c r="I348" s="463"/>
      <c r="J348" s="2"/>
      <c r="K348" s="18"/>
      <c r="L348" s="18"/>
      <c r="M348" s="18"/>
      <c r="N348" s="18"/>
      <c r="O348" s="126"/>
      <c r="P348" s="126">
        <f>July!BG321</f>
        <v>241</v>
      </c>
      <c r="Q348" s="126">
        <f>July!BE321</f>
        <v>1</v>
      </c>
      <c r="R348" s="436"/>
      <c r="S348" s="436"/>
      <c r="T348" s="18"/>
      <c r="U348" s="18"/>
      <c r="V348" s="127">
        <f>O348-T348-U348+V312</f>
        <v>9060</v>
      </c>
      <c r="W348" s="45"/>
      <c r="X348" s="67"/>
    </row>
    <row r="349" spans="1:24" ht="15" customHeight="1">
      <c r="A349" s="427"/>
      <c r="B349" s="122" t="s">
        <v>101</v>
      </c>
      <c r="C349" s="180" t="s">
        <v>327</v>
      </c>
      <c r="D349" s="48" t="s">
        <v>102</v>
      </c>
      <c r="E349" s="441"/>
      <c r="F349" s="118" t="s">
        <v>64</v>
      </c>
      <c r="G349" s="119"/>
      <c r="H349" s="126"/>
      <c r="I349" s="463"/>
      <c r="J349" s="2"/>
      <c r="K349" s="18"/>
      <c r="L349" s="18"/>
      <c r="M349" s="18">
        <v>14000</v>
      </c>
      <c r="N349" s="18">
        <v>2</v>
      </c>
      <c r="O349" s="126"/>
      <c r="P349" s="126">
        <f>July!BG328</f>
        <v>1442</v>
      </c>
      <c r="Q349" s="126">
        <f>July!BE328</f>
        <v>4</v>
      </c>
      <c r="R349" s="436"/>
      <c r="S349" s="436"/>
      <c r="T349" s="18"/>
      <c r="U349" s="18"/>
      <c r="V349" s="18">
        <f t="shared" ref="V349:V359" si="16">O349-T349-U349+V314</f>
        <v>12874</v>
      </c>
      <c r="W349" s="45"/>
      <c r="X349" s="67"/>
    </row>
    <row r="350" spans="1:24" ht="15" customHeight="1">
      <c r="A350" s="427"/>
      <c r="B350" s="122" t="s">
        <v>366</v>
      </c>
      <c r="C350" s="180" t="s">
        <v>367</v>
      </c>
      <c r="D350" s="48" t="s">
        <v>132</v>
      </c>
      <c r="E350" s="441"/>
      <c r="F350" s="118" t="s">
        <v>64</v>
      </c>
      <c r="G350" s="119"/>
      <c r="H350" s="126"/>
      <c r="I350" s="463"/>
      <c r="J350" s="2"/>
      <c r="K350" s="18"/>
      <c r="L350" s="18"/>
      <c r="M350" s="18"/>
      <c r="N350" s="18"/>
      <c r="O350" s="126">
        <f>July!BF329</f>
        <v>1981</v>
      </c>
      <c r="P350" s="126">
        <f>July!BG329</f>
        <v>820</v>
      </c>
      <c r="Q350" s="126">
        <f>July!BE329</f>
        <v>2</v>
      </c>
      <c r="R350" s="436"/>
      <c r="S350" s="436"/>
      <c r="T350" s="18"/>
      <c r="U350" s="18"/>
      <c r="V350" s="18">
        <f t="shared" si="16"/>
        <v>8472</v>
      </c>
      <c r="W350" s="45"/>
      <c r="X350" s="67"/>
    </row>
    <row r="351" spans="1:24" ht="15" customHeight="1">
      <c r="A351" s="427"/>
      <c r="B351" s="122" t="s">
        <v>363</v>
      </c>
      <c r="C351" s="180" t="s">
        <v>325</v>
      </c>
      <c r="D351" s="48" t="s">
        <v>328</v>
      </c>
      <c r="E351" s="441"/>
      <c r="F351" s="118" t="s">
        <v>48</v>
      </c>
      <c r="G351" s="226"/>
      <c r="H351" s="126"/>
      <c r="I351" s="463"/>
      <c r="J351" s="2"/>
      <c r="K351" s="18"/>
      <c r="L351" s="18"/>
      <c r="M351" s="18"/>
      <c r="N351" s="18"/>
      <c r="O351" s="126"/>
      <c r="P351" s="126"/>
      <c r="Q351" s="126"/>
      <c r="R351" s="436"/>
      <c r="S351" s="436"/>
      <c r="T351" s="18"/>
      <c r="U351" s="18"/>
      <c r="V351" s="127">
        <f t="shared" si="16"/>
        <v>16454</v>
      </c>
      <c r="W351" s="45"/>
      <c r="X351" s="67"/>
    </row>
    <row r="352" spans="1:24" ht="15" customHeight="1">
      <c r="A352" s="427"/>
      <c r="B352" s="122" t="s">
        <v>107</v>
      </c>
      <c r="C352" s="180" t="s">
        <v>386</v>
      </c>
      <c r="D352" s="48" t="s">
        <v>108</v>
      </c>
      <c r="E352" s="441"/>
      <c r="F352" s="115" t="s">
        <v>48</v>
      </c>
      <c r="G352" s="113"/>
      <c r="H352" s="125"/>
      <c r="I352" s="463"/>
      <c r="J352" s="250"/>
      <c r="K352" s="127"/>
      <c r="L352" s="127"/>
      <c r="M352" s="127">
        <v>13000</v>
      </c>
      <c r="N352" s="127">
        <v>2</v>
      </c>
      <c r="O352" s="125"/>
      <c r="P352" s="125"/>
      <c r="Q352" s="125"/>
      <c r="R352" s="436"/>
      <c r="S352" s="436"/>
      <c r="T352" s="18"/>
      <c r="U352" s="18"/>
      <c r="V352" s="18">
        <f t="shared" si="16"/>
        <v>12765</v>
      </c>
      <c r="W352" s="85"/>
      <c r="X352" s="67"/>
    </row>
    <row r="353" spans="1:25" s="4" customFormat="1" ht="15" customHeight="1">
      <c r="A353" s="427"/>
      <c r="B353" s="268" t="s">
        <v>375</v>
      </c>
      <c r="C353" s="277" t="s">
        <v>376</v>
      </c>
      <c r="D353" s="43" t="s">
        <v>248</v>
      </c>
      <c r="E353" s="441"/>
      <c r="F353" s="43" t="s">
        <v>64</v>
      </c>
      <c r="G353" s="268"/>
      <c r="H353" s="331"/>
      <c r="I353" s="463"/>
      <c r="J353" s="341"/>
      <c r="K353" s="216"/>
      <c r="L353" s="216"/>
      <c r="M353" s="216"/>
      <c r="N353" s="216"/>
      <c r="O353" s="331"/>
      <c r="P353" s="331"/>
      <c r="Q353" s="331"/>
      <c r="R353" s="436"/>
      <c r="S353" s="436"/>
      <c r="T353" s="216"/>
      <c r="U353" s="216"/>
      <c r="V353" s="216">
        <f t="shared" si="16"/>
        <v>75911</v>
      </c>
      <c r="W353" s="260"/>
      <c r="X353" s="67"/>
    </row>
    <row r="354" spans="1:25" s="4" customFormat="1" ht="15" customHeight="1">
      <c r="A354" s="427"/>
      <c r="B354" s="137" t="s">
        <v>421</v>
      </c>
      <c r="C354" s="157" t="s">
        <v>420</v>
      </c>
      <c r="D354" s="48" t="s">
        <v>248</v>
      </c>
      <c r="E354" s="441"/>
      <c r="F354" s="48" t="s">
        <v>64</v>
      </c>
      <c r="G354" s="122"/>
      <c r="H354" s="34"/>
      <c r="I354" s="463"/>
      <c r="J354" s="6"/>
      <c r="K354" s="211"/>
      <c r="L354" s="211"/>
      <c r="M354" s="211">
        <v>46200</v>
      </c>
      <c r="N354" s="211">
        <v>11</v>
      </c>
      <c r="O354" s="34"/>
      <c r="P354" s="34"/>
      <c r="Q354" s="34">
        <f>July!BE331</f>
        <v>20</v>
      </c>
      <c r="R354" s="436"/>
      <c r="S354" s="436"/>
      <c r="T354" s="211"/>
      <c r="U354" s="211"/>
      <c r="V354" s="211">
        <f t="shared" si="16"/>
        <v>57857</v>
      </c>
      <c r="W354" s="260"/>
      <c r="X354" s="67"/>
    </row>
    <row r="355" spans="1:25" s="4" customFormat="1" ht="15" customHeight="1">
      <c r="A355" s="427"/>
      <c r="B355" s="137" t="s">
        <v>289</v>
      </c>
      <c r="C355" s="157" t="s">
        <v>516</v>
      </c>
      <c r="D355" s="48" t="s">
        <v>432</v>
      </c>
      <c r="E355" s="441"/>
      <c r="F355" s="48" t="s">
        <v>515</v>
      </c>
      <c r="G355" s="122"/>
      <c r="H355" s="34"/>
      <c r="I355" s="463"/>
      <c r="J355" s="6"/>
      <c r="K355" s="211"/>
      <c r="L355" s="211"/>
      <c r="M355" s="211"/>
      <c r="N355" s="211"/>
      <c r="O355" s="34"/>
      <c r="P355" s="34">
        <f>July!BG323</f>
        <v>286</v>
      </c>
      <c r="Q355" s="34">
        <f>July!BE323</f>
        <v>1</v>
      </c>
      <c r="R355" s="436"/>
      <c r="S355" s="436"/>
      <c r="T355" s="211"/>
      <c r="U355" s="211"/>
      <c r="V355" s="211">
        <f t="shared" si="16"/>
        <v>0</v>
      </c>
      <c r="W355" s="260"/>
      <c r="X355" s="67"/>
    </row>
    <row r="356" spans="1:25" s="4" customFormat="1" ht="15" customHeight="1">
      <c r="A356" s="427"/>
      <c r="B356" s="137" t="s">
        <v>289</v>
      </c>
      <c r="C356" s="157" t="s">
        <v>501</v>
      </c>
      <c r="D356" s="48" t="s">
        <v>432</v>
      </c>
      <c r="E356" s="441"/>
      <c r="F356" s="48" t="s">
        <v>502</v>
      </c>
      <c r="G356" s="122"/>
      <c r="H356" s="34"/>
      <c r="I356" s="463"/>
      <c r="J356" s="6"/>
      <c r="K356" s="211"/>
      <c r="L356" s="211"/>
      <c r="M356" s="211">
        <v>6000</v>
      </c>
      <c r="N356" s="211">
        <v>1</v>
      </c>
      <c r="O356" s="34"/>
      <c r="P356" s="34">
        <f>July!BG324</f>
        <v>567</v>
      </c>
      <c r="Q356" s="34">
        <f>July!BE324</f>
        <v>2</v>
      </c>
      <c r="R356" s="436"/>
      <c r="S356" s="436"/>
      <c r="T356" s="211"/>
      <c r="U356" s="211"/>
      <c r="V356" s="211">
        <f t="shared" si="16"/>
        <v>533</v>
      </c>
      <c r="W356" s="260"/>
      <c r="X356" s="67"/>
    </row>
    <row r="357" spans="1:25" s="4" customFormat="1" ht="15" customHeight="1">
      <c r="A357" s="427"/>
      <c r="B357" s="122" t="s">
        <v>289</v>
      </c>
      <c r="C357" s="157" t="s">
        <v>507</v>
      </c>
      <c r="D357" s="48" t="s">
        <v>432</v>
      </c>
      <c r="E357" s="441"/>
      <c r="F357" s="48" t="s">
        <v>506</v>
      </c>
      <c r="G357" s="366"/>
      <c r="H357" s="34"/>
      <c r="I357" s="463"/>
      <c r="J357" s="6"/>
      <c r="K357" s="211"/>
      <c r="L357" s="211"/>
      <c r="M357" s="211"/>
      <c r="N357" s="211"/>
      <c r="O357" s="34">
        <f>July!BF325</f>
        <v>685</v>
      </c>
      <c r="P357" s="34">
        <f>July!BG325</f>
        <v>433</v>
      </c>
      <c r="Q357" s="34">
        <f>July!BE325</f>
        <v>2</v>
      </c>
      <c r="R357" s="436"/>
      <c r="S357" s="436"/>
      <c r="T357" s="211"/>
      <c r="U357" s="211"/>
      <c r="V357" s="211">
        <f t="shared" si="16"/>
        <v>685</v>
      </c>
      <c r="W357" s="260"/>
      <c r="X357" s="67"/>
    </row>
    <row r="358" spans="1:25" s="4" customFormat="1" ht="15" customHeight="1">
      <c r="A358" s="427"/>
      <c r="B358" s="122" t="s">
        <v>289</v>
      </c>
      <c r="C358" s="180" t="s">
        <v>505</v>
      </c>
      <c r="D358" s="48" t="s">
        <v>432</v>
      </c>
      <c r="E358" s="441"/>
      <c r="F358" s="48" t="s">
        <v>435</v>
      </c>
      <c r="G358" s="122"/>
      <c r="H358" s="34"/>
      <c r="I358" s="463"/>
      <c r="J358" s="6"/>
      <c r="K358" s="211"/>
      <c r="L358" s="211"/>
      <c r="M358" s="211"/>
      <c r="N358" s="211"/>
      <c r="O358" s="34"/>
      <c r="P358" s="34"/>
      <c r="Q358" s="34"/>
      <c r="R358" s="436"/>
      <c r="S358" s="436"/>
      <c r="T358" s="211"/>
      <c r="U358" s="211"/>
      <c r="V358" s="211">
        <f t="shared" si="16"/>
        <v>882</v>
      </c>
      <c r="W358" s="260"/>
      <c r="X358" s="67"/>
    </row>
    <row r="359" spans="1:25" s="4" customFormat="1" ht="15" customHeight="1">
      <c r="A359" s="427"/>
      <c r="B359" s="268" t="s">
        <v>453</v>
      </c>
      <c r="C359" s="180" t="s">
        <v>505</v>
      </c>
      <c r="D359" s="43" t="s">
        <v>432</v>
      </c>
      <c r="E359" s="441"/>
      <c r="F359" s="48" t="s">
        <v>57</v>
      </c>
      <c r="G359" s="122"/>
      <c r="H359" s="34"/>
      <c r="I359" s="463"/>
      <c r="J359" s="6"/>
      <c r="K359" s="211"/>
      <c r="L359" s="211"/>
      <c r="M359" s="211"/>
      <c r="N359" s="211"/>
      <c r="O359" s="34"/>
      <c r="P359" s="34"/>
      <c r="Q359" s="34"/>
      <c r="R359" s="436"/>
      <c r="S359" s="436"/>
      <c r="T359" s="211"/>
      <c r="U359" s="211"/>
      <c r="V359" s="211">
        <f t="shared" si="16"/>
        <v>715</v>
      </c>
      <c r="W359" s="260"/>
      <c r="X359" s="67"/>
    </row>
    <row r="360" spans="1:25" ht="15" customHeight="1">
      <c r="A360" s="427"/>
      <c r="B360" s="122" t="s">
        <v>103</v>
      </c>
      <c r="C360" s="157" t="s">
        <v>197</v>
      </c>
      <c r="D360" s="48" t="s">
        <v>104</v>
      </c>
      <c r="E360" s="441"/>
      <c r="F360" s="118" t="s">
        <v>105</v>
      </c>
      <c r="G360" s="119"/>
      <c r="H360" s="126"/>
      <c r="I360" s="463"/>
      <c r="J360" s="2"/>
      <c r="K360" s="18"/>
      <c r="L360" s="18"/>
      <c r="M360" s="18"/>
      <c r="N360" s="18"/>
      <c r="O360" s="126"/>
      <c r="P360" s="126"/>
      <c r="Q360" s="126">
        <f>July!BE334</f>
        <v>1</v>
      </c>
      <c r="R360" s="436"/>
      <c r="S360" s="436"/>
      <c r="T360" s="18"/>
      <c r="U360" s="18"/>
      <c r="V360" s="18"/>
      <c r="W360" s="45"/>
      <c r="X360" s="67"/>
    </row>
    <row r="361" spans="1:25" ht="15" customHeight="1" thickBot="1">
      <c r="A361" s="428"/>
      <c r="B361" s="137" t="s">
        <v>112</v>
      </c>
      <c r="C361" s="157" t="s">
        <v>197</v>
      </c>
      <c r="D361" s="48" t="s">
        <v>104</v>
      </c>
      <c r="E361" s="447"/>
      <c r="F361" s="118" t="s">
        <v>113</v>
      </c>
      <c r="G361" s="342"/>
      <c r="H361" s="262"/>
      <c r="I361" s="463"/>
      <c r="J361" s="2"/>
      <c r="K361" s="18"/>
      <c r="L361" s="18"/>
      <c r="M361" s="18"/>
      <c r="N361" s="18"/>
      <c r="O361" s="126"/>
      <c r="P361" s="126"/>
      <c r="Q361" s="126"/>
      <c r="R361" s="437"/>
      <c r="S361" s="437"/>
      <c r="T361" s="18"/>
      <c r="U361" s="264"/>
      <c r="V361" s="18">
        <f>O361-T361-U361+V326</f>
        <v>34</v>
      </c>
      <c r="W361" s="45"/>
      <c r="X361" s="67"/>
    </row>
    <row r="362" spans="1:25" ht="15" customHeight="1">
      <c r="A362" s="426">
        <v>46217</v>
      </c>
      <c r="B362" s="429" t="s">
        <v>44</v>
      </c>
      <c r="C362" s="432" t="s">
        <v>240</v>
      </c>
      <c r="D362" s="19" t="s">
        <v>37</v>
      </c>
      <c r="E362" s="19" t="s">
        <v>25</v>
      </c>
      <c r="F362" s="39" t="s">
        <v>40</v>
      </c>
      <c r="G362" s="41">
        <v>7147.53</v>
      </c>
      <c r="H362" s="32">
        <v>4656</v>
      </c>
      <c r="I362" s="409"/>
      <c r="J362" s="32"/>
      <c r="K362" s="20">
        <v>40000</v>
      </c>
      <c r="L362" s="20">
        <v>5</v>
      </c>
      <c r="M362" s="20">
        <v>237400</v>
      </c>
      <c r="N362" s="84">
        <v>30</v>
      </c>
      <c r="O362" s="32">
        <f>July!BI313</f>
        <v>56147</v>
      </c>
      <c r="P362" s="32">
        <f>July!BJ313</f>
        <v>63697</v>
      </c>
      <c r="Q362" s="32">
        <f>July!BH313</f>
        <v>169</v>
      </c>
      <c r="R362" s="435">
        <f>July!BI336</f>
        <v>65880</v>
      </c>
      <c r="S362" s="435">
        <f>July!BJ336</f>
        <v>90873</v>
      </c>
      <c r="T362" s="20">
        <v>70518</v>
      </c>
      <c r="U362" s="20">
        <v>18</v>
      </c>
      <c r="V362" s="20">
        <f>O362-T362-U362+V327</f>
        <v>93890</v>
      </c>
      <c r="W362" s="77"/>
      <c r="X362" s="36"/>
    </row>
    <row r="363" spans="1:25" ht="15" customHeight="1">
      <c r="A363" s="427"/>
      <c r="B363" s="430"/>
      <c r="C363" s="433"/>
      <c r="D363" s="113" t="s">
        <v>307</v>
      </c>
      <c r="E363" s="438" t="s">
        <v>24</v>
      </c>
      <c r="F363" s="118" t="s">
        <v>40</v>
      </c>
      <c r="G363" s="38"/>
      <c r="H363" s="126"/>
      <c r="I363" s="160"/>
      <c r="J363" s="125"/>
      <c r="K363" s="127"/>
      <c r="L363" s="127"/>
      <c r="M363" s="216">
        <v>111400</v>
      </c>
      <c r="N363" s="238">
        <v>14</v>
      </c>
      <c r="O363" s="126">
        <f>July!BI314</f>
        <v>2889</v>
      </c>
      <c r="P363" s="125">
        <f>July!BJ314</f>
        <v>14665</v>
      </c>
      <c r="Q363" s="125">
        <f>July!BH314</f>
        <v>39</v>
      </c>
      <c r="R363" s="436"/>
      <c r="S363" s="436"/>
      <c r="T363" s="127">
        <v>9194</v>
      </c>
      <c r="U363" s="127"/>
      <c r="V363" s="127">
        <f>O363-T363-U363+V328</f>
        <v>76127</v>
      </c>
      <c r="W363" s="46"/>
      <c r="X363" s="67"/>
    </row>
    <row r="364" spans="1:25" ht="15" customHeight="1">
      <c r="A364" s="427"/>
      <c r="B364" s="431"/>
      <c r="C364" s="434"/>
      <c r="D364" s="113" t="s">
        <v>511</v>
      </c>
      <c r="E364" s="431"/>
      <c r="F364" s="155"/>
      <c r="G364" s="170"/>
      <c r="H364" s="158">
        <v>1215</v>
      </c>
      <c r="I364" s="160"/>
      <c r="J364" s="125"/>
      <c r="K364" s="127"/>
      <c r="L364" s="127"/>
      <c r="M364" s="216"/>
      <c r="N364" s="238"/>
      <c r="O364" s="126"/>
      <c r="P364" s="125"/>
      <c r="Q364" s="125"/>
      <c r="R364" s="436"/>
      <c r="S364" s="436"/>
      <c r="T364" s="127"/>
      <c r="U364" s="127"/>
      <c r="V364" s="127"/>
      <c r="W364" s="46"/>
      <c r="X364" s="67"/>
    </row>
    <row r="365" spans="1:25" ht="15" customHeight="1">
      <c r="A365" s="427"/>
      <c r="B365" s="442" t="s">
        <v>45</v>
      </c>
      <c r="C365" s="448" t="s">
        <v>59</v>
      </c>
      <c r="D365" s="118" t="s">
        <v>75</v>
      </c>
      <c r="E365" s="438" t="s">
        <v>25</v>
      </c>
      <c r="F365" s="131" t="s">
        <v>57</v>
      </c>
      <c r="G365" s="87"/>
      <c r="H365" s="152"/>
      <c r="I365" s="160"/>
      <c r="J365" s="2"/>
      <c r="K365" s="127"/>
      <c r="L365" s="18"/>
      <c r="M365" s="18">
        <v>35000</v>
      </c>
      <c r="N365" s="80">
        <v>7</v>
      </c>
      <c r="O365" s="126">
        <f>July!BI316</f>
        <v>1600</v>
      </c>
      <c r="P365" s="126">
        <f>July!BJ316</f>
        <v>5060</v>
      </c>
      <c r="Q365" s="2">
        <f>July!BH316</f>
        <v>18</v>
      </c>
      <c r="R365" s="436"/>
      <c r="S365" s="436"/>
      <c r="T365" s="18"/>
      <c r="U365" s="18"/>
      <c r="V365" s="127">
        <f>O365-T365-U365+V330</f>
        <v>20912</v>
      </c>
      <c r="W365" s="46"/>
      <c r="Y365" s="13"/>
    </row>
    <row r="366" spans="1:25" ht="15" customHeight="1">
      <c r="A366" s="427"/>
      <c r="B366" s="439"/>
      <c r="C366" s="440"/>
      <c r="D366" s="118" t="s">
        <v>94</v>
      </c>
      <c r="E366" s="431"/>
      <c r="F366" s="131"/>
      <c r="G366" s="87"/>
      <c r="H366" s="152">
        <f>648+972+648</f>
        <v>2268</v>
      </c>
      <c r="I366" s="160"/>
      <c r="J366" s="2"/>
      <c r="K366" s="127"/>
      <c r="L366" s="18"/>
      <c r="M366" s="18"/>
      <c r="N366" s="80"/>
      <c r="O366" s="126"/>
      <c r="P366" s="126"/>
      <c r="Q366" s="2"/>
      <c r="R366" s="436"/>
      <c r="S366" s="436"/>
      <c r="T366" s="18"/>
      <c r="U366" s="18"/>
      <c r="V366" s="127"/>
      <c r="W366" s="46"/>
      <c r="Y366" s="13"/>
    </row>
    <row r="367" spans="1:25">
      <c r="A367" s="427"/>
      <c r="B367" s="439"/>
      <c r="C367" s="440"/>
      <c r="D367" s="118" t="s">
        <v>72</v>
      </c>
      <c r="E367" s="155" t="s">
        <v>24</v>
      </c>
      <c r="F367" s="131" t="s">
        <v>57</v>
      </c>
      <c r="G367" s="224"/>
      <c r="H367" s="152"/>
      <c r="I367" s="160"/>
      <c r="J367" s="126"/>
      <c r="K367" s="127"/>
      <c r="L367" s="18"/>
      <c r="M367" s="18">
        <v>24800</v>
      </c>
      <c r="N367" s="80">
        <v>5</v>
      </c>
      <c r="O367" s="126">
        <f>July!BI317</f>
        <v>273</v>
      </c>
      <c r="P367" s="126">
        <f>July!BJ317</f>
        <v>722</v>
      </c>
      <c r="Q367" s="126">
        <f>July!BH317</f>
        <v>9</v>
      </c>
      <c r="R367" s="436"/>
      <c r="S367" s="436"/>
      <c r="T367" s="18"/>
      <c r="U367" s="18"/>
      <c r="V367" s="127">
        <f>O367-T367-U367+V332</f>
        <v>29093</v>
      </c>
      <c r="W367" s="46"/>
      <c r="Y367" s="13"/>
    </row>
    <row r="368" spans="1:25" ht="14.25" customHeight="1">
      <c r="A368" s="427"/>
      <c r="B368" s="439"/>
      <c r="C368" s="449"/>
      <c r="D368" s="115" t="s">
        <v>79</v>
      </c>
      <c r="E368" s="118" t="s">
        <v>65</v>
      </c>
      <c r="F368" s="131" t="s">
        <v>57</v>
      </c>
      <c r="G368" s="224"/>
      <c r="H368" s="126"/>
      <c r="I368" s="160"/>
      <c r="J368" s="126"/>
      <c r="K368" s="18"/>
      <c r="L368" s="18"/>
      <c r="M368" s="18"/>
      <c r="N368" s="80"/>
      <c r="O368" s="126"/>
      <c r="P368" s="126"/>
      <c r="Q368" s="126"/>
      <c r="R368" s="436"/>
      <c r="S368" s="436"/>
      <c r="T368" s="18"/>
      <c r="U368" s="18"/>
      <c r="V368" s="127">
        <f t="shared" ref="V368:V379" si="17">O368-T368-U368+V334</f>
        <v>4741</v>
      </c>
      <c r="W368" s="45"/>
      <c r="X368" s="36"/>
    </row>
    <row r="369" spans="1:24" ht="14.25" customHeight="1">
      <c r="A369" s="427"/>
      <c r="B369" s="443"/>
      <c r="C369" s="271" t="s">
        <v>299</v>
      </c>
      <c r="D369" s="115" t="s">
        <v>75</v>
      </c>
      <c r="E369" s="119" t="s">
        <v>25</v>
      </c>
      <c r="F369" s="131" t="s">
        <v>298</v>
      </c>
      <c r="G369" s="229"/>
      <c r="H369" s="37"/>
      <c r="I369" s="160"/>
      <c r="J369" s="126"/>
      <c r="K369" s="18"/>
      <c r="L369" s="18"/>
      <c r="M369" s="18">
        <v>10000</v>
      </c>
      <c r="N369" s="80">
        <v>2</v>
      </c>
      <c r="O369" s="126">
        <f>July!BI318</f>
        <v>2185</v>
      </c>
      <c r="P369" s="126">
        <f>July!BJ318</f>
        <v>991</v>
      </c>
      <c r="Q369" s="126">
        <f>July!BH318</f>
        <v>4</v>
      </c>
      <c r="R369" s="436"/>
      <c r="S369" s="436"/>
      <c r="T369" s="18"/>
      <c r="U369" s="18"/>
      <c r="V369" s="127">
        <f t="shared" si="17"/>
        <v>18980</v>
      </c>
      <c r="W369" s="45"/>
      <c r="X369" s="67"/>
    </row>
    <row r="370" spans="1:24" ht="14.25" customHeight="1">
      <c r="A370" s="427"/>
      <c r="B370" s="442" t="s">
        <v>53</v>
      </c>
      <c r="C370" s="444" t="s">
        <v>60</v>
      </c>
      <c r="D370" s="43" t="s">
        <v>320</v>
      </c>
      <c r="E370" s="424" t="s">
        <v>66</v>
      </c>
      <c r="F370" s="118" t="s">
        <v>54</v>
      </c>
      <c r="G370" s="224"/>
      <c r="H370" s="37"/>
      <c r="I370" s="160"/>
      <c r="J370" s="126"/>
      <c r="K370" s="18"/>
      <c r="L370" s="18"/>
      <c r="M370" s="18"/>
      <c r="N370" s="80"/>
      <c r="O370" s="126"/>
      <c r="P370" s="126"/>
      <c r="Q370" s="126"/>
      <c r="R370" s="436"/>
      <c r="S370" s="436"/>
      <c r="T370" s="18">
        <v>21562</v>
      </c>
      <c r="U370" s="18">
        <v>3</v>
      </c>
      <c r="V370" s="127">
        <f t="shared" si="17"/>
        <v>0</v>
      </c>
      <c r="W370" s="45"/>
      <c r="X370" s="67"/>
    </row>
    <row r="371" spans="1:24" ht="14.25" customHeight="1">
      <c r="A371" s="427"/>
      <c r="B371" s="439"/>
      <c r="C371" s="445"/>
      <c r="D371" s="43" t="s">
        <v>387</v>
      </c>
      <c r="E371" s="425"/>
      <c r="F371" s="118" t="s">
        <v>54</v>
      </c>
      <c r="G371" s="229"/>
      <c r="H371" s="182"/>
      <c r="I371" s="160"/>
      <c r="J371" s="125"/>
      <c r="K371" s="127"/>
      <c r="L371" s="127"/>
      <c r="M371" s="127">
        <v>64800</v>
      </c>
      <c r="N371" s="171">
        <v>11</v>
      </c>
      <c r="O371" s="125"/>
      <c r="P371" s="125"/>
      <c r="Q371" s="125"/>
      <c r="R371" s="436"/>
      <c r="S371" s="436"/>
      <c r="T371" s="18"/>
      <c r="U371" s="18"/>
      <c r="V371" s="127">
        <f t="shared" si="17"/>
        <v>666</v>
      </c>
      <c r="W371" s="45"/>
      <c r="X371" s="67"/>
    </row>
    <row r="372" spans="1:24" ht="14.25" customHeight="1">
      <c r="A372" s="427"/>
      <c r="B372" s="443"/>
      <c r="C372" s="446"/>
      <c r="D372" s="43" t="s">
        <v>199</v>
      </c>
      <c r="E372" s="114" t="s">
        <v>25</v>
      </c>
      <c r="F372" s="118" t="s">
        <v>54</v>
      </c>
      <c r="G372" s="224"/>
      <c r="H372" s="135"/>
      <c r="I372" s="160"/>
      <c r="J372" s="158"/>
      <c r="K372" s="128"/>
      <c r="L372" s="128"/>
      <c r="M372" s="128"/>
      <c r="N372" s="164"/>
      <c r="O372" s="158"/>
      <c r="P372" s="158"/>
      <c r="Q372" s="158"/>
      <c r="R372" s="436"/>
      <c r="S372" s="436"/>
      <c r="T372" s="18"/>
      <c r="U372" s="18"/>
      <c r="V372" s="127">
        <f t="shared" si="17"/>
        <v>68</v>
      </c>
      <c r="W372" s="45"/>
      <c r="X372" s="67"/>
    </row>
    <row r="373" spans="1:24" ht="15.75" customHeight="1">
      <c r="A373" s="427"/>
      <c r="B373" s="137" t="s">
        <v>55</v>
      </c>
      <c r="C373" s="157" t="s">
        <v>133</v>
      </c>
      <c r="D373" s="48" t="s">
        <v>56</v>
      </c>
      <c r="E373" s="424" t="s">
        <v>25</v>
      </c>
      <c r="F373" s="118" t="s">
        <v>67</v>
      </c>
      <c r="G373" s="226"/>
      <c r="H373" s="126"/>
      <c r="I373" s="160"/>
      <c r="J373" s="2"/>
      <c r="K373" s="18"/>
      <c r="L373" s="18"/>
      <c r="M373" s="18"/>
      <c r="N373" s="18"/>
      <c r="O373" s="126"/>
      <c r="P373" s="126"/>
      <c r="Q373" s="126"/>
      <c r="R373" s="436"/>
      <c r="S373" s="436"/>
      <c r="T373" s="18"/>
      <c r="U373" s="18"/>
      <c r="V373" s="127">
        <f t="shared" si="17"/>
        <v>6322</v>
      </c>
      <c r="W373" s="45"/>
      <c r="X373" s="67"/>
    </row>
    <row r="374" spans="1:24" ht="15" customHeight="1">
      <c r="A374" s="427"/>
      <c r="B374" s="122" t="s">
        <v>122</v>
      </c>
      <c r="C374" s="180" t="s">
        <v>123</v>
      </c>
      <c r="D374" s="48" t="s">
        <v>56</v>
      </c>
      <c r="E374" s="441"/>
      <c r="F374" s="155" t="s">
        <v>64</v>
      </c>
      <c r="G374" s="119"/>
      <c r="H374" s="126"/>
      <c r="I374" s="160"/>
      <c r="J374" s="2"/>
      <c r="K374" s="18"/>
      <c r="L374" s="18"/>
      <c r="M374" s="18">
        <v>6400</v>
      </c>
      <c r="N374" s="18">
        <v>2</v>
      </c>
      <c r="O374" s="126"/>
      <c r="P374" s="126"/>
      <c r="Q374" s="126"/>
      <c r="R374" s="436"/>
      <c r="S374" s="436"/>
      <c r="T374" s="18"/>
      <c r="U374" s="18"/>
      <c r="V374" s="127">
        <f t="shared" si="17"/>
        <v>18121</v>
      </c>
      <c r="W374" s="45"/>
      <c r="X374" s="67"/>
    </row>
    <row r="375" spans="1:24" ht="14.25" customHeight="1">
      <c r="A375" s="427"/>
      <c r="B375" s="137" t="s">
        <v>58</v>
      </c>
      <c r="C375" s="157" t="s">
        <v>243</v>
      </c>
      <c r="D375" s="48" t="s">
        <v>56</v>
      </c>
      <c r="E375" s="441"/>
      <c r="F375" s="118" t="s">
        <v>64</v>
      </c>
      <c r="G375" s="225"/>
      <c r="H375" s="126"/>
      <c r="I375" s="160"/>
      <c r="J375" s="126"/>
      <c r="K375" s="18"/>
      <c r="L375" s="18"/>
      <c r="M375" s="18"/>
      <c r="N375" s="80"/>
      <c r="O375" s="126"/>
      <c r="P375" s="126"/>
      <c r="Q375" s="126"/>
      <c r="R375" s="436"/>
      <c r="S375" s="436"/>
      <c r="T375" s="18"/>
      <c r="U375" s="18"/>
      <c r="V375" s="127">
        <f t="shared" si="17"/>
        <v>8144</v>
      </c>
      <c r="W375" s="45"/>
      <c r="X375" s="67"/>
    </row>
    <row r="376" spans="1:24" ht="14.25" customHeight="1">
      <c r="A376" s="427"/>
      <c r="B376" s="122" t="s">
        <v>61</v>
      </c>
      <c r="C376" s="180" t="s">
        <v>137</v>
      </c>
      <c r="D376" s="48" t="s">
        <v>56</v>
      </c>
      <c r="E376" s="441"/>
      <c r="F376" s="118" t="s">
        <v>67</v>
      </c>
      <c r="G376" s="225"/>
      <c r="H376" s="126"/>
      <c r="I376" s="160"/>
      <c r="J376" s="126"/>
      <c r="K376" s="18"/>
      <c r="L376" s="18"/>
      <c r="M376" s="18"/>
      <c r="N376" s="80"/>
      <c r="O376" s="126"/>
      <c r="P376" s="126"/>
      <c r="Q376" s="126"/>
      <c r="R376" s="436"/>
      <c r="S376" s="436"/>
      <c r="T376" s="18"/>
      <c r="U376" s="18"/>
      <c r="V376" s="127">
        <f t="shared" si="17"/>
        <v>5844</v>
      </c>
      <c r="W376" s="45"/>
      <c r="X376" s="67"/>
    </row>
    <row r="377" spans="1:24" ht="14.25" customHeight="1">
      <c r="A377" s="427"/>
      <c r="B377" s="122" t="s">
        <v>125</v>
      </c>
      <c r="C377" s="180" t="s">
        <v>88</v>
      </c>
      <c r="D377" s="48" t="s">
        <v>124</v>
      </c>
      <c r="E377" s="441"/>
      <c r="F377" s="118" t="s">
        <v>64</v>
      </c>
      <c r="G377" s="225"/>
      <c r="H377" s="126"/>
      <c r="I377" s="160"/>
      <c r="J377" s="126"/>
      <c r="K377" s="18"/>
      <c r="L377" s="18"/>
      <c r="M377" s="18">
        <v>51200</v>
      </c>
      <c r="N377" s="80">
        <v>7</v>
      </c>
      <c r="O377" s="126"/>
      <c r="P377" s="126"/>
      <c r="Q377" s="126"/>
      <c r="R377" s="436"/>
      <c r="S377" s="436"/>
      <c r="T377" s="18"/>
      <c r="U377" s="18"/>
      <c r="V377" s="127">
        <f t="shared" si="17"/>
        <v>23615</v>
      </c>
      <c r="W377" s="45"/>
      <c r="X377" s="67"/>
    </row>
    <row r="378" spans="1:24" ht="14.25" customHeight="1">
      <c r="A378" s="427"/>
      <c r="B378" s="137" t="s">
        <v>463</v>
      </c>
      <c r="C378" s="157" t="s">
        <v>464</v>
      </c>
      <c r="D378" s="48" t="s">
        <v>246</v>
      </c>
      <c r="E378" s="441"/>
      <c r="F378" s="118" t="s">
        <v>64</v>
      </c>
      <c r="G378" s="225"/>
      <c r="H378" s="126"/>
      <c r="I378" s="160"/>
      <c r="J378" s="126"/>
      <c r="K378" s="18"/>
      <c r="L378" s="18"/>
      <c r="M378" s="18"/>
      <c r="N378" s="80"/>
      <c r="O378" s="126"/>
      <c r="P378" s="126">
        <f>July!BJ333</f>
        <v>254</v>
      </c>
      <c r="Q378" s="126">
        <f>July!BH333</f>
        <v>1</v>
      </c>
      <c r="R378" s="436"/>
      <c r="S378" s="436"/>
      <c r="T378" s="18"/>
      <c r="U378" s="18"/>
      <c r="V378" s="127">
        <f t="shared" si="17"/>
        <v>2000</v>
      </c>
      <c r="W378" s="45"/>
      <c r="X378" s="67"/>
    </row>
    <row r="379" spans="1:24" ht="14.25" customHeight="1">
      <c r="A379" s="427"/>
      <c r="B379" s="442" t="s">
        <v>47</v>
      </c>
      <c r="C379" s="444" t="s">
        <v>100</v>
      </c>
      <c r="D379" s="48" t="s">
        <v>458</v>
      </c>
      <c r="E379" s="441"/>
      <c r="F379" s="118" t="s">
        <v>71</v>
      </c>
      <c r="G379" s="225"/>
      <c r="H379" s="126"/>
      <c r="I379" s="160"/>
      <c r="J379" s="126"/>
      <c r="K379" s="18">
        <v>6100</v>
      </c>
      <c r="L379" s="18">
        <v>1</v>
      </c>
      <c r="M379" s="18"/>
      <c r="N379" s="80"/>
      <c r="O379" s="126"/>
      <c r="P379" s="126">
        <f>July!BJ319</f>
        <v>1856</v>
      </c>
      <c r="Q379" s="126">
        <f>July!BH319</f>
        <v>6</v>
      </c>
      <c r="R379" s="436"/>
      <c r="S379" s="436"/>
      <c r="T379" s="18"/>
      <c r="U379" s="18"/>
      <c r="V379" s="127">
        <f t="shared" si="17"/>
        <v>1628</v>
      </c>
      <c r="W379" s="45"/>
      <c r="X379" s="67"/>
    </row>
    <row r="380" spans="1:24" ht="14.25" customHeight="1">
      <c r="A380" s="427"/>
      <c r="B380" s="443"/>
      <c r="C380" s="446"/>
      <c r="D380" s="48" t="s">
        <v>121</v>
      </c>
      <c r="E380" s="441"/>
      <c r="F380" s="118"/>
      <c r="G380" s="225"/>
      <c r="H380" s="37">
        <v>244.8</v>
      </c>
      <c r="I380" s="160"/>
      <c r="J380" s="126"/>
      <c r="K380" s="18"/>
      <c r="L380" s="18"/>
      <c r="M380" s="18"/>
      <c r="N380" s="80"/>
      <c r="O380" s="126"/>
      <c r="P380" s="126"/>
      <c r="Q380" s="126"/>
      <c r="R380" s="436"/>
      <c r="S380" s="436"/>
      <c r="T380" s="18"/>
      <c r="U380" s="18"/>
      <c r="V380" s="127"/>
      <c r="W380" s="45"/>
      <c r="X380" s="67"/>
    </row>
    <row r="381" spans="1:24" ht="14.25" customHeight="1">
      <c r="A381" s="427"/>
      <c r="B381" s="137" t="s">
        <v>47</v>
      </c>
      <c r="C381" s="157" t="s">
        <v>457</v>
      </c>
      <c r="D381" s="48" t="s">
        <v>458</v>
      </c>
      <c r="E381" s="441"/>
      <c r="F381" s="118" t="s">
        <v>459</v>
      </c>
      <c r="G381" s="225"/>
      <c r="H381" s="126"/>
      <c r="I381" s="160"/>
      <c r="J381" s="126"/>
      <c r="K381" s="18"/>
      <c r="L381" s="18"/>
      <c r="M381" s="18"/>
      <c r="N381" s="80"/>
      <c r="O381" s="126"/>
      <c r="P381" s="126"/>
      <c r="Q381" s="126">
        <f>July!BH320</f>
        <v>1</v>
      </c>
      <c r="R381" s="436"/>
      <c r="S381" s="436"/>
      <c r="T381" s="18"/>
      <c r="U381" s="18"/>
      <c r="V381" s="127">
        <f>O381-T381-U381+V346</f>
        <v>0</v>
      </c>
      <c r="W381" s="45"/>
      <c r="X381" s="67"/>
    </row>
    <row r="382" spans="1:24" ht="15" customHeight="1">
      <c r="A382" s="427"/>
      <c r="B382" s="122" t="s">
        <v>196</v>
      </c>
      <c r="C382" s="180" t="s">
        <v>63</v>
      </c>
      <c r="D382" s="48" t="s">
        <v>135</v>
      </c>
      <c r="E382" s="441"/>
      <c r="F382" s="118" t="s">
        <v>64</v>
      </c>
      <c r="G382" s="327">
        <v>1120.9100000000001</v>
      </c>
      <c r="H382" s="126"/>
      <c r="I382" s="160"/>
      <c r="J382" s="2"/>
      <c r="K382" s="18"/>
      <c r="L382" s="18"/>
      <c r="M382" s="18">
        <v>35700</v>
      </c>
      <c r="N382" s="18">
        <v>6</v>
      </c>
      <c r="O382" s="126"/>
      <c r="P382" s="126"/>
      <c r="Q382" s="126"/>
      <c r="R382" s="436"/>
      <c r="S382" s="436"/>
      <c r="T382" s="18"/>
      <c r="U382" s="18"/>
      <c r="V382" s="127"/>
      <c r="W382" s="45"/>
      <c r="X382" s="67"/>
    </row>
    <row r="383" spans="1:24" ht="15" customHeight="1">
      <c r="A383" s="427"/>
      <c r="B383" s="122" t="s">
        <v>253</v>
      </c>
      <c r="C383" s="180" t="s">
        <v>365</v>
      </c>
      <c r="D383" s="48" t="s">
        <v>246</v>
      </c>
      <c r="E383" s="441"/>
      <c r="F383" s="118" t="s">
        <v>247</v>
      </c>
      <c r="G383" s="226"/>
      <c r="H383" s="126"/>
      <c r="I383" s="160"/>
      <c r="J383" s="2"/>
      <c r="K383" s="18"/>
      <c r="L383" s="18"/>
      <c r="M383" s="18"/>
      <c r="N383" s="18"/>
      <c r="O383" s="126"/>
      <c r="P383" s="126">
        <f>July!BJ321</f>
        <v>235</v>
      </c>
      <c r="Q383" s="126">
        <f>July!BH321</f>
        <v>1</v>
      </c>
      <c r="R383" s="436"/>
      <c r="S383" s="436"/>
      <c r="T383" s="18"/>
      <c r="U383" s="18"/>
      <c r="V383" s="127">
        <f t="shared" ref="V383:V390" si="18">O383-T383-U383+V348</f>
        <v>9060</v>
      </c>
      <c r="W383" s="45"/>
      <c r="X383" s="67"/>
    </row>
    <row r="384" spans="1:24" ht="15" customHeight="1">
      <c r="A384" s="427"/>
      <c r="B384" s="122" t="s">
        <v>101</v>
      </c>
      <c r="C384" s="180" t="s">
        <v>327</v>
      </c>
      <c r="D384" s="48" t="s">
        <v>102</v>
      </c>
      <c r="E384" s="441"/>
      <c r="F384" s="118" t="s">
        <v>64</v>
      </c>
      <c r="G384" s="119"/>
      <c r="H384" s="126"/>
      <c r="I384" s="160"/>
      <c r="J384" s="2"/>
      <c r="K384" s="18"/>
      <c r="L384" s="18"/>
      <c r="M384" s="18">
        <v>14000</v>
      </c>
      <c r="N384" s="18">
        <v>2</v>
      </c>
      <c r="O384" s="126"/>
      <c r="P384" s="126">
        <f>July!BJ328</f>
        <v>1492</v>
      </c>
      <c r="Q384" s="126">
        <f>July!BH328</f>
        <v>4</v>
      </c>
      <c r="R384" s="436"/>
      <c r="S384" s="436"/>
      <c r="T384" s="18"/>
      <c r="U384" s="18"/>
      <c r="V384" s="18">
        <f t="shared" si="18"/>
        <v>12874</v>
      </c>
      <c r="W384" s="45"/>
      <c r="X384" s="67"/>
    </row>
    <row r="385" spans="1:24" ht="15" customHeight="1">
      <c r="A385" s="427"/>
      <c r="B385" s="122" t="s">
        <v>366</v>
      </c>
      <c r="C385" s="180" t="s">
        <v>367</v>
      </c>
      <c r="D385" s="48" t="s">
        <v>132</v>
      </c>
      <c r="E385" s="441"/>
      <c r="F385" s="118" t="s">
        <v>64</v>
      </c>
      <c r="G385" s="119"/>
      <c r="H385" s="126"/>
      <c r="I385" s="160"/>
      <c r="J385" s="2"/>
      <c r="K385" s="18"/>
      <c r="L385" s="18"/>
      <c r="M385" s="18"/>
      <c r="N385" s="18"/>
      <c r="O385" s="126">
        <f>July!BI329</f>
        <v>647</v>
      </c>
      <c r="P385" s="126">
        <f>July!BJ329</f>
        <v>849</v>
      </c>
      <c r="Q385" s="126">
        <f>July!BH329</f>
        <v>2</v>
      </c>
      <c r="R385" s="436"/>
      <c r="S385" s="436"/>
      <c r="T385" s="18"/>
      <c r="U385" s="18"/>
      <c r="V385" s="18">
        <f t="shared" si="18"/>
        <v>9119</v>
      </c>
      <c r="W385" s="45"/>
      <c r="X385" s="67"/>
    </row>
    <row r="386" spans="1:24" ht="15" customHeight="1">
      <c r="A386" s="427"/>
      <c r="B386" s="122" t="s">
        <v>363</v>
      </c>
      <c r="C386" s="180" t="s">
        <v>325</v>
      </c>
      <c r="D386" s="48" t="s">
        <v>328</v>
      </c>
      <c r="E386" s="441"/>
      <c r="F386" s="118" t="s">
        <v>48</v>
      </c>
      <c r="G386" s="226"/>
      <c r="H386" s="126"/>
      <c r="I386" s="160"/>
      <c r="J386" s="2"/>
      <c r="K386" s="18"/>
      <c r="L386" s="18"/>
      <c r="M386" s="18"/>
      <c r="N386" s="18"/>
      <c r="O386" s="126"/>
      <c r="P386" s="126"/>
      <c r="Q386" s="126"/>
      <c r="R386" s="436"/>
      <c r="S386" s="436"/>
      <c r="T386" s="18"/>
      <c r="U386" s="18"/>
      <c r="V386" s="127">
        <f t="shared" si="18"/>
        <v>16454</v>
      </c>
      <c r="W386" s="45"/>
      <c r="X386" s="67"/>
    </row>
    <row r="387" spans="1:24" ht="15" customHeight="1">
      <c r="A387" s="427"/>
      <c r="B387" s="122" t="s">
        <v>107</v>
      </c>
      <c r="C387" s="180" t="s">
        <v>386</v>
      </c>
      <c r="D387" s="48" t="s">
        <v>108</v>
      </c>
      <c r="E387" s="441"/>
      <c r="F387" s="115" t="s">
        <v>48</v>
      </c>
      <c r="G387" s="113"/>
      <c r="H387" s="125"/>
      <c r="I387" s="160"/>
      <c r="J387" s="250"/>
      <c r="K387" s="127"/>
      <c r="L387" s="127"/>
      <c r="M387" s="127">
        <v>13000</v>
      </c>
      <c r="N387" s="127">
        <v>2</v>
      </c>
      <c r="O387" s="125"/>
      <c r="P387" s="125"/>
      <c r="Q387" s="125"/>
      <c r="R387" s="436"/>
      <c r="S387" s="436"/>
      <c r="T387" s="18"/>
      <c r="U387" s="18"/>
      <c r="V387" s="18">
        <f t="shared" si="18"/>
        <v>12765</v>
      </c>
      <c r="W387" s="85"/>
      <c r="X387" s="67"/>
    </row>
    <row r="388" spans="1:24" s="4" customFormat="1" ht="15" customHeight="1">
      <c r="A388" s="427"/>
      <c r="B388" s="268" t="s">
        <v>375</v>
      </c>
      <c r="C388" s="277" t="s">
        <v>376</v>
      </c>
      <c r="D388" s="43" t="s">
        <v>248</v>
      </c>
      <c r="E388" s="441"/>
      <c r="F388" s="43" t="s">
        <v>64</v>
      </c>
      <c r="G388" s="268"/>
      <c r="H388" s="331"/>
      <c r="I388" s="160"/>
      <c r="J388" s="341"/>
      <c r="K388" s="216"/>
      <c r="L388" s="216"/>
      <c r="M388" s="216"/>
      <c r="N388" s="216"/>
      <c r="O388" s="331"/>
      <c r="P388" s="331"/>
      <c r="Q388" s="331"/>
      <c r="R388" s="436"/>
      <c r="S388" s="436"/>
      <c r="T388" s="216"/>
      <c r="U388" s="216"/>
      <c r="V388" s="216">
        <f t="shared" si="18"/>
        <v>75911</v>
      </c>
      <c r="W388" s="260"/>
      <c r="X388" s="67"/>
    </row>
    <row r="389" spans="1:24" s="4" customFormat="1" ht="15" customHeight="1">
      <c r="A389" s="427"/>
      <c r="B389" s="137" t="s">
        <v>421</v>
      </c>
      <c r="C389" s="157" t="s">
        <v>420</v>
      </c>
      <c r="D389" s="48" t="s">
        <v>248</v>
      </c>
      <c r="E389" s="441"/>
      <c r="F389" s="48" t="s">
        <v>64</v>
      </c>
      <c r="G389" s="122"/>
      <c r="H389" s="34"/>
      <c r="I389" s="160"/>
      <c r="J389" s="6"/>
      <c r="K389" s="211"/>
      <c r="L389" s="211"/>
      <c r="M389" s="211">
        <v>46200</v>
      </c>
      <c r="N389" s="211">
        <v>11</v>
      </c>
      <c r="O389" s="34"/>
      <c r="P389" s="34"/>
      <c r="Q389" s="34">
        <f>July!BH331</f>
        <v>20</v>
      </c>
      <c r="R389" s="436"/>
      <c r="S389" s="436"/>
      <c r="T389" s="211"/>
      <c r="U389" s="211"/>
      <c r="V389" s="211">
        <f t="shared" si="18"/>
        <v>57857</v>
      </c>
      <c r="W389" s="260"/>
      <c r="X389" s="67"/>
    </row>
    <row r="390" spans="1:24" s="4" customFormat="1" ht="15" customHeight="1">
      <c r="A390" s="427"/>
      <c r="B390" s="137" t="s">
        <v>289</v>
      </c>
      <c r="C390" s="157" t="s">
        <v>516</v>
      </c>
      <c r="D390" s="48" t="s">
        <v>432</v>
      </c>
      <c r="E390" s="441"/>
      <c r="F390" s="48" t="s">
        <v>515</v>
      </c>
      <c r="G390" s="122"/>
      <c r="H390" s="34"/>
      <c r="I390" s="160"/>
      <c r="J390" s="6"/>
      <c r="K390" s="211"/>
      <c r="L390" s="211"/>
      <c r="M390" s="211"/>
      <c r="N390" s="211"/>
      <c r="O390" s="34"/>
      <c r="P390" s="34">
        <f>July!BJ323</f>
        <v>286</v>
      </c>
      <c r="Q390" s="34">
        <f>July!BH323</f>
        <v>1</v>
      </c>
      <c r="R390" s="436"/>
      <c r="S390" s="436"/>
      <c r="T390" s="211"/>
      <c r="U390" s="211"/>
      <c r="V390" s="211">
        <f t="shared" si="18"/>
        <v>0</v>
      </c>
      <c r="W390" s="260"/>
      <c r="X390" s="67"/>
    </row>
    <row r="391" spans="1:24" s="4" customFormat="1" ht="15" customHeight="1">
      <c r="A391" s="427"/>
      <c r="B391" s="442" t="s">
        <v>289</v>
      </c>
      <c r="C391" s="444" t="s">
        <v>501</v>
      </c>
      <c r="D391" s="48" t="s">
        <v>432</v>
      </c>
      <c r="E391" s="441"/>
      <c r="F391" s="48" t="s">
        <v>502</v>
      </c>
      <c r="G391" s="122"/>
      <c r="H391" s="34"/>
      <c r="I391" s="160"/>
      <c r="J391" s="6"/>
      <c r="K391" s="211"/>
      <c r="L391" s="211"/>
      <c r="M391" s="211">
        <v>6000</v>
      </c>
      <c r="N391" s="211">
        <v>1</v>
      </c>
      <c r="O391" s="34">
        <f>July!BI324</f>
        <v>2092</v>
      </c>
      <c r="P391" s="34">
        <f>July!BJ324</f>
        <v>291</v>
      </c>
      <c r="Q391" s="34">
        <f>July!BH324</f>
        <v>2</v>
      </c>
      <c r="R391" s="436"/>
      <c r="S391" s="436"/>
      <c r="T391" s="211">
        <v>2625</v>
      </c>
      <c r="U391" s="211"/>
      <c r="V391" s="211">
        <f>O391-T391-U391+V356</f>
        <v>0</v>
      </c>
      <c r="W391" s="260"/>
      <c r="X391" s="67"/>
    </row>
    <row r="392" spans="1:24" s="4" customFormat="1" ht="15" customHeight="1">
      <c r="A392" s="427"/>
      <c r="B392" s="443"/>
      <c r="C392" s="446"/>
      <c r="D392" s="48" t="s">
        <v>433</v>
      </c>
      <c r="E392" s="441"/>
      <c r="F392" s="48"/>
      <c r="G392" s="137"/>
      <c r="H392" s="293">
        <v>428.4</v>
      </c>
      <c r="I392" s="160"/>
      <c r="J392" s="6"/>
      <c r="K392" s="211"/>
      <c r="L392" s="211"/>
      <c r="M392" s="211"/>
      <c r="N392" s="211"/>
      <c r="O392" s="34"/>
      <c r="P392" s="34"/>
      <c r="Q392" s="34"/>
      <c r="R392" s="436"/>
      <c r="S392" s="436"/>
      <c r="T392" s="211"/>
      <c r="U392" s="211"/>
      <c r="V392" s="211"/>
      <c r="W392" s="260"/>
      <c r="X392" s="67"/>
    </row>
    <row r="393" spans="1:24" s="4" customFormat="1" ht="15" customHeight="1">
      <c r="A393" s="427"/>
      <c r="B393" s="122" t="s">
        <v>289</v>
      </c>
      <c r="C393" s="157" t="s">
        <v>507</v>
      </c>
      <c r="D393" s="48" t="s">
        <v>432</v>
      </c>
      <c r="E393" s="441"/>
      <c r="F393" s="48" t="s">
        <v>506</v>
      </c>
      <c r="G393" s="366">
        <v>1109.02</v>
      </c>
      <c r="H393" s="34"/>
      <c r="I393" s="160"/>
      <c r="J393" s="6"/>
      <c r="K393" s="211"/>
      <c r="L393" s="211"/>
      <c r="M393" s="211">
        <v>14000</v>
      </c>
      <c r="N393" s="211">
        <v>2</v>
      </c>
      <c r="O393" s="34"/>
      <c r="P393" s="34">
        <f>July!BJ325</f>
        <v>475</v>
      </c>
      <c r="Q393" s="34">
        <f>July!BH325</f>
        <v>2</v>
      </c>
      <c r="R393" s="436"/>
      <c r="S393" s="436"/>
      <c r="T393" s="211">
        <v>685</v>
      </c>
      <c r="U393" s="211"/>
      <c r="V393" s="211">
        <f t="shared" ref="V393:V399" si="19">O393-T393-U393+V357</f>
        <v>0</v>
      </c>
      <c r="W393" s="260"/>
      <c r="X393" s="67"/>
    </row>
    <row r="394" spans="1:24" s="4" customFormat="1" ht="15" customHeight="1">
      <c r="A394" s="427"/>
      <c r="B394" s="122" t="s">
        <v>289</v>
      </c>
      <c r="C394" s="180" t="s">
        <v>505</v>
      </c>
      <c r="D394" s="48" t="s">
        <v>432</v>
      </c>
      <c r="E394" s="441"/>
      <c r="F394" s="48" t="s">
        <v>435</v>
      </c>
      <c r="G394" s="122"/>
      <c r="H394" s="34"/>
      <c r="I394" s="160"/>
      <c r="J394" s="6"/>
      <c r="K394" s="211"/>
      <c r="L394" s="211"/>
      <c r="M394" s="211"/>
      <c r="N394" s="211"/>
      <c r="O394" s="34"/>
      <c r="P394" s="34"/>
      <c r="Q394" s="34"/>
      <c r="R394" s="436"/>
      <c r="S394" s="436"/>
      <c r="T394" s="211">
        <v>882</v>
      </c>
      <c r="U394" s="211"/>
      <c r="V394" s="211">
        <f t="shared" si="19"/>
        <v>0</v>
      </c>
      <c r="W394" s="260"/>
      <c r="X394" s="67"/>
    </row>
    <row r="395" spans="1:24" s="4" customFormat="1" ht="15" customHeight="1">
      <c r="A395" s="427"/>
      <c r="B395" s="268" t="s">
        <v>453</v>
      </c>
      <c r="C395" s="180" t="s">
        <v>505</v>
      </c>
      <c r="D395" s="43" t="s">
        <v>432</v>
      </c>
      <c r="E395" s="441"/>
      <c r="F395" s="48" t="s">
        <v>57</v>
      </c>
      <c r="G395" s="122"/>
      <c r="H395" s="34"/>
      <c r="I395" s="160"/>
      <c r="J395" s="6"/>
      <c r="K395" s="211"/>
      <c r="L395" s="211"/>
      <c r="M395" s="211"/>
      <c r="N395" s="211"/>
      <c r="O395" s="34"/>
      <c r="P395" s="34"/>
      <c r="Q395" s="34"/>
      <c r="R395" s="436"/>
      <c r="S395" s="436"/>
      <c r="T395" s="211">
        <v>715</v>
      </c>
      <c r="U395" s="211"/>
      <c r="V395" s="211">
        <f t="shared" si="19"/>
        <v>0</v>
      </c>
      <c r="W395" s="260"/>
      <c r="X395" s="67"/>
    </row>
    <row r="396" spans="1:24" ht="15" customHeight="1">
      <c r="A396" s="427"/>
      <c r="B396" s="122" t="s">
        <v>103</v>
      </c>
      <c r="C396" s="157" t="s">
        <v>197</v>
      </c>
      <c r="D396" s="48" t="s">
        <v>104</v>
      </c>
      <c r="E396" s="441"/>
      <c r="F396" s="118" t="s">
        <v>105</v>
      </c>
      <c r="G396" s="119"/>
      <c r="H396" s="126"/>
      <c r="I396" s="160"/>
      <c r="J396" s="2"/>
      <c r="K396" s="18"/>
      <c r="L396" s="18"/>
      <c r="M396" s="18"/>
      <c r="N396" s="18"/>
      <c r="O396" s="126">
        <f>July!BI334</f>
        <v>47</v>
      </c>
      <c r="P396" s="126"/>
      <c r="Q396" s="126"/>
      <c r="R396" s="436"/>
      <c r="S396" s="436"/>
      <c r="T396" s="18"/>
      <c r="U396" s="18"/>
      <c r="V396" s="18">
        <f t="shared" si="19"/>
        <v>47</v>
      </c>
      <c r="W396" s="45"/>
      <c r="X396" s="67"/>
    </row>
    <row r="397" spans="1:24" ht="15" customHeight="1" thickBot="1">
      <c r="A397" s="428"/>
      <c r="B397" s="137" t="s">
        <v>112</v>
      </c>
      <c r="C397" s="157" t="s">
        <v>197</v>
      </c>
      <c r="D397" s="48" t="s">
        <v>104</v>
      </c>
      <c r="E397" s="447"/>
      <c r="F397" s="118" t="s">
        <v>113</v>
      </c>
      <c r="G397" s="342"/>
      <c r="H397" s="262"/>
      <c r="I397" s="413"/>
      <c r="J397" s="2"/>
      <c r="K397" s="18"/>
      <c r="L397" s="18"/>
      <c r="M397" s="18"/>
      <c r="N397" s="18"/>
      <c r="O397" s="126"/>
      <c r="P397" s="126"/>
      <c r="Q397" s="126"/>
      <c r="R397" s="437"/>
      <c r="S397" s="437"/>
      <c r="T397" s="18"/>
      <c r="U397" s="264"/>
      <c r="V397" s="18">
        <f t="shared" si="19"/>
        <v>34</v>
      </c>
      <c r="W397" s="45"/>
      <c r="X397" s="67"/>
    </row>
    <row r="398" spans="1:24" ht="15" customHeight="1">
      <c r="A398" s="426">
        <v>46218</v>
      </c>
      <c r="B398" s="429" t="s">
        <v>44</v>
      </c>
      <c r="C398" s="432" t="s">
        <v>240</v>
      </c>
      <c r="D398" s="19" t="s">
        <v>37</v>
      </c>
      <c r="E398" s="19" t="s">
        <v>25</v>
      </c>
      <c r="F398" s="39" t="s">
        <v>40</v>
      </c>
      <c r="G398" s="41">
        <v>6941.34</v>
      </c>
      <c r="H398" s="32">
        <v>4608</v>
      </c>
      <c r="I398" s="462"/>
      <c r="J398" s="474">
        <v>22.5</v>
      </c>
      <c r="K398" s="20">
        <v>8000</v>
      </c>
      <c r="L398" s="20">
        <v>1</v>
      </c>
      <c r="M398" s="233">
        <v>330400</v>
      </c>
      <c r="N398" s="234">
        <v>42</v>
      </c>
      <c r="O398" s="32">
        <f>July!BL313</f>
        <v>59111</v>
      </c>
      <c r="P398" s="32">
        <f>July!BM313</f>
        <v>63585</v>
      </c>
      <c r="Q398" s="32">
        <f>July!BK313</f>
        <v>169</v>
      </c>
      <c r="R398" s="435">
        <f>July!BL336</f>
        <v>112178</v>
      </c>
      <c r="S398" s="435">
        <f>July!BM336</f>
        <v>90771</v>
      </c>
      <c r="T398" s="20">
        <v>82651</v>
      </c>
      <c r="U398" s="20">
        <v>9</v>
      </c>
      <c r="V398" s="20">
        <f t="shared" si="19"/>
        <v>70341</v>
      </c>
      <c r="W398" s="77"/>
      <c r="X398" s="36"/>
    </row>
    <row r="399" spans="1:24" ht="15" customHeight="1">
      <c r="A399" s="427"/>
      <c r="B399" s="430"/>
      <c r="C399" s="433"/>
      <c r="D399" s="113" t="s">
        <v>307</v>
      </c>
      <c r="E399" s="438" t="s">
        <v>24</v>
      </c>
      <c r="F399" s="118" t="s">
        <v>40</v>
      </c>
      <c r="G399" s="38"/>
      <c r="H399" s="126"/>
      <c r="I399" s="463"/>
      <c r="J399" s="475"/>
      <c r="K399" s="127"/>
      <c r="L399" s="127"/>
      <c r="M399" s="216">
        <v>111400</v>
      </c>
      <c r="N399" s="238">
        <v>14</v>
      </c>
      <c r="O399" s="126">
        <f>July!BL314</f>
        <v>35741</v>
      </c>
      <c r="P399" s="125">
        <f>July!BM314</f>
        <v>14382</v>
      </c>
      <c r="Q399" s="125">
        <f>July!BK314</f>
        <v>39</v>
      </c>
      <c r="R399" s="436"/>
      <c r="S399" s="436"/>
      <c r="T399" s="127">
        <v>30851</v>
      </c>
      <c r="U399" s="127">
        <v>15</v>
      </c>
      <c r="V399" s="127">
        <f t="shared" si="19"/>
        <v>81002</v>
      </c>
      <c r="W399" s="46"/>
      <c r="X399" s="67"/>
    </row>
    <row r="400" spans="1:24" ht="15" customHeight="1">
      <c r="A400" s="427"/>
      <c r="B400" s="431"/>
      <c r="C400" s="434"/>
      <c r="D400" s="113" t="s">
        <v>511</v>
      </c>
      <c r="E400" s="431"/>
      <c r="F400" s="155"/>
      <c r="G400" s="170"/>
      <c r="H400" s="158">
        <v>1215</v>
      </c>
      <c r="I400" s="463"/>
      <c r="J400" s="475"/>
      <c r="K400" s="127"/>
      <c r="L400" s="127"/>
      <c r="M400" s="216"/>
      <c r="N400" s="238"/>
      <c r="O400" s="126"/>
      <c r="P400" s="125"/>
      <c r="Q400" s="125"/>
      <c r="R400" s="436"/>
      <c r="S400" s="436"/>
      <c r="T400" s="127"/>
      <c r="U400" s="127"/>
      <c r="V400" s="127"/>
      <c r="W400" s="46"/>
      <c r="X400" s="67"/>
    </row>
    <row r="401" spans="1:25" ht="15" customHeight="1">
      <c r="A401" s="427"/>
      <c r="B401" s="442" t="s">
        <v>45</v>
      </c>
      <c r="C401" s="448" t="s">
        <v>59</v>
      </c>
      <c r="D401" s="118" t="s">
        <v>75</v>
      </c>
      <c r="E401" s="131" t="s">
        <v>25</v>
      </c>
      <c r="F401" s="131" t="s">
        <v>57</v>
      </c>
      <c r="G401" s="87"/>
      <c r="H401" s="152"/>
      <c r="I401" s="463"/>
      <c r="J401" s="475"/>
      <c r="K401" s="127"/>
      <c r="L401" s="18"/>
      <c r="M401" s="18">
        <v>35000</v>
      </c>
      <c r="N401" s="80">
        <v>7</v>
      </c>
      <c r="O401" s="126">
        <f>July!BL316</f>
        <v>8543</v>
      </c>
      <c r="P401" s="126">
        <f>July!BM316</f>
        <v>4879</v>
      </c>
      <c r="Q401" s="2">
        <f>July!BK316</f>
        <v>18</v>
      </c>
      <c r="R401" s="436"/>
      <c r="S401" s="436"/>
      <c r="T401" s="18"/>
      <c r="U401" s="18"/>
      <c r="V401" s="127">
        <f>O401-T401-U401+V365</f>
        <v>29455</v>
      </c>
      <c r="W401" s="46"/>
      <c r="Y401" s="13"/>
    </row>
    <row r="402" spans="1:25">
      <c r="A402" s="427"/>
      <c r="B402" s="439"/>
      <c r="C402" s="440"/>
      <c r="D402" s="118" t="s">
        <v>72</v>
      </c>
      <c r="E402" s="155" t="s">
        <v>24</v>
      </c>
      <c r="F402" s="131" t="s">
        <v>57</v>
      </c>
      <c r="G402" s="224"/>
      <c r="H402" s="152"/>
      <c r="I402" s="463"/>
      <c r="J402" s="475"/>
      <c r="K402" s="127"/>
      <c r="L402" s="18"/>
      <c r="M402" s="18">
        <v>24800</v>
      </c>
      <c r="N402" s="80">
        <v>5</v>
      </c>
      <c r="O402" s="126">
        <f>July!BL317</f>
        <v>2476</v>
      </c>
      <c r="P402" s="126">
        <f>July!BM317</f>
        <v>612</v>
      </c>
      <c r="Q402" s="126">
        <f>July!BK317</f>
        <v>7</v>
      </c>
      <c r="R402" s="436"/>
      <c r="S402" s="436"/>
      <c r="T402" s="18"/>
      <c r="U402" s="18"/>
      <c r="V402" s="127">
        <f t="shared" ref="V402:V414" si="20">O402-T402-U402+V367</f>
        <v>31569</v>
      </c>
      <c r="W402" s="46"/>
      <c r="Y402" s="13"/>
    </row>
    <row r="403" spans="1:25" ht="14.25" customHeight="1">
      <c r="A403" s="427"/>
      <c r="B403" s="439"/>
      <c r="C403" s="449"/>
      <c r="D403" s="115" t="s">
        <v>79</v>
      </c>
      <c r="E403" s="118" t="s">
        <v>65</v>
      </c>
      <c r="F403" s="131" t="s">
        <v>57</v>
      </c>
      <c r="G403" s="224"/>
      <c r="H403" s="126"/>
      <c r="I403" s="463"/>
      <c r="J403" s="475"/>
      <c r="K403" s="18"/>
      <c r="L403" s="18"/>
      <c r="M403" s="18"/>
      <c r="N403" s="80"/>
      <c r="O403" s="126"/>
      <c r="P403" s="126"/>
      <c r="Q403" s="126"/>
      <c r="R403" s="436"/>
      <c r="S403" s="436"/>
      <c r="T403" s="18"/>
      <c r="U403" s="18"/>
      <c r="V403" s="127">
        <f t="shared" si="20"/>
        <v>4741</v>
      </c>
      <c r="W403" s="45"/>
      <c r="X403" s="36"/>
    </row>
    <row r="404" spans="1:25" ht="14.25" customHeight="1">
      <c r="A404" s="427"/>
      <c r="B404" s="443"/>
      <c r="C404" s="271" t="s">
        <v>299</v>
      </c>
      <c r="D404" s="115" t="s">
        <v>75</v>
      </c>
      <c r="E404" s="119" t="s">
        <v>25</v>
      </c>
      <c r="F404" s="131" t="s">
        <v>298</v>
      </c>
      <c r="G404" s="229"/>
      <c r="H404" s="37"/>
      <c r="I404" s="463"/>
      <c r="J404" s="475"/>
      <c r="K404" s="18"/>
      <c r="L404" s="18"/>
      <c r="M404" s="18">
        <v>10000</v>
      </c>
      <c r="N404" s="80">
        <v>2</v>
      </c>
      <c r="O404" s="126">
        <f>July!BL318</f>
        <v>1585</v>
      </c>
      <c r="P404" s="126">
        <f>July!BM318</f>
        <v>1015</v>
      </c>
      <c r="Q404" s="126">
        <f>July!BK318</f>
        <v>4</v>
      </c>
      <c r="R404" s="436"/>
      <c r="S404" s="436"/>
      <c r="T404" s="18">
        <v>1892</v>
      </c>
      <c r="U404" s="18"/>
      <c r="V404" s="127">
        <f t="shared" si="20"/>
        <v>18673</v>
      </c>
      <c r="W404" s="45"/>
      <c r="X404" s="67"/>
    </row>
    <row r="405" spans="1:25" ht="14.25" customHeight="1">
      <c r="A405" s="427"/>
      <c r="B405" s="442" t="s">
        <v>53</v>
      </c>
      <c r="C405" s="444" t="s">
        <v>60</v>
      </c>
      <c r="D405" s="43" t="s">
        <v>320</v>
      </c>
      <c r="E405" s="424" t="s">
        <v>66</v>
      </c>
      <c r="F405" s="118" t="s">
        <v>54</v>
      </c>
      <c r="G405" s="224"/>
      <c r="H405" s="37"/>
      <c r="I405" s="463"/>
      <c r="J405" s="475"/>
      <c r="K405" s="18"/>
      <c r="L405" s="18"/>
      <c r="M405" s="18"/>
      <c r="N405" s="80"/>
      <c r="O405" s="126"/>
      <c r="P405" s="126"/>
      <c r="Q405" s="126"/>
      <c r="R405" s="436"/>
      <c r="S405" s="436"/>
      <c r="T405" s="18"/>
      <c r="U405" s="18"/>
      <c r="V405" s="127">
        <f t="shared" si="20"/>
        <v>0</v>
      </c>
      <c r="W405" s="45"/>
      <c r="X405" s="67"/>
    </row>
    <row r="406" spans="1:25" ht="14.25" customHeight="1">
      <c r="A406" s="427"/>
      <c r="B406" s="439"/>
      <c r="C406" s="445"/>
      <c r="D406" s="43" t="s">
        <v>387</v>
      </c>
      <c r="E406" s="425"/>
      <c r="F406" s="118" t="s">
        <v>54</v>
      </c>
      <c r="G406" s="229"/>
      <c r="H406" s="182"/>
      <c r="I406" s="463"/>
      <c r="J406" s="475"/>
      <c r="K406" s="127"/>
      <c r="L406" s="127"/>
      <c r="M406" s="127">
        <v>64800</v>
      </c>
      <c r="N406" s="171">
        <v>11</v>
      </c>
      <c r="O406" s="125"/>
      <c r="P406" s="125"/>
      <c r="Q406" s="125"/>
      <c r="R406" s="436"/>
      <c r="S406" s="436"/>
      <c r="T406" s="18"/>
      <c r="U406" s="18"/>
      <c r="V406" s="127">
        <f t="shared" si="20"/>
        <v>666</v>
      </c>
      <c r="W406" s="45"/>
      <c r="X406" s="67"/>
    </row>
    <row r="407" spans="1:25" ht="14.25" customHeight="1">
      <c r="A407" s="427"/>
      <c r="B407" s="443"/>
      <c r="C407" s="446"/>
      <c r="D407" s="43" t="s">
        <v>199</v>
      </c>
      <c r="E407" s="114" t="s">
        <v>25</v>
      </c>
      <c r="F407" s="118" t="s">
        <v>54</v>
      </c>
      <c r="G407" s="224"/>
      <c r="H407" s="135"/>
      <c r="I407" s="463"/>
      <c r="J407" s="475"/>
      <c r="K407" s="128"/>
      <c r="L407" s="128"/>
      <c r="M407" s="128"/>
      <c r="N407" s="164"/>
      <c r="O407" s="158"/>
      <c r="P407" s="158"/>
      <c r="Q407" s="158"/>
      <c r="R407" s="436"/>
      <c r="S407" s="436"/>
      <c r="T407" s="18"/>
      <c r="U407" s="18"/>
      <c r="V407" s="127">
        <f t="shared" si="20"/>
        <v>68</v>
      </c>
      <c r="W407" s="45"/>
      <c r="X407" s="67"/>
    </row>
    <row r="408" spans="1:25" ht="15.75" customHeight="1">
      <c r="A408" s="427"/>
      <c r="B408" s="137" t="s">
        <v>55</v>
      </c>
      <c r="C408" s="157" t="s">
        <v>133</v>
      </c>
      <c r="D408" s="48" t="s">
        <v>56</v>
      </c>
      <c r="E408" s="424" t="s">
        <v>25</v>
      </c>
      <c r="F408" s="118" t="s">
        <v>67</v>
      </c>
      <c r="G408" s="226"/>
      <c r="H408" s="126"/>
      <c r="I408" s="463"/>
      <c r="J408" s="475"/>
      <c r="K408" s="18"/>
      <c r="L408" s="18"/>
      <c r="M408" s="18"/>
      <c r="N408" s="18"/>
      <c r="O408" s="126"/>
      <c r="P408" s="126"/>
      <c r="Q408" s="126"/>
      <c r="R408" s="436"/>
      <c r="S408" s="436"/>
      <c r="T408" s="18"/>
      <c r="U408" s="18"/>
      <c r="V408" s="127">
        <f t="shared" si="20"/>
        <v>6322</v>
      </c>
      <c r="W408" s="45"/>
      <c r="X408" s="67"/>
    </row>
    <row r="409" spans="1:25" ht="15" customHeight="1">
      <c r="A409" s="427"/>
      <c r="B409" s="122" t="s">
        <v>122</v>
      </c>
      <c r="C409" s="180" t="s">
        <v>123</v>
      </c>
      <c r="D409" s="48" t="s">
        <v>56</v>
      </c>
      <c r="E409" s="441"/>
      <c r="F409" s="155" t="s">
        <v>64</v>
      </c>
      <c r="G409" s="119"/>
      <c r="H409" s="126"/>
      <c r="I409" s="463"/>
      <c r="J409" s="475"/>
      <c r="K409" s="18"/>
      <c r="L409" s="18"/>
      <c r="M409" s="18">
        <v>6400</v>
      </c>
      <c r="N409" s="18">
        <v>2</v>
      </c>
      <c r="O409" s="126"/>
      <c r="P409" s="126"/>
      <c r="Q409" s="126"/>
      <c r="R409" s="436"/>
      <c r="S409" s="436"/>
      <c r="T409" s="18"/>
      <c r="U409" s="18"/>
      <c r="V409" s="127">
        <f t="shared" si="20"/>
        <v>18121</v>
      </c>
      <c r="W409" s="45"/>
      <c r="X409" s="67"/>
    </row>
    <row r="410" spans="1:25" ht="14.25" customHeight="1">
      <c r="A410" s="427"/>
      <c r="B410" s="137" t="s">
        <v>58</v>
      </c>
      <c r="C410" s="157" t="s">
        <v>243</v>
      </c>
      <c r="D410" s="48" t="s">
        <v>56</v>
      </c>
      <c r="E410" s="441"/>
      <c r="F410" s="118" t="s">
        <v>64</v>
      </c>
      <c r="G410" s="225"/>
      <c r="H410" s="126"/>
      <c r="I410" s="463"/>
      <c r="J410" s="475"/>
      <c r="K410" s="18"/>
      <c r="L410" s="18"/>
      <c r="M410" s="18"/>
      <c r="N410" s="80"/>
      <c r="O410" s="126"/>
      <c r="P410" s="126"/>
      <c r="Q410" s="126"/>
      <c r="R410" s="436"/>
      <c r="S410" s="436"/>
      <c r="T410" s="18"/>
      <c r="U410" s="18"/>
      <c r="V410" s="127">
        <f t="shared" si="20"/>
        <v>8144</v>
      </c>
      <c r="W410" s="45"/>
      <c r="X410" s="67"/>
    </row>
    <row r="411" spans="1:25" ht="14.25" customHeight="1">
      <c r="A411" s="427"/>
      <c r="B411" s="122" t="s">
        <v>61</v>
      </c>
      <c r="C411" s="180" t="s">
        <v>137</v>
      </c>
      <c r="D411" s="48" t="s">
        <v>56</v>
      </c>
      <c r="E411" s="441"/>
      <c r="F411" s="118" t="s">
        <v>67</v>
      </c>
      <c r="G411" s="225"/>
      <c r="H411" s="126"/>
      <c r="I411" s="463"/>
      <c r="J411" s="475"/>
      <c r="K411" s="18"/>
      <c r="L411" s="18"/>
      <c r="M411" s="18"/>
      <c r="N411" s="80"/>
      <c r="O411" s="126"/>
      <c r="P411" s="126"/>
      <c r="Q411" s="126"/>
      <c r="R411" s="436"/>
      <c r="S411" s="436"/>
      <c r="T411" s="18"/>
      <c r="U411" s="18"/>
      <c r="V411" s="127">
        <f t="shared" si="20"/>
        <v>5844</v>
      </c>
      <c r="W411" s="45"/>
      <c r="X411" s="67"/>
    </row>
    <row r="412" spans="1:25" ht="14.25" customHeight="1">
      <c r="A412" s="427"/>
      <c r="B412" s="122" t="s">
        <v>125</v>
      </c>
      <c r="C412" s="180" t="s">
        <v>88</v>
      </c>
      <c r="D412" s="48" t="s">
        <v>124</v>
      </c>
      <c r="E412" s="441"/>
      <c r="F412" s="118" t="s">
        <v>64</v>
      </c>
      <c r="G412" s="225"/>
      <c r="H412" s="126"/>
      <c r="I412" s="463"/>
      <c r="J412" s="475"/>
      <c r="K412" s="18"/>
      <c r="L412" s="18"/>
      <c r="M412" s="18">
        <v>51200</v>
      </c>
      <c r="N412" s="80">
        <v>7</v>
      </c>
      <c r="O412" s="126"/>
      <c r="P412" s="126"/>
      <c r="Q412" s="126"/>
      <c r="R412" s="436"/>
      <c r="S412" s="436"/>
      <c r="T412" s="18"/>
      <c r="U412" s="18"/>
      <c r="V412" s="127">
        <f t="shared" si="20"/>
        <v>23615</v>
      </c>
      <c r="W412" s="45"/>
      <c r="X412" s="67"/>
    </row>
    <row r="413" spans="1:25" ht="14.25" customHeight="1">
      <c r="A413" s="427"/>
      <c r="B413" s="137" t="s">
        <v>463</v>
      </c>
      <c r="C413" s="157" t="s">
        <v>464</v>
      </c>
      <c r="D413" s="48" t="s">
        <v>246</v>
      </c>
      <c r="E413" s="441"/>
      <c r="F413" s="118" t="s">
        <v>64</v>
      </c>
      <c r="G413" s="225"/>
      <c r="H413" s="126"/>
      <c r="I413" s="463"/>
      <c r="J413" s="475"/>
      <c r="K413" s="18"/>
      <c r="L413" s="18"/>
      <c r="M413" s="18"/>
      <c r="N413" s="80"/>
      <c r="O413" s="126"/>
      <c r="P413" s="126">
        <f>July!BM333</f>
        <v>256</v>
      </c>
      <c r="Q413" s="126">
        <f>July!BK333</f>
        <v>1</v>
      </c>
      <c r="R413" s="436"/>
      <c r="S413" s="436"/>
      <c r="T413" s="18"/>
      <c r="U413" s="18"/>
      <c r="V413" s="127">
        <f t="shared" si="20"/>
        <v>2000</v>
      </c>
      <c r="W413" s="45"/>
      <c r="X413" s="67"/>
    </row>
    <row r="414" spans="1:25" ht="14.25" customHeight="1">
      <c r="A414" s="427"/>
      <c r="B414" s="137" t="s">
        <v>47</v>
      </c>
      <c r="C414" s="157" t="s">
        <v>100</v>
      </c>
      <c r="D414" s="48" t="s">
        <v>458</v>
      </c>
      <c r="E414" s="441"/>
      <c r="F414" s="118" t="s">
        <v>71</v>
      </c>
      <c r="G414" s="225"/>
      <c r="H414" s="126"/>
      <c r="I414" s="463"/>
      <c r="J414" s="475"/>
      <c r="K414" s="18"/>
      <c r="L414" s="18"/>
      <c r="M414" s="18"/>
      <c r="N414" s="80"/>
      <c r="O414" s="126">
        <f>July!BL319</f>
        <v>2199</v>
      </c>
      <c r="P414" s="126">
        <f>July!BM319</f>
        <v>1807</v>
      </c>
      <c r="Q414" s="126">
        <f>July!BK319</f>
        <v>6</v>
      </c>
      <c r="R414" s="436"/>
      <c r="S414" s="436"/>
      <c r="T414" s="18"/>
      <c r="U414" s="18"/>
      <c r="V414" s="127">
        <f t="shared" si="20"/>
        <v>3827</v>
      </c>
      <c r="W414" s="45"/>
      <c r="X414" s="67"/>
    </row>
    <row r="415" spans="1:25" ht="14.25" customHeight="1">
      <c r="A415" s="427"/>
      <c r="B415" s="137" t="s">
        <v>47</v>
      </c>
      <c r="C415" s="157" t="s">
        <v>457</v>
      </c>
      <c r="D415" s="48" t="s">
        <v>458</v>
      </c>
      <c r="E415" s="441"/>
      <c r="F415" s="118" t="s">
        <v>459</v>
      </c>
      <c r="G415" s="225"/>
      <c r="H415" s="126"/>
      <c r="I415" s="463"/>
      <c r="J415" s="475"/>
      <c r="K415" s="18"/>
      <c r="L415" s="18"/>
      <c r="M415" s="18"/>
      <c r="N415" s="80"/>
      <c r="O415" s="126"/>
      <c r="P415" s="126"/>
      <c r="Q415" s="126">
        <f>July!BK320</f>
        <v>1</v>
      </c>
      <c r="R415" s="436"/>
      <c r="S415" s="436"/>
      <c r="T415" s="18"/>
      <c r="U415" s="18"/>
      <c r="V415" s="127">
        <f>O415-T415-U415+V381</f>
        <v>0</v>
      </c>
      <c r="W415" s="45"/>
      <c r="X415" s="67"/>
    </row>
    <row r="416" spans="1:25" ht="15" customHeight="1">
      <c r="A416" s="427"/>
      <c r="B416" s="122" t="s">
        <v>253</v>
      </c>
      <c r="C416" s="180" t="s">
        <v>365</v>
      </c>
      <c r="D416" s="48" t="s">
        <v>246</v>
      </c>
      <c r="E416" s="441"/>
      <c r="F416" s="118" t="s">
        <v>247</v>
      </c>
      <c r="G416" s="226"/>
      <c r="H416" s="126"/>
      <c r="I416" s="463"/>
      <c r="J416" s="475"/>
      <c r="K416" s="18"/>
      <c r="L416" s="18"/>
      <c r="M416" s="18"/>
      <c r="N416" s="18"/>
      <c r="O416" s="126"/>
      <c r="P416" s="126">
        <f>July!BM321</f>
        <v>238</v>
      </c>
      <c r="Q416" s="126">
        <f>July!BK321</f>
        <v>1</v>
      </c>
      <c r="R416" s="436"/>
      <c r="S416" s="436"/>
      <c r="T416" s="18"/>
      <c r="U416" s="18"/>
      <c r="V416" s="127">
        <f>O416-T416-U416+V383</f>
        <v>9060</v>
      </c>
      <c r="W416" s="45"/>
      <c r="X416" s="67"/>
    </row>
    <row r="417" spans="1:24" s="4" customFormat="1" ht="15" customHeight="1">
      <c r="A417" s="427"/>
      <c r="B417" s="122" t="s">
        <v>520</v>
      </c>
      <c r="C417" s="180" t="s">
        <v>521</v>
      </c>
      <c r="D417" s="48" t="s">
        <v>37</v>
      </c>
      <c r="E417" s="441"/>
      <c r="F417" s="48" t="s">
        <v>522</v>
      </c>
      <c r="G417" s="259">
        <v>110</v>
      </c>
      <c r="H417" s="34"/>
      <c r="I417" s="463"/>
      <c r="J417" s="475"/>
      <c r="K417" s="211">
        <v>2000</v>
      </c>
      <c r="L417" s="211">
        <v>1</v>
      </c>
      <c r="M417" s="211"/>
      <c r="N417" s="211"/>
      <c r="O417" s="34"/>
      <c r="P417" s="34">
        <f>July!BM322</f>
        <v>221</v>
      </c>
      <c r="Q417" s="34">
        <f>July!BK322</f>
        <v>1</v>
      </c>
      <c r="R417" s="436"/>
      <c r="S417" s="436"/>
      <c r="T417" s="211"/>
      <c r="U417" s="211"/>
      <c r="V417" s="216">
        <f>O417-T417-U417</f>
        <v>0</v>
      </c>
      <c r="W417" s="260"/>
      <c r="X417" s="67"/>
    </row>
    <row r="418" spans="1:24" ht="15" customHeight="1">
      <c r="A418" s="427"/>
      <c r="B418" s="122" t="s">
        <v>101</v>
      </c>
      <c r="C418" s="180" t="s">
        <v>327</v>
      </c>
      <c r="D418" s="48" t="s">
        <v>102</v>
      </c>
      <c r="E418" s="441"/>
      <c r="F418" s="118" t="s">
        <v>64</v>
      </c>
      <c r="G418" s="119"/>
      <c r="H418" s="126"/>
      <c r="I418" s="463"/>
      <c r="J418" s="475"/>
      <c r="K418" s="18"/>
      <c r="L418" s="18"/>
      <c r="M418" s="18">
        <v>14000</v>
      </c>
      <c r="N418" s="18">
        <v>2</v>
      </c>
      <c r="O418" s="126">
        <f>July!BL328</f>
        <v>1718</v>
      </c>
      <c r="P418" s="126">
        <f>July!BM328</f>
        <v>1507</v>
      </c>
      <c r="Q418" s="126">
        <f>July!BK328</f>
        <v>4</v>
      </c>
      <c r="R418" s="436"/>
      <c r="S418" s="436"/>
      <c r="T418" s="18"/>
      <c r="U418" s="18"/>
      <c r="V418" s="18">
        <f t="shared" ref="V418:V423" si="21">O418-T418-U418+V384</f>
        <v>14592</v>
      </c>
      <c r="W418" s="45"/>
      <c r="X418" s="67"/>
    </row>
    <row r="419" spans="1:24" ht="15" customHeight="1">
      <c r="A419" s="427"/>
      <c r="B419" s="122" t="s">
        <v>366</v>
      </c>
      <c r="C419" s="180" t="s">
        <v>367</v>
      </c>
      <c r="D419" s="48" t="s">
        <v>132</v>
      </c>
      <c r="E419" s="441"/>
      <c r="F419" s="118" t="s">
        <v>64</v>
      </c>
      <c r="G419" s="119"/>
      <c r="H419" s="126"/>
      <c r="I419" s="463"/>
      <c r="J419" s="475"/>
      <c r="K419" s="18"/>
      <c r="L419" s="18"/>
      <c r="M419" s="18"/>
      <c r="N419" s="18"/>
      <c r="O419" s="126"/>
      <c r="P419" s="126">
        <f>July!BM329</f>
        <v>802</v>
      </c>
      <c r="Q419" s="126">
        <f>July!BK329</f>
        <v>2</v>
      </c>
      <c r="R419" s="436"/>
      <c r="S419" s="436"/>
      <c r="T419" s="18"/>
      <c r="U419" s="18"/>
      <c r="V419" s="18">
        <f t="shared" si="21"/>
        <v>9119</v>
      </c>
      <c r="W419" s="45"/>
      <c r="X419" s="67"/>
    </row>
    <row r="420" spans="1:24" ht="15" customHeight="1">
      <c r="A420" s="427"/>
      <c r="B420" s="122" t="s">
        <v>363</v>
      </c>
      <c r="C420" s="180" t="s">
        <v>325</v>
      </c>
      <c r="D420" s="48" t="s">
        <v>328</v>
      </c>
      <c r="E420" s="441"/>
      <c r="F420" s="118" t="s">
        <v>48</v>
      </c>
      <c r="G420" s="226"/>
      <c r="H420" s="126"/>
      <c r="I420" s="463"/>
      <c r="J420" s="475"/>
      <c r="K420" s="18"/>
      <c r="L420" s="18"/>
      <c r="M420" s="18"/>
      <c r="N420" s="18"/>
      <c r="O420" s="126"/>
      <c r="P420" s="126"/>
      <c r="Q420" s="126"/>
      <c r="R420" s="436"/>
      <c r="S420" s="436"/>
      <c r="T420" s="18"/>
      <c r="U420" s="18"/>
      <c r="V420" s="127">
        <f t="shared" si="21"/>
        <v>16454</v>
      </c>
      <c r="W420" s="45"/>
      <c r="X420" s="67"/>
    </row>
    <row r="421" spans="1:24" ht="15" customHeight="1">
      <c r="A421" s="427"/>
      <c r="B421" s="122" t="s">
        <v>107</v>
      </c>
      <c r="C421" s="180" t="s">
        <v>386</v>
      </c>
      <c r="D421" s="48" t="s">
        <v>108</v>
      </c>
      <c r="E421" s="441"/>
      <c r="F421" s="115" t="s">
        <v>48</v>
      </c>
      <c r="G421" s="113"/>
      <c r="H421" s="125"/>
      <c r="I421" s="463"/>
      <c r="J421" s="475"/>
      <c r="K421" s="127"/>
      <c r="L421" s="127"/>
      <c r="M421" s="127">
        <v>13000</v>
      </c>
      <c r="N421" s="127">
        <v>2</v>
      </c>
      <c r="O421" s="125"/>
      <c r="P421" s="125"/>
      <c r="Q421" s="125"/>
      <c r="R421" s="436"/>
      <c r="S421" s="436"/>
      <c r="T421" s="18"/>
      <c r="U421" s="18"/>
      <c r="V421" s="18">
        <f t="shared" si="21"/>
        <v>12765</v>
      </c>
      <c r="W421" s="85"/>
      <c r="X421" s="67"/>
    </row>
    <row r="422" spans="1:24" s="4" customFormat="1" ht="15" customHeight="1">
      <c r="A422" s="427"/>
      <c r="B422" s="268" t="s">
        <v>375</v>
      </c>
      <c r="C422" s="277" t="s">
        <v>376</v>
      </c>
      <c r="D422" s="43" t="s">
        <v>248</v>
      </c>
      <c r="E422" s="441"/>
      <c r="F422" s="43" t="s">
        <v>64</v>
      </c>
      <c r="G422" s="268"/>
      <c r="H422" s="331"/>
      <c r="I422" s="463"/>
      <c r="J422" s="475"/>
      <c r="K422" s="216"/>
      <c r="L422" s="216"/>
      <c r="M422" s="216"/>
      <c r="N422" s="216"/>
      <c r="O422" s="331"/>
      <c r="P422" s="331"/>
      <c r="Q422" s="331"/>
      <c r="R422" s="436"/>
      <c r="S422" s="436"/>
      <c r="T422" s="216"/>
      <c r="U422" s="216"/>
      <c r="V422" s="216">
        <f t="shared" si="21"/>
        <v>75911</v>
      </c>
      <c r="W422" s="260"/>
      <c r="X422" s="67"/>
    </row>
    <row r="423" spans="1:24" s="4" customFormat="1" ht="15" customHeight="1">
      <c r="A423" s="427"/>
      <c r="B423" s="137" t="s">
        <v>421</v>
      </c>
      <c r="C423" s="157" t="s">
        <v>420</v>
      </c>
      <c r="D423" s="48" t="s">
        <v>248</v>
      </c>
      <c r="E423" s="441"/>
      <c r="F423" s="48" t="s">
        <v>64</v>
      </c>
      <c r="G423" s="122"/>
      <c r="H423" s="34"/>
      <c r="I423" s="463"/>
      <c r="J423" s="475"/>
      <c r="K423" s="211"/>
      <c r="L423" s="211"/>
      <c r="M423" s="211">
        <v>46200</v>
      </c>
      <c r="N423" s="211">
        <v>11</v>
      </c>
      <c r="O423" s="34"/>
      <c r="P423" s="34"/>
      <c r="Q423" s="34">
        <f>July!BK331</f>
        <v>20</v>
      </c>
      <c r="R423" s="436"/>
      <c r="S423" s="436"/>
      <c r="T423" s="211"/>
      <c r="U423" s="211"/>
      <c r="V423" s="211">
        <f t="shared" si="21"/>
        <v>57857</v>
      </c>
      <c r="W423" s="260"/>
      <c r="X423" s="67"/>
    </row>
    <row r="424" spans="1:24" s="4" customFormat="1" ht="15" customHeight="1">
      <c r="A424" s="427"/>
      <c r="B424" s="122" t="s">
        <v>196</v>
      </c>
      <c r="C424" s="180" t="s">
        <v>63</v>
      </c>
      <c r="D424" s="48" t="s">
        <v>135</v>
      </c>
      <c r="E424" s="441"/>
      <c r="F424" s="48" t="s">
        <v>64</v>
      </c>
      <c r="G424" s="122"/>
      <c r="H424" s="34"/>
      <c r="I424" s="463"/>
      <c r="J424" s="475"/>
      <c r="K424" s="211">
        <v>11800</v>
      </c>
      <c r="L424" s="211">
        <v>2</v>
      </c>
      <c r="M424" s="211">
        <v>23900</v>
      </c>
      <c r="N424" s="211">
        <v>4</v>
      </c>
      <c r="O424" s="34"/>
      <c r="P424" s="34">
        <f>July!BM332</f>
        <v>421</v>
      </c>
      <c r="Q424" s="34">
        <f>July!BK332</f>
        <v>2</v>
      </c>
      <c r="R424" s="436"/>
      <c r="S424" s="436"/>
      <c r="T424" s="211"/>
      <c r="U424" s="211"/>
      <c r="V424" s="211"/>
      <c r="W424" s="260"/>
      <c r="X424" s="67"/>
    </row>
    <row r="425" spans="1:24" s="4" customFormat="1" ht="15" customHeight="1">
      <c r="A425" s="427"/>
      <c r="B425" s="137" t="s">
        <v>289</v>
      </c>
      <c r="C425" s="157" t="s">
        <v>516</v>
      </c>
      <c r="D425" s="48" t="s">
        <v>432</v>
      </c>
      <c r="E425" s="441"/>
      <c r="F425" s="48" t="s">
        <v>515</v>
      </c>
      <c r="G425" s="122"/>
      <c r="H425" s="34"/>
      <c r="I425" s="463"/>
      <c r="J425" s="475"/>
      <c r="K425" s="211"/>
      <c r="L425" s="211"/>
      <c r="M425" s="211"/>
      <c r="N425" s="211"/>
      <c r="O425" s="34"/>
      <c r="P425" s="34">
        <f>July!BM323</f>
        <v>285</v>
      </c>
      <c r="Q425" s="34">
        <f>July!BK323</f>
        <v>1</v>
      </c>
      <c r="R425" s="436"/>
      <c r="S425" s="436"/>
      <c r="T425" s="211"/>
      <c r="U425" s="211"/>
      <c r="V425" s="211">
        <f>O425-T425-U425+V390</f>
        <v>0</v>
      </c>
      <c r="W425" s="260"/>
      <c r="X425" s="67"/>
    </row>
    <row r="426" spans="1:24" s="4" customFormat="1" ht="15" customHeight="1">
      <c r="A426" s="427"/>
      <c r="B426" s="137" t="s">
        <v>289</v>
      </c>
      <c r="C426" s="157" t="s">
        <v>501</v>
      </c>
      <c r="D426" s="48" t="s">
        <v>432</v>
      </c>
      <c r="E426" s="441"/>
      <c r="F426" s="48" t="s">
        <v>502</v>
      </c>
      <c r="G426" s="122"/>
      <c r="H426" s="34"/>
      <c r="I426" s="463"/>
      <c r="J426" s="475"/>
      <c r="K426" s="211"/>
      <c r="L426" s="211"/>
      <c r="M426" s="211">
        <v>6000</v>
      </c>
      <c r="N426" s="211">
        <v>1</v>
      </c>
      <c r="O426" s="34"/>
      <c r="P426" s="34">
        <f>July!BM324</f>
        <v>289</v>
      </c>
      <c r="Q426" s="34">
        <f>July!BK324</f>
        <v>1</v>
      </c>
      <c r="R426" s="436"/>
      <c r="S426" s="436"/>
      <c r="T426" s="211"/>
      <c r="U426" s="211"/>
      <c r="V426" s="211">
        <f>O426-T426-U426+V391</f>
        <v>0</v>
      </c>
      <c r="W426" s="260"/>
      <c r="X426" s="67"/>
    </row>
    <row r="427" spans="1:24" s="4" customFormat="1" ht="15" customHeight="1">
      <c r="A427" s="427"/>
      <c r="B427" s="122" t="s">
        <v>289</v>
      </c>
      <c r="C427" s="157" t="s">
        <v>507</v>
      </c>
      <c r="D427" s="48" t="s">
        <v>432</v>
      </c>
      <c r="E427" s="441"/>
      <c r="F427" s="48" t="s">
        <v>506</v>
      </c>
      <c r="G427" s="366"/>
      <c r="H427" s="34"/>
      <c r="I427" s="463"/>
      <c r="J427" s="475"/>
      <c r="K427" s="211">
        <v>7000</v>
      </c>
      <c r="L427" s="211">
        <v>1</v>
      </c>
      <c r="M427" s="211">
        <v>7000</v>
      </c>
      <c r="N427" s="211">
        <v>1</v>
      </c>
      <c r="O427" s="34">
        <f>July!BL325</f>
        <v>805</v>
      </c>
      <c r="P427" s="34">
        <f>July!BM325</f>
        <v>472</v>
      </c>
      <c r="Q427" s="34">
        <f>July!BK325</f>
        <v>3</v>
      </c>
      <c r="R427" s="436"/>
      <c r="S427" s="436"/>
      <c r="T427" s="211">
        <v>805</v>
      </c>
      <c r="U427" s="211"/>
      <c r="V427" s="211">
        <f>O427-T427-U427+V393</f>
        <v>0</v>
      </c>
      <c r="W427" s="260"/>
      <c r="X427" s="67"/>
    </row>
    <row r="428" spans="1:24" ht="15" customHeight="1">
      <c r="A428" s="427"/>
      <c r="B428" s="122" t="s">
        <v>103</v>
      </c>
      <c r="C428" s="157" t="s">
        <v>197</v>
      </c>
      <c r="D428" s="48" t="s">
        <v>104</v>
      </c>
      <c r="E428" s="441"/>
      <c r="F428" s="118" t="s">
        <v>105</v>
      </c>
      <c r="G428" s="119"/>
      <c r="H428" s="126"/>
      <c r="I428" s="463"/>
      <c r="J428" s="475"/>
      <c r="K428" s="18"/>
      <c r="L428" s="18"/>
      <c r="M428" s="18"/>
      <c r="N428" s="18"/>
      <c r="O428" s="126"/>
      <c r="P428" s="126"/>
      <c r="Q428" s="126"/>
      <c r="R428" s="436"/>
      <c r="S428" s="436"/>
      <c r="T428" s="18"/>
      <c r="U428" s="18"/>
      <c r="V428" s="18">
        <f>O428-T428-U428+V396</f>
        <v>47</v>
      </c>
      <c r="W428" s="45"/>
      <c r="X428" s="67"/>
    </row>
    <row r="429" spans="1:24" ht="15" customHeight="1" thickBot="1">
      <c r="A429" s="428"/>
      <c r="B429" s="137" t="s">
        <v>112</v>
      </c>
      <c r="C429" s="157" t="s">
        <v>197</v>
      </c>
      <c r="D429" s="48" t="s">
        <v>104</v>
      </c>
      <c r="E429" s="447"/>
      <c r="F429" s="118" t="s">
        <v>113</v>
      </c>
      <c r="G429" s="342"/>
      <c r="H429" s="262"/>
      <c r="I429" s="464"/>
      <c r="J429" s="476"/>
      <c r="K429" s="18"/>
      <c r="L429" s="18"/>
      <c r="M429" s="18"/>
      <c r="N429" s="18"/>
      <c r="O429" s="126"/>
      <c r="P429" s="126"/>
      <c r="Q429" s="126"/>
      <c r="R429" s="437"/>
      <c r="S429" s="437"/>
      <c r="T429" s="18"/>
      <c r="U429" s="264"/>
      <c r="V429" s="18">
        <f>O429-T429-U429+V397</f>
        <v>34</v>
      </c>
      <c r="W429" s="45"/>
      <c r="X429" s="67"/>
    </row>
    <row r="430" spans="1:24" ht="15" customHeight="1">
      <c r="A430" s="426">
        <v>46219</v>
      </c>
      <c r="B430" s="429" t="s">
        <v>44</v>
      </c>
      <c r="C430" s="432" t="s">
        <v>240</v>
      </c>
      <c r="D430" s="19" t="s">
        <v>37</v>
      </c>
      <c r="E430" s="19" t="s">
        <v>25</v>
      </c>
      <c r="F430" s="39" t="s">
        <v>40</v>
      </c>
      <c r="G430" s="41">
        <v>6941.35</v>
      </c>
      <c r="H430" s="32">
        <v>4608</v>
      </c>
      <c r="I430" s="420"/>
      <c r="J430" s="32"/>
      <c r="K430" s="20">
        <v>48000</v>
      </c>
      <c r="L430" s="20">
        <v>6</v>
      </c>
      <c r="M430" s="20">
        <v>383400</v>
      </c>
      <c r="N430" s="84">
        <v>49</v>
      </c>
      <c r="O430" s="32">
        <f>July!BO313</f>
        <v>70304</v>
      </c>
      <c r="P430" s="32">
        <f>July!BP313</f>
        <v>63340</v>
      </c>
      <c r="Q430" s="32">
        <f>July!BN313</f>
        <v>169</v>
      </c>
      <c r="R430" s="435">
        <f>July!BO336</f>
        <v>104215</v>
      </c>
      <c r="S430" s="435">
        <f>July!BP336</f>
        <v>91824</v>
      </c>
      <c r="T430" s="20">
        <v>62822</v>
      </c>
      <c r="U430" s="20">
        <v>8</v>
      </c>
      <c r="V430" s="20">
        <f>O430-T430-U430+V398</f>
        <v>77815</v>
      </c>
      <c r="W430" s="77"/>
      <c r="X430" s="36"/>
    </row>
    <row r="431" spans="1:24" ht="15" customHeight="1">
      <c r="A431" s="427"/>
      <c r="B431" s="430"/>
      <c r="C431" s="433"/>
      <c r="D431" s="113" t="s">
        <v>307</v>
      </c>
      <c r="E431" s="438" t="s">
        <v>24</v>
      </c>
      <c r="F431" s="118" t="s">
        <v>40</v>
      </c>
      <c r="G431" s="38"/>
      <c r="H431" s="126"/>
      <c r="I431" s="160"/>
      <c r="J431" s="125"/>
      <c r="K431" s="127">
        <v>32000</v>
      </c>
      <c r="L431" s="127">
        <v>4</v>
      </c>
      <c r="M431" s="216">
        <v>79400</v>
      </c>
      <c r="N431" s="238">
        <v>10</v>
      </c>
      <c r="O431" s="126">
        <f>July!BO314</f>
        <v>20097</v>
      </c>
      <c r="P431" s="125">
        <f>July!BP314</f>
        <v>14594</v>
      </c>
      <c r="Q431" s="125">
        <f>July!BN314</f>
        <v>39</v>
      </c>
      <c r="R431" s="436"/>
      <c r="S431" s="436"/>
      <c r="T431" s="127">
        <v>28815</v>
      </c>
      <c r="U431" s="127">
        <v>36</v>
      </c>
      <c r="V431" s="127">
        <f>O431-T431-U431+V399</f>
        <v>72248</v>
      </c>
      <c r="W431" s="46"/>
      <c r="X431" s="67"/>
    </row>
    <row r="432" spans="1:24" ht="15" customHeight="1">
      <c r="A432" s="427"/>
      <c r="B432" s="431"/>
      <c r="C432" s="434"/>
      <c r="D432" s="113" t="s">
        <v>511</v>
      </c>
      <c r="E432" s="431"/>
      <c r="F432" s="155"/>
      <c r="G432" s="170"/>
      <c r="H432" s="158">
        <v>1215</v>
      </c>
      <c r="I432" s="160"/>
      <c r="J432" s="125"/>
      <c r="K432" s="127"/>
      <c r="L432" s="127"/>
      <c r="M432" s="216"/>
      <c r="N432" s="238"/>
      <c r="O432" s="126"/>
      <c r="P432" s="125"/>
      <c r="Q432" s="125"/>
      <c r="R432" s="436"/>
      <c r="S432" s="436"/>
      <c r="T432" s="127"/>
      <c r="U432" s="127"/>
      <c r="V432" s="127"/>
      <c r="W432" s="46"/>
      <c r="X432" s="67"/>
    </row>
    <row r="433" spans="1:25" ht="15" customHeight="1">
      <c r="A433" s="427"/>
      <c r="B433" s="442" t="s">
        <v>45</v>
      </c>
      <c r="C433" s="448" t="s">
        <v>59</v>
      </c>
      <c r="D433" s="118" t="s">
        <v>75</v>
      </c>
      <c r="E433" s="131" t="s">
        <v>25</v>
      </c>
      <c r="F433" s="131" t="s">
        <v>57</v>
      </c>
      <c r="G433" s="87"/>
      <c r="H433" s="152"/>
      <c r="I433" s="160"/>
      <c r="J433" s="2"/>
      <c r="K433" s="127">
        <v>10000</v>
      </c>
      <c r="L433" s="18">
        <v>2</v>
      </c>
      <c r="M433" s="18">
        <v>25000</v>
      </c>
      <c r="N433" s="80">
        <v>5</v>
      </c>
      <c r="O433" s="126">
        <f>July!BO316</f>
        <v>1800</v>
      </c>
      <c r="P433" s="126">
        <f>July!BP316</f>
        <v>4948</v>
      </c>
      <c r="Q433" s="2">
        <f>July!BN316</f>
        <v>19</v>
      </c>
      <c r="R433" s="436"/>
      <c r="S433" s="436"/>
      <c r="T433" s="18"/>
      <c r="U433" s="18"/>
      <c r="V433" s="127">
        <f>O433-T433-U433+V401</f>
        <v>31255</v>
      </c>
      <c r="W433" s="46"/>
      <c r="Y433" s="13"/>
    </row>
    <row r="434" spans="1:25">
      <c r="A434" s="427"/>
      <c r="B434" s="439"/>
      <c r="C434" s="440"/>
      <c r="D434" s="118" t="s">
        <v>72</v>
      </c>
      <c r="E434" s="155" t="s">
        <v>24</v>
      </c>
      <c r="F434" s="131" t="s">
        <v>57</v>
      </c>
      <c r="G434" s="224"/>
      <c r="H434" s="152"/>
      <c r="I434" s="160"/>
      <c r="J434" s="126"/>
      <c r="K434" s="127"/>
      <c r="L434" s="18"/>
      <c r="M434" s="18">
        <v>24800</v>
      </c>
      <c r="N434" s="80">
        <v>5</v>
      </c>
      <c r="O434" s="126">
        <f>July!BO317</f>
        <v>480</v>
      </c>
      <c r="P434" s="126">
        <f>July!BP317</f>
        <v>1418</v>
      </c>
      <c r="Q434" s="126">
        <f>July!BN317</f>
        <v>6</v>
      </c>
      <c r="R434" s="436"/>
      <c r="S434" s="436"/>
      <c r="T434" s="18"/>
      <c r="U434" s="18"/>
      <c r="V434" s="127">
        <f>O434-T434-U434+V402</f>
        <v>32049</v>
      </c>
      <c r="W434" s="46"/>
      <c r="Y434" s="13"/>
    </row>
    <row r="435" spans="1:25" ht="14.25" customHeight="1">
      <c r="A435" s="427"/>
      <c r="B435" s="439"/>
      <c r="C435" s="449"/>
      <c r="D435" s="115" t="s">
        <v>79</v>
      </c>
      <c r="E435" s="118" t="s">
        <v>65</v>
      </c>
      <c r="F435" s="131" t="s">
        <v>57</v>
      </c>
      <c r="G435" s="224"/>
      <c r="H435" s="126"/>
      <c r="I435" s="160"/>
      <c r="J435" s="126"/>
      <c r="K435" s="18"/>
      <c r="L435" s="18"/>
      <c r="M435" s="18"/>
      <c r="N435" s="80"/>
      <c r="O435" s="126"/>
      <c r="P435" s="126"/>
      <c r="Q435" s="126"/>
      <c r="R435" s="436"/>
      <c r="S435" s="436"/>
      <c r="T435" s="18"/>
      <c r="U435" s="18"/>
      <c r="V435" s="127">
        <f>O435-T435-U435+V403</f>
        <v>4741</v>
      </c>
      <c r="W435" s="45"/>
      <c r="X435" s="36"/>
    </row>
    <row r="436" spans="1:25" ht="14.25" customHeight="1">
      <c r="A436" s="427"/>
      <c r="B436" s="443"/>
      <c r="C436" s="271" t="s">
        <v>299</v>
      </c>
      <c r="D436" s="115" t="s">
        <v>75</v>
      </c>
      <c r="E436" s="119" t="s">
        <v>25</v>
      </c>
      <c r="F436" s="131" t="s">
        <v>298</v>
      </c>
      <c r="G436" s="229"/>
      <c r="H436" s="37"/>
      <c r="I436" s="160"/>
      <c r="J436" s="126"/>
      <c r="K436" s="18"/>
      <c r="L436" s="18"/>
      <c r="M436" s="18">
        <v>10000</v>
      </c>
      <c r="N436" s="80">
        <v>2</v>
      </c>
      <c r="O436" s="126">
        <f>July!BO318</f>
        <v>1494</v>
      </c>
      <c r="P436" s="126">
        <f>July!BP318</f>
        <v>694</v>
      </c>
      <c r="Q436" s="126">
        <f>July!BN318</f>
        <v>3</v>
      </c>
      <c r="R436" s="436"/>
      <c r="S436" s="436"/>
      <c r="T436" s="18"/>
      <c r="U436" s="18"/>
      <c r="V436" s="127">
        <f>O436-T436-U436+V404</f>
        <v>20167</v>
      </c>
      <c r="W436" s="45"/>
      <c r="X436" s="67"/>
    </row>
    <row r="437" spans="1:25" ht="14.25" customHeight="1">
      <c r="A437" s="427"/>
      <c r="B437" s="442" t="s">
        <v>53</v>
      </c>
      <c r="C437" s="444" t="s">
        <v>60</v>
      </c>
      <c r="D437" s="43" t="s">
        <v>320</v>
      </c>
      <c r="E437" s="424" t="s">
        <v>66</v>
      </c>
      <c r="F437" s="118" t="s">
        <v>54</v>
      </c>
      <c r="G437" s="224"/>
      <c r="H437" s="37"/>
      <c r="I437" s="160"/>
      <c r="J437" s="126"/>
      <c r="K437" s="18"/>
      <c r="L437" s="18"/>
      <c r="M437" s="18"/>
      <c r="N437" s="80"/>
      <c r="O437" s="126"/>
      <c r="P437" s="126"/>
      <c r="Q437" s="126"/>
      <c r="R437" s="436"/>
      <c r="S437" s="436"/>
      <c r="T437" s="18"/>
      <c r="U437" s="18"/>
      <c r="V437" s="127"/>
      <c r="W437" s="45"/>
      <c r="X437" s="67"/>
    </row>
    <row r="438" spans="1:25" ht="14.25" customHeight="1">
      <c r="A438" s="427"/>
      <c r="B438" s="439"/>
      <c r="C438" s="445"/>
      <c r="D438" s="43" t="s">
        <v>387</v>
      </c>
      <c r="E438" s="425"/>
      <c r="F438" s="118" t="s">
        <v>54</v>
      </c>
      <c r="G438" s="229"/>
      <c r="H438" s="182"/>
      <c r="I438" s="160"/>
      <c r="J438" s="125"/>
      <c r="K438" s="127"/>
      <c r="L438" s="127"/>
      <c r="M438" s="127">
        <v>64800</v>
      </c>
      <c r="N438" s="171">
        <v>11</v>
      </c>
      <c r="O438" s="125"/>
      <c r="P438" s="125"/>
      <c r="Q438" s="125"/>
      <c r="R438" s="436"/>
      <c r="S438" s="436"/>
      <c r="T438" s="18"/>
      <c r="U438" s="18"/>
      <c r="V438" s="127">
        <f t="shared" ref="V438:V446" si="22">O438-T438-U438+V406</f>
        <v>666</v>
      </c>
      <c r="W438" s="45"/>
      <c r="X438" s="67"/>
    </row>
    <row r="439" spans="1:25" ht="14.25" customHeight="1">
      <c r="A439" s="427"/>
      <c r="B439" s="443"/>
      <c r="C439" s="446"/>
      <c r="D439" s="43" t="s">
        <v>199</v>
      </c>
      <c r="E439" s="114" t="s">
        <v>25</v>
      </c>
      <c r="F439" s="118" t="s">
        <v>54</v>
      </c>
      <c r="G439" s="224"/>
      <c r="H439" s="135"/>
      <c r="I439" s="160"/>
      <c r="J439" s="158"/>
      <c r="K439" s="128"/>
      <c r="L439" s="128"/>
      <c r="M439" s="128"/>
      <c r="N439" s="164"/>
      <c r="O439" s="158"/>
      <c r="P439" s="158"/>
      <c r="Q439" s="158"/>
      <c r="R439" s="436"/>
      <c r="S439" s="436"/>
      <c r="T439" s="18"/>
      <c r="U439" s="18"/>
      <c r="V439" s="127">
        <f t="shared" si="22"/>
        <v>68</v>
      </c>
      <c r="W439" s="45"/>
      <c r="X439" s="67"/>
    </row>
    <row r="440" spans="1:25" ht="15.75" customHeight="1">
      <c r="A440" s="427"/>
      <c r="B440" s="137" t="s">
        <v>55</v>
      </c>
      <c r="C440" s="157" t="s">
        <v>133</v>
      </c>
      <c r="D440" s="48" t="s">
        <v>56</v>
      </c>
      <c r="E440" s="424" t="s">
        <v>25</v>
      </c>
      <c r="F440" s="118" t="s">
        <v>67</v>
      </c>
      <c r="G440" s="226"/>
      <c r="H440" s="126"/>
      <c r="I440" s="160"/>
      <c r="J440" s="2"/>
      <c r="K440" s="18"/>
      <c r="L440" s="18"/>
      <c r="M440" s="18"/>
      <c r="N440" s="18"/>
      <c r="O440" s="126"/>
      <c r="P440" s="126"/>
      <c r="Q440" s="126"/>
      <c r="R440" s="436"/>
      <c r="S440" s="436"/>
      <c r="T440" s="18"/>
      <c r="U440" s="18"/>
      <c r="V440" s="127">
        <f t="shared" si="22"/>
        <v>6322</v>
      </c>
      <c r="W440" s="45"/>
      <c r="X440" s="67"/>
    </row>
    <row r="441" spans="1:25" ht="15" customHeight="1">
      <c r="A441" s="427"/>
      <c r="B441" s="122" t="s">
        <v>122</v>
      </c>
      <c r="C441" s="180" t="s">
        <v>123</v>
      </c>
      <c r="D441" s="48" t="s">
        <v>56</v>
      </c>
      <c r="E441" s="441"/>
      <c r="F441" s="155" t="s">
        <v>64</v>
      </c>
      <c r="G441" s="119"/>
      <c r="H441" s="126"/>
      <c r="I441" s="160"/>
      <c r="J441" s="2"/>
      <c r="K441" s="18"/>
      <c r="L441" s="18"/>
      <c r="M441" s="18">
        <v>6400</v>
      </c>
      <c r="N441" s="18">
        <v>2</v>
      </c>
      <c r="O441" s="126"/>
      <c r="P441" s="126"/>
      <c r="Q441" s="126"/>
      <c r="R441" s="436"/>
      <c r="S441" s="436"/>
      <c r="T441" s="18"/>
      <c r="U441" s="18"/>
      <c r="V441" s="127">
        <f t="shared" si="22"/>
        <v>18121</v>
      </c>
      <c r="W441" s="45"/>
      <c r="X441" s="67"/>
    </row>
    <row r="442" spans="1:25" ht="14.25" customHeight="1">
      <c r="A442" s="427"/>
      <c r="B442" s="137" t="s">
        <v>58</v>
      </c>
      <c r="C442" s="157" t="s">
        <v>243</v>
      </c>
      <c r="D442" s="48" t="s">
        <v>56</v>
      </c>
      <c r="E442" s="441"/>
      <c r="F442" s="118" t="s">
        <v>64</v>
      </c>
      <c r="G442" s="225"/>
      <c r="H442" s="126"/>
      <c r="I442" s="160"/>
      <c r="J442" s="126"/>
      <c r="K442" s="18"/>
      <c r="L442" s="18"/>
      <c r="M442" s="18"/>
      <c r="N442" s="80"/>
      <c r="O442" s="126"/>
      <c r="P442" s="126"/>
      <c r="Q442" s="126"/>
      <c r="R442" s="436"/>
      <c r="S442" s="436"/>
      <c r="T442" s="18"/>
      <c r="U442" s="18"/>
      <c r="V442" s="127">
        <f t="shared" si="22"/>
        <v>8144</v>
      </c>
      <c r="W442" s="45"/>
      <c r="X442" s="67"/>
    </row>
    <row r="443" spans="1:25" ht="14.25" customHeight="1">
      <c r="A443" s="427"/>
      <c r="B443" s="122" t="s">
        <v>61</v>
      </c>
      <c r="C443" s="180" t="s">
        <v>137</v>
      </c>
      <c r="D443" s="48" t="s">
        <v>56</v>
      </c>
      <c r="E443" s="441"/>
      <c r="F443" s="118" t="s">
        <v>67</v>
      </c>
      <c r="G443" s="225"/>
      <c r="H443" s="126"/>
      <c r="I443" s="160"/>
      <c r="J443" s="126"/>
      <c r="K443" s="18"/>
      <c r="L443" s="18"/>
      <c r="M443" s="18"/>
      <c r="N443" s="80"/>
      <c r="O443" s="126"/>
      <c r="P443" s="126"/>
      <c r="Q443" s="126"/>
      <c r="R443" s="436"/>
      <c r="S443" s="436"/>
      <c r="T443" s="18"/>
      <c r="U443" s="18"/>
      <c r="V443" s="127">
        <f t="shared" si="22"/>
        <v>5844</v>
      </c>
      <c r="W443" s="45"/>
      <c r="X443" s="67"/>
    </row>
    <row r="444" spans="1:25" ht="14.25" customHeight="1">
      <c r="A444" s="427"/>
      <c r="B444" s="122" t="s">
        <v>125</v>
      </c>
      <c r="C444" s="180" t="s">
        <v>88</v>
      </c>
      <c r="D444" s="48" t="s">
        <v>124</v>
      </c>
      <c r="E444" s="441"/>
      <c r="F444" s="118" t="s">
        <v>64</v>
      </c>
      <c r="G444" s="225"/>
      <c r="H444" s="126"/>
      <c r="I444" s="160"/>
      <c r="J444" s="126"/>
      <c r="K444" s="18"/>
      <c r="L444" s="18"/>
      <c r="M444" s="18">
        <v>51200</v>
      </c>
      <c r="N444" s="80">
        <v>7</v>
      </c>
      <c r="O444" s="126"/>
      <c r="P444" s="126"/>
      <c r="Q444" s="126"/>
      <c r="R444" s="436"/>
      <c r="S444" s="436"/>
      <c r="T444" s="18"/>
      <c r="U444" s="18"/>
      <c r="V444" s="127">
        <f t="shared" si="22"/>
        <v>23615</v>
      </c>
      <c r="W444" s="45"/>
      <c r="X444" s="67"/>
    </row>
    <row r="445" spans="1:25" ht="14.25" customHeight="1">
      <c r="A445" s="427"/>
      <c r="B445" s="137" t="s">
        <v>463</v>
      </c>
      <c r="C445" s="157" t="s">
        <v>464</v>
      </c>
      <c r="D445" s="48" t="s">
        <v>246</v>
      </c>
      <c r="E445" s="441"/>
      <c r="F445" s="118" t="s">
        <v>64</v>
      </c>
      <c r="G445" s="225"/>
      <c r="H445" s="126"/>
      <c r="I445" s="160"/>
      <c r="J445" s="126"/>
      <c r="K445" s="18"/>
      <c r="L445" s="18"/>
      <c r="M445" s="18"/>
      <c r="N445" s="80"/>
      <c r="O445" s="126"/>
      <c r="P445" s="126">
        <f>July!BP333</f>
        <v>257</v>
      </c>
      <c r="Q445" s="126">
        <f>July!BN333</f>
        <v>1</v>
      </c>
      <c r="R445" s="436"/>
      <c r="S445" s="436"/>
      <c r="T445" s="18"/>
      <c r="U445" s="18"/>
      <c r="V445" s="127">
        <f t="shared" si="22"/>
        <v>2000</v>
      </c>
      <c r="W445" s="45"/>
      <c r="X445" s="67"/>
    </row>
    <row r="446" spans="1:25" ht="14.25" customHeight="1">
      <c r="A446" s="427"/>
      <c r="B446" s="442" t="s">
        <v>47</v>
      </c>
      <c r="C446" s="444" t="s">
        <v>100</v>
      </c>
      <c r="D446" s="48" t="s">
        <v>458</v>
      </c>
      <c r="E446" s="441"/>
      <c r="F446" s="118" t="s">
        <v>71</v>
      </c>
      <c r="G446" s="279">
        <v>2002.02</v>
      </c>
      <c r="H446" s="126"/>
      <c r="I446" s="160"/>
      <c r="J446" s="126"/>
      <c r="K446" s="18">
        <v>6100</v>
      </c>
      <c r="L446" s="18">
        <v>1</v>
      </c>
      <c r="M446" s="18">
        <v>30500</v>
      </c>
      <c r="N446" s="80">
        <v>5</v>
      </c>
      <c r="O446" s="126">
        <f>July!BO319</f>
        <v>3237</v>
      </c>
      <c r="P446" s="126">
        <f>July!BP319</f>
        <v>1637</v>
      </c>
      <c r="Q446" s="126">
        <f>July!BN319</f>
        <v>6</v>
      </c>
      <c r="R446" s="436"/>
      <c r="S446" s="436"/>
      <c r="T446" s="18"/>
      <c r="U446" s="18"/>
      <c r="V446" s="127">
        <f t="shared" si="22"/>
        <v>7064</v>
      </c>
      <c r="W446" s="45"/>
      <c r="X446" s="67"/>
    </row>
    <row r="447" spans="1:25" ht="14.25" customHeight="1">
      <c r="A447" s="427"/>
      <c r="B447" s="443"/>
      <c r="C447" s="446"/>
      <c r="D447" s="48" t="s">
        <v>121</v>
      </c>
      <c r="E447" s="441"/>
      <c r="F447" s="118"/>
      <c r="G447" s="225"/>
      <c r="H447" s="126">
        <v>612</v>
      </c>
      <c r="I447" s="160"/>
      <c r="J447" s="126"/>
      <c r="K447" s="18"/>
      <c r="L447" s="18"/>
      <c r="M447" s="18"/>
      <c r="N447" s="80"/>
      <c r="O447" s="126"/>
      <c r="P447" s="126"/>
      <c r="Q447" s="126"/>
      <c r="R447" s="436"/>
      <c r="S447" s="436"/>
      <c r="T447" s="18"/>
      <c r="U447" s="18"/>
      <c r="V447" s="127"/>
      <c r="W447" s="45"/>
      <c r="X447" s="67"/>
    </row>
    <row r="448" spans="1:25" ht="14.25" customHeight="1">
      <c r="A448" s="427"/>
      <c r="B448" s="137" t="s">
        <v>47</v>
      </c>
      <c r="C448" s="157" t="s">
        <v>457</v>
      </c>
      <c r="D448" s="48" t="s">
        <v>458</v>
      </c>
      <c r="E448" s="441"/>
      <c r="F448" s="118" t="s">
        <v>459</v>
      </c>
      <c r="G448" s="225"/>
      <c r="H448" s="126"/>
      <c r="I448" s="160"/>
      <c r="J448" s="126"/>
      <c r="K448" s="18"/>
      <c r="L448" s="18"/>
      <c r="M448" s="18"/>
      <c r="N448" s="80"/>
      <c r="O448" s="126">
        <f>July!BO320</f>
        <v>811</v>
      </c>
      <c r="P448" s="126">
        <f>July!BP320</f>
        <v>179</v>
      </c>
      <c r="Q448" s="126">
        <f>July!BN320</f>
        <v>1</v>
      </c>
      <c r="R448" s="436"/>
      <c r="S448" s="436"/>
      <c r="T448" s="18">
        <v>811</v>
      </c>
      <c r="U448" s="18"/>
      <c r="V448" s="127">
        <f t="shared" ref="V448:V460" si="23">O448-T448-U448+V415</f>
        <v>0</v>
      </c>
      <c r="W448" s="45"/>
      <c r="X448" s="67"/>
    </row>
    <row r="449" spans="1:24" ht="15" customHeight="1">
      <c r="A449" s="427"/>
      <c r="B449" s="122" t="s">
        <v>253</v>
      </c>
      <c r="C449" s="180" t="s">
        <v>365</v>
      </c>
      <c r="D449" s="48" t="s">
        <v>246</v>
      </c>
      <c r="E449" s="441"/>
      <c r="F449" s="118" t="s">
        <v>247</v>
      </c>
      <c r="G449" s="226"/>
      <c r="H449" s="126"/>
      <c r="I449" s="160"/>
      <c r="J449" s="2"/>
      <c r="K449" s="18"/>
      <c r="L449" s="18"/>
      <c r="M449" s="18"/>
      <c r="N449" s="18"/>
      <c r="O449" s="126"/>
      <c r="P449" s="126">
        <f>July!BP321</f>
        <v>231</v>
      </c>
      <c r="Q449" s="126">
        <f>July!BN321</f>
        <v>1</v>
      </c>
      <c r="R449" s="436"/>
      <c r="S449" s="436"/>
      <c r="T449" s="18">
        <v>1922</v>
      </c>
      <c r="U449" s="18"/>
      <c r="V449" s="127">
        <f t="shared" si="23"/>
        <v>7138</v>
      </c>
      <c r="W449" s="45"/>
      <c r="X449" s="67"/>
    </row>
    <row r="450" spans="1:24" s="4" customFormat="1" ht="15" customHeight="1">
      <c r="A450" s="427"/>
      <c r="B450" s="122" t="s">
        <v>520</v>
      </c>
      <c r="C450" s="180" t="s">
        <v>521</v>
      </c>
      <c r="D450" s="48" t="s">
        <v>37</v>
      </c>
      <c r="E450" s="441"/>
      <c r="F450" s="48" t="s">
        <v>522</v>
      </c>
      <c r="G450" s="259"/>
      <c r="H450" s="34"/>
      <c r="I450" s="160"/>
      <c r="J450" s="6"/>
      <c r="K450" s="211"/>
      <c r="L450" s="211"/>
      <c r="M450" s="211"/>
      <c r="N450" s="211"/>
      <c r="O450" s="34">
        <f>July!BO322</f>
        <v>278</v>
      </c>
      <c r="P450" s="34">
        <f>July!BP322</f>
        <v>341</v>
      </c>
      <c r="Q450" s="34">
        <f>July!BN322</f>
        <v>1</v>
      </c>
      <c r="R450" s="436"/>
      <c r="S450" s="436"/>
      <c r="T450" s="211">
        <v>278</v>
      </c>
      <c r="U450" s="211"/>
      <c r="V450" s="216">
        <f t="shared" si="23"/>
        <v>0</v>
      </c>
      <c r="W450" s="260"/>
      <c r="X450" s="67"/>
    </row>
    <row r="451" spans="1:24" ht="15" customHeight="1">
      <c r="A451" s="427"/>
      <c r="B451" s="122" t="s">
        <v>101</v>
      </c>
      <c r="C451" s="180" t="s">
        <v>327</v>
      </c>
      <c r="D451" s="48" t="s">
        <v>102</v>
      </c>
      <c r="E451" s="441"/>
      <c r="F451" s="118" t="s">
        <v>64</v>
      </c>
      <c r="G451" s="119"/>
      <c r="H451" s="126"/>
      <c r="I451" s="160"/>
      <c r="J451" s="2"/>
      <c r="K451" s="18"/>
      <c r="L451" s="18"/>
      <c r="M451" s="18">
        <v>14000</v>
      </c>
      <c r="N451" s="18">
        <v>2</v>
      </c>
      <c r="O451" s="126">
        <f>July!BO328</f>
        <v>4067</v>
      </c>
      <c r="P451" s="126">
        <f>July!BP328</f>
        <v>1409</v>
      </c>
      <c r="Q451" s="126">
        <f>July!BN328</f>
        <v>4</v>
      </c>
      <c r="R451" s="436"/>
      <c r="S451" s="436"/>
      <c r="T451" s="18"/>
      <c r="U451" s="18"/>
      <c r="V451" s="18">
        <f t="shared" si="23"/>
        <v>18659</v>
      </c>
      <c r="W451" s="45"/>
      <c r="X451" s="67"/>
    </row>
    <row r="452" spans="1:24" ht="15" customHeight="1">
      <c r="A452" s="427"/>
      <c r="B452" s="122" t="s">
        <v>366</v>
      </c>
      <c r="C452" s="180" t="s">
        <v>367</v>
      </c>
      <c r="D452" s="48" t="s">
        <v>132</v>
      </c>
      <c r="E452" s="441"/>
      <c r="F452" s="118" t="s">
        <v>64</v>
      </c>
      <c r="G452" s="119"/>
      <c r="H452" s="126">
        <v>378</v>
      </c>
      <c r="I452" s="160"/>
      <c r="J452" s="2"/>
      <c r="K452" s="18"/>
      <c r="L452" s="18"/>
      <c r="M452" s="18"/>
      <c r="N452" s="18"/>
      <c r="O452" s="126">
        <f>July!BO329</f>
        <v>515</v>
      </c>
      <c r="P452" s="126">
        <f>July!BP329</f>
        <v>776</v>
      </c>
      <c r="Q452" s="126">
        <f>July!BN329</f>
        <v>2</v>
      </c>
      <c r="R452" s="436"/>
      <c r="S452" s="436"/>
      <c r="T452" s="18"/>
      <c r="U452" s="18"/>
      <c r="V452" s="18">
        <f t="shared" si="23"/>
        <v>9634</v>
      </c>
      <c r="W452" s="45"/>
      <c r="X452" s="67"/>
    </row>
    <row r="453" spans="1:24" ht="15" customHeight="1">
      <c r="A453" s="427"/>
      <c r="B453" s="122" t="s">
        <v>363</v>
      </c>
      <c r="C453" s="180" t="s">
        <v>325</v>
      </c>
      <c r="D453" s="48" t="s">
        <v>328</v>
      </c>
      <c r="E453" s="441"/>
      <c r="F453" s="118" t="s">
        <v>48</v>
      </c>
      <c r="G453" s="226"/>
      <c r="H453" s="126"/>
      <c r="I453" s="160"/>
      <c r="J453" s="2"/>
      <c r="K453" s="18"/>
      <c r="L453" s="18"/>
      <c r="M453" s="18"/>
      <c r="N453" s="18"/>
      <c r="O453" s="126"/>
      <c r="P453" s="126"/>
      <c r="Q453" s="126"/>
      <c r="R453" s="436"/>
      <c r="S453" s="436"/>
      <c r="T453" s="18"/>
      <c r="U453" s="18"/>
      <c r="V453" s="127">
        <f t="shared" si="23"/>
        <v>16454</v>
      </c>
      <c r="W453" s="45"/>
      <c r="X453" s="67"/>
    </row>
    <row r="454" spans="1:24" ht="15" customHeight="1">
      <c r="A454" s="427"/>
      <c r="B454" s="122" t="s">
        <v>107</v>
      </c>
      <c r="C454" s="180" t="s">
        <v>386</v>
      </c>
      <c r="D454" s="48" t="s">
        <v>108</v>
      </c>
      <c r="E454" s="441"/>
      <c r="F454" s="115" t="s">
        <v>48</v>
      </c>
      <c r="G454" s="113"/>
      <c r="H454" s="125"/>
      <c r="I454" s="160"/>
      <c r="J454" s="250"/>
      <c r="K454" s="127"/>
      <c r="L454" s="127"/>
      <c r="M454" s="127">
        <v>13000</v>
      </c>
      <c r="N454" s="127">
        <v>2</v>
      </c>
      <c r="O454" s="125"/>
      <c r="P454" s="125"/>
      <c r="Q454" s="125"/>
      <c r="R454" s="436"/>
      <c r="S454" s="436"/>
      <c r="T454" s="18"/>
      <c r="U454" s="18"/>
      <c r="V454" s="18">
        <f t="shared" si="23"/>
        <v>12765</v>
      </c>
      <c r="W454" s="85"/>
      <c r="X454" s="67"/>
    </row>
    <row r="455" spans="1:24" s="4" customFormat="1" ht="15" customHeight="1">
      <c r="A455" s="427"/>
      <c r="B455" s="268" t="s">
        <v>375</v>
      </c>
      <c r="C455" s="277" t="s">
        <v>376</v>
      </c>
      <c r="D455" s="43" t="s">
        <v>248</v>
      </c>
      <c r="E455" s="441"/>
      <c r="F455" s="43" t="s">
        <v>64</v>
      </c>
      <c r="G455" s="268"/>
      <c r="H455" s="331"/>
      <c r="I455" s="160"/>
      <c r="J455" s="341"/>
      <c r="K455" s="216"/>
      <c r="L455" s="216"/>
      <c r="M455" s="216"/>
      <c r="N455" s="216"/>
      <c r="O455" s="331"/>
      <c r="P455" s="331"/>
      <c r="Q455" s="331"/>
      <c r="R455" s="436"/>
      <c r="S455" s="436"/>
      <c r="T455" s="216"/>
      <c r="U455" s="216"/>
      <c r="V455" s="216">
        <f t="shared" si="23"/>
        <v>75911</v>
      </c>
      <c r="W455" s="260"/>
      <c r="X455" s="67"/>
    </row>
    <row r="456" spans="1:24" s="4" customFormat="1" ht="15" customHeight="1">
      <c r="A456" s="427"/>
      <c r="B456" s="137" t="s">
        <v>421</v>
      </c>
      <c r="C456" s="157" t="s">
        <v>420</v>
      </c>
      <c r="D456" s="48" t="s">
        <v>248</v>
      </c>
      <c r="E456" s="441"/>
      <c r="F456" s="48" t="s">
        <v>64</v>
      </c>
      <c r="G456" s="122"/>
      <c r="H456" s="34"/>
      <c r="I456" s="160"/>
      <c r="J456" s="6"/>
      <c r="K456" s="211"/>
      <c r="L456" s="211"/>
      <c r="M456" s="211">
        <v>46200</v>
      </c>
      <c r="N456" s="211">
        <v>11</v>
      </c>
      <c r="O456" s="34"/>
      <c r="P456" s="34"/>
      <c r="Q456" s="34">
        <f>July!BN331</f>
        <v>20</v>
      </c>
      <c r="R456" s="436"/>
      <c r="S456" s="436"/>
      <c r="T456" s="211"/>
      <c r="U456" s="211"/>
      <c r="V456" s="211">
        <f t="shared" si="23"/>
        <v>57857</v>
      </c>
      <c r="W456" s="260"/>
      <c r="X456" s="67"/>
    </row>
    <row r="457" spans="1:24" s="4" customFormat="1" ht="15" customHeight="1">
      <c r="A457" s="427"/>
      <c r="B457" s="122" t="s">
        <v>196</v>
      </c>
      <c r="C457" s="180" t="s">
        <v>63</v>
      </c>
      <c r="D457" s="48" t="s">
        <v>135</v>
      </c>
      <c r="E457" s="441"/>
      <c r="F457" s="48" t="s">
        <v>64</v>
      </c>
      <c r="G457" s="225">
        <v>562.79999999999995</v>
      </c>
      <c r="H457" s="293">
        <v>433.5</v>
      </c>
      <c r="I457" s="160"/>
      <c r="J457" s="6"/>
      <c r="K457" s="211">
        <v>6000</v>
      </c>
      <c r="L457" s="211">
        <v>1</v>
      </c>
      <c r="M457" s="211">
        <v>29900</v>
      </c>
      <c r="N457" s="211">
        <v>5</v>
      </c>
      <c r="O457" s="34"/>
      <c r="P457" s="34">
        <f>July!BP332</f>
        <v>734</v>
      </c>
      <c r="Q457" s="34">
        <f>July!BN332</f>
        <v>3</v>
      </c>
      <c r="R457" s="436"/>
      <c r="S457" s="436"/>
      <c r="T457" s="211"/>
      <c r="U457" s="211"/>
      <c r="V457" s="211">
        <f t="shared" si="23"/>
        <v>0</v>
      </c>
      <c r="W457" s="260"/>
      <c r="X457" s="67"/>
    </row>
    <row r="458" spans="1:24" s="4" customFormat="1" ht="15" customHeight="1">
      <c r="A458" s="427"/>
      <c r="B458" s="137" t="s">
        <v>289</v>
      </c>
      <c r="C458" s="157" t="s">
        <v>516</v>
      </c>
      <c r="D458" s="48" t="s">
        <v>432</v>
      </c>
      <c r="E458" s="441"/>
      <c r="F458" s="48" t="s">
        <v>515</v>
      </c>
      <c r="G458" s="122"/>
      <c r="H458" s="34"/>
      <c r="I458" s="160"/>
      <c r="J458" s="6"/>
      <c r="K458" s="211"/>
      <c r="L458" s="211"/>
      <c r="M458" s="211"/>
      <c r="N458" s="211"/>
      <c r="O458" s="34">
        <f>July!BO323</f>
        <v>1132</v>
      </c>
      <c r="P458" s="34">
        <f>July!BP323</f>
        <v>282</v>
      </c>
      <c r="Q458" s="34">
        <f>July!BN323</f>
        <v>1</v>
      </c>
      <c r="R458" s="436"/>
      <c r="S458" s="436"/>
      <c r="T458" s="211">
        <v>1132</v>
      </c>
      <c r="U458" s="211"/>
      <c r="V458" s="211">
        <f t="shared" si="23"/>
        <v>0</v>
      </c>
      <c r="W458" s="260"/>
      <c r="X458" s="67"/>
    </row>
    <row r="459" spans="1:24" s="4" customFormat="1" ht="15" customHeight="1">
      <c r="A459" s="427"/>
      <c r="B459" s="137" t="s">
        <v>289</v>
      </c>
      <c r="C459" s="157" t="s">
        <v>501</v>
      </c>
      <c r="D459" s="48" t="s">
        <v>432</v>
      </c>
      <c r="E459" s="441"/>
      <c r="F459" s="48" t="s">
        <v>502</v>
      </c>
      <c r="G459" s="122"/>
      <c r="H459" s="34"/>
      <c r="I459" s="160"/>
      <c r="J459" s="6"/>
      <c r="K459" s="211"/>
      <c r="L459" s="211"/>
      <c r="M459" s="211">
        <v>6000</v>
      </c>
      <c r="N459" s="211">
        <v>1</v>
      </c>
      <c r="O459" s="34"/>
      <c r="P459" s="34">
        <f>July!BP324</f>
        <v>287</v>
      </c>
      <c r="Q459" s="34">
        <f>July!BN324</f>
        <v>1</v>
      </c>
      <c r="R459" s="436"/>
      <c r="S459" s="436"/>
      <c r="T459" s="211"/>
      <c r="U459" s="211"/>
      <c r="V459" s="211">
        <f t="shared" si="23"/>
        <v>0</v>
      </c>
      <c r="W459" s="260"/>
      <c r="X459" s="67"/>
    </row>
    <row r="460" spans="1:24" s="4" customFormat="1" ht="15" customHeight="1">
      <c r="A460" s="427"/>
      <c r="B460" s="442" t="s">
        <v>289</v>
      </c>
      <c r="C460" s="444" t="s">
        <v>507</v>
      </c>
      <c r="D460" s="48" t="s">
        <v>432</v>
      </c>
      <c r="E460" s="441"/>
      <c r="F460" s="48" t="s">
        <v>506</v>
      </c>
      <c r="G460" s="366"/>
      <c r="H460" s="34"/>
      <c r="I460" s="160"/>
      <c r="J460" s="6"/>
      <c r="K460" s="211"/>
      <c r="L460" s="211"/>
      <c r="M460" s="211">
        <v>7000</v>
      </c>
      <c r="N460" s="211">
        <v>1</v>
      </c>
      <c r="O460" s="34"/>
      <c r="P460" s="34">
        <f>July!BP325</f>
        <v>697</v>
      </c>
      <c r="Q460" s="34">
        <f>July!BN325</f>
        <v>3</v>
      </c>
      <c r="R460" s="436"/>
      <c r="S460" s="436"/>
      <c r="T460" s="211"/>
      <c r="U460" s="211"/>
      <c r="V460" s="211">
        <f t="shared" si="23"/>
        <v>0</v>
      </c>
      <c r="W460" s="260"/>
      <c r="X460" s="67"/>
    </row>
    <row r="461" spans="1:24" s="4" customFormat="1" ht="15" customHeight="1">
      <c r="A461" s="427"/>
      <c r="B461" s="443"/>
      <c r="C461" s="446"/>
      <c r="D461" s="48" t="s">
        <v>433</v>
      </c>
      <c r="E461" s="441"/>
      <c r="F461" s="48"/>
      <c r="G461" s="366"/>
      <c r="H461" s="34">
        <v>306</v>
      </c>
      <c r="I461" s="160"/>
      <c r="J461" s="6"/>
      <c r="K461" s="211"/>
      <c r="L461" s="211"/>
      <c r="M461" s="211"/>
      <c r="N461" s="211"/>
      <c r="O461" s="34"/>
      <c r="P461" s="34"/>
      <c r="Q461" s="34"/>
      <c r="R461" s="436"/>
      <c r="S461" s="436"/>
      <c r="T461" s="211"/>
      <c r="U461" s="211"/>
      <c r="V461" s="211"/>
      <c r="W461" s="260"/>
      <c r="X461" s="67"/>
    </row>
    <row r="462" spans="1:24" ht="15" customHeight="1">
      <c r="A462" s="427"/>
      <c r="B462" s="122" t="s">
        <v>103</v>
      </c>
      <c r="C462" s="157" t="s">
        <v>197</v>
      </c>
      <c r="D462" s="48" t="s">
        <v>104</v>
      </c>
      <c r="E462" s="441"/>
      <c r="F462" s="118" t="s">
        <v>105</v>
      </c>
      <c r="G462" s="119"/>
      <c r="H462" s="126"/>
      <c r="I462" s="160"/>
      <c r="J462" s="2"/>
      <c r="K462" s="18"/>
      <c r="L462" s="18"/>
      <c r="M462" s="18"/>
      <c r="N462" s="18"/>
      <c r="O462" s="126"/>
      <c r="P462" s="126"/>
      <c r="Q462" s="126"/>
      <c r="R462" s="436"/>
      <c r="S462" s="436"/>
      <c r="T462" s="18"/>
      <c r="U462" s="18"/>
      <c r="V462" s="18">
        <f>O462-T462-U462+V428</f>
        <v>47</v>
      </c>
      <c r="W462" s="45"/>
      <c r="X462" s="67"/>
    </row>
    <row r="463" spans="1:24" ht="15" customHeight="1" thickBot="1">
      <c r="A463" s="428"/>
      <c r="B463" s="137" t="s">
        <v>112</v>
      </c>
      <c r="C463" s="157" t="s">
        <v>197</v>
      </c>
      <c r="D463" s="48" t="s">
        <v>104</v>
      </c>
      <c r="E463" s="447"/>
      <c r="F463" s="118" t="s">
        <v>113</v>
      </c>
      <c r="G463" s="342"/>
      <c r="H463" s="262"/>
      <c r="I463" s="423"/>
      <c r="J463" s="2"/>
      <c r="K463" s="18"/>
      <c r="L463" s="18"/>
      <c r="M463" s="18"/>
      <c r="N463" s="18"/>
      <c r="O463" s="126"/>
      <c r="P463" s="126"/>
      <c r="Q463" s="126"/>
      <c r="R463" s="437"/>
      <c r="S463" s="437"/>
      <c r="T463" s="18"/>
      <c r="U463" s="264"/>
      <c r="V463" s="18">
        <f>O463-T463-U463+V429</f>
        <v>34</v>
      </c>
      <c r="W463" s="45"/>
      <c r="X463" s="67"/>
    </row>
    <row r="464" spans="1:24" ht="15" customHeight="1">
      <c r="A464" s="426">
        <v>46220</v>
      </c>
      <c r="B464" s="429" t="s">
        <v>44</v>
      </c>
      <c r="C464" s="432" t="s">
        <v>240</v>
      </c>
      <c r="D464" s="19" t="s">
        <v>37</v>
      </c>
      <c r="E464" s="19" t="s">
        <v>25</v>
      </c>
      <c r="F464" s="39" t="s">
        <v>40</v>
      </c>
      <c r="G464" s="41">
        <v>6597.72</v>
      </c>
      <c r="H464" s="32">
        <v>4608</v>
      </c>
      <c r="I464" s="409"/>
      <c r="J464" s="32"/>
      <c r="K464" s="20">
        <v>92000</v>
      </c>
      <c r="L464" s="20">
        <v>12</v>
      </c>
      <c r="M464" s="20">
        <v>387400</v>
      </c>
      <c r="N464" s="84">
        <v>49</v>
      </c>
      <c r="O464" s="32">
        <f>July!BR313</f>
        <v>63711</v>
      </c>
      <c r="P464" s="32">
        <f>July!BS313</f>
        <v>62798</v>
      </c>
      <c r="Q464" s="32">
        <f>July!BQ313</f>
        <v>169</v>
      </c>
      <c r="R464" s="435">
        <f>July!BR336</f>
        <v>81429</v>
      </c>
      <c r="S464" s="435">
        <f>July!BS336</f>
        <v>91069</v>
      </c>
      <c r="T464" s="20">
        <v>81963</v>
      </c>
      <c r="U464" s="20">
        <v>8</v>
      </c>
      <c r="V464" s="20">
        <f>O464-T464-U464+V430</f>
        <v>59555</v>
      </c>
      <c r="W464" s="77"/>
      <c r="X464" s="36"/>
    </row>
    <row r="465" spans="1:25" ht="15" customHeight="1">
      <c r="A465" s="427"/>
      <c r="B465" s="430"/>
      <c r="C465" s="433"/>
      <c r="D465" s="113" t="s">
        <v>307</v>
      </c>
      <c r="E465" s="131" t="s">
        <v>24</v>
      </c>
      <c r="F465" s="118" t="s">
        <v>40</v>
      </c>
      <c r="G465" s="38">
        <v>4907.05</v>
      </c>
      <c r="H465" s="126"/>
      <c r="I465" s="160"/>
      <c r="J465" s="125"/>
      <c r="K465" s="127">
        <v>16000</v>
      </c>
      <c r="L465" s="127">
        <v>2</v>
      </c>
      <c r="M465" s="216">
        <v>134800</v>
      </c>
      <c r="N465" s="238">
        <v>17</v>
      </c>
      <c r="O465" s="126">
        <f>July!BR314</f>
        <v>9974</v>
      </c>
      <c r="P465" s="125">
        <f>July!BS314</f>
        <v>14286</v>
      </c>
      <c r="Q465" s="125">
        <f>July!BQ314</f>
        <v>39</v>
      </c>
      <c r="R465" s="436"/>
      <c r="S465" s="436"/>
      <c r="T465" s="127">
        <v>28365</v>
      </c>
      <c r="U465" s="127">
        <v>7</v>
      </c>
      <c r="V465" s="127">
        <f>O465-T465-U465+V431</f>
        <v>53850</v>
      </c>
      <c r="W465" s="46"/>
      <c r="X465" s="67"/>
    </row>
    <row r="466" spans="1:25" ht="15" customHeight="1">
      <c r="A466" s="427"/>
      <c r="B466" s="442" t="s">
        <v>45</v>
      </c>
      <c r="C466" s="448" t="s">
        <v>59</v>
      </c>
      <c r="D466" s="118" t="s">
        <v>75</v>
      </c>
      <c r="E466" s="438" t="s">
        <v>25</v>
      </c>
      <c r="F466" s="131" t="s">
        <v>57</v>
      </c>
      <c r="G466" s="87"/>
      <c r="H466" s="152"/>
      <c r="I466" s="160"/>
      <c r="J466" s="2"/>
      <c r="K466" s="127"/>
      <c r="L466" s="18"/>
      <c r="M466" s="18">
        <v>25000</v>
      </c>
      <c r="N466" s="80">
        <v>5</v>
      </c>
      <c r="O466" s="126">
        <f>July!BR316</f>
        <v>1094</v>
      </c>
      <c r="P466" s="126">
        <f>July!BS316</f>
        <v>4927</v>
      </c>
      <c r="Q466" s="2">
        <f>July!BQ316</f>
        <v>19</v>
      </c>
      <c r="R466" s="436"/>
      <c r="S466" s="436"/>
      <c r="T466" s="18">
        <v>6000</v>
      </c>
      <c r="U466" s="18"/>
      <c r="V466" s="127">
        <f>O466-T466-U466+V433</f>
        <v>26349</v>
      </c>
      <c r="W466" s="46"/>
      <c r="Y466" s="13"/>
    </row>
    <row r="467" spans="1:25" ht="15" customHeight="1">
      <c r="A467" s="427"/>
      <c r="B467" s="439"/>
      <c r="C467" s="440"/>
      <c r="D467" s="118" t="s">
        <v>94</v>
      </c>
      <c r="E467" s="431"/>
      <c r="F467" s="131"/>
      <c r="G467" s="87"/>
      <c r="H467" s="152">
        <v>2268</v>
      </c>
      <c r="I467" s="160"/>
      <c r="J467" s="2"/>
      <c r="K467" s="127"/>
      <c r="L467" s="18"/>
      <c r="M467" s="18"/>
      <c r="N467" s="80"/>
      <c r="O467" s="126"/>
      <c r="P467" s="126"/>
      <c r="Q467" s="2"/>
      <c r="R467" s="436"/>
      <c r="S467" s="436"/>
      <c r="T467" s="18"/>
      <c r="U467" s="18"/>
      <c r="V467" s="127"/>
      <c r="W467" s="46"/>
      <c r="Y467" s="13"/>
    </row>
    <row r="468" spans="1:25">
      <c r="A468" s="427"/>
      <c r="B468" s="439"/>
      <c r="C468" s="440"/>
      <c r="D468" s="118" t="s">
        <v>72</v>
      </c>
      <c r="E468" s="155" t="s">
        <v>24</v>
      </c>
      <c r="F468" s="131" t="s">
        <v>57</v>
      </c>
      <c r="G468" s="224"/>
      <c r="H468" s="152"/>
      <c r="I468" s="160"/>
      <c r="J468" s="126"/>
      <c r="K468" s="127"/>
      <c r="L468" s="18"/>
      <c r="M468" s="18">
        <v>24800</v>
      </c>
      <c r="N468" s="80">
        <v>5</v>
      </c>
      <c r="O468" s="126"/>
      <c r="P468" s="126">
        <f>July!BS317</f>
        <v>1319</v>
      </c>
      <c r="Q468" s="126">
        <f>July!BQ317</f>
        <v>5</v>
      </c>
      <c r="R468" s="436"/>
      <c r="S468" s="436"/>
      <c r="T468" s="18"/>
      <c r="U468" s="18"/>
      <c r="V468" s="127">
        <f>O468-T468-U468+V434</f>
        <v>32049</v>
      </c>
      <c r="W468" s="46"/>
      <c r="Y468" s="13"/>
    </row>
    <row r="469" spans="1:25" ht="14.25" customHeight="1">
      <c r="A469" s="427"/>
      <c r="B469" s="439"/>
      <c r="C469" s="449"/>
      <c r="D469" s="115" t="s">
        <v>79</v>
      </c>
      <c r="E469" s="118" t="s">
        <v>65</v>
      </c>
      <c r="F469" s="131" t="s">
        <v>57</v>
      </c>
      <c r="G469" s="224"/>
      <c r="H469" s="126"/>
      <c r="I469" s="160"/>
      <c r="J469" s="126"/>
      <c r="K469" s="18"/>
      <c r="L469" s="18"/>
      <c r="M469" s="18"/>
      <c r="N469" s="80"/>
      <c r="O469" s="126"/>
      <c r="P469" s="126"/>
      <c r="Q469" s="126"/>
      <c r="R469" s="436"/>
      <c r="S469" s="436"/>
      <c r="T469" s="18">
        <v>4791</v>
      </c>
      <c r="U469" s="18"/>
      <c r="V469" s="127"/>
      <c r="W469" s="45"/>
      <c r="X469" s="36"/>
    </row>
    <row r="470" spans="1:25" ht="14.25" customHeight="1">
      <c r="A470" s="427"/>
      <c r="B470" s="443"/>
      <c r="C470" s="271" t="s">
        <v>299</v>
      </c>
      <c r="D470" s="115" t="s">
        <v>75</v>
      </c>
      <c r="E470" s="119" t="s">
        <v>25</v>
      </c>
      <c r="F470" s="131" t="s">
        <v>298</v>
      </c>
      <c r="G470" s="229"/>
      <c r="H470" s="37"/>
      <c r="I470" s="160"/>
      <c r="J470" s="126"/>
      <c r="K470" s="18">
        <v>5000</v>
      </c>
      <c r="L470" s="18">
        <v>1</v>
      </c>
      <c r="M470" s="18">
        <v>5000</v>
      </c>
      <c r="N470" s="80">
        <v>1</v>
      </c>
      <c r="O470" s="126">
        <f>July!BR318</f>
        <v>1026</v>
      </c>
      <c r="P470" s="126">
        <f>July!BS318</f>
        <v>552</v>
      </c>
      <c r="Q470" s="126">
        <f>July!BQ318</f>
        <v>3</v>
      </c>
      <c r="R470" s="436"/>
      <c r="S470" s="436"/>
      <c r="T470" s="18"/>
      <c r="U470" s="18"/>
      <c r="V470" s="127">
        <f>O470-T470-U470+V436</f>
        <v>21193</v>
      </c>
      <c r="W470" s="45"/>
      <c r="X470" s="67"/>
    </row>
    <row r="471" spans="1:25" ht="14.25" customHeight="1">
      <c r="A471" s="427"/>
      <c r="B471" s="442" t="s">
        <v>53</v>
      </c>
      <c r="C471" s="444" t="s">
        <v>60</v>
      </c>
      <c r="D471" s="43" t="s">
        <v>320</v>
      </c>
      <c r="E471" s="424" t="s">
        <v>66</v>
      </c>
      <c r="F471" s="118" t="s">
        <v>54</v>
      </c>
      <c r="G471" s="224"/>
      <c r="H471" s="37"/>
      <c r="I471" s="160"/>
      <c r="J471" s="126"/>
      <c r="K471" s="18"/>
      <c r="L471" s="18"/>
      <c r="M471" s="18"/>
      <c r="N471" s="80"/>
      <c r="O471" s="126"/>
      <c r="P471" s="126"/>
      <c r="Q471" s="126"/>
      <c r="R471" s="436"/>
      <c r="S471" s="436"/>
      <c r="T471" s="18"/>
      <c r="U471" s="18"/>
      <c r="V471" s="127"/>
      <c r="W471" s="45"/>
      <c r="X471" s="67"/>
    </row>
    <row r="472" spans="1:25" ht="14.25" customHeight="1">
      <c r="A472" s="427"/>
      <c r="B472" s="439"/>
      <c r="C472" s="445"/>
      <c r="D472" s="43" t="s">
        <v>387</v>
      </c>
      <c r="E472" s="425"/>
      <c r="F472" s="118" t="s">
        <v>54</v>
      </c>
      <c r="G472" s="229"/>
      <c r="H472" s="182"/>
      <c r="I472" s="160"/>
      <c r="J472" s="125"/>
      <c r="K472" s="127"/>
      <c r="L472" s="127"/>
      <c r="M472" s="127">
        <v>64800</v>
      </c>
      <c r="N472" s="171">
        <v>11</v>
      </c>
      <c r="O472" s="125"/>
      <c r="P472" s="125"/>
      <c r="Q472" s="125"/>
      <c r="R472" s="436"/>
      <c r="S472" s="436"/>
      <c r="T472" s="18"/>
      <c r="U472" s="18"/>
      <c r="V472" s="127">
        <f t="shared" ref="V472:V479" si="24">O472-T472-U472+V438</f>
        <v>666</v>
      </c>
      <c r="W472" s="45"/>
      <c r="X472" s="67"/>
    </row>
    <row r="473" spans="1:25" ht="14.25" customHeight="1">
      <c r="A473" s="427"/>
      <c r="B473" s="443"/>
      <c r="C473" s="446"/>
      <c r="D473" s="43" t="s">
        <v>199</v>
      </c>
      <c r="E473" s="114" t="s">
        <v>25</v>
      </c>
      <c r="F473" s="118" t="s">
        <v>54</v>
      </c>
      <c r="G473" s="224"/>
      <c r="H473" s="135"/>
      <c r="I473" s="160"/>
      <c r="J473" s="158"/>
      <c r="K473" s="128"/>
      <c r="L473" s="128"/>
      <c r="M473" s="128"/>
      <c r="N473" s="164"/>
      <c r="O473" s="158"/>
      <c r="P473" s="158"/>
      <c r="Q473" s="158"/>
      <c r="R473" s="436"/>
      <c r="S473" s="436"/>
      <c r="T473" s="18"/>
      <c r="U473" s="18"/>
      <c r="V473" s="127">
        <f t="shared" si="24"/>
        <v>68</v>
      </c>
      <c r="W473" s="45"/>
      <c r="X473" s="67"/>
    </row>
    <row r="474" spans="1:25" ht="15.75" customHeight="1">
      <c r="A474" s="427"/>
      <c r="B474" s="137" t="s">
        <v>55</v>
      </c>
      <c r="C474" s="157" t="s">
        <v>133</v>
      </c>
      <c r="D474" s="48" t="s">
        <v>56</v>
      </c>
      <c r="E474" s="424" t="s">
        <v>25</v>
      </c>
      <c r="F474" s="118" t="s">
        <v>67</v>
      </c>
      <c r="G474" s="226"/>
      <c r="H474" s="126"/>
      <c r="I474" s="160"/>
      <c r="J474" s="2"/>
      <c r="K474" s="18"/>
      <c r="L474" s="18"/>
      <c r="M474" s="18"/>
      <c r="N474" s="18"/>
      <c r="O474" s="126"/>
      <c r="P474" s="126"/>
      <c r="Q474" s="126"/>
      <c r="R474" s="436"/>
      <c r="S474" s="436"/>
      <c r="T474" s="18"/>
      <c r="U474" s="18"/>
      <c r="V474" s="127">
        <f t="shared" si="24"/>
        <v>6322</v>
      </c>
      <c r="W474" s="45"/>
      <c r="X474" s="67"/>
    </row>
    <row r="475" spans="1:25" ht="15" customHeight="1">
      <c r="A475" s="427"/>
      <c r="B475" s="122" t="s">
        <v>122</v>
      </c>
      <c r="C475" s="180" t="s">
        <v>123</v>
      </c>
      <c r="D475" s="48" t="s">
        <v>56</v>
      </c>
      <c r="E475" s="441"/>
      <c r="F475" s="155" t="s">
        <v>64</v>
      </c>
      <c r="G475" s="119"/>
      <c r="H475" s="126"/>
      <c r="I475" s="160"/>
      <c r="J475" s="2"/>
      <c r="K475" s="18"/>
      <c r="L475" s="18"/>
      <c r="M475" s="18">
        <v>6400</v>
      </c>
      <c r="N475" s="18">
        <v>2</v>
      </c>
      <c r="O475" s="126"/>
      <c r="P475" s="126"/>
      <c r="Q475" s="126"/>
      <c r="R475" s="436"/>
      <c r="S475" s="436"/>
      <c r="T475" s="18"/>
      <c r="U475" s="18"/>
      <c r="V475" s="127">
        <f t="shared" si="24"/>
        <v>18121</v>
      </c>
      <c r="W475" s="45"/>
      <c r="X475" s="67"/>
    </row>
    <row r="476" spans="1:25" ht="14.25" customHeight="1">
      <c r="A476" s="427"/>
      <c r="B476" s="137" t="s">
        <v>58</v>
      </c>
      <c r="C476" s="157" t="s">
        <v>243</v>
      </c>
      <c r="D476" s="48" t="s">
        <v>56</v>
      </c>
      <c r="E476" s="441"/>
      <c r="F476" s="118" t="s">
        <v>64</v>
      </c>
      <c r="G476" s="225"/>
      <c r="H476" s="126"/>
      <c r="I476" s="160"/>
      <c r="J476" s="126"/>
      <c r="K476" s="18"/>
      <c r="L476" s="18"/>
      <c r="M476" s="18"/>
      <c r="N476" s="80"/>
      <c r="O476" s="126"/>
      <c r="P476" s="126"/>
      <c r="Q476" s="126"/>
      <c r="R476" s="436"/>
      <c r="S476" s="436"/>
      <c r="T476" s="18"/>
      <c r="U476" s="18"/>
      <c r="V476" s="127">
        <f t="shared" si="24"/>
        <v>8144</v>
      </c>
      <c r="W476" s="45"/>
      <c r="X476" s="67"/>
    </row>
    <row r="477" spans="1:25" ht="14.25" customHeight="1">
      <c r="A477" s="427"/>
      <c r="B477" s="122" t="s">
        <v>61</v>
      </c>
      <c r="C477" s="180" t="s">
        <v>137</v>
      </c>
      <c r="D477" s="48" t="s">
        <v>56</v>
      </c>
      <c r="E477" s="441"/>
      <c r="F477" s="118" t="s">
        <v>67</v>
      </c>
      <c r="G477" s="225"/>
      <c r="H477" s="126"/>
      <c r="I477" s="160"/>
      <c r="J477" s="126"/>
      <c r="K477" s="18"/>
      <c r="L477" s="18"/>
      <c r="M477" s="18"/>
      <c r="N477" s="80"/>
      <c r="O477" s="126"/>
      <c r="P477" s="126"/>
      <c r="Q477" s="126"/>
      <c r="R477" s="436"/>
      <c r="S477" s="436"/>
      <c r="T477" s="18"/>
      <c r="U477" s="18"/>
      <c r="V477" s="127">
        <f t="shared" si="24"/>
        <v>5844</v>
      </c>
      <c r="W477" s="45"/>
      <c r="X477" s="67"/>
    </row>
    <row r="478" spans="1:25" ht="14.25" customHeight="1">
      <c r="A478" s="427"/>
      <c r="B478" s="122" t="s">
        <v>125</v>
      </c>
      <c r="C478" s="180" t="s">
        <v>88</v>
      </c>
      <c r="D478" s="48" t="s">
        <v>124</v>
      </c>
      <c r="E478" s="441"/>
      <c r="F478" s="118" t="s">
        <v>64</v>
      </c>
      <c r="G478" s="225"/>
      <c r="H478" s="126"/>
      <c r="I478" s="160"/>
      <c r="J478" s="126"/>
      <c r="K478" s="18"/>
      <c r="L478" s="18"/>
      <c r="M478" s="18">
        <v>51200</v>
      </c>
      <c r="N478" s="80">
        <v>7</v>
      </c>
      <c r="O478" s="126"/>
      <c r="P478" s="126"/>
      <c r="Q478" s="126"/>
      <c r="R478" s="436"/>
      <c r="S478" s="436"/>
      <c r="T478" s="18"/>
      <c r="U478" s="18"/>
      <c r="V478" s="127">
        <f t="shared" si="24"/>
        <v>23615</v>
      </c>
      <c r="W478" s="45"/>
      <c r="X478" s="67"/>
    </row>
    <row r="479" spans="1:25" ht="14.25" customHeight="1">
      <c r="A479" s="427"/>
      <c r="B479" s="442" t="s">
        <v>463</v>
      </c>
      <c r="C479" s="444" t="s">
        <v>464</v>
      </c>
      <c r="D479" s="48" t="s">
        <v>246</v>
      </c>
      <c r="E479" s="441"/>
      <c r="F479" s="118" t="s">
        <v>64</v>
      </c>
      <c r="G479" s="225"/>
      <c r="H479" s="126"/>
      <c r="I479" s="160"/>
      <c r="J479" s="126"/>
      <c r="K479" s="18"/>
      <c r="L479" s="18"/>
      <c r="M479" s="18"/>
      <c r="N479" s="80"/>
      <c r="O479" s="126"/>
      <c r="P479" s="126">
        <f>July!BS333</f>
        <v>255</v>
      </c>
      <c r="Q479" s="126">
        <f>July!BQ333</f>
        <v>1</v>
      </c>
      <c r="R479" s="436"/>
      <c r="S479" s="436"/>
      <c r="T479" s="18"/>
      <c r="U479" s="18"/>
      <c r="V479" s="127">
        <f t="shared" si="24"/>
        <v>2000</v>
      </c>
      <c r="W479" s="45"/>
      <c r="X479" s="67"/>
    </row>
    <row r="480" spans="1:25" ht="14.25" customHeight="1">
      <c r="A480" s="427"/>
      <c r="B480" s="443"/>
      <c r="C480" s="446"/>
      <c r="D480" s="48" t="s">
        <v>124</v>
      </c>
      <c r="E480" s="441"/>
      <c r="F480" s="118"/>
      <c r="G480" s="225"/>
      <c r="H480" s="126">
        <v>40</v>
      </c>
      <c r="I480" s="160"/>
      <c r="J480" s="126"/>
      <c r="K480" s="18"/>
      <c r="L480" s="18"/>
      <c r="M480" s="18"/>
      <c r="N480" s="80"/>
      <c r="O480" s="126"/>
      <c r="P480" s="126"/>
      <c r="Q480" s="126"/>
      <c r="R480" s="436"/>
      <c r="S480" s="436"/>
      <c r="T480" s="18"/>
      <c r="U480" s="18"/>
      <c r="V480" s="127"/>
      <c r="W480" s="45"/>
      <c r="X480" s="67"/>
    </row>
    <row r="481" spans="1:24" ht="14.25" customHeight="1">
      <c r="A481" s="427"/>
      <c r="B481" s="137" t="s">
        <v>47</v>
      </c>
      <c r="C481" s="157" t="s">
        <v>100</v>
      </c>
      <c r="D481" s="48" t="s">
        <v>458</v>
      </c>
      <c r="E481" s="441"/>
      <c r="F481" s="118" t="s">
        <v>71</v>
      </c>
      <c r="G481" s="225"/>
      <c r="H481" s="126"/>
      <c r="I481" s="160"/>
      <c r="J481" s="126"/>
      <c r="K481" s="18">
        <v>6100</v>
      </c>
      <c r="L481" s="18">
        <v>1</v>
      </c>
      <c r="M481" s="18">
        <v>24400</v>
      </c>
      <c r="N481" s="80">
        <v>4</v>
      </c>
      <c r="O481" s="126">
        <f>July!BR319</f>
        <v>1200</v>
      </c>
      <c r="P481" s="126">
        <f>July!BS319</f>
        <v>1831</v>
      </c>
      <c r="Q481" s="126">
        <f>July!BQ319</f>
        <v>6</v>
      </c>
      <c r="R481" s="436"/>
      <c r="S481" s="436"/>
      <c r="T481" s="18"/>
      <c r="U481" s="18"/>
      <c r="V481" s="127">
        <f>O481-T481-U481+V446</f>
        <v>8264</v>
      </c>
      <c r="W481" s="45"/>
      <c r="X481" s="67"/>
    </row>
    <row r="482" spans="1:24" ht="14.25" customHeight="1">
      <c r="A482" s="427"/>
      <c r="B482" s="137" t="s">
        <v>47</v>
      </c>
      <c r="C482" s="157" t="s">
        <v>457</v>
      </c>
      <c r="D482" s="48" t="s">
        <v>458</v>
      </c>
      <c r="E482" s="441"/>
      <c r="F482" s="118" t="s">
        <v>459</v>
      </c>
      <c r="G482" s="225"/>
      <c r="H482" s="126"/>
      <c r="I482" s="160"/>
      <c r="J482" s="126"/>
      <c r="K482" s="18"/>
      <c r="L482" s="18"/>
      <c r="M482" s="18"/>
      <c r="N482" s="80"/>
      <c r="O482" s="126">
        <f>July!BR320</f>
        <v>228</v>
      </c>
      <c r="P482" s="126">
        <f>July!BS320</f>
        <v>49</v>
      </c>
      <c r="Q482" s="126">
        <f>July!BQ320</f>
        <v>1</v>
      </c>
      <c r="R482" s="436"/>
      <c r="S482" s="436"/>
      <c r="T482" s="18"/>
      <c r="U482" s="18"/>
      <c r="V482" s="127">
        <f t="shared" ref="V482:V494" si="25">O482-T482-U482+V448</f>
        <v>228</v>
      </c>
      <c r="W482" s="45"/>
      <c r="X482" s="67"/>
    </row>
    <row r="483" spans="1:24" ht="15" customHeight="1">
      <c r="A483" s="427"/>
      <c r="B483" s="122" t="s">
        <v>253</v>
      </c>
      <c r="C483" s="180" t="s">
        <v>365</v>
      </c>
      <c r="D483" s="48" t="s">
        <v>246</v>
      </c>
      <c r="E483" s="441"/>
      <c r="F483" s="118" t="s">
        <v>247</v>
      </c>
      <c r="G483" s="226"/>
      <c r="H483" s="126"/>
      <c r="I483" s="160"/>
      <c r="J483" s="2"/>
      <c r="K483" s="18"/>
      <c r="L483" s="18"/>
      <c r="M483" s="18"/>
      <c r="N483" s="18"/>
      <c r="O483" s="126"/>
      <c r="P483" s="126">
        <f>July!BS321</f>
        <v>236</v>
      </c>
      <c r="Q483" s="126">
        <f>July!BQ321</f>
        <v>1</v>
      </c>
      <c r="R483" s="436"/>
      <c r="S483" s="436"/>
      <c r="T483" s="18"/>
      <c r="U483" s="18"/>
      <c r="V483" s="127">
        <f t="shared" si="25"/>
        <v>7138</v>
      </c>
      <c r="W483" s="45"/>
      <c r="X483" s="67"/>
    </row>
    <row r="484" spans="1:24" s="4" customFormat="1" ht="15" customHeight="1">
      <c r="A484" s="427"/>
      <c r="B484" s="122" t="s">
        <v>520</v>
      </c>
      <c r="C484" s="180" t="s">
        <v>521</v>
      </c>
      <c r="D484" s="48" t="s">
        <v>37</v>
      </c>
      <c r="E484" s="441"/>
      <c r="F484" s="48" t="s">
        <v>522</v>
      </c>
      <c r="G484" s="259"/>
      <c r="H484" s="34"/>
      <c r="I484" s="160"/>
      <c r="J484" s="6"/>
      <c r="K484" s="211"/>
      <c r="L484" s="211"/>
      <c r="M484" s="211"/>
      <c r="N484" s="211"/>
      <c r="O484" s="34">
        <f>July!BR322</f>
        <v>309</v>
      </c>
      <c r="P484" s="34">
        <f>July!BS322</f>
        <v>313</v>
      </c>
      <c r="Q484" s="34">
        <f>July!BQ322</f>
        <v>1</v>
      </c>
      <c r="R484" s="436"/>
      <c r="S484" s="436"/>
      <c r="T484" s="211">
        <v>309</v>
      </c>
      <c r="U484" s="211"/>
      <c r="V484" s="216">
        <f t="shared" si="25"/>
        <v>0</v>
      </c>
      <c r="W484" s="260"/>
      <c r="X484" s="67"/>
    </row>
    <row r="485" spans="1:24" ht="15" customHeight="1">
      <c r="A485" s="427"/>
      <c r="B485" s="122" t="s">
        <v>101</v>
      </c>
      <c r="C485" s="180" t="s">
        <v>327</v>
      </c>
      <c r="D485" s="48" t="s">
        <v>102</v>
      </c>
      <c r="E485" s="441"/>
      <c r="F485" s="118" t="s">
        <v>64</v>
      </c>
      <c r="G485" s="119"/>
      <c r="H485" s="126"/>
      <c r="I485" s="160"/>
      <c r="J485" s="2"/>
      <c r="K485" s="18">
        <v>7000</v>
      </c>
      <c r="L485" s="18">
        <v>1</v>
      </c>
      <c r="M485" s="18">
        <v>7000</v>
      </c>
      <c r="N485" s="18">
        <v>1</v>
      </c>
      <c r="O485" s="126"/>
      <c r="P485" s="126">
        <f>July!BS328</f>
        <v>1533</v>
      </c>
      <c r="Q485" s="126">
        <f>July!BQ328</f>
        <v>4</v>
      </c>
      <c r="R485" s="436"/>
      <c r="S485" s="436"/>
      <c r="T485" s="18"/>
      <c r="U485" s="18"/>
      <c r="V485" s="18">
        <f t="shared" si="25"/>
        <v>18659</v>
      </c>
      <c r="W485" s="45"/>
      <c r="X485" s="67"/>
    </row>
    <row r="486" spans="1:24" ht="15" customHeight="1">
      <c r="A486" s="427"/>
      <c r="B486" s="122" t="s">
        <v>366</v>
      </c>
      <c r="C486" s="180" t="s">
        <v>367</v>
      </c>
      <c r="D486" s="48" t="s">
        <v>132</v>
      </c>
      <c r="E486" s="441"/>
      <c r="F486" s="118" t="s">
        <v>64</v>
      </c>
      <c r="G486" s="119"/>
      <c r="H486" s="126"/>
      <c r="I486" s="160"/>
      <c r="J486" s="2"/>
      <c r="K486" s="18"/>
      <c r="L486" s="18"/>
      <c r="M486" s="18"/>
      <c r="N486" s="18"/>
      <c r="O486" s="126">
        <f>July!BR329</f>
        <v>1807</v>
      </c>
      <c r="P486" s="126">
        <f>July!BS329</f>
        <v>689</v>
      </c>
      <c r="Q486" s="126">
        <f>July!BQ329</f>
        <v>2</v>
      </c>
      <c r="R486" s="436"/>
      <c r="S486" s="436"/>
      <c r="T486" s="18"/>
      <c r="U486" s="18"/>
      <c r="V486" s="18">
        <f t="shared" si="25"/>
        <v>11441</v>
      </c>
      <c r="W486" s="45"/>
      <c r="X486" s="67"/>
    </row>
    <row r="487" spans="1:24" ht="15" customHeight="1">
      <c r="A487" s="427"/>
      <c r="B487" s="122" t="s">
        <v>363</v>
      </c>
      <c r="C487" s="180" t="s">
        <v>325</v>
      </c>
      <c r="D487" s="48" t="s">
        <v>328</v>
      </c>
      <c r="E487" s="441"/>
      <c r="F487" s="118" t="s">
        <v>48</v>
      </c>
      <c r="G487" s="226"/>
      <c r="H487" s="126"/>
      <c r="I487" s="160"/>
      <c r="J487" s="2"/>
      <c r="K487" s="18"/>
      <c r="L487" s="18"/>
      <c r="M487" s="18"/>
      <c r="N487" s="18"/>
      <c r="O487" s="126"/>
      <c r="P487" s="126"/>
      <c r="Q487" s="126"/>
      <c r="R487" s="436"/>
      <c r="S487" s="436"/>
      <c r="T487" s="18"/>
      <c r="U487" s="18"/>
      <c r="V487" s="127">
        <f t="shared" si="25"/>
        <v>16454</v>
      </c>
      <c r="W487" s="45"/>
      <c r="X487" s="67"/>
    </row>
    <row r="488" spans="1:24" ht="15" customHeight="1">
      <c r="A488" s="427"/>
      <c r="B488" s="122" t="s">
        <v>107</v>
      </c>
      <c r="C488" s="180" t="s">
        <v>386</v>
      </c>
      <c r="D488" s="48" t="s">
        <v>108</v>
      </c>
      <c r="E488" s="441"/>
      <c r="F488" s="115" t="s">
        <v>48</v>
      </c>
      <c r="G488" s="113"/>
      <c r="H488" s="125"/>
      <c r="I488" s="160"/>
      <c r="J488" s="250"/>
      <c r="K488" s="127"/>
      <c r="L488" s="127"/>
      <c r="M488" s="127">
        <v>13000</v>
      </c>
      <c r="N488" s="127">
        <v>2</v>
      </c>
      <c r="O488" s="125"/>
      <c r="P488" s="125"/>
      <c r="Q488" s="125"/>
      <c r="R488" s="436"/>
      <c r="S488" s="436"/>
      <c r="T488" s="18"/>
      <c r="U488" s="18"/>
      <c r="V488" s="18">
        <f t="shared" si="25"/>
        <v>12765</v>
      </c>
      <c r="W488" s="85"/>
      <c r="X488" s="67"/>
    </row>
    <row r="489" spans="1:24" s="4" customFormat="1" ht="15" customHeight="1">
      <c r="A489" s="427"/>
      <c r="B489" s="268" t="s">
        <v>375</v>
      </c>
      <c r="C489" s="277" t="s">
        <v>376</v>
      </c>
      <c r="D489" s="43" t="s">
        <v>248</v>
      </c>
      <c r="E489" s="441"/>
      <c r="F489" s="43" t="s">
        <v>64</v>
      </c>
      <c r="G489" s="268"/>
      <c r="H489" s="331"/>
      <c r="I489" s="160"/>
      <c r="J489" s="341"/>
      <c r="K489" s="216"/>
      <c r="L489" s="216"/>
      <c r="M489" s="216"/>
      <c r="N489" s="216"/>
      <c r="O489" s="331"/>
      <c r="P489" s="331"/>
      <c r="Q489" s="331"/>
      <c r="R489" s="436"/>
      <c r="S489" s="436"/>
      <c r="T489" s="216"/>
      <c r="U489" s="216"/>
      <c r="V489" s="216">
        <f t="shared" si="25"/>
        <v>75911</v>
      </c>
      <c r="W489" s="260"/>
      <c r="X489" s="67"/>
    </row>
    <row r="490" spans="1:24" s="4" customFormat="1" ht="15" customHeight="1">
      <c r="A490" s="427"/>
      <c r="B490" s="137" t="s">
        <v>421</v>
      </c>
      <c r="C490" s="157" t="s">
        <v>420</v>
      </c>
      <c r="D490" s="48" t="s">
        <v>248</v>
      </c>
      <c r="E490" s="441"/>
      <c r="F490" s="48" t="s">
        <v>64</v>
      </c>
      <c r="G490" s="122"/>
      <c r="H490" s="34"/>
      <c r="I490" s="160"/>
      <c r="J490" s="6"/>
      <c r="K490" s="211"/>
      <c r="L490" s="211"/>
      <c r="M490" s="211">
        <v>46200</v>
      </c>
      <c r="N490" s="211">
        <v>11</v>
      </c>
      <c r="O490" s="34"/>
      <c r="P490" s="34"/>
      <c r="Q490" s="34">
        <f>July!BQ331</f>
        <v>20</v>
      </c>
      <c r="R490" s="436"/>
      <c r="S490" s="436"/>
      <c r="T490" s="211"/>
      <c r="U490" s="211"/>
      <c r="V490" s="211">
        <f t="shared" si="25"/>
        <v>57857</v>
      </c>
      <c r="W490" s="260"/>
      <c r="X490" s="67"/>
    </row>
    <row r="491" spans="1:24" s="4" customFormat="1" ht="15" customHeight="1">
      <c r="A491" s="427"/>
      <c r="B491" s="122" t="s">
        <v>196</v>
      </c>
      <c r="C491" s="180" t="s">
        <v>63</v>
      </c>
      <c r="D491" s="48" t="s">
        <v>135</v>
      </c>
      <c r="E491" s="441"/>
      <c r="F491" s="48" t="s">
        <v>64</v>
      </c>
      <c r="G491" s="122"/>
      <c r="H491" s="34"/>
      <c r="I491" s="160"/>
      <c r="J491" s="6"/>
      <c r="K491" s="211">
        <v>5900</v>
      </c>
      <c r="L491" s="211">
        <v>1</v>
      </c>
      <c r="M491" s="211">
        <v>24000</v>
      </c>
      <c r="N491" s="211">
        <v>4</v>
      </c>
      <c r="O491" s="34"/>
      <c r="P491" s="34">
        <f>July!BS332</f>
        <v>987</v>
      </c>
      <c r="Q491" s="34">
        <f>July!BQ332</f>
        <v>4</v>
      </c>
      <c r="R491" s="436"/>
      <c r="S491" s="436"/>
      <c r="T491" s="211"/>
      <c r="U491" s="211"/>
      <c r="V491" s="211">
        <f t="shared" si="25"/>
        <v>0</v>
      </c>
      <c r="W491" s="260"/>
      <c r="X491" s="67"/>
    </row>
    <row r="492" spans="1:24" s="4" customFormat="1" ht="15" customHeight="1">
      <c r="A492" s="427"/>
      <c r="B492" s="137" t="s">
        <v>289</v>
      </c>
      <c r="C492" s="157" t="s">
        <v>516</v>
      </c>
      <c r="D492" s="48" t="s">
        <v>432</v>
      </c>
      <c r="E492" s="441"/>
      <c r="F492" s="48" t="s">
        <v>515</v>
      </c>
      <c r="G492" s="122"/>
      <c r="H492" s="34"/>
      <c r="I492" s="160"/>
      <c r="J492" s="6"/>
      <c r="K492" s="211"/>
      <c r="L492" s="211"/>
      <c r="M492" s="211"/>
      <c r="N492" s="211"/>
      <c r="O492" s="34"/>
      <c r="P492" s="34">
        <f>July!BS323</f>
        <v>283</v>
      </c>
      <c r="Q492" s="34">
        <f>July!BQ323</f>
        <v>1</v>
      </c>
      <c r="R492" s="436"/>
      <c r="S492" s="436"/>
      <c r="T492" s="211"/>
      <c r="U492" s="211"/>
      <c r="V492" s="211">
        <f t="shared" si="25"/>
        <v>0</v>
      </c>
      <c r="W492" s="260"/>
      <c r="X492" s="67"/>
    </row>
    <row r="493" spans="1:24" s="4" customFormat="1" ht="15" customHeight="1">
      <c r="A493" s="427"/>
      <c r="B493" s="137" t="s">
        <v>289</v>
      </c>
      <c r="C493" s="157" t="s">
        <v>501</v>
      </c>
      <c r="D493" s="48" t="s">
        <v>432</v>
      </c>
      <c r="E493" s="441"/>
      <c r="F493" s="48" t="s">
        <v>502</v>
      </c>
      <c r="G493" s="122"/>
      <c r="H493" s="34"/>
      <c r="I493" s="160"/>
      <c r="J493" s="6"/>
      <c r="K493" s="211"/>
      <c r="L493" s="211"/>
      <c r="M493" s="211">
        <v>6000</v>
      </c>
      <c r="N493" s="211">
        <v>1</v>
      </c>
      <c r="O493" s="34">
        <f>July!BR324</f>
        <v>1000</v>
      </c>
      <c r="P493" s="34">
        <f>July!BS324</f>
        <v>285</v>
      </c>
      <c r="Q493" s="34">
        <f>July!BQ324</f>
        <v>1</v>
      </c>
      <c r="R493" s="436"/>
      <c r="S493" s="436"/>
      <c r="T493" s="211"/>
      <c r="U493" s="211"/>
      <c r="V493" s="211">
        <f t="shared" si="25"/>
        <v>1000</v>
      </c>
      <c r="W493" s="260"/>
      <c r="X493" s="67"/>
    </row>
    <row r="494" spans="1:24" s="4" customFormat="1" ht="15" customHeight="1">
      <c r="A494" s="427"/>
      <c r="B494" s="122" t="s">
        <v>289</v>
      </c>
      <c r="C494" s="157" t="s">
        <v>507</v>
      </c>
      <c r="D494" s="48" t="s">
        <v>432</v>
      </c>
      <c r="E494" s="441"/>
      <c r="F494" s="48" t="s">
        <v>506</v>
      </c>
      <c r="G494" s="366"/>
      <c r="H494" s="34"/>
      <c r="I494" s="160"/>
      <c r="J494" s="6"/>
      <c r="K494" s="211"/>
      <c r="L494" s="211"/>
      <c r="M494" s="211">
        <v>7000</v>
      </c>
      <c r="N494" s="211">
        <v>1</v>
      </c>
      <c r="O494" s="34">
        <f>July!BR325</f>
        <v>1080</v>
      </c>
      <c r="P494" s="34">
        <f>July!BS325</f>
        <v>726</v>
      </c>
      <c r="Q494" s="34">
        <f>July!BQ325</f>
        <v>3</v>
      </c>
      <c r="R494" s="436"/>
      <c r="S494" s="436"/>
      <c r="T494" s="211"/>
      <c r="U494" s="211"/>
      <c r="V494" s="211">
        <f t="shared" si="25"/>
        <v>1080</v>
      </c>
      <c r="W494" s="260"/>
      <c r="X494" s="67"/>
    </row>
    <row r="495" spans="1:24" ht="15" customHeight="1">
      <c r="A495" s="427"/>
      <c r="B495" s="122" t="s">
        <v>103</v>
      </c>
      <c r="C495" s="157" t="s">
        <v>197</v>
      </c>
      <c r="D495" s="48" t="s">
        <v>104</v>
      </c>
      <c r="E495" s="441"/>
      <c r="F495" s="118" t="s">
        <v>105</v>
      </c>
      <c r="G495" s="119"/>
      <c r="H495" s="126"/>
      <c r="I495" s="160"/>
      <c r="J495" s="2"/>
      <c r="K495" s="18"/>
      <c r="L495" s="18"/>
      <c r="M495" s="18"/>
      <c r="N495" s="18"/>
      <c r="O495" s="126"/>
      <c r="P495" s="126"/>
      <c r="Q495" s="126"/>
      <c r="R495" s="436"/>
      <c r="S495" s="436"/>
      <c r="T495" s="18"/>
      <c r="U495" s="18"/>
      <c r="V495" s="18">
        <f>O495-T495-U495+V462</f>
        <v>47</v>
      </c>
      <c r="W495" s="45"/>
      <c r="X495" s="67"/>
    </row>
    <row r="496" spans="1:24" ht="15" customHeight="1" thickBot="1">
      <c r="A496" s="428"/>
      <c r="B496" s="137" t="s">
        <v>112</v>
      </c>
      <c r="C496" s="157" t="s">
        <v>197</v>
      </c>
      <c r="D496" s="48" t="s">
        <v>104</v>
      </c>
      <c r="E496" s="447"/>
      <c r="F496" s="118" t="s">
        <v>113</v>
      </c>
      <c r="G496" s="342"/>
      <c r="H496" s="262"/>
      <c r="I496" s="413"/>
      <c r="J496" s="2"/>
      <c r="K496" s="18"/>
      <c r="L496" s="18"/>
      <c r="M496" s="18"/>
      <c r="N496" s="18"/>
      <c r="O496" s="126"/>
      <c r="P496" s="126"/>
      <c r="Q496" s="126"/>
      <c r="R496" s="437"/>
      <c r="S496" s="437"/>
      <c r="T496" s="18"/>
      <c r="U496" s="264"/>
      <c r="V496" s="18">
        <f>O496-T496-U496+V463</f>
        <v>34</v>
      </c>
      <c r="W496" s="45"/>
      <c r="X496" s="67"/>
    </row>
    <row r="497" spans="1:25" ht="15" hidden="1" customHeight="1">
      <c r="A497" s="426">
        <v>46221</v>
      </c>
      <c r="B497" s="429" t="s">
        <v>44</v>
      </c>
      <c r="C497" s="432" t="s">
        <v>240</v>
      </c>
      <c r="D497" s="19" t="s">
        <v>37</v>
      </c>
      <c r="E497" s="19" t="s">
        <v>25</v>
      </c>
      <c r="F497" s="39" t="s">
        <v>40</v>
      </c>
      <c r="G497" s="41"/>
      <c r="H497" s="32"/>
      <c r="I497" s="409"/>
      <c r="J497" s="32"/>
      <c r="K497" s="20"/>
      <c r="L497" s="20"/>
      <c r="M497" s="20"/>
      <c r="N497" s="84"/>
      <c r="O497" s="32"/>
      <c r="P497" s="32"/>
      <c r="Q497" s="32"/>
      <c r="R497" s="435"/>
      <c r="S497" s="435"/>
      <c r="T497" s="20"/>
      <c r="U497" s="20"/>
      <c r="V497" s="20"/>
      <c r="W497" s="77"/>
      <c r="X497" s="36"/>
    </row>
    <row r="498" spans="1:25" ht="15" hidden="1" customHeight="1">
      <c r="A498" s="427"/>
      <c r="B498" s="430"/>
      <c r="C498" s="433"/>
      <c r="D498" s="113" t="s">
        <v>307</v>
      </c>
      <c r="E498" s="438" t="s">
        <v>24</v>
      </c>
      <c r="F498" s="118" t="s">
        <v>40</v>
      </c>
      <c r="G498" s="38"/>
      <c r="H498" s="126"/>
      <c r="I498" s="160"/>
      <c r="J498" s="125"/>
      <c r="K498" s="127"/>
      <c r="L498" s="127"/>
      <c r="M498" s="216"/>
      <c r="N498" s="238"/>
      <c r="O498" s="126"/>
      <c r="P498" s="125"/>
      <c r="Q498" s="125"/>
      <c r="R498" s="436"/>
      <c r="S498" s="436"/>
      <c r="T498" s="127"/>
      <c r="U498" s="127"/>
      <c r="V498" s="127"/>
      <c r="W498" s="46"/>
      <c r="X498" s="67"/>
    </row>
    <row r="499" spans="1:25" ht="15" hidden="1" customHeight="1">
      <c r="A499" s="427"/>
      <c r="B499" s="431"/>
      <c r="C499" s="434"/>
      <c r="D499" s="113" t="s">
        <v>511</v>
      </c>
      <c r="E499" s="431"/>
      <c r="F499" s="155"/>
      <c r="G499" s="170"/>
      <c r="H499" s="158"/>
      <c r="I499" s="160"/>
      <c r="J499" s="125"/>
      <c r="K499" s="127"/>
      <c r="L499" s="127"/>
      <c r="M499" s="216"/>
      <c r="N499" s="238"/>
      <c r="O499" s="126"/>
      <c r="P499" s="125"/>
      <c r="Q499" s="125"/>
      <c r="R499" s="436"/>
      <c r="S499" s="436"/>
      <c r="T499" s="127"/>
      <c r="U499" s="127"/>
      <c r="V499" s="127"/>
      <c r="W499" s="46"/>
      <c r="X499" s="67"/>
    </row>
    <row r="500" spans="1:25" ht="15" hidden="1" customHeight="1">
      <c r="A500" s="427"/>
      <c r="B500" s="442" t="s">
        <v>45</v>
      </c>
      <c r="C500" s="448" t="s">
        <v>59</v>
      </c>
      <c r="D500" s="118" t="s">
        <v>75</v>
      </c>
      <c r="E500" s="131" t="s">
        <v>25</v>
      </c>
      <c r="F500" s="131" t="s">
        <v>57</v>
      </c>
      <c r="G500" s="87"/>
      <c r="H500" s="152"/>
      <c r="I500" s="160"/>
      <c r="J500" s="2"/>
      <c r="K500" s="127"/>
      <c r="L500" s="18"/>
      <c r="M500" s="18"/>
      <c r="N500" s="80"/>
      <c r="O500" s="126"/>
      <c r="P500" s="126"/>
      <c r="Q500" s="2"/>
      <c r="R500" s="436"/>
      <c r="S500" s="436"/>
      <c r="T500" s="18"/>
      <c r="U500" s="18"/>
      <c r="V500" s="127"/>
      <c r="W500" s="46"/>
      <c r="Y500" s="13"/>
    </row>
    <row r="501" spans="1:25" hidden="1">
      <c r="A501" s="427"/>
      <c r="B501" s="439"/>
      <c r="C501" s="440"/>
      <c r="D501" s="118" t="s">
        <v>72</v>
      </c>
      <c r="E501" s="155" t="s">
        <v>24</v>
      </c>
      <c r="F501" s="131" t="s">
        <v>57</v>
      </c>
      <c r="G501" s="224"/>
      <c r="H501" s="152"/>
      <c r="I501" s="160"/>
      <c r="J501" s="126"/>
      <c r="K501" s="127"/>
      <c r="L501" s="18"/>
      <c r="M501" s="18"/>
      <c r="N501" s="80"/>
      <c r="O501" s="126"/>
      <c r="P501" s="126"/>
      <c r="Q501" s="126"/>
      <c r="R501" s="436"/>
      <c r="S501" s="436"/>
      <c r="T501" s="18"/>
      <c r="U501" s="18"/>
      <c r="V501" s="127"/>
      <c r="W501" s="46"/>
      <c r="Y501" s="13"/>
    </row>
    <row r="502" spans="1:25" ht="14.25" hidden="1" customHeight="1">
      <c r="A502" s="427"/>
      <c r="B502" s="439"/>
      <c r="C502" s="449"/>
      <c r="D502" s="115" t="s">
        <v>79</v>
      </c>
      <c r="E502" s="118" t="s">
        <v>65</v>
      </c>
      <c r="F502" s="131" t="s">
        <v>57</v>
      </c>
      <c r="G502" s="224"/>
      <c r="H502" s="126"/>
      <c r="I502" s="160"/>
      <c r="J502" s="126"/>
      <c r="K502" s="18"/>
      <c r="L502" s="18"/>
      <c r="M502" s="18"/>
      <c r="N502" s="80"/>
      <c r="O502" s="126"/>
      <c r="P502" s="126"/>
      <c r="Q502" s="126"/>
      <c r="R502" s="436"/>
      <c r="S502" s="436"/>
      <c r="T502" s="18"/>
      <c r="U502" s="18"/>
      <c r="V502" s="127"/>
      <c r="W502" s="45"/>
      <c r="X502" s="36"/>
    </row>
    <row r="503" spans="1:25" ht="14.25" hidden="1" customHeight="1">
      <c r="A503" s="427"/>
      <c r="B503" s="443"/>
      <c r="C503" s="271" t="s">
        <v>299</v>
      </c>
      <c r="D503" s="115" t="s">
        <v>75</v>
      </c>
      <c r="E503" s="119" t="s">
        <v>25</v>
      </c>
      <c r="F503" s="131" t="s">
        <v>298</v>
      </c>
      <c r="G503" s="229"/>
      <c r="H503" s="37"/>
      <c r="I503" s="160"/>
      <c r="J503" s="126"/>
      <c r="K503" s="18"/>
      <c r="L503" s="18"/>
      <c r="M503" s="18"/>
      <c r="N503" s="80"/>
      <c r="O503" s="126"/>
      <c r="P503" s="126"/>
      <c r="Q503" s="126"/>
      <c r="R503" s="436"/>
      <c r="S503" s="436"/>
      <c r="T503" s="18"/>
      <c r="U503" s="18"/>
      <c r="V503" s="127"/>
      <c r="W503" s="45"/>
      <c r="X503" s="67"/>
    </row>
    <row r="504" spans="1:25" ht="14.25" hidden="1" customHeight="1">
      <c r="A504" s="427"/>
      <c r="B504" s="442" t="s">
        <v>53</v>
      </c>
      <c r="C504" s="444" t="s">
        <v>60</v>
      </c>
      <c r="D504" s="43" t="s">
        <v>320</v>
      </c>
      <c r="E504" s="424" t="s">
        <v>66</v>
      </c>
      <c r="F504" s="118" t="s">
        <v>54</v>
      </c>
      <c r="G504" s="224"/>
      <c r="H504" s="37"/>
      <c r="I504" s="160"/>
      <c r="J504" s="126"/>
      <c r="K504" s="18"/>
      <c r="L504" s="18"/>
      <c r="M504" s="18"/>
      <c r="N504" s="80"/>
      <c r="O504" s="126"/>
      <c r="P504" s="126"/>
      <c r="Q504" s="126"/>
      <c r="R504" s="436"/>
      <c r="S504" s="436"/>
      <c r="T504" s="18"/>
      <c r="U504" s="18"/>
      <c r="V504" s="127"/>
      <c r="W504" s="45"/>
      <c r="X504" s="67"/>
    </row>
    <row r="505" spans="1:25" ht="14.25" hidden="1" customHeight="1">
      <c r="A505" s="427"/>
      <c r="B505" s="439"/>
      <c r="C505" s="445"/>
      <c r="D505" s="43" t="s">
        <v>387</v>
      </c>
      <c r="E505" s="425"/>
      <c r="F505" s="118" t="s">
        <v>54</v>
      </c>
      <c r="G505" s="229"/>
      <c r="H505" s="182"/>
      <c r="I505" s="160"/>
      <c r="J505" s="125"/>
      <c r="K505" s="127"/>
      <c r="L505" s="127"/>
      <c r="M505" s="127"/>
      <c r="N505" s="171"/>
      <c r="O505" s="125"/>
      <c r="P505" s="125"/>
      <c r="Q505" s="125"/>
      <c r="R505" s="436"/>
      <c r="S505" s="436"/>
      <c r="T505" s="18"/>
      <c r="U505" s="18"/>
      <c r="V505" s="127"/>
      <c r="W505" s="45"/>
      <c r="X505" s="67"/>
    </row>
    <row r="506" spans="1:25" ht="14.25" hidden="1" customHeight="1">
      <c r="A506" s="427"/>
      <c r="B506" s="443"/>
      <c r="C506" s="446"/>
      <c r="D506" s="43" t="s">
        <v>199</v>
      </c>
      <c r="E506" s="114" t="s">
        <v>25</v>
      </c>
      <c r="F506" s="118" t="s">
        <v>54</v>
      </c>
      <c r="G506" s="224"/>
      <c r="H506" s="135"/>
      <c r="I506" s="160"/>
      <c r="J506" s="158"/>
      <c r="K506" s="128"/>
      <c r="L506" s="128"/>
      <c r="M506" s="128"/>
      <c r="N506" s="164"/>
      <c r="O506" s="158"/>
      <c r="P506" s="158"/>
      <c r="Q506" s="158"/>
      <c r="R506" s="436"/>
      <c r="S506" s="436"/>
      <c r="T506" s="18"/>
      <c r="U506" s="18"/>
      <c r="V506" s="127"/>
      <c r="W506" s="45"/>
      <c r="X506" s="67"/>
    </row>
    <row r="507" spans="1:25" ht="15.75" hidden="1" customHeight="1">
      <c r="A507" s="427"/>
      <c r="B507" s="137" t="s">
        <v>55</v>
      </c>
      <c r="C507" s="157" t="s">
        <v>133</v>
      </c>
      <c r="D507" s="48" t="s">
        <v>56</v>
      </c>
      <c r="E507" s="424" t="s">
        <v>25</v>
      </c>
      <c r="F507" s="118" t="s">
        <v>67</v>
      </c>
      <c r="G507" s="226"/>
      <c r="H507" s="126"/>
      <c r="I507" s="160"/>
      <c r="J507" s="2"/>
      <c r="K507" s="18"/>
      <c r="L507" s="18"/>
      <c r="M507" s="18"/>
      <c r="N507" s="18"/>
      <c r="O507" s="126"/>
      <c r="P507" s="126"/>
      <c r="Q507" s="126"/>
      <c r="R507" s="436"/>
      <c r="S507" s="436"/>
      <c r="T507" s="18"/>
      <c r="U507" s="18"/>
      <c r="V507" s="127"/>
      <c r="W507" s="45"/>
      <c r="X507" s="67"/>
    </row>
    <row r="508" spans="1:25" ht="15" hidden="1" customHeight="1">
      <c r="A508" s="427"/>
      <c r="B508" s="122" t="s">
        <v>122</v>
      </c>
      <c r="C508" s="180" t="s">
        <v>123</v>
      </c>
      <c r="D508" s="48" t="s">
        <v>56</v>
      </c>
      <c r="E508" s="441"/>
      <c r="F508" s="155" t="s">
        <v>64</v>
      </c>
      <c r="G508" s="119"/>
      <c r="H508" s="126"/>
      <c r="I508" s="160"/>
      <c r="J508" s="2"/>
      <c r="K508" s="18"/>
      <c r="L508" s="18"/>
      <c r="M508" s="18"/>
      <c r="N508" s="18"/>
      <c r="O508" s="126"/>
      <c r="P508" s="126"/>
      <c r="Q508" s="126"/>
      <c r="R508" s="436"/>
      <c r="S508" s="436"/>
      <c r="T508" s="18"/>
      <c r="U508" s="18"/>
      <c r="V508" s="127"/>
      <c r="W508" s="45"/>
      <c r="X508" s="67"/>
    </row>
    <row r="509" spans="1:25" ht="14.25" hidden="1" customHeight="1">
      <c r="A509" s="427"/>
      <c r="B509" s="137" t="s">
        <v>58</v>
      </c>
      <c r="C509" s="157" t="s">
        <v>243</v>
      </c>
      <c r="D509" s="48" t="s">
        <v>56</v>
      </c>
      <c r="E509" s="441"/>
      <c r="F509" s="118" t="s">
        <v>64</v>
      </c>
      <c r="G509" s="225"/>
      <c r="H509" s="126"/>
      <c r="I509" s="160"/>
      <c r="J509" s="126"/>
      <c r="K509" s="18"/>
      <c r="L509" s="18"/>
      <c r="M509" s="18"/>
      <c r="N509" s="80"/>
      <c r="O509" s="126"/>
      <c r="P509" s="126"/>
      <c r="Q509" s="126"/>
      <c r="R509" s="436"/>
      <c r="S509" s="436"/>
      <c r="T509" s="18"/>
      <c r="U509" s="18"/>
      <c r="V509" s="127"/>
      <c r="W509" s="45"/>
      <c r="X509" s="67"/>
    </row>
    <row r="510" spans="1:25" ht="14.25" hidden="1" customHeight="1">
      <c r="A510" s="427"/>
      <c r="B510" s="122" t="s">
        <v>61</v>
      </c>
      <c r="C510" s="180" t="s">
        <v>137</v>
      </c>
      <c r="D510" s="48" t="s">
        <v>56</v>
      </c>
      <c r="E510" s="441"/>
      <c r="F510" s="118" t="s">
        <v>67</v>
      </c>
      <c r="G510" s="225"/>
      <c r="H510" s="126"/>
      <c r="I510" s="160"/>
      <c r="J510" s="126"/>
      <c r="K510" s="18"/>
      <c r="L510" s="18"/>
      <c r="M510" s="18"/>
      <c r="N510" s="80"/>
      <c r="O510" s="126"/>
      <c r="P510" s="126"/>
      <c r="Q510" s="126"/>
      <c r="R510" s="436"/>
      <c r="S510" s="436"/>
      <c r="T510" s="18"/>
      <c r="U510" s="18"/>
      <c r="V510" s="127"/>
      <c r="W510" s="45"/>
      <c r="X510" s="67"/>
    </row>
    <row r="511" spans="1:25" ht="14.25" hidden="1" customHeight="1">
      <c r="A511" s="427"/>
      <c r="B511" s="122" t="s">
        <v>125</v>
      </c>
      <c r="C511" s="180" t="s">
        <v>88</v>
      </c>
      <c r="D511" s="48" t="s">
        <v>124</v>
      </c>
      <c r="E511" s="441"/>
      <c r="F511" s="118" t="s">
        <v>64</v>
      </c>
      <c r="G511" s="225"/>
      <c r="H511" s="126"/>
      <c r="I511" s="160"/>
      <c r="J511" s="126"/>
      <c r="K511" s="18"/>
      <c r="L511" s="18"/>
      <c r="M511" s="18"/>
      <c r="N511" s="80"/>
      <c r="O511" s="126"/>
      <c r="P511" s="126"/>
      <c r="Q511" s="126"/>
      <c r="R511" s="436"/>
      <c r="S511" s="436"/>
      <c r="T511" s="18"/>
      <c r="U511" s="18"/>
      <c r="V511" s="127"/>
      <c r="W511" s="45"/>
      <c r="X511" s="67"/>
    </row>
    <row r="512" spans="1:25" ht="14.25" hidden="1" customHeight="1">
      <c r="A512" s="427"/>
      <c r="B512" s="137" t="s">
        <v>463</v>
      </c>
      <c r="C512" s="157" t="s">
        <v>464</v>
      </c>
      <c r="D512" s="48" t="s">
        <v>246</v>
      </c>
      <c r="E512" s="441"/>
      <c r="F512" s="118" t="s">
        <v>64</v>
      </c>
      <c r="G512" s="225"/>
      <c r="H512" s="126"/>
      <c r="I512" s="160"/>
      <c r="J512" s="126"/>
      <c r="K512" s="18"/>
      <c r="L512" s="18"/>
      <c r="M512" s="18"/>
      <c r="N512" s="80"/>
      <c r="O512" s="126"/>
      <c r="P512" s="126"/>
      <c r="Q512" s="126"/>
      <c r="R512" s="436"/>
      <c r="S512" s="436"/>
      <c r="T512" s="18"/>
      <c r="U512" s="18"/>
      <c r="V512" s="127"/>
      <c r="W512" s="45"/>
      <c r="X512" s="67"/>
    </row>
    <row r="513" spans="1:24" ht="14.25" hidden="1" customHeight="1">
      <c r="A513" s="427"/>
      <c r="B513" s="137" t="s">
        <v>47</v>
      </c>
      <c r="C513" s="157" t="s">
        <v>100</v>
      </c>
      <c r="D513" s="48" t="s">
        <v>458</v>
      </c>
      <c r="E513" s="441"/>
      <c r="F513" s="118" t="s">
        <v>71</v>
      </c>
      <c r="G513" s="225"/>
      <c r="H513" s="126"/>
      <c r="I513" s="160"/>
      <c r="J513" s="126"/>
      <c r="K513" s="18"/>
      <c r="L513" s="18"/>
      <c r="M513" s="18"/>
      <c r="N513" s="80"/>
      <c r="O513" s="126"/>
      <c r="P513" s="126"/>
      <c r="Q513" s="126"/>
      <c r="R513" s="436"/>
      <c r="S513" s="436"/>
      <c r="T513" s="18"/>
      <c r="U513" s="18"/>
      <c r="V513" s="127"/>
      <c r="W513" s="45"/>
      <c r="X513" s="67"/>
    </row>
    <row r="514" spans="1:24" ht="14.25" hidden="1" customHeight="1">
      <c r="A514" s="427"/>
      <c r="B514" s="137" t="s">
        <v>47</v>
      </c>
      <c r="C514" s="157" t="s">
        <v>457</v>
      </c>
      <c r="D514" s="48" t="s">
        <v>458</v>
      </c>
      <c r="E514" s="441"/>
      <c r="F514" s="118" t="s">
        <v>459</v>
      </c>
      <c r="G514" s="225"/>
      <c r="H514" s="126"/>
      <c r="I514" s="160"/>
      <c r="J514" s="126"/>
      <c r="K514" s="18"/>
      <c r="L514" s="18"/>
      <c r="M514" s="18"/>
      <c r="N514" s="80"/>
      <c r="O514" s="126"/>
      <c r="P514" s="126"/>
      <c r="Q514" s="126"/>
      <c r="R514" s="436"/>
      <c r="S514" s="436"/>
      <c r="T514" s="18"/>
      <c r="U514" s="18"/>
      <c r="V514" s="127"/>
      <c r="W514" s="45"/>
      <c r="X514" s="67"/>
    </row>
    <row r="515" spans="1:24" ht="15" hidden="1" customHeight="1">
      <c r="A515" s="427"/>
      <c r="B515" s="122" t="s">
        <v>196</v>
      </c>
      <c r="C515" s="180" t="s">
        <v>63</v>
      </c>
      <c r="D515" s="48" t="s">
        <v>135</v>
      </c>
      <c r="E515" s="441"/>
      <c r="F515" s="118" t="s">
        <v>64</v>
      </c>
      <c r="G515" s="226"/>
      <c r="H515" s="126"/>
      <c r="I515" s="160"/>
      <c r="J515" s="2"/>
      <c r="K515" s="18"/>
      <c r="L515" s="18"/>
      <c r="M515" s="18"/>
      <c r="N515" s="18"/>
      <c r="O515" s="126"/>
      <c r="P515" s="126"/>
      <c r="Q515" s="126"/>
      <c r="R515" s="436"/>
      <c r="S515" s="436"/>
      <c r="T515" s="18"/>
      <c r="U515" s="18"/>
      <c r="V515" s="127"/>
      <c r="W515" s="45"/>
      <c r="X515" s="67"/>
    </row>
    <row r="516" spans="1:24" ht="15" hidden="1" customHeight="1">
      <c r="A516" s="427"/>
      <c r="B516" s="122" t="s">
        <v>253</v>
      </c>
      <c r="C516" s="180" t="s">
        <v>365</v>
      </c>
      <c r="D516" s="48" t="s">
        <v>246</v>
      </c>
      <c r="E516" s="441"/>
      <c r="F516" s="118" t="s">
        <v>247</v>
      </c>
      <c r="G516" s="226"/>
      <c r="H516" s="126"/>
      <c r="I516" s="160"/>
      <c r="J516" s="2"/>
      <c r="K516" s="18"/>
      <c r="L516" s="18"/>
      <c r="M516" s="18"/>
      <c r="N516" s="18"/>
      <c r="O516" s="126"/>
      <c r="P516" s="126"/>
      <c r="Q516" s="126"/>
      <c r="R516" s="436"/>
      <c r="S516" s="436"/>
      <c r="T516" s="18"/>
      <c r="U516" s="18"/>
      <c r="V516" s="127"/>
      <c r="W516" s="45"/>
      <c r="X516" s="67"/>
    </row>
    <row r="517" spans="1:24" s="4" customFormat="1" ht="15" hidden="1" customHeight="1">
      <c r="A517" s="427"/>
      <c r="B517" s="122" t="s">
        <v>520</v>
      </c>
      <c r="C517" s="180" t="s">
        <v>521</v>
      </c>
      <c r="D517" s="48" t="s">
        <v>37</v>
      </c>
      <c r="E517" s="441"/>
      <c r="F517" s="48" t="s">
        <v>522</v>
      </c>
      <c r="G517" s="259"/>
      <c r="H517" s="34"/>
      <c r="I517" s="160"/>
      <c r="J517" s="6"/>
      <c r="K517" s="211"/>
      <c r="L517" s="211"/>
      <c r="M517" s="211"/>
      <c r="N517" s="211"/>
      <c r="O517" s="34"/>
      <c r="P517" s="34"/>
      <c r="Q517" s="34"/>
      <c r="R517" s="436"/>
      <c r="S517" s="436"/>
      <c r="T517" s="211"/>
      <c r="U517" s="211"/>
      <c r="V517" s="216"/>
      <c r="W517" s="260"/>
      <c r="X517" s="67"/>
    </row>
    <row r="518" spans="1:24" ht="15" hidden="1" customHeight="1">
      <c r="A518" s="427"/>
      <c r="B518" s="122" t="s">
        <v>101</v>
      </c>
      <c r="C518" s="180" t="s">
        <v>327</v>
      </c>
      <c r="D518" s="48" t="s">
        <v>102</v>
      </c>
      <c r="E518" s="441"/>
      <c r="F518" s="118" t="s">
        <v>64</v>
      </c>
      <c r="G518" s="119"/>
      <c r="H518" s="126"/>
      <c r="I518" s="160"/>
      <c r="J518" s="2"/>
      <c r="K518" s="18"/>
      <c r="L518" s="18"/>
      <c r="M518" s="18"/>
      <c r="N518" s="18"/>
      <c r="O518" s="126"/>
      <c r="P518" s="126"/>
      <c r="Q518" s="126"/>
      <c r="R518" s="436"/>
      <c r="S518" s="436"/>
      <c r="T518" s="18"/>
      <c r="U518" s="18"/>
      <c r="V518" s="18"/>
      <c r="W518" s="45"/>
      <c r="X518" s="67"/>
    </row>
    <row r="519" spans="1:24" ht="15" hidden="1" customHeight="1">
      <c r="A519" s="427"/>
      <c r="B519" s="122" t="s">
        <v>366</v>
      </c>
      <c r="C519" s="180" t="s">
        <v>367</v>
      </c>
      <c r="D519" s="48" t="s">
        <v>132</v>
      </c>
      <c r="E519" s="441"/>
      <c r="F519" s="118" t="s">
        <v>64</v>
      </c>
      <c r="G519" s="119"/>
      <c r="H519" s="126"/>
      <c r="I519" s="160"/>
      <c r="J519" s="2"/>
      <c r="K519" s="18"/>
      <c r="L519" s="18"/>
      <c r="M519" s="18"/>
      <c r="N519" s="18"/>
      <c r="O519" s="126"/>
      <c r="P519" s="126"/>
      <c r="Q519" s="126"/>
      <c r="R519" s="436"/>
      <c r="S519" s="436"/>
      <c r="T519" s="18"/>
      <c r="U519" s="18"/>
      <c r="V519" s="18"/>
      <c r="W519" s="45"/>
      <c r="X519" s="67"/>
    </row>
    <row r="520" spans="1:24" ht="15" hidden="1" customHeight="1">
      <c r="A520" s="427"/>
      <c r="B520" s="122" t="s">
        <v>363</v>
      </c>
      <c r="C520" s="180" t="s">
        <v>325</v>
      </c>
      <c r="D520" s="48" t="s">
        <v>328</v>
      </c>
      <c r="E520" s="441"/>
      <c r="F520" s="118" t="s">
        <v>48</v>
      </c>
      <c r="G520" s="226"/>
      <c r="H520" s="126"/>
      <c r="I520" s="160"/>
      <c r="J520" s="2"/>
      <c r="K520" s="18"/>
      <c r="L520" s="18"/>
      <c r="M520" s="18"/>
      <c r="N520" s="18"/>
      <c r="O520" s="126"/>
      <c r="P520" s="126"/>
      <c r="Q520" s="126"/>
      <c r="R520" s="436"/>
      <c r="S520" s="436"/>
      <c r="T520" s="18"/>
      <c r="U520" s="18"/>
      <c r="V520" s="127"/>
      <c r="W520" s="45"/>
      <c r="X520" s="67"/>
    </row>
    <row r="521" spans="1:24" ht="15" hidden="1" customHeight="1">
      <c r="A521" s="427"/>
      <c r="B521" s="122" t="s">
        <v>107</v>
      </c>
      <c r="C521" s="180" t="s">
        <v>386</v>
      </c>
      <c r="D521" s="48" t="s">
        <v>108</v>
      </c>
      <c r="E521" s="441"/>
      <c r="F521" s="115" t="s">
        <v>48</v>
      </c>
      <c r="G521" s="113"/>
      <c r="H521" s="125"/>
      <c r="I521" s="160"/>
      <c r="J521" s="250"/>
      <c r="K521" s="127"/>
      <c r="L521" s="127"/>
      <c r="M521" s="127"/>
      <c r="N521" s="127"/>
      <c r="O521" s="125"/>
      <c r="P521" s="125"/>
      <c r="Q521" s="125"/>
      <c r="R521" s="436"/>
      <c r="S521" s="436"/>
      <c r="T521" s="18"/>
      <c r="U521" s="18"/>
      <c r="V521" s="18"/>
      <c r="W521" s="85"/>
      <c r="X521" s="67"/>
    </row>
    <row r="522" spans="1:24" s="4" customFormat="1" ht="15" hidden="1" customHeight="1">
      <c r="A522" s="427"/>
      <c r="B522" s="268" t="s">
        <v>375</v>
      </c>
      <c r="C522" s="277" t="s">
        <v>376</v>
      </c>
      <c r="D522" s="43" t="s">
        <v>248</v>
      </c>
      <c r="E522" s="441"/>
      <c r="F522" s="43" t="s">
        <v>64</v>
      </c>
      <c r="G522" s="268"/>
      <c r="H522" s="331"/>
      <c r="I522" s="160"/>
      <c r="J522" s="341"/>
      <c r="K522" s="216"/>
      <c r="L522" s="216"/>
      <c r="M522" s="216"/>
      <c r="N522" s="216"/>
      <c r="O522" s="331"/>
      <c r="P522" s="331"/>
      <c r="Q522" s="331"/>
      <c r="R522" s="436"/>
      <c r="S522" s="436"/>
      <c r="T522" s="216"/>
      <c r="U522" s="216"/>
      <c r="V522" s="216"/>
      <c r="W522" s="260"/>
      <c r="X522" s="67"/>
    </row>
    <row r="523" spans="1:24" s="4" customFormat="1" ht="15" hidden="1" customHeight="1">
      <c r="A523" s="427"/>
      <c r="B523" s="137" t="s">
        <v>421</v>
      </c>
      <c r="C523" s="157" t="s">
        <v>420</v>
      </c>
      <c r="D523" s="48" t="s">
        <v>248</v>
      </c>
      <c r="E523" s="441"/>
      <c r="F523" s="48" t="s">
        <v>64</v>
      </c>
      <c r="G523" s="122"/>
      <c r="H523" s="34"/>
      <c r="I523" s="160"/>
      <c r="J523" s="6"/>
      <c r="K523" s="211"/>
      <c r="L523" s="211"/>
      <c r="M523" s="211"/>
      <c r="N523" s="211"/>
      <c r="O523" s="34"/>
      <c r="P523" s="34"/>
      <c r="Q523" s="34"/>
      <c r="R523" s="436"/>
      <c r="S523" s="436"/>
      <c r="T523" s="211"/>
      <c r="U523" s="211"/>
      <c r="V523" s="211"/>
      <c r="W523" s="260"/>
      <c r="X523" s="67"/>
    </row>
    <row r="524" spans="1:24" s="4" customFormat="1" ht="15" hidden="1" customHeight="1">
      <c r="A524" s="427"/>
      <c r="B524" s="122" t="s">
        <v>196</v>
      </c>
      <c r="C524" s="180" t="s">
        <v>63</v>
      </c>
      <c r="D524" s="48" t="s">
        <v>135</v>
      </c>
      <c r="E524" s="441"/>
      <c r="F524" s="48" t="s">
        <v>64</v>
      </c>
      <c r="G524" s="122"/>
      <c r="H524" s="34"/>
      <c r="I524" s="160"/>
      <c r="J524" s="6"/>
      <c r="K524" s="211"/>
      <c r="L524" s="211"/>
      <c r="M524" s="211"/>
      <c r="N524" s="211"/>
      <c r="O524" s="34"/>
      <c r="P524" s="34"/>
      <c r="Q524" s="34"/>
      <c r="R524" s="436"/>
      <c r="S524" s="436"/>
      <c r="T524" s="211"/>
      <c r="U524" s="211"/>
      <c r="V524" s="211"/>
      <c r="W524" s="260"/>
      <c r="X524" s="67"/>
    </row>
    <row r="525" spans="1:24" s="4" customFormat="1" ht="15" hidden="1" customHeight="1">
      <c r="A525" s="427"/>
      <c r="B525" s="137" t="s">
        <v>289</v>
      </c>
      <c r="C525" s="157" t="s">
        <v>516</v>
      </c>
      <c r="D525" s="48" t="s">
        <v>432</v>
      </c>
      <c r="E525" s="441"/>
      <c r="F525" s="48" t="s">
        <v>515</v>
      </c>
      <c r="G525" s="122"/>
      <c r="H525" s="34"/>
      <c r="I525" s="160"/>
      <c r="J525" s="6"/>
      <c r="K525" s="211"/>
      <c r="L525" s="211"/>
      <c r="M525" s="211"/>
      <c r="N525" s="211"/>
      <c r="O525" s="34"/>
      <c r="P525" s="34"/>
      <c r="Q525" s="34"/>
      <c r="R525" s="436"/>
      <c r="S525" s="436"/>
      <c r="T525" s="211"/>
      <c r="U525" s="211"/>
      <c r="V525" s="211"/>
      <c r="W525" s="260"/>
      <c r="X525" s="67"/>
    </row>
    <row r="526" spans="1:24" s="4" customFormat="1" ht="15" hidden="1" customHeight="1">
      <c r="A526" s="427"/>
      <c r="B526" s="137" t="s">
        <v>289</v>
      </c>
      <c r="C526" s="157" t="s">
        <v>501</v>
      </c>
      <c r="D526" s="48" t="s">
        <v>432</v>
      </c>
      <c r="E526" s="441"/>
      <c r="F526" s="48" t="s">
        <v>502</v>
      </c>
      <c r="G526" s="122"/>
      <c r="H526" s="34"/>
      <c r="I526" s="160"/>
      <c r="J526" s="6"/>
      <c r="K526" s="211"/>
      <c r="L526" s="211"/>
      <c r="M526" s="211"/>
      <c r="N526" s="211"/>
      <c r="O526" s="34"/>
      <c r="P526" s="34"/>
      <c r="Q526" s="34"/>
      <c r="R526" s="436"/>
      <c r="S526" s="436"/>
      <c r="T526" s="211"/>
      <c r="U526" s="211"/>
      <c r="V526" s="211"/>
      <c r="W526" s="260"/>
      <c r="X526" s="67"/>
    </row>
    <row r="527" spans="1:24" s="4" customFormat="1" ht="15" hidden="1" customHeight="1">
      <c r="A527" s="427"/>
      <c r="B527" s="122" t="s">
        <v>289</v>
      </c>
      <c r="C527" s="157" t="s">
        <v>507</v>
      </c>
      <c r="D527" s="48" t="s">
        <v>432</v>
      </c>
      <c r="E527" s="441"/>
      <c r="F527" s="48" t="s">
        <v>506</v>
      </c>
      <c r="G527" s="366"/>
      <c r="H527" s="34"/>
      <c r="I527" s="160"/>
      <c r="J527" s="6"/>
      <c r="K527" s="211"/>
      <c r="L527" s="211"/>
      <c r="M527" s="211"/>
      <c r="N527" s="211"/>
      <c r="O527" s="34"/>
      <c r="P527" s="34"/>
      <c r="Q527" s="34"/>
      <c r="R527" s="436"/>
      <c r="S527" s="436"/>
      <c r="T527" s="211"/>
      <c r="U527" s="211"/>
      <c r="V527" s="211"/>
      <c r="W527" s="260"/>
      <c r="X527" s="67"/>
    </row>
    <row r="528" spans="1:24" ht="15" hidden="1" customHeight="1">
      <c r="A528" s="427"/>
      <c r="B528" s="122" t="s">
        <v>103</v>
      </c>
      <c r="C528" s="157" t="s">
        <v>197</v>
      </c>
      <c r="D528" s="48" t="s">
        <v>104</v>
      </c>
      <c r="E528" s="441"/>
      <c r="F528" s="118" t="s">
        <v>105</v>
      </c>
      <c r="G528" s="119"/>
      <c r="H528" s="126"/>
      <c r="I528" s="160"/>
      <c r="J528" s="2"/>
      <c r="K528" s="18"/>
      <c r="L528" s="18"/>
      <c r="M528" s="18"/>
      <c r="N528" s="18"/>
      <c r="O528" s="126"/>
      <c r="P528" s="126"/>
      <c r="Q528" s="126"/>
      <c r="R528" s="436"/>
      <c r="S528" s="436"/>
      <c r="T528" s="18"/>
      <c r="U528" s="18"/>
      <c r="V528" s="18"/>
      <c r="W528" s="45"/>
      <c r="X528" s="67"/>
    </row>
    <row r="529" spans="1:30" ht="15" hidden="1" customHeight="1" thickBot="1">
      <c r="A529" s="428"/>
      <c r="B529" s="137" t="s">
        <v>112</v>
      </c>
      <c r="C529" s="157" t="s">
        <v>197</v>
      </c>
      <c r="D529" s="48" t="s">
        <v>104</v>
      </c>
      <c r="E529" s="447"/>
      <c r="F529" s="118" t="s">
        <v>113</v>
      </c>
      <c r="G529" s="342"/>
      <c r="H529" s="262"/>
      <c r="I529" s="413"/>
      <c r="J529" s="2"/>
      <c r="K529" s="18"/>
      <c r="L529" s="18"/>
      <c r="M529" s="18"/>
      <c r="N529" s="18"/>
      <c r="O529" s="126"/>
      <c r="P529" s="126"/>
      <c r="Q529" s="126"/>
      <c r="R529" s="437"/>
      <c r="S529" s="437"/>
      <c r="T529" s="18"/>
      <c r="U529" s="264"/>
      <c r="V529" s="18"/>
      <c r="W529" s="45"/>
      <c r="X529" s="67"/>
    </row>
    <row r="530" spans="1:30" ht="17.25" customHeight="1">
      <c r="A530" s="450" t="s">
        <v>497</v>
      </c>
      <c r="B530" s="429" t="s">
        <v>44</v>
      </c>
      <c r="C530" s="432" t="s">
        <v>241</v>
      </c>
      <c r="D530" s="19" t="s">
        <v>37</v>
      </c>
      <c r="E530" s="19" t="s">
        <v>25</v>
      </c>
      <c r="F530" s="39" t="s">
        <v>40</v>
      </c>
      <c r="G530" s="120">
        <f>SUMIFS($G$4:$G$529,$D$4:$D$529,"SC-1020",$F$4:$F$529,"65""")</f>
        <v>76382.33</v>
      </c>
      <c r="H530" s="194">
        <f>SUMIF($D$4:$D$529,"SC-1020",$H$4:$H$529)</f>
        <v>60432</v>
      </c>
      <c r="I530" s="482">
        <f>SUM(I4:I529)</f>
        <v>612</v>
      </c>
      <c r="J530" s="478">
        <f>SUM(J4:J529)</f>
        <v>22.5</v>
      </c>
      <c r="K530" s="30">
        <f>SUMIFS($K$4:$K$529,$D$4:$D$529,"SC-1020",$F$4:$F$529,"65""")</f>
        <v>876000</v>
      </c>
      <c r="L530" s="30">
        <f>SUMIFS($L$4:$L$529,$D$4:$D$529,"SC-1020",$F$4:$F$529,"65""")</f>
        <v>110</v>
      </c>
      <c r="M530" s="30">
        <v>383400</v>
      </c>
      <c r="N530" s="30">
        <v>49</v>
      </c>
      <c r="O530" s="30">
        <f>SUMIFS($O$4:$O$529,$D$4:$D$529,"SC-1020",$F$4:$F$529,"65""")</f>
        <v>870624</v>
      </c>
      <c r="P530" s="30">
        <f>SUMIFS($P$4:$P$529,$D$4:$D$529,"SC-1020",$F$4:$F$529,"65""")</f>
        <v>884139</v>
      </c>
      <c r="Q530" s="30"/>
      <c r="R530" s="453">
        <f>SUM(R4:R529)</f>
        <v>1256946</v>
      </c>
      <c r="S530" s="453">
        <f>SUM(S4:S529)</f>
        <v>1249361</v>
      </c>
      <c r="T530" s="208">
        <f>SUMIFS($T$4:$T$529,$D$4:$D$529,"SC-1020",$F$4:$F$529,"65""")</f>
        <v>956487</v>
      </c>
      <c r="U530" s="194">
        <f>SUMIFS($U$4:$U$529,$D$4:$D$529,"SC-1020",$F$4:$F$529,"65""")</f>
        <v>272</v>
      </c>
      <c r="V530" s="208">
        <f>V464</f>
        <v>59555</v>
      </c>
      <c r="W530" s="19"/>
    </row>
    <row r="531" spans="1:30" ht="17.25" customHeight="1">
      <c r="A531" s="451"/>
      <c r="B531" s="430"/>
      <c r="C531" s="433"/>
      <c r="D531" s="119" t="s">
        <v>307</v>
      </c>
      <c r="E531" s="424" t="s">
        <v>24</v>
      </c>
      <c r="F531" s="118" t="s">
        <v>40</v>
      </c>
      <c r="G531" s="47">
        <f>SUMIF($D$4:$D$529,"011-5",$G$4:$G$529)</f>
        <v>4907.05</v>
      </c>
      <c r="H531" s="183">
        <f>SUMIF($D$4:$D$529,"011-5",$H$4:$H$529)</f>
        <v>5467.5</v>
      </c>
      <c r="I531" s="482"/>
      <c r="J531" s="479"/>
      <c r="K531" s="12">
        <f>SUMIFS($K$4:$K$529,$D$4:$D$529,"011-5",$F$4:$F$529,"65""")</f>
        <v>152000</v>
      </c>
      <c r="L531" s="12">
        <f>SUMIFS($L$4:$L$529,$D$4:$D$529,"011-5",$F$4:$F$529,"65""")</f>
        <v>19</v>
      </c>
      <c r="M531" s="12">
        <v>134800</v>
      </c>
      <c r="N531" s="12">
        <v>17</v>
      </c>
      <c r="O531" s="12">
        <f>SUMIFS($O$4:$O$529,$D$4:$D$529,"011-5",$F$4:$F$529,"65""")</f>
        <v>227680</v>
      </c>
      <c r="P531" s="12">
        <f>SUMIFS($P$4:$P$529,$D$4:$D$529,"011-5",$F$4:$F$529,"65""")</f>
        <v>210731</v>
      </c>
      <c r="Q531" s="117"/>
      <c r="R531" s="454"/>
      <c r="S531" s="454"/>
      <c r="T531" s="194">
        <f>SUMIFS($T$4:$T$529,$D$4:$D$529,"011-5",$F$4:$F$529,"65""")</f>
        <v>271381</v>
      </c>
      <c r="U531" s="194">
        <f>SUMIFS($U$4:$U$529,$D$4:$D$529,"011-5",$F$4:$F$529,"65""")</f>
        <v>67</v>
      </c>
      <c r="V531" s="194">
        <f>V465</f>
        <v>53850</v>
      </c>
      <c r="W531" s="113"/>
    </row>
    <row r="532" spans="1:30" ht="17.25" customHeight="1">
      <c r="A532" s="451"/>
      <c r="B532" s="431"/>
      <c r="C532" s="434"/>
      <c r="D532" s="119" t="s">
        <v>511</v>
      </c>
      <c r="E532" s="425"/>
      <c r="F532" s="118"/>
      <c r="G532" s="47"/>
      <c r="H532" s="183">
        <f>SUMIF($D$4:$D$529,"011-6A",$H$4:$H$529)</f>
        <v>9671.7000000000007</v>
      </c>
      <c r="I532" s="482"/>
      <c r="J532" s="479"/>
      <c r="K532" s="12"/>
      <c r="L532" s="12"/>
      <c r="M532" s="12"/>
      <c r="N532" s="12"/>
      <c r="O532" s="12"/>
      <c r="P532" s="12"/>
      <c r="Q532" s="117"/>
      <c r="R532" s="454"/>
      <c r="S532" s="454"/>
      <c r="T532" s="194"/>
      <c r="U532" s="194"/>
      <c r="V532" s="194"/>
      <c r="W532" s="113"/>
    </row>
    <row r="533" spans="1:30" s="4" customFormat="1" ht="17.25" customHeight="1">
      <c r="A533" s="451"/>
      <c r="B533" s="442" t="s">
        <v>45</v>
      </c>
      <c r="C533" s="471" t="s">
        <v>59</v>
      </c>
      <c r="D533" s="48" t="s">
        <v>75</v>
      </c>
      <c r="E533" s="441" t="s">
        <v>25</v>
      </c>
      <c r="F533" s="122" t="s">
        <v>57</v>
      </c>
      <c r="G533" s="196">
        <f>SUMIFS($G$4:$G$529,$D$4:$D$529,"AAZ43",$F$4:$F$529,"66.5""")</f>
        <v>3494.25</v>
      </c>
      <c r="H533" s="183"/>
      <c r="I533" s="482"/>
      <c r="J533" s="479"/>
      <c r="K533" s="183">
        <f>SUMIFS($K$4:$K$529,$D$4:$D$529,"AAZ43",$F$4:$F$529,"66.5""")</f>
        <v>64680</v>
      </c>
      <c r="L533" s="183">
        <f>SUMIFS($L$4:$L$529,$D$4:$D$529,"AAZ43",$F$4:$F$529,"66.5""")</f>
        <v>13</v>
      </c>
      <c r="M533" s="12">
        <v>25000</v>
      </c>
      <c r="N533" s="12">
        <v>5</v>
      </c>
      <c r="O533" s="183">
        <f>SUMIFS($O$4:$O$529,$D$4:$D$529,"AAZ43",$F$4:$F$529,"66.5""")</f>
        <v>52241</v>
      </c>
      <c r="P533" s="183">
        <f>SUMIFS($P$4:$P$529,$D$4:$D$529,"AAZ43",$F$4:$F$529,"66.5""")</f>
        <v>56833</v>
      </c>
      <c r="Q533" s="183"/>
      <c r="R533" s="454"/>
      <c r="S533" s="454"/>
      <c r="T533" s="194">
        <f>SUMIFS($T$4:$T$529,$D$4:$D$529,"AAZ43",$F$4:$F$529,"66.5""")</f>
        <v>30703</v>
      </c>
      <c r="U533" s="194"/>
      <c r="V533" s="183">
        <f>V466</f>
        <v>26349</v>
      </c>
      <c r="W533" s="122"/>
    </row>
    <row r="534" spans="1:30" ht="17.25" customHeight="1">
      <c r="A534" s="451"/>
      <c r="B534" s="439"/>
      <c r="C534" s="471"/>
      <c r="D534" s="48" t="s">
        <v>94</v>
      </c>
      <c r="E534" s="425"/>
      <c r="F534" s="119"/>
      <c r="G534" s="47"/>
      <c r="H534" s="183">
        <f>SUMIF($D$4:$D$529,"AAZ86",$H$4:$H$529)</f>
        <v>7938</v>
      </c>
      <c r="I534" s="482"/>
      <c r="J534" s="479"/>
      <c r="K534" s="12"/>
      <c r="L534" s="12"/>
      <c r="M534" s="12"/>
      <c r="N534" s="12"/>
      <c r="O534" s="12"/>
      <c r="P534" s="12"/>
      <c r="Q534" s="12"/>
      <c r="R534" s="454"/>
      <c r="S534" s="454"/>
      <c r="T534" s="117"/>
      <c r="U534" s="117"/>
      <c r="V534" s="183"/>
      <c r="W534" s="12"/>
    </row>
    <row r="535" spans="1:30" ht="17.25" customHeight="1">
      <c r="A535" s="451"/>
      <c r="B535" s="439"/>
      <c r="C535" s="471"/>
      <c r="D535" s="118" t="s">
        <v>72</v>
      </c>
      <c r="E535" s="424" t="s">
        <v>24</v>
      </c>
      <c r="F535" s="119" t="s">
        <v>57</v>
      </c>
      <c r="G535" s="31">
        <f>SUMIFS($G$4:$G$529,$D$4:$D$529,"1800A",$F$4:$F$529,"66.5""")</f>
        <v>0</v>
      </c>
      <c r="H535" s="12"/>
      <c r="I535" s="482"/>
      <c r="J535" s="479"/>
      <c r="K535" s="12">
        <f>SUMIFS($K$4:$K$529,$D$4:$D$529,"1800A",$F$4:$F$529,"66.5""")</f>
        <v>24800</v>
      </c>
      <c r="L535" s="12">
        <f>SUMIFS($L$4:$L$529,$D$4:$D$529,"1800A",$F$4:$F$529,"66.5""")</f>
        <v>5</v>
      </c>
      <c r="M535" s="12">
        <v>24800</v>
      </c>
      <c r="N535" s="12">
        <v>5</v>
      </c>
      <c r="O535" s="12">
        <f>SUMIFS($O$4:$O$529,$D$4:$D$529,"1800A",$F$4:$F$529,"66.5""")</f>
        <v>8960</v>
      </c>
      <c r="P535" s="12">
        <f>SUMIFS($P$4:$P$529,$D$4:$D$529,"1800A",$F$4:$F$529,"66.5""")</f>
        <v>9260</v>
      </c>
      <c r="Q535" s="12"/>
      <c r="R535" s="454"/>
      <c r="S535" s="454"/>
      <c r="T535" s="194">
        <f>SUMIFS($T$4:$T$529,$D$4:$D$529,"1800A",$F$4:$F$529,"66.5""")</f>
        <v>0</v>
      </c>
      <c r="U535" s="194"/>
      <c r="V535" s="183">
        <f>V468</f>
        <v>32049</v>
      </c>
      <c r="W535" s="119"/>
    </row>
    <row r="536" spans="1:30" ht="17.25" customHeight="1">
      <c r="A536" s="451"/>
      <c r="B536" s="439"/>
      <c r="C536" s="471"/>
      <c r="D536" s="115" t="s">
        <v>73</v>
      </c>
      <c r="E536" s="425"/>
      <c r="F536" s="119"/>
      <c r="G536" s="12"/>
      <c r="H536" s="183">
        <f>SUMIF($D$4:$D$529,"1801D",$H$4:$H$529)</f>
        <v>1320</v>
      </c>
      <c r="I536" s="482"/>
      <c r="J536" s="479"/>
      <c r="K536" s="12"/>
      <c r="L536" s="12"/>
      <c r="M536" s="12"/>
      <c r="N536" s="12"/>
      <c r="O536" s="12"/>
      <c r="P536" s="12"/>
      <c r="Q536" s="12"/>
      <c r="R536" s="454"/>
      <c r="S536" s="454"/>
      <c r="T536" s="194"/>
      <c r="U536" s="194"/>
      <c r="V536" s="183"/>
      <c r="W536" s="119"/>
    </row>
    <row r="537" spans="1:30" s="4" customFormat="1" ht="17.25" customHeight="1">
      <c r="A537" s="451"/>
      <c r="B537" s="439"/>
      <c r="C537" s="471"/>
      <c r="D537" s="43" t="s">
        <v>79</v>
      </c>
      <c r="E537" s="155" t="s">
        <v>65</v>
      </c>
      <c r="F537" s="122" t="s">
        <v>57</v>
      </c>
      <c r="G537" s="196"/>
      <c r="H537" s="183"/>
      <c r="I537" s="482"/>
      <c r="J537" s="479"/>
      <c r="K537" s="183"/>
      <c r="L537" s="183"/>
      <c r="M537" s="183"/>
      <c r="N537" s="183"/>
      <c r="O537" s="183">
        <f>SUMIFS($O$4:$O$529,$D$4:$D$529,"DJ-234",$F$4:$F$529,"66.5""")</f>
        <v>0</v>
      </c>
      <c r="P537" s="183">
        <f>SUMIFS($P$4:$P$529,$D$4:$D$529,"DJ-234",$F$4:$F$529,"66.5""")</f>
        <v>0</v>
      </c>
      <c r="Q537" s="183"/>
      <c r="R537" s="454"/>
      <c r="S537" s="454"/>
      <c r="T537" s="194">
        <f>SUMIFS($T$4:$T$529,$D$4:$D$529,"DJ-234",$F$4:$F$529,"66.5""")</f>
        <v>10261</v>
      </c>
      <c r="U537" s="194"/>
      <c r="V537" s="183">
        <f>V469</f>
        <v>0</v>
      </c>
      <c r="W537" s="122"/>
    </row>
    <row r="538" spans="1:30" ht="17.25" customHeight="1">
      <c r="A538" s="451"/>
      <c r="B538" s="439"/>
      <c r="C538" s="471"/>
      <c r="D538" s="115" t="s">
        <v>42</v>
      </c>
      <c r="E538" s="424" t="s">
        <v>25</v>
      </c>
      <c r="F538" s="119"/>
      <c r="G538" s="122"/>
      <c r="H538" s="183"/>
      <c r="I538" s="482"/>
      <c r="J538" s="479"/>
      <c r="K538" s="12"/>
      <c r="L538" s="12"/>
      <c r="M538" s="183">
        <v>2743</v>
      </c>
      <c r="N538" s="183">
        <v>1</v>
      </c>
      <c r="O538" s="12"/>
      <c r="P538" s="12"/>
      <c r="Q538" s="119"/>
      <c r="R538" s="454"/>
      <c r="S538" s="454"/>
      <c r="T538" s="117"/>
      <c r="U538" s="117"/>
      <c r="V538" s="183"/>
      <c r="W538" s="119"/>
    </row>
    <row r="539" spans="1:30" ht="21.75" customHeight="1">
      <c r="A539" s="451"/>
      <c r="B539" s="439"/>
      <c r="C539" s="448" t="s">
        <v>300</v>
      </c>
      <c r="D539" s="115" t="s">
        <v>296</v>
      </c>
      <c r="E539" s="425"/>
      <c r="F539" s="119" t="s">
        <v>298</v>
      </c>
      <c r="G539" s="196"/>
      <c r="H539" s="194"/>
      <c r="I539" s="482"/>
      <c r="J539" s="479"/>
      <c r="K539" s="183"/>
      <c r="L539" s="183"/>
      <c r="M539" s="183"/>
      <c r="N539" s="183"/>
      <c r="O539" s="183">
        <f>SUMIFS($O$4:$O$529,$D$4:$D$529,"RD176Z,RD242Z",$F$4:$F$529,"55.5""")</f>
        <v>0</v>
      </c>
      <c r="P539" s="183">
        <f>SUMIFS($P$4:$P$529,$D$4:$D$529,"RD176Z,RD242Z",$F$4:$F$529,"55.5""")</f>
        <v>0</v>
      </c>
      <c r="Q539" s="119"/>
      <c r="R539" s="454"/>
      <c r="S539" s="454"/>
      <c r="T539" s="194">
        <f>SUMIFS($T$4:$T$529,$D$4:$D$529,"RD176Z,RD242Z",$F$4:$F$529,"55.5""")</f>
        <v>4427</v>
      </c>
      <c r="U539" s="194"/>
      <c r="V539" s="183"/>
      <c r="W539" s="119"/>
    </row>
    <row r="540" spans="1:30" s="4" customFormat="1" ht="21.75" customHeight="1">
      <c r="A540" s="451"/>
      <c r="B540" s="443"/>
      <c r="C540" s="449"/>
      <c r="D540" s="43" t="s">
        <v>75</v>
      </c>
      <c r="E540" s="89" t="s">
        <v>25</v>
      </c>
      <c r="F540" s="122" t="s">
        <v>298</v>
      </c>
      <c r="G540" s="196">
        <f>SUMIFS($G$4:$G$529,$D$4:$D$529,"AAZ43",$F$4:$F$529,"55.5""")</f>
        <v>0</v>
      </c>
      <c r="H540" s="194"/>
      <c r="I540" s="482"/>
      <c r="J540" s="479"/>
      <c r="K540" s="183">
        <f>SUMIFS($K$4:$K$529,$D$4:$D$529,"AAZ43",$F$4:$F$529,"55.5""")</f>
        <v>5000</v>
      </c>
      <c r="L540" s="183">
        <f>SUMIFS($L$4:$L$529,$D$4:$D$529,"AAZ43",$F$4:$F$529,"55.5""")</f>
        <v>1</v>
      </c>
      <c r="M540" s="183">
        <v>5000</v>
      </c>
      <c r="N540" s="183">
        <v>1</v>
      </c>
      <c r="O540" s="183">
        <f>SUMIFS($O$4:$O$529,$D$4:$D$529,"AAZ43",$F$4:$F$529,"55.5""")</f>
        <v>8490</v>
      </c>
      <c r="P540" s="183">
        <f>SUMIFS($P$4:$P$529,$D$4:$D$529,"AAZ43",$F$4:$F$529,"55.5""")</f>
        <v>6551</v>
      </c>
      <c r="Q540" s="122"/>
      <c r="R540" s="454"/>
      <c r="S540" s="454"/>
      <c r="T540" s="194">
        <f>SUMIFS($T$4:$T$529,$D$4:$D$529,"AAZ43",$F$4:$F$529,"55.5""")</f>
        <v>1892</v>
      </c>
      <c r="U540" s="194"/>
      <c r="V540" s="183">
        <f>V470</f>
        <v>21193</v>
      </c>
      <c r="W540" s="122"/>
    </row>
    <row r="541" spans="1:30" s="4" customFormat="1" ht="17.25" customHeight="1">
      <c r="A541" s="451"/>
      <c r="B541" s="439" t="s">
        <v>53</v>
      </c>
      <c r="C541" s="445" t="s">
        <v>60</v>
      </c>
      <c r="D541" s="43" t="s">
        <v>320</v>
      </c>
      <c r="E541" s="448" t="s">
        <v>66</v>
      </c>
      <c r="F541" s="48" t="s">
        <v>54</v>
      </c>
      <c r="G541" s="196"/>
      <c r="H541" s="268"/>
      <c r="I541" s="482"/>
      <c r="J541" s="479"/>
      <c r="K541" s="183">
        <f>SUMIFS($K$4:$K$529,$D$4:$D$529,"RD225Z,DR1177Z",$F$4:$F$529,"67""")</f>
        <v>0</v>
      </c>
      <c r="L541" s="183">
        <f>SUMIFS($L$4:$L$529,$D$4:$D$529,"RD225Z,DR1177Z",$F$4:$F$529,"67""")</f>
        <v>0</v>
      </c>
      <c r="M541" s="183"/>
      <c r="N541" s="183"/>
      <c r="O541" s="183">
        <f>SUMIFS($O$4:$O$529,$D$4:$D$529,"RD225Z,DR1177Z",$F$4:$F$529,"67""")</f>
        <v>3642</v>
      </c>
      <c r="P541" s="183">
        <f>SUMIFS($P$4:$P$529,$D$4:$D$529,"RD225Z,DR1177Z",$F$4:$F$529,"67""")</f>
        <v>148</v>
      </c>
      <c r="Q541" s="183"/>
      <c r="R541" s="454"/>
      <c r="S541" s="454"/>
      <c r="T541" s="194">
        <f>SUMIFS($T$4:$T$529,$D$4:$D$529,"RD225Z,DR1177Z",$F$4:$F$529,"67""")</f>
        <v>49703</v>
      </c>
      <c r="U541" s="194">
        <f>SUMIFS($U$4:$U$529,$D$4:$D$529,"RD225Z,DR1177Z",$F$4:$F$529,"67""")</f>
        <v>3</v>
      </c>
      <c r="V541" s="191"/>
      <c r="W541" s="122"/>
      <c r="AD541" s="219"/>
    </row>
    <row r="542" spans="1:30" s="4" customFormat="1" ht="17.25" customHeight="1">
      <c r="A542" s="451"/>
      <c r="B542" s="439"/>
      <c r="C542" s="445"/>
      <c r="D542" s="43" t="s">
        <v>387</v>
      </c>
      <c r="E542" s="449"/>
      <c r="F542" s="48" t="s">
        <v>54</v>
      </c>
      <c r="G542" s="196">
        <f>SUMIF($D$4:$D$529,"DJ-6DH48,DR1177Z",$G$4:$G$529)</f>
        <v>0</v>
      </c>
      <c r="H542" s="268"/>
      <c r="I542" s="482"/>
      <c r="J542" s="479"/>
      <c r="K542" s="183">
        <f>SUMIFS($K$4:$K$529,$D$4:$D$529,"DJ-6DH48,DR1177Z",$F$4:$F$529,"67""")</f>
        <v>0</v>
      </c>
      <c r="L542" s="183">
        <f>SUMIFS($L$4:$L$529,$D$4:$D$529,"DJ-6DH48,DR1177Z",$F$4:$F$529,"67""")</f>
        <v>0</v>
      </c>
      <c r="M542" s="183">
        <v>64800</v>
      </c>
      <c r="N542" s="183">
        <v>11</v>
      </c>
      <c r="O542" s="183">
        <f>SUMIFS($O$4:$O$529,$D$4:$D$529,"DJ-6DH48,DR1177Z",$F$4:$F$529,"67""")</f>
        <v>0</v>
      </c>
      <c r="P542" s="183">
        <f>SUMIFS($P$4:$P$529,$D$4:$D$529,"DJ-6DH48,DR1177Z",$F$4:$F$529,"67""")</f>
        <v>0</v>
      </c>
      <c r="Q542" s="183"/>
      <c r="R542" s="454"/>
      <c r="S542" s="454"/>
      <c r="T542" s="194"/>
      <c r="U542" s="194"/>
      <c r="V542" s="191">
        <f>V472</f>
        <v>666</v>
      </c>
      <c r="W542" s="122"/>
      <c r="AD542" s="219"/>
    </row>
    <row r="543" spans="1:30" s="4" customFormat="1" ht="17.25" customHeight="1">
      <c r="A543" s="451"/>
      <c r="B543" s="439"/>
      <c r="C543" s="445"/>
      <c r="D543" s="48" t="s">
        <v>199</v>
      </c>
      <c r="E543" s="494" t="s">
        <v>25</v>
      </c>
      <c r="F543" s="48" t="s">
        <v>54</v>
      </c>
      <c r="G543" s="196"/>
      <c r="H543" s="268"/>
      <c r="I543" s="482"/>
      <c r="J543" s="479"/>
      <c r="K543" s="183"/>
      <c r="L543" s="183"/>
      <c r="M543" s="183"/>
      <c r="N543" s="183"/>
      <c r="O543" s="183"/>
      <c r="P543" s="183"/>
      <c r="Q543" s="183"/>
      <c r="R543" s="454"/>
      <c r="S543" s="454"/>
      <c r="T543" s="194"/>
      <c r="U543" s="194"/>
      <c r="V543" s="191">
        <f>V473</f>
        <v>68</v>
      </c>
      <c r="W543" s="122"/>
      <c r="AD543" s="219"/>
    </row>
    <row r="544" spans="1:30" ht="17.25" customHeight="1">
      <c r="A544" s="451"/>
      <c r="B544" s="439"/>
      <c r="C544" s="445"/>
      <c r="D544" s="48" t="s">
        <v>385</v>
      </c>
      <c r="E544" s="495"/>
      <c r="F544" s="119"/>
      <c r="G544" s="183"/>
      <c r="H544" s="183"/>
      <c r="I544" s="482"/>
      <c r="J544" s="479"/>
      <c r="K544" s="12"/>
      <c r="L544" s="12"/>
      <c r="M544" s="12"/>
      <c r="N544" s="12"/>
      <c r="O544" s="12"/>
      <c r="P544" s="117"/>
      <c r="Q544" s="119"/>
      <c r="R544" s="454"/>
      <c r="S544" s="454"/>
      <c r="T544" s="117"/>
      <c r="U544" s="117"/>
      <c r="V544" s="191"/>
      <c r="W544" s="119"/>
    </row>
    <row r="545" spans="1:25" ht="15.75" customHeight="1">
      <c r="A545" s="451"/>
      <c r="B545" s="443"/>
      <c r="C545" s="446"/>
      <c r="D545" s="43" t="s">
        <v>324</v>
      </c>
      <c r="E545" s="113" t="s">
        <v>65</v>
      </c>
      <c r="F545" s="119"/>
      <c r="G545" s="196"/>
      <c r="H545" s="183">
        <f>SUMIF($D$4:$D$529,"DR1178Z",$H$4:$H$529)</f>
        <v>0</v>
      </c>
      <c r="I545" s="482"/>
      <c r="J545" s="479"/>
      <c r="K545" s="12"/>
      <c r="L545" s="12"/>
      <c r="M545" s="117"/>
      <c r="N545" s="117"/>
      <c r="O545" s="12"/>
      <c r="P545" s="117"/>
      <c r="Q545" s="113"/>
      <c r="R545" s="454"/>
      <c r="S545" s="454"/>
      <c r="T545" s="117"/>
      <c r="U545" s="117"/>
      <c r="V545" s="191"/>
      <c r="W545" s="119"/>
    </row>
    <row r="546" spans="1:25" s="4" customFormat="1" ht="15.75" customHeight="1">
      <c r="A546" s="451"/>
      <c r="B546" s="137" t="s">
        <v>55</v>
      </c>
      <c r="C546" s="157" t="s">
        <v>133</v>
      </c>
      <c r="D546" s="43" t="s">
        <v>56</v>
      </c>
      <c r="E546" s="430" t="s">
        <v>25</v>
      </c>
      <c r="F546" s="48" t="s">
        <v>67</v>
      </c>
      <c r="G546" s="196">
        <f>SUMIFS($G$4:$G$529,$D$4:$D$529,"ACZ07",$F$4:$F$529,"56""",$C$4:$C$529,"P/OX 600D*300D, 64T, 135GR/SQM, recycle 67%")</f>
        <v>0</v>
      </c>
      <c r="H546" s="218"/>
      <c r="I546" s="482"/>
      <c r="J546" s="479"/>
      <c r="K546" s="183"/>
      <c r="L546" s="183"/>
      <c r="M546" s="194"/>
      <c r="N546" s="194"/>
      <c r="O546" s="183">
        <f>SUMIFS($O$4:$O$529,$D$4:$D$529,"ACZ07",$F$4:$F$529,"56""",$C$4:$C$529,"P/OX 600D*300D, 64T, 135GR/SQM, recycle 67%")</f>
        <v>0</v>
      </c>
      <c r="P546" s="183">
        <f>SUMIFS($P$4:$P$529,$D$4:$D$529,"ACZ07",$F$4:$F$529,"56""",$C$4:$C$529,"P/OX 600D*300D, 64T, 135GR/SQM, recycle 67%")</f>
        <v>0</v>
      </c>
      <c r="Q546" s="194"/>
      <c r="R546" s="454"/>
      <c r="S546" s="454"/>
      <c r="T546" s="183">
        <f>SUMIFS($T$4:$T$529,$D$4:$D$529,"ACZ07",$F$4:$F$529,"56""",$C$4:$C$529,"P/OX 600D*300D, 64T, 135GR/SQM, recycle 67%")</f>
        <v>700</v>
      </c>
      <c r="U546" s="183"/>
      <c r="V546" s="183">
        <f t="shared" ref="V546:V551" si="26">V474</f>
        <v>6322</v>
      </c>
      <c r="W546" s="6"/>
      <c r="Y546" s="219"/>
    </row>
    <row r="547" spans="1:25" s="4" customFormat="1" ht="15.75" customHeight="1">
      <c r="A547" s="451"/>
      <c r="B547" s="137" t="s">
        <v>122</v>
      </c>
      <c r="C547" s="157" t="s">
        <v>123</v>
      </c>
      <c r="D547" s="48" t="s">
        <v>56</v>
      </c>
      <c r="E547" s="430"/>
      <c r="F547" s="48" t="s">
        <v>64</v>
      </c>
      <c r="G547" s="196"/>
      <c r="H547" s="183"/>
      <c r="I547" s="482"/>
      <c r="J547" s="479"/>
      <c r="K547" s="183"/>
      <c r="L547" s="183"/>
      <c r="M547" s="194">
        <v>6400</v>
      </c>
      <c r="N547" s="194">
        <v>2</v>
      </c>
      <c r="O547" s="183"/>
      <c r="P547" s="183"/>
      <c r="Q547" s="194"/>
      <c r="R547" s="454"/>
      <c r="S547" s="454"/>
      <c r="T547" s="183">
        <f>SUMIFS($T$4:$T$529,$D$4:$D$529,"ACZ07",$F$4:$F$529,"56""",$C$4:$C$529,"P/OX 300D* P/SPUN 10'S, Recycle 60""")</f>
        <v>0</v>
      </c>
      <c r="U547" s="183"/>
      <c r="V547" s="183">
        <f t="shared" si="26"/>
        <v>18121</v>
      </c>
      <c r="W547" s="6"/>
      <c r="Y547" s="219"/>
    </row>
    <row r="548" spans="1:25" s="4" customFormat="1" ht="15.75" customHeight="1">
      <c r="A548" s="451"/>
      <c r="B548" s="137" t="s">
        <v>58</v>
      </c>
      <c r="C548" s="157" t="s">
        <v>243</v>
      </c>
      <c r="D548" s="48" t="s">
        <v>56</v>
      </c>
      <c r="E548" s="430"/>
      <c r="F548" s="59" t="s">
        <v>64</v>
      </c>
      <c r="G548" s="183"/>
      <c r="H548" s="183"/>
      <c r="I548" s="482"/>
      <c r="J548" s="479"/>
      <c r="K548" s="183"/>
      <c r="L548" s="183"/>
      <c r="M548" s="191"/>
      <c r="N548" s="183"/>
      <c r="O548" s="183"/>
      <c r="P548" s="183"/>
      <c r="Q548" s="183"/>
      <c r="R548" s="454"/>
      <c r="S548" s="454"/>
      <c r="T548" s="183">
        <f>SUMIFS($T$4:$T$529,$D$4:$D$529,"ACZ07",$F$4:$F$529,"56""",$C$4:$C$529,"P/OX 300D* P/SPUN 16'S, Recycle 60""")</f>
        <v>0</v>
      </c>
      <c r="U548" s="183"/>
      <c r="V548" s="191">
        <f t="shared" si="26"/>
        <v>8144</v>
      </c>
      <c r="W548" s="122"/>
    </row>
    <row r="549" spans="1:25" s="4" customFormat="1" ht="15.75" customHeight="1">
      <c r="A549" s="451"/>
      <c r="B549" s="122" t="s">
        <v>61</v>
      </c>
      <c r="C549" s="180" t="s">
        <v>137</v>
      </c>
      <c r="D549" s="48" t="s">
        <v>56</v>
      </c>
      <c r="E549" s="430"/>
      <c r="F549" s="59" t="s">
        <v>67</v>
      </c>
      <c r="G549" s="183"/>
      <c r="H549" s="191"/>
      <c r="I549" s="482"/>
      <c r="J549" s="479"/>
      <c r="K549" s="183"/>
      <c r="L549" s="183"/>
      <c r="M549" s="183"/>
      <c r="N549" s="183"/>
      <c r="O549" s="183"/>
      <c r="P549" s="183"/>
      <c r="Q549" s="183"/>
      <c r="R549" s="454"/>
      <c r="S549" s="454"/>
      <c r="T549" s="183"/>
      <c r="U549" s="183"/>
      <c r="V549" s="191">
        <f t="shared" si="26"/>
        <v>5844</v>
      </c>
      <c r="W549" s="122"/>
    </row>
    <row r="550" spans="1:25" s="4" customFormat="1" ht="15.75" customHeight="1">
      <c r="A550" s="451"/>
      <c r="B550" s="122" t="s">
        <v>125</v>
      </c>
      <c r="C550" s="180" t="s">
        <v>88</v>
      </c>
      <c r="D550" s="48" t="s">
        <v>124</v>
      </c>
      <c r="E550" s="430"/>
      <c r="F550" s="48" t="s">
        <v>64</v>
      </c>
      <c r="G550" s="218"/>
      <c r="H550" s="183">
        <f>SUMIF($D$4:$D$529,"SC-1004",$H$4:$H$529)</f>
        <v>240</v>
      </c>
      <c r="I550" s="482"/>
      <c r="J550" s="479"/>
      <c r="K550" s="183"/>
      <c r="L550" s="183"/>
      <c r="M550" s="194">
        <v>51200</v>
      </c>
      <c r="N550" s="194">
        <v>7</v>
      </c>
      <c r="O550" s="183"/>
      <c r="P550" s="183"/>
      <c r="Q550" s="194"/>
      <c r="R550" s="454"/>
      <c r="S550" s="454"/>
      <c r="T550" s="194"/>
      <c r="U550" s="194"/>
      <c r="V550" s="183">
        <f t="shared" si="26"/>
        <v>23615</v>
      </c>
      <c r="W550" s="6"/>
      <c r="Y550" s="219"/>
    </row>
    <row r="551" spans="1:25" s="4" customFormat="1" ht="15.75" customHeight="1">
      <c r="A551" s="451"/>
      <c r="B551" s="122" t="s">
        <v>463</v>
      </c>
      <c r="C551" s="157" t="s">
        <v>464</v>
      </c>
      <c r="D551" s="48" t="s">
        <v>246</v>
      </c>
      <c r="E551" s="430"/>
      <c r="F551" s="48" t="s">
        <v>64</v>
      </c>
      <c r="G551" s="196"/>
      <c r="H551" s="183"/>
      <c r="I551" s="482"/>
      <c r="J551" s="479"/>
      <c r="K551" s="183">
        <f>SUMIFS($K$4:$K$529,$D$4:$D$529,"SC-1012",$F$4:$F$529,"60""")</f>
        <v>6000</v>
      </c>
      <c r="L551" s="183">
        <f>SUMIFS($L$4:$L$529,$D$4:$D$529,"SC-1012",$F$4:$F$529,"60""")</f>
        <v>1</v>
      </c>
      <c r="M551" s="194"/>
      <c r="N551" s="194"/>
      <c r="O551" s="183">
        <f>SUMIFS($O$4:$O$529,$D$4:$D$529,"SC-1012",$F$4:$F$529,"60""")</f>
        <v>2000</v>
      </c>
      <c r="P551" s="183">
        <f>SUMIFS($P$4:$P$529,$D$4:$D$529,"SC-1012",$F$4:$F$529,"60""")</f>
        <v>3490</v>
      </c>
      <c r="Q551" s="194"/>
      <c r="R551" s="454"/>
      <c r="S551" s="454"/>
      <c r="T551" s="194"/>
      <c r="U551" s="194"/>
      <c r="V551" s="183">
        <f t="shared" si="26"/>
        <v>2000</v>
      </c>
      <c r="W551" s="6"/>
      <c r="Y551" s="219"/>
    </row>
    <row r="552" spans="1:25" s="281" customFormat="1" ht="15.75" customHeight="1">
      <c r="A552" s="451"/>
      <c r="B552" s="442" t="s">
        <v>47</v>
      </c>
      <c r="C552" s="444" t="s">
        <v>100</v>
      </c>
      <c r="D552" s="89" t="s">
        <v>458</v>
      </c>
      <c r="E552" s="430"/>
      <c r="F552" s="89" t="s">
        <v>71</v>
      </c>
      <c r="G552" s="196">
        <f>SUMIFS($G$4:$G$529,$D$4:$D$529,"RD330S",$F$4:$F$529,"60.5""",$C$4:$C$529,"P/T DTY 75D*100D, 181T(105*76), Recycle 60.5""")</f>
        <v>2002.02</v>
      </c>
      <c r="H552" s="221"/>
      <c r="I552" s="482"/>
      <c r="J552" s="479"/>
      <c r="K552" s="183">
        <f>SUMIFS($K$4:$K$529,$D$4:$D$529,"RD330S",$F$4:$F$529,"60.5""",$C$4:$C$529,"P/T DTY 75D*100D, 181T(105*76), Recycle 60.5""")</f>
        <v>18300</v>
      </c>
      <c r="L552" s="183">
        <f>SUMIFS($L$4:$L$529,$D$4:$D$529,"RD330S",$F$4:$F$529,"60.5""",$C$4:$C$529,"P/T DTY 75D*100D, 181T(105*76), Recycle 60.5""")</f>
        <v>3</v>
      </c>
      <c r="M552" s="221">
        <v>24400</v>
      </c>
      <c r="N552" s="221">
        <v>4</v>
      </c>
      <c r="O552" s="183">
        <f>SUMIFS($O$4:$O$529,$D$4:$D$529,"RD330S",$F$4:$F$529,"60.5""",$C$4:$C$529,"P/T DTY 75D*100D, 181T(105*76), Recycle 60.5""")</f>
        <v>26900</v>
      </c>
      <c r="P552" s="183">
        <f>SUMIFS($P$4:$P$529,$D$4:$D$529,"RD330S",$F$4:$F$529,"60.5""",$C$4:$C$529,"P/T DTY 75D*100D, 181T(105*76), Recycle 60.5""")</f>
        <v>25244</v>
      </c>
      <c r="Q552" s="221"/>
      <c r="R552" s="454"/>
      <c r="S552" s="454"/>
      <c r="T552" s="183">
        <f>SUMIFS($T$4:$T$529,$D$4:$D$529,"RD330S",$F$4:$F$529,"60.5""",$C$4:$C$529,"P/T DTY 75D*100D, 181T(105*76), Recycle 60.5""")</f>
        <v>18624</v>
      </c>
      <c r="U552" s="183">
        <f>SUMIFS($U$4:$U$529,$D$4:$D$529,"RD330S",$F$4:$F$529,"60.5""",$C$4:$C$529,"P/T DTY 75D*100D, 181T(105*76), Recycle 60.5""")</f>
        <v>12</v>
      </c>
      <c r="V552" s="191">
        <f>V481</f>
        <v>8264</v>
      </c>
      <c r="W552" s="122"/>
    </row>
    <row r="553" spans="1:25" s="4" customFormat="1" ht="15.75" customHeight="1">
      <c r="A553" s="451"/>
      <c r="B553" s="443"/>
      <c r="C553" s="446"/>
      <c r="D553" s="59" t="s">
        <v>121</v>
      </c>
      <c r="E553" s="430"/>
      <c r="F553" s="59"/>
      <c r="G553" s="191"/>
      <c r="H553" s="218">
        <f>SUMIF($D$4:$D$529,"RD152Z",$H$4:$H$529)</f>
        <v>1530</v>
      </c>
      <c r="I553" s="482"/>
      <c r="J553" s="479"/>
      <c r="K553" s="191"/>
      <c r="L553" s="191"/>
      <c r="M553" s="191"/>
      <c r="N553" s="191"/>
      <c r="O553" s="183"/>
      <c r="P553" s="183"/>
      <c r="Q553" s="183"/>
      <c r="R553" s="454"/>
      <c r="S553" s="454"/>
      <c r="T553" s="183"/>
      <c r="U553" s="191"/>
      <c r="V553" s="191"/>
      <c r="W553" s="122"/>
    </row>
    <row r="554" spans="1:25" s="4" customFormat="1" ht="15.75" customHeight="1">
      <c r="A554" s="451"/>
      <c r="B554" s="442" t="s">
        <v>47</v>
      </c>
      <c r="C554" s="444" t="s">
        <v>457</v>
      </c>
      <c r="D554" s="59" t="s">
        <v>458</v>
      </c>
      <c r="E554" s="430"/>
      <c r="F554" s="59" t="s">
        <v>459</v>
      </c>
      <c r="G554" s="183">
        <f>SUMIFS($G$4:$G$529,$D$4:$D$529,"RD330S",$F$4:$F$529,"100.79""",$C$4:$C$529,"P/T DTY 75D*100D, Recycle 100.79""")</f>
        <v>0</v>
      </c>
      <c r="H554" s="183"/>
      <c r="I554" s="482"/>
      <c r="J554" s="479"/>
      <c r="K554" s="183">
        <f>SUMIFS($K$4:$K$529,$D$4:$D$529,"RD330S",$F$4:$F$529,"100.79""",$C$4:$C$529,"P/T DTY 75D*100D, Recycle 100.79""")</f>
        <v>0</v>
      </c>
      <c r="L554" s="183">
        <f>SUMIFS($L$4:$L$529,$D$4:$D$529,"RD330S",$F$4:$F$529,"100.79""",$C$4:$C$529,"P/T DTY 75D*100D, Recycle 100.79""")</f>
        <v>0</v>
      </c>
      <c r="M554" s="191"/>
      <c r="N554" s="191"/>
      <c r="O554" s="183">
        <f>SUMIFS($O$4:$O$529,$D$4:$D$529,"RD330S",$F$4:$F$529,"100.79""",$C$4:$C$529,"P/T DTY 75D*100D, Recycle 100.79""")</f>
        <v>1039</v>
      </c>
      <c r="P554" s="183">
        <f>SUMIFS($P$4:$P$529,$D$4:$D$529,"RD330S",$F$4:$F$529,"100.79""",$C$4:$C$529,"P/T DTY 75D*100D, Recycle 100.79""")</f>
        <v>854</v>
      </c>
      <c r="Q554" s="183"/>
      <c r="R554" s="454"/>
      <c r="S554" s="454"/>
      <c r="T554" s="183">
        <f>SUMIFS($T$4:$T$529,$D$4:$D$529,"RD330S",$F$4:$F$529,"100.79""",$C$4:$C$529,"P/T DTY 75D*100D, Recycle 100.79""")</f>
        <v>811</v>
      </c>
      <c r="U554" s="191"/>
      <c r="V554" s="191">
        <f>V482</f>
        <v>228</v>
      </c>
      <c r="W554" s="122"/>
    </row>
    <row r="555" spans="1:25" s="4" customFormat="1" ht="15.75" customHeight="1">
      <c r="A555" s="451"/>
      <c r="B555" s="439"/>
      <c r="C555" s="445"/>
      <c r="D555" s="59" t="s">
        <v>460</v>
      </c>
      <c r="E555" s="430"/>
      <c r="F555" s="59"/>
      <c r="G555" s="191"/>
      <c r="H555" s="218">
        <f>SUMIF($D$4:$D$529,"DR809Z",$H$4:$H$529)</f>
        <v>0</v>
      </c>
      <c r="I555" s="482"/>
      <c r="J555" s="479"/>
      <c r="K555" s="191"/>
      <c r="L555" s="191"/>
      <c r="M555" s="191"/>
      <c r="N555" s="191"/>
      <c r="O555" s="183"/>
      <c r="P555" s="183"/>
      <c r="Q555" s="183"/>
      <c r="R555" s="454"/>
      <c r="S555" s="454"/>
      <c r="T555" s="183"/>
      <c r="U555" s="183"/>
      <c r="V555" s="191"/>
      <c r="W555" s="122"/>
    </row>
    <row r="556" spans="1:25" s="4" customFormat="1" ht="18" customHeight="1">
      <c r="A556" s="451"/>
      <c r="B556" s="122" t="s">
        <v>196</v>
      </c>
      <c r="C556" s="180" t="s">
        <v>63</v>
      </c>
      <c r="D556" s="48" t="s">
        <v>135</v>
      </c>
      <c r="E556" s="430"/>
      <c r="F556" s="59" t="s">
        <v>64</v>
      </c>
      <c r="G556" s="196">
        <f>SUMIFS($G$4:$G$529,$D$4:$D$529,"XB080718",$F$4:$F$529,"60""")</f>
        <v>2237.13</v>
      </c>
      <c r="H556" s="183">
        <f>SUMIF($D$4:$D$529,"XB080718",$H$4:$H$529)</f>
        <v>535.5</v>
      </c>
      <c r="I556" s="482"/>
      <c r="J556" s="479"/>
      <c r="K556" s="183">
        <f>SUMIFS($K$4:$K$529,$D$4:$D$529,"XB080718",$F$4:$F$529,"60""")</f>
        <v>23700</v>
      </c>
      <c r="L556" s="183">
        <f>SUMIFS($L$4:$L$529,$D$4:$D$529,"XB080718",$F$4:$F$529,"60""")</f>
        <v>4</v>
      </c>
      <c r="M556" s="191">
        <v>24000</v>
      </c>
      <c r="N556" s="183">
        <v>4</v>
      </c>
      <c r="O556" s="183">
        <f>SUMIFS($O$4:$O$529,$D$4:$D$529,"XB080718",$F$4:$F$529,"60""")</f>
        <v>4363</v>
      </c>
      <c r="P556" s="183">
        <f>SUMIFS($P$4:$P$529,$D$4:$D$529,"XB080718",$F$4:$F$529,"60""")</f>
        <v>3157</v>
      </c>
      <c r="Q556" s="183"/>
      <c r="R556" s="454"/>
      <c r="S556" s="454"/>
      <c r="T556" s="194">
        <f>SUMIFS($T$4:$T$529,$D$4:$D$529,"XB080718",$F$4:$F$529,"60""")</f>
        <v>53911</v>
      </c>
      <c r="U556" s="194">
        <f>SUMIFS($U$4:$U$529,$D$4:$D$529,"XB080718",$F$4:$F$529,"60""")</f>
        <v>17</v>
      </c>
      <c r="V556" s="191"/>
      <c r="W556" s="122"/>
    </row>
    <row r="557" spans="1:25" s="4" customFormat="1" ht="17.25" customHeight="1">
      <c r="A557" s="451"/>
      <c r="B557" s="122" t="s">
        <v>101</v>
      </c>
      <c r="C557" s="180" t="s">
        <v>327</v>
      </c>
      <c r="D557" s="48" t="s">
        <v>102</v>
      </c>
      <c r="E557" s="430"/>
      <c r="F557" s="48" t="s">
        <v>64</v>
      </c>
      <c r="G557" s="196">
        <f>SUMIFS($G$4:$G$529,$D$4:$D$529,"XB061218",$F$4:$F$529,"60""")</f>
        <v>2314.65</v>
      </c>
      <c r="H557" s="218">
        <f>SUMIF($D$4:$D$529,"XB061218",$H$4:$H$529)</f>
        <v>1071</v>
      </c>
      <c r="I557" s="482"/>
      <c r="J557" s="479"/>
      <c r="K557" s="183">
        <f>SUMIFS($K$4:$K$529,$D$4:$D$529,"XB061218",$F$4:$F$529,"60""")</f>
        <v>28000</v>
      </c>
      <c r="L557" s="183">
        <f>SUMIFS($L$4:$L$529,$D$4:$D$529,"XB061218",$F$4:$F$529,"60""")</f>
        <v>4</v>
      </c>
      <c r="M557" s="183">
        <v>7000</v>
      </c>
      <c r="N557" s="183">
        <v>1</v>
      </c>
      <c r="O557" s="183">
        <f>SUMIFS($O$4:$O$529,$D$4:$D$529,"XB061218",$F$4:$F$529,"60""")</f>
        <v>20486</v>
      </c>
      <c r="P557" s="183">
        <f>SUMIFS($P$4:$P$529,$D$4:$D$529,"XB061218",$F$4:$F$529,"60""")</f>
        <v>22045</v>
      </c>
      <c r="Q557" s="183"/>
      <c r="R557" s="454"/>
      <c r="S557" s="454"/>
      <c r="T557" s="183">
        <f>SUMIFS($T$4:$T$529,$D$4:$D$529,"XB061218",$F$4:$F$529,"60""")</f>
        <v>2200</v>
      </c>
      <c r="U557" s="183"/>
      <c r="V557" s="183">
        <f>V485</f>
        <v>18659</v>
      </c>
      <c r="W557" s="122"/>
      <c r="X557" s="219"/>
      <c r="Y557" s="219"/>
    </row>
    <row r="558" spans="1:25" s="139" customFormat="1" ht="15.75" customHeight="1">
      <c r="A558" s="451"/>
      <c r="B558" s="295" t="s">
        <v>366</v>
      </c>
      <c r="C558" s="296" t="s">
        <v>367</v>
      </c>
      <c r="D558" s="297" t="s">
        <v>132</v>
      </c>
      <c r="E558" s="430"/>
      <c r="F558" s="298" t="s">
        <v>64</v>
      </c>
      <c r="G558" s="299">
        <f>SUMIFS($G$4:$G$529,$D$4:$D$529,"M5101413",$F$4:$F$529,"60""")</f>
        <v>857.66</v>
      </c>
      <c r="H558" s="300">
        <f>SUMIFS($H$4:$H$529,$D$4:$D$529,"M5101413",$F$4:$F$529,"60""")</f>
        <v>567</v>
      </c>
      <c r="I558" s="482"/>
      <c r="J558" s="479"/>
      <c r="K558" s="300">
        <f>SUMIFS($K$4:$K$529,$D$4:$D$529,"M5101413",$F$4:$F$529,"60""")</f>
        <v>10000</v>
      </c>
      <c r="L558" s="300">
        <f>SUMIFS($L$4:$L$529,$D$4:$D$529,"M5101413",$F$4:$F$529,"60""")</f>
        <v>2</v>
      </c>
      <c r="M558" s="300"/>
      <c r="N558" s="300"/>
      <c r="O558" s="300">
        <f>SUMIFS($O$4:$O$529,$D$4:$D$529,"M5101413",$F$4:$F$529,"60""")</f>
        <v>11441</v>
      </c>
      <c r="P558" s="300">
        <f>SUMIFS($P$4:$P$529,$D$4:$D$529,"M5101413",$F$4:$F$529,"60""")</f>
        <v>11359</v>
      </c>
      <c r="Q558" s="300"/>
      <c r="R558" s="454"/>
      <c r="S558" s="454"/>
      <c r="T558" s="183">
        <f>SUMIFS($T$4:$T$529,$D$4:$D$529,"M5101413",$F$4:$F$529,"60""")</f>
        <v>6708</v>
      </c>
      <c r="U558" s="183">
        <f>SUMIFS($U$4:$U$529,$D$4:$D$529,"M5101413",$F$4:$F$529,"60""")</f>
        <v>17</v>
      </c>
      <c r="V558" s="301">
        <f>V486</f>
        <v>11441</v>
      </c>
      <c r="W558" s="295"/>
      <c r="X558" s="383"/>
    </row>
    <row r="559" spans="1:25" s="4" customFormat="1" ht="22.5" customHeight="1">
      <c r="A559" s="451"/>
      <c r="B559" s="122" t="s">
        <v>363</v>
      </c>
      <c r="C559" s="180" t="s">
        <v>325</v>
      </c>
      <c r="D559" s="48" t="s">
        <v>328</v>
      </c>
      <c r="E559" s="430"/>
      <c r="F559" s="59" t="s">
        <v>48</v>
      </c>
      <c r="G559" s="47"/>
      <c r="H559" s="183">
        <f>SUMIF($D$4:$D$529,"SC1039",$H$4:$H$529)</f>
        <v>0</v>
      </c>
      <c r="I559" s="482"/>
      <c r="J559" s="479"/>
      <c r="K559" s="183"/>
      <c r="L559" s="183"/>
      <c r="M559" s="191"/>
      <c r="N559" s="183"/>
      <c r="O559" s="183">
        <f>SUMIFS($O$4:$O$529,$D$4:$D$529,"SC1039",$F$4:$F$529,"61""")</f>
        <v>0</v>
      </c>
      <c r="P559" s="183">
        <f>SUMIFS($P$4:$P$529,$D$4:$D$529,"SC1039",$F$4:$F$529,"61""")</f>
        <v>0</v>
      </c>
      <c r="Q559" s="183"/>
      <c r="R559" s="454"/>
      <c r="S559" s="454"/>
      <c r="T559" s="183">
        <f>SUMIFS($T$4:$T$529,$D$4:$D$529,"SC1039",$F$4:$F$529,"61""")</f>
        <v>0</v>
      </c>
      <c r="U559" s="191"/>
      <c r="V559" s="191">
        <f>V487</f>
        <v>16454</v>
      </c>
      <c r="W559" s="122"/>
    </row>
    <row r="560" spans="1:25" ht="23.25" customHeight="1">
      <c r="A560" s="451"/>
      <c r="B560" s="122" t="s">
        <v>107</v>
      </c>
      <c r="C560" s="180" t="s">
        <v>386</v>
      </c>
      <c r="D560" s="48" t="s">
        <v>108</v>
      </c>
      <c r="E560" s="430"/>
      <c r="F560" s="48" t="s">
        <v>48</v>
      </c>
      <c r="G560" s="196"/>
      <c r="H560" s="300">
        <f>SUMIFS($H$4:$H$529,$D$4:$D$529,"M5102014",$F$4:$F$529,"61""")</f>
        <v>0</v>
      </c>
      <c r="I560" s="482"/>
      <c r="J560" s="479"/>
      <c r="K560" s="300"/>
      <c r="L560" s="300"/>
      <c r="M560" s="12">
        <v>13000</v>
      </c>
      <c r="N560" s="12">
        <v>2</v>
      </c>
      <c r="O560" s="183">
        <f>SUMIFS($O$4:$O$529,$D$4:$D$529,"M5102014",$F$4:$F$529,"61""")</f>
        <v>1712</v>
      </c>
      <c r="P560" s="183">
        <f>SUMIFS($P$4:$P$529,$D$4:$D$529,"M5102014",$F$4:$F$529,"61""")</f>
        <v>994</v>
      </c>
      <c r="Q560" s="12"/>
      <c r="R560" s="454"/>
      <c r="S560" s="454"/>
      <c r="T560" s="183">
        <f>SUMIFS($T$4:$T$529,$D$4:$D$529,"M5102014",$F$4:$F$529,"61""")</f>
        <v>903</v>
      </c>
      <c r="U560" s="12"/>
      <c r="V560" s="12">
        <f>V488</f>
        <v>12765</v>
      </c>
      <c r="W560" s="119"/>
    </row>
    <row r="561" spans="1:25" s="4" customFormat="1" ht="23.25" customHeight="1">
      <c r="A561" s="451"/>
      <c r="B561" s="268" t="s">
        <v>253</v>
      </c>
      <c r="C561" s="335" t="s">
        <v>365</v>
      </c>
      <c r="D561" s="43" t="s">
        <v>246</v>
      </c>
      <c r="E561" s="430"/>
      <c r="F561" s="48" t="s">
        <v>247</v>
      </c>
      <c r="G561" s="196"/>
      <c r="H561" s="294">
        <f>SUMIFS($H$4:$H$529,$D$4:$D$529,"SC-1012",$F$4:$F$529,"76.8""")</f>
        <v>0</v>
      </c>
      <c r="I561" s="482"/>
      <c r="J561" s="479"/>
      <c r="K561" s="194"/>
      <c r="L561" s="194"/>
      <c r="M561" s="183"/>
      <c r="N561" s="194"/>
      <c r="O561" s="194">
        <f>SUMIFS($O$4:$O$529,$D$4:$D$529,"SC-1012",$F$4:$F$529,"76.8""")</f>
        <v>6976</v>
      </c>
      <c r="P561" s="194">
        <f>SUMIFS($P$4:$P$529,$D$4:$D$529,"SC-1012",$F$4:$F$529,"76.8""")</f>
        <v>2423</v>
      </c>
      <c r="Q561" s="194"/>
      <c r="R561" s="454"/>
      <c r="S561" s="454"/>
      <c r="T561" s="194">
        <f>SUMIFS($T$4:$T$529,$D$4:$D$529,"SC-1012",$F$4:$F$529,"76.8""")</f>
        <v>12339</v>
      </c>
      <c r="U561" s="183"/>
      <c r="V561" s="183">
        <f>V483</f>
        <v>7138</v>
      </c>
      <c r="W561" s="194"/>
    </row>
    <row r="562" spans="1:25" s="4" customFormat="1" ht="18" customHeight="1">
      <c r="A562" s="451"/>
      <c r="B562" s="122" t="s">
        <v>520</v>
      </c>
      <c r="C562" s="180" t="s">
        <v>521</v>
      </c>
      <c r="D562" s="48" t="s">
        <v>37</v>
      </c>
      <c r="E562" s="430"/>
      <c r="F562" s="89" t="s">
        <v>522</v>
      </c>
      <c r="G562" s="294">
        <f>SUMIFS($G$4:$G$529,$D$4:$D$529,"SC-1020",$F$4:$F$529,"74.803""")</f>
        <v>110</v>
      </c>
      <c r="H562" s="294"/>
      <c r="I562" s="482"/>
      <c r="J562" s="479"/>
      <c r="K562" s="194">
        <f>SUMIFS($K$4:$K$529,$D$4:$D$529,"SC-1020",$F$4:$F$529,"74.803""")</f>
        <v>2000</v>
      </c>
      <c r="L562" s="194">
        <f>SUMIFS($L$4:$L$529,$D$4:$D$529,"SC-1020",$F$4:$F$529,"74.803""")</f>
        <v>1</v>
      </c>
      <c r="M562" s="221"/>
      <c r="N562" s="194"/>
      <c r="O562" s="194">
        <f>SUMIFS($O$4:$O$529,$D$4:$D$529,"SC-1020",$F$4:$F$529,"74.803""")</f>
        <v>587</v>
      </c>
      <c r="P562" s="194">
        <f>SUMIFS($P$4:$P$529,$D$4:$D$529,"SC-1020",$F$4:$F$529,"74.803""")</f>
        <v>875</v>
      </c>
      <c r="Q562" s="194"/>
      <c r="R562" s="454"/>
      <c r="S562" s="454"/>
      <c r="T562" s="194">
        <f>SUMIFS($T$4:$T$529,$D$4:$D$529,"SC-1020",$F$4:$F$529,"74.803""")</f>
        <v>587</v>
      </c>
      <c r="U562" s="221"/>
      <c r="V562" s="221"/>
      <c r="W562" s="268"/>
    </row>
    <row r="563" spans="1:25" s="4" customFormat="1" ht="15.75" customHeight="1">
      <c r="A563" s="451"/>
      <c r="B563" s="122" t="s">
        <v>289</v>
      </c>
      <c r="C563" s="180" t="s">
        <v>290</v>
      </c>
      <c r="D563" s="48" t="s">
        <v>432</v>
      </c>
      <c r="E563" s="430"/>
      <c r="F563" s="59" t="s">
        <v>435</v>
      </c>
      <c r="G563" s="193">
        <f>SUMIFS($G$4:$G$529,$D$4:$D$529,"RD230Z",$F$4:$F$529,"86.61""")</f>
        <v>0</v>
      </c>
      <c r="H563" s="218"/>
      <c r="I563" s="482"/>
      <c r="J563" s="479"/>
      <c r="K563" s="183">
        <f>SUMIFS($K$4:$K$529,$D$4:$D$529,"RD230Z",$F$4:$F$529,"86.61""")</f>
        <v>0</v>
      </c>
      <c r="L563" s="183">
        <f>SUMIFS($L$4:$L$529,$D$4:$D$529,"RD230Z",$F$4:$F$529,"86.61""")</f>
        <v>0</v>
      </c>
      <c r="M563" s="191"/>
      <c r="N563" s="183"/>
      <c r="O563" s="183">
        <f>SUMIFS($O$4:$O$529,$D$4:$D$529,"RD230Z",$F$4:$F$529,"86.61""")</f>
        <v>1682</v>
      </c>
      <c r="P563" s="183">
        <f>SUMIFS($P$4:$P$529,$D$4:$D$529,"RD230Z",$F$4:$F$529,"86.61""")</f>
        <v>1437</v>
      </c>
      <c r="Q563" s="183"/>
      <c r="R563" s="454"/>
      <c r="S563" s="454"/>
      <c r="T563" s="183">
        <f>SUMIFS($T$4:$T$529,$D$4:$D$529,"RD230Z",$F$4:$F$529,"86.61""")</f>
        <v>1682</v>
      </c>
      <c r="U563" s="191"/>
      <c r="V563" s="191"/>
      <c r="W563" s="122"/>
    </row>
    <row r="564" spans="1:25" s="4" customFormat="1" ht="15.75" customHeight="1">
      <c r="A564" s="451"/>
      <c r="B564" s="122" t="s">
        <v>289</v>
      </c>
      <c r="C564" s="157" t="s">
        <v>516</v>
      </c>
      <c r="D564" s="48" t="s">
        <v>432</v>
      </c>
      <c r="E564" s="430"/>
      <c r="F564" s="59" t="s">
        <v>515</v>
      </c>
      <c r="G564" s="280">
        <f>SUMIFS($G$4:$G$529,$D$4:$D$529,"RD230Z",$F$4:$F$529,"80.315""")</f>
        <v>277.2</v>
      </c>
      <c r="H564" s="193"/>
      <c r="I564" s="482"/>
      <c r="J564" s="479"/>
      <c r="K564" s="191">
        <f>SUMIFS($K$4:$K$529,$D$4:$D$529,"RD230Z",$F$4:$F$529,"80.315""")</f>
        <v>4000</v>
      </c>
      <c r="L564" s="191">
        <f>SUMIFS($L$4:$L$529,$D$4:$D$529,"RD230Z",$F$4:$F$529,"80.315""")</f>
        <v>1</v>
      </c>
      <c r="M564" s="191"/>
      <c r="N564" s="191"/>
      <c r="O564" s="191">
        <f>SUMIFS($O$4:$O$529,$D$4:$D$529,"RD230Z",$F$4:$F$529,"80.315""")</f>
        <v>1132</v>
      </c>
      <c r="P564" s="191">
        <f>SUMIFS($P$4:$P$529,$D$4:$D$529,"RD230Z",$F$4:$F$529,"80.315""")</f>
        <v>1648</v>
      </c>
      <c r="Q564" s="183"/>
      <c r="R564" s="454"/>
      <c r="S564" s="454"/>
      <c r="T564" s="191">
        <f>SUMIFS($T$4:$T$529,$D$4:$D$529,"RD230Z",$F$4:$F$529,"80.315""")</f>
        <v>1132</v>
      </c>
      <c r="U564" s="191"/>
      <c r="V564" s="191">
        <f>V492</f>
        <v>0</v>
      </c>
      <c r="W564" s="122"/>
    </row>
    <row r="565" spans="1:25" s="4" customFormat="1" ht="15.75" customHeight="1">
      <c r="A565" s="451"/>
      <c r="B565" s="442" t="s">
        <v>289</v>
      </c>
      <c r="C565" s="444" t="s">
        <v>503</v>
      </c>
      <c r="D565" s="48" t="s">
        <v>432</v>
      </c>
      <c r="E565" s="430"/>
      <c r="F565" s="59" t="s">
        <v>502</v>
      </c>
      <c r="G565" s="280">
        <f>SUMIFS($G$4:$G$529,$D$4:$D$529,"RD230Z",$F$4:$F$529,"84.25""")</f>
        <v>1306.77</v>
      </c>
      <c r="H565" s="193"/>
      <c r="I565" s="482"/>
      <c r="J565" s="479"/>
      <c r="K565" s="191">
        <f>SUMIFS($K$4:$K$529,$D$4:$D$529,"RD230Z",$F$4:$F$529,"84.25""")</f>
        <v>12000</v>
      </c>
      <c r="L565" s="191">
        <f>SUMIFS($L$4:$L$529,$D$4:$D$529,"RD230Z",$F$4:$F$529,"84.25""")</f>
        <v>2</v>
      </c>
      <c r="M565" s="191">
        <v>6000</v>
      </c>
      <c r="N565" s="183">
        <v>1</v>
      </c>
      <c r="O565" s="191">
        <f>SUMIFS($O$4:$O$529,$D$4:$D$529,"RD230Z",$F$4:$F$529,"84.25""")</f>
        <v>3625</v>
      </c>
      <c r="P565" s="191">
        <f>SUMIFS($P$4:$P$529,$D$4:$D$529,"RD230Z",$F$4:$F$529,"84.25""")</f>
        <v>3758</v>
      </c>
      <c r="Q565" s="183"/>
      <c r="R565" s="454"/>
      <c r="S565" s="454"/>
      <c r="T565" s="191">
        <f>SUMIFS($T$4:$T$529,$D$4:$D$529,"RD230Z",$F$4:$F$529,"84.25""")</f>
        <v>2625</v>
      </c>
      <c r="U565" s="191"/>
      <c r="V565" s="191">
        <f>V493</f>
        <v>1000</v>
      </c>
      <c r="W565" s="122"/>
    </row>
    <row r="566" spans="1:25" s="4" customFormat="1" ht="15.75" customHeight="1">
      <c r="A566" s="451"/>
      <c r="B566" s="443"/>
      <c r="C566" s="446"/>
      <c r="D566" s="48" t="s">
        <v>433</v>
      </c>
      <c r="E566" s="430"/>
      <c r="F566" s="59"/>
      <c r="G566" s="280"/>
      <c r="H566" s="183">
        <f>SUMIF($D$4:$D$529,"RD278Z",$H$4:$H$529)</f>
        <v>1346.4</v>
      </c>
      <c r="I566" s="482"/>
      <c r="J566" s="479"/>
      <c r="K566" s="191"/>
      <c r="L566" s="191"/>
      <c r="M566" s="191"/>
      <c r="N566" s="183"/>
      <c r="O566" s="191"/>
      <c r="P566" s="191"/>
      <c r="Q566" s="183"/>
      <c r="R566" s="454"/>
      <c r="S566" s="454"/>
      <c r="T566" s="191"/>
      <c r="U566" s="191"/>
      <c r="V566" s="191"/>
      <c r="W566" s="122"/>
    </row>
    <row r="567" spans="1:25" s="4" customFormat="1" ht="15.75" customHeight="1">
      <c r="A567" s="451"/>
      <c r="B567" s="122" t="s">
        <v>289</v>
      </c>
      <c r="C567" s="180" t="s">
        <v>508</v>
      </c>
      <c r="D567" s="48" t="s">
        <v>432</v>
      </c>
      <c r="E567" s="430"/>
      <c r="F567" s="59" t="s">
        <v>506</v>
      </c>
      <c r="G567" s="280">
        <f>SUMIFS($G$4:$G$529,$D$4:$D$529,"RD230Z",$F$4:$F$529,"92.125""")</f>
        <v>2218.04</v>
      </c>
      <c r="H567" s="193"/>
      <c r="I567" s="482"/>
      <c r="J567" s="479"/>
      <c r="K567" s="191">
        <f>SUMIFS($K$4:$K$529,$D$4:$D$529,"RD230Z",$F$4:$F$529,"92.125""")</f>
        <v>21000</v>
      </c>
      <c r="L567" s="191">
        <f>SUMIFS($L$4:$L$529,$D$4:$D$529,"RD230Z",$F$4:$F$529,"92.125""")</f>
        <v>3</v>
      </c>
      <c r="M567" s="191">
        <v>7000</v>
      </c>
      <c r="N567" s="183">
        <v>1</v>
      </c>
      <c r="O567" s="191">
        <f>SUMIFS($O$4:$O$529,$D$4:$D$529,"RD230Z",$F$4:$F$529,"92.125""")</f>
        <v>2570</v>
      </c>
      <c r="P567" s="191">
        <f>SUMIFS($P$4:$P$529,$D$4:$D$529,"RD230Z",$F$4:$F$529,"92.125""")</f>
        <v>3700</v>
      </c>
      <c r="Q567" s="183"/>
      <c r="R567" s="454"/>
      <c r="S567" s="454"/>
      <c r="T567" s="191">
        <f>SUMIFS($T$4:$T$529,$D$4:$D$529,"RD230Z",$F$4:$F$529,"92.125""")</f>
        <v>1490</v>
      </c>
      <c r="U567" s="191"/>
      <c r="V567" s="191">
        <f>V494</f>
        <v>1080</v>
      </c>
      <c r="W567" s="122"/>
    </row>
    <row r="568" spans="1:25" s="4" customFormat="1" ht="15.75" customHeight="1">
      <c r="A568" s="451"/>
      <c r="B568" s="268" t="s">
        <v>453</v>
      </c>
      <c r="C568" s="180" t="s">
        <v>505</v>
      </c>
      <c r="D568" s="48" t="s">
        <v>432</v>
      </c>
      <c r="E568" s="430"/>
      <c r="F568" s="59" t="s">
        <v>57</v>
      </c>
      <c r="G568" s="193"/>
      <c r="H568" s="193">
        <f>SUMIFS($H$4:$H$529,$B$4:$B$529,"SAFFEROT - 1",$D$4:$D$529,"RD230Z",$F$4:$F$529,"66.5""")</f>
        <v>0</v>
      </c>
      <c r="I568" s="482"/>
      <c r="J568" s="479"/>
      <c r="K568" s="183"/>
      <c r="L568" s="183"/>
      <c r="M568" s="191"/>
      <c r="N568" s="183"/>
      <c r="O568" s="191">
        <f>SUMIFS($O$4:$O$529,$B$4:$B$529,"SAFFEROT - 1",$D$4:$D$529,"RD230Z",$F$4:$F$529,"66.5""")</f>
        <v>715</v>
      </c>
      <c r="P568" s="191">
        <f>SUMIFS($P$4:$P$529,$B$4:$B$529,"SAFFEROT - 1",$D$4:$D$529,"RD230Z",$F$4:$F$529,"66.5""")</f>
        <v>715</v>
      </c>
      <c r="Q568" s="183"/>
      <c r="R568" s="454"/>
      <c r="S568" s="454"/>
      <c r="T568" s="183">
        <f>SUMIFS($T$4:$T$529,$B$4:$B$529,"SAFFEROT - 1",$D$4:$D$529,"RD230Z",$F$4:$F$529,"66.5""")</f>
        <v>715</v>
      </c>
      <c r="U568" s="191"/>
      <c r="V568" s="191"/>
      <c r="W568" s="122"/>
    </row>
    <row r="569" spans="1:25" s="4" customFormat="1" ht="15.75" customHeight="1">
      <c r="A569" s="451"/>
      <c r="B569" s="268" t="s">
        <v>454</v>
      </c>
      <c r="C569" s="180" t="s">
        <v>505</v>
      </c>
      <c r="D569" s="48" t="s">
        <v>432</v>
      </c>
      <c r="E569" s="430"/>
      <c r="F569" s="59" t="s">
        <v>57</v>
      </c>
      <c r="G569" s="193"/>
      <c r="H569" s="193"/>
      <c r="I569" s="482"/>
      <c r="J569" s="479"/>
      <c r="K569" s="183"/>
      <c r="L569" s="183"/>
      <c r="M569" s="191"/>
      <c r="N569" s="191"/>
      <c r="O569" s="191"/>
      <c r="P569" s="191"/>
      <c r="Q569" s="183"/>
      <c r="R569" s="454"/>
      <c r="S569" s="454"/>
      <c r="T569" s="183">
        <f>SUMIFS($T$4:$T$529,$B$4:$B$529,"SAFFEROT - 2",$D$4:$D$529,"RD230Z",$F$4:$F$529,"66.5""")</f>
        <v>895</v>
      </c>
      <c r="U569" s="191"/>
      <c r="V569" s="191"/>
      <c r="W569" s="122"/>
    </row>
    <row r="570" spans="1:25" s="4" customFormat="1" ht="17.25" customHeight="1">
      <c r="A570" s="451"/>
      <c r="B570" s="122" t="s">
        <v>375</v>
      </c>
      <c r="C570" s="157" t="s">
        <v>376</v>
      </c>
      <c r="D570" s="48" t="s">
        <v>248</v>
      </c>
      <c r="E570" s="430"/>
      <c r="F570" s="59" t="s">
        <v>64</v>
      </c>
      <c r="G570" s="196"/>
      <c r="H570" s="183"/>
      <c r="I570" s="482"/>
      <c r="J570" s="479"/>
      <c r="K570" s="183"/>
      <c r="L570" s="183"/>
      <c r="M570" s="191"/>
      <c r="N570" s="191"/>
      <c r="O570" s="183">
        <f>SUMIFS($O$4:$O$529,$B$4:$B$529,"TGT 400D",$D$4:$D$529,"H20123")</f>
        <v>0</v>
      </c>
      <c r="P570" s="183">
        <f>SUMIFS($P$4:$P$529,$B$4:$B$529,"TGT 400D",$D$4:$D$529,"H20123")</f>
        <v>0</v>
      </c>
      <c r="Q570" s="183"/>
      <c r="R570" s="454"/>
      <c r="S570" s="454"/>
      <c r="T570" s="183">
        <f>SUMIFS($T$4:$T$529,$B$4:$B$529,"TGT 400D",$D$4:$D$529,"H20123")</f>
        <v>0</v>
      </c>
      <c r="U570" s="183"/>
      <c r="V570" s="191">
        <f>V489</f>
        <v>75911</v>
      </c>
      <c r="W570" s="122"/>
      <c r="Y570" s="219"/>
    </row>
    <row r="571" spans="1:25" s="4" customFormat="1" ht="17.25" customHeight="1">
      <c r="A571" s="451"/>
      <c r="B571" s="122" t="s">
        <v>421</v>
      </c>
      <c r="C571" s="157" t="s">
        <v>420</v>
      </c>
      <c r="D571" s="48" t="s">
        <v>248</v>
      </c>
      <c r="E571" s="430"/>
      <c r="F571" s="59" t="s">
        <v>64</v>
      </c>
      <c r="G571" s="196">
        <f>SUMIFS($G$4:$G$529,$B$4:$B$529,"WMT CHRISTMAS 60""",$D$4:$D$529,"H20123")</f>
        <v>0</v>
      </c>
      <c r="H571" s="183">
        <f>SUMIFS($H$4:$H$529,$B$4:$B$529,"WMT CHRISTMAS 60""",$D$4:$D$529,"H20123")</f>
        <v>0</v>
      </c>
      <c r="I571" s="482"/>
      <c r="J571" s="479"/>
      <c r="K571" s="183">
        <f>SUMIFS($K$4:$K$529,$B$4:$B$529,"WMT CHRISTMAS 60""",$D$4:$D$529,"H20123")</f>
        <v>0</v>
      </c>
      <c r="L571" s="183">
        <f>SUMIFS($L$4:$L$529,$B$4:$B$529,"WMT CHRISTMAS 60""",$D$4:$D$529,"H20123")</f>
        <v>0</v>
      </c>
      <c r="M571" s="191">
        <v>46200</v>
      </c>
      <c r="N571" s="191">
        <v>11</v>
      </c>
      <c r="O571" s="183">
        <f>SUMIFS($O$4:$O$529,$B$4:$B$529,"WMT CHRISTMAS 60""",$D$4:$D$529,"H20123")</f>
        <v>0</v>
      </c>
      <c r="P571" s="183">
        <f>SUMIFS($P$4:$P$529,$B$4:$B$529,"WMT CHRISTMAS 60""",$D$4:$D$529,"H20123")</f>
        <v>0</v>
      </c>
      <c r="Q571" s="183"/>
      <c r="R571" s="454"/>
      <c r="S571" s="454"/>
      <c r="T571" s="183"/>
      <c r="U571" s="183"/>
      <c r="V571" s="191">
        <f>V490</f>
        <v>57857</v>
      </c>
      <c r="W571" s="183"/>
      <c r="Y571" s="219"/>
    </row>
    <row r="572" spans="1:25" ht="17.25" customHeight="1">
      <c r="A572" s="451"/>
      <c r="B572" s="122" t="s">
        <v>103</v>
      </c>
      <c r="C572" s="157" t="s">
        <v>197</v>
      </c>
      <c r="D572" s="48" t="s">
        <v>104</v>
      </c>
      <c r="E572" s="430"/>
      <c r="F572" s="59" t="s">
        <v>105</v>
      </c>
      <c r="G572" s="116"/>
      <c r="H572" s="49"/>
      <c r="I572" s="482"/>
      <c r="J572" s="479"/>
      <c r="K572" s="12"/>
      <c r="L572" s="12"/>
      <c r="M572" s="116"/>
      <c r="N572" s="116"/>
      <c r="O572" s="191">
        <f>SUMIFS($O$4:$O$529,$D$4:$D$529," RD159Z",$F$4:$F$529,"95""")</f>
        <v>47</v>
      </c>
      <c r="P572" s="183"/>
      <c r="Q572" s="12"/>
      <c r="R572" s="454"/>
      <c r="S572" s="454"/>
      <c r="T572" s="12"/>
      <c r="U572" s="116"/>
      <c r="V572" s="191">
        <f>V495</f>
        <v>47</v>
      </c>
      <c r="W572" s="119"/>
    </row>
    <row r="573" spans="1:25" ht="17.25" customHeight="1" thickBot="1">
      <c r="A573" s="451"/>
      <c r="B573" s="137" t="s">
        <v>112</v>
      </c>
      <c r="C573" s="157" t="s">
        <v>197</v>
      </c>
      <c r="D573" s="48" t="s">
        <v>104</v>
      </c>
      <c r="E573" s="430"/>
      <c r="F573" s="59" t="s">
        <v>113</v>
      </c>
      <c r="G573" s="116"/>
      <c r="H573" s="184"/>
      <c r="I573" s="482"/>
      <c r="J573" s="479"/>
      <c r="K573" s="12"/>
      <c r="L573" s="12"/>
      <c r="M573" s="116"/>
      <c r="N573" s="116"/>
      <c r="O573" s="191">
        <f>SUMIFS($O$4:$O$529,$D$4:$D$529," RD159Z",$F$4:$F$529,"94""")</f>
        <v>34</v>
      </c>
      <c r="P573" s="183"/>
      <c r="Q573" s="12"/>
      <c r="R573" s="454"/>
      <c r="S573" s="454"/>
      <c r="T573" s="12"/>
      <c r="U573" s="116"/>
      <c r="V573" s="191">
        <f>V496</f>
        <v>34</v>
      </c>
      <c r="W573" s="131"/>
    </row>
    <row r="574" spans="1:25" s="247" customFormat="1" ht="17.25" customHeight="1" thickBot="1">
      <c r="A574" s="242" t="s">
        <v>5</v>
      </c>
      <c r="B574" s="243"/>
      <c r="C574" s="244"/>
      <c r="D574" s="243"/>
      <c r="E574" s="243"/>
      <c r="F574" s="243"/>
      <c r="G574" s="245">
        <f t="shared" ref="G574:P574" si="27">SUM(G530:G573)</f>
        <v>96107.1</v>
      </c>
      <c r="H574" s="245">
        <f t="shared" si="27"/>
        <v>90119.099999999991</v>
      </c>
      <c r="I574" s="246">
        <f t="shared" si="27"/>
        <v>612</v>
      </c>
      <c r="J574" s="308">
        <f t="shared" si="27"/>
        <v>22.5</v>
      </c>
      <c r="K574" s="246">
        <f t="shared" si="27"/>
        <v>1247480</v>
      </c>
      <c r="L574" s="246">
        <f t="shared" si="27"/>
        <v>169</v>
      </c>
      <c r="M574" s="310">
        <f t="shared" si="27"/>
        <v>825743</v>
      </c>
      <c r="N574" s="246">
        <f t="shared" si="27"/>
        <v>122</v>
      </c>
      <c r="O574" s="246">
        <f t="shared" si="27"/>
        <v>1256946</v>
      </c>
      <c r="P574" s="310">
        <f t="shared" si="27"/>
        <v>1249361</v>
      </c>
      <c r="Q574" s="310"/>
      <c r="R574" s="310">
        <f>SUM(R530:R573)</f>
        <v>1256946</v>
      </c>
      <c r="S574" s="310">
        <f>SUM(S530:S573)</f>
        <v>1249361</v>
      </c>
      <c r="T574" s="246">
        <f>SUM(T530:T573)</f>
        <v>1430176</v>
      </c>
      <c r="U574" s="246">
        <f>SUM(U530:U573)</f>
        <v>388</v>
      </c>
      <c r="V574" s="246">
        <f>SUM(V530:V573)</f>
        <v>468654</v>
      </c>
      <c r="W574" s="243"/>
      <c r="Y574" s="248"/>
    </row>
    <row r="575" spans="1:25">
      <c r="G575" s="103"/>
      <c r="P575" s="29"/>
      <c r="Q575" s="13"/>
    </row>
    <row r="576" spans="1:25">
      <c r="G576" s="195"/>
      <c r="K576" s="13"/>
      <c r="L576" s="13"/>
      <c r="M576" s="13"/>
      <c r="N576" s="13"/>
      <c r="Q576" s="13"/>
    </row>
    <row r="577" spans="1:24">
      <c r="G577" s="197"/>
      <c r="H577" s="103"/>
      <c r="K577" s="13"/>
      <c r="L577" s="13"/>
      <c r="M577" s="13"/>
      <c r="N577" s="13"/>
      <c r="Q577" s="13"/>
      <c r="W577" s="13"/>
    </row>
    <row r="578" spans="1:24" ht="15.75">
      <c r="B578" s="241"/>
      <c r="G578" s="103"/>
      <c r="H578" s="103"/>
      <c r="K578" s="13"/>
      <c r="L578" s="13"/>
      <c r="M578" s="13"/>
      <c r="N578" s="13"/>
      <c r="Q578" s="13"/>
    </row>
    <row r="579" spans="1:24">
      <c r="K579" s="13"/>
      <c r="L579" s="13"/>
      <c r="M579" s="13"/>
      <c r="N579" s="13"/>
      <c r="Q579" s="13"/>
      <c r="W579" s="13"/>
    </row>
    <row r="580" spans="1:24">
      <c r="K580" s="13"/>
      <c r="L580" s="13"/>
      <c r="M580" s="13"/>
      <c r="N580" s="13"/>
      <c r="Q580" s="13"/>
    </row>
    <row r="581" spans="1:24">
      <c r="H581" s="103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</row>
    <row r="583" spans="1:24">
      <c r="X583" s="4"/>
    </row>
    <row r="588" spans="1:24" s="4" customFormat="1">
      <c r="A588" s="15"/>
      <c r="B588" s="1"/>
      <c r="C588" s="7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3"/>
      <c r="P588" s="13"/>
      <c r="Q588" s="1"/>
      <c r="R588" s="13"/>
      <c r="S588" s="13"/>
      <c r="T588" s="13"/>
      <c r="U588" s="13"/>
      <c r="V588" s="13"/>
      <c r="W588" s="1"/>
      <c r="X588" s="1"/>
    </row>
    <row r="592" spans="1:24">
      <c r="H592" s="103"/>
    </row>
  </sheetData>
  <mergeCells count="265">
    <mergeCell ref="A398:A429"/>
    <mergeCell ref="B398:B400"/>
    <mergeCell ref="C398:C400"/>
    <mergeCell ref="I398:I429"/>
    <mergeCell ref="R398:R429"/>
    <mergeCell ref="S398:S429"/>
    <mergeCell ref="E399:E400"/>
    <mergeCell ref="B401:B404"/>
    <mergeCell ref="C401:C403"/>
    <mergeCell ref="B405:B407"/>
    <mergeCell ref="C405:C407"/>
    <mergeCell ref="E405:E406"/>
    <mergeCell ref="E408:E429"/>
    <mergeCell ref="J398:J429"/>
    <mergeCell ref="A295:A326"/>
    <mergeCell ref="B295:B296"/>
    <mergeCell ref="C295:C296"/>
    <mergeCell ref="R295:R326"/>
    <mergeCell ref="S295:S326"/>
    <mergeCell ref="B297:B300"/>
    <mergeCell ref="C297:C299"/>
    <mergeCell ref="B301:B303"/>
    <mergeCell ref="C301:C303"/>
    <mergeCell ref="E301:E302"/>
    <mergeCell ref="E304:E326"/>
    <mergeCell ref="A194:A225"/>
    <mergeCell ref="R194:R225"/>
    <mergeCell ref="S194:S225"/>
    <mergeCell ref="B197:B200"/>
    <mergeCell ref="C197:C199"/>
    <mergeCell ref="B201:B203"/>
    <mergeCell ref="C201:C203"/>
    <mergeCell ref="E201:E202"/>
    <mergeCell ref="E204:E225"/>
    <mergeCell ref="B194:B196"/>
    <mergeCell ref="C194:C196"/>
    <mergeCell ref="E195:E196"/>
    <mergeCell ref="A161:A193"/>
    <mergeCell ref="B161:B162"/>
    <mergeCell ref="C161:C162"/>
    <mergeCell ref="R161:R193"/>
    <mergeCell ref="S161:S193"/>
    <mergeCell ref="B163:B166"/>
    <mergeCell ref="C163:C165"/>
    <mergeCell ref="B167:B169"/>
    <mergeCell ref="C167:C169"/>
    <mergeCell ref="E167:E168"/>
    <mergeCell ref="E170:E193"/>
    <mergeCell ref="B176:B177"/>
    <mergeCell ref="C176:C177"/>
    <mergeCell ref="B187:B188"/>
    <mergeCell ref="C187:C188"/>
    <mergeCell ref="A98:A128"/>
    <mergeCell ref="B98:B99"/>
    <mergeCell ref="C98:C99"/>
    <mergeCell ref="R98:R128"/>
    <mergeCell ref="S98:S128"/>
    <mergeCell ref="B100:B103"/>
    <mergeCell ref="C100:C102"/>
    <mergeCell ref="B104:B106"/>
    <mergeCell ref="C104:C106"/>
    <mergeCell ref="E104:E105"/>
    <mergeCell ref="E107:E128"/>
    <mergeCell ref="R67:R97"/>
    <mergeCell ref="S67:S97"/>
    <mergeCell ref="B69:B72"/>
    <mergeCell ref="C69:C71"/>
    <mergeCell ref="B73:B75"/>
    <mergeCell ref="C73:C75"/>
    <mergeCell ref="E73:E74"/>
    <mergeCell ref="E76:E97"/>
    <mergeCell ref="L2:L3"/>
    <mergeCell ref="J2:J3"/>
    <mergeCell ref="K2:K3"/>
    <mergeCell ref="R35:R66"/>
    <mergeCell ref="S35:S66"/>
    <mergeCell ref="E42:E43"/>
    <mergeCell ref="E45:E66"/>
    <mergeCell ref="C52:C53"/>
    <mergeCell ref="B52:B53"/>
    <mergeCell ref="R4:R34"/>
    <mergeCell ref="S4:S3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67:A97"/>
    <mergeCell ref="B67:B68"/>
    <mergeCell ref="C67:C68"/>
    <mergeCell ref="A35:A66"/>
    <mergeCell ref="B35:B36"/>
    <mergeCell ref="C35:C36"/>
    <mergeCell ref="E11:E12"/>
    <mergeCell ref="E14:E34"/>
    <mergeCell ref="B4:B5"/>
    <mergeCell ref="C4:C5"/>
    <mergeCell ref="B37:B41"/>
    <mergeCell ref="C37:C39"/>
    <mergeCell ref="C40:C41"/>
    <mergeCell ref="E40:E41"/>
    <mergeCell ref="B42:B44"/>
    <mergeCell ref="C42:C44"/>
    <mergeCell ref="B6:B10"/>
    <mergeCell ref="C6:C8"/>
    <mergeCell ref="C9:C10"/>
    <mergeCell ref="E9:E10"/>
    <mergeCell ref="B11:B13"/>
    <mergeCell ref="C11:C13"/>
    <mergeCell ref="A4:A34"/>
    <mergeCell ref="T2:T3"/>
    <mergeCell ref="U2:U3"/>
    <mergeCell ref="V2:V3"/>
    <mergeCell ref="W2:W3"/>
    <mergeCell ref="M2:M3"/>
    <mergeCell ref="N2:N3"/>
    <mergeCell ref="O2:O3"/>
    <mergeCell ref="P2:P3"/>
    <mergeCell ref="Q2:Q3"/>
    <mergeCell ref="R2:S2"/>
    <mergeCell ref="A530:A573"/>
    <mergeCell ref="C539:C540"/>
    <mergeCell ref="B541:B545"/>
    <mergeCell ref="C541:C545"/>
    <mergeCell ref="B554:B555"/>
    <mergeCell ref="C554:C555"/>
    <mergeCell ref="C552:C553"/>
    <mergeCell ref="B552:B553"/>
    <mergeCell ref="C530:C532"/>
    <mergeCell ref="B530:B532"/>
    <mergeCell ref="S530:S573"/>
    <mergeCell ref="B533:B540"/>
    <mergeCell ref="C533:C538"/>
    <mergeCell ref="E533:E534"/>
    <mergeCell ref="E535:E536"/>
    <mergeCell ref="E538:E539"/>
    <mergeCell ref="E543:E544"/>
    <mergeCell ref="E541:E542"/>
    <mergeCell ref="E546:E573"/>
    <mergeCell ref="I530:I573"/>
    <mergeCell ref="J530:J573"/>
    <mergeCell ref="R530:R573"/>
    <mergeCell ref="B565:B566"/>
    <mergeCell ref="C565:C566"/>
    <mergeCell ref="E531:E532"/>
    <mergeCell ref="A497:A529"/>
    <mergeCell ref="R497:R529"/>
    <mergeCell ref="S497:S529"/>
    <mergeCell ref="B500:B503"/>
    <mergeCell ref="C500:C502"/>
    <mergeCell ref="B504:B506"/>
    <mergeCell ref="C504:C506"/>
    <mergeCell ref="E504:E505"/>
    <mergeCell ref="E507:E529"/>
    <mergeCell ref="C497:C499"/>
    <mergeCell ref="B497:B499"/>
    <mergeCell ref="E498:E499"/>
    <mergeCell ref="A129:A160"/>
    <mergeCell ref="B129:B130"/>
    <mergeCell ref="C129:C130"/>
    <mergeCell ref="R129:R160"/>
    <mergeCell ref="S129:S160"/>
    <mergeCell ref="B131:B135"/>
    <mergeCell ref="C131:C134"/>
    <mergeCell ref="B136:B138"/>
    <mergeCell ref="C136:C138"/>
    <mergeCell ref="E136:E137"/>
    <mergeCell ref="E139:E160"/>
    <mergeCell ref="E131:E132"/>
    <mergeCell ref="A226:A259"/>
    <mergeCell ref="B226:B227"/>
    <mergeCell ref="C226:C227"/>
    <mergeCell ref="R226:R259"/>
    <mergeCell ref="S226:S259"/>
    <mergeCell ref="B228:B232"/>
    <mergeCell ref="C228:C231"/>
    <mergeCell ref="B233:B235"/>
    <mergeCell ref="C233:C235"/>
    <mergeCell ref="E233:E234"/>
    <mergeCell ref="E236:E259"/>
    <mergeCell ref="E228:E229"/>
    <mergeCell ref="C252:C253"/>
    <mergeCell ref="B252:B253"/>
    <mergeCell ref="A260:A294"/>
    <mergeCell ref="B260:B262"/>
    <mergeCell ref="C260:C262"/>
    <mergeCell ref="R260:R294"/>
    <mergeCell ref="S260:S294"/>
    <mergeCell ref="E261:E262"/>
    <mergeCell ref="B263:B266"/>
    <mergeCell ref="C263:C265"/>
    <mergeCell ref="B267:B269"/>
    <mergeCell ref="C267:C269"/>
    <mergeCell ref="E267:E268"/>
    <mergeCell ref="E270:E294"/>
    <mergeCell ref="C275:C276"/>
    <mergeCell ref="B275:B276"/>
    <mergeCell ref="C289:C290"/>
    <mergeCell ref="B289:B290"/>
    <mergeCell ref="A327:A361"/>
    <mergeCell ref="B327:B329"/>
    <mergeCell ref="C327:C329"/>
    <mergeCell ref="I327:I361"/>
    <mergeCell ref="R327:R361"/>
    <mergeCell ref="S327:S361"/>
    <mergeCell ref="E328:E329"/>
    <mergeCell ref="B330:B335"/>
    <mergeCell ref="C330:C334"/>
    <mergeCell ref="E330:E331"/>
    <mergeCell ref="E332:E333"/>
    <mergeCell ref="B336:B338"/>
    <mergeCell ref="C336:C338"/>
    <mergeCell ref="E336:E337"/>
    <mergeCell ref="E339:E361"/>
    <mergeCell ref="A362:A397"/>
    <mergeCell ref="B362:B364"/>
    <mergeCell ref="C362:C364"/>
    <mergeCell ref="R362:R397"/>
    <mergeCell ref="S362:S397"/>
    <mergeCell ref="E363:E364"/>
    <mergeCell ref="B365:B369"/>
    <mergeCell ref="C365:C368"/>
    <mergeCell ref="E365:E366"/>
    <mergeCell ref="B370:B372"/>
    <mergeCell ref="C370:C372"/>
    <mergeCell ref="E370:E371"/>
    <mergeCell ref="E373:E397"/>
    <mergeCell ref="C379:C380"/>
    <mergeCell ref="B379:B380"/>
    <mergeCell ref="C391:C392"/>
    <mergeCell ref="B391:B392"/>
    <mergeCell ref="A430:A463"/>
    <mergeCell ref="B430:B432"/>
    <mergeCell ref="C430:C432"/>
    <mergeCell ref="R430:R463"/>
    <mergeCell ref="S430:S463"/>
    <mergeCell ref="E431:E432"/>
    <mergeCell ref="B433:B436"/>
    <mergeCell ref="C433:C435"/>
    <mergeCell ref="B437:B439"/>
    <mergeCell ref="C437:C439"/>
    <mergeCell ref="E437:E438"/>
    <mergeCell ref="E440:E463"/>
    <mergeCell ref="C446:C447"/>
    <mergeCell ref="B446:B447"/>
    <mergeCell ref="C460:C461"/>
    <mergeCell ref="B460:B461"/>
    <mergeCell ref="A464:A496"/>
    <mergeCell ref="B464:B465"/>
    <mergeCell ref="C464:C465"/>
    <mergeCell ref="R464:R496"/>
    <mergeCell ref="S464:S496"/>
    <mergeCell ref="B466:B470"/>
    <mergeCell ref="C466:C469"/>
    <mergeCell ref="B471:B473"/>
    <mergeCell ref="C471:C473"/>
    <mergeCell ref="E471:E472"/>
    <mergeCell ref="E474:E496"/>
    <mergeCell ref="E466:E467"/>
    <mergeCell ref="C479:C480"/>
    <mergeCell ref="B479:B480"/>
  </mergeCells>
  <pageMargins left="0.16" right="0.16" top="0.16" bottom="1.29" header="0.16" footer="0.16"/>
  <pageSetup paperSize="9" scale="5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445"/>
  <sheetViews>
    <sheetView zoomScale="87" zoomScaleNormal="87" workbookViewId="0">
      <pane xSplit="2" ySplit="3" topLeftCell="C4" activePane="bottomRight" state="frozen"/>
      <selection activeCell="N182" sqref="N182"/>
      <selection pane="topRight" activeCell="N182" sqref="N182"/>
      <selection pane="bottomLeft" activeCell="N182" sqref="N182"/>
      <selection pane="bottomRight" activeCell="H275" sqref="H275"/>
    </sheetView>
  </sheetViews>
  <sheetFormatPr defaultRowHeight="15"/>
  <cols>
    <col min="1" max="1" width="11.7109375" style="15" customWidth="1"/>
    <col min="2" max="2" width="18.5703125" style="1" customWidth="1"/>
    <col min="3" max="3" width="60.28515625" style="79" customWidth="1"/>
    <col min="4" max="4" width="20.42578125" style="1" customWidth="1"/>
    <col min="5" max="5" width="13.28515625" style="1" customWidth="1"/>
    <col min="6" max="6" width="8.28515625" style="1" customWidth="1"/>
    <col min="7" max="7" width="13.85546875" style="1" customWidth="1"/>
    <col min="8" max="8" width="14.5703125" style="1" customWidth="1"/>
    <col min="9" max="11" width="14.42578125" style="1" customWidth="1"/>
    <col min="12" max="12" width="13.28515625" style="1" customWidth="1"/>
    <col min="13" max="13" width="15.140625" style="13" customWidth="1"/>
    <col min="14" max="14" width="15.42578125" style="13" customWidth="1"/>
    <col min="15" max="15" width="14.7109375" style="13" customWidth="1"/>
    <col min="16" max="16" width="12.85546875" style="13" customWidth="1"/>
    <col min="17" max="17" width="19" style="1" customWidth="1"/>
    <col min="18" max="18" width="9.140625" style="1" customWidth="1"/>
    <col min="19" max="19" width="14.7109375" style="1" customWidth="1"/>
    <col min="20" max="20" width="15.28515625" style="1" customWidth="1"/>
    <col min="21" max="21" width="16.140625" style="1" customWidth="1"/>
    <col min="22" max="24" width="9.140625" style="1"/>
    <col min="25" max="25" width="10.7109375" style="1" bestFit="1" customWidth="1"/>
    <col min="26" max="16384" width="9.140625" style="1"/>
  </cols>
  <sheetData>
    <row r="2" spans="1:20" ht="31.5" customHeight="1">
      <c r="A2" s="468" t="s">
        <v>38</v>
      </c>
      <c r="B2" s="465" t="s">
        <v>43</v>
      </c>
      <c r="C2" s="469" t="s">
        <v>62</v>
      </c>
      <c r="D2" s="465" t="s">
        <v>36</v>
      </c>
      <c r="E2" s="465" t="s">
        <v>39</v>
      </c>
      <c r="F2" s="469" t="s">
        <v>90</v>
      </c>
      <c r="G2" s="459" t="s">
        <v>49</v>
      </c>
      <c r="H2" s="459" t="s">
        <v>50</v>
      </c>
      <c r="I2" s="459" t="s">
        <v>51</v>
      </c>
      <c r="J2" s="459" t="s">
        <v>52</v>
      </c>
      <c r="K2" s="459" t="s">
        <v>81</v>
      </c>
      <c r="L2" s="459" t="s">
        <v>82</v>
      </c>
      <c r="M2" s="466" t="s">
        <v>86</v>
      </c>
      <c r="N2" s="466" t="s">
        <v>87</v>
      </c>
      <c r="O2" s="456" t="s">
        <v>76</v>
      </c>
      <c r="P2" s="456" t="s">
        <v>77</v>
      </c>
      <c r="Q2" s="465" t="s">
        <v>23</v>
      </c>
    </row>
    <row r="3" spans="1:20" ht="21" customHeight="1" thickBot="1">
      <c r="A3" s="468"/>
      <c r="B3" s="465"/>
      <c r="C3" s="461"/>
      <c r="D3" s="465"/>
      <c r="E3" s="465"/>
      <c r="F3" s="470"/>
      <c r="G3" s="461"/>
      <c r="H3" s="461"/>
      <c r="I3" s="460"/>
      <c r="J3" s="461"/>
      <c r="K3" s="460"/>
      <c r="L3" s="460"/>
      <c r="M3" s="467"/>
      <c r="N3" s="467"/>
      <c r="O3" s="458"/>
      <c r="P3" s="457"/>
      <c r="Q3" s="465"/>
    </row>
    <row r="4" spans="1:20" ht="13.5" customHeight="1">
      <c r="A4" s="450" t="s">
        <v>205</v>
      </c>
      <c r="B4" s="429" t="s">
        <v>44</v>
      </c>
      <c r="C4" s="432" t="s">
        <v>241</v>
      </c>
      <c r="D4" s="19" t="s">
        <v>37</v>
      </c>
      <c r="E4" s="19" t="s">
        <v>25</v>
      </c>
      <c r="F4" s="39" t="s">
        <v>40</v>
      </c>
      <c r="G4" s="120">
        <v>37936.89</v>
      </c>
      <c r="H4" s="30">
        <v>45472</v>
      </c>
      <c r="I4" s="481">
        <v>654</v>
      </c>
      <c r="J4" s="478">
        <v>22.1</v>
      </c>
      <c r="K4" s="30">
        <v>543900</v>
      </c>
      <c r="L4" s="30">
        <v>68</v>
      </c>
      <c r="M4" s="30">
        <v>687699</v>
      </c>
      <c r="N4" s="30">
        <v>683911</v>
      </c>
      <c r="O4" s="208">
        <v>680797</v>
      </c>
      <c r="P4" s="208">
        <v>648</v>
      </c>
      <c r="Q4" s="19"/>
    </row>
    <row r="5" spans="1:20" ht="13.5" customHeight="1">
      <c r="A5" s="451"/>
      <c r="B5" s="430"/>
      <c r="C5" s="433"/>
      <c r="D5" s="119" t="s">
        <v>69</v>
      </c>
      <c r="E5" s="424" t="s">
        <v>24</v>
      </c>
      <c r="F5" s="115" t="s">
        <v>48</v>
      </c>
      <c r="G5" s="47"/>
      <c r="H5" s="12"/>
      <c r="I5" s="482"/>
      <c r="J5" s="479"/>
      <c r="K5" s="12"/>
      <c r="L5" s="12"/>
      <c r="M5" s="12">
        <v>16899</v>
      </c>
      <c r="N5" s="12">
        <v>5278</v>
      </c>
      <c r="O5" s="194">
        <v>26280</v>
      </c>
      <c r="P5" s="194">
        <v>29</v>
      </c>
      <c r="Q5" s="113"/>
    </row>
    <row r="6" spans="1:20" ht="13.5" customHeight="1">
      <c r="A6" s="451"/>
      <c r="B6" s="430"/>
      <c r="C6" s="433"/>
      <c r="D6" s="119" t="s">
        <v>69</v>
      </c>
      <c r="E6" s="441"/>
      <c r="F6" s="118" t="s">
        <v>40</v>
      </c>
      <c r="G6" s="47"/>
      <c r="H6" s="12"/>
      <c r="I6" s="482"/>
      <c r="J6" s="479"/>
      <c r="K6" s="12">
        <v>159000</v>
      </c>
      <c r="L6" s="12">
        <v>20</v>
      </c>
      <c r="M6" s="12">
        <v>318456</v>
      </c>
      <c r="N6" s="12">
        <v>306901</v>
      </c>
      <c r="O6" s="194">
        <v>328084</v>
      </c>
      <c r="P6" s="194">
        <v>447</v>
      </c>
      <c r="Q6" s="113"/>
    </row>
    <row r="7" spans="1:20" ht="13.5" customHeight="1">
      <c r="A7" s="451"/>
      <c r="B7" s="431"/>
      <c r="C7" s="434"/>
      <c r="D7" s="119" t="s">
        <v>128</v>
      </c>
      <c r="E7" s="425"/>
      <c r="F7" s="118" t="s">
        <v>40</v>
      </c>
      <c r="G7" s="47">
        <v>24109.16</v>
      </c>
      <c r="H7" s="31">
        <v>24866.799999999999</v>
      </c>
      <c r="I7" s="482"/>
      <c r="J7" s="479"/>
      <c r="K7" s="12">
        <v>223400</v>
      </c>
      <c r="L7" s="12">
        <v>28</v>
      </c>
      <c r="M7" s="12">
        <v>64367</v>
      </c>
      <c r="N7" s="12">
        <v>86766</v>
      </c>
      <c r="O7" s="194">
        <v>54905</v>
      </c>
      <c r="P7" s="194">
        <v>99</v>
      </c>
      <c r="Q7" s="113"/>
    </row>
    <row r="8" spans="1:20" ht="13.5" customHeight="1">
      <c r="A8" s="451"/>
      <c r="B8" s="452" t="s">
        <v>45</v>
      </c>
      <c r="C8" s="471" t="s">
        <v>59</v>
      </c>
      <c r="D8" s="118" t="s">
        <v>75</v>
      </c>
      <c r="E8" s="441" t="s">
        <v>25</v>
      </c>
      <c r="F8" s="119" t="s">
        <v>57</v>
      </c>
      <c r="G8" s="47">
        <v>8223.1200000000008</v>
      </c>
      <c r="H8" s="12"/>
      <c r="I8" s="482"/>
      <c r="J8" s="479"/>
      <c r="K8" s="12">
        <v>55300</v>
      </c>
      <c r="L8" s="12">
        <v>11</v>
      </c>
      <c r="M8" s="12">
        <v>116834</v>
      </c>
      <c r="N8" s="12">
        <v>96480</v>
      </c>
      <c r="O8" s="194">
        <v>155223</v>
      </c>
      <c r="P8" s="194"/>
      <c r="Q8" s="119"/>
    </row>
    <row r="9" spans="1:20" ht="13.5" customHeight="1">
      <c r="A9" s="451"/>
      <c r="B9" s="452"/>
      <c r="C9" s="471"/>
      <c r="D9" s="48" t="s">
        <v>94</v>
      </c>
      <c r="E9" s="425"/>
      <c r="F9" s="119"/>
      <c r="G9" s="47"/>
      <c r="H9" s="12">
        <v>10854</v>
      </c>
      <c r="I9" s="482"/>
      <c r="J9" s="479"/>
      <c r="K9" s="12"/>
      <c r="L9" s="12"/>
      <c r="M9" s="12"/>
      <c r="N9" s="12"/>
      <c r="O9" s="194"/>
      <c r="P9" s="117"/>
      <c r="Q9" s="119"/>
      <c r="S9" s="13"/>
      <c r="T9" s="13"/>
    </row>
    <row r="10" spans="1:20" ht="13.5" customHeight="1">
      <c r="A10" s="451"/>
      <c r="B10" s="452"/>
      <c r="C10" s="471"/>
      <c r="D10" s="118" t="s">
        <v>72</v>
      </c>
      <c r="E10" s="424" t="s">
        <v>24</v>
      </c>
      <c r="F10" s="119" t="s">
        <v>57</v>
      </c>
      <c r="G10" s="12">
        <v>7765</v>
      </c>
      <c r="H10" s="119"/>
      <c r="I10" s="482"/>
      <c r="J10" s="479"/>
      <c r="K10" s="12">
        <v>75000</v>
      </c>
      <c r="L10" s="12">
        <v>17</v>
      </c>
      <c r="M10" s="12">
        <v>94380</v>
      </c>
      <c r="N10" s="12">
        <v>92358</v>
      </c>
      <c r="O10" s="194">
        <v>63789</v>
      </c>
      <c r="P10" s="194">
        <v>6</v>
      </c>
      <c r="Q10" s="119"/>
    </row>
    <row r="11" spans="1:20" ht="13.5" customHeight="1">
      <c r="A11" s="451"/>
      <c r="B11" s="452"/>
      <c r="C11" s="471"/>
      <c r="D11" s="115" t="s">
        <v>73</v>
      </c>
      <c r="E11" s="425"/>
      <c r="F11" s="119"/>
      <c r="G11" s="12"/>
      <c r="H11" s="31">
        <v>11909.6</v>
      </c>
      <c r="I11" s="482"/>
      <c r="J11" s="479"/>
      <c r="K11" s="12"/>
      <c r="L11" s="12"/>
      <c r="M11" s="12"/>
      <c r="N11" s="12"/>
      <c r="O11" s="194"/>
      <c r="P11" s="194"/>
      <c r="Q11" s="119"/>
    </row>
    <row r="12" spans="1:20" ht="13.5" customHeight="1">
      <c r="A12" s="451"/>
      <c r="B12" s="452"/>
      <c r="C12" s="471"/>
      <c r="D12" s="115" t="s">
        <v>79</v>
      </c>
      <c r="E12" s="424" t="s">
        <v>65</v>
      </c>
      <c r="F12" s="119" t="s">
        <v>57</v>
      </c>
      <c r="G12" s="47">
        <v>16927.690000000002</v>
      </c>
      <c r="H12" s="119"/>
      <c r="I12" s="482"/>
      <c r="J12" s="479"/>
      <c r="K12" s="12">
        <v>198000</v>
      </c>
      <c r="L12" s="12">
        <v>40</v>
      </c>
      <c r="M12" s="12">
        <v>100548</v>
      </c>
      <c r="N12" s="12">
        <v>110785</v>
      </c>
      <c r="O12" s="194">
        <v>98840</v>
      </c>
      <c r="P12" s="117">
        <v>103</v>
      </c>
      <c r="Q12" s="119"/>
    </row>
    <row r="13" spans="1:20" ht="13.5" customHeight="1">
      <c r="A13" s="451"/>
      <c r="B13" s="452"/>
      <c r="C13" s="471"/>
      <c r="D13" s="115" t="s">
        <v>80</v>
      </c>
      <c r="E13" s="425"/>
      <c r="F13" s="119"/>
      <c r="G13" s="119"/>
      <c r="H13" s="31">
        <v>13200.099999999999</v>
      </c>
      <c r="I13" s="482"/>
      <c r="J13" s="479"/>
      <c r="K13" s="12"/>
      <c r="L13" s="12"/>
      <c r="M13" s="12"/>
      <c r="N13" s="12"/>
      <c r="O13" s="194"/>
      <c r="P13" s="117"/>
      <c r="Q13" s="119"/>
    </row>
    <row r="14" spans="1:20" ht="13.5" customHeight="1">
      <c r="A14" s="451"/>
      <c r="B14" s="442" t="s">
        <v>53</v>
      </c>
      <c r="C14" s="444" t="s">
        <v>60</v>
      </c>
      <c r="D14" s="43" t="s">
        <v>89</v>
      </c>
      <c r="E14" s="448" t="s">
        <v>66</v>
      </c>
      <c r="F14" s="118" t="s">
        <v>54</v>
      </c>
      <c r="G14" s="47"/>
      <c r="H14" s="119"/>
      <c r="I14" s="482"/>
      <c r="J14" s="479"/>
      <c r="K14" s="12"/>
      <c r="L14" s="12"/>
      <c r="M14" s="12"/>
      <c r="N14" s="12"/>
      <c r="O14" s="194">
        <v>1926</v>
      </c>
      <c r="P14" s="117"/>
      <c r="Q14" s="119"/>
    </row>
    <row r="15" spans="1:20" ht="13.5" customHeight="1">
      <c r="A15" s="451"/>
      <c r="B15" s="439"/>
      <c r="C15" s="445"/>
      <c r="D15" s="43" t="s">
        <v>95</v>
      </c>
      <c r="E15" s="440"/>
      <c r="F15" s="118" t="s">
        <v>54</v>
      </c>
      <c r="G15" s="47"/>
      <c r="H15" s="119"/>
      <c r="I15" s="482"/>
      <c r="J15" s="479"/>
      <c r="K15" s="12"/>
      <c r="L15" s="12"/>
      <c r="M15" s="12">
        <v>29958</v>
      </c>
      <c r="N15" s="12">
        <v>17546</v>
      </c>
      <c r="O15" s="194">
        <v>30870</v>
      </c>
      <c r="P15" s="117">
        <v>2</v>
      </c>
      <c r="Q15" s="119"/>
      <c r="S15" s="13"/>
    </row>
    <row r="16" spans="1:20" ht="13.5" customHeight="1">
      <c r="A16" s="451"/>
      <c r="B16" s="439"/>
      <c r="C16" s="445"/>
      <c r="D16" s="43" t="s">
        <v>98</v>
      </c>
      <c r="E16" s="440"/>
      <c r="F16" s="118" t="s">
        <v>54</v>
      </c>
      <c r="G16" s="47"/>
      <c r="H16" s="119"/>
      <c r="I16" s="482"/>
      <c r="J16" s="479"/>
      <c r="K16" s="12">
        <v>75800</v>
      </c>
      <c r="L16" s="12">
        <v>13</v>
      </c>
      <c r="M16" s="12">
        <v>197418</v>
      </c>
      <c r="N16" s="12">
        <v>182989</v>
      </c>
      <c r="O16" s="194">
        <v>200817</v>
      </c>
      <c r="P16" s="117">
        <v>38</v>
      </c>
      <c r="Q16" s="119"/>
    </row>
    <row r="17" spans="1:20" ht="13.5" customHeight="1">
      <c r="A17" s="451"/>
      <c r="B17" s="439"/>
      <c r="C17" s="445"/>
      <c r="D17" s="43" t="s">
        <v>130</v>
      </c>
      <c r="E17" s="449"/>
      <c r="F17" s="118" t="s">
        <v>54</v>
      </c>
      <c r="G17" s="12">
        <v>16747</v>
      </c>
      <c r="H17" s="113"/>
      <c r="I17" s="482"/>
      <c r="J17" s="479"/>
      <c r="K17" s="12">
        <v>176850</v>
      </c>
      <c r="L17" s="12">
        <v>30</v>
      </c>
      <c r="M17" s="12">
        <v>76210</v>
      </c>
      <c r="N17" s="12">
        <v>94051</v>
      </c>
      <c r="O17" s="194">
        <v>71349</v>
      </c>
      <c r="P17" s="117">
        <v>45</v>
      </c>
      <c r="Q17" s="119"/>
    </row>
    <row r="18" spans="1:20" ht="13.5" customHeight="1">
      <c r="A18" s="451"/>
      <c r="B18" s="439"/>
      <c r="C18" s="445"/>
      <c r="D18" s="48" t="s">
        <v>91</v>
      </c>
      <c r="E18" s="424" t="s">
        <v>25</v>
      </c>
      <c r="F18" s="119"/>
      <c r="G18" s="12"/>
      <c r="H18" s="161">
        <v>979.8</v>
      </c>
      <c r="I18" s="482"/>
      <c r="J18" s="479"/>
      <c r="K18" s="12"/>
      <c r="L18" s="12"/>
      <c r="M18" s="12"/>
      <c r="N18" s="117"/>
      <c r="O18" s="183"/>
      <c r="P18" s="117"/>
      <c r="Q18" s="119"/>
    </row>
    <row r="19" spans="1:20" ht="13.5" customHeight="1">
      <c r="A19" s="451"/>
      <c r="B19" s="439"/>
      <c r="C19" s="445"/>
      <c r="D19" s="48" t="s">
        <v>127</v>
      </c>
      <c r="E19" s="425"/>
      <c r="F19" s="119"/>
      <c r="G19" s="12"/>
      <c r="H19" s="207">
        <v>15671.73</v>
      </c>
      <c r="I19" s="482"/>
      <c r="J19" s="479"/>
      <c r="K19" s="12"/>
      <c r="L19" s="12"/>
      <c r="M19" s="12"/>
      <c r="N19" s="117"/>
      <c r="O19" s="194"/>
      <c r="P19" s="117"/>
      <c r="Q19" s="119"/>
    </row>
    <row r="20" spans="1:20" ht="13.5" customHeight="1">
      <c r="A20" s="451"/>
      <c r="B20" s="443"/>
      <c r="C20" s="446"/>
      <c r="D20" s="48" t="s">
        <v>96</v>
      </c>
      <c r="E20" s="113" t="s">
        <v>65</v>
      </c>
      <c r="F20" s="119"/>
      <c r="G20" s="47"/>
      <c r="H20" s="31">
        <v>3151.8</v>
      </c>
      <c r="I20" s="482"/>
      <c r="J20" s="479"/>
      <c r="K20" s="12"/>
      <c r="L20" s="12"/>
      <c r="M20" s="12"/>
      <c r="N20" s="117"/>
      <c r="O20" s="194"/>
      <c r="P20" s="117"/>
      <c r="Q20" s="119"/>
    </row>
    <row r="21" spans="1:20" ht="13.5" customHeight="1">
      <c r="A21" s="451"/>
      <c r="B21" s="442" t="s">
        <v>55</v>
      </c>
      <c r="C21" s="444" t="s">
        <v>133</v>
      </c>
      <c r="D21" s="43" t="s">
        <v>56</v>
      </c>
      <c r="E21" s="430" t="s">
        <v>25</v>
      </c>
      <c r="F21" s="48" t="s">
        <v>67</v>
      </c>
      <c r="G21" s="196">
        <v>693.28</v>
      </c>
      <c r="H21" s="31">
        <v>192.6</v>
      </c>
      <c r="I21" s="482"/>
      <c r="J21" s="479"/>
      <c r="K21" s="183">
        <v>2800</v>
      </c>
      <c r="L21" s="183">
        <v>1</v>
      </c>
      <c r="M21" s="183">
        <v>3768</v>
      </c>
      <c r="N21" s="183">
        <v>3768</v>
      </c>
      <c r="O21" s="183">
        <v>3761</v>
      </c>
      <c r="P21" s="183">
        <v>7</v>
      </c>
      <c r="Q21" s="2"/>
      <c r="S21" s="13"/>
    </row>
    <row r="22" spans="1:20" ht="13.5" customHeight="1">
      <c r="A22" s="451"/>
      <c r="B22" s="443"/>
      <c r="C22" s="446"/>
      <c r="D22" s="43" t="s">
        <v>68</v>
      </c>
      <c r="E22" s="430"/>
      <c r="F22" s="48"/>
      <c r="G22" s="47"/>
      <c r="H22" s="117">
        <v>252</v>
      </c>
      <c r="I22" s="482"/>
      <c r="J22" s="479"/>
      <c r="K22" s="12"/>
      <c r="L22" s="12"/>
      <c r="M22" s="12"/>
      <c r="N22" s="12"/>
      <c r="O22" s="194"/>
      <c r="P22" s="117"/>
      <c r="Q22" s="2"/>
      <c r="S22" s="13"/>
      <c r="T22" s="13"/>
    </row>
    <row r="23" spans="1:20" ht="13.5" customHeight="1">
      <c r="A23" s="451"/>
      <c r="B23" s="442" t="s">
        <v>122</v>
      </c>
      <c r="C23" s="444" t="s">
        <v>123</v>
      </c>
      <c r="D23" s="48" t="s">
        <v>56</v>
      </c>
      <c r="E23" s="430"/>
      <c r="F23" s="48" t="s">
        <v>64</v>
      </c>
      <c r="G23" s="218">
        <v>5196.7999999999993</v>
      </c>
      <c r="H23" s="12"/>
      <c r="I23" s="482"/>
      <c r="J23" s="479"/>
      <c r="K23" s="183">
        <v>29200</v>
      </c>
      <c r="L23" s="183">
        <v>10</v>
      </c>
      <c r="M23" s="183">
        <v>23912</v>
      </c>
      <c r="N23" s="183">
        <v>24586</v>
      </c>
      <c r="O23" s="183">
        <v>600</v>
      </c>
      <c r="P23" s="117"/>
      <c r="Q23" s="2"/>
      <c r="S23" s="103"/>
    </row>
    <row r="24" spans="1:20" ht="13.5" customHeight="1">
      <c r="A24" s="451"/>
      <c r="B24" s="443"/>
      <c r="C24" s="446"/>
      <c r="D24" s="48" t="s">
        <v>129</v>
      </c>
      <c r="E24" s="430"/>
      <c r="F24" s="48"/>
      <c r="G24" s="31"/>
      <c r="H24" s="12">
        <v>4275</v>
      </c>
      <c r="I24" s="482"/>
      <c r="J24" s="479"/>
      <c r="K24" s="117"/>
      <c r="L24" s="117"/>
      <c r="M24" s="12"/>
      <c r="N24" s="12"/>
      <c r="O24" s="194"/>
      <c r="P24" s="117"/>
      <c r="Q24" s="2"/>
      <c r="S24" s="13"/>
    </row>
    <row r="25" spans="1:20" s="4" customFormat="1" ht="13.5" customHeight="1">
      <c r="A25" s="451"/>
      <c r="B25" s="442" t="s">
        <v>58</v>
      </c>
      <c r="C25" s="444" t="s">
        <v>243</v>
      </c>
      <c r="D25" s="48" t="s">
        <v>56</v>
      </c>
      <c r="E25" s="430"/>
      <c r="F25" s="59" t="s">
        <v>64</v>
      </c>
      <c r="G25" s="183">
        <v>1044</v>
      </c>
      <c r="H25" s="193"/>
      <c r="I25" s="482"/>
      <c r="J25" s="479"/>
      <c r="K25" s="183">
        <v>9000</v>
      </c>
      <c r="L25" s="183">
        <v>3</v>
      </c>
      <c r="M25" s="183">
        <v>3570</v>
      </c>
      <c r="N25" s="183">
        <v>3952</v>
      </c>
      <c r="O25" s="194"/>
      <c r="P25" s="191"/>
      <c r="Q25" s="122"/>
    </row>
    <row r="26" spans="1:20" ht="13.5" customHeight="1">
      <c r="A26" s="451"/>
      <c r="B26" s="443"/>
      <c r="C26" s="446"/>
      <c r="D26" s="48" t="s">
        <v>92</v>
      </c>
      <c r="E26" s="430"/>
      <c r="F26" s="59"/>
      <c r="G26" s="116"/>
      <c r="H26" s="116">
        <v>1275</v>
      </c>
      <c r="I26" s="482"/>
      <c r="J26" s="479"/>
      <c r="K26" s="31"/>
      <c r="L26" s="31"/>
      <c r="M26" s="12"/>
      <c r="N26" s="12"/>
      <c r="O26" s="194"/>
      <c r="P26" s="116"/>
      <c r="Q26" s="119"/>
      <c r="T26" s="13"/>
    </row>
    <row r="27" spans="1:20" s="4" customFormat="1" ht="13.5" customHeight="1">
      <c r="A27" s="451"/>
      <c r="B27" s="442" t="s">
        <v>61</v>
      </c>
      <c r="C27" s="444" t="s">
        <v>137</v>
      </c>
      <c r="D27" s="48" t="s">
        <v>56</v>
      </c>
      <c r="E27" s="430"/>
      <c r="F27" s="59" t="s">
        <v>67</v>
      </c>
      <c r="G27" s="183">
        <v>696</v>
      </c>
      <c r="H27" s="191"/>
      <c r="I27" s="482"/>
      <c r="J27" s="479"/>
      <c r="K27" s="183">
        <v>6000</v>
      </c>
      <c r="L27" s="183">
        <v>2</v>
      </c>
      <c r="M27" s="183">
        <v>2004</v>
      </c>
      <c r="N27" s="183">
        <v>2390</v>
      </c>
      <c r="O27" s="183"/>
      <c r="P27" s="183"/>
      <c r="Q27" s="122"/>
    </row>
    <row r="28" spans="1:20" s="4" customFormat="1" ht="13.5" customHeight="1">
      <c r="A28" s="451"/>
      <c r="B28" s="443"/>
      <c r="C28" s="446"/>
      <c r="D28" s="48" t="s">
        <v>129</v>
      </c>
      <c r="E28" s="430"/>
      <c r="F28" s="59"/>
      <c r="G28" s="183"/>
      <c r="H28" s="191">
        <v>750</v>
      </c>
      <c r="I28" s="482"/>
      <c r="J28" s="479"/>
      <c r="K28" s="183"/>
      <c r="L28" s="183"/>
      <c r="M28" s="183"/>
      <c r="N28" s="183"/>
      <c r="O28" s="194"/>
      <c r="P28" s="194"/>
      <c r="Q28" s="122"/>
    </row>
    <row r="29" spans="1:20" ht="13.5" customHeight="1">
      <c r="A29" s="451"/>
      <c r="B29" s="122" t="s">
        <v>125</v>
      </c>
      <c r="C29" s="180" t="s">
        <v>88</v>
      </c>
      <c r="D29" s="48" t="s">
        <v>124</v>
      </c>
      <c r="E29" s="430"/>
      <c r="F29" s="48" t="s">
        <v>64</v>
      </c>
      <c r="G29" s="31">
        <v>10013.5</v>
      </c>
      <c r="H29" s="12">
        <v>3984</v>
      </c>
      <c r="I29" s="482"/>
      <c r="J29" s="479"/>
      <c r="K29" s="12">
        <v>103600</v>
      </c>
      <c r="L29" s="12">
        <v>14</v>
      </c>
      <c r="M29" s="12">
        <v>45399</v>
      </c>
      <c r="N29" s="12">
        <v>56229</v>
      </c>
      <c r="O29" s="194">
        <v>37904</v>
      </c>
      <c r="P29" s="117">
        <v>13</v>
      </c>
      <c r="Q29" s="2"/>
      <c r="S29" s="13"/>
    </row>
    <row r="30" spans="1:20" ht="13.5" customHeight="1">
      <c r="A30" s="451"/>
      <c r="B30" s="442" t="s">
        <v>47</v>
      </c>
      <c r="C30" s="444" t="s">
        <v>100</v>
      </c>
      <c r="D30" s="89" t="s">
        <v>99</v>
      </c>
      <c r="E30" s="430"/>
      <c r="F30" s="89" t="s">
        <v>71</v>
      </c>
      <c r="G30" s="31">
        <v>5251.2</v>
      </c>
      <c r="H30" s="123"/>
      <c r="I30" s="482"/>
      <c r="J30" s="479"/>
      <c r="K30" s="12">
        <v>60000</v>
      </c>
      <c r="L30" s="12">
        <v>10</v>
      </c>
      <c r="M30" s="121">
        <v>27184</v>
      </c>
      <c r="N30" s="121">
        <v>33253</v>
      </c>
      <c r="O30" s="194">
        <v>1500</v>
      </c>
      <c r="P30" s="12"/>
      <c r="Q30" s="119"/>
    </row>
    <row r="31" spans="1:20" ht="13.5" customHeight="1">
      <c r="A31" s="451"/>
      <c r="B31" s="439"/>
      <c r="C31" s="445"/>
      <c r="D31" s="59" t="s">
        <v>121</v>
      </c>
      <c r="E31" s="430"/>
      <c r="F31" s="59"/>
      <c r="G31" s="116"/>
      <c r="H31" s="116">
        <v>2754</v>
      </c>
      <c r="I31" s="482"/>
      <c r="J31" s="479"/>
      <c r="K31" s="116"/>
      <c r="L31" s="116"/>
      <c r="M31" s="12"/>
      <c r="N31" s="12"/>
      <c r="O31" s="183"/>
      <c r="P31" s="116"/>
      <c r="Q31" s="119"/>
    </row>
    <row r="32" spans="1:20" ht="13.5" customHeight="1">
      <c r="A32" s="451"/>
      <c r="B32" s="122" t="s">
        <v>134</v>
      </c>
      <c r="C32" s="180" t="s">
        <v>63</v>
      </c>
      <c r="D32" s="48" t="s">
        <v>135</v>
      </c>
      <c r="E32" s="430"/>
      <c r="F32" s="59" t="s">
        <v>64</v>
      </c>
      <c r="G32" s="47">
        <v>1946.35</v>
      </c>
      <c r="H32" s="116">
        <v>799</v>
      </c>
      <c r="I32" s="482"/>
      <c r="J32" s="479"/>
      <c r="K32" s="12">
        <v>41500</v>
      </c>
      <c r="L32" s="12">
        <v>5</v>
      </c>
      <c r="M32" s="12">
        <v>6845</v>
      </c>
      <c r="N32" s="12">
        <v>9112</v>
      </c>
      <c r="O32" s="194"/>
      <c r="P32" s="116"/>
      <c r="Q32" s="119"/>
    </row>
    <row r="33" spans="1:20" ht="13.5" customHeight="1">
      <c r="A33" s="451"/>
      <c r="B33" s="122" t="s">
        <v>101</v>
      </c>
      <c r="C33" s="180" t="s">
        <v>193</v>
      </c>
      <c r="D33" s="48" t="s">
        <v>102</v>
      </c>
      <c r="E33" s="430"/>
      <c r="F33" s="48" t="s">
        <v>64</v>
      </c>
      <c r="G33" s="12"/>
      <c r="H33" s="31"/>
      <c r="I33" s="482"/>
      <c r="J33" s="479"/>
      <c r="K33" s="116"/>
      <c r="L33" s="116"/>
      <c r="M33" s="12"/>
      <c r="N33" s="12"/>
      <c r="O33" s="183"/>
      <c r="P33" s="12"/>
      <c r="Q33" s="119"/>
      <c r="S33" s="13"/>
    </row>
    <row r="34" spans="1:20" ht="13.5" customHeight="1">
      <c r="A34" s="451"/>
      <c r="B34" s="122" t="s">
        <v>131</v>
      </c>
      <c r="C34" s="180" t="s">
        <v>194</v>
      </c>
      <c r="D34" s="48" t="s">
        <v>132</v>
      </c>
      <c r="E34" s="430"/>
      <c r="F34" s="59" t="s">
        <v>64</v>
      </c>
      <c r="G34" s="47">
        <v>167.24</v>
      </c>
      <c r="H34" s="49"/>
      <c r="I34" s="482"/>
      <c r="J34" s="479"/>
      <c r="K34" s="12">
        <v>1950</v>
      </c>
      <c r="L34" s="12">
        <v>1</v>
      </c>
      <c r="M34" s="12">
        <v>300</v>
      </c>
      <c r="N34" s="12">
        <v>300</v>
      </c>
      <c r="O34" s="194">
        <v>300</v>
      </c>
      <c r="P34" s="116"/>
      <c r="Q34" s="119"/>
    </row>
    <row r="35" spans="1:20" ht="13.5" customHeight="1">
      <c r="A35" s="451"/>
      <c r="B35" s="122" t="s">
        <v>103</v>
      </c>
      <c r="C35" s="157" t="s">
        <v>197</v>
      </c>
      <c r="D35" s="48" t="s">
        <v>104</v>
      </c>
      <c r="E35" s="430"/>
      <c r="F35" s="59" t="s">
        <v>105</v>
      </c>
      <c r="G35" s="116"/>
      <c r="H35" s="49"/>
      <c r="I35" s="482"/>
      <c r="J35" s="479"/>
      <c r="K35" s="12"/>
      <c r="L35" s="12"/>
      <c r="M35" s="12"/>
      <c r="N35" s="12"/>
      <c r="O35" s="183"/>
      <c r="P35" s="116"/>
      <c r="Q35" s="119"/>
      <c r="S35" s="13"/>
    </row>
    <row r="36" spans="1:20" ht="13.5" customHeight="1">
      <c r="A36" s="451"/>
      <c r="B36" s="442" t="s">
        <v>112</v>
      </c>
      <c r="C36" s="444" t="s">
        <v>197</v>
      </c>
      <c r="D36" s="48" t="s">
        <v>104</v>
      </c>
      <c r="E36" s="430"/>
      <c r="F36" s="59" t="s">
        <v>113</v>
      </c>
      <c r="G36" s="116"/>
      <c r="H36" s="184"/>
      <c r="I36" s="482"/>
      <c r="J36" s="479"/>
      <c r="K36" s="12"/>
      <c r="L36" s="12"/>
      <c r="M36" s="12"/>
      <c r="N36" s="12"/>
      <c r="O36" s="12"/>
      <c r="P36" s="116"/>
      <c r="Q36" s="131"/>
    </row>
    <row r="37" spans="1:20" ht="13.5" customHeight="1">
      <c r="A37" s="451"/>
      <c r="B37" s="443"/>
      <c r="C37" s="446"/>
      <c r="D37" s="48" t="s">
        <v>85</v>
      </c>
      <c r="E37" s="430"/>
      <c r="F37" s="59"/>
      <c r="G37" s="116"/>
      <c r="H37" s="49"/>
      <c r="I37" s="482"/>
      <c r="J37" s="479"/>
      <c r="K37" s="116"/>
      <c r="L37" s="116"/>
      <c r="M37" s="12"/>
      <c r="N37" s="12"/>
      <c r="O37" s="12"/>
      <c r="P37" s="116"/>
      <c r="Q37" s="131"/>
    </row>
    <row r="38" spans="1:20" ht="13.5" customHeight="1">
      <c r="A38" s="451"/>
      <c r="B38" s="442" t="s">
        <v>106</v>
      </c>
      <c r="C38" s="444" t="s">
        <v>141</v>
      </c>
      <c r="D38" s="48" t="s">
        <v>68</v>
      </c>
      <c r="E38" s="430"/>
      <c r="F38" s="59" t="s">
        <v>67</v>
      </c>
      <c r="G38" s="236">
        <v>228.13</v>
      </c>
      <c r="H38" s="49"/>
      <c r="I38" s="482"/>
      <c r="J38" s="479"/>
      <c r="K38" s="116"/>
      <c r="L38" s="116"/>
      <c r="M38" s="12">
        <v>500</v>
      </c>
      <c r="N38" s="12">
        <v>512</v>
      </c>
      <c r="O38" s="117">
        <v>500</v>
      </c>
      <c r="P38" s="116"/>
      <c r="Q38" s="131"/>
    </row>
    <row r="39" spans="1:20" ht="13.5" customHeight="1">
      <c r="A39" s="451"/>
      <c r="B39" s="443"/>
      <c r="C39" s="446"/>
      <c r="D39" s="59" t="s">
        <v>109</v>
      </c>
      <c r="E39" s="430"/>
      <c r="F39" s="59"/>
      <c r="G39" s="116"/>
      <c r="H39" s="116">
        <v>108</v>
      </c>
      <c r="I39" s="482"/>
      <c r="J39" s="479"/>
      <c r="K39" s="116"/>
      <c r="L39" s="116"/>
      <c r="M39" s="12"/>
      <c r="N39" s="12"/>
      <c r="O39" s="116"/>
      <c r="P39" s="116"/>
      <c r="Q39" s="131"/>
    </row>
    <row r="40" spans="1:20" ht="13.5" customHeight="1" thickBot="1">
      <c r="A40" s="451"/>
      <c r="B40" s="122" t="s">
        <v>107</v>
      </c>
      <c r="C40" s="180" t="s">
        <v>195</v>
      </c>
      <c r="D40" s="48" t="s">
        <v>108</v>
      </c>
      <c r="E40" s="430"/>
      <c r="F40" s="48" t="s">
        <v>48</v>
      </c>
      <c r="G40" s="12"/>
      <c r="H40" s="49"/>
      <c r="I40" s="483"/>
      <c r="J40" s="480"/>
      <c r="K40" s="116"/>
      <c r="L40" s="116"/>
      <c r="M40" s="121"/>
      <c r="N40" s="121"/>
      <c r="O40" s="116"/>
      <c r="P40" s="12"/>
      <c r="Q40" s="119"/>
    </row>
    <row r="41" spans="1:20" ht="13.5" customHeight="1">
      <c r="A41" s="450" t="s">
        <v>206</v>
      </c>
      <c r="B41" s="429" t="s">
        <v>44</v>
      </c>
      <c r="C41" s="432" t="s">
        <v>241</v>
      </c>
      <c r="D41" s="19" t="s">
        <v>37</v>
      </c>
      <c r="E41" s="19" t="s">
        <v>25</v>
      </c>
      <c r="F41" s="39" t="s">
        <v>40</v>
      </c>
      <c r="G41" s="120">
        <v>25291.260000000002</v>
      </c>
      <c r="H41" s="30">
        <v>25872</v>
      </c>
      <c r="I41" s="481"/>
      <c r="J41" s="478">
        <v>21.4</v>
      </c>
      <c r="K41" s="30">
        <v>400000</v>
      </c>
      <c r="L41" s="30">
        <v>50</v>
      </c>
      <c r="M41" s="30">
        <v>361085</v>
      </c>
      <c r="N41" s="30">
        <v>364625</v>
      </c>
      <c r="O41" s="208">
        <v>341609</v>
      </c>
      <c r="P41" s="208">
        <v>567</v>
      </c>
      <c r="Q41" s="19"/>
    </row>
    <row r="42" spans="1:20" ht="13.5" customHeight="1">
      <c r="A42" s="451"/>
      <c r="B42" s="430"/>
      <c r="C42" s="433"/>
      <c r="D42" s="119" t="s">
        <v>69</v>
      </c>
      <c r="E42" s="441"/>
      <c r="F42" s="118" t="s">
        <v>40</v>
      </c>
      <c r="G42" s="47"/>
      <c r="H42" s="12"/>
      <c r="I42" s="482"/>
      <c r="J42" s="479"/>
      <c r="K42" s="12"/>
      <c r="L42" s="12"/>
      <c r="M42" s="12">
        <v>33535</v>
      </c>
      <c r="N42" s="12">
        <v>24214</v>
      </c>
      <c r="O42" s="194">
        <v>33525</v>
      </c>
      <c r="P42" s="194">
        <v>10</v>
      </c>
      <c r="Q42" s="113"/>
    </row>
    <row r="43" spans="1:20" ht="13.5" customHeight="1">
      <c r="A43" s="451"/>
      <c r="B43" s="431"/>
      <c r="C43" s="434"/>
      <c r="D43" s="119" t="s">
        <v>128</v>
      </c>
      <c r="E43" s="425"/>
      <c r="F43" s="118" t="s">
        <v>40</v>
      </c>
      <c r="G43" s="47">
        <v>20301.73</v>
      </c>
      <c r="H43" s="31">
        <v>13880.3</v>
      </c>
      <c r="I43" s="482"/>
      <c r="J43" s="479"/>
      <c r="K43" s="12">
        <v>246800</v>
      </c>
      <c r="L43" s="12">
        <v>31</v>
      </c>
      <c r="M43" s="12">
        <v>190638</v>
      </c>
      <c r="N43" s="12">
        <v>198197</v>
      </c>
      <c r="O43" s="194">
        <v>183330</v>
      </c>
      <c r="P43" s="194">
        <v>322</v>
      </c>
      <c r="Q43" s="113"/>
    </row>
    <row r="44" spans="1:20" ht="13.5" customHeight="1">
      <c r="A44" s="451"/>
      <c r="B44" s="442" t="s">
        <v>45</v>
      </c>
      <c r="C44" s="448" t="s">
        <v>59</v>
      </c>
      <c r="D44" s="118" t="s">
        <v>75</v>
      </c>
      <c r="E44" s="441" t="s">
        <v>25</v>
      </c>
      <c r="F44" s="119" t="s">
        <v>57</v>
      </c>
      <c r="G44" s="47">
        <v>2011.12</v>
      </c>
      <c r="H44" s="12"/>
      <c r="I44" s="482"/>
      <c r="J44" s="479"/>
      <c r="K44" s="12">
        <v>40300</v>
      </c>
      <c r="L44" s="12">
        <v>8</v>
      </c>
      <c r="M44" s="12">
        <v>55699</v>
      </c>
      <c r="N44" s="12">
        <v>53474</v>
      </c>
      <c r="O44" s="194"/>
      <c r="P44" s="194"/>
      <c r="Q44" s="119"/>
    </row>
    <row r="45" spans="1:20" ht="13.5" customHeight="1">
      <c r="A45" s="451"/>
      <c r="B45" s="439"/>
      <c r="C45" s="440"/>
      <c r="D45" s="48" t="s">
        <v>94</v>
      </c>
      <c r="E45" s="425"/>
      <c r="F45" s="119"/>
      <c r="G45" s="47"/>
      <c r="H45" s="12">
        <v>6156</v>
      </c>
      <c r="I45" s="482"/>
      <c r="J45" s="479"/>
      <c r="K45" s="12"/>
      <c r="L45" s="12"/>
      <c r="M45" s="12"/>
      <c r="N45" s="12"/>
      <c r="O45" s="117"/>
      <c r="P45" s="117"/>
      <c r="Q45" s="119"/>
      <c r="S45" s="13"/>
      <c r="T45" s="13"/>
    </row>
    <row r="46" spans="1:20" ht="13.5" customHeight="1">
      <c r="A46" s="451"/>
      <c r="B46" s="439"/>
      <c r="C46" s="440"/>
      <c r="D46" s="118" t="s">
        <v>72</v>
      </c>
      <c r="E46" s="424" t="s">
        <v>24</v>
      </c>
      <c r="F46" s="119" t="s">
        <v>57</v>
      </c>
      <c r="G46" s="12">
        <v>7765</v>
      </c>
      <c r="H46" s="119"/>
      <c r="I46" s="482"/>
      <c r="J46" s="479"/>
      <c r="K46" s="12">
        <v>110000</v>
      </c>
      <c r="L46" s="12">
        <v>22</v>
      </c>
      <c r="M46" s="12">
        <v>78026</v>
      </c>
      <c r="N46" s="12">
        <v>85998</v>
      </c>
      <c r="O46" s="194">
        <v>106858</v>
      </c>
      <c r="P46" s="194">
        <v>126</v>
      </c>
      <c r="Q46" s="119"/>
    </row>
    <row r="47" spans="1:20" ht="13.5" customHeight="1">
      <c r="A47" s="451"/>
      <c r="B47" s="439"/>
      <c r="C47" s="440"/>
      <c r="D47" s="115" t="s">
        <v>73</v>
      </c>
      <c r="E47" s="425"/>
      <c r="F47" s="119"/>
      <c r="G47" s="12"/>
      <c r="H47" s="12">
        <v>11616</v>
      </c>
      <c r="I47" s="482"/>
      <c r="J47" s="479"/>
      <c r="K47" s="12"/>
      <c r="L47" s="12"/>
      <c r="M47" s="12"/>
      <c r="N47" s="12"/>
      <c r="O47" s="194"/>
      <c r="P47" s="194"/>
      <c r="Q47" s="119"/>
    </row>
    <row r="48" spans="1:20" ht="13.5" customHeight="1">
      <c r="A48" s="451"/>
      <c r="B48" s="439"/>
      <c r="C48" s="440"/>
      <c r="D48" s="115" t="s">
        <v>79</v>
      </c>
      <c r="E48" s="424" t="s">
        <v>65</v>
      </c>
      <c r="F48" s="119" t="s">
        <v>57</v>
      </c>
      <c r="G48" s="47">
        <v>1863.59</v>
      </c>
      <c r="H48" s="119"/>
      <c r="I48" s="482"/>
      <c r="J48" s="479"/>
      <c r="K48" s="12">
        <v>30000</v>
      </c>
      <c r="L48" s="12">
        <v>6</v>
      </c>
      <c r="M48" s="12">
        <v>99956</v>
      </c>
      <c r="N48" s="12">
        <v>98955</v>
      </c>
      <c r="O48" s="117">
        <v>90508</v>
      </c>
      <c r="P48" s="117">
        <v>25</v>
      </c>
      <c r="Q48" s="119"/>
    </row>
    <row r="49" spans="1:20" ht="13.5" customHeight="1">
      <c r="A49" s="451"/>
      <c r="B49" s="439"/>
      <c r="C49" s="440"/>
      <c r="D49" s="115" t="s">
        <v>80</v>
      </c>
      <c r="E49" s="441"/>
      <c r="F49" s="119"/>
      <c r="G49" s="119"/>
      <c r="H49" s="12">
        <v>10032</v>
      </c>
      <c r="I49" s="482"/>
      <c r="J49" s="479"/>
      <c r="K49" s="12"/>
      <c r="L49" s="12"/>
      <c r="M49" s="12"/>
      <c r="N49" s="12"/>
      <c r="O49" s="117"/>
      <c r="P49" s="117"/>
      <c r="Q49" s="119"/>
    </row>
    <row r="50" spans="1:20" ht="13.5" customHeight="1">
      <c r="A50" s="451"/>
      <c r="B50" s="439"/>
      <c r="C50" s="440"/>
      <c r="D50" s="115" t="s">
        <v>200</v>
      </c>
      <c r="E50" s="441"/>
      <c r="F50" s="119" t="s">
        <v>57</v>
      </c>
      <c r="G50" s="47">
        <v>38.82</v>
      </c>
      <c r="H50" s="31"/>
      <c r="I50" s="482"/>
      <c r="J50" s="479"/>
      <c r="K50" s="12">
        <v>500</v>
      </c>
      <c r="L50" s="12">
        <v>1</v>
      </c>
      <c r="M50" s="12">
        <v>478</v>
      </c>
      <c r="N50" s="12">
        <v>478</v>
      </c>
      <c r="O50" s="117">
        <v>478</v>
      </c>
      <c r="P50" s="117"/>
      <c r="Q50" s="119"/>
    </row>
    <row r="51" spans="1:20" ht="13.5" customHeight="1">
      <c r="A51" s="451"/>
      <c r="B51" s="443"/>
      <c r="C51" s="449"/>
      <c r="D51" s="115" t="s">
        <v>202</v>
      </c>
      <c r="E51" s="425"/>
      <c r="F51" s="119"/>
      <c r="G51" s="119"/>
      <c r="H51" s="31">
        <v>56.1</v>
      </c>
      <c r="I51" s="482"/>
      <c r="J51" s="479"/>
      <c r="K51" s="12"/>
      <c r="L51" s="12"/>
      <c r="M51" s="12"/>
      <c r="N51" s="12"/>
      <c r="O51" s="117"/>
      <c r="P51" s="117"/>
      <c r="Q51" s="119"/>
    </row>
    <row r="52" spans="1:20" ht="13.5" customHeight="1">
      <c r="A52" s="451"/>
      <c r="B52" s="442" t="s">
        <v>53</v>
      </c>
      <c r="C52" s="444" t="s">
        <v>60</v>
      </c>
      <c r="D52" s="43" t="s">
        <v>130</v>
      </c>
      <c r="E52" s="210" t="s">
        <v>66</v>
      </c>
      <c r="F52" s="118" t="s">
        <v>54</v>
      </c>
      <c r="G52" s="12">
        <v>13491.460000000001</v>
      </c>
      <c r="H52" s="113"/>
      <c r="I52" s="482"/>
      <c r="J52" s="479"/>
      <c r="K52" s="12">
        <v>212250</v>
      </c>
      <c r="L52" s="12">
        <v>27</v>
      </c>
      <c r="M52" s="12">
        <v>144577</v>
      </c>
      <c r="N52" s="12">
        <v>141944</v>
      </c>
      <c r="O52" s="117">
        <v>138626</v>
      </c>
      <c r="P52" s="117">
        <v>64</v>
      </c>
      <c r="Q52" s="119"/>
    </row>
    <row r="53" spans="1:20" ht="13.5" customHeight="1">
      <c r="A53" s="451"/>
      <c r="B53" s="439"/>
      <c r="C53" s="445"/>
      <c r="D53" s="48" t="s">
        <v>127</v>
      </c>
      <c r="E53" s="441" t="s">
        <v>25</v>
      </c>
      <c r="F53" s="119"/>
      <c r="G53" s="12"/>
      <c r="H53" s="117">
        <v>2970</v>
      </c>
      <c r="I53" s="482"/>
      <c r="J53" s="479"/>
      <c r="K53" s="12"/>
      <c r="L53" s="12"/>
      <c r="M53" s="12"/>
      <c r="N53" s="117"/>
      <c r="O53" s="117"/>
      <c r="P53" s="117"/>
      <c r="Q53" s="119"/>
    </row>
    <row r="54" spans="1:20" ht="13.5" customHeight="1">
      <c r="A54" s="451"/>
      <c r="B54" s="439"/>
      <c r="C54" s="445"/>
      <c r="D54" s="48" t="s">
        <v>199</v>
      </c>
      <c r="E54" s="425"/>
      <c r="F54" s="119"/>
      <c r="G54" s="12"/>
      <c r="H54" s="207">
        <v>6650.98</v>
      </c>
      <c r="I54" s="482"/>
      <c r="J54" s="479"/>
      <c r="K54" s="12"/>
      <c r="L54" s="12"/>
      <c r="M54" s="12"/>
      <c r="N54" s="117"/>
      <c r="O54" s="117"/>
      <c r="P54" s="117"/>
      <c r="Q54" s="119"/>
    </row>
    <row r="55" spans="1:20" ht="13.5" customHeight="1">
      <c r="A55" s="451"/>
      <c r="B55" s="443"/>
      <c r="C55" s="446"/>
      <c r="D55" s="48" t="s">
        <v>96</v>
      </c>
      <c r="E55" s="113" t="s">
        <v>65</v>
      </c>
      <c r="F55" s="119"/>
      <c r="G55" s="47"/>
      <c r="H55" s="12">
        <v>1224</v>
      </c>
      <c r="I55" s="482"/>
      <c r="J55" s="479"/>
      <c r="K55" s="12"/>
      <c r="L55" s="12"/>
      <c r="M55" s="12"/>
      <c r="N55" s="117"/>
      <c r="O55" s="117"/>
      <c r="P55" s="117"/>
      <c r="Q55" s="119"/>
    </row>
    <row r="56" spans="1:20" ht="13.5" customHeight="1">
      <c r="A56" s="451"/>
      <c r="B56" s="442" t="s">
        <v>55</v>
      </c>
      <c r="C56" s="444" t="s">
        <v>133</v>
      </c>
      <c r="D56" s="43" t="s">
        <v>56</v>
      </c>
      <c r="E56" s="430" t="s">
        <v>25</v>
      </c>
      <c r="F56" s="48" t="s">
        <v>67</v>
      </c>
      <c r="G56" s="196">
        <v>247.6</v>
      </c>
      <c r="H56" s="31"/>
      <c r="I56" s="482"/>
      <c r="J56" s="479"/>
      <c r="K56" s="183"/>
      <c r="L56" s="183"/>
      <c r="M56" s="183"/>
      <c r="N56" s="183"/>
      <c r="O56" s="183"/>
      <c r="P56" s="183"/>
      <c r="Q56" s="2"/>
      <c r="S56" s="13"/>
    </row>
    <row r="57" spans="1:20" ht="13.5" customHeight="1">
      <c r="A57" s="451"/>
      <c r="B57" s="443"/>
      <c r="C57" s="446"/>
      <c r="D57" s="43" t="s">
        <v>68</v>
      </c>
      <c r="E57" s="430"/>
      <c r="F57" s="48"/>
      <c r="G57" s="47"/>
      <c r="H57" s="117"/>
      <c r="I57" s="482"/>
      <c r="J57" s="479"/>
      <c r="K57" s="12"/>
      <c r="L57" s="12"/>
      <c r="M57" s="12"/>
      <c r="N57" s="12"/>
      <c r="O57" s="117"/>
      <c r="P57" s="117"/>
      <c r="Q57" s="2"/>
      <c r="S57" s="13"/>
      <c r="T57" s="13"/>
    </row>
    <row r="58" spans="1:20" ht="13.5" customHeight="1">
      <c r="A58" s="451"/>
      <c r="B58" s="442" t="s">
        <v>122</v>
      </c>
      <c r="C58" s="444" t="s">
        <v>123</v>
      </c>
      <c r="D58" s="48" t="s">
        <v>56</v>
      </c>
      <c r="E58" s="430"/>
      <c r="F58" s="48" t="s">
        <v>64</v>
      </c>
      <c r="G58" s="196"/>
      <c r="H58" s="12"/>
      <c r="I58" s="482"/>
      <c r="J58" s="479"/>
      <c r="K58" s="183">
        <v>9200</v>
      </c>
      <c r="L58" s="183">
        <v>3</v>
      </c>
      <c r="M58" s="183">
        <v>7992</v>
      </c>
      <c r="N58" s="183">
        <v>7318</v>
      </c>
      <c r="O58" s="12"/>
      <c r="P58" s="117"/>
      <c r="Q58" s="2"/>
      <c r="S58" s="13"/>
    </row>
    <row r="59" spans="1:20" ht="13.5" customHeight="1">
      <c r="A59" s="451"/>
      <c r="B59" s="443"/>
      <c r="C59" s="446"/>
      <c r="D59" s="48" t="s">
        <v>129</v>
      </c>
      <c r="E59" s="430"/>
      <c r="F59" s="48"/>
      <c r="G59" s="31"/>
      <c r="H59" s="12">
        <v>1500</v>
      </c>
      <c r="I59" s="482"/>
      <c r="J59" s="479"/>
      <c r="K59" s="117"/>
      <c r="L59" s="117"/>
      <c r="M59" s="12"/>
      <c r="N59" s="12"/>
      <c r="O59" s="117"/>
      <c r="P59" s="117"/>
      <c r="Q59" s="2"/>
      <c r="S59" s="13"/>
    </row>
    <row r="60" spans="1:20" ht="13.5" customHeight="1">
      <c r="A60" s="451"/>
      <c r="B60" s="442" t="s">
        <v>58</v>
      </c>
      <c r="C60" s="444" t="s">
        <v>243</v>
      </c>
      <c r="D60" s="48" t="s">
        <v>56</v>
      </c>
      <c r="E60" s="430"/>
      <c r="F60" s="59" t="s">
        <v>67</v>
      </c>
      <c r="G60" s="31"/>
      <c r="H60" s="116"/>
      <c r="I60" s="482"/>
      <c r="J60" s="479"/>
      <c r="K60" s="117"/>
      <c r="L60" s="117"/>
      <c r="M60" s="12"/>
      <c r="N60" s="12"/>
      <c r="O60" s="117"/>
      <c r="P60" s="121">
        <v>43</v>
      </c>
      <c r="Q60" s="2"/>
      <c r="S60" s="13"/>
    </row>
    <row r="61" spans="1:20" s="4" customFormat="1" ht="13.5" customHeight="1">
      <c r="A61" s="451"/>
      <c r="B61" s="439"/>
      <c r="C61" s="445"/>
      <c r="D61" s="48" t="s">
        <v>56</v>
      </c>
      <c r="E61" s="430"/>
      <c r="F61" s="59" t="s">
        <v>64</v>
      </c>
      <c r="G61" s="183"/>
      <c r="H61" s="193"/>
      <c r="I61" s="482"/>
      <c r="J61" s="479"/>
      <c r="K61" s="183"/>
      <c r="L61" s="183"/>
      <c r="M61" s="183">
        <v>4992</v>
      </c>
      <c r="N61" s="183">
        <v>4610</v>
      </c>
      <c r="O61" s="194"/>
      <c r="P61" s="191"/>
      <c r="Q61" s="122"/>
    </row>
    <row r="62" spans="1:20" ht="13.5" customHeight="1">
      <c r="A62" s="451"/>
      <c r="B62" s="443"/>
      <c r="C62" s="446"/>
      <c r="D62" s="48" t="s">
        <v>92</v>
      </c>
      <c r="E62" s="430"/>
      <c r="F62" s="59"/>
      <c r="G62" s="116"/>
      <c r="H62" s="236">
        <v>443.75</v>
      </c>
      <c r="I62" s="482"/>
      <c r="J62" s="479"/>
      <c r="K62" s="31"/>
      <c r="L62" s="31"/>
      <c r="M62" s="12"/>
      <c r="N62" s="12"/>
      <c r="O62" s="117"/>
      <c r="P62" s="116"/>
      <c r="Q62" s="119"/>
      <c r="T62" s="13"/>
    </row>
    <row r="63" spans="1:20" s="4" customFormat="1" ht="13.5" customHeight="1">
      <c r="A63" s="451"/>
      <c r="B63" s="442" t="s">
        <v>61</v>
      </c>
      <c r="C63" s="444" t="s">
        <v>137</v>
      </c>
      <c r="D63" s="48" t="s">
        <v>56</v>
      </c>
      <c r="E63" s="430"/>
      <c r="F63" s="59" t="s">
        <v>67</v>
      </c>
      <c r="G63" s="183">
        <v>696</v>
      </c>
      <c r="H63" s="191"/>
      <c r="I63" s="482"/>
      <c r="J63" s="479"/>
      <c r="K63" s="183">
        <v>6000</v>
      </c>
      <c r="L63" s="183">
        <v>2</v>
      </c>
      <c r="M63" s="183">
        <v>3815</v>
      </c>
      <c r="N63" s="183">
        <v>3429</v>
      </c>
      <c r="O63" s="183"/>
      <c r="P63" s="183"/>
      <c r="Q63" s="122"/>
    </row>
    <row r="64" spans="1:20" s="4" customFormat="1" ht="13.5" customHeight="1">
      <c r="A64" s="451"/>
      <c r="B64" s="443"/>
      <c r="C64" s="446"/>
      <c r="D64" s="48" t="s">
        <v>129</v>
      </c>
      <c r="E64" s="430"/>
      <c r="F64" s="59"/>
      <c r="G64" s="183"/>
      <c r="H64" s="191">
        <v>750</v>
      </c>
      <c r="I64" s="482"/>
      <c r="J64" s="479"/>
      <c r="K64" s="183"/>
      <c r="L64" s="183"/>
      <c r="M64" s="183"/>
      <c r="N64" s="183"/>
      <c r="O64" s="194"/>
      <c r="P64" s="194"/>
      <c r="Q64" s="122"/>
    </row>
    <row r="65" spans="1:19" ht="13.5" customHeight="1">
      <c r="A65" s="451"/>
      <c r="B65" s="122" t="s">
        <v>125</v>
      </c>
      <c r="C65" s="180" t="s">
        <v>88</v>
      </c>
      <c r="D65" s="48" t="s">
        <v>124</v>
      </c>
      <c r="E65" s="430"/>
      <c r="F65" s="48" t="s">
        <v>64</v>
      </c>
      <c r="G65" s="31"/>
      <c r="H65" s="12">
        <v>1728</v>
      </c>
      <c r="I65" s="482"/>
      <c r="J65" s="479"/>
      <c r="K65" s="12">
        <v>29600</v>
      </c>
      <c r="L65" s="12">
        <v>4</v>
      </c>
      <c r="M65" s="12">
        <v>44172</v>
      </c>
      <c r="N65" s="12">
        <v>41689</v>
      </c>
      <c r="O65" s="117">
        <v>29376</v>
      </c>
      <c r="P65" s="117"/>
      <c r="Q65" s="2"/>
      <c r="S65" s="13"/>
    </row>
    <row r="66" spans="1:19" ht="13.5" customHeight="1">
      <c r="A66" s="451"/>
      <c r="B66" s="442" t="s">
        <v>47</v>
      </c>
      <c r="C66" s="472" t="s">
        <v>100</v>
      </c>
      <c r="D66" s="89" t="s">
        <v>99</v>
      </c>
      <c r="E66" s="430"/>
      <c r="F66" s="89" t="s">
        <v>71</v>
      </c>
      <c r="G66" s="31">
        <v>984.6</v>
      </c>
      <c r="H66" s="123"/>
      <c r="I66" s="482"/>
      <c r="J66" s="479"/>
      <c r="K66" s="12">
        <v>24000</v>
      </c>
      <c r="L66" s="12">
        <v>4</v>
      </c>
      <c r="M66" s="121"/>
      <c r="N66" s="121"/>
      <c r="O66" s="117"/>
      <c r="P66" s="12"/>
      <c r="Q66" s="119"/>
    </row>
    <row r="67" spans="1:19" ht="13.5" customHeight="1">
      <c r="A67" s="451"/>
      <c r="B67" s="439"/>
      <c r="C67" s="473"/>
      <c r="D67" s="59" t="s">
        <v>121</v>
      </c>
      <c r="E67" s="430"/>
      <c r="F67" s="59"/>
      <c r="G67" s="116"/>
      <c r="H67" s="116">
        <v>1836</v>
      </c>
      <c r="I67" s="482"/>
      <c r="J67" s="479"/>
      <c r="K67" s="116"/>
      <c r="L67" s="116"/>
      <c r="M67" s="12"/>
      <c r="N67" s="12"/>
      <c r="O67" s="12"/>
      <c r="P67" s="116"/>
      <c r="Q67" s="119"/>
    </row>
    <row r="68" spans="1:19" ht="13.5" customHeight="1">
      <c r="A68" s="451"/>
      <c r="B68" s="122" t="s">
        <v>134</v>
      </c>
      <c r="C68" s="180" t="s">
        <v>63</v>
      </c>
      <c r="D68" s="48" t="s">
        <v>135</v>
      </c>
      <c r="E68" s="430"/>
      <c r="F68" s="59" t="s">
        <v>64</v>
      </c>
      <c r="G68" s="47"/>
      <c r="H68" s="49">
        <v>535.5</v>
      </c>
      <c r="I68" s="482"/>
      <c r="J68" s="479"/>
      <c r="K68" s="12"/>
      <c r="L68" s="12"/>
      <c r="M68" s="12"/>
      <c r="N68" s="12"/>
      <c r="O68" s="117">
        <v>9819</v>
      </c>
      <c r="P68" s="116"/>
      <c r="Q68" s="119"/>
    </row>
    <row r="69" spans="1:19" ht="13.5" customHeight="1">
      <c r="A69" s="451"/>
      <c r="B69" s="122" t="s">
        <v>101</v>
      </c>
      <c r="C69" s="180" t="s">
        <v>193</v>
      </c>
      <c r="D69" s="48" t="s">
        <v>102</v>
      </c>
      <c r="E69" s="430"/>
      <c r="F69" s="48" t="s">
        <v>64</v>
      </c>
      <c r="G69" s="12"/>
      <c r="H69" s="31"/>
      <c r="I69" s="482"/>
      <c r="J69" s="479"/>
      <c r="K69" s="116"/>
      <c r="L69" s="116"/>
      <c r="M69" s="12"/>
      <c r="N69" s="12"/>
      <c r="O69" s="12"/>
      <c r="P69" s="12"/>
      <c r="Q69" s="119"/>
      <c r="S69" s="13"/>
    </row>
    <row r="70" spans="1:19" ht="13.5" customHeight="1">
      <c r="A70" s="451"/>
      <c r="B70" s="442" t="s">
        <v>47</v>
      </c>
      <c r="C70" s="472" t="s">
        <v>100</v>
      </c>
      <c r="D70" s="89" t="s">
        <v>99</v>
      </c>
      <c r="E70" s="430"/>
      <c r="F70" s="89" t="s">
        <v>71</v>
      </c>
      <c r="G70" s="31"/>
      <c r="H70" s="123"/>
      <c r="I70" s="482"/>
      <c r="J70" s="479"/>
      <c r="K70" s="12"/>
      <c r="L70" s="12"/>
      <c r="M70" s="121">
        <v>31243</v>
      </c>
      <c r="N70" s="121">
        <v>31493</v>
      </c>
      <c r="O70" s="117"/>
      <c r="P70" s="12"/>
      <c r="Q70" s="119"/>
    </row>
    <row r="71" spans="1:19" ht="13.5" customHeight="1">
      <c r="A71" s="451"/>
      <c r="B71" s="439"/>
      <c r="C71" s="473"/>
      <c r="D71" s="59" t="s">
        <v>121</v>
      </c>
      <c r="E71" s="430"/>
      <c r="F71" s="59"/>
      <c r="G71" s="116"/>
      <c r="H71" s="116"/>
      <c r="I71" s="482"/>
      <c r="J71" s="479"/>
      <c r="K71" s="116"/>
      <c r="L71" s="116"/>
      <c r="M71" s="12"/>
      <c r="N71" s="12"/>
      <c r="O71" s="12"/>
      <c r="P71" s="116"/>
      <c r="Q71" s="119"/>
    </row>
    <row r="72" spans="1:19" ht="13.5" customHeight="1">
      <c r="A72" s="451"/>
      <c r="B72" s="122" t="s">
        <v>134</v>
      </c>
      <c r="C72" s="180" t="s">
        <v>63</v>
      </c>
      <c r="D72" s="48" t="s">
        <v>135</v>
      </c>
      <c r="E72" s="430"/>
      <c r="F72" s="59" t="s">
        <v>64</v>
      </c>
      <c r="G72" s="47"/>
      <c r="H72" s="12"/>
      <c r="I72" s="482"/>
      <c r="J72" s="479"/>
      <c r="K72" s="12"/>
      <c r="L72" s="12"/>
      <c r="M72" s="12">
        <v>18819</v>
      </c>
      <c r="N72" s="12">
        <v>20680</v>
      </c>
      <c r="O72" s="117"/>
      <c r="P72" s="116"/>
      <c r="Q72" s="119"/>
    </row>
    <row r="73" spans="1:19" ht="13.5" customHeight="1">
      <c r="A73" s="451"/>
      <c r="B73" s="122" t="s">
        <v>131</v>
      </c>
      <c r="C73" s="180" t="s">
        <v>194</v>
      </c>
      <c r="D73" s="48" t="s">
        <v>132</v>
      </c>
      <c r="E73" s="430"/>
      <c r="F73" s="59" t="s">
        <v>64</v>
      </c>
      <c r="G73" s="47"/>
      <c r="H73" s="123"/>
      <c r="I73" s="482"/>
      <c r="J73" s="479"/>
      <c r="K73" s="12"/>
      <c r="L73" s="12"/>
      <c r="M73" s="12"/>
      <c r="N73" s="12"/>
      <c r="O73" s="117"/>
      <c r="P73" s="116"/>
      <c r="Q73" s="119"/>
    </row>
    <row r="74" spans="1:19" ht="13.5" customHeight="1">
      <c r="A74" s="451"/>
      <c r="B74" s="122" t="s">
        <v>103</v>
      </c>
      <c r="C74" s="157" t="s">
        <v>197</v>
      </c>
      <c r="D74" s="48" t="s">
        <v>104</v>
      </c>
      <c r="E74" s="430"/>
      <c r="F74" s="59" t="s">
        <v>105</v>
      </c>
      <c r="G74" s="116"/>
      <c r="H74" s="49"/>
      <c r="I74" s="482"/>
      <c r="J74" s="479"/>
      <c r="K74" s="12"/>
      <c r="L74" s="12"/>
      <c r="M74" s="12"/>
      <c r="N74" s="12"/>
      <c r="O74" s="12"/>
      <c r="P74" s="116"/>
      <c r="Q74" s="119"/>
      <c r="S74" s="13"/>
    </row>
    <row r="75" spans="1:19" ht="13.5" customHeight="1">
      <c r="A75" s="451"/>
      <c r="B75" s="442" t="s">
        <v>112</v>
      </c>
      <c r="C75" s="444" t="s">
        <v>197</v>
      </c>
      <c r="D75" s="48" t="s">
        <v>104</v>
      </c>
      <c r="E75" s="430"/>
      <c r="F75" s="59" t="s">
        <v>113</v>
      </c>
      <c r="G75" s="116"/>
      <c r="H75" s="184"/>
      <c r="I75" s="482"/>
      <c r="J75" s="479"/>
      <c r="K75" s="12"/>
      <c r="L75" s="12"/>
      <c r="M75" s="12"/>
      <c r="N75" s="12"/>
      <c r="O75" s="12"/>
      <c r="P75" s="116"/>
      <c r="Q75" s="131"/>
    </row>
    <row r="76" spans="1:19" ht="13.5" customHeight="1">
      <c r="A76" s="451"/>
      <c r="B76" s="443"/>
      <c r="C76" s="446"/>
      <c r="D76" s="48" t="s">
        <v>85</v>
      </c>
      <c r="E76" s="430"/>
      <c r="F76" s="59"/>
      <c r="G76" s="116"/>
      <c r="H76" s="49"/>
      <c r="I76" s="482"/>
      <c r="J76" s="479"/>
      <c r="K76" s="116"/>
      <c r="L76" s="116"/>
      <c r="M76" s="12"/>
      <c r="N76" s="12"/>
      <c r="O76" s="12"/>
      <c r="P76" s="116"/>
      <c r="Q76" s="131"/>
    </row>
    <row r="77" spans="1:19" ht="13.5" customHeight="1">
      <c r="A77" s="451"/>
      <c r="B77" s="442" t="s">
        <v>106</v>
      </c>
      <c r="C77" s="444" t="s">
        <v>141</v>
      </c>
      <c r="D77" s="48" t="s">
        <v>68</v>
      </c>
      <c r="E77" s="430"/>
      <c r="F77" s="59" t="s">
        <v>67</v>
      </c>
      <c r="G77" s="116"/>
      <c r="H77" s="49"/>
      <c r="I77" s="482"/>
      <c r="J77" s="479"/>
      <c r="K77" s="116"/>
      <c r="L77" s="116"/>
      <c r="M77" s="12"/>
      <c r="N77" s="12"/>
      <c r="O77" s="117"/>
      <c r="P77" s="116"/>
      <c r="Q77" s="131"/>
    </row>
    <row r="78" spans="1:19" ht="13.5" customHeight="1">
      <c r="A78" s="451"/>
      <c r="B78" s="443"/>
      <c r="C78" s="446"/>
      <c r="D78" s="59" t="s">
        <v>109</v>
      </c>
      <c r="E78" s="430"/>
      <c r="F78" s="59"/>
      <c r="G78" s="116"/>
      <c r="H78" s="116"/>
      <c r="I78" s="482"/>
      <c r="J78" s="479"/>
      <c r="K78" s="116"/>
      <c r="L78" s="116"/>
      <c r="M78" s="12"/>
      <c r="N78" s="12"/>
      <c r="O78" s="116"/>
      <c r="P78" s="116"/>
      <c r="Q78" s="131"/>
    </row>
    <row r="79" spans="1:19" ht="13.5" customHeight="1" thickBot="1">
      <c r="A79" s="451"/>
      <c r="B79" s="122" t="s">
        <v>107</v>
      </c>
      <c r="C79" s="180" t="s">
        <v>195</v>
      </c>
      <c r="D79" s="48" t="s">
        <v>108</v>
      </c>
      <c r="E79" s="430"/>
      <c r="F79" s="48" t="s">
        <v>48</v>
      </c>
      <c r="G79" s="12"/>
      <c r="H79" s="237"/>
      <c r="I79" s="483"/>
      <c r="J79" s="480"/>
      <c r="K79" s="116"/>
      <c r="L79" s="116"/>
      <c r="M79" s="121"/>
      <c r="N79" s="121"/>
      <c r="O79" s="116"/>
      <c r="P79" s="12"/>
      <c r="Q79" s="119"/>
    </row>
    <row r="80" spans="1:19" ht="15" customHeight="1">
      <c r="A80" s="450" t="s">
        <v>207</v>
      </c>
      <c r="B80" s="429" t="s">
        <v>44</v>
      </c>
      <c r="C80" s="432" t="s">
        <v>241</v>
      </c>
      <c r="D80" s="19" t="s">
        <v>37</v>
      </c>
      <c r="E80" s="19" t="s">
        <v>25</v>
      </c>
      <c r="F80" s="39" t="s">
        <v>40</v>
      </c>
      <c r="G80" s="120">
        <v>75873.78</v>
      </c>
      <c r="H80" s="30">
        <v>51744</v>
      </c>
      <c r="I80" s="481">
        <v>231</v>
      </c>
      <c r="J80" s="478">
        <v>22.6</v>
      </c>
      <c r="K80" s="30">
        <v>872000</v>
      </c>
      <c r="L80" s="30">
        <v>109</v>
      </c>
      <c r="M80" s="30">
        <v>782790</v>
      </c>
      <c r="N80" s="30">
        <v>786192</v>
      </c>
      <c r="O80" s="208">
        <v>779319</v>
      </c>
      <c r="P80" s="208">
        <v>385</v>
      </c>
      <c r="Q80" s="19"/>
    </row>
    <row r="81" spans="1:20" ht="15" customHeight="1">
      <c r="A81" s="451"/>
      <c r="B81" s="431"/>
      <c r="C81" s="434"/>
      <c r="D81" s="119" t="s">
        <v>128</v>
      </c>
      <c r="E81" s="115" t="s">
        <v>24</v>
      </c>
      <c r="F81" s="118" t="s">
        <v>40</v>
      </c>
      <c r="G81" s="47">
        <v>35613.93</v>
      </c>
      <c r="H81" s="12">
        <v>33956.5</v>
      </c>
      <c r="I81" s="482"/>
      <c r="J81" s="479"/>
      <c r="K81" s="12">
        <v>528200</v>
      </c>
      <c r="L81" s="12">
        <v>67</v>
      </c>
      <c r="M81" s="12">
        <v>486016</v>
      </c>
      <c r="N81" s="12">
        <v>498913</v>
      </c>
      <c r="O81" s="194">
        <v>479011</v>
      </c>
      <c r="P81" s="194">
        <v>1946</v>
      </c>
      <c r="Q81" s="113"/>
    </row>
    <row r="82" spans="1:20" ht="15" customHeight="1">
      <c r="A82" s="451"/>
      <c r="B82" s="452" t="s">
        <v>45</v>
      </c>
      <c r="C82" s="471" t="s">
        <v>59</v>
      </c>
      <c r="D82" s="118" t="s">
        <v>75</v>
      </c>
      <c r="E82" s="441" t="s">
        <v>25</v>
      </c>
      <c r="F82" s="119" t="s">
        <v>57</v>
      </c>
      <c r="G82" s="12">
        <v>6212</v>
      </c>
      <c r="H82" s="12"/>
      <c r="I82" s="482"/>
      <c r="J82" s="479"/>
      <c r="K82" s="12">
        <v>105900</v>
      </c>
      <c r="L82" s="12">
        <v>21</v>
      </c>
      <c r="M82" s="12">
        <v>79109</v>
      </c>
      <c r="N82" s="12">
        <v>78610</v>
      </c>
      <c r="O82" s="194">
        <v>59286</v>
      </c>
      <c r="P82" s="194">
        <v>3</v>
      </c>
      <c r="Q82" s="119"/>
    </row>
    <row r="83" spans="1:20" ht="15" customHeight="1">
      <c r="A83" s="451"/>
      <c r="B83" s="452"/>
      <c r="C83" s="471"/>
      <c r="D83" s="48" t="s">
        <v>94</v>
      </c>
      <c r="E83" s="425"/>
      <c r="F83" s="119"/>
      <c r="G83" s="47"/>
      <c r="H83" s="12">
        <v>8845.2000000000007</v>
      </c>
      <c r="I83" s="482"/>
      <c r="J83" s="479"/>
      <c r="K83" s="12"/>
      <c r="L83" s="12"/>
      <c r="M83" s="12"/>
      <c r="N83" s="12"/>
      <c r="O83" s="117"/>
      <c r="P83" s="117"/>
      <c r="Q83" s="119"/>
      <c r="S83" s="13"/>
      <c r="T83" s="13"/>
    </row>
    <row r="84" spans="1:20" ht="15" customHeight="1">
      <c r="A84" s="451"/>
      <c r="B84" s="452"/>
      <c r="C84" s="471"/>
      <c r="D84" s="118" t="s">
        <v>72</v>
      </c>
      <c r="E84" s="118" t="s">
        <v>24</v>
      </c>
      <c r="F84" s="119" t="s">
        <v>57</v>
      </c>
      <c r="G84" s="12">
        <v>15530</v>
      </c>
      <c r="H84" s="119"/>
      <c r="I84" s="482"/>
      <c r="J84" s="479"/>
      <c r="K84" s="12">
        <v>155000</v>
      </c>
      <c r="L84" s="12">
        <v>31</v>
      </c>
      <c r="M84" s="12">
        <v>146615</v>
      </c>
      <c r="N84" s="12">
        <v>146285</v>
      </c>
      <c r="O84" s="194">
        <v>149228</v>
      </c>
      <c r="P84" s="194">
        <v>438</v>
      </c>
      <c r="Q84" s="119"/>
    </row>
    <row r="85" spans="1:20" ht="15" customHeight="1">
      <c r="A85" s="451"/>
      <c r="B85" s="452"/>
      <c r="C85" s="471"/>
      <c r="D85" s="118" t="s">
        <v>73</v>
      </c>
      <c r="E85" s="118" t="s">
        <v>24</v>
      </c>
      <c r="F85" s="119"/>
      <c r="G85" s="47"/>
      <c r="H85" s="12">
        <v>14520</v>
      </c>
      <c r="I85" s="482"/>
      <c r="J85" s="479"/>
      <c r="K85" s="12"/>
      <c r="L85" s="12"/>
      <c r="M85" s="12"/>
      <c r="N85" s="12"/>
      <c r="O85" s="12"/>
      <c r="P85" s="12"/>
      <c r="Q85" s="119"/>
    </row>
    <row r="86" spans="1:20" ht="15" customHeight="1">
      <c r="A86" s="451"/>
      <c r="B86" s="452"/>
      <c r="C86" s="471"/>
      <c r="D86" s="115" t="s">
        <v>79</v>
      </c>
      <c r="E86" s="114" t="s">
        <v>65</v>
      </c>
      <c r="F86" s="119" t="s">
        <v>57</v>
      </c>
      <c r="G86" s="47"/>
      <c r="H86" s="119"/>
      <c r="I86" s="482"/>
      <c r="J86" s="479"/>
      <c r="K86" s="12">
        <v>54000</v>
      </c>
      <c r="L86" s="12">
        <v>11</v>
      </c>
      <c r="M86" s="12">
        <v>71249</v>
      </c>
      <c r="N86" s="12">
        <v>61801</v>
      </c>
      <c r="O86" s="117">
        <v>83258</v>
      </c>
      <c r="P86" s="117">
        <v>6</v>
      </c>
      <c r="Q86" s="119"/>
    </row>
    <row r="87" spans="1:20" ht="15" customHeight="1">
      <c r="A87" s="451"/>
      <c r="B87" s="452"/>
      <c r="C87" s="471"/>
      <c r="D87" s="115" t="s">
        <v>80</v>
      </c>
      <c r="E87" s="118" t="s">
        <v>65</v>
      </c>
      <c r="F87" s="119"/>
      <c r="G87" s="47"/>
      <c r="H87" s="12">
        <v>6129.8</v>
      </c>
      <c r="I87" s="482"/>
      <c r="J87" s="479"/>
      <c r="K87" s="12"/>
      <c r="L87" s="12"/>
      <c r="M87" s="12"/>
      <c r="N87" s="12"/>
      <c r="O87" s="117"/>
      <c r="P87" s="117"/>
      <c r="Q87" s="119"/>
    </row>
    <row r="88" spans="1:20" ht="15" customHeight="1">
      <c r="A88" s="451"/>
      <c r="B88" s="452"/>
      <c r="C88" s="471"/>
      <c r="D88" s="115" t="s">
        <v>42</v>
      </c>
      <c r="E88" s="118" t="s">
        <v>25</v>
      </c>
      <c r="F88" s="119"/>
      <c r="G88" s="47"/>
      <c r="H88" s="12"/>
      <c r="I88" s="482"/>
      <c r="J88" s="479"/>
      <c r="K88" s="12"/>
      <c r="L88" s="12"/>
      <c r="M88" s="12"/>
      <c r="N88" s="12"/>
      <c r="O88" s="117"/>
      <c r="P88" s="117"/>
      <c r="Q88" s="119"/>
    </row>
    <row r="89" spans="1:20" ht="15" customHeight="1">
      <c r="A89" s="451"/>
      <c r="B89" s="442" t="s">
        <v>53</v>
      </c>
      <c r="C89" s="444" t="s">
        <v>60</v>
      </c>
      <c r="D89" s="43" t="s">
        <v>130</v>
      </c>
      <c r="E89" s="210" t="s">
        <v>66</v>
      </c>
      <c r="F89" s="118" t="s">
        <v>54</v>
      </c>
      <c r="G89" s="47">
        <v>11941.720000000001</v>
      </c>
      <c r="H89" s="113"/>
      <c r="I89" s="482"/>
      <c r="J89" s="479"/>
      <c r="K89" s="12">
        <v>191400</v>
      </c>
      <c r="L89" s="12">
        <v>33</v>
      </c>
      <c r="M89" s="12">
        <v>224693</v>
      </c>
      <c r="N89" s="12">
        <v>221755</v>
      </c>
      <c r="O89" s="117">
        <v>228384</v>
      </c>
      <c r="P89" s="117">
        <v>10</v>
      </c>
      <c r="Q89" s="119"/>
    </row>
    <row r="90" spans="1:20" ht="15" customHeight="1">
      <c r="A90" s="451"/>
      <c r="B90" s="439"/>
      <c r="C90" s="445"/>
      <c r="D90" s="48" t="s">
        <v>199</v>
      </c>
      <c r="E90" s="115" t="s">
        <v>25</v>
      </c>
      <c r="F90" s="119"/>
      <c r="G90" s="47"/>
      <c r="H90" s="161">
        <v>11335.6</v>
      </c>
      <c r="I90" s="482"/>
      <c r="J90" s="479"/>
      <c r="K90" s="12"/>
      <c r="L90" s="12"/>
      <c r="M90" s="12"/>
      <c r="N90" s="117"/>
      <c r="O90" s="117"/>
      <c r="P90" s="117"/>
      <c r="Q90" s="119"/>
    </row>
    <row r="91" spans="1:20" ht="15" customHeight="1">
      <c r="A91" s="451"/>
      <c r="B91" s="443"/>
      <c r="C91" s="446"/>
      <c r="D91" s="48" t="s">
        <v>96</v>
      </c>
      <c r="E91" s="113" t="s">
        <v>65</v>
      </c>
      <c r="F91" s="119"/>
      <c r="G91" s="47"/>
      <c r="H91" s="12">
        <v>1836</v>
      </c>
      <c r="I91" s="482"/>
      <c r="J91" s="479"/>
      <c r="K91" s="12"/>
      <c r="L91" s="12"/>
      <c r="M91" s="12"/>
      <c r="N91" s="117"/>
      <c r="O91" s="117"/>
      <c r="P91" s="117"/>
      <c r="Q91" s="119"/>
    </row>
    <row r="92" spans="1:20" ht="15" customHeight="1">
      <c r="A92" s="451"/>
      <c r="B92" s="442" t="s">
        <v>55</v>
      </c>
      <c r="C92" s="444" t="s">
        <v>133</v>
      </c>
      <c r="D92" s="43" t="s">
        <v>56</v>
      </c>
      <c r="E92" s="430" t="s">
        <v>25</v>
      </c>
      <c r="F92" s="48" t="s">
        <v>67</v>
      </c>
      <c r="G92" s="196"/>
      <c r="H92" s="31"/>
      <c r="I92" s="482"/>
      <c r="J92" s="479"/>
      <c r="K92" s="183">
        <v>2000</v>
      </c>
      <c r="L92" s="183">
        <v>2</v>
      </c>
      <c r="M92" s="183">
        <v>1953</v>
      </c>
      <c r="N92" s="183">
        <v>1953</v>
      </c>
      <c r="O92" s="183">
        <v>1953</v>
      </c>
      <c r="P92" s="183"/>
      <c r="Q92" s="2"/>
      <c r="S92" s="13"/>
    </row>
    <row r="93" spans="1:20" ht="15" customHeight="1">
      <c r="A93" s="451"/>
      <c r="B93" s="443"/>
      <c r="C93" s="446"/>
      <c r="D93" s="43" t="s">
        <v>68</v>
      </c>
      <c r="E93" s="430"/>
      <c r="F93" s="48"/>
      <c r="G93" s="47"/>
      <c r="H93" s="117">
        <v>144</v>
      </c>
      <c r="I93" s="482"/>
      <c r="J93" s="479"/>
      <c r="K93" s="12"/>
      <c r="L93" s="12"/>
      <c r="M93" s="12"/>
      <c r="N93" s="12"/>
      <c r="O93" s="117"/>
      <c r="P93" s="117"/>
      <c r="Q93" s="2"/>
      <c r="S93" s="13"/>
      <c r="T93" s="13"/>
    </row>
    <row r="94" spans="1:20" ht="15" customHeight="1">
      <c r="A94" s="451"/>
      <c r="B94" s="442" t="s">
        <v>122</v>
      </c>
      <c r="C94" s="444" t="s">
        <v>123</v>
      </c>
      <c r="D94" s="48" t="s">
        <v>56</v>
      </c>
      <c r="E94" s="430"/>
      <c r="F94" s="48" t="s">
        <v>64</v>
      </c>
      <c r="G94" s="218">
        <v>375.84</v>
      </c>
      <c r="H94" s="12"/>
      <c r="I94" s="482"/>
      <c r="J94" s="479"/>
      <c r="K94" s="183">
        <v>3240</v>
      </c>
      <c r="L94" s="183">
        <v>1</v>
      </c>
      <c r="M94" s="183">
        <v>500</v>
      </c>
      <c r="N94" s="183">
        <v>500</v>
      </c>
      <c r="O94" s="12">
        <v>500</v>
      </c>
      <c r="P94" s="117"/>
      <c r="Q94" s="2"/>
      <c r="S94" s="13"/>
    </row>
    <row r="95" spans="1:20" ht="15" customHeight="1">
      <c r="A95" s="451"/>
      <c r="B95" s="443"/>
      <c r="C95" s="446"/>
      <c r="D95" s="48" t="s">
        <v>129</v>
      </c>
      <c r="E95" s="430"/>
      <c r="F95" s="48"/>
      <c r="G95" s="31"/>
      <c r="H95" s="12"/>
      <c r="I95" s="482"/>
      <c r="J95" s="479"/>
      <c r="K95" s="117"/>
      <c r="L95" s="117"/>
      <c r="M95" s="12"/>
      <c r="N95" s="12"/>
      <c r="O95" s="117"/>
      <c r="P95" s="117"/>
      <c r="Q95" s="2"/>
      <c r="S95" s="13"/>
    </row>
    <row r="96" spans="1:20" s="4" customFormat="1" ht="15" customHeight="1">
      <c r="A96" s="451"/>
      <c r="B96" s="442" t="s">
        <v>58</v>
      </c>
      <c r="C96" s="444" t="s">
        <v>243</v>
      </c>
      <c r="D96" s="48" t="s">
        <v>56</v>
      </c>
      <c r="E96" s="430"/>
      <c r="F96" s="59" t="s">
        <v>64</v>
      </c>
      <c r="G96" s="183">
        <v>348</v>
      </c>
      <c r="H96" s="193"/>
      <c r="I96" s="482"/>
      <c r="J96" s="479"/>
      <c r="K96" s="183">
        <v>3000</v>
      </c>
      <c r="L96" s="183">
        <v>1</v>
      </c>
      <c r="M96" s="183">
        <v>500</v>
      </c>
      <c r="N96" s="183">
        <v>500</v>
      </c>
      <c r="O96" s="194">
        <v>500</v>
      </c>
      <c r="P96" s="191"/>
      <c r="Q96" s="122"/>
    </row>
    <row r="97" spans="1:20" ht="15" customHeight="1">
      <c r="A97" s="451"/>
      <c r="B97" s="443"/>
      <c r="C97" s="446"/>
      <c r="D97" s="48" t="s">
        <v>92</v>
      </c>
      <c r="E97" s="430"/>
      <c r="F97" s="59"/>
      <c r="G97" s="116"/>
      <c r="H97" s="116"/>
      <c r="I97" s="482"/>
      <c r="J97" s="479"/>
      <c r="K97" s="31"/>
      <c r="L97" s="31"/>
      <c r="M97" s="12"/>
      <c r="N97" s="12"/>
      <c r="O97" s="117"/>
      <c r="P97" s="116"/>
      <c r="Q97" s="119"/>
      <c r="T97" s="13"/>
    </row>
    <row r="98" spans="1:20" s="4" customFormat="1" ht="15" customHeight="1">
      <c r="A98" s="451"/>
      <c r="B98" s="122" t="s">
        <v>61</v>
      </c>
      <c r="C98" s="180" t="s">
        <v>137</v>
      </c>
      <c r="D98" s="48" t="s">
        <v>56</v>
      </c>
      <c r="E98" s="430"/>
      <c r="F98" s="59" t="s">
        <v>67</v>
      </c>
      <c r="G98" s="183">
        <v>348</v>
      </c>
      <c r="H98" s="191"/>
      <c r="I98" s="482"/>
      <c r="J98" s="479"/>
      <c r="K98" s="183">
        <v>3000</v>
      </c>
      <c r="L98" s="183">
        <v>1</v>
      </c>
      <c r="M98" s="183">
        <v>525</v>
      </c>
      <c r="N98" s="183">
        <v>525</v>
      </c>
      <c r="O98" s="183">
        <v>500</v>
      </c>
      <c r="P98" s="183"/>
      <c r="Q98" s="122"/>
    </row>
    <row r="99" spans="1:20" ht="15" customHeight="1">
      <c r="A99" s="451"/>
      <c r="B99" s="122" t="s">
        <v>125</v>
      </c>
      <c r="C99" s="180" t="s">
        <v>88</v>
      </c>
      <c r="D99" s="48" t="s">
        <v>124</v>
      </c>
      <c r="E99" s="430"/>
      <c r="F99" s="48" t="s">
        <v>64</v>
      </c>
      <c r="G99" s="31"/>
      <c r="H99" s="12">
        <v>1152</v>
      </c>
      <c r="I99" s="482"/>
      <c r="J99" s="479"/>
      <c r="K99" s="12">
        <v>7400</v>
      </c>
      <c r="L99" s="12">
        <v>1</v>
      </c>
      <c r="M99" s="12">
        <v>27733</v>
      </c>
      <c r="N99" s="12">
        <v>19386</v>
      </c>
      <c r="O99" s="117">
        <v>26566</v>
      </c>
      <c r="P99" s="117"/>
      <c r="Q99" s="2"/>
      <c r="S99" s="13"/>
    </row>
    <row r="100" spans="1:20" ht="15" customHeight="1">
      <c r="A100" s="451"/>
      <c r="B100" s="442" t="s">
        <v>47</v>
      </c>
      <c r="C100" s="472" t="s">
        <v>100</v>
      </c>
      <c r="D100" s="89" t="s">
        <v>99</v>
      </c>
      <c r="E100" s="430"/>
      <c r="F100" s="89" t="s">
        <v>71</v>
      </c>
      <c r="G100" s="31"/>
      <c r="H100" s="123"/>
      <c r="I100" s="482"/>
      <c r="J100" s="479"/>
      <c r="K100" s="12">
        <v>12000</v>
      </c>
      <c r="L100" s="12">
        <v>2</v>
      </c>
      <c r="M100" s="121">
        <v>23438</v>
      </c>
      <c r="N100" s="121">
        <v>16391</v>
      </c>
      <c r="O100" s="117">
        <v>17060</v>
      </c>
      <c r="P100" s="12">
        <v>27</v>
      </c>
      <c r="Q100" s="119"/>
    </row>
    <row r="101" spans="1:20" ht="15" customHeight="1">
      <c r="A101" s="451"/>
      <c r="B101" s="439"/>
      <c r="C101" s="473"/>
      <c r="D101" s="59" t="s">
        <v>121</v>
      </c>
      <c r="E101" s="430"/>
      <c r="F101" s="59"/>
      <c r="G101" s="116"/>
      <c r="H101" s="116">
        <v>1224</v>
      </c>
      <c r="I101" s="482"/>
      <c r="J101" s="479"/>
      <c r="K101" s="116"/>
      <c r="L101" s="116"/>
      <c r="M101" s="12"/>
      <c r="N101" s="12"/>
      <c r="O101" s="12"/>
      <c r="P101" s="116"/>
      <c r="Q101" s="119"/>
    </row>
    <row r="102" spans="1:20" ht="15" customHeight="1">
      <c r="A102" s="451"/>
      <c r="B102" s="122" t="s">
        <v>134</v>
      </c>
      <c r="C102" s="180" t="s">
        <v>63</v>
      </c>
      <c r="D102" s="48" t="s">
        <v>135</v>
      </c>
      <c r="E102" s="430"/>
      <c r="F102" s="59" t="s">
        <v>64</v>
      </c>
      <c r="G102" s="47">
        <v>1946.35</v>
      </c>
      <c r="H102" s="193">
        <v>433.5</v>
      </c>
      <c r="I102" s="482"/>
      <c r="J102" s="479"/>
      <c r="K102" s="12">
        <v>8300</v>
      </c>
      <c r="L102" s="12">
        <v>1</v>
      </c>
      <c r="M102" s="12">
        <v>15958</v>
      </c>
      <c r="N102" s="12">
        <v>11830</v>
      </c>
      <c r="O102" s="117">
        <v>16697</v>
      </c>
      <c r="P102" s="116"/>
      <c r="Q102" s="119"/>
    </row>
    <row r="103" spans="1:20" ht="15" customHeight="1">
      <c r="A103" s="451"/>
      <c r="B103" s="122" t="s">
        <v>101</v>
      </c>
      <c r="C103" s="180" t="s">
        <v>193</v>
      </c>
      <c r="D103" s="48" t="s">
        <v>102</v>
      </c>
      <c r="E103" s="430"/>
      <c r="F103" s="48" t="s">
        <v>64</v>
      </c>
      <c r="G103" s="12"/>
      <c r="H103" s="218"/>
      <c r="I103" s="482"/>
      <c r="J103" s="479"/>
      <c r="K103" s="191"/>
      <c r="L103" s="191"/>
      <c r="M103" s="183">
        <v>1001</v>
      </c>
      <c r="N103" s="183">
        <v>764</v>
      </c>
      <c r="O103" s="183">
        <v>1001</v>
      </c>
      <c r="P103" s="12"/>
      <c r="Q103" s="119"/>
      <c r="S103" s="13"/>
    </row>
    <row r="104" spans="1:20" ht="15" customHeight="1">
      <c r="A104" s="451"/>
      <c r="B104" s="122" t="s">
        <v>253</v>
      </c>
      <c r="C104" s="180" t="s">
        <v>252</v>
      </c>
      <c r="D104" s="48" t="s">
        <v>246</v>
      </c>
      <c r="E104" s="430"/>
      <c r="F104" s="59" t="s">
        <v>247</v>
      </c>
      <c r="G104" s="47">
        <v>201.96</v>
      </c>
      <c r="H104" s="191"/>
      <c r="I104" s="482"/>
      <c r="J104" s="479"/>
      <c r="K104" s="191">
        <v>3000</v>
      </c>
      <c r="L104" s="191">
        <v>2</v>
      </c>
      <c r="M104" s="183">
        <v>953</v>
      </c>
      <c r="N104" s="183">
        <v>988</v>
      </c>
      <c r="O104" s="194">
        <v>450</v>
      </c>
      <c r="P104" s="116"/>
      <c r="Q104" s="119"/>
      <c r="S104" s="13"/>
    </row>
    <row r="105" spans="1:20" ht="15" customHeight="1">
      <c r="A105" s="451"/>
      <c r="B105" s="442" t="s">
        <v>304</v>
      </c>
      <c r="C105" s="444" t="s">
        <v>250</v>
      </c>
      <c r="D105" s="48" t="s">
        <v>251</v>
      </c>
      <c r="E105" s="430"/>
      <c r="F105" s="59" t="s">
        <v>64</v>
      </c>
      <c r="G105" s="12">
        <v>84.36</v>
      </c>
      <c r="H105" s="191"/>
      <c r="I105" s="482"/>
      <c r="J105" s="479"/>
      <c r="K105" s="191">
        <v>900</v>
      </c>
      <c r="L105" s="191">
        <v>1</v>
      </c>
      <c r="M105" s="183">
        <v>868</v>
      </c>
      <c r="N105" s="183">
        <v>868</v>
      </c>
      <c r="O105" s="194">
        <v>868</v>
      </c>
      <c r="P105" s="116"/>
      <c r="Q105" s="119"/>
      <c r="S105" s="13"/>
    </row>
    <row r="106" spans="1:20" ht="15" customHeight="1">
      <c r="A106" s="451"/>
      <c r="B106" s="443"/>
      <c r="C106" s="446"/>
      <c r="D106" s="48" t="s">
        <v>248</v>
      </c>
      <c r="E106" s="430"/>
      <c r="F106" s="59"/>
      <c r="G106" s="12"/>
      <c r="H106" s="116">
        <v>96</v>
      </c>
      <c r="I106" s="482"/>
      <c r="J106" s="479"/>
      <c r="K106" s="191"/>
      <c r="L106" s="191"/>
      <c r="M106" s="183"/>
      <c r="N106" s="183"/>
      <c r="O106" s="194"/>
      <c r="P106" s="116"/>
      <c r="Q106" s="119"/>
      <c r="S106" s="13"/>
    </row>
    <row r="107" spans="1:20" ht="15" customHeight="1">
      <c r="A107" s="451"/>
      <c r="B107" s="122" t="s">
        <v>131</v>
      </c>
      <c r="C107" s="180" t="s">
        <v>194</v>
      </c>
      <c r="D107" s="48" t="s">
        <v>132</v>
      </c>
      <c r="E107" s="430"/>
      <c r="F107" s="59" t="s">
        <v>64</v>
      </c>
      <c r="G107" s="47"/>
      <c r="H107" s="116"/>
      <c r="I107" s="482"/>
      <c r="J107" s="479"/>
      <c r="K107" s="183"/>
      <c r="L107" s="183"/>
      <c r="M107" s="183">
        <v>500</v>
      </c>
      <c r="N107" s="183">
        <v>500</v>
      </c>
      <c r="O107" s="194">
        <v>500</v>
      </c>
      <c r="P107" s="116"/>
      <c r="Q107" s="119"/>
    </row>
    <row r="108" spans="1:20" ht="15" customHeight="1">
      <c r="A108" s="451"/>
      <c r="B108" s="122" t="s">
        <v>103</v>
      </c>
      <c r="C108" s="157" t="s">
        <v>197</v>
      </c>
      <c r="D108" s="48" t="s">
        <v>104</v>
      </c>
      <c r="E108" s="430"/>
      <c r="F108" s="59" t="s">
        <v>105</v>
      </c>
      <c r="G108" s="116"/>
      <c r="H108" s="49"/>
      <c r="I108" s="482"/>
      <c r="J108" s="479"/>
      <c r="K108" s="12"/>
      <c r="L108" s="12"/>
      <c r="M108" s="12">
        <v>0</v>
      </c>
      <c r="N108" s="12">
        <v>47</v>
      </c>
      <c r="O108" s="12"/>
      <c r="P108" s="116"/>
      <c r="Q108" s="119"/>
      <c r="S108" s="13"/>
    </row>
    <row r="109" spans="1:20" ht="15" customHeight="1">
      <c r="A109" s="451"/>
      <c r="B109" s="442" t="s">
        <v>112</v>
      </c>
      <c r="C109" s="444" t="s">
        <v>197</v>
      </c>
      <c r="D109" s="48" t="s">
        <v>104</v>
      </c>
      <c r="E109" s="430"/>
      <c r="F109" s="59" t="s">
        <v>113</v>
      </c>
      <c r="G109" s="116"/>
      <c r="H109" s="184"/>
      <c r="I109" s="482"/>
      <c r="J109" s="479"/>
      <c r="K109" s="12"/>
      <c r="L109" s="12"/>
      <c r="M109" s="12">
        <v>0</v>
      </c>
      <c r="N109" s="12">
        <v>34</v>
      </c>
      <c r="O109" s="12"/>
      <c r="P109" s="116"/>
      <c r="Q109" s="131"/>
    </row>
    <row r="110" spans="1:20" ht="15" customHeight="1">
      <c r="A110" s="451"/>
      <c r="B110" s="443"/>
      <c r="C110" s="446"/>
      <c r="D110" s="48" t="s">
        <v>85</v>
      </c>
      <c r="E110" s="430"/>
      <c r="F110" s="59"/>
      <c r="G110" s="116"/>
      <c r="H110" s="116">
        <v>120</v>
      </c>
      <c r="I110" s="482"/>
      <c r="J110" s="479"/>
      <c r="K110" s="116"/>
      <c r="L110" s="116"/>
      <c r="M110" s="12"/>
      <c r="N110" s="12"/>
      <c r="O110" s="12"/>
      <c r="P110" s="116"/>
      <c r="Q110" s="131"/>
    </row>
    <row r="111" spans="1:20" ht="15" customHeight="1">
      <c r="A111" s="451"/>
      <c r="B111" s="442" t="s">
        <v>106</v>
      </c>
      <c r="C111" s="444" t="s">
        <v>141</v>
      </c>
      <c r="D111" s="48" t="s">
        <v>68</v>
      </c>
      <c r="E111" s="430"/>
      <c r="F111" s="59" t="s">
        <v>67</v>
      </c>
      <c r="G111" s="236">
        <v>228.13</v>
      </c>
      <c r="H111" s="49"/>
      <c r="I111" s="482"/>
      <c r="J111" s="479"/>
      <c r="K111" s="116">
        <v>2000</v>
      </c>
      <c r="L111" s="116">
        <v>1</v>
      </c>
      <c r="M111" s="12">
        <v>923</v>
      </c>
      <c r="N111" s="12">
        <v>1197</v>
      </c>
      <c r="O111" s="117">
        <v>923</v>
      </c>
      <c r="P111" s="116"/>
      <c r="Q111" s="131"/>
    </row>
    <row r="112" spans="1:20" ht="15" customHeight="1">
      <c r="A112" s="451"/>
      <c r="B112" s="443"/>
      <c r="C112" s="446"/>
      <c r="D112" s="59" t="s">
        <v>109</v>
      </c>
      <c r="E112" s="430"/>
      <c r="F112" s="59"/>
      <c r="G112" s="116"/>
      <c r="H112" s="116">
        <v>108</v>
      </c>
      <c r="I112" s="482"/>
      <c r="J112" s="479"/>
      <c r="K112" s="116"/>
      <c r="L112" s="116"/>
      <c r="M112" s="12"/>
      <c r="N112" s="12"/>
      <c r="O112" s="116"/>
      <c r="P112" s="116"/>
      <c r="Q112" s="131"/>
    </row>
    <row r="113" spans="1:20" ht="15" customHeight="1" thickBot="1">
      <c r="A113" s="451"/>
      <c r="B113" s="122" t="s">
        <v>107</v>
      </c>
      <c r="C113" s="180" t="s">
        <v>195</v>
      </c>
      <c r="D113" s="48" t="s">
        <v>108</v>
      </c>
      <c r="E113" s="430"/>
      <c r="F113" s="48" t="s">
        <v>48</v>
      </c>
      <c r="G113" s="12"/>
      <c r="H113" s="237"/>
      <c r="I113" s="483"/>
      <c r="J113" s="480"/>
      <c r="K113" s="116"/>
      <c r="L113" s="116"/>
      <c r="M113" s="121"/>
      <c r="N113" s="121"/>
      <c r="O113" s="116"/>
      <c r="P113" s="12"/>
      <c r="Q113" s="119"/>
    </row>
    <row r="114" spans="1:20" ht="15" customHeight="1">
      <c r="A114" s="450" t="s">
        <v>238</v>
      </c>
      <c r="B114" s="429" t="s">
        <v>44</v>
      </c>
      <c r="C114" s="432" t="s">
        <v>241</v>
      </c>
      <c r="D114" s="19" t="s">
        <v>37</v>
      </c>
      <c r="E114" s="19" t="s">
        <v>25</v>
      </c>
      <c r="F114" s="39" t="s">
        <v>40</v>
      </c>
      <c r="G114" s="120">
        <f>'Total Apr'!G567</f>
        <v>20892.78</v>
      </c>
      <c r="H114" s="30">
        <f>'Total Apr'!H567</f>
        <v>43160</v>
      </c>
      <c r="I114" s="481">
        <v>660</v>
      </c>
      <c r="J114" s="481">
        <f>21.3+22.7</f>
        <v>44</v>
      </c>
      <c r="K114" s="30">
        <f>'Total Apr'!K567</f>
        <v>440000</v>
      </c>
      <c r="L114" s="30">
        <f>'Total Apr'!L567</f>
        <v>55</v>
      </c>
      <c r="M114" s="30">
        <f>'Total Apr'!O567</f>
        <v>675303</v>
      </c>
      <c r="N114" s="30">
        <f>'Total Apr'!P567</f>
        <v>649743</v>
      </c>
      <c r="O114" s="208">
        <f>'Total Apr'!T567</f>
        <v>532144</v>
      </c>
      <c r="P114" s="208">
        <f>'Total Apr'!U567</f>
        <v>244</v>
      </c>
      <c r="Q114" s="19"/>
    </row>
    <row r="115" spans="1:20" ht="15" customHeight="1">
      <c r="A115" s="451"/>
      <c r="B115" s="430"/>
      <c r="C115" s="433"/>
      <c r="D115" s="119" t="s">
        <v>128</v>
      </c>
      <c r="E115" s="424" t="s">
        <v>24</v>
      </c>
      <c r="F115" s="118" t="s">
        <v>40</v>
      </c>
      <c r="G115" s="47">
        <f>'Total Apr'!G568</f>
        <v>16411.82</v>
      </c>
      <c r="H115" s="12">
        <f>'Total Apr'!H568</f>
        <v>20910</v>
      </c>
      <c r="I115" s="482"/>
      <c r="J115" s="482"/>
      <c r="K115" s="12">
        <f>'Total Apr'!K568</f>
        <v>398800</v>
      </c>
      <c r="L115" s="12">
        <f>'Total Apr'!L568</f>
        <v>50</v>
      </c>
      <c r="M115" s="12">
        <f>'Total Apr'!O568</f>
        <v>472676</v>
      </c>
      <c r="N115" s="12">
        <f>'Total Apr'!P568</f>
        <v>462093</v>
      </c>
      <c r="O115" s="194">
        <f>'Total Apr'!T568</f>
        <v>484474</v>
      </c>
      <c r="P115" s="194">
        <f>'Total Apr'!U568</f>
        <v>205</v>
      </c>
      <c r="Q115" s="113"/>
    </row>
    <row r="116" spans="1:20" ht="15" customHeight="1">
      <c r="A116" s="451"/>
      <c r="B116" s="431"/>
      <c r="C116" s="434"/>
      <c r="D116" s="119" t="s">
        <v>307</v>
      </c>
      <c r="E116" s="425"/>
      <c r="F116" s="118" t="s">
        <v>40</v>
      </c>
      <c r="G116" s="47">
        <f>'Total Apr'!G569</f>
        <v>34005.74</v>
      </c>
      <c r="H116" s="12">
        <f>'Total Apr'!H569</f>
        <v>15727.2</v>
      </c>
      <c r="I116" s="482"/>
      <c r="J116" s="482"/>
      <c r="K116" s="12">
        <f>'Total Apr'!K569</f>
        <v>398800</v>
      </c>
      <c r="L116" s="12">
        <f>'Total Apr'!L569</f>
        <v>50</v>
      </c>
      <c r="M116" s="12">
        <f>'Total Apr'!O569</f>
        <v>48693</v>
      </c>
      <c r="N116" s="12">
        <f>'Total Apr'!P569</f>
        <v>86904</v>
      </c>
      <c r="O116" s="194">
        <f>'Total Apr'!T569</f>
        <v>35645</v>
      </c>
      <c r="P116" s="194">
        <f>'Total Apr'!U569</f>
        <v>139</v>
      </c>
      <c r="Q116" s="113"/>
    </row>
    <row r="117" spans="1:20" ht="16.5" customHeight="1">
      <c r="A117" s="451"/>
      <c r="B117" s="442" t="s">
        <v>45</v>
      </c>
      <c r="C117" s="471" t="s">
        <v>59</v>
      </c>
      <c r="D117" s="118" t="s">
        <v>75</v>
      </c>
      <c r="E117" s="441" t="s">
        <v>25</v>
      </c>
      <c r="F117" s="119" t="s">
        <v>57</v>
      </c>
      <c r="G117" s="47"/>
      <c r="H117" s="31"/>
      <c r="I117" s="482"/>
      <c r="J117" s="482"/>
      <c r="K117" s="12">
        <f>'Total Apr'!K570</f>
        <v>10000</v>
      </c>
      <c r="L117" s="12">
        <f>'Total Apr'!L570</f>
        <v>2</v>
      </c>
      <c r="M117" s="12">
        <f>'Total Apr'!O570</f>
        <v>58605</v>
      </c>
      <c r="N117" s="12">
        <f>'Total Apr'!P570</f>
        <v>54406</v>
      </c>
      <c r="O117" s="194">
        <f>'Total Apr'!T570</f>
        <v>125021</v>
      </c>
      <c r="P117" s="194">
        <f>'Total Apr'!U570</f>
        <v>12</v>
      </c>
      <c r="Q117" s="113"/>
    </row>
    <row r="118" spans="1:20" s="4" customFormat="1" ht="16.5" customHeight="1">
      <c r="A118" s="451"/>
      <c r="B118" s="439"/>
      <c r="C118" s="471"/>
      <c r="D118" s="48" t="s">
        <v>291</v>
      </c>
      <c r="E118" s="441"/>
      <c r="F118" s="122" t="s">
        <v>57</v>
      </c>
      <c r="G118" s="196">
        <f>'Total Apr'!G571</f>
        <v>6848.64</v>
      </c>
      <c r="H118" s="218"/>
      <c r="I118" s="482"/>
      <c r="J118" s="482"/>
      <c r="K118" s="183">
        <f>'Total Apr'!K571</f>
        <v>73500</v>
      </c>
      <c r="L118" s="183">
        <f>'Total Apr'!L571</f>
        <v>15</v>
      </c>
      <c r="M118" s="183">
        <f>'Total Apr'!O571</f>
        <v>20011</v>
      </c>
      <c r="N118" s="183">
        <f>'Total Apr'!P571</f>
        <v>25631</v>
      </c>
      <c r="O118" s="194">
        <f>'Total Apr'!T571</f>
        <v>0</v>
      </c>
      <c r="P118" s="194">
        <f>'Total Apr'!U571</f>
        <v>0</v>
      </c>
      <c r="Q118" s="268"/>
    </row>
    <row r="119" spans="1:20" ht="16.5" customHeight="1">
      <c r="A119" s="451"/>
      <c r="B119" s="439"/>
      <c r="C119" s="471"/>
      <c r="D119" s="48" t="s">
        <v>94</v>
      </c>
      <c r="E119" s="425"/>
      <c r="F119" s="119"/>
      <c r="G119" s="47"/>
      <c r="H119" s="12">
        <f>'Total Apr'!H572</f>
        <v>8586</v>
      </c>
      <c r="I119" s="482"/>
      <c r="J119" s="482"/>
      <c r="K119" s="12"/>
      <c r="L119" s="12"/>
      <c r="M119" s="12"/>
      <c r="N119" s="12"/>
      <c r="O119" s="194"/>
      <c r="P119" s="194"/>
      <c r="Q119" s="113"/>
    </row>
    <row r="120" spans="1:20" ht="15.75" customHeight="1">
      <c r="A120" s="451"/>
      <c r="B120" s="439"/>
      <c r="C120" s="471"/>
      <c r="D120" s="118" t="s">
        <v>72</v>
      </c>
      <c r="E120" s="118" t="s">
        <v>24</v>
      </c>
      <c r="F120" s="119" t="s">
        <v>57</v>
      </c>
      <c r="G120" s="12">
        <f>'Total Apr'!G573</f>
        <v>7765</v>
      </c>
      <c r="H120" s="31"/>
      <c r="I120" s="482"/>
      <c r="J120" s="482"/>
      <c r="K120" s="12">
        <f>'Total Apr'!K573</f>
        <v>125000</v>
      </c>
      <c r="L120" s="12">
        <f>'Total Apr'!L573</f>
        <v>25</v>
      </c>
      <c r="M120" s="12">
        <f>'Total Apr'!O573</f>
        <v>129379</v>
      </c>
      <c r="N120" s="12">
        <f>'Total Apr'!P573</f>
        <v>128917</v>
      </c>
      <c r="O120" s="194">
        <f>'Total Apr'!T573</f>
        <v>125238</v>
      </c>
      <c r="P120" s="194">
        <f>'Total Apr'!U573</f>
        <v>111</v>
      </c>
      <c r="Q120" s="119"/>
    </row>
    <row r="121" spans="1:20" ht="15.75" customHeight="1">
      <c r="A121" s="451"/>
      <c r="B121" s="439"/>
      <c r="C121" s="471"/>
      <c r="D121" s="118" t="s">
        <v>73</v>
      </c>
      <c r="E121" s="118" t="s">
        <v>24</v>
      </c>
      <c r="F121" s="119"/>
      <c r="G121" s="47"/>
      <c r="H121" s="12">
        <f>'Total Apr'!H574</f>
        <v>14982</v>
      </c>
      <c r="I121" s="482"/>
      <c r="J121" s="482"/>
      <c r="K121" s="12"/>
      <c r="L121" s="12"/>
      <c r="M121" s="12"/>
      <c r="N121" s="12"/>
      <c r="O121" s="117"/>
      <c r="P121" s="117"/>
      <c r="Q121" s="119"/>
      <c r="S121" s="13"/>
      <c r="T121" s="13"/>
    </row>
    <row r="122" spans="1:20" ht="20.25" customHeight="1">
      <c r="A122" s="451"/>
      <c r="B122" s="439"/>
      <c r="C122" s="471"/>
      <c r="D122" s="115" t="s">
        <v>79</v>
      </c>
      <c r="E122" s="114" t="s">
        <v>65</v>
      </c>
      <c r="F122" s="119" t="s">
        <v>57</v>
      </c>
      <c r="G122" s="12"/>
      <c r="H122" s="31"/>
      <c r="I122" s="482"/>
      <c r="J122" s="482"/>
      <c r="K122" s="12"/>
      <c r="L122" s="12"/>
      <c r="M122" s="12"/>
      <c r="N122" s="12">
        <f>'Total Apr'!P575</f>
        <v>185</v>
      </c>
      <c r="O122" s="194"/>
      <c r="P122" s="194"/>
      <c r="Q122" s="119"/>
    </row>
    <row r="123" spans="1:20" ht="15" customHeight="1">
      <c r="A123" s="451"/>
      <c r="B123" s="439"/>
      <c r="C123" s="471"/>
      <c r="D123" s="115" t="s">
        <v>80</v>
      </c>
      <c r="E123" s="118" t="s">
        <v>65</v>
      </c>
      <c r="F123" s="119"/>
      <c r="G123" s="47"/>
      <c r="H123" s="31"/>
      <c r="I123" s="482"/>
      <c r="J123" s="482"/>
      <c r="K123" s="12"/>
      <c r="L123" s="12"/>
      <c r="M123" s="12"/>
      <c r="N123" s="12"/>
      <c r="O123" s="117"/>
      <c r="P123" s="117"/>
      <c r="Q123" s="119"/>
    </row>
    <row r="124" spans="1:20" ht="15" customHeight="1">
      <c r="A124" s="451"/>
      <c r="B124" s="439"/>
      <c r="C124" s="471"/>
      <c r="D124" s="115" t="s">
        <v>42</v>
      </c>
      <c r="E124" s="424" t="s">
        <v>25</v>
      </c>
      <c r="F124" s="119"/>
      <c r="G124" s="12"/>
      <c r="H124" s="31"/>
      <c r="I124" s="482"/>
      <c r="J124" s="482"/>
      <c r="K124" s="12"/>
      <c r="L124" s="12"/>
      <c r="M124" s="12"/>
      <c r="N124" s="12"/>
      <c r="O124" s="12"/>
      <c r="P124" s="12"/>
      <c r="Q124" s="119"/>
    </row>
    <row r="125" spans="1:20" ht="15" customHeight="1">
      <c r="A125" s="451"/>
      <c r="B125" s="443"/>
      <c r="C125" s="270" t="s">
        <v>300</v>
      </c>
      <c r="D125" s="115" t="s">
        <v>296</v>
      </c>
      <c r="E125" s="425"/>
      <c r="F125" s="119" t="s">
        <v>298</v>
      </c>
      <c r="G125" s="47">
        <f>'Total Apr'!G578</f>
        <v>130.41999999999999</v>
      </c>
      <c r="H125" s="31"/>
      <c r="I125" s="482"/>
      <c r="J125" s="482"/>
      <c r="K125" s="12">
        <f>'Total Apr'!K578</f>
        <v>2000</v>
      </c>
      <c r="L125" s="12">
        <f>'Total Apr'!L578</f>
        <v>1</v>
      </c>
      <c r="M125" s="12">
        <f>'Total Apr'!O578</f>
        <v>500</v>
      </c>
      <c r="N125" s="12">
        <f>'Total Apr'!P578</f>
        <v>500</v>
      </c>
      <c r="O125" s="117">
        <f>'Total Apr'!T578</f>
        <v>500</v>
      </c>
      <c r="P125" s="117"/>
      <c r="Q125" s="119"/>
    </row>
    <row r="126" spans="1:20" ht="15" customHeight="1">
      <c r="A126" s="451"/>
      <c r="B126" s="442" t="s">
        <v>53</v>
      </c>
      <c r="C126" s="444" t="s">
        <v>60</v>
      </c>
      <c r="D126" s="43" t="s">
        <v>130</v>
      </c>
      <c r="E126" s="448" t="s">
        <v>66</v>
      </c>
      <c r="F126" s="118" t="s">
        <v>54</v>
      </c>
      <c r="G126" s="47">
        <f>'Total Apr'!G579</f>
        <v>8529.8000000000011</v>
      </c>
      <c r="H126" s="31"/>
      <c r="I126" s="482"/>
      <c r="J126" s="482"/>
      <c r="K126" s="12">
        <f>'Total Apr'!K579</f>
        <v>156000</v>
      </c>
      <c r="L126" s="12">
        <f>'Total Apr'!L579</f>
        <v>26</v>
      </c>
      <c r="M126" s="12">
        <f>'Total Apr'!O579</f>
        <v>168204</v>
      </c>
      <c r="N126" s="12">
        <f>'Total Apr'!P579</f>
        <v>167387</v>
      </c>
      <c r="O126" s="117">
        <f>'Total Apr'!T579</f>
        <v>161955</v>
      </c>
      <c r="P126" s="117"/>
      <c r="Q126" s="119"/>
    </row>
    <row r="127" spans="1:20" s="4" customFormat="1" ht="15" customHeight="1">
      <c r="A127" s="451"/>
      <c r="B127" s="439"/>
      <c r="C127" s="445"/>
      <c r="D127" s="43" t="s">
        <v>320</v>
      </c>
      <c r="E127" s="449"/>
      <c r="F127" s="48" t="s">
        <v>54</v>
      </c>
      <c r="G127" s="196">
        <f>'Total Apr'!G580</f>
        <v>5117.88</v>
      </c>
      <c r="H127" s="218"/>
      <c r="I127" s="482"/>
      <c r="J127" s="482"/>
      <c r="K127" s="183">
        <f>'Total Apr'!K580</f>
        <v>6000</v>
      </c>
      <c r="L127" s="183">
        <f>'Total Apr'!L580</f>
        <v>1</v>
      </c>
      <c r="M127" s="183">
        <f>'Total Apr'!O580</f>
        <v>0</v>
      </c>
      <c r="N127" s="183">
        <f>'Total Apr'!P580</f>
        <v>737</v>
      </c>
      <c r="O127" s="194">
        <f>'Total Apr'!T580</f>
        <v>0</v>
      </c>
      <c r="P127" s="194"/>
      <c r="Q127" s="122"/>
    </row>
    <row r="128" spans="1:20" s="4" customFormat="1" ht="15" customHeight="1">
      <c r="A128" s="451"/>
      <c r="B128" s="439"/>
      <c r="C128" s="445"/>
      <c r="D128" s="48" t="s">
        <v>199</v>
      </c>
      <c r="E128" s="43" t="s">
        <v>25</v>
      </c>
      <c r="F128" s="48" t="s">
        <v>54</v>
      </c>
      <c r="G128" s="196">
        <f>'Total Apr'!G581</f>
        <v>71.08</v>
      </c>
      <c r="H128" s="218"/>
      <c r="I128" s="482"/>
      <c r="J128" s="482"/>
      <c r="K128" s="183">
        <f>'Total Apr'!K581</f>
        <v>1000</v>
      </c>
      <c r="L128" s="183">
        <f>'Total Apr'!L581</f>
        <v>1</v>
      </c>
      <c r="M128" s="183">
        <f>'Total Apr'!O581</f>
        <v>500</v>
      </c>
      <c r="N128" s="183">
        <f>'Total Apr'!P581</f>
        <v>568</v>
      </c>
      <c r="O128" s="194">
        <f>'Total Apr'!T581</f>
        <v>500</v>
      </c>
      <c r="P128" s="194"/>
      <c r="Q128" s="122"/>
    </row>
    <row r="129" spans="1:20" ht="15" customHeight="1">
      <c r="A129" s="451"/>
      <c r="B129" s="439"/>
      <c r="C129" s="445"/>
      <c r="D129" s="48" t="s">
        <v>199</v>
      </c>
      <c r="E129" s="115" t="s">
        <v>25</v>
      </c>
      <c r="F129" s="119"/>
      <c r="G129" s="119"/>
      <c r="H129" s="31">
        <f>'Total Apr'!H582</f>
        <v>9540.4</v>
      </c>
      <c r="I129" s="482"/>
      <c r="J129" s="482"/>
      <c r="K129" s="12"/>
      <c r="L129" s="12"/>
      <c r="M129" s="12"/>
      <c r="N129" s="12"/>
      <c r="O129" s="117"/>
      <c r="P129" s="117"/>
      <c r="Q129" s="119"/>
    </row>
    <row r="130" spans="1:20" ht="20.25" customHeight="1">
      <c r="A130" s="451"/>
      <c r="B130" s="439"/>
      <c r="C130" s="445"/>
      <c r="D130" s="48" t="s">
        <v>96</v>
      </c>
      <c r="E130" s="438" t="s">
        <v>65</v>
      </c>
      <c r="F130" s="119"/>
      <c r="G130" s="12"/>
      <c r="H130" s="117">
        <f>'Total Apr'!H583</f>
        <v>1224</v>
      </c>
      <c r="I130" s="482"/>
      <c r="J130" s="482"/>
      <c r="K130" s="12"/>
      <c r="L130" s="12"/>
      <c r="M130" s="12"/>
      <c r="N130" s="12"/>
      <c r="O130" s="117"/>
      <c r="P130" s="117"/>
      <c r="Q130" s="119"/>
    </row>
    <row r="131" spans="1:20" ht="20.25" customHeight="1">
      <c r="A131" s="451"/>
      <c r="B131" s="443"/>
      <c r="C131" s="446"/>
      <c r="D131" s="43" t="s">
        <v>324</v>
      </c>
      <c r="E131" s="431"/>
      <c r="F131" s="119"/>
      <c r="G131" s="12"/>
      <c r="H131" s="117">
        <f>'Total Apr'!H584</f>
        <v>612</v>
      </c>
      <c r="I131" s="482"/>
      <c r="J131" s="482"/>
      <c r="K131" s="12"/>
      <c r="L131" s="12"/>
      <c r="M131" s="12"/>
      <c r="N131" s="117"/>
      <c r="O131" s="117"/>
      <c r="P131" s="117"/>
      <c r="Q131" s="119"/>
    </row>
    <row r="132" spans="1:20" ht="15" customHeight="1">
      <c r="A132" s="451"/>
      <c r="B132" s="442" t="s">
        <v>55</v>
      </c>
      <c r="C132" s="444" t="s">
        <v>133</v>
      </c>
      <c r="D132" s="43" t="s">
        <v>56</v>
      </c>
      <c r="E132" s="430" t="s">
        <v>25</v>
      </c>
      <c r="F132" s="48" t="s">
        <v>67</v>
      </c>
      <c r="G132" s="12"/>
      <c r="H132" s="161"/>
      <c r="I132" s="482"/>
      <c r="J132" s="482"/>
      <c r="K132" s="12"/>
      <c r="L132" s="12"/>
      <c r="M132" s="12"/>
      <c r="N132" s="117"/>
      <c r="O132" s="117"/>
      <c r="P132" s="117"/>
      <c r="Q132" s="119"/>
    </row>
    <row r="133" spans="1:20" ht="15" customHeight="1">
      <c r="A133" s="451"/>
      <c r="B133" s="443"/>
      <c r="C133" s="446"/>
      <c r="D133" s="43" t="s">
        <v>68</v>
      </c>
      <c r="E133" s="430"/>
      <c r="F133" s="48"/>
      <c r="G133" s="12"/>
      <c r="H133" s="161"/>
      <c r="I133" s="482"/>
      <c r="J133" s="482"/>
      <c r="K133" s="12"/>
      <c r="L133" s="12"/>
      <c r="M133" s="12"/>
      <c r="N133" s="117"/>
      <c r="O133" s="117"/>
      <c r="P133" s="117"/>
      <c r="Q133" s="119"/>
    </row>
    <row r="134" spans="1:20" s="4" customFormat="1" ht="15" customHeight="1">
      <c r="A134" s="451"/>
      <c r="B134" s="251" t="s">
        <v>55</v>
      </c>
      <c r="C134" s="277" t="s">
        <v>316</v>
      </c>
      <c r="D134" s="43" t="s">
        <v>317</v>
      </c>
      <c r="E134" s="430"/>
      <c r="F134" s="48" t="s">
        <v>67</v>
      </c>
      <c r="G134" s="218">
        <f>'Total Apr'!G587</f>
        <v>123.8</v>
      </c>
      <c r="H134" s="278"/>
      <c r="I134" s="482"/>
      <c r="J134" s="482"/>
      <c r="K134" s="183">
        <f>'Total Apr'!K587</f>
        <v>1000</v>
      </c>
      <c r="L134" s="183">
        <f>'Total Apr'!L587</f>
        <v>1</v>
      </c>
      <c r="M134" s="183">
        <f>'Total Apr'!O587</f>
        <v>500</v>
      </c>
      <c r="N134" s="194">
        <f>'Total Apr'!P587</f>
        <v>500</v>
      </c>
      <c r="O134" s="194">
        <f>'Total Apr'!T587</f>
        <v>500</v>
      </c>
      <c r="P134" s="194"/>
      <c r="Q134" s="122"/>
    </row>
    <row r="135" spans="1:20" s="4" customFormat="1" ht="15" customHeight="1">
      <c r="A135" s="451"/>
      <c r="B135" s="442" t="s">
        <v>122</v>
      </c>
      <c r="C135" s="444" t="s">
        <v>123</v>
      </c>
      <c r="D135" s="48" t="s">
        <v>56</v>
      </c>
      <c r="E135" s="430"/>
      <c r="F135" s="48" t="s">
        <v>64</v>
      </c>
      <c r="G135" s="196"/>
      <c r="H135" s="218"/>
      <c r="I135" s="482"/>
      <c r="J135" s="482"/>
      <c r="K135" s="183"/>
      <c r="L135" s="183"/>
      <c r="M135" s="183"/>
      <c r="N135" s="194"/>
      <c r="O135" s="194"/>
      <c r="P135" s="194"/>
      <c r="Q135" s="122"/>
    </row>
    <row r="136" spans="1:20" s="4" customFormat="1" ht="18.75" customHeight="1">
      <c r="A136" s="451"/>
      <c r="B136" s="443"/>
      <c r="C136" s="446"/>
      <c r="D136" s="48" t="s">
        <v>129</v>
      </c>
      <c r="E136" s="430"/>
      <c r="F136" s="48"/>
      <c r="G136" s="196"/>
      <c r="H136" s="218"/>
      <c r="I136" s="482"/>
      <c r="J136" s="482"/>
      <c r="K136" s="183"/>
      <c r="L136" s="183"/>
      <c r="M136" s="183"/>
      <c r="N136" s="183"/>
      <c r="O136" s="183"/>
      <c r="P136" s="183"/>
      <c r="Q136" s="6"/>
      <c r="S136" s="219"/>
    </row>
    <row r="137" spans="1:20" s="4" customFormat="1" ht="18.75" customHeight="1">
      <c r="A137" s="451"/>
      <c r="B137" s="442" t="s">
        <v>58</v>
      </c>
      <c r="C137" s="444" t="s">
        <v>243</v>
      </c>
      <c r="D137" s="48" t="s">
        <v>56</v>
      </c>
      <c r="E137" s="430"/>
      <c r="F137" s="59" t="s">
        <v>64</v>
      </c>
      <c r="G137" s="196"/>
      <c r="H137" s="278"/>
      <c r="I137" s="482"/>
      <c r="J137" s="482"/>
      <c r="K137" s="183"/>
      <c r="L137" s="183"/>
      <c r="M137" s="183"/>
      <c r="N137" s="183"/>
      <c r="O137" s="194"/>
      <c r="P137" s="194"/>
      <c r="Q137" s="6"/>
      <c r="S137" s="219"/>
      <c r="T137" s="219"/>
    </row>
    <row r="138" spans="1:20" s="4" customFormat="1" ht="18.75" customHeight="1">
      <c r="A138" s="451"/>
      <c r="B138" s="443"/>
      <c r="C138" s="446"/>
      <c r="D138" s="48" t="s">
        <v>92</v>
      </c>
      <c r="E138" s="430"/>
      <c r="F138" s="59"/>
      <c r="G138" s="218"/>
      <c r="H138" s="218"/>
      <c r="I138" s="482"/>
      <c r="J138" s="482"/>
      <c r="K138" s="183"/>
      <c r="L138" s="183"/>
      <c r="M138" s="183"/>
      <c r="N138" s="183"/>
      <c r="O138" s="183"/>
      <c r="P138" s="194"/>
      <c r="Q138" s="6"/>
      <c r="S138" s="219"/>
    </row>
    <row r="139" spans="1:20" s="4" customFormat="1" ht="18.75" customHeight="1">
      <c r="A139" s="451"/>
      <c r="B139" s="122" t="s">
        <v>61</v>
      </c>
      <c r="C139" s="180" t="s">
        <v>137</v>
      </c>
      <c r="D139" s="48" t="s">
        <v>56</v>
      </c>
      <c r="E139" s="430"/>
      <c r="F139" s="59" t="s">
        <v>67</v>
      </c>
      <c r="G139" s="218"/>
      <c r="H139" s="218"/>
      <c r="I139" s="482"/>
      <c r="J139" s="482"/>
      <c r="K139" s="194"/>
      <c r="L139" s="194"/>
      <c r="M139" s="183"/>
      <c r="N139" s="183"/>
      <c r="O139" s="194"/>
      <c r="P139" s="194"/>
      <c r="Q139" s="6"/>
      <c r="S139" s="219"/>
    </row>
    <row r="140" spans="1:20" s="4" customFormat="1" ht="15.75" customHeight="1">
      <c r="A140" s="451"/>
      <c r="B140" s="122" t="s">
        <v>125</v>
      </c>
      <c r="C140" s="180" t="s">
        <v>88</v>
      </c>
      <c r="D140" s="48" t="s">
        <v>124</v>
      </c>
      <c r="E140" s="430"/>
      <c r="F140" s="48" t="s">
        <v>64</v>
      </c>
      <c r="G140" s="183"/>
      <c r="H140" s="193"/>
      <c r="I140" s="482"/>
      <c r="J140" s="482"/>
      <c r="K140" s="183"/>
      <c r="L140" s="183"/>
      <c r="M140" s="183"/>
      <c r="N140" s="183"/>
      <c r="O140" s="194"/>
      <c r="P140" s="191"/>
      <c r="Q140" s="122"/>
    </row>
    <row r="141" spans="1:20" s="4" customFormat="1" ht="15.75" customHeight="1">
      <c r="A141" s="451"/>
      <c r="B141" s="442" t="s">
        <v>47</v>
      </c>
      <c r="C141" s="472" t="s">
        <v>100</v>
      </c>
      <c r="D141" s="89" t="s">
        <v>99</v>
      </c>
      <c r="E141" s="430"/>
      <c r="F141" s="89" t="s">
        <v>71</v>
      </c>
      <c r="G141" s="280">
        <f>'Total Apr'!G594</f>
        <v>1247.1600000000001</v>
      </c>
      <c r="H141" s="193"/>
      <c r="I141" s="482"/>
      <c r="J141" s="482"/>
      <c r="K141" s="183">
        <f>'Total Apr'!K594</f>
        <v>18000</v>
      </c>
      <c r="L141" s="183">
        <f>'Total Apr'!L594</f>
        <v>3</v>
      </c>
      <c r="M141" s="183">
        <f>'Total Apr'!O594</f>
        <v>3000</v>
      </c>
      <c r="N141" s="183">
        <f>'Total Apr'!P594</f>
        <v>9884</v>
      </c>
      <c r="O141" s="194">
        <f>'Total Apr'!T594</f>
        <v>63217</v>
      </c>
      <c r="P141" s="191">
        <f>'Total Apr'!U594</f>
        <v>67</v>
      </c>
      <c r="Q141" s="122"/>
      <c r="T141" s="219"/>
    </row>
    <row r="142" spans="1:20" s="4" customFormat="1" ht="15.75" customHeight="1">
      <c r="A142" s="451"/>
      <c r="B142" s="439"/>
      <c r="C142" s="473"/>
      <c r="D142" s="59" t="s">
        <v>121</v>
      </c>
      <c r="E142" s="430"/>
      <c r="F142" s="59"/>
      <c r="G142" s="183"/>
      <c r="H142" s="191">
        <f>'Total Apr'!H595</f>
        <v>612</v>
      </c>
      <c r="I142" s="482"/>
      <c r="J142" s="482"/>
      <c r="K142" s="183"/>
      <c r="L142" s="183"/>
      <c r="M142" s="183"/>
      <c r="N142" s="183"/>
      <c r="O142" s="183"/>
      <c r="P142" s="183"/>
      <c r="Q142" s="122"/>
    </row>
    <row r="143" spans="1:20" s="4" customFormat="1" ht="18.75" customHeight="1">
      <c r="A143" s="451"/>
      <c r="B143" s="122" t="s">
        <v>134</v>
      </c>
      <c r="C143" s="180" t="s">
        <v>63</v>
      </c>
      <c r="D143" s="48" t="s">
        <v>135</v>
      </c>
      <c r="E143" s="430"/>
      <c r="F143" s="59" t="s">
        <v>64</v>
      </c>
      <c r="G143" s="218"/>
      <c r="H143" s="193"/>
      <c r="I143" s="482"/>
      <c r="J143" s="482"/>
      <c r="K143" s="183"/>
      <c r="L143" s="183"/>
      <c r="M143" s="183"/>
      <c r="N143" s="183"/>
      <c r="O143" s="194">
        <f>'Total Apr'!T596</f>
        <v>345</v>
      </c>
      <c r="P143" s="194"/>
      <c r="Q143" s="6"/>
      <c r="S143" s="219"/>
    </row>
    <row r="144" spans="1:20" ht="15.75" customHeight="1">
      <c r="A144" s="451"/>
      <c r="B144" s="122" t="s">
        <v>101</v>
      </c>
      <c r="C144" s="180" t="s">
        <v>327</v>
      </c>
      <c r="D144" s="48" t="s">
        <v>102</v>
      </c>
      <c r="E144" s="430"/>
      <c r="F144" s="48" t="s">
        <v>64</v>
      </c>
      <c r="G144" s="47">
        <f>'Total Apr'!G606</f>
        <v>1785.58</v>
      </c>
      <c r="H144" s="31">
        <f>'Total Apr'!H606</f>
        <v>110.5</v>
      </c>
      <c r="I144" s="482"/>
      <c r="J144" s="482"/>
      <c r="K144" s="116"/>
      <c r="L144" s="116"/>
      <c r="M144" s="12"/>
      <c r="N144" s="12"/>
      <c r="O144" s="12"/>
      <c r="P144" s="12"/>
      <c r="Q144" s="119"/>
      <c r="S144" s="13"/>
    </row>
    <row r="145" spans="1:19" ht="23.25" customHeight="1">
      <c r="A145" s="451"/>
      <c r="B145" s="122" t="s">
        <v>363</v>
      </c>
      <c r="C145" s="180" t="s">
        <v>364</v>
      </c>
      <c r="D145" s="48" t="s">
        <v>328</v>
      </c>
      <c r="E145" s="430"/>
      <c r="F145" s="59" t="s">
        <v>48</v>
      </c>
      <c r="G145" s="47">
        <f>'Total Apr'!G597</f>
        <v>1014.38</v>
      </c>
      <c r="H145" s="31"/>
      <c r="I145" s="482"/>
      <c r="J145" s="482"/>
      <c r="K145" s="116"/>
      <c r="L145" s="116"/>
      <c r="M145" s="12"/>
      <c r="N145" s="12"/>
      <c r="O145" s="12"/>
      <c r="P145" s="12"/>
      <c r="Q145" s="119"/>
      <c r="S145" s="13"/>
    </row>
    <row r="146" spans="1:19" ht="26.25" customHeight="1">
      <c r="A146" s="451"/>
      <c r="B146" s="122" t="s">
        <v>253</v>
      </c>
      <c r="C146" s="180" t="s">
        <v>365</v>
      </c>
      <c r="D146" s="48" t="s">
        <v>246</v>
      </c>
      <c r="E146" s="430"/>
      <c r="F146" s="59" t="s">
        <v>247</v>
      </c>
      <c r="G146" s="31">
        <f>'Total Apr'!G601</f>
        <v>2087.12</v>
      </c>
      <c r="H146" s="47">
        <f>'Total Apr'!H601</f>
        <v>323.14999999999998</v>
      </c>
      <c r="I146" s="482"/>
      <c r="J146" s="482"/>
      <c r="K146" s="12">
        <f>'Total Apr'!K601</f>
        <v>15500</v>
      </c>
      <c r="L146" s="12">
        <f>'Total Apr'!L601</f>
        <v>2</v>
      </c>
      <c r="M146" s="12">
        <f>'Total Apr'!O601</f>
        <v>35</v>
      </c>
      <c r="N146" s="12">
        <f>'Total Apr'!P601</f>
        <v>1856</v>
      </c>
      <c r="O146" s="12">
        <f>'Total Apr'!T601</f>
        <v>503</v>
      </c>
      <c r="P146" s="12"/>
      <c r="Q146" s="119"/>
    </row>
    <row r="147" spans="1:19" s="4" customFormat="1" ht="15.75" customHeight="1">
      <c r="A147" s="451"/>
      <c r="B147" s="442" t="s">
        <v>289</v>
      </c>
      <c r="C147" s="444" t="s">
        <v>290</v>
      </c>
      <c r="D147" s="48" t="s">
        <v>291</v>
      </c>
      <c r="E147" s="430"/>
      <c r="F147" s="59" t="s">
        <v>292</v>
      </c>
      <c r="G147" s="193">
        <f>'Total Apr'!G598</f>
        <v>146.5</v>
      </c>
      <c r="H147" s="218"/>
      <c r="I147" s="482"/>
      <c r="J147" s="482"/>
      <c r="K147" s="191">
        <f>'Total Apr'!K598</f>
        <v>2000</v>
      </c>
      <c r="L147" s="191">
        <f>'Total Apr'!L598</f>
        <v>1</v>
      </c>
      <c r="M147" s="183">
        <f>'Total Apr'!O598</f>
        <v>1000</v>
      </c>
      <c r="N147" s="183">
        <f>'Total Apr'!P598</f>
        <v>1757</v>
      </c>
      <c r="O147" s="183">
        <f>'Total Apr'!T598</f>
        <v>1000</v>
      </c>
      <c r="P147" s="183"/>
      <c r="Q147" s="122"/>
    </row>
    <row r="148" spans="1:19" s="4" customFormat="1" ht="16.5" customHeight="1">
      <c r="A148" s="451"/>
      <c r="B148" s="439"/>
      <c r="C148" s="445"/>
      <c r="D148" s="48" t="s">
        <v>85</v>
      </c>
      <c r="E148" s="430"/>
      <c r="F148" s="59"/>
      <c r="G148" s="193"/>
      <c r="H148" s="183">
        <f>'Total Apr'!H599</f>
        <v>90</v>
      </c>
      <c r="I148" s="482"/>
      <c r="J148" s="482"/>
      <c r="K148" s="191"/>
      <c r="L148" s="191"/>
      <c r="M148" s="194"/>
      <c r="N148" s="194"/>
      <c r="O148" s="194"/>
      <c r="P148" s="194"/>
      <c r="Q148" s="268"/>
    </row>
    <row r="149" spans="1:19" s="4" customFormat="1" ht="16.5" customHeight="1">
      <c r="A149" s="451"/>
      <c r="B149" s="443"/>
      <c r="C149" s="446"/>
      <c r="D149" s="48" t="s">
        <v>329</v>
      </c>
      <c r="E149" s="430"/>
      <c r="F149" s="59"/>
      <c r="G149" s="193"/>
      <c r="H149" s="220">
        <f>'Total Apr'!H600</f>
        <v>122.4</v>
      </c>
      <c r="I149" s="482"/>
      <c r="J149" s="482"/>
      <c r="K149" s="191"/>
      <c r="L149" s="191"/>
      <c r="M149" s="221"/>
      <c r="N149" s="221"/>
      <c r="O149" s="194"/>
      <c r="P149" s="221"/>
      <c r="Q149" s="268"/>
    </row>
    <row r="150" spans="1:19" ht="16.5" customHeight="1">
      <c r="A150" s="451"/>
      <c r="B150" s="442" t="s">
        <v>304</v>
      </c>
      <c r="C150" s="444" t="s">
        <v>250</v>
      </c>
      <c r="D150" s="48" t="s">
        <v>251</v>
      </c>
      <c r="E150" s="430"/>
      <c r="F150" s="59" t="s">
        <v>64</v>
      </c>
      <c r="G150" s="236">
        <f>'Total Apr'!G602</f>
        <v>46.87</v>
      </c>
      <c r="H150" s="49"/>
      <c r="I150" s="482"/>
      <c r="J150" s="482"/>
      <c r="K150" s="116">
        <f>'Total Apr'!K602</f>
        <v>500</v>
      </c>
      <c r="L150" s="116">
        <f>'Total Apr'!L602</f>
        <v>1</v>
      </c>
      <c r="M150" s="12">
        <f>'Total Apr'!O602</f>
        <v>382</v>
      </c>
      <c r="N150" s="12">
        <f>'Total Apr'!P602</f>
        <v>382</v>
      </c>
      <c r="O150" s="12">
        <f>'Total Apr'!T602</f>
        <v>379</v>
      </c>
      <c r="P150" s="116">
        <f>'Total Apr'!U602</f>
        <v>3</v>
      </c>
      <c r="Q150" s="119"/>
    </row>
    <row r="151" spans="1:19" ht="16.5" customHeight="1">
      <c r="A151" s="451"/>
      <c r="B151" s="443"/>
      <c r="C151" s="446"/>
      <c r="D151" s="48" t="s">
        <v>248</v>
      </c>
      <c r="E151" s="430"/>
      <c r="F151" s="59"/>
      <c r="G151" s="236"/>
      <c r="H151" s="116">
        <f>'Total Apr'!H603</f>
        <v>84</v>
      </c>
      <c r="I151" s="482"/>
      <c r="J151" s="482"/>
      <c r="K151" s="116"/>
      <c r="L151" s="116"/>
      <c r="M151" s="12"/>
      <c r="N151" s="12"/>
      <c r="O151" s="117"/>
      <c r="P151" s="116"/>
      <c r="Q151" s="119"/>
    </row>
    <row r="152" spans="1:19" ht="15.75" customHeight="1">
      <c r="A152" s="451"/>
      <c r="B152" s="122" t="s">
        <v>305</v>
      </c>
      <c r="C152" s="180" t="s">
        <v>306</v>
      </c>
      <c r="D152" s="48" t="s">
        <v>251</v>
      </c>
      <c r="E152" s="430"/>
      <c r="F152" s="59" t="s">
        <v>64</v>
      </c>
      <c r="G152" s="47">
        <f>'Total Apr'!G604</f>
        <v>50.13</v>
      </c>
      <c r="H152" s="49"/>
      <c r="I152" s="482"/>
      <c r="J152" s="482"/>
      <c r="K152" s="12">
        <f>'Total Apr'!K604</f>
        <v>500</v>
      </c>
      <c r="L152" s="12">
        <f>'Total Apr'!L604</f>
        <v>1</v>
      </c>
      <c r="M152" s="12">
        <f>'Total Apr'!O604</f>
        <v>428</v>
      </c>
      <c r="N152" s="12">
        <f>'Total Apr'!P604</f>
        <v>428</v>
      </c>
      <c r="O152" s="117">
        <f>'Total Apr'!T604</f>
        <v>428</v>
      </c>
      <c r="P152" s="116"/>
      <c r="Q152" s="119"/>
    </row>
    <row r="153" spans="1:19" s="4" customFormat="1" ht="15.75" customHeight="1">
      <c r="A153" s="451"/>
      <c r="B153" s="122" t="s">
        <v>315</v>
      </c>
      <c r="C153" s="180" t="s">
        <v>252</v>
      </c>
      <c r="D153" s="48" t="s">
        <v>246</v>
      </c>
      <c r="E153" s="430"/>
      <c r="F153" s="59" t="s">
        <v>64</v>
      </c>
      <c r="G153" s="196">
        <f>'Total Apr'!G605</f>
        <v>49.49</v>
      </c>
      <c r="H153" s="191">
        <f>'Total Apr'!H605</f>
        <v>64</v>
      </c>
      <c r="I153" s="482"/>
      <c r="J153" s="482"/>
      <c r="K153" s="183">
        <f>'Total Apr'!K605</f>
        <v>1000</v>
      </c>
      <c r="L153" s="183">
        <f>'Total Apr'!L605</f>
        <v>1</v>
      </c>
      <c r="M153" s="183">
        <f>'Total Apr'!O605</f>
        <v>940</v>
      </c>
      <c r="N153" s="183">
        <f>'Total Apr'!P605</f>
        <v>940</v>
      </c>
      <c r="O153" s="194">
        <f>'Total Apr'!T605</f>
        <v>783</v>
      </c>
      <c r="P153" s="191">
        <f>'Total Apr'!U605</f>
        <v>157</v>
      </c>
      <c r="Q153" s="122"/>
    </row>
    <row r="154" spans="1:19" s="4" customFormat="1" ht="15.75" customHeight="1">
      <c r="A154" s="451"/>
      <c r="B154" s="122" t="s">
        <v>131</v>
      </c>
      <c r="C154" s="180" t="s">
        <v>194</v>
      </c>
      <c r="D154" s="48" t="s">
        <v>132</v>
      </c>
      <c r="E154" s="430"/>
      <c r="F154" s="59" t="s">
        <v>64</v>
      </c>
      <c r="G154" s="196"/>
      <c r="H154" s="193">
        <f>'Total Apr'!H607</f>
        <v>124.4</v>
      </c>
      <c r="I154" s="482"/>
      <c r="J154" s="482"/>
      <c r="K154" s="183"/>
      <c r="L154" s="183"/>
      <c r="M154" s="183">
        <f>'Total Apr'!O607</f>
        <v>1035</v>
      </c>
      <c r="N154" s="183">
        <f>'Total Apr'!P607</f>
        <v>1035</v>
      </c>
      <c r="O154" s="194">
        <f>'Total Apr'!T607</f>
        <v>1006</v>
      </c>
      <c r="P154" s="191">
        <f>'Total Apr'!U607</f>
        <v>29</v>
      </c>
      <c r="Q154" s="122"/>
    </row>
    <row r="155" spans="1:19" ht="15.75" customHeight="1">
      <c r="A155" s="451"/>
      <c r="B155" s="122" t="s">
        <v>103</v>
      </c>
      <c r="C155" s="157" t="s">
        <v>197</v>
      </c>
      <c r="D155" s="48" t="s">
        <v>104</v>
      </c>
      <c r="E155" s="430"/>
      <c r="F155" s="59" t="s">
        <v>105</v>
      </c>
      <c r="G155" s="116"/>
      <c r="H155" s="49"/>
      <c r="I155" s="482"/>
      <c r="J155" s="482"/>
      <c r="K155" s="12"/>
      <c r="L155" s="12"/>
      <c r="M155" s="12"/>
      <c r="N155" s="12"/>
      <c r="O155" s="12"/>
      <c r="P155" s="116"/>
      <c r="Q155" s="119"/>
      <c r="S155" s="13"/>
    </row>
    <row r="156" spans="1:19" ht="15.75" customHeight="1">
      <c r="A156" s="451"/>
      <c r="B156" s="442" t="s">
        <v>112</v>
      </c>
      <c r="C156" s="444" t="s">
        <v>197</v>
      </c>
      <c r="D156" s="48" t="s">
        <v>104</v>
      </c>
      <c r="E156" s="430"/>
      <c r="F156" s="59" t="s">
        <v>113</v>
      </c>
      <c r="G156" s="116"/>
      <c r="H156" s="184"/>
      <c r="I156" s="482"/>
      <c r="J156" s="482"/>
      <c r="K156" s="12"/>
      <c r="L156" s="12"/>
      <c r="M156" s="12"/>
      <c r="N156" s="12"/>
      <c r="O156" s="12"/>
      <c r="P156" s="116"/>
      <c r="Q156" s="131"/>
    </row>
    <row r="157" spans="1:19" ht="15.75" customHeight="1">
      <c r="A157" s="451"/>
      <c r="B157" s="443"/>
      <c r="C157" s="446"/>
      <c r="D157" s="48" t="s">
        <v>85</v>
      </c>
      <c r="E157" s="430"/>
      <c r="F157" s="59"/>
      <c r="G157" s="116"/>
      <c r="H157" s="49"/>
      <c r="I157" s="482"/>
      <c r="J157" s="482"/>
      <c r="K157" s="116"/>
      <c r="L157" s="116"/>
      <c r="M157" s="12"/>
      <c r="N157" s="12"/>
      <c r="O157" s="12"/>
      <c r="P157" s="116"/>
      <c r="Q157" s="131"/>
    </row>
    <row r="158" spans="1:19" ht="15.75" customHeight="1">
      <c r="A158" s="451"/>
      <c r="B158" s="442" t="s">
        <v>106</v>
      </c>
      <c r="C158" s="444" t="s">
        <v>141</v>
      </c>
      <c r="D158" s="48" t="s">
        <v>68</v>
      </c>
      <c r="E158" s="430"/>
      <c r="F158" s="59" t="s">
        <v>67</v>
      </c>
      <c r="G158" s="116"/>
      <c r="H158" s="49"/>
      <c r="I158" s="482"/>
      <c r="J158" s="482"/>
      <c r="K158" s="116"/>
      <c r="L158" s="116"/>
      <c r="M158" s="12">
        <f>'Total Apr'!O610</f>
        <v>371</v>
      </c>
      <c r="N158" s="12">
        <f>'Total Apr'!P610</f>
        <v>85</v>
      </c>
      <c r="O158" s="117">
        <f>'Total Apr'!T610</f>
        <v>371</v>
      </c>
      <c r="P158" s="116"/>
      <c r="Q158" s="131"/>
    </row>
    <row r="159" spans="1:19" ht="15.75" customHeight="1">
      <c r="A159" s="451"/>
      <c r="B159" s="443"/>
      <c r="C159" s="446"/>
      <c r="D159" s="59" t="s">
        <v>109</v>
      </c>
      <c r="E159" s="430"/>
      <c r="F159" s="59"/>
      <c r="G159" s="116"/>
      <c r="H159" s="49"/>
      <c r="I159" s="482"/>
      <c r="J159" s="482"/>
      <c r="K159" s="116"/>
      <c r="L159" s="116"/>
      <c r="M159" s="12"/>
      <c r="N159" s="12"/>
      <c r="O159" s="116"/>
      <c r="P159" s="116"/>
      <c r="Q159" s="131"/>
    </row>
    <row r="160" spans="1:19" ht="15.75" customHeight="1" thickBot="1">
      <c r="A160" s="451"/>
      <c r="B160" s="122" t="s">
        <v>107</v>
      </c>
      <c r="C160" s="180" t="s">
        <v>195</v>
      </c>
      <c r="D160" s="48" t="s">
        <v>108</v>
      </c>
      <c r="E160" s="430"/>
      <c r="F160" s="48" t="s">
        <v>48</v>
      </c>
      <c r="G160" s="12"/>
      <c r="H160" s="237">
        <f>'Total Apr'!H612</f>
        <v>94.5</v>
      </c>
      <c r="I160" s="483"/>
      <c r="J160" s="483"/>
      <c r="K160" s="116"/>
      <c r="L160" s="116"/>
      <c r="M160" s="121">
        <f>'Total Apr'!O612</f>
        <v>0</v>
      </c>
      <c r="N160" s="121">
        <f>'Total Apr'!P612</f>
        <v>500</v>
      </c>
      <c r="O160" s="116"/>
      <c r="P160" s="12"/>
      <c r="Q160" s="119"/>
    </row>
    <row r="161" spans="1:20" ht="15" customHeight="1">
      <c r="A161" s="450" t="s">
        <v>257</v>
      </c>
      <c r="B161" s="429" t="s">
        <v>44</v>
      </c>
      <c r="C161" s="432" t="s">
        <v>241</v>
      </c>
      <c r="D161" s="19" t="s">
        <v>37</v>
      </c>
      <c r="E161" s="19" t="s">
        <v>25</v>
      </c>
      <c r="F161" s="39" t="s">
        <v>40</v>
      </c>
      <c r="G161" s="120">
        <v>55530.80999999999</v>
      </c>
      <c r="H161" s="30">
        <v>47744</v>
      </c>
      <c r="I161" s="481">
        <v>660</v>
      </c>
      <c r="J161" s="478">
        <v>22.4</v>
      </c>
      <c r="K161" s="30">
        <v>856000</v>
      </c>
      <c r="L161" s="30">
        <v>107</v>
      </c>
      <c r="M161" s="30">
        <v>684280</v>
      </c>
      <c r="N161" s="30">
        <v>723002</v>
      </c>
      <c r="O161" s="208">
        <v>612204</v>
      </c>
      <c r="P161" s="208">
        <v>345</v>
      </c>
      <c r="Q161" s="19"/>
    </row>
    <row r="162" spans="1:20" ht="15" customHeight="1">
      <c r="A162" s="451"/>
      <c r="B162" s="430"/>
      <c r="C162" s="433"/>
      <c r="D162" s="119" t="s">
        <v>128</v>
      </c>
      <c r="E162" s="424" t="s">
        <v>24</v>
      </c>
      <c r="F162" s="118" t="s">
        <v>40</v>
      </c>
      <c r="G162" s="47"/>
      <c r="H162" s="12"/>
      <c r="I162" s="482"/>
      <c r="J162" s="479"/>
      <c r="K162" s="12"/>
      <c r="L162" s="12"/>
      <c r="M162" s="12">
        <v>164602</v>
      </c>
      <c r="N162" s="12">
        <v>131859</v>
      </c>
      <c r="O162" s="194">
        <v>176634</v>
      </c>
      <c r="P162" s="194">
        <v>941</v>
      </c>
      <c r="Q162" s="113"/>
    </row>
    <row r="163" spans="1:20" ht="16.5" customHeight="1">
      <c r="A163" s="451"/>
      <c r="B163" s="431"/>
      <c r="C163" s="434"/>
      <c r="D163" s="119" t="s">
        <v>307</v>
      </c>
      <c r="E163" s="425"/>
      <c r="F163" s="118" t="s">
        <v>40</v>
      </c>
      <c r="G163" s="47">
        <v>47118.69</v>
      </c>
      <c r="H163" s="12">
        <v>43516.1</v>
      </c>
      <c r="I163" s="482"/>
      <c r="J163" s="479"/>
      <c r="K163" s="12">
        <v>605600</v>
      </c>
      <c r="L163" s="12">
        <v>76</v>
      </c>
      <c r="M163" s="12">
        <v>547828</v>
      </c>
      <c r="N163" s="12">
        <v>562592</v>
      </c>
      <c r="O163" s="194">
        <v>538431</v>
      </c>
      <c r="P163" s="194">
        <v>298</v>
      </c>
      <c r="Q163" s="113"/>
    </row>
    <row r="164" spans="1:20" ht="16.5" customHeight="1">
      <c r="A164" s="451"/>
      <c r="B164" s="442" t="s">
        <v>45</v>
      </c>
      <c r="C164" s="448" t="s">
        <v>59</v>
      </c>
      <c r="D164" s="48" t="s">
        <v>75</v>
      </c>
      <c r="E164" s="424" t="s">
        <v>25</v>
      </c>
      <c r="F164" s="122" t="s">
        <v>57</v>
      </c>
      <c r="G164" s="47">
        <v>5631.08</v>
      </c>
      <c r="H164" s="31"/>
      <c r="I164" s="482"/>
      <c r="J164" s="479"/>
      <c r="K164" s="12">
        <v>51800</v>
      </c>
      <c r="L164" s="12">
        <v>10</v>
      </c>
      <c r="M164" s="12">
        <v>20550</v>
      </c>
      <c r="N164" s="12">
        <v>25361</v>
      </c>
      <c r="O164" s="194">
        <v>50186</v>
      </c>
      <c r="P164" s="194">
        <v>120</v>
      </c>
      <c r="Q164" s="113"/>
    </row>
    <row r="165" spans="1:20" ht="15.75" customHeight="1">
      <c r="A165" s="451"/>
      <c r="B165" s="439"/>
      <c r="C165" s="440"/>
      <c r="D165" s="48" t="s">
        <v>291</v>
      </c>
      <c r="E165" s="441"/>
      <c r="F165" s="122" t="s">
        <v>57</v>
      </c>
      <c r="G165" s="47"/>
      <c r="H165" s="12"/>
      <c r="I165" s="482"/>
      <c r="J165" s="479"/>
      <c r="K165" s="12">
        <v>14700</v>
      </c>
      <c r="L165" s="12">
        <v>3</v>
      </c>
      <c r="M165" s="12">
        <v>59828</v>
      </c>
      <c r="N165" s="12">
        <v>55526</v>
      </c>
      <c r="O165" s="194">
        <v>74089</v>
      </c>
      <c r="P165" s="194">
        <v>29</v>
      </c>
      <c r="Q165" s="119"/>
    </row>
    <row r="166" spans="1:20" ht="15.75" customHeight="1">
      <c r="A166" s="451"/>
      <c r="B166" s="439"/>
      <c r="C166" s="440"/>
      <c r="D166" s="48" t="s">
        <v>94</v>
      </c>
      <c r="E166" s="425"/>
      <c r="F166" s="119"/>
      <c r="G166" s="47"/>
      <c r="H166" s="12">
        <v>11340</v>
      </c>
      <c r="I166" s="482"/>
      <c r="J166" s="479"/>
      <c r="K166" s="12"/>
      <c r="L166" s="12"/>
      <c r="M166" s="12"/>
      <c r="N166" s="12"/>
      <c r="O166" s="117"/>
      <c r="P166" s="117"/>
      <c r="Q166" s="119"/>
      <c r="S166" s="13"/>
      <c r="T166" s="13"/>
    </row>
    <row r="167" spans="1:20" ht="20.25" customHeight="1">
      <c r="A167" s="451"/>
      <c r="B167" s="439"/>
      <c r="C167" s="440"/>
      <c r="D167" s="118" t="s">
        <v>72</v>
      </c>
      <c r="E167" s="424" t="s">
        <v>24</v>
      </c>
      <c r="F167" s="119" t="s">
        <v>57</v>
      </c>
      <c r="G167" s="47">
        <v>1941.25</v>
      </c>
      <c r="H167" s="119"/>
      <c r="I167" s="482"/>
      <c r="J167" s="479"/>
      <c r="K167" s="12">
        <v>35000</v>
      </c>
      <c r="L167" s="12">
        <v>7</v>
      </c>
      <c r="M167" s="12">
        <v>73524</v>
      </c>
      <c r="N167" s="12">
        <v>65527</v>
      </c>
      <c r="O167" s="194">
        <v>75970</v>
      </c>
      <c r="P167" s="194">
        <v>488</v>
      </c>
      <c r="Q167" s="119"/>
    </row>
    <row r="168" spans="1:20" ht="15" customHeight="1">
      <c r="A168" s="451"/>
      <c r="B168" s="439"/>
      <c r="C168" s="440"/>
      <c r="D168" s="115" t="s">
        <v>73</v>
      </c>
      <c r="E168" s="425"/>
      <c r="F168" s="119"/>
      <c r="G168" s="47"/>
      <c r="H168" s="12">
        <v>6666</v>
      </c>
      <c r="I168" s="482"/>
      <c r="J168" s="479"/>
      <c r="K168" s="12"/>
      <c r="L168" s="12"/>
      <c r="M168" s="12"/>
      <c r="N168" s="12"/>
      <c r="O168" s="117"/>
      <c r="P168" s="117"/>
      <c r="Q168" s="119"/>
    </row>
    <row r="169" spans="1:20" s="4" customFormat="1" ht="15" customHeight="1">
      <c r="A169" s="451"/>
      <c r="B169" s="439"/>
      <c r="C169" s="440"/>
      <c r="D169" s="43" t="s">
        <v>79</v>
      </c>
      <c r="E169" s="477" t="s">
        <v>65</v>
      </c>
      <c r="F169" s="122" t="s">
        <v>57</v>
      </c>
      <c r="G169" s="183"/>
      <c r="H169" s="218"/>
      <c r="I169" s="482"/>
      <c r="J169" s="479"/>
      <c r="K169" s="183"/>
      <c r="L169" s="183"/>
      <c r="M169" s="183">
        <v>5438</v>
      </c>
      <c r="N169" s="183">
        <v>8597</v>
      </c>
      <c r="O169" s="183">
        <v>0</v>
      </c>
      <c r="P169" s="183">
        <v>0</v>
      </c>
      <c r="Q169" s="122"/>
    </row>
    <row r="170" spans="1:20" ht="15" customHeight="1">
      <c r="A170" s="451"/>
      <c r="B170" s="439"/>
      <c r="C170" s="440"/>
      <c r="D170" s="115" t="s">
        <v>80</v>
      </c>
      <c r="E170" s="477"/>
      <c r="F170" s="119"/>
      <c r="G170" s="122"/>
      <c r="H170" s="218">
        <v>821.40000000000009</v>
      </c>
      <c r="I170" s="482"/>
      <c r="J170" s="479"/>
      <c r="K170" s="12"/>
      <c r="L170" s="12"/>
      <c r="M170" s="12"/>
      <c r="N170" s="12"/>
      <c r="O170" s="117"/>
      <c r="P170" s="117"/>
      <c r="Q170" s="119"/>
    </row>
    <row r="171" spans="1:20" ht="15" customHeight="1">
      <c r="A171" s="451"/>
      <c r="B171" s="439"/>
      <c r="C171" s="449"/>
      <c r="D171" s="115" t="s">
        <v>42</v>
      </c>
      <c r="E171" s="424" t="s">
        <v>25</v>
      </c>
      <c r="F171" s="119"/>
      <c r="G171" s="122"/>
      <c r="H171" s="183"/>
      <c r="I171" s="482"/>
      <c r="J171" s="479"/>
      <c r="K171" s="12"/>
      <c r="L171" s="12"/>
      <c r="M171" s="12"/>
      <c r="N171" s="12"/>
      <c r="O171" s="117"/>
      <c r="P171" s="117"/>
      <c r="Q171" s="119"/>
    </row>
    <row r="172" spans="1:20" ht="19.5" customHeight="1">
      <c r="A172" s="451"/>
      <c r="B172" s="439"/>
      <c r="C172" s="448" t="s">
        <v>300</v>
      </c>
      <c r="D172" s="115" t="s">
        <v>296</v>
      </c>
      <c r="E172" s="441"/>
      <c r="F172" s="119" t="s">
        <v>298</v>
      </c>
      <c r="G172" s="196">
        <v>652.08000000000004</v>
      </c>
      <c r="H172" s="268"/>
      <c r="I172" s="482"/>
      <c r="J172" s="479"/>
      <c r="K172" s="12">
        <v>10000</v>
      </c>
      <c r="L172" s="12">
        <v>2</v>
      </c>
      <c r="M172" s="12">
        <v>10067</v>
      </c>
      <c r="N172" s="12">
        <v>10795</v>
      </c>
      <c r="O172" s="117">
        <v>2741</v>
      </c>
      <c r="P172" s="117"/>
      <c r="Q172" s="119"/>
    </row>
    <row r="173" spans="1:20" s="4" customFormat="1" ht="19.5" customHeight="1">
      <c r="A173" s="451"/>
      <c r="B173" s="443"/>
      <c r="C173" s="449"/>
      <c r="D173" s="43" t="s">
        <v>75</v>
      </c>
      <c r="E173" s="425"/>
      <c r="F173" s="122" t="s">
        <v>298</v>
      </c>
      <c r="G173" s="196">
        <v>1956.2400000000002</v>
      </c>
      <c r="H173" s="268"/>
      <c r="I173" s="482"/>
      <c r="J173" s="479"/>
      <c r="K173" s="183">
        <v>15000</v>
      </c>
      <c r="L173" s="183">
        <v>3</v>
      </c>
      <c r="M173" s="183">
        <v>8626</v>
      </c>
      <c r="N173" s="194">
        <v>9684</v>
      </c>
      <c r="O173" s="194">
        <v>5685</v>
      </c>
      <c r="P173" s="194"/>
      <c r="Q173" s="122"/>
    </row>
    <row r="174" spans="1:20" ht="15" customHeight="1">
      <c r="A174" s="451"/>
      <c r="B174" s="442" t="s">
        <v>53</v>
      </c>
      <c r="C174" s="444" t="s">
        <v>60</v>
      </c>
      <c r="D174" s="43" t="s">
        <v>130</v>
      </c>
      <c r="E174" s="448" t="s">
        <v>66</v>
      </c>
      <c r="F174" s="118" t="s">
        <v>54</v>
      </c>
      <c r="G174" s="183"/>
      <c r="H174" s="294"/>
      <c r="I174" s="482"/>
      <c r="J174" s="479"/>
      <c r="K174" s="12">
        <v>30000</v>
      </c>
      <c r="L174" s="12">
        <v>5</v>
      </c>
      <c r="M174" s="12">
        <v>88823</v>
      </c>
      <c r="N174" s="117">
        <v>77371</v>
      </c>
      <c r="O174" s="117">
        <v>102344</v>
      </c>
      <c r="P174" s="117">
        <v>7</v>
      </c>
      <c r="Q174" s="119"/>
    </row>
    <row r="175" spans="1:20" ht="15" customHeight="1">
      <c r="A175" s="451"/>
      <c r="B175" s="439"/>
      <c r="C175" s="445"/>
      <c r="D175" s="43" t="s">
        <v>320</v>
      </c>
      <c r="E175" s="440"/>
      <c r="F175" s="118" t="s">
        <v>54</v>
      </c>
      <c r="G175" s="196">
        <v>3340.84</v>
      </c>
      <c r="H175" s="218"/>
      <c r="I175" s="482"/>
      <c r="J175" s="479"/>
      <c r="K175" s="12">
        <v>101000</v>
      </c>
      <c r="L175" s="12">
        <v>17</v>
      </c>
      <c r="M175" s="12">
        <v>47595</v>
      </c>
      <c r="N175" s="117">
        <v>55223</v>
      </c>
      <c r="O175" s="117">
        <v>43719</v>
      </c>
      <c r="P175" s="117">
        <v>12</v>
      </c>
      <c r="Q175" s="119"/>
    </row>
    <row r="176" spans="1:20" ht="15" customHeight="1">
      <c r="A176" s="451"/>
      <c r="B176" s="439"/>
      <c r="C176" s="445"/>
      <c r="D176" s="43" t="s">
        <v>387</v>
      </c>
      <c r="E176" s="449"/>
      <c r="F176" s="118" t="s">
        <v>54</v>
      </c>
      <c r="G176" s="196">
        <v>2558.94</v>
      </c>
      <c r="H176" s="218"/>
      <c r="I176" s="482"/>
      <c r="J176" s="479"/>
      <c r="K176" s="12"/>
      <c r="L176" s="12"/>
      <c r="M176" s="12"/>
      <c r="N176" s="117"/>
      <c r="O176" s="117"/>
      <c r="P176" s="117"/>
      <c r="Q176" s="119"/>
    </row>
    <row r="177" spans="1:20" ht="18.75" customHeight="1">
      <c r="A177" s="451"/>
      <c r="B177" s="439"/>
      <c r="C177" s="445"/>
      <c r="D177" s="48" t="s">
        <v>199</v>
      </c>
      <c r="E177" s="43" t="s">
        <v>25</v>
      </c>
      <c r="F177" s="48" t="s">
        <v>54</v>
      </c>
      <c r="G177" s="196"/>
      <c r="H177" s="218"/>
      <c r="I177" s="482"/>
      <c r="J177" s="479"/>
      <c r="K177" s="183"/>
      <c r="L177" s="183"/>
      <c r="M177" s="183">
        <v>68</v>
      </c>
      <c r="N177" s="183"/>
      <c r="O177" s="183"/>
      <c r="P177" s="183"/>
      <c r="Q177" s="2"/>
      <c r="S177" s="13"/>
    </row>
    <row r="178" spans="1:20" ht="18.75" customHeight="1">
      <c r="A178" s="451"/>
      <c r="B178" s="439"/>
      <c r="C178" s="445"/>
      <c r="D178" s="48" t="s">
        <v>199</v>
      </c>
      <c r="E178" s="118" t="s">
        <v>25</v>
      </c>
      <c r="F178" s="119"/>
      <c r="G178" s="196"/>
      <c r="H178" s="194">
        <v>5508</v>
      </c>
      <c r="I178" s="482"/>
      <c r="J178" s="479"/>
      <c r="K178" s="12"/>
      <c r="L178" s="12"/>
      <c r="M178" s="12"/>
      <c r="N178" s="12"/>
      <c r="O178" s="117"/>
      <c r="P178" s="117"/>
      <c r="Q178" s="2"/>
      <c r="S178" s="13"/>
      <c r="T178" s="13"/>
    </row>
    <row r="179" spans="1:20" ht="18.75" customHeight="1">
      <c r="A179" s="451"/>
      <c r="B179" s="439"/>
      <c r="C179" s="445"/>
      <c r="D179" s="43" t="s">
        <v>385</v>
      </c>
      <c r="E179" s="118" t="s">
        <v>25</v>
      </c>
      <c r="F179" s="119"/>
      <c r="G179" s="196"/>
      <c r="H179" s="194">
        <v>4172</v>
      </c>
      <c r="I179" s="482"/>
      <c r="J179" s="479"/>
      <c r="K179" s="117"/>
      <c r="L179" s="117"/>
      <c r="M179" s="12"/>
      <c r="N179" s="12"/>
      <c r="O179" s="117"/>
      <c r="P179" s="117"/>
      <c r="Q179" s="2"/>
      <c r="S179" s="13"/>
      <c r="T179" s="13"/>
    </row>
    <row r="180" spans="1:20" ht="18.75" customHeight="1">
      <c r="A180" s="451"/>
      <c r="B180" s="443"/>
      <c r="C180" s="446"/>
      <c r="D180" s="43" t="s">
        <v>324</v>
      </c>
      <c r="E180" s="113" t="s">
        <v>65</v>
      </c>
      <c r="F180" s="119"/>
      <c r="G180" s="218"/>
      <c r="H180" s="183">
        <v>612</v>
      </c>
      <c r="I180" s="482"/>
      <c r="J180" s="479"/>
      <c r="K180" s="117"/>
      <c r="L180" s="117"/>
      <c r="M180" s="12"/>
      <c r="N180" s="12"/>
      <c r="O180" s="117"/>
      <c r="P180" s="117"/>
      <c r="Q180" s="2"/>
      <c r="S180" s="13"/>
    </row>
    <row r="181" spans="1:20" s="4" customFormat="1" ht="15.75" customHeight="1">
      <c r="A181" s="451"/>
      <c r="B181" s="442" t="s">
        <v>55</v>
      </c>
      <c r="C181" s="444" t="s">
        <v>133</v>
      </c>
      <c r="D181" s="43" t="s">
        <v>56</v>
      </c>
      <c r="E181" s="438" t="s">
        <v>25</v>
      </c>
      <c r="F181" s="48" t="s">
        <v>67</v>
      </c>
      <c r="G181" s="196">
        <v>346.64</v>
      </c>
      <c r="H181" s="193"/>
      <c r="I181" s="482"/>
      <c r="J181" s="479"/>
      <c r="K181" s="183">
        <v>5600</v>
      </c>
      <c r="L181" s="183">
        <v>2</v>
      </c>
      <c r="M181" s="183">
        <v>3748</v>
      </c>
      <c r="N181" s="183">
        <v>3961</v>
      </c>
      <c r="O181" s="194">
        <v>700</v>
      </c>
      <c r="P181" s="191">
        <v>0</v>
      </c>
      <c r="Q181" s="122"/>
    </row>
    <row r="182" spans="1:20" ht="15.75" customHeight="1">
      <c r="A182" s="451"/>
      <c r="B182" s="443"/>
      <c r="C182" s="446"/>
      <c r="D182" s="43" t="s">
        <v>68</v>
      </c>
      <c r="E182" s="430"/>
      <c r="F182" s="48"/>
      <c r="G182" s="116"/>
      <c r="H182" s="116">
        <v>324</v>
      </c>
      <c r="I182" s="482"/>
      <c r="J182" s="479"/>
      <c r="K182" s="31"/>
      <c r="L182" s="31"/>
      <c r="M182" s="12"/>
      <c r="N182" s="12"/>
      <c r="O182" s="117"/>
      <c r="P182" s="116"/>
      <c r="Q182" s="119"/>
      <c r="T182" s="13"/>
    </row>
    <row r="183" spans="1:20" s="139" customFormat="1" ht="15.75" customHeight="1">
      <c r="A183" s="451"/>
      <c r="B183" s="295" t="s">
        <v>55</v>
      </c>
      <c r="C183" s="296" t="s">
        <v>316</v>
      </c>
      <c r="D183" s="297" t="s">
        <v>317</v>
      </c>
      <c r="E183" s="430"/>
      <c r="F183" s="297" t="s">
        <v>67</v>
      </c>
      <c r="G183" s="300"/>
      <c r="H183" s="301"/>
      <c r="I183" s="482"/>
      <c r="J183" s="479"/>
      <c r="K183" s="300"/>
      <c r="L183" s="300"/>
      <c r="M183" s="300">
        <v>450</v>
      </c>
      <c r="N183" s="300">
        <v>450</v>
      </c>
      <c r="O183" s="300">
        <v>450</v>
      </c>
      <c r="P183" s="300"/>
      <c r="Q183" s="295"/>
    </row>
    <row r="184" spans="1:20" s="4" customFormat="1" ht="15.75" customHeight="1">
      <c r="A184" s="451"/>
      <c r="B184" s="442" t="s">
        <v>122</v>
      </c>
      <c r="C184" s="444" t="s">
        <v>123</v>
      </c>
      <c r="D184" s="48" t="s">
        <v>56</v>
      </c>
      <c r="E184" s="430"/>
      <c r="F184" s="48" t="s">
        <v>64</v>
      </c>
      <c r="G184" s="183"/>
      <c r="H184" s="191"/>
      <c r="I184" s="482"/>
      <c r="J184" s="479"/>
      <c r="K184" s="183"/>
      <c r="L184" s="183"/>
      <c r="M184" s="183"/>
      <c r="N184" s="183"/>
      <c r="O184" s="194">
        <v>12958</v>
      </c>
      <c r="P184" s="194">
        <v>225</v>
      </c>
      <c r="Q184" s="122"/>
    </row>
    <row r="185" spans="1:20" s="4" customFormat="1" ht="15.75" customHeight="1">
      <c r="A185" s="451"/>
      <c r="B185" s="443"/>
      <c r="C185" s="446"/>
      <c r="D185" s="48" t="s">
        <v>129</v>
      </c>
      <c r="E185" s="430"/>
      <c r="F185" s="48"/>
      <c r="G185" s="183"/>
      <c r="H185" s="191"/>
      <c r="I185" s="482"/>
      <c r="J185" s="479"/>
      <c r="K185" s="183"/>
      <c r="L185" s="183"/>
      <c r="M185" s="183"/>
      <c r="N185" s="183"/>
      <c r="O185" s="194"/>
      <c r="P185" s="194"/>
      <c r="Q185" s="122"/>
    </row>
    <row r="186" spans="1:20" s="139" customFormat="1" ht="15.75" customHeight="1">
      <c r="A186" s="451"/>
      <c r="B186" s="442" t="s">
        <v>58</v>
      </c>
      <c r="C186" s="444" t="s">
        <v>243</v>
      </c>
      <c r="D186" s="297" t="s">
        <v>56</v>
      </c>
      <c r="E186" s="430"/>
      <c r="F186" s="298" t="s">
        <v>64</v>
      </c>
      <c r="G186" s="300"/>
      <c r="H186" s="301"/>
      <c r="I186" s="482"/>
      <c r="J186" s="479"/>
      <c r="K186" s="300"/>
      <c r="L186" s="300"/>
      <c r="M186" s="300"/>
      <c r="N186" s="300"/>
      <c r="O186" s="318">
        <v>408</v>
      </c>
      <c r="P186" s="318">
        <v>10</v>
      </c>
      <c r="Q186" s="295"/>
    </row>
    <row r="187" spans="1:20" s="4" customFormat="1" ht="15.75" customHeight="1">
      <c r="A187" s="451"/>
      <c r="B187" s="443"/>
      <c r="C187" s="446"/>
      <c r="D187" s="48" t="s">
        <v>92</v>
      </c>
      <c r="E187" s="430"/>
      <c r="F187" s="59"/>
      <c r="G187" s="183"/>
      <c r="H187" s="191"/>
      <c r="I187" s="482"/>
      <c r="J187" s="479"/>
      <c r="K187" s="183"/>
      <c r="L187" s="183"/>
      <c r="M187" s="183"/>
      <c r="N187" s="183"/>
      <c r="O187" s="194"/>
      <c r="P187" s="194"/>
      <c r="Q187" s="122"/>
    </row>
    <row r="188" spans="1:20" s="4" customFormat="1" ht="15.75" customHeight="1">
      <c r="A188" s="451"/>
      <c r="B188" s="122" t="s">
        <v>61</v>
      </c>
      <c r="C188" s="180" t="s">
        <v>137</v>
      </c>
      <c r="D188" s="48" t="s">
        <v>56</v>
      </c>
      <c r="E188" s="430"/>
      <c r="F188" s="59" t="s">
        <v>67</v>
      </c>
      <c r="G188" s="183"/>
      <c r="H188" s="191"/>
      <c r="I188" s="482"/>
      <c r="J188" s="479"/>
      <c r="K188" s="183"/>
      <c r="L188" s="183"/>
      <c r="M188" s="183"/>
      <c r="N188" s="183"/>
      <c r="O188" s="194"/>
      <c r="P188" s="194"/>
      <c r="Q188" s="122"/>
    </row>
    <row r="189" spans="1:20" s="4" customFormat="1" ht="15.75" customHeight="1">
      <c r="A189" s="451"/>
      <c r="B189" s="122" t="s">
        <v>125</v>
      </c>
      <c r="C189" s="180" t="s">
        <v>88</v>
      </c>
      <c r="D189" s="48" t="s">
        <v>124</v>
      </c>
      <c r="E189" s="430"/>
      <c r="F189" s="48" t="s">
        <v>64</v>
      </c>
      <c r="G189" s="183"/>
      <c r="H189" s="191"/>
      <c r="I189" s="482"/>
      <c r="J189" s="479"/>
      <c r="K189" s="183"/>
      <c r="L189" s="183"/>
      <c r="M189" s="183"/>
      <c r="N189" s="183"/>
      <c r="O189" s="194"/>
      <c r="P189" s="194"/>
      <c r="Q189" s="122"/>
    </row>
    <row r="190" spans="1:20" ht="18.75" customHeight="1">
      <c r="A190" s="451"/>
      <c r="B190" s="442" t="s">
        <v>47</v>
      </c>
      <c r="C190" s="472" t="s">
        <v>100</v>
      </c>
      <c r="D190" s="89" t="s">
        <v>99</v>
      </c>
      <c r="E190" s="430"/>
      <c r="F190" s="89" t="s">
        <v>71</v>
      </c>
      <c r="G190" s="31"/>
      <c r="H190" s="116"/>
      <c r="I190" s="482"/>
      <c r="J190" s="479"/>
      <c r="K190" s="12">
        <v>22800</v>
      </c>
      <c r="L190" s="12">
        <v>4</v>
      </c>
      <c r="M190" s="12">
        <v>44977</v>
      </c>
      <c r="N190" s="12">
        <v>40729</v>
      </c>
      <c r="O190" s="117"/>
      <c r="P190" s="117"/>
      <c r="Q190" s="2"/>
      <c r="S190" s="13"/>
    </row>
    <row r="191" spans="1:20" ht="15.75" customHeight="1">
      <c r="A191" s="451"/>
      <c r="B191" s="443"/>
      <c r="C191" s="510"/>
      <c r="D191" s="59" t="s">
        <v>121</v>
      </c>
      <c r="E191" s="430"/>
      <c r="F191" s="59"/>
      <c r="G191" s="12"/>
      <c r="H191" s="12">
        <v>1836</v>
      </c>
      <c r="I191" s="482"/>
      <c r="J191" s="479"/>
      <c r="K191" s="116"/>
      <c r="L191" s="116"/>
      <c r="M191" s="12"/>
      <c r="N191" s="12"/>
      <c r="O191" s="12"/>
      <c r="P191" s="12"/>
      <c r="Q191" s="119"/>
      <c r="S191" s="13"/>
    </row>
    <row r="192" spans="1:20" s="4" customFormat="1" ht="15.75" customHeight="1">
      <c r="A192" s="451"/>
      <c r="B192" s="122" t="s">
        <v>196</v>
      </c>
      <c r="C192" s="180" t="s">
        <v>63</v>
      </c>
      <c r="D192" s="48" t="s">
        <v>135</v>
      </c>
      <c r="E192" s="430"/>
      <c r="F192" s="59" t="s">
        <v>64</v>
      </c>
      <c r="G192" s="218"/>
      <c r="H192" s="220">
        <v>535.5</v>
      </c>
      <c r="I192" s="482"/>
      <c r="J192" s="479"/>
      <c r="K192" s="183">
        <v>33200</v>
      </c>
      <c r="L192" s="183">
        <v>4</v>
      </c>
      <c r="M192" s="221">
        <v>12898</v>
      </c>
      <c r="N192" s="221">
        <v>16621</v>
      </c>
      <c r="O192" s="194">
        <v>0</v>
      </c>
      <c r="P192" s="183"/>
      <c r="Q192" s="122"/>
    </row>
    <row r="193" spans="1:17" ht="15.75" customHeight="1">
      <c r="A193" s="451"/>
      <c r="B193" s="137" t="s">
        <v>289</v>
      </c>
      <c r="C193" s="157" t="s">
        <v>290</v>
      </c>
      <c r="D193" s="48" t="s">
        <v>291</v>
      </c>
      <c r="E193" s="430"/>
      <c r="F193" s="59" t="s">
        <v>292</v>
      </c>
      <c r="G193" s="47"/>
      <c r="H193" s="116"/>
      <c r="I193" s="482"/>
      <c r="J193" s="479"/>
      <c r="K193" s="12"/>
      <c r="L193" s="12"/>
      <c r="M193" s="12">
        <v>885</v>
      </c>
      <c r="N193" s="12">
        <v>128</v>
      </c>
      <c r="O193" s="117">
        <v>885</v>
      </c>
      <c r="P193" s="116"/>
      <c r="Q193" s="119"/>
    </row>
    <row r="194" spans="1:17" s="4" customFormat="1" ht="15.75" customHeight="1">
      <c r="A194" s="451"/>
      <c r="B194" s="442" t="s">
        <v>289</v>
      </c>
      <c r="C194" s="444" t="s">
        <v>290</v>
      </c>
      <c r="D194" s="48" t="s">
        <v>75</v>
      </c>
      <c r="E194" s="430"/>
      <c r="F194" s="59" t="s">
        <v>381</v>
      </c>
      <c r="G194" s="196">
        <v>167.88</v>
      </c>
      <c r="H194" s="191"/>
      <c r="I194" s="482"/>
      <c r="J194" s="479"/>
      <c r="K194" s="183">
        <v>2000</v>
      </c>
      <c r="L194" s="183">
        <v>1</v>
      </c>
      <c r="M194" s="183">
        <v>1282</v>
      </c>
      <c r="N194" s="183">
        <v>1813</v>
      </c>
      <c r="O194" s="194">
        <v>1282</v>
      </c>
      <c r="P194" s="191">
        <v>0</v>
      </c>
      <c r="Q194" s="122"/>
    </row>
    <row r="195" spans="1:17" ht="15.75" customHeight="1">
      <c r="A195" s="451"/>
      <c r="B195" s="439"/>
      <c r="C195" s="445"/>
      <c r="D195" s="48" t="s">
        <v>329</v>
      </c>
      <c r="E195" s="430"/>
      <c r="F195" s="59"/>
      <c r="G195" s="47"/>
      <c r="H195" s="49">
        <v>91.800000000000011</v>
      </c>
      <c r="I195" s="482"/>
      <c r="J195" s="479"/>
      <c r="K195" s="12"/>
      <c r="L195" s="12"/>
      <c r="M195" s="12"/>
      <c r="N195" s="12"/>
      <c r="O195" s="117"/>
      <c r="P195" s="116"/>
      <c r="Q195" s="119"/>
    </row>
    <row r="196" spans="1:17" ht="15.75" customHeight="1">
      <c r="A196" s="451"/>
      <c r="B196" s="443"/>
      <c r="C196" s="446"/>
      <c r="D196" s="48" t="s">
        <v>433</v>
      </c>
      <c r="E196" s="430"/>
      <c r="F196" s="59"/>
      <c r="G196" s="47"/>
      <c r="H196" s="116">
        <v>153</v>
      </c>
      <c r="I196" s="482"/>
      <c r="J196" s="479"/>
      <c r="K196" s="12"/>
      <c r="L196" s="12"/>
      <c r="M196" s="12"/>
      <c r="N196" s="12"/>
      <c r="O196" s="117"/>
      <c r="P196" s="116"/>
      <c r="Q196" s="119"/>
    </row>
    <row r="197" spans="1:17" ht="26.25" customHeight="1">
      <c r="A197" s="451"/>
      <c r="B197" s="122" t="s">
        <v>253</v>
      </c>
      <c r="C197" s="180" t="s">
        <v>365</v>
      </c>
      <c r="D197" s="48" t="s">
        <v>246</v>
      </c>
      <c r="E197" s="430"/>
      <c r="F197" s="59" t="s">
        <v>247</v>
      </c>
      <c r="G197" s="47"/>
      <c r="H197" s="49">
        <v>1189.44</v>
      </c>
      <c r="I197" s="482"/>
      <c r="J197" s="479"/>
      <c r="K197" s="12">
        <v>15500</v>
      </c>
      <c r="L197" s="12">
        <v>2</v>
      </c>
      <c r="M197" s="12">
        <v>17227</v>
      </c>
      <c r="N197" s="12">
        <v>18468</v>
      </c>
      <c r="O197" s="117"/>
      <c r="P197" s="116"/>
      <c r="Q197" s="119"/>
    </row>
    <row r="198" spans="1:17" ht="15.75" customHeight="1">
      <c r="A198" s="451"/>
      <c r="B198" s="122" t="s">
        <v>101</v>
      </c>
      <c r="C198" s="180" t="s">
        <v>327</v>
      </c>
      <c r="D198" s="48" t="s">
        <v>102</v>
      </c>
      <c r="E198" s="430"/>
      <c r="F198" s="48" t="s">
        <v>64</v>
      </c>
      <c r="G198" s="236">
        <v>4629.3</v>
      </c>
      <c r="H198" s="116">
        <v>2941</v>
      </c>
      <c r="I198" s="482"/>
      <c r="J198" s="479"/>
      <c r="K198" s="183">
        <v>83000</v>
      </c>
      <c r="L198" s="183">
        <v>12</v>
      </c>
      <c r="M198" s="12">
        <v>49764</v>
      </c>
      <c r="N198" s="12">
        <v>52129</v>
      </c>
      <c r="O198" s="117">
        <v>44746</v>
      </c>
      <c r="P198" s="116">
        <v>118</v>
      </c>
      <c r="Q198" s="119"/>
    </row>
    <row r="199" spans="1:17" ht="15.75" customHeight="1">
      <c r="A199" s="451"/>
      <c r="B199" s="122" t="s">
        <v>366</v>
      </c>
      <c r="C199" s="180" t="s">
        <v>367</v>
      </c>
      <c r="D199" s="48" t="s">
        <v>132</v>
      </c>
      <c r="E199" s="430"/>
      <c r="F199" s="59" t="s">
        <v>64</v>
      </c>
      <c r="G199" s="236">
        <v>771.9</v>
      </c>
      <c r="H199" s="116">
        <v>693</v>
      </c>
      <c r="I199" s="482"/>
      <c r="J199" s="479"/>
      <c r="K199" s="183">
        <v>9000</v>
      </c>
      <c r="L199" s="183">
        <v>2</v>
      </c>
      <c r="M199" s="12">
        <v>8712</v>
      </c>
      <c r="N199" s="12">
        <v>8712</v>
      </c>
      <c r="O199" s="117">
        <v>8604</v>
      </c>
      <c r="P199" s="116">
        <v>108</v>
      </c>
      <c r="Q199" s="131"/>
    </row>
    <row r="200" spans="1:17" ht="30" customHeight="1">
      <c r="A200" s="451"/>
      <c r="B200" s="122" t="s">
        <v>363</v>
      </c>
      <c r="C200" s="180" t="s">
        <v>364</v>
      </c>
      <c r="D200" s="48" t="s">
        <v>328</v>
      </c>
      <c r="E200" s="430"/>
      <c r="F200" s="59" t="s">
        <v>48</v>
      </c>
      <c r="G200" s="236">
        <v>1014.38</v>
      </c>
      <c r="H200" s="116">
        <v>1320</v>
      </c>
      <c r="I200" s="482"/>
      <c r="J200" s="479"/>
      <c r="K200" s="183">
        <v>24000</v>
      </c>
      <c r="L200" s="183">
        <v>4</v>
      </c>
      <c r="M200" s="12">
        <v>11686</v>
      </c>
      <c r="N200" s="12">
        <v>12443</v>
      </c>
      <c r="O200" s="117">
        <v>3248</v>
      </c>
      <c r="P200" s="116"/>
      <c r="Q200" s="131"/>
    </row>
    <row r="201" spans="1:17" s="4" customFormat="1" ht="19.5" customHeight="1">
      <c r="A201" s="451"/>
      <c r="B201" s="122" t="s">
        <v>375</v>
      </c>
      <c r="C201" s="157" t="s">
        <v>376</v>
      </c>
      <c r="D201" s="48" t="s">
        <v>248</v>
      </c>
      <c r="E201" s="430"/>
      <c r="F201" s="59" t="s">
        <v>64</v>
      </c>
      <c r="G201" s="280">
        <v>26847.359999999997</v>
      </c>
      <c r="H201" s="191">
        <v>13260</v>
      </c>
      <c r="I201" s="482"/>
      <c r="J201" s="479"/>
      <c r="K201" s="183">
        <v>133550</v>
      </c>
      <c r="L201" s="183">
        <v>33</v>
      </c>
      <c r="M201" s="183">
        <v>92651</v>
      </c>
      <c r="N201" s="183">
        <v>94773</v>
      </c>
      <c r="O201" s="194">
        <v>15714</v>
      </c>
      <c r="P201" s="191"/>
      <c r="Q201" s="137"/>
    </row>
    <row r="202" spans="1:17" ht="15.75" customHeight="1">
      <c r="A202" s="451"/>
      <c r="B202" s="122" t="s">
        <v>103</v>
      </c>
      <c r="C202" s="157" t="s">
        <v>197</v>
      </c>
      <c r="D202" s="48" t="s">
        <v>104</v>
      </c>
      <c r="E202" s="430"/>
      <c r="F202" s="59" t="s">
        <v>105</v>
      </c>
      <c r="G202" s="116"/>
      <c r="H202" s="184"/>
      <c r="I202" s="482"/>
      <c r="J202" s="479"/>
      <c r="K202" s="12"/>
      <c r="L202" s="12"/>
      <c r="M202" s="12"/>
      <c r="N202" s="12"/>
      <c r="O202" s="12"/>
      <c r="P202" s="116"/>
      <c r="Q202" s="131"/>
    </row>
    <row r="203" spans="1:17" ht="15.75" customHeight="1">
      <c r="A203" s="451"/>
      <c r="B203" s="137" t="s">
        <v>112</v>
      </c>
      <c r="C203" s="157" t="s">
        <v>197</v>
      </c>
      <c r="D203" s="48" t="s">
        <v>104</v>
      </c>
      <c r="E203" s="430"/>
      <c r="F203" s="59" t="s">
        <v>113</v>
      </c>
      <c r="G203" s="116"/>
      <c r="H203" s="49"/>
      <c r="I203" s="482"/>
      <c r="J203" s="479"/>
      <c r="K203" s="116"/>
      <c r="L203" s="116"/>
      <c r="M203" s="12"/>
      <c r="N203" s="12"/>
      <c r="O203" s="12"/>
      <c r="P203" s="116"/>
      <c r="Q203" s="131"/>
    </row>
    <row r="204" spans="1:17" ht="15.75" customHeight="1">
      <c r="A204" s="451"/>
      <c r="B204" s="442" t="s">
        <v>106</v>
      </c>
      <c r="C204" s="444" t="s">
        <v>141</v>
      </c>
      <c r="D204" s="48" t="s">
        <v>68</v>
      </c>
      <c r="E204" s="430"/>
      <c r="F204" s="59" t="s">
        <v>67</v>
      </c>
      <c r="G204" s="116"/>
      <c r="H204" s="49"/>
      <c r="I204" s="482"/>
      <c r="J204" s="479"/>
      <c r="K204" s="116"/>
      <c r="L204" s="116"/>
      <c r="M204" s="12"/>
      <c r="N204" s="12"/>
      <c r="O204" s="117"/>
      <c r="P204" s="116"/>
      <c r="Q204" s="131"/>
    </row>
    <row r="205" spans="1:17" ht="15.75" customHeight="1">
      <c r="A205" s="451"/>
      <c r="B205" s="443"/>
      <c r="C205" s="446"/>
      <c r="D205" s="59" t="s">
        <v>109</v>
      </c>
      <c r="E205" s="430"/>
      <c r="F205" s="59"/>
      <c r="G205" s="116"/>
      <c r="H205" s="116"/>
      <c r="I205" s="482"/>
      <c r="J205" s="479"/>
      <c r="K205" s="116"/>
      <c r="L205" s="116"/>
      <c r="M205" s="12"/>
      <c r="N205" s="12"/>
      <c r="O205" s="116"/>
      <c r="P205" s="116"/>
      <c r="Q205" s="131"/>
    </row>
    <row r="206" spans="1:17" ht="15.75" customHeight="1" thickBot="1">
      <c r="A206" s="509"/>
      <c r="B206" s="122" t="s">
        <v>107</v>
      </c>
      <c r="C206" s="180" t="s">
        <v>195</v>
      </c>
      <c r="D206" s="48" t="s">
        <v>108</v>
      </c>
      <c r="E206" s="455"/>
      <c r="F206" s="48" t="s">
        <v>48</v>
      </c>
      <c r="G206" s="47">
        <v>1930.92</v>
      </c>
      <c r="H206" s="317">
        <v>504</v>
      </c>
      <c r="I206" s="483"/>
      <c r="J206" s="480"/>
      <c r="K206" s="116">
        <v>13000</v>
      </c>
      <c r="L206" s="116">
        <v>2</v>
      </c>
      <c r="M206" s="121">
        <v>3097</v>
      </c>
      <c r="N206" s="121">
        <v>3279</v>
      </c>
      <c r="O206" s="116">
        <v>500</v>
      </c>
      <c r="P206" s="12"/>
      <c r="Q206" s="119"/>
    </row>
    <row r="207" spans="1:17" ht="15" customHeight="1">
      <c r="A207" s="450" t="s">
        <v>361</v>
      </c>
      <c r="B207" s="429" t="s">
        <v>44</v>
      </c>
      <c r="C207" s="432" t="s">
        <v>74</v>
      </c>
      <c r="D207" s="19" t="s">
        <v>37</v>
      </c>
      <c r="E207" s="19" t="s">
        <v>25</v>
      </c>
      <c r="F207" s="39" t="s">
        <v>40</v>
      </c>
      <c r="G207" s="120">
        <f>'Total June'!G785</f>
        <v>112648.48000000004</v>
      </c>
      <c r="H207" s="30">
        <f>'Total June'!H785</f>
        <v>83376</v>
      </c>
      <c r="I207" s="481">
        <v>651</v>
      </c>
      <c r="J207" s="478">
        <v>22.3</v>
      </c>
      <c r="K207" s="30">
        <f>'Total June'!K785</f>
        <v>1563000</v>
      </c>
      <c r="L207" s="30">
        <f>'Total June'!L785</f>
        <v>196</v>
      </c>
      <c r="M207" s="30">
        <f>'Total June'!O785</f>
        <v>1220054</v>
      </c>
      <c r="N207" s="30">
        <f>'Total June'!P785</f>
        <v>1259304</v>
      </c>
      <c r="O207" s="208">
        <f>'Total June'!T785</f>
        <v>1324175</v>
      </c>
      <c r="P207" s="208">
        <f>'Total June'!U785</f>
        <v>722</v>
      </c>
      <c r="Q207" s="19"/>
    </row>
    <row r="208" spans="1:17" ht="16.5" customHeight="1">
      <c r="A208" s="451"/>
      <c r="B208" s="431"/>
      <c r="C208" s="434"/>
      <c r="D208" s="119" t="s">
        <v>307</v>
      </c>
      <c r="E208" s="115" t="s">
        <v>24</v>
      </c>
      <c r="F208" s="118" t="s">
        <v>40</v>
      </c>
      <c r="G208" s="47">
        <f>'Total June'!G786</f>
        <v>22459.729999999996</v>
      </c>
      <c r="H208" s="12">
        <f>'Total June'!H786</f>
        <v>32866.400000000001</v>
      </c>
      <c r="I208" s="482"/>
      <c r="J208" s="479"/>
      <c r="K208" s="12">
        <f>'Total June'!K786</f>
        <v>268400</v>
      </c>
      <c r="L208" s="12">
        <f>'Total June'!L786</f>
        <v>34</v>
      </c>
      <c r="M208" s="12">
        <f>'Total June'!O786</f>
        <v>463875</v>
      </c>
      <c r="N208" s="12">
        <f>'Total June'!P786</f>
        <v>452541</v>
      </c>
      <c r="O208" s="194">
        <f>'Total June'!T786</f>
        <v>388070</v>
      </c>
      <c r="P208" s="194">
        <f>'Total June'!U786</f>
        <v>195</v>
      </c>
      <c r="Q208" s="113"/>
    </row>
    <row r="209" spans="1:20" ht="15.75" customHeight="1">
      <c r="A209" s="451"/>
      <c r="B209" s="442" t="s">
        <v>45</v>
      </c>
      <c r="C209" s="471" t="s">
        <v>59</v>
      </c>
      <c r="D209" s="118" t="s">
        <v>75</v>
      </c>
      <c r="E209" s="441" t="s">
        <v>25</v>
      </c>
      <c r="F209" s="119" t="s">
        <v>57</v>
      </c>
      <c r="G209" s="47">
        <f>'Total June'!G787</f>
        <v>4542.51</v>
      </c>
      <c r="H209" s="12"/>
      <c r="I209" s="482"/>
      <c r="J209" s="479"/>
      <c r="K209" s="12">
        <f>'Total June'!K787</f>
        <v>34540</v>
      </c>
      <c r="L209" s="12">
        <f>'Total June'!L787</f>
        <v>7</v>
      </c>
      <c r="M209" s="12">
        <f>'Total June'!O787</f>
        <v>30170</v>
      </c>
      <c r="N209" s="12">
        <f>'Total June'!P787</f>
        <v>30422</v>
      </c>
      <c r="O209" s="194">
        <f>'Total June'!T787</f>
        <v>35709</v>
      </c>
      <c r="P209" s="194"/>
      <c r="Q209" s="119"/>
    </row>
    <row r="210" spans="1:20" ht="15.75" customHeight="1">
      <c r="A210" s="451"/>
      <c r="B210" s="439"/>
      <c r="C210" s="471"/>
      <c r="D210" s="118" t="s">
        <v>291</v>
      </c>
      <c r="E210" s="441"/>
      <c r="F210" s="119" t="s">
        <v>57</v>
      </c>
      <c r="G210" s="47"/>
      <c r="H210" s="12"/>
      <c r="I210" s="482"/>
      <c r="J210" s="479"/>
      <c r="K210" s="12"/>
      <c r="L210" s="12"/>
      <c r="M210" s="12">
        <f>'Total June'!O788</f>
        <v>4830</v>
      </c>
      <c r="N210" s="12">
        <f>'Total June'!P788</f>
        <v>3512</v>
      </c>
      <c r="O210" s="194">
        <f>'Total June'!T788</f>
        <v>10551</v>
      </c>
      <c r="P210" s="194"/>
      <c r="Q210" s="119"/>
    </row>
    <row r="211" spans="1:20" ht="15.75" customHeight="1">
      <c r="A211" s="451"/>
      <c r="B211" s="439"/>
      <c r="C211" s="471"/>
      <c r="D211" s="48" t="s">
        <v>94</v>
      </c>
      <c r="E211" s="425"/>
      <c r="F211" s="119"/>
      <c r="G211" s="47"/>
      <c r="H211" s="12">
        <f>'Total June'!H789</f>
        <v>5022</v>
      </c>
      <c r="I211" s="482"/>
      <c r="J211" s="479"/>
      <c r="K211" s="12"/>
      <c r="L211" s="12"/>
      <c r="M211" s="12"/>
      <c r="N211" s="12"/>
      <c r="O211" s="117"/>
      <c r="P211" s="117"/>
      <c r="Q211" s="119"/>
      <c r="S211" s="13"/>
      <c r="T211" s="13"/>
    </row>
    <row r="212" spans="1:20" ht="20.25" customHeight="1">
      <c r="A212" s="451"/>
      <c r="B212" s="439"/>
      <c r="C212" s="471"/>
      <c r="D212" s="118" t="s">
        <v>72</v>
      </c>
      <c r="E212" s="118" t="s">
        <v>24</v>
      </c>
      <c r="F212" s="119" t="s">
        <v>57</v>
      </c>
      <c r="G212" s="31">
        <f>'Total June'!G790</f>
        <v>1521.94</v>
      </c>
      <c r="H212" s="119"/>
      <c r="I212" s="482"/>
      <c r="J212" s="479"/>
      <c r="K212" s="12">
        <f>'Total June'!K790</f>
        <v>10000</v>
      </c>
      <c r="L212" s="12">
        <f>'Total June'!L790</f>
        <v>2</v>
      </c>
      <c r="M212" s="12">
        <f>'Total June'!O790</f>
        <v>26732</v>
      </c>
      <c r="N212" s="12">
        <f>'Total June'!P790</f>
        <v>23795</v>
      </c>
      <c r="O212" s="194">
        <f>'Total June'!T790</f>
        <v>6966</v>
      </c>
      <c r="P212" s="194"/>
      <c r="Q212" s="119"/>
    </row>
    <row r="213" spans="1:20" ht="15" customHeight="1">
      <c r="A213" s="451"/>
      <c r="B213" s="439"/>
      <c r="C213" s="471"/>
      <c r="D213" s="115" t="s">
        <v>79</v>
      </c>
      <c r="E213" s="114" t="s">
        <v>65</v>
      </c>
      <c r="F213" s="119" t="s">
        <v>57</v>
      </c>
      <c r="G213" s="47"/>
      <c r="H213" s="119"/>
      <c r="I213" s="482"/>
      <c r="J213" s="479"/>
      <c r="K213" s="12"/>
      <c r="L213" s="12"/>
      <c r="M213" s="12">
        <f>'Total June'!O792</f>
        <v>4823</v>
      </c>
      <c r="N213" s="12">
        <f>'Total June'!P792</f>
        <v>1305</v>
      </c>
      <c r="O213" s="117">
        <f>'Total June'!T792</f>
        <v>50</v>
      </c>
      <c r="P213" s="117"/>
      <c r="Q213" s="119"/>
    </row>
    <row r="214" spans="1:20" ht="15" customHeight="1">
      <c r="A214" s="451"/>
      <c r="B214" s="439"/>
      <c r="C214" s="471"/>
      <c r="D214" s="118" t="s">
        <v>73</v>
      </c>
      <c r="E214" s="118" t="s">
        <v>24</v>
      </c>
      <c r="F214" s="119"/>
      <c r="G214" s="12"/>
      <c r="H214" s="12">
        <f>'Total June'!H791</f>
        <v>2046</v>
      </c>
      <c r="I214" s="482"/>
      <c r="J214" s="479"/>
      <c r="K214" s="12"/>
      <c r="L214" s="12"/>
      <c r="M214" s="12"/>
      <c r="N214" s="12"/>
      <c r="O214" s="12"/>
      <c r="P214" s="12"/>
      <c r="Q214" s="119"/>
    </row>
    <row r="215" spans="1:20" ht="15" customHeight="1">
      <c r="A215" s="451"/>
      <c r="B215" s="439"/>
      <c r="C215" s="471"/>
      <c r="D215" s="115" t="s">
        <v>80</v>
      </c>
      <c r="E215" s="424" t="s">
        <v>65</v>
      </c>
      <c r="F215" s="119"/>
      <c r="G215" s="119"/>
      <c r="H215" s="31">
        <f>'Total June'!H793</f>
        <v>372.8</v>
      </c>
      <c r="I215" s="482"/>
      <c r="J215" s="479"/>
      <c r="K215" s="12"/>
      <c r="L215" s="12"/>
      <c r="M215" s="12"/>
      <c r="N215" s="12"/>
      <c r="O215" s="117"/>
      <c r="P215" s="117"/>
      <c r="Q215" s="119"/>
    </row>
    <row r="216" spans="1:20" s="4" customFormat="1" ht="15" customHeight="1">
      <c r="A216" s="451"/>
      <c r="B216" s="439"/>
      <c r="C216" s="471"/>
      <c r="D216" s="43" t="s">
        <v>443</v>
      </c>
      <c r="E216" s="441"/>
      <c r="F216" s="122" t="s">
        <v>57</v>
      </c>
      <c r="G216" s="196">
        <f>'Total June'!G794</f>
        <v>77.650000000000006</v>
      </c>
      <c r="H216" s="218"/>
      <c r="I216" s="482"/>
      <c r="J216" s="479"/>
      <c r="K216" s="183">
        <f>'Total June'!K794</f>
        <v>1000</v>
      </c>
      <c r="L216" s="183">
        <f>'Total June'!L794</f>
        <v>1</v>
      </c>
      <c r="M216" s="183">
        <f>'Total June'!O794</f>
        <v>948</v>
      </c>
      <c r="N216" s="183">
        <f>'Total June'!P794</f>
        <v>948</v>
      </c>
      <c r="O216" s="194">
        <f>'Total June'!T794</f>
        <v>948</v>
      </c>
      <c r="P216" s="194"/>
      <c r="Q216" s="122"/>
    </row>
    <row r="217" spans="1:20" ht="15" customHeight="1">
      <c r="A217" s="451"/>
      <c r="B217" s="439"/>
      <c r="C217" s="471"/>
      <c r="D217" s="115" t="s">
        <v>444</v>
      </c>
      <c r="E217" s="425"/>
      <c r="F217" s="119"/>
      <c r="G217" s="119"/>
      <c r="H217" s="31">
        <f>'Total June'!H795</f>
        <v>98.7</v>
      </c>
      <c r="I217" s="482"/>
      <c r="J217" s="479"/>
      <c r="K217" s="12"/>
      <c r="L217" s="12"/>
      <c r="M217" s="12"/>
      <c r="N217" s="12"/>
      <c r="O217" s="117"/>
      <c r="P217" s="117"/>
      <c r="Q217" s="119"/>
    </row>
    <row r="218" spans="1:20" ht="15" customHeight="1">
      <c r="A218" s="451"/>
      <c r="B218" s="439"/>
      <c r="C218" s="471"/>
      <c r="D218" s="115" t="s">
        <v>42</v>
      </c>
      <c r="E218" s="424" t="s">
        <v>25</v>
      </c>
      <c r="F218" s="119"/>
      <c r="G218" s="119"/>
      <c r="H218" s="12"/>
      <c r="I218" s="482"/>
      <c r="J218" s="479"/>
      <c r="K218" s="12"/>
      <c r="L218" s="12"/>
      <c r="M218" s="12"/>
      <c r="N218" s="12"/>
      <c r="O218" s="117"/>
      <c r="P218" s="117"/>
      <c r="Q218" s="119"/>
    </row>
    <row r="219" spans="1:20" ht="16.5" customHeight="1">
      <c r="A219" s="451"/>
      <c r="B219" s="439"/>
      <c r="C219" s="448" t="s">
        <v>300</v>
      </c>
      <c r="D219" s="115" t="s">
        <v>296</v>
      </c>
      <c r="E219" s="441"/>
      <c r="F219" s="119" t="s">
        <v>298</v>
      </c>
      <c r="G219" s="119"/>
      <c r="H219" s="117"/>
      <c r="I219" s="482"/>
      <c r="J219" s="479"/>
      <c r="K219" s="12"/>
      <c r="L219" s="12"/>
      <c r="M219" s="12">
        <f>'Total June'!O797</f>
        <v>949</v>
      </c>
      <c r="N219" s="12">
        <f>'Total June'!P797</f>
        <v>221</v>
      </c>
      <c r="O219" s="117">
        <f>'Total June'!T797</f>
        <v>3848</v>
      </c>
      <c r="P219" s="117"/>
      <c r="Q219" s="119"/>
    </row>
    <row r="220" spans="1:20" ht="15.75" customHeight="1">
      <c r="A220" s="451"/>
      <c r="B220" s="443"/>
      <c r="C220" s="449"/>
      <c r="D220" s="43" t="s">
        <v>75</v>
      </c>
      <c r="E220" s="425"/>
      <c r="F220" s="119" t="s">
        <v>298</v>
      </c>
      <c r="G220" s="47">
        <f>'Total June'!G12</f>
        <v>652.08000000000004</v>
      </c>
      <c r="H220" s="117"/>
      <c r="I220" s="482"/>
      <c r="J220" s="479"/>
      <c r="K220" s="12">
        <f>'Total June'!K798</f>
        <v>15000</v>
      </c>
      <c r="L220" s="12">
        <f>'Total June'!L798</f>
        <v>3</v>
      </c>
      <c r="M220" s="12">
        <f>'Total June'!O798</f>
        <v>11654</v>
      </c>
      <c r="N220" s="12">
        <f>'Total June'!P798</f>
        <v>12778</v>
      </c>
      <c r="O220" s="117"/>
      <c r="P220" s="117"/>
      <c r="Q220" s="119"/>
    </row>
    <row r="221" spans="1:20" ht="20.25" customHeight="1">
      <c r="A221" s="451"/>
      <c r="B221" s="442" t="s">
        <v>53</v>
      </c>
      <c r="C221" s="444" t="s">
        <v>60</v>
      </c>
      <c r="D221" s="43" t="s">
        <v>320</v>
      </c>
      <c r="E221" s="448" t="s">
        <v>66</v>
      </c>
      <c r="F221" s="118" t="s">
        <v>54</v>
      </c>
      <c r="G221" s="12"/>
      <c r="H221" s="113"/>
      <c r="I221" s="482"/>
      <c r="J221" s="479"/>
      <c r="K221" s="12">
        <f>'Total June'!K799</f>
        <v>12000</v>
      </c>
      <c r="L221" s="12">
        <f>'Total June'!L799</f>
        <v>2</v>
      </c>
      <c r="M221" s="12">
        <f>'Total June'!O799</f>
        <v>55950</v>
      </c>
      <c r="N221" s="12">
        <f>'Total June'!P799</f>
        <v>51078</v>
      </c>
      <c r="O221" s="117">
        <f>'Total June'!T799</f>
        <v>13750</v>
      </c>
      <c r="P221" s="117"/>
      <c r="Q221" s="119"/>
    </row>
    <row r="222" spans="1:20" ht="15" customHeight="1">
      <c r="A222" s="451"/>
      <c r="B222" s="439"/>
      <c r="C222" s="445"/>
      <c r="D222" s="43" t="s">
        <v>387</v>
      </c>
      <c r="E222" s="449"/>
      <c r="F222" s="118" t="s">
        <v>54</v>
      </c>
      <c r="G222" s="12">
        <f>'Total June'!G14</f>
        <v>2473.66</v>
      </c>
      <c r="H222" s="207"/>
      <c r="I222" s="482"/>
      <c r="J222" s="479"/>
      <c r="K222" s="12">
        <f>'Total June'!K800</f>
        <v>6000</v>
      </c>
      <c r="L222" s="12">
        <f>'Total June'!L800</f>
        <v>1</v>
      </c>
      <c r="M222" s="12">
        <f>'Total June'!O800</f>
        <v>666</v>
      </c>
      <c r="N222" s="117">
        <f>'Total June'!P800</f>
        <v>666</v>
      </c>
      <c r="O222" s="117"/>
      <c r="P222" s="117"/>
      <c r="Q222" s="119"/>
    </row>
    <row r="223" spans="1:20" ht="15" customHeight="1">
      <c r="A223" s="451"/>
      <c r="B223" s="443"/>
      <c r="C223" s="446"/>
      <c r="D223" s="48" t="s">
        <v>324</v>
      </c>
      <c r="E223" s="113" t="s">
        <v>65</v>
      </c>
      <c r="F223" s="119"/>
      <c r="G223" s="47"/>
      <c r="H223" s="12">
        <f>'Total June'!H803</f>
        <v>612</v>
      </c>
      <c r="I223" s="482"/>
      <c r="J223" s="479"/>
      <c r="K223" s="12"/>
      <c r="L223" s="12"/>
      <c r="M223" s="12"/>
      <c r="N223" s="117"/>
      <c r="O223" s="117"/>
      <c r="P223" s="117"/>
      <c r="Q223" s="119"/>
    </row>
    <row r="224" spans="1:20" ht="18.75" customHeight="1">
      <c r="A224" s="451"/>
      <c r="B224" s="442" t="s">
        <v>55</v>
      </c>
      <c r="C224" s="444" t="s">
        <v>133</v>
      </c>
      <c r="D224" s="43" t="s">
        <v>56</v>
      </c>
      <c r="E224" s="430" t="s">
        <v>25</v>
      </c>
      <c r="F224" s="48" t="s">
        <v>67</v>
      </c>
      <c r="G224" s="196">
        <f>'Total June'!G804</f>
        <v>346.64</v>
      </c>
      <c r="H224" s="31"/>
      <c r="I224" s="482"/>
      <c r="J224" s="479"/>
      <c r="K224" s="183"/>
      <c r="L224" s="183"/>
      <c r="M224" s="183">
        <f>'Total June'!O804</f>
        <v>5422</v>
      </c>
      <c r="N224" s="183">
        <f>'Total June'!P804</f>
        <v>5076</v>
      </c>
      <c r="O224" s="183">
        <f>'Total June'!T804</f>
        <v>1948</v>
      </c>
      <c r="P224" s="183"/>
      <c r="Q224" s="2"/>
      <c r="S224" s="13"/>
    </row>
    <row r="225" spans="1:20" ht="18.75" customHeight="1">
      <c r="A225" s="451"/>
      <c r="B225" s="443"/>
      <c r="C225" s="446"/>
      <c r="D225" s="43" t="s">
        <v>68</v>
      </c>
      <c r="E225" s="430"/>
      <c r="F225" s="48"/>
      <c r="G225" s="47"/>
      <c r="H225" s="117">
        <f>'Total June'!H805</f>
        <v>900</v>
      </c>
      <c r="I225" s="482"/>
      <c r="J225" s="479"/>
      <c r="K225" s="12"/>
      <c r="L225" s="12"/>
      <c r="M225" s="12"/>
      <c r="N225" s="12"/>
      <c r="O225" s="117"/>
      <c r="P225" s="117"/>
      <c r="Q225" s="2"/>
      <c r="S225" s="13"/>
      <c r="T225" s="13"/>
    </row>
    <row r="226" spans="1:20" ht="18.75" customHeight="1">
      <c r="A226" s="451"/>
      <c r="B226" s="442" t="s">
        <v>122</v>
      </c>
      <c r="C226" s="444" t="s">
        <v>123</v>
      </c>
      <c r="D226" s="48" t="s">
        <v>56</v>
      </c>
      <c r="E226" s="430"/>
      <c r="F226" s="48" t="s">
        <v>64</v>
      </c>
      <c r="G226" s="218"/>
      <c r="H226" s="12"/>
      <c r="I226" s="482"/>
      <c r="J226" s="479"/>
      <c r="K226" s="183"/>
      <c r="L226" s="183"/>
      <c r="M226" s="183"/>
      <c r="N226" s="183"/>
      <c r="O226" s="12"/>
      <c r="P226" s="117"/>
      <c r="Q226" s="2"/>
      <c r="S226" s="13"/>
    </row>
    <row r="227" spans="1:20" ht="18.75" customHeight="1">
      <c r="A227" s="451"/>
      <c r="B227" s="443"/>
      <c r="C227" s="446"/>
      <c r="D227" s="48" t="s">
        <v>129</v>
      </c>
      <c r="E227" s="430"/>
      <c r="F227" s="48"/>
      <c r="G227" s="31"/>
      <c r="H227" s="12"/>
      <c r="I227" s="482"/>
      <c r="J227" s="479"/>
      <c r="K227" s="117"/>
      <c r="L227" s="117"/>
      <c r="M227" s="12"/>
      <c r="N227" s="12"/>
      <c r="O227" s="117"/>
      <c r="P227" s="117"/>
      <c r="Q227" s="2"/>
      <c r="S227" s="13"/>
    </row>
    <row r="228" spans="1:20" s="4" customFormat="1" ht="15.75" customHeight="1">
      <c r="A228" s="451"/>
      <c r="B228" s="442" t="s">
        <v>58</v>
      </c>
      <c r="C228" s="444" t="s">
        <v>243</v>
      </c>
      <c r="D228" s="48" t="s">
        <v>56</v>
      </c>
      <c r="E228" s="430"/>
      <c r="F228" s="59" t="s">
        <v>64</v>
      </c>
      <c r="G228" s="183"/>
      <c r="H228" s="193"/>
      <c r="I228" s="482"/>
      <c r="J228" s="479"/>
      <c r="K228" s="183"/>
      <c r="L228" s="183"/>
      <c r="M228" s="183"/>
      <c r="N228" s="183"/>
      <c r="O228" s="194"/>
      <c r="P228" s="191"/>
      <c r="Q228" s="122"/>
    </row>
    <row r="229" spans="1:20" ht="15.75" customHeight="1">
      <c r="A229" s="451"/>
      <c r="B229" s="443"/>
      <c r="C229" s="446"/>
      <c r="D229" s="48" t="s">
        <v>92</v>
      </c>
      <c r="E229" s="430"/>
      <c r="F229" s="59"/>
      <c r="G229" s="116"/>
      <c r="H229" s="116"/>
      <c r="I229" s="482"/>
      <c r="J229" s="479"/>
      <c r="K229" s="31"/>
      <c r="L229" s="31"/>
      <c r="M229" s="12"/>
      <c r="N229" s="12"/>
      <c r="O229" s="117"/>
      <c r="P229" s="116"/>
      <c r="Q229" s="119"/>
      <c r="T229" s="13"/>
    </row>
    <row r="230" spans="1:20" s="4" customFormat="1" ht="15.75" customHeight="1">
      <c r="A230" s="451"/>
      <c r="B230" s="122" t="s">
        <v>61</v>
      </c>
      <c r="C230" s="180" t="s">
        <v>137</v>
      </c>
      <c r="D230" s="48" t="s">
        <v>56</v>
      </c>
      <c r="E230" s="430"/>
      <c r="F230" s="59" t="s">
        <v>67</v>
      </c>
      <c r="G230" s="183"/>
      <c r="H230" s="191"/>
      <c r="I230" s="482"/>
      <c r="J230" s="479"/>
      <c r="K230" s="183"/>
      <c r="L230" s="183"/>
      <c r="M230" s="183"/>
      <c r="N230" s="183"/>
      <c r="O230" s="183"/>
      <c r="P230" s="183"/>
      <c r="Q230" s="122"/>
    </row>
    <row r="231" spans="1:20" ht="18.75" customHeight="1">
      <c r="A231" s="451"/>
      <c r="B231" s="122" t="s">
        <v>125</v>
      </c>
      <c r="C231" s="180" t="s">
        <v>88</v>
      </c>
      <c r="D231" s="48" t="s">
        <v>124</v>
      </c>
      <c r="E231" s="430"/>
      <c r="F231" s="48" t="s">
        <v>64</v>
      </c>
      <c r="G231" s="31"/>
      <c r="H231" s="116"/>
      <c r="I231" s="482"/>
      <c r="J231" s="479"/>
      <c r="K231" s="12"/>
      <c r="L231" s="12"/>
      <c r="M231" s="12"/>
      <c r="N231" s="12"/>
      <c r="O231" s="117"/>
      <c r="P231" s="117"/>
      <c r="Q231" s="2"/>
      <c r="S231" s="13"/>
    </row>
    <row r="232" spans="1:20" ht="18.75" customHeight="1">
      <c r="A232" s="451"/>
      <c r="B232" s="122" t="s">
        <v>463</v>
      </c>
      <c r="C232" s="180" t="s">
        <v>464</v>
      </c>
      <c r="D232" s="48" t="s">
        <v>246</v>
      </c>
      <c r="E232" s="430"/>
      <c r="F232" s="48" t="s">
        <v>64</v>
      </c>
      <c r="G232" s="47">
        <v>281.06</v>
      </c>
      <c r="H232" s="116"/>
      <c r="I232" s="482"/>
      <c r="J232" s="479"/>
      <c r="K232" s="116"/>
      <c r="L232" s="116"/>
      <c r="M232" s="12"/>
      <c r="N232" s="12"/>
      <c r="O232" s="117"/>
      <c r="P232" s="117"/>
      <c r="Q232" s="2"/>
      <c r="S232" s="13"/>
    </row>
    <row r="233" spans="1:20" ht="15.75" customHeight="1">
      <c r="A233" s="451"/>
      <c r="B233" s="122" t="s">
        <v>101</v>
      </c>
      <c r="C233" s="180" t="s">
        <v>327</v>
      </c>
      <c r="D233" s="48" t="s">
        <v>102</v>
      </c>
      <c r="E233" s="430"/>
      <c r="F233" s="48" t="s">
        <v>64</v>
      </c>
      <c r="G233" s="12"/>
      <c r="H233" s="12">
        <f>'Total June'!H828</f>
        <v>1606.5</v>
      </c>
      <c r="I233" s="482"/>
      <c r="J233" s="479"/>
      <c r="K233" s="116">
        <f>'Total June'!K828</f>
        <v>14000</v>
      </c>
      <c r="L233" s="116">
        <f>'Total June'!L828</f>
        <v>2</v>
      </c>
      <c r="M233" s="12">
        <f>'Total June'!O828</f>
        <v>36600</v>
      </c>
      <c r="N233" s="12">
        <f>'Total June'!P828</f>
        <v>35039</v>
      </c>
      <c r="O233" s="12">
        <f>'Total June'!T828</f>
        <v>41102</v>
      </c>
      <c r="P233" s="12">
        <f>'Total June'!U828</f>
        <v>25</v>
      </c>
      <c r="Q233" s="119"/>
      <c r="S233" s="13"/>
    </row>
    <row r="234" spans="1:20" s="4" customFormat="1" ht="15.75" customHeight="1">
      <c r="A234" s="451"/>
      <c r="B234" s="295" t="s">
        <v>366</v>
      </c>
      <c r="C234" s="296" t="s">
        <v>367</v>
      </c>
      <c r="D234" s="297" t="s">
        <v>132</v>
      </c>
      <c r="E234" s="430"/>
      <c r="F234" s="48" t="s">
        <v>64</v>
      </c>
      <c r="G234" s="183">
        <f>'Total June'!G827</f>
        <v>857.66</v>
      </c>
      <c r="H234" s="183">
        <f>'Total June'!H827</f>
        <v>786.90000000000009</v>
      </c>
      <c r="I234" s="482"/>
      <c r="J234" s="479"/>
      <c r="K234" s="191">
        <f>'Total June'!K827</f>
        <v>10000</v>
      </c>
      <c r="L234" s="191">
        <f>'Total June'!L827</f>
        <v>2</v>
      </c>
      <c r="M234" s="183">
        <f>'Total June'!O827</f>
        <v>6725</v>
      </c>
      <c r="N234" s="183">
        <f>'Total June'!P827</f>
        <v>7489</v>
      </c>
      <c r="O234" s="194">
        <f>'Total June'!T827</f>
        <v>0</v>
      </c>
      <c r="P234" s="183"/>
      <c r="Q234" s="122"/>
      <c r="S234" s="219"/>
    </row>
    <row r="235" spans="1:20" ht="15.75" customHeight="1">
      <c r="A235" s="451"/>
      <c r="B235" s="122" t="s">
        <v>363</v>
      </c>
      <c r="C235" s="180" t="s">
        <v>364</v>
      </c>
      <c r="D235" s="48" t="s">
        <v>328</v>
      </c>
      <c r="E235" s="430"/>
      <c r="F235" s="48" t="s">
        <v>48</v>
      </c>
      <c r="G235" s="12"/>
      <c r="H235" s="12">
        <f>'Total June'!H819</f>
        <v>864</v>
      </c>
      <c r="I235" s="482"/>
      <c r="J235" s="479"/>
      <c r="K235" s="116"/>
      <c r="L235" s="116"/>
      <c r="M235" s="12">
        <f>'Total June'!O819</f>
        <v>8016</v>
      </c>
      <c r="N235" s="12">
        <f>'Total June'!P819</f>
        <v>7259</v>
      </c>
      <c r="O235" s="117"/>
      <c r="P235" s="12"/>
      <c r="Q235" s="119"/>
      <c r="S235" s="13"/>
    </row>
    <row r="236" spans="1:20" s="4" customFormat="1" ht="15.75" customHeight="1">
      <c r="A236" s="451"/>
      <c r="B236" s="122" t="s">
        <v>375</v>
      </c>
      <c r="C236" s="157" t="s">
        <v>376</v>
      </c>
      <c r="D236" s="48" t="s">
        <v>248</v>
      </c>
      <c r="E236" s="430"/>
      <c r="F236" s="48" t="s">
        <v>64</v>
      </c>
      <c r="G236" s="183"/>
      <c r="H236" s="218"/>
      <c r="I236" s="482"/>
      <c r="J236" s="479"/>
      <c r="K236" s="191"/>
      <c r="L236" s="191"/>
      <c r="M236" s="183">
        <f>'Total June'!O829</f>
        <v>3764</v>
      </c>
      <c r="N236" s="183">
        <f>'Total June'!P829</f>
        <v>1826</v>
      </c>
      <c r="O236" s="183">
        <f>'Total June'!T829</f>
        <v>4784</v>
      </c>
      <c r="P236" s="183">
        <f>'Total June'!U829</f>
        <v>6</v>
      </c>
      <c r="Q236" s="122"/>
      <c r="S236" s="219"/>
    </row>
    <row r="237" spans="1:20" s="4" customFormat="1" ht="15.75" customHeight="1">
      <c r="A237" s="451"/>
      <c r="B237" s="122" t="s">
        <v>421</v>
      </c>
      <c r="C237" s="157" t="s">
        <v>420</v>
      </c>
      <c r="D237" s="48" t="s">
        <v>248</v>
      </c>
      <c r="E237" s="430"/>
      <c r="F237" s="48" t="s">
        <v>64</v>
      </c>
      <c r="G237" s="294">
        <f>'Total June'!G830</f>
        <v>16632.829999999998</v>
      </c>
      <c r="H237" s="183">
        <f>'Total June'!H830</f>
        <v>8124</v>
      </c>
      <c r="I237" s="482"/>
      <c r="J237" s="479"/>
      <c r="K237" s="191">
        <f>'Total June'!K830</f>
        <v>131250</v>
      </c>
      <c r="L237" s="191">
        <f>'Total June'!L830</f>
        <v>33</v>
      </c>
      <c r="M237" s="183">
        <f>'Total June'!O830</f>
        <v>70251</v>
      </c>
      <c r="N237" s="183">
        <f>'Total June'!P830</f>
        <v>75856</v>
      </c>
      <c r="O237" s="194">
        <f>'Total June'!T830</f>
        <v>12394</v>
      </c>
      <c r="P237" s="183"/>
      <c r="Q237" s="122"/>
      <c r="S237" s="219"/>
    </row>
    <row r="238" spans="1:20" s="4" customFormat="1" ht="15.75" customHeight="1">
      <c r="A238" s="451"/>
      <c r="B238" s="442" t="s">
        <v>47</v>
      </c>
      <c r="C238" s="444" t="s">
        <v>100</v>
      </c>
      <c r="D238" s="48" t="s">
        <v>99</v>
      </c>
      <c r="E238" s="430"/>
      <c r="F238" s="48" t="s">
        <v>71</v>
      </c>
      <c r="G238" s="294"/>
      <c r="H238" s="218"/>
      <c r="I238" s="482"/>
      <c r="J238" s="479"/>
      <c r="K238" s="183"/>
      <c r="L238" s="183"/>
      <c r="M238" s="183">
        <f>'Total June'!O813</f>
        <v>7582</v>
      </c>
      <c r="N238" s="183">
        <f>'Total June'!P813</f>
        <v>4946</v>
      </c>
      <c r="O238" s="194">
        <f>'Total June'!T813</f>
        <v>55478</v>
      </c>
      <c r="P238" s="183">
        <f>'Total June'!U813</f>
        <v>81</v>
      </c>
      <c r="Q238" s="122"/>
    </row>
    <row r="239" spans="1:20" s="4" customFormat="1" ht="15.75" customHeight="1">
      <c r="A239" s="451"/>
      <c r="B239" s="439"/>
      <c r="C239" s="445"/>
      <c r="D239" s="48" t="s">
        <v>458</v>
      </c>
      <c r="E239" s="430"/>
      <c r="F239" s="48" t="s">
        <v>71</v>
      </c>
      <c r="G239" s="294">
        <f>'Total June'!G814</f>
        <v>2002.02</v>
      </c>
      <c r="H239" s="218"/>
      <c r="I239" s="482"/>
      <c r="J239" s="479"/>
      <c r="K239" s="183">
        <f>'Total June'!K814</f>
        <v>30500</v>
      </c>
      <c r="L239" s="183">
        <f>'Total June'!L814</f>
        <v>6</v>
      </c>
      <c r="M239" s="183">
        <f>'Total June'!O814</f>
        <v>0</v>
      </c>
      <c r="N239" s="183">
        <f>'Total June'!P814</f>
        <v>4023</v>
      </c>
      <c r="O239" s="194">
        <f>'Total June'!T814</f>
        <v>0</v>
      </c>
      <c r="P239" s="191"/>
      <c r="Q239" s="122"/>
    </row>
    <row r="240" spans="1:20" s="4" customFormat="1" ht="15.75" customHeight="1">
      <c r="A240" s="451"/>
      <c r="B240" s="443"/>
      <c r="C240" s="446"/>
      <c r="D240" s="89" t="s">
        <v>121</v>
      </c>
      <c r="E240" s="430"/>
      <c r="F240" s="48"/>
      <c r="G240" s="278"/>
      <c r="H240" s="221">
        <f>'Total June'!H815</f>
        <v>918</v>
      </c>
      <c r="I240" s="482"/>
      <c r="J240" s="479"/>
      <c r="K240" s="183"/>
      <c r="L240" s="183"/>
      <c r="M240" s="183"/>
      <c r="N240" s="183"/>
      <c r="O240" s="194"/>
      <c r="P240" s="191"/>
      <c r="Q240" s="122"/>
    </row>
    <row r="241" spans="1:19" s="4" customFormat="1" ht="15.75" customHeight="1">
      <c r="A241" s="451"/>
      <c r="B241" s="442" t="s">
        <v>47</v>
      </c>
      <c r="C241" s="444" t="s">
        <v>457</v>
      </c>
      <c r="D241" s="59" t="s">
        <v>458</v>
      </c>
      <c r="E241" s="430"/>
      <c r="F241" s="48" t="s">
        <v>459</v>
      </c>
      <c r="G241" s="194">
        <f>'Total June'!G816</f>
        <v>180</v>
      </c>
      <c r="H241" s="183"/>
      <c r="I241" s="482"/>
      <c r="J241" s="479"/>
      <c r="K241" s="183">
        <f>'Total June'!K816</f>
        <v>2000</v>
      </c>
      <c r="L241" s="183">
        <f>'Total June'!L816</f>
        <v>1</v>
      </c>
      <c r="M241" s="183">
        <f>'Total June'!O816</f>
        <v>843</v>
      </c>
      <c r="N241" s="183">
        <f>'Total June'!P816</f>
        <v>1028</v>
      </c>
      <c r="O241" s="194">
        <f>'Total June'!T816</f>
        <v>843</v>
      </c>
      <c r="P241" s="191"/>
      <c r="Q241" s="122"/>
    </row>
    <row r="242" spans="1:19" s="4" customFormat="1" ht="15.75" customHeight="1">
      <c r="A242" s="451"/>
      <c r="B242" s="439"/>
      <c r="C242" s="445"/>
      <c r="D242" s="59" t="s">
        <v>460</v>
      </c>
      <c r="E242" s="430"/>
      <c r="F242" s="48"/>
      <c r="G242" s="278"/>
      <c r="H242" s="218">
        <f>'Total June'!H817</f>
        <v>122.4</v>
      </c>
      <c r="I242" s="482"/>
      <c r="J242" s="479"/>
      <c r="K242" s="183"/>
      <c r="L242" s="183"/>
      <c r="M242" s="183"/>
      <c r="N242" s="183"/>
      <c r="O242" s="194"/>
      <c r="P242" s="191"/>
      <c r="Q242" s="122"/>
    </row>
    <row r="243" spans="1:19" s="4" customFormat="1" ht="15.75" customHeight="1">
      <c r="A243" s="451"/>
      <c r="B243" s="122" t="s">
        <v>134</v>
      </c>
      <c r="C243" s="180" t="s">
        <v>63</v>
      </c>
      <c r="D243" s="48" t="s">
        <v>135</v>
      </c>
      <c r="E243" s="430"/>
      <c r="F243" s="59" t="s">
        <v>64</v>
      </c>
      <c r="G243" s="196"/>
      <c r="H243" s="193">
        <f>'Total June'!H818</f>
        <v>535.5</v>
      </c>
      <c r="I243" s="482"/>
      <c r="J243" s="479"/>
      <c r="K243" s="183"/>
      <c r="L243" s="183"/>
      <c r="M243" s="183">
        <f>'Total June'!O818</f>
        <v>22465</v>
      </c>
      <c r="N243" s="183">
        <f>'Total June'!P818</f>
        <v>22090</v>
      </c>
      <c r="O243" s="194"/>
      <c r="P243" s="191"/>
      <c r="Q243" s="122"/>
    </row>
    <row r="244" spans="1:19" s="4" customFormat="1" ht="28.5" customHeight="1">
      <c r="A244" s="451"/>
      <c r="B244" s="122" t="s">
        <v>253</v>
      </c>
      <c r="C244" s="180" t="s">
        <v>365</v>
      </c>
      <c r="D244" s="48" t="s">
        <v>246</v>
      </c>
      <c r="E244" s="430"/>
      <c r="F244" s="59" t="s">
        <v>247</v>
      </c>
      <c r="G244" s="280"/>
      <c r="H244" s="280">
        <f>'Total June'!H826</f>
        <v>297.36</v>
      </c>
      <c r="I244" s="482"/>
      <c r="J244" s="479"/>
      <c r="K244" s="183"/>
      <c r="L244" s="183"/>
      <c r="M244" s="183">
        <f>'Total June'!O826</f>
        <v>1534</v>
      </c>
      <c r="N244" s="183">
        <f>'Total June'!P826</f>
        <v>4859</v>
      </c>
      <c r="O244" s="194">
        <f>'Total June'!T826</f>
        <v>6260</v>
      </c>
      <c r="P244" s="191"/>
      <c r="Q244" s="122"/>
    </row>
    <row r="245" spans="1:19" s="4" customFormat="1" ht="15.75" customHeight="1">
      <c r="A245" s="451"/>
      <c r="B245" s="442" t="s">
        <v>289</v>
      </c>
      <c r="C245" s="444" t="s">
        <v>290</v>
      </c>
      <c r="D245" s="48" t="s">
        <v>75</v>
      </c>
      <c r="E245" s="430"/>
      <c r="F245" s="59" t="s">
        <v>381</v>
      </c>
      <c r="G245" s="280"/>
      <c r="H245" s="191"/>
      <c r="I245" s="482"/>
      <c r="J245" s="479"/>
      <c r="K245" s="183"/>
      <c r="L245" s="183"/>
      <c r="M245" s="183">
        <f>'Total June'!O820</f>
        <v>607</v>
      </c>
      <c r="N245" s="183">
        <f>'Total June'!P820</f>
        <v>76</v>
      </c>
      <c r="O245" s="194">
        <f>'Total June'!T820</f>
        <v>607</v>
      </c>
      <c r="P245" s="191"/>
      <c r="Q245" s="122"/>
    </row>
    <row r="246" spans="1:19" s="4" customFormat="1" ht="15.75" customHeight="1">
      <c r="A246" s="451"/>
      <c r="B246" s="439"/>
      <c r="C246" s="445"/>
      <c r="D246" s="48" t="s">
        <v>432</v>
      </c>
      <c r="E246" s="430"/>
      <c r="F246" s="59" t="s">
        <v>381</v>
      </c>
      <c r="G246" s="280">
        <f>'Total June'!G821</f>
        <v>167.88</v>
      </c>
      <c r="H246" s="191"/>
      <c r="I246" s="482"/>
      <c r="J246" s="479"/>
      <c r="K246" s="183">
        <f>'Total June'!K821</f>
        <v>4000</v>
      </c>
      <c r="L246" s="183">
        <f>'Total June'!L821</f>
        <v>2</v>
      </c>
      <c r="M246" s="183">
        <f>'Total June'!O821</f>
        <v>3752</v>
      </c>
      <c r="N246" s="183">
        <f>'Total June'!P821</f>
        <v>3752</v>
      </c>
      <c r="O246" s="194">
        <f>'Total June'!T821</f>
        <v>3752</v>
      </c>
      <c r="P246" s="191"/>
      <c r="Q246" s="122"/>
    </row>
    <row r="247" spans="1:19" s="4" customFormat="1" ht="15.75" customHeight="1">
      <c r="A247" s="451"/>
      <c r="B247" s="439"/>
      <c r="C247" s="445"/>
      <c r="D247" s="48" t="s">
        <v>432</v>
      </c>
      <c r="E247" s="430"/>
      <c r="F247" s="59" t="s">
        <v>435</v>
      </c>
      <c r="G247" s="193">
        <f>'Total June'!G822</f>
        <v>306.8</v>
      </c>
      <c r="H247" s="191"/>
      <c r="I247" s="482"/>
      <c r="J247" s="479"/>
      <c r="K247" s="183">
        <f>'Total June'!K822</f>
        <v>4000</v>
      </c>
      <c r="L247" s="183">
        <f>'Total June'!L822</f>
        <v>1</v>
      </c>
      <c r="M247" s="183">
        <f>'Total June'!O822</f>
        <v>2153</v>
      </c>
      <c r="N247" s="183">
        <f>'Total June'!P822</f>
        <v>2398</v>
      </c>
      <c r="O247" s="194">
        <f>'Total June'!T822</f>
        <v>2153</v>
      </c>
      <c r="P247" s="191"/>
      <c r="Q247" s="122"/>
    </row>
    <row r="248" spans="1:19" s="4" customFormat="1" ht="15.75" customHeight="1">
      <c r="A248" s="451"/>
      <c r="B248" s="443"/>
      <c r="C248" s="446"/>
      <c r="D248" s="48" t="s">
        <v>433</v>
      </c>
      <c r="E248" s="430"/>
      <c r="F248" s="59"/>
      <c r="G248" s="280"/>
      <c r="H248" s="191">
        <f>'Total June'!H823</f>
        <v>1438.1999999999998</v>
      </c>
      <c r="I248" s="482"/>
      <c r="J248" s="479"/>
      <c r="K248" s="183"/>
      <c r="L248" s="183"/>
      <c r="M248" s="183"/>
      <c r="N248" s="183"/>
      <c r="O248" s="194"/>
      <c r="P248" s="191"/>
      <c r="Q248" s="122"/>
    </row>
    <row r="249" spans="1:19" s="4" customFormat="1" ht="15.75" customHeight="1">
      <c r="A249" s="451"/>
      <c r="B249" s="268" t="s">
        <v>453</v>
      </c>
      <c r="C249" s="180" t="s">
        <v>438</v>
      </c>
      <c r="D249" s="48" t="s">
        <v>432</v>
      </c>
      <c r="E249" s="430"/>
      <c r="F249" s="59" t="s">
        <v>57</v>
      </c>
      <c r="G249" s="193"/>
      <c r="H249" s="193">
        <f>'Total June'!H824</f>
        <v>0</v>
      </c>
      <c r="I249" s="482"/>
      <c r="J249" s="479"/>
      <c r="K249" s="183"/>
      <c r="L249" s="183"/>
      <c r="M249" s="183">
        <f>'Total June'!O824</f>
        <v>1406</v>
      </c>
      <c r="N249" s="183">
        <f>'Total June'!P824</f>
        <v>1406</v>
      </c>
      <c r="O249" s="194">
        <f>'Total June'!T824</f>
        <v>1406</v>
      </c>
      <c r="P249" s="191"/>
      <c r="Q249" s="122"/>
    </row>
    <row r="250" spans="1:19" s="4" customFormat="1" ht="15.75" customHeight="1">
      <c r="A250" s="451"/>
      <c r="B250" s="268" t="s">
        <v>454</v>
      </c>
      <c r="C250" s="277" t="s">
        <v>438</v>
      </c>
      <c r="D250" s="48" t="s">
        <v>432</v>
      </c>
      <c r="E250" s="430"/>
      <c r="F250" s="59" t="s">
        <v>57</v>
      </c>
      <c r="G250" s="193"/>
      <c r="H250" s="193">
        <f>'Total June'!H825</f>
        <v>0</v>
      </c>
      <c r="I250" s="482"/>
      <c r="J250" s="479"/>
      <c r="K250" s="183"/>
      <c r="L250" s="183"/>
      <c r="M250" s="183">
        <f>'Total June'!O825</f>
        <v>2129</v>
      </c>
      <c r="N250" s="183">
        <f>'Total June'!P825</f>
        <v>2129</v>
      </c>
      <c r="O250" s="194">
        <f>'Total June'!T825</f>
        <v>1234</v>
      </c>
      <c r="P250" s="191"/>
      <c r="Q250" s="122"/>
    </row>
    <row r="251" spans="1:19" s="4" customFormat="1" ht="15.75" customHeight="1">
      <c r="A251" s="451"/>
      <c r="B251" s="122" t="s">
        <v>436</v>
      </c>
      <c r="C251" s="157" t="s">
        <v>438</v>
      </c>
      <c r="D251" s="48" t="s">
        <v>432</v>
      </c>
      <c r="E251" s="430"/>
      <c r="F251" s="59" t="s">
        <v>57</v>
      </c>
      <c r="G251" s="191">
        <f>'Total June'!G832</f>
        <v>173</v>
      </c>
      <c r="H251" s="191"/>
      <c r="I251" s="482"/>
      <c r="J251" s="479"/>
      <c r="K251" s="183">
        <f>'Total June'!K832</f>
        <v>3000</v>
      </c>
      <c r="L251" s="183">
        <f>'Total June'!L832</f>
        <v>1</v>
      </c>
      <c r="M251" s="183">
        <f>'Total June'!O832</f>
        <v>800</v>
      </c>
      <c r="N251" s="183">
        <f>'Total June'!P832</f>
        <v>800</v>
      </c>
      <c r="O251" s="194">
        <f>'Total June'!T832</f>
        <v>800</v>
      </c>
      <c r="P251" s="191"/>
      <c r="Q251" s="122"/>
    </row>
    <row r="252" spans="1:19" s="4" customFormat="1" ht="15.75" customHeight="1">
      <c r="A252" s="451"/>
      <c r="B252" s="122" t="s">
        <v>437</v>
      </c>
      <c r="C252" s="157" t="s">
        <v>438</v>
      </c>
      <c r="D252" s="48" t="s">
        <v>432</v>
      </c>
      <c r="E252" s="430"/>
      <c r="F252" s="59" t="s">
        <v>57</v>
      </c>
      <c r="G252" s="191">
        <f>'Total June'!G833</f>
        <v>173</v>
      </c>
      <c r="H252" s="191"/>
      <c r="I252" s="482"/>
      <c r="J252" s="479"/>
      <c r="K252" s="183">
        <f>'Total June'!K833</f>
        <v>3000</v>
      </c>
      <c r="L252" s="183">
        <f>'Total June'!L833</f>
        <v>1</v>
      </c>
      <c r="M252" s="183">
        <f>'Total June'!O833</f>
        <v>800</v>
      </c>
      <c r="N252" s="183">
        <f>'Total June'!P833</f>
        <v>800</v>
      </c>
      <c r="O252" s="194">
        <f>'Total June'!T833</f>
        <v>800</v>
      </c>
      <c r="P252" s="191"/>
      <c r="Q252" s="122"/>
    </row>
    <row r="253" spans="1:19" s="4" customFormat="1" ht="15.75" customHeight="1">
      <c r="A253" s="451"/>
      <c r="B253" s="122" t="s">
        <v>425</v>
      </c>
      <c r="C253" s="157" t="s">
        <v>426</v>
      </c>
      <c r="D253" s="48" t="s">
        <v>246</v>
      </c>
      <c r="E253" s="430"/>
      <c r="F253" s="59" t="s">
        <v>64</v>
      </c>
      <c r="G253" s="280">
        <f>'Total June'!G831</f>
        <v>57.16</v>
      </c>
      <c r="H253" s="191">
        <f>'Total June'!H831</f>
        <v>80</v>
      </c>
      <c r="I253" s="482"/>
      <c r="J253" s="479"/>
      <c r="K253" s="183">
        <f>'Total June'!K831</f>
        <v>1000</v>
      </c>
      <c r="L253" s="183">
        <f>'Total June'!L831</f>
        <v>1</v>
      </c>
      <c r="M253" s="183">
        <f>'Total June'!O831</f>
        <v>919</v>
      </c>
      <c r="N253" s="183">
        <f>'Total June'!P831</f>
        <v>919</v>
      </c>
      <c r="O253" s="194">
        <f>'Total June'!T831</f>
        <v>919</v>
      </c>
      <c r="P253" s="191"/>
      <c r="Q253" s="122"/>
    </row>
    <row r="254" spans="1:19" ht="15.75" customHeight="1">
      <c r="A254" s="451"/>
      <c r="B254" s="122" t="s">
        <v>103</v>
      </c>
      <c r="C254" s="157" t="s">
        <v>197</v>
      </c>
      <c r="D254" s="48" t="s">
        <v>104</v>
      </c>
      <c r="E254" s="430"/>
      <c r="F254" s="59" t="s">
        <v>105</v>
      </c>
      <c r="G254" s="116"/>
      <c r="H254" s="49"/>
      <c r="I254" s="482"/>
      <c r="J254" s="479"/>
      <c r="K254" s="12"/>
      <c r="L254" s="12"/>
      <c r="M254" s="12"/>
      <c r="N254" s="12"/>
      <c r="O254" s="12"/>
      <c r="P254" s="116"/>
      <c r="Q254" s="119"/>
      <c r="S254" s="13"/>
    </row>
    <row r="255" spans="1:19" ht="15.75" customHeight="1">
      <c r="A255" s="451"/>
      <c r="B255" s="137" t="s">
        <v>112</v>
      </c>
      <c r="C255" s="157" t="s">
        <v>197</v>
      </c>
      <c r="D255" s="48" t="s">
        <v>104</v>
      </c>
      <c r="E255" s="430"/>
      <c r="F255" s="59" t="s">
        <v>113</v>
      </c>
      <c r="G255" s="116"/>
      <c r="H255" s="184"/>
      <c r="I255" s="482"/>
      <c r="J255" s="479"/>
      <c r="K255" s="12"/>
      <c r="L255" s="12"/>
      <c r="M255" s="12"/>
      <c r="N255" s="12"/>
      <c r="O255" s="12"/>
      <c r="P255" s="116"/>
      <c r="Q255" s="131"/>
    </row>
    <row r="256" spans="1:19" ht="15.75" customHeight="1" thickBot="1">
      <c r="A256" s="451"/>
      <c r="B256" s="122" t="s">
        <v>107</v>
      </c>
      <c r="C256" s="180" t="s">
        <v>195</v>
      </c>
      <c r="D256" s="48" t="s">
        <v>108</v>
      </c>
      <c r="E256" s="430"/>
      <c r="F256" s="48" t="s">
        <v>48</v>
      </c>
      <c r="G256" s="12"/>
      <c r="H256" s="317">
        <f>'Total June'!H838</f>
        <v>1029</v>
      </c>
      <c r="I256" s="483"/>
      <c r="J256" s="480"/>
      <c r="K256" s="116"/>
      <c r="L256" s="116"/>
      <c r="M256" s="121">
        <f>'Total June'!O838</f>
        <v>9359</v>
      </c>
      <c r="N256" s="121">
        <f>'Total June'!P838</f>
        <v>9395</v>
      </c>
      <c r="O256" s="116"/>
      <c r="P256" s="12"/>
      <c r="Q256" s="119"/>
    </row>
    <row r="257" spans="1:20" ht="15" customHeight="1">
      <c r="A257" s="450" t="s">
        <v>419</v>
      </c>
      <c r="B257" s="429" t="s">
        <v>44</v>
      </c>
      <c r="C257" s="432" t="s">
        <v>241</v>
      </c>
      <c r="D257" s="19" t="s">
        <v>37</v>
      </c>
      <c r="E257" s="19" t="s">
        <v>25</v>
      </c>
      <c r="F257" s="39" t="s">
        <v>40</v>
      </c>
      <c r="G257" s="120">
        <f>'Total July'!G530</f>
        <v>76382.33</v>
      </c>
      <c r="H257" s="30">
        <f>'Total July'!H530</f>
        <v>60432</v>
      </c>
      <c r="I257" s="481">
        <v>612</v>
      </c>
      <c r="J257" s="478">
        <v>22.5</v>
      </c>
      <c r="K257" s="30">
        <f>'Total July'!K530</f>
        <v>876000</v>
      </c>
      <c r="L257" s="30">
        <f>'Total July'!L530</f>
        <v>110</v>
      </c>
      <c r="M257" s="30">
        <f>'Total July'!O530</f>
        <v>870624</v>
      </c>
      <c r="N257" s="30">
        <f>'Total July'!P530</f>
        <v>884139</v>
      </c>
      <c r="O257" s="208">
        <f>'Total July'!T530</f>
        <v>956487</v>
      </c>
      <c r="P257" s="208">
        <f>'Total July'!U530</f>
        <v>272</v>
      </c>
      <c r="Q257" s="19"/>
    </row>
    <row r="258" spans="1:20" s="4" customFormat="1" ht="15" customHeight="1">
      <c r="A258" s="451"/>
      <c r="B258" s="430"/>
      <c r="C258" s="433"/>
      <c r="D258" s="122" t="s">
        <v>307</v>
      </c>
      <c r="E258" s="43" t="s">
        <v>24</v>
      </c>
      <c r="F258" s="48" t="s">
        <v>40</v>
      </c>
      <c r="G258" s="196">
        <f>'Total July'!G531</f>
        <v>4907.05</v>
      </c>
      <c r="H258" s="183">
        <f>'Total July'!H531</f>
        <v>5467.5</v>
      </c>
      <c r="I258" s="482"/>
      <c r="J258" s="479"/>
      <c r="K258" s="183">
        <f>'Total July'!K531</f>
        <v>152000</v>
      </c>
      <c r="L258" s="183">
        <f>'Total July'!L531</f>
        <v>19</v>
      </c>
      <c r="M258" s="183">
        <f>'Total July'!O531</f>
        <v>227680</v>
      </c>
      <c r="N258" s="183">
        <f>'Total July'!P531</f>
        <v>210731</v>
      </c>
      <c r="O258" s="194">
        <f>'Total July'!T531</f>
        <v>271381</v>
      </c>
      <c r="P258" s="194">
        <f>'Total July'!U531</f>
        <v>67</v>
      </c>
      <c r="Q258" s="268"/>
    </row>
    <row r="259" spans="1:20" s="4" customFormat="1" ht="15" customHeight="1">
      <c r="A259" s="451"/>
      <c r="B259" s="431"/>
      <c r="C259" s="434"/>
      <c r="D259" s="122" t="s">
        <v>511</v>
      </c>
      <c r="E259" s="89"/>
      <c r="F259" s="48"/>
      <c r="G259" s="196"/>
      <c r="H259" s="183">
        <f>'Total July'!H532</f>
        <v>9671.7000000000007</v>
      </c>
      <c r="I259" s="482"/>
      <c r="J259" s="479"/>
      <c r="K259" s="183"/>
      <c r="L259" s="183"/>
      <c r="M259" s="183"/>
      <c r="N259" s="183"/>
      <c r="O259" s="194"/>
      <c r="P259" s="194"/>
      <c r="Q259" s="268"/>
    </row>
    <row r="260" spans="1:20" s="4" customFormat="1" ht="16.5" customHeight="1">
      <c r="A260" s="451"/>
      <c r="B260" s="442" t="s">
        <v>45</v>
      </c>
      <c r="C260" s="503" t="s">
        <v>59</v>
      </c>
      <c r="D260" s="48" t="s">
        <v>75</v>
      </c>
      <c r="E260" s="504" t="s">
        <v>25</v>
      </c>
      <c r="F260" s="122" t="s">
        <v>57</v>
      </c>
      <c r="G260" s="196">
        <f>'Total July'!G533</f>
        <v>3494.25</v>
      </c>
      <c r="H260" s="183"/>
      <c r="I260" s="482"/>
      <c r="J260" s="479"/>
      <c r="K260" s="183">
        <f>'Total July'!K533</f>
        <v>64680</v>
      </c>
      <c r="L260" s="183">
        <f>'Total July'!L533</f>
        <v>13</v>
      </c>
      <c r="M260" s="183">
        <f>'Total July'!O533</f>
        <v>52241</v>
      </c>
      <c r="N260" s="183">
        <f>'Total July'!P533</f>
        <v>56833</v>
      </c>
      <c r="O260" s="194">
        <f>'Total July'!T533</f>
        <v>30703</v>
      </c>
      <c r="P260" s="194"/>
      <c r="Q260" s="268"/>
    </row>
    <row r="261" spans="1:20" s="4" customFormat="1" ht="16.5" customHeight="1">
      <c r="A261" s="451"/>
      <c r="B261" s="439"/>
      <c r="C261" s="503"/>
      <c r="D261" s="48" t="s">
        <v>94</v>
      </c>
      <c r="E261" s="495"/>
      <c r="F261" s="122"/>
      <c r="G261" s="196"/>
      <c r="H261" s="183">
        <f>'Total July'!H534</f>
        <v>7938</v>
      </c>
      <c r="I261" s="482"/>
      <c r="J261" s="479"/>
      <c r="K261" s="183"/>
      <c r="L261" s="183"/>
      <c r="M261" s="183"/>
      <c r="N261" s="183"/>
      <c r="O261" s="194"/>
      <c r="P261" s="194"/>
      <c r="Q261" s="268"/>
    </row>
    <row r="262" spans="1:20" s="139" customFormat="1" ht="15.75" customHeight="1">
      <c r="A262" s="451"/>
      <c r="B262" s="439"/>
      <c r="C262" s="503"/>
      <c r="D262" s="297" t="s">
        <v>72</v>
      </c>
      <c r="E262" s="494" t="s">
        <v>24</v>
      </c>
      <c r="F262" s="295" t="s">
        <v>57</v>
      </c>
      <c r="G262" s="299"/>
      <c r="H262" s="300"/>
      <c r="I262" s="482"/>
      <c r="J262" s="479"/>
      <c r="K262" s="300">
        <f>'Total July'!K535</f>
        <v>24800</v>
      </c>
      <c r="L262" s="300">
        <f>'Total July'!L535</f>
        <v>5</v>
      </c>
      <c r="M262" s="300">
        <f>'Total July'!O535</f>
        <v>8960</v>
      </c>
      <c r="N262" s="300">
        <f>'Total July'!P535</f>
        <v>9260</v>
      </c>
      <c r="O262" s="318">
        <f>'Total July'!T535</f>
        <v>0</v>
      </c>
      <c r="P262" s="318"/>
      <c r="Q262" s="295"/>
    </row>
    <row r="263" spans="1:20" s="4" customFormat="1" ht="15.75" customHeight="1">
      <c r="A263" s="451"/>
      <c r="B263" s="439"/>
      <c r="C263" s="503"/>
      <c r="D263" s="43" t="s">
        <v>73</v>
      </c>
      <c r="E263" s="495"/>
      <c r="F263" s="122"/>
      <c r="G263" s="196"/>
      <c r="H263" s="183">
        <f>'Total July'!H536</f>
        <v>1320</v>
      </c>
      <c r="I263" s="482"/>
      <c r="J263" s="479"/>
      <c r="K263" s="183"/>
      <c r="L263" s="183"/>
      <c r="M263" s="183"/>
      <c r="N263" s="183"/>
      <c r="O263" s="194"/>
      <c r="P263" s="194"/>
      <c r="Q263" s="122"/>
      <c r="S263" s="219"/>
      <c r="T263" s="219"/>
    </row>
    <row r="264" spans="1:20" s="4" customFormat="1" ht="20.25" customHeight="1">
      <c r="A264" s="451"/>
      <c r="B264" s="439"/>
      <c r="C264" s="503"/>
      <c r="D264" s="43" t="s">
        <v>79</v>
      </c>
      <c r="E264" s="494" t="s">
        <v>65</v>
      </c>
      <c r="F264" s="122" t="s">
        <v>57</v>
      </c>
      <c r="G264" s="183"/>
      <c r="H264" s="122"/>
      <c r="I264" s="482"/>
      <c r="J264" s="479"/>
      <c r="K264" s="183"/>
      <c r="L264" s="183"/>
      <c r="M264" s="183"/>
      <c r="N264" s="183"/>
      <c r="O264" s="194">
        <f>'Total July'!T537</f>
        <v>10261</v>
      </c>
      <c r="P264" s="194"/>
      <c r="Q264" s="122"/>
    </row>
    <row r="265" spans="1:20" s="4" customFormat="1" ht="15" customHeight="1">
      <c r="A265" s="451"/>
      <c r="B265" s="439"/>
      <c r="C265" s="503"/>
      <c r="D265" s="43" t="s">
        <v>80</v>
      </c>
      <c r="E265" s="504"/>
      <c r="F265" s="122"/>
      <c r="G265" s="196"/>
      <c r="H265" s="122"/>
      <c r="I265" s="482"/>
      <c r="J265" s="479"/>
      <c r="K265" s="183"/>
      <c r="L265" s="183"/>
      <c r="M265" s="183"/>
      <c r="N265" s="183"/>
      <c r="O265" s="194"/>
      <c r="P265" s="194"/>
      <c r="Q265" s="122"/>
    </row>
    <row r="266" spans="1:20" s="4" customFormat="1" ht="15" customHeight="1">
      <c r="A266" s="451"/>
      <c r="B266" s="439"/>
      <c r="C266" s="503"/>
      <c r="D266" s="43" t="s">
        <v>42</v>
      </c>
      <c r="E266" s="494" t="s">
        <v>25</v>
      </c>
      <c r="F266" s="122"/>
      <c r="G266" s="183"/>
      <c r="H266" s="218"/>
      <c r="I266" s="482"/>
      <c r="J266" s="479"/>
      <c r="K266" s="183"/>
      <c r="L266" s="183"/>
      <c r="M266" s="183"/>
      <c r="N266" s="183"/>
      <c r="O266" s="183"/>
      <c r="P266" s="183"/>
      <c r="Q266" s="122"/>
    </row>
    <row r="267" spans="1:20" s="4" customFormat="1" ht="15" customHeight="1">
      <c r="A267" s="451"/>
      <c r="B267" s="439"/>
      <c r="C267" s="505" t="s">
        <v>300</v>
      </c>
      <c r="D267" s="43" t="s">
        <v>296</v>
      </c>
      <c r="E267" s="495"/>
      <c r="F267" s="122" t="s">
        <v>298</v>
      </c>
      <c r="G267" s="122"/>
      <c r="H267" s="218"/>
      <c r="I267" s="482"/>
      <c r="J267" s="479"/>
      <c r="K267" s="183"/>
      <c r="L267" s="183"/>
      <c r="M267" s="183"/>
      <c r="N267" s="183"/>
      <c r="O267" s="194">
        <f>'Total July'!T539</f>
        <v>4427</v>
      </c>
      <c r="P267" s="194"/>
      <c r="Q267" s="122"/>
    </row>
    <row r="268" spans="1:20" s="4" customFormat="1" ht="15" customHeight="1">
      <c r="A268" s="451"/>
      <c r="B268" s="443"/>
      <c r="C268" s="506"/>
      <c r="D268" s="43" t="s">
        <v>75</v>
      </c>
      <c r="E268" s="89" t="s">
        <v>25</v>
      </c>
      <c r="F268" s="122" t="s">
        <v>298</v>
      </c>
      <c r="G268" s="122"/>
      <c r="H268" s="183"/>
      <c r="I268" s="482"/>
      <c r="J268" s="479"/>
      <c r="K268" s="183">
        <f>'Total July'!K540</f>
        <v>5000</v>
      </c>
      <c r="L268" s="183">
        <f>'Total July'!L540</f>
        <v>1</v>
      </c>
      <c r="M268" s="183">
        <f>'Total July'!O540</f>
        <v>8490</v>
      </c>
      <c r="N268" s="183">
        <f>'Total July'!P540</f>
        <v>6551</v>
      </c>
      <c r="O268" s="194">
        <f>'Total July'!T540</f>
        <v>1892</v>
      </c>
      <c r="P268" s="194"/>
      <c r="Q268" s="122"/>
    </row>
    <row r="269" spans="1:20" s="4" customFormat="1" ht="20.25" customHeight="1">
      <c r="A269" s="451"/>
      <c r="B269" s="439" t="s">
        <v>53</v>
      </c>
      <c r="C269" s="445" t="s">
        <v>60</v>
      </c>
      <c r="D269" s="43" t="s">
        <v>320</v>
      </c>
      <c r="E269" s="505" t="s">
        <v>66</v>
      </c>
      <c r="F269" s="48" t="s">
        <v>54</v>
      </c>
      <c r="G269" s="183"/>
      <c r="H269" s="268"/>
      <c r="I269" s="482"/>
      <c r="J269" s="479"/>
      <c r="K269" s="183"/>
      <c r="L269" s="183"/>
      <c r="M269" s="183">
        <f>'Total July'!O541</f>
        <v>3642</v>
      </c>
      <c r="N269" s="183">
        <f>'Total July'!P541</f>
        <v>148</v>
      </c>
      <c r="O269" s="194">
        <f>'Total July'!T541</f>
        <v>49703</v>
      </c>
      <c r="P269" s="194">
        <f>'Total July'!U541</f>
        <v>3</v>
      </c>
      <c r="Q269" s="122"/>
    </row>
    <row r="270" spans="1:20" s="4" customFormat="1" ht="15" customHeight="1">
      <c r="A270" s="451"/>
      <c r="B270" s="439"/>
      <c r="C270" s="445"/>
      <c r="D270" s="43" t="s">
        <v>387</v>
      </c>
      <c r="E270" s="506"/>
      <c r="F270" s="48" t="s">
        <v>54</v>
      </c>
      <c r="G270" s="183"/>
      <c r="H270" s="294"/>
      <c r="I270" s="482"/>
      <c r="J270" s="479"/>
      <c r="K270" s="183"/>
      <c r="L270" s="183"/>
      <c r="M270" s="183"/>
      <c r="N270" s="194"/>
      <c r="O270" s="194"/>
      <c r="P270" s="194"/>
      <c r="Q270" s="122"/>
    </row>
    <row r="271" spans="1:20" s="4" customFormat="1" ht="15" customHeight="1">
      <c r="A271" s="451"/>
      <c r="B271" s="439"/>
      <c r="C271" s="445"/>
      <c r="D271" s="48" t="s">
        <v>199</v>
      </c>
      <c r="E271" s="494" t="s">
        <v>25</v>
      </c>
      <c r="F271" s="48" t="s">
        <v>54</v>
      </c>
      <c r="G271" s="196"/>
      <c r="H271" s="218"/>
      <c r="I271" s="482"/>
      <c r="J271" s="479"/>
      <c r="K271" s="183"/>
      <c r="L271" s="183"/>
      <c r="M271" s="183"/>
      <c r="N271" s="194"/>
      <c r="O271" s="194"/>
      <c r="P271" s="194"/>
      <c r="Q271" s="122"/>
    </row>
    <row r="272" spans="1:20" s="4" customFormat="1" ht="18.75" customHeight="1">
      <c r="A272" s="451"/>
      <c r="B272" s="439"/>
      <c r="C272" s="445"/>
      <c r="D272" s="48" t="s">
        <v>385</v>
      </c>
      <c r="E272" s="495"/>
      <c r="F272" s="122"/>
      <c r="G272" s="196"/>
      <c r="H272" s="218"/>
      <c r="I272" s="482"/>
      <c r="J272" s="479"/>
      <c r="K272" s="183"/>
      <c r="L272" s="183"/>
      <c r="M272" s="183"/>
      <c r="N272" s="183"/>
      <c r="O272" s="183"/>
      <c r="P272" s="183"/>
      <c r="Q272" s="6"/>
      <c r="S272" s="219"/>
    </row>
    <row r="273" spans="1:20" s="4" customFormat="1" ht="18.75" customHeight="1">
      <c r="A273" s="451"/>
      <c r="B273" s="443"/>
      <c r="C273" s="446"/>
      <c r="D273" s="43" t="s">
        <v>324</v>
      </c>
      <c r="E273" s="268" t="s">
        <v>65</v>
      </c>
      <c r="F273" s="122"/>
      <c r="G273" s="196"/>
      <c r="H273" s="194"/>
      <c r="I273" s="482"/>
      <c r="J273" s="479"/>
      <c r="K273" s="183"/>
      <c r="L273" s="183"/>
      <c r="M273" s="183"/>
      <c r="N273" s="183"/>
      <c r="O273" s="194"/>
      <c r="P273" s="194"/>
      <c r="Q273" s="6"/>
      <c r="S273" s="219"/>
      <c r="T273" s="219"/>
    </row>
    <row r="274" spans="1:20" s="4" customFormat="1" ht="18.75" customHeight="1">
      <c r="A274" s="451"/>
      <c r="B274" s="442" t="s">
        <v>55</v>
      </c>
      <c r="C274" s="444" t="s">
        <v>133</v>
      </c>
      <c r="D274" s="43" t="s">
        <v>56</v>
      </c>
      <c r="E274" s="430" t="s">
        <v>25</v>
      </c>
      <c r="F274" s="48" t="s">
        <v>67</v>
      </c>
      <c r="G274" s="218"/>
      <c r="H274" s="183"/>
      <c r="I274" s="482"/>
      <c r="J274" s="479"/>
      <c r="K274" s="183"/>
      <c r="L274" s="183"/>
      <c r="M274" s="183"/>
      <c r="N274" s="183"/>
      <c r="O274" s="183">
        <f>'Total July'!T546</f>
        <v>700</v>
      </c>
      <c r="P274" s="194"/>
      <c r="Q274" s="6"/>
      <c r="S274" s="219"/>
    </row>
    <row r="275" spans="1:20" s="4" customFormat="1" ht="18.75" customHeight="1">
      <c r="A275" s="451"/>
      <c r="B275" s="443"/>
      <c r="C275" s="446"/>
      <c r="D275" s="43" t="s">
        <v>68</v>
      </c>
      <c r="E275" s="430"/>
      <c r="F275" s="48"/>
      <c r="G275" s="218"/>
      <c r="H275" s="183"/>
      <c r="I275" s="482"/>
      <c r="J275" s="479"/>
      <c r="K275" s="194"/>
      <c r="L275" s="194"/>
      <c r="M275" s="183"/>
      <c r="N275" s="183"/>
      <c r="O275" s="194"/>
      <c r="P275" s="194"/>
      <c r="Q275" s="6"/>
      <c r="S275" s="219"/>
    </row>
    <row r="276" spans="1:20" s="4" customFormat="1" ht="15.75" customHeight="1">
      <c r="A276" s="451"/>
      <c r="B276" s="137" t="s">
        <v>122</v>
      </c>
      <c r="C276" s="157" t="s">
        <v>123</v>
      </c>
      <c r="D276" s="48" t="s">
        <v>56</v>
      </c>
      <c r="E276" s="430"/>
      <c r="F276" s="48" t="s">
        <v>64</v>
      </c>
      <c r="G276" s="183"/>
      <c r="H276" s="193"/>
      <c r="I276" s="482"/>
      <c r="J276" s="479"/>
      <c r="K276" s="183"/>
      <c r="L276" s="183"/>
      <c r="M276" s="183"/>
      <c r="N276" s="183"/>
      <c r="O276" s="194"/>
      <c r="P276" s="191"/>
      <c r="Q276" s="122"/>
    </row>
    <row r="277" spans="1:20" s="4" customFormat="1" ht="15.75" customHeight="1">
      <c r="A277" s="451"/>
      <c r="B277" s="137" t="s">
        <v>58</v>
      </c>
      <c r="C277" s="157" t="s">
        <v>243</v>
      </c>
      <c r="D277" s="48" t="s">
        <v>56</v>
      </c>
      <c r="E277" s="430"/>
      <c r="F277" s="59" t="s">
        <v>64</v>
      </c>
      <c r="G277" s="191"/>
      <c r="H277" s="193"/>
      <c r="I277" s="482"/>
      <c r="J277" s="479"/>
      <c r="K277" s="183"/>
      <c r="L277" s="183"/>
      <c r="M277" s="183"/>
      <c r="N277" s="183"/>
      <c r="O277" s="194"/>
      <c r="P277" s="191"/>
      <c r="Q277" s="122"/>
    </row>
    <row r="278" spans="1:20" s="4" customFormat="1" ht="15.75" customHeight="1">
      <c r="A278" s="451"/>
      <c r="B278" s="122" t="s">
        <v>61</v>
      </c>
      <c r="C278" s="180" t="s">
        <v>137</v>
      </c>
      <c r="D278" s="48" t="s">
        <v>56</v>
      </c>
      <c r="E278" s="430"/>
      <c r="F278" s="59" t="s">
        <v>67</v>
      </c>
      <c r="G278" s="191"/>
      <c r="H278" s="193"/>
      <c r="I278" s="482"/>
      <c r="J278" s="479"/>
      <c r="K278" s="183"/>
      <c r="L278" s="183"/>
      <c r="M278" s="183"/>
      <c r="N278" s="183"/>
      <c r="O278" s="194"/>
      <c r="P278" s="191"/>
      <c r="Q278" s="122"/>
    </row>
    <row r="279" spans="1:20" s="4" customFormat="1" ht="15.75" customHeight="1">
      <c r="A279" s="451"/>
      <c r="B279" s="122" t="s">
        <v>125</v>
      </c>
      <c r="C279" s="180" t="s">
        <v>88</v>
      </c>
      <c r="D279" s="48" t="s">
        <v>124</v>
      </c>
      <c r="E279" s="430"/>
      <c r="F279" s="48" t="s">
        <v>64</v>
      </c>
      <c r="G279" s="191"/>
      <c r="H279" s="191">
        <f>'Total July'!H550</f>
        <v>240</v>
      </c>
      <c r="I279" s="482"/>
      <c r="J279" s="479"/>
      <c r="K279" s="183"/>
      <c r="L279" s="183"/>
      <c r="M279" s="183"/>
      <c r="N279" s="183"/>
      <c r="O279" s="194"/>
      <c r="P279" s="191"/>
      <c r="Q279" s="122"/>
    </row>
    <row r="280" spans="1:20" s="4" customFormat="1" ht="15.75" customHeight="1">
      <c r="A280" s="451"/>
      <c r="B280" s="122" t="s">
        <v>463</v>
      </c>
      <c r="C280" s="157" t="s">
        <v>464</v>
      </c>
      <c r="D280" s="48" t="s">
        <v>246</v>
      </c>
      <c r="E280" s="430"/>
      <c r="F280" s="48" t="s">
        <v>64</v>
      </c>
      <c r="G280" s="191"/>
      <c r="H280" s="193"/>
      <c r="I280" s="482"/>
      <c r="J280" s="479"/>
      <c r="K280" s="183">
        <f>'Total July'!K551</f>
        <v>6000</v>
      </c>
      <c r="L280" s="183">
        <f>'Total July'!L551</f>
        <v>1</v>
      </c>
      <c r="M280" s="183">
        <f>'Total July'!O551</f>
        <v>2000</v>
      </c>
      <c r="N280" s="183">
        <f>'Total July'!P551</f>
        <v>3490</v>
      </c>
      <c r="O280" s="194">
        <f>'Total July'!T551</f>
        <v>0</v>
      </c>
      <c r="P280" s="191"/>
      <c r="Q280" s="122"/>
    </row>
    <row r="281" spans="1:20" s="4" customFormat="1" ht="15.75" customHeight="1">
      <c r="A281" s="451"/>
      <c r="B281" s="442" t="s">
        <v>47</v>
      </c>
      <c r="C281" s="444" t="s">
        <v>100</v>
      </c>
      <c r="D281" s="89" t="s">
        <v>458</v>
      </c>
      <c r="E281" s="430"/>
      <c r="F281" s="89" t="s">
        <v>71</v>
      </c>
      <c r="G281" s="280">
        <f>'Total July'!G552</f>
        <v>2002.02</v>
      </c>
      <c r="H281" s="193"/>
      <c r="I281" s="482"/>
      <c r="J281" s="479"/>
      <c r="K281" s="183">
        <f>'Total July'!K552</f>
        <v>18300</v>
      </c>
      <c r="L281" s="183">
        <f>'Total July'!L552</f>
        <v>3</v>
      </c>
      <c r="M281" s="183">
        <f>'Total July'!O552</f>
        <v>26900</v>
      </c>
      <c r="N281" s="183">
        <f>'Total July'!P552</f>
        <v>25244</v>
      </c>
      <c r="O281" s="194">
        <f>'Total July'!T552</f>
        <v>18624</v>
      </c>
      <c r="P281" s="191">
        <f>'Total July'!U552</f>
        <v>12</v>
      </c>
      <c r="Q281" s="122"/>
    </row>
    <row r="282" spans="1:20" s="4" customFormat="1" ht="15.75" customHeight="1">
      <c r="A282" s="451"/>
      <c r="B282" s="443"/>
      <c r="C282" s="446"/>
      <c r="D282" s="59" t="s">
        <v>121</v>
      </c>
      <c r="E282" s="430"/>
      <c r="F282" s="59"/>
      <c r="G282" s="191"/>
      <c r="H282" s="191"/>
      <c r="I282" s="482"/>
      <c r="J282" s="479"/>
      <c r="K282" s="218"/>
      <c r="L282" s="218"/>
      <c r="M282" s="183"/>
      <c r="N282" s="183"/>
      <c r="O282" s="194"/>
      <c r="P282" s="191"/>
      <c r="Q282" s="122"/>
      <c r="T282" s="219"/>
    </row>
    <row r="283" spans="1:20" s="4" customFormat="1" ht="15.75" customHeight="1">
      <c r="A283" s="451"/>
      <c r="B283" s="442" t="s">
        <v>47</v>
      </c>
      <c r="C283" s="444" t="s">
        <v>457</v>
      </c>
      <c r="D283" s="59" t="s">
        <v>458</v>
      </c>
      <c r="E283" s="430"/>
      <c r="F283" s="59" t="s">
        <v>459</v>
      </c>
      <c r="G283" s="191"/>
      <c r="H283" s="191"/>
      <c r="I283" s="482"/>
      <c r="J283" s="479"/>
      <c r="K283" s="218"/>
      <c r="L283" s="218"/>
      <c r="M283" s="183">
        <f>'Total July'!O554</f>
        <v>1039</v>
      </c>
      <c r="N283" s="183">
        <f>'Total July'!P554</f>
        <v>854</v>
      </c>
      <c r="O283" s="194">
        <f>'Total July'!T554</f>
        <v>811</v>
      </c>
      <c r="P283" s="191"/>
      <c r="Q283" s="122"/>
      <c r="T283" s="219"/>
    </row>
    <row r="284" spans="1:20" s="4" customFormat="1" ht="15.75" customHeight="1">
      <c r="A284" s="451"/>
      <c r="B284" s="439"/>
      <c r="C284" s="445"/>
      <c r="D284" s="59" t="s">
        <v>433</v>
      </c>
      <c r="E284" s="430"/>
      <c r="F284" s="59"/>
      <c r="G284" s="191"/>
      <c r="H284" s="193">
        <f>'Total July'!H553</f>
        <v>1530</v>
      </c>
      <c r="I284" s="482"/>
      <c r="J284" s="479"/>
      <c r="K284" s="218"/>
      <c r="L284" s="218"/>
      <c r="M284" s="183"/>
      <c r="N284" s="183"/>
      <c r="O284" s="194"/>
      <c r="P284" s="191"/>
      <c r="Q284" s="122"/>
      <c r="T284" s="219"/>
    </row>
    <row r="285" spans="1:20" s="4" customFormat="1" ht="15.75" customHeight="1">
      <c r="A285" s="451"/>
      <c r="B285" s="122" t="s">
        <v>196</v>
      </c>
      <c r="C285" s="180" t="s">
        <v>63</v>
      </c>
      <c r="D285" s="48" t="s">
        <v>135</v>
      </c>
      <c r="E285" s="430"/>
      <c r="F285" s="59" t="s">
        <v>64</v>
      </c>
      <c r="G285" s="196">
        <f>'Total July'!G556</f>
        <v>2237.13</v>
      </c>
      <c r="H285" s="191">
        <f>'Total July'!H556</f>
        <v>535.5</v>
      </c>
      <c r="I285" s="482"/>
      <c r="J285" s="479"/>
      <c r="K285" s="183">
        <f>'Total July'!K556</f>
        <v>23700</v>
      </c>
      <c r="L285" s="183">
        <f>'Total July'!L556</f>
        <v>4</v>
      </c>
      <c r="M285" s="183">
        <f>'Total July'!O556</f>
        <v>4363</v>
      </c>
      <c r="N285" s="183">
        <f>'Total July'!P556</f>
        <v>3157</v>
      </c>
      <c r="O285" s="183">
        <f>'Total July'!T556</f>
        <v>53911</v>
      </c>
      <c r="P285" s="183">
        <f>'Total July'!U556</f>
        <v>17</v>
      </c>
      <c r="Q285" s="122"/>
    </row>
    <row r="286" spans="1:20" s="4" customFormat="1" ht="18.75" customHeight="1">
      <c r="A286" s="451"/>
      <c r="B286" s="122" t="s">
        <v>101</v>
      </c>
      <c r="C286" s="180" t="s">
        <v>327</v>
      </c>
      <c r="D286" s="48" t="s">
        <v>102</v>
      </c>
      <c r="E286" s="430"/>
      <c r="F286" s="48" t="s">
        <v>64</v>
      </c>
      <c r="G286" s="196">
        <f>'Total July'!G557</f>
        <v>2314.65</v>
      </c>
      <c r="H286" s="191">
        <f>'Total July'!H557</f>
        <v>1071</v>
      </c>
      <c r="I286" s="482"/>
      <c r="J286" s="479"/>
      <c r="K286" s="183">
        <f>'Total July'!K557</f>
        <v>28000</v>
      </c>
      <c r="L286" s="183">
        <f>'Total July'!L557</f>
        <v>4</v>
      </c>
      <c r="M286" s="183">
        <f>'Total July'!O557</f>
        <v>20486</v>
      </c>
      <c r="N286" s="183">
        <f>'Total July'!P557</f>
        <v>22045</v>
      </c>
      <c r="O286" s="194">
        <f>'Total July'!T557</f>
        <v>2200</v>
      </c>
      <c r="P286" s="194"/>
      <c r="Q286" s="6"/>
      <c r="S286" s="219"/>
    </row>
    <row r="287" spans="1:20" s="4" customFormat="1" ht="15.75" customHeight="1">
      <c r="A287" s="451"/>
      <c r="B287" s="295" t="s">
        <v>366</v>
      </c>
      <c r="C287" s="296" t="s">
        <v>367</v>
      </c>
      <c r="D287" s="297" t="s">
        <v>132</v>
      </c>
      <c r="E287" s="430"/>
      <c r="F287" s="298" t="s">
        <v>64</v>
      </c>
      <c r="G287" s="196">
        <f>'Total July'!G558</f>
        <v>857.66</v>
      </c>
      <c r="H287" s="183">
        <f>'Total July'!H558</f>
        <v>567</v>
      </c>
      <c r="I287" s="482"/>
      <c r="J287" s="479"/>
      <c r="K287" s="191">
        <f>'Total July'!K558</f>
        <v>10000</v>
      </c>
      <c r="L287" s="191">
        <f>'Total July'!L558</f>
        <v>2</v>
      </c>
      <c r="M287" s="183">
        <f>'Total July'!O558</f>
        <v>11441</v>
      </c>
      <c r="N287" s="183">
        <f>'Total July'!P558</f>
        <v>11359</v>
      </c>
      <c r="O287" s="183">
        <f>'Total July'!T558</f>
        <v>6708</v>
      </c>
      <c r="P287" s="183">
        <f>'Total July'!U558</f>
        <v>17</v>
      </c>
      <c r="Q287" s="122"/>
      <c r="S287" s="219"/>
    </row>
    <row r="288" spans="1:20" s="4" customFormat="1" ht="15.75" customHeight="1">
      <c r="A288" s="451"/>
      <c r="B288" s="122" t="s">
        <v>363</v>
      </c>
      <c r="C288" s="180" t="s">
        <v>325</v>
      </c>
      <c r="D288" s="48" t="s">
        <v>328</v>
      </c>
      <c r="E288" s="430"/>
      <c r="F288" s="59" t="s">
        <v>48</v>
      </c>
      <c r="G288" s="218"/>
      <c r="H288" s="220"/>
      <c r="I288" s="482"/>
      <c r="J288" s="479"/>
      <c r="K288" s="183"/>
      <c r="L288" s="183"/>
      <c r="M288" s="221"/>
      <c r="N288" s="221"/>
      <c r="O288" s="194"/>
      <c r="P288" s="183"/>
      <c r="Q288" s="122"/>
    </row>
    <row r="289" spans="1:17" s="4" customFormat="1" ht="15.75" customHeight="1">
      <c r="A289" s="451"/>
      <c r="B289" s="122" t="s">
        <v>107</v>
      </c>
      <c r="C289" s="180" t="s">
        <v>386</v>
      </c>
      <c r="D289" s="48" t="s">
        <v>108</v>
      </c>
      <c r="E289" s="430"/>
      <c r="F289" s="48" t="s">
        <v>48</v>
      </c>
      <c r="G289" s="191"/>
      <c r="H289" s="191"/>
      <c r="I289" s="482"/>
      <c r="J289" s="479"/>
      <c r="K289" s="191"/>
      <c r="L289" s="191"/>
      <c r="M289" s="183">
        <f>'Total July'!O560</f>
        <v>1712</v>
      </c>
      <c r="N289" s="183">
        <f>'Total July'!P560</f>
        <v>994</v>
      </c>
      <c r="O289" s="183">
        <f>'Total July'!T560</f>
        <v>903</v>
      </c>
      <c r="P289" s="191"/>
      <c r="Q289" s="122"/>
    </row>
    <row r="290" spans="1:17" s="4" customFormat="1" ht="23.25" customHeight="1">
      <c r="A290" s="451"/>
      <c r="B290" s="122" t="s">
        <v>253</v>
      </c>
      <c r="C290" s="180" t="s">
        <v>504</v>
      </c>
      <c r="D290" s="48" t="s">
        <v>246</v>
      </c>
      <c r="E290" s="430"/>
      <c r="F290" s="59" t="s">
        <v>247</v>
      </c>
      <c r="G290" s="196"/>
      <c r="H290" s="191"/>
      <c r="I290" s="482"/>
      <c r="J290" s="479"/>
      <c r="K290" s="183"/>
      <c r="L290" s="183"/>
      <c r="M290" s="183">
        <f>'Total July'!O561</f>
        <v>6976</v>
      </c>
      <c r="N290" s="183">
        <f>'Total July'!P561</f>
        <v>2423</v>
      </c>
      <c r="O290" s="194">
        <f>'Total July'!T561</f>
        <v>12339</v>
      </c>
      <c r="P290" s="191"/>
      <c r="Q290" s="122"/>
    </row>
    <row r="291" spans="1:17" s="4" customFormat="1" ht="21.75" customHeight="1">
      <c r="A291" s="451"/>
      <c r="B291" s="122" t="s">
        <v>520</v>
      </c>
      <c r="C291" s="180" t="s">
        <v>521</v>
      </c>
      <c r="D291" s="48" t="s">
        <v>37</v>
      </c>
      <c r="E291" s="430"/>
      <c r="F291" s="59" t="s">
        <v>522</v>
      </c>
      <c r="G291" s="196">
        <f>'Total July'!G562</f>
        <v>110</v>
      </c>
      <c r="H291" s="191"/>
      <c r="I291" s="482"/>
      <c r="J291" s="479"/>
      <c r="K291" s="183">
        <f>'Total July'!K562</f>
        <v>2000</v>
      </c>
      <c r="L291" s="183">
        <f>'Total July'!L562</f>
        <v>1</v>
      </c>
      <c r="M291" s="183">
        <f>'Total July'!O562</f>
        <v>587</v>
      </c>
      <c r="N291" s="183">
        <f>'Total July'!P562</f>
        <v>875</v>
      </c>
      <c r="O291" s="194">
        <f>'Total July'!T562</f>
        <v>587</v>
      </c>
      <c r="P291" s="191"/>
      <c r="Q291" s="122"/>
    </row>
    <row r="292" spans="1:17" s="4" customFormat="1" ht="20.25" customHeight="1">
      <c r="A292" s="451"/>
      <c r="B292" s="442" t="s">
        <v>289</v>
      </c>
      <c r="C292" s="444" t="s">
        <v>516</v>
      </c>
      <c r="D292" s="48" t="s">
        <v>432</v>
      </c>
      <c r="E292" s="430"/>
      <c r="F292" s="59" t="s">
        <v>515</v>
      </c>
      <c r="G292" s="196">
        <f>'Total July'!G564</f>
        <v>277.2</v>
      </c>
      <c r="H292" s="191"/>
      <c r="I292" s="482"/>
      <c r="J292" s="479"/>
      <c r="K292" s="183">
        <f>'Total July'!K564</f>
        <v>4000</v>
      </c>
      <c r="L292" s="183">
        <f>'Total July'!L564</f>
        <v>1</v>
      </c>
      <c r="M292" s="183">
        <f>'Total July'!O564</f>
        <v>1132</v>
      </c>
      <c r="N292" s="183">
        <f>'Total July'!P564</f>
        <v>1648</v>
      </c>
      <c r="O292" s="194">
        <f>'Total July'!T564</f>
        <v>1132</v>
      </c>
      <c r="P292" s="191"/>
      <c r="Q292" s="122"/>
    </row>
    <row r="293" spans="1:17" s="4" customFormat="1" ht="20.25" customHeight="1">
      <c r="A293" s="451"/>
      <c r="B293" s="443"/>
      <c r="C293" s="446"/>
      <c r="D293" s="48" t="s">
        <v>433</v>
      </c>
      <c r="E293" s="430"/>
      <c r="F293" s="59"/>
      <c r="G293" s="196"/>
      <c r="H293" s="191"/>
      <c r="I293" s="482"/>
      <c r="J293" s="479"/>
      <c r="K293" s="183"/>
      <c r="L293" s="183"/>
      <c r="M293" s="183"/>
      <c r="N293" s="183"/>
      <c r="O293" s="194"/>
      <c r="P293" s="191"/>
      <c r="Q293" s="122"/>
    </row>
    <row r="294" spans="1:17" s="4" customFormat="1" ht="18.75" customHeight="1">
      <c r="A294" s="451"/>
      <c r="B294" s="442" t="s">
        <v>289</v>
      </c>
      <c r="C294" s="444" t="s">
        <v>503</v>
      </c>
      <c r="D294" s="48" t="s">
        <v>432</v>
      </c>
      <c r="E294" s="430"/>
      <c r="F294" s="59" t="s">
        <v>502</v>
      </c>
      <c r="G294" s="196">
        <f>'Total July'!G565</f>
        <v>1306.77</v>
      </c>
      <c r="H294" s="191"/>
      <c r="I294" s="482"/>
      <c r="J294" s="479"/>
      <c r="K294" s="183">
        <f>'Total July'!K565</f>
        <v>12000</v>
      </c>
      <c r="L294" s="183">
        <f>'Total July'!L565</f>
        <v>2</v>
      </c>
      <c r="M294" s="183">
        <f>'Total July'!O565</f>
        <v>3625</v>
      </c>
      <c r="N294" s="183">
        <f>'Total July'!P565</f>
        <v>3758</v>
      </c>
      <c r="O294" s="194">
        <f>'Total July'!T565</f>
        <v>2625</v>
      </c>
      <c r="P294" s="191"/>
      <c r="Q294" s="122"/>
    </row>
    <row r="295" spans="1:17" s="4" customFormat="1" ht="18.75" customHeight="1">
      <c r="A295" s="451"/>
      <c r="B295" s="443"/>
      <c r="C295" s="446"/>
      <c r="D295" s="48" t="s">
        <v>433</v>
      </c>
      <c r="E295" s="430"/>
      <c r="F295" s="59"/>
      <c r="G295" s="196"/>
      <c r="H295" s="191">
        <f>'Total July'!H566</f>
        <v>1346.4</v>
      </c>
      <c r="I295" s="482"/>
      <c r="J295" s="479"/>
      <c r="K295" s="183"/>
      <c r="L295" s="183"/>
      <c r="M295" s="183"/>
      <c r="N295" s="183"/>
      <c r="O295" s="194"/>
      <c r="P295" s="191"/>
      <c r="Q295" s="122"/>
    </row>
    <row r="296" spans="1:17" s="4" customFormat="1" ht="18" customHeight="1">
      <c r="A296" s="451"/>
      <c r="B296" s="137" t="s">
        <v>289</v>
      </c>
      <c r="C296" s="157" t="s">
        <v>508</v>
      </c>
      <c r="D296" s="48" t="s">
        <v>432</v>
      </c>
      <c r="E296" s="430"/>
      <c r="F296" s="59" t="s">
        <v>506</v>
      </c>
      <c r="G296" s="196">
        <f>'Total July'!G567</f>
        <v>2218.04</v>
      </c>
      <c r="H296" s="191"/>
      <c r="I296" s="482"/>
      <c r="J296" s="479"/>
      <c r="K296" s="183">
        <f>'Total July'!K567</f>
        <v>21000</v>
      </c>
      <c r="L296" s="183">
        <f>'Total July'!L567</f>
        <v>3</v>
      </c>
      <c r="M296" s="183">
        <f>'Total July'!O567</f>
        <v>2570</v>
      </c>
      <c r="N296" s="183">
        <f>'Total July'!P567</f>
        <v>3700</v>
      </c>
      <c r="O296" s="194">
        <f>'Total July'!T567</f>
        <v>1490</v>
      </c>
      <c r="P296" s="191"/>
      <c r="Q296" s="122"/>
    </row>
    <row r="297" spans="1:17" s="4" customFormat="1" ht="15.75" customHeight="1">
      <c r="A297" s="451"/>
      <c r="B297" s="122" t="s">
        <v>289</v>
      </c>
      <c r="C297" s="180" t="s">
        <v>290</v>
      </c>
      <c r="D297" s="48" t="s">
        <v>432</v>
      </c>
      <c r="E297" s="430"/>
      <c r="F297" s="59" t="s">
        <v>435</v>
      </c>
      <c r="G297" s="196"/>
      <c r="H297" s="193"/>
      <c r="I297" s="482"/>
      <c r="J297" s="479"/>
      <c r="K297" s="183"/>
      <c r="L297" s="183"/>
      <c r="M297" s="183">
        <f>'Total July'!O563</f>
        <v>1682</v>
      </c>
      <c r="N297" s="183">
        <f>'Total July'!P563</f>
        <v>1437</v>
      </c>
      <c r="O297" s="194">
        <f>'Total July'!T563</f>
        <v>1682</v>
      </c>
      <c r="P297" s="191"/>
      <c r="Q297" s="122"/>
    </row>
    <row r="298" spans="1:17" s="4" customFormat="1" ht="15.75" customHeight="1">
      <c r="A298" s="451"/>
      <c r="B298" s="268" t="s">
        <v>453</v>
      </c>
      <c r="C298" s="335" t="s">
        <v>438</v>
      </c>
      <c r="D298" s="48" t="s">
        <v>432</v>
      </c>
      <c r="E298" s="430"/>
      <c r="F298" s="59" t="s">
        <v>57</v>
      </c>
      <c r="G298" s="191"/>
      <c r="H298" s="359"/>
      <c r="I298" s="482"/>
      <c r="J298" s="479"/>
      <c r="K298" s="183"/>
      <c r="L298" s="183"/>
      <c r="M298" s="183">
        <f>'Total July'!O568</f>
        <v>715</v>
      </c>
      <c r="N298" s="183">
        <f>'Total July'!P568</f>
        <v>715</v>
      </c>
      <c r="O298" s="183">
        <f>'Total July'!T568</f>
        <v>715</v>
      </c>
      <c r="P298" s="191"/>
      <c r="Q298" s="137"/>
    </row>
    <row r="299" spans="1:17" s="4" customFormat="1" ht="15.75" customHeight="1">
      <c r="A299" s="451"/>
      <c r="B299" s="268" t="s">
        <v>454</v>
      </c>
      <c r="C299" s="335" t="s">
        <v>438</v>
      </c>
      <c r="D299" s="48" t="s">
        <v>432</v>
      </c>
      <c r="E299" s="430"/>
      <c r="F299" s="59" t="s">
        <v>57</v>
      </c>
      <c r="G299" s="191"/>
      <c r="H299" s="359"/>
      <c r="I299" s="482"/>
      <c r="J299" s="479"/>
      <c r="K299" s="191"/>
      <c r="L299" s="191"/>
      <c r="M299" s="183"/>
      <c r="N299" s="183"/>
      <c r="O299" s="183">
        <f>'Total July'!T569</f>
        <v>895</v>
      </c>
      <c r="P299" s="191"/>
      <c r="Q299" s="137"/>
    </row>
    <row r="300" spans="1:17" s="4" customFormat="1" ht="15.75" customHeight="1">
      <c r="A300" s="451"/>
      <c r="B300" s="122" t="s">
        <v>375</v>
      </c>
      <c r="C300" s="157" t="s">
        <v>376</v>
      </c>
      <c r="D300" s="48" t="s">
        <v>248</v>
      </c>
      <c r="E300" s="430"/>
      <c r="F300" s="59" t="s">
        <v>64</v>
      </c>
      <c r="G300" s="191"/>
      <c r="H300" s="193"/>
      <c r="I300" s="482"/>
      <c r="J300" s="479"/>
      <c r="K300" s="191"/>
      <c r="L300" s="191"/>
      <c r="M300" s="183"/>
      <c r="N300" s="183"/>
      <c r="O300" s="183"/>
      <c r="P300" s="191"/>
      <c r="Q300" s="137"/>
    </row>
    <row r="301" spans="1:17" s="4" customFormat="1" ht="15.75" customHeight="1">
      <c r="A301" s="451"/>
      <c r="B301" s="122" t="s">
        <v>421</v>
      </c>
      <c r="C301" s="157" t="s">
        <v>420</v>
      </c>
      <c r="D301" s="48" t="s">
        <v>248</v>
      </c>
      <c r="E301" s="430"/>
      <c r="F301" s="59" t="s">
        <v>64</v>
      </c>
      <c r="G301" s="191"/>
      <c r="H301" s="193"/>
      <c r="I301" s="482"/>
      <c r="J301" s="479"/>
      <c r="K301" s="191"/>
      <c r="L301" s="191"/>
      <c r="M301" s="183"/>
      <c r="N301" s="183"/>
      <c r="O301" s="194"/>
      <c r="P301" s="191"/>
      <c r="Q301" s="137"/>
    </row>
    <row r="302" spans="1:17" s="4" customFormat="1" ht="15.75" customHeight="1">
      <c r="A302" s="451"/>
      <c r="B302" s="122" t="s">
        <v>103</v>
      </c>
      <c r="C302" s="157" t="s">
        <v>197</v>
      </c>
      <c r="D302" s="48" t="s">
        <v>104</v>
      </c>
      <c r="E302" s="430"/>
      <c r="F302" s="59" t="s">
        <v>105</v>
      </c>
      <c r="G302" s="191"/>
      <c r="H302" s="191"/>
      <c r="I302" s="482"/>
      <c r="J302" s="479"/>
      <c r="K302" s="191"/>
      <c r="L302" s="191"/>
      <c r="M302" s="183">
        <f>'Total July'!O572</f>
        <v>47</v>
      </c>
      <c r="N302" s="183"/>
      <c r="O302" s="191"/>
      <c r="P302" s="191"/>
      <c r="Q302" s="137"/>
    </row>
    <row r="303" spans="1:17" ht="15.75" customHeight="1" thickBot="1">
      <c r="A303" s="451"/>
      <c r="B303" s="137" t="s">
        <v>112</v>
      </c>
      <c r="C303" s="157" t="s">
        <v>197</v>
      </c>
      <c r="D303" s="48" t="s">
        <v>104</v>
      </c>
      <c r="E303" s="430"/>
      <c r="F303" s="59" t="s">
        <v>113</v>
      </c>
      <c r="G303" s="12"/>
      <c r="H303" s="237"/>
      <c r="I303" s="483"/>
      <c r="J303" s="480"/>
      <c r="K303" s="116"/>
      <c r="L303" s="116"/>
      <c r="M303" s="121">
        <f>'Total July'!O573</f>
        <v>34</v>
      </c>
      <c r="N303" s="121"/>
      <c r="O303" s="116"/>
      <c r="P303" s="12"/>
      <c r="Q303" s="119"/>
    </row>
    <row r="304" spans="1:17" ht="15" hidden="1" customHeight="1">
      <c r="A304" s="450" t="s">
        <v>498</v>
      </c>
      <c r="B304" s="429" t="s">
        <v>44</v>
      </c>
      <c r="C304" s="432" t="s">
        <v>241</v>
      </c>
      <c r="D304" s="19" t="s">
        <v>37</v>
      </c>
      <c r="E304" s="19" t="s">
        <v>25</v>
      </c>
      <c r="F304" s="39" t="s">
        <v>40</v>
      </c>
      <c r="G304" s="120"/>
      <c r="H304" s="30"/>
      <c r="I304" s="481"/>
      <c r="J304" s="478"/>
      <c r="K304" s="30"/>
      <c r="L304" s="30"/>
      <c r="M304" s="30"/>
      <c r="N304" s="30"/>
      <c r="O304" s="208"/>
      <c r="P304" s="208"/>
      <c r="Q304" s="19"/>
    </row>
    <row r="305" spans="1:20" ht="15" hidden="1" customHeight="1">
      <c r="A305" s="451"/>
      <c r="B305" s="431"/>
      <c r="C305" s="434"/>
      <c r="D305" s="119" t="s">
        <v>307</v>
      </c>
      <c r="E305" s="115" t="s">
        <v>24</v>
      </c>
      <c r="F305" s="118" t="s">
        <v>40</v>
      </c>
      <c r="G305" s="47"/>
      <c r="H305" s="12"/>
      <c r="I305" s="482"/>
      <c r="J305" s="479"/>
      <c r="K305" s="12"/>
      <c r="L305" s="12"/>
      <c r="M305" s="12"/>
      <c r="N305" s="12"/>
      <c r="O305" s="194"/>
      <c r="P305" s="194"/>
      <c r="Q305" s="113"/>
    </row>
    <row r="306" spans="1:20" ht="16.5" hidden="1" customHeight="1">
      <c r="A306" s="451"/>
      <c r="B306" s="442" t="s">
        <v>45</v>
      </c>
      <c r="C306" s="471" t="s">
        <v>59</v>
      </c>
      <c r="D306" s="48" t="s">
        <v>75</v>
      </c>
      <c r="E306" s="441" t="s">
        <v>25</v>
      </c>
      <c r="F306" s="122" t="s">
        <v>57</v>
      </c>
      <c r="G306" s="47"/>
      <c r="H306" s="12"/>
      <c r="I306" s="482"/>
      <c r="J306" s="479"/>
      <c r="K306" s="12"/>
      <c r="L306" s="12"/>
      <c r="M306" s="12"/>
      <c r="N306" s="12"/>
      <c r="O306" s="194"/>
      <c r="P306" s="194"/>
      <c r="Q306" s="113"/>
    </row>
    <row r="307" spans="1:20" ht="16.5" hidden="1" customHeight="1">
      <c r="A307" s="451"/>
      <c r="B307" s="439"/>
      <c r="C307" s="471"/>
      <c r="D307" s="48" t="s">
        <v>94</v>
      </c>
      <c r="E307" s="425"/>
      <c r="F307" s="119"/>
      <c r="G307" s="47"/>
      <c r="H307" s="31"/>
      <c r="I307" s="482"/>
      <c r="J307" s="479"/>
      <c r="K307" s="12"/>
      <c r="L307" s="12"/>
      <c r="M307" s="12"/>
      <c r="N307" s="12"/>
      <c r="O307" s="194"/>
      <c r="P307" s="194"/>
      <c r="Q307" s="113"/>
    </row>
    <row r="308" spans="1:20" ht="15.75" hidden="1" customHeight="1">
      <c r="A308" s="451"/>
      <c r="B308" s="439"/>
      <c r="C308" s="471"/>
      <c r="D308" s="118" t="s">
        <v>72</v>
      </c>
      <c r="E308" s="424" t="s">
        <v>24</v>
      </c>
      <c r="F308" s="119" t="s">
        <v>57</v>
      </c>
      <c r="G308" s="47"/>
      <c r="H308" s="12"/>
      <c r="I308" s="482"/>
      <c r="J308" s="479"/>
      <c r="K308" s="12"/>
      <c r="L308" s="12"/>
      <c r="M308" s="12"/>
      <c r="N308" s="12"/>
      <c r="O308" s="194"/>
      <c r="P308" s="194"/>
      <c r="Q308" s="119"/>
    </row>
    <row r="309" spans="1:20" ht="15.75" hidden="1" customHeight="1">
      <c r="A309" s="451"/>
      <c r="B309" s="439"/>
      <c r="C309" s="471"/>
      <c r="D309" s="115" t="s">
        <v>73</v>
      </c>
      <c r="E309" s="425"/>
      <c r="F309" s="119"/>
      <c r="G309" s="47"/>
      <c r="H309" s="12"/>
      <c r="I309" s="482"/>
      <c r="J309" s="479"/>
      <c r="K309" s="12"/>
      <c r="L309" s="12"/>
      <c r="M309" s="12"/>
      <c r="N309" s="12"/>
      <c r="O309" s="117"/>
      <c r="P309" s="117"/>
      <c r="Q309" s="119"/>
      <c r="S309" s="13"/>
      <c r="T309" s="13"/>
    </row>
    <row r="310" spans="1:20" ht="20.25" hidden="1" customHeight="1">
      <c r="A310" s="451"/>
      <c r="B310" s="439"/>
      <c r="C310" s="471"/>
      <c r="D310" s="43" t="s">
        <v>79</v>
      </c>
      <c r="E310" s="424" t="s">
        <v>65</v>
      </c>
      <c r="F310" s="122" t="s">
        <v>57</v>
      </c>
      <c r="G310" s="12"/>
      <c r="H310" s="119"/>
      <c r="I310" s="482"/>
      <c r="J310" s="479"/>
      <c r="K310" s="12"/>
      <c r="L310" s="12"/>
      <c r="M310" s="12"/>
      <c r="N310" s="12"/>
      <c r="O310" s="194"/>
      <c r="P310" s="194"/>
      <c r="Q310" s="119"/>
    </row>
    <row r="311" spans="1:20" ht="15" hidden="1" customHeight="1">
      <c r="A311" s="451"/>
      <c r="B311" s="439"/>
      <c r="C311" s="471"/>
      <c r="D311" s="115" t="s">
        <v>80</v>
      </c>
      <c r="E311" s="441"/>
      <c r="F311" s="119"/>
      <c r="G311" s="47"/>
      <c r="H311" s="119"/>
      <c r="I311" s="482"/>
      <c r="J311" s="479"/>
      <c r="K311" s="12"/>
      <c r="L311" s="12"/>
      <c r="M311" s="12"/>
      <c r="N311" s="12"/>
      <c r="O311" s="117"/>
      <c r="P311" s="117"/>
      <c r="Q311" s="119"/>
    </row>
    <row r="312" spans="1:20" ht="15" hidden="1" customHeight="1">
      <c r="A312" s="451"/>
      <c r="B312" s="439"/>
      <c r="C312" s="471"/>
      <c r="D312" s="115" t="s">
        <v>42</v>
      </c>
      <c r="E312" s="424" t="s">
        <v>25</v>
      </c>
      <c r="F312" s="119"/>
      <c r="G312" s="12"/>
      <c r="H312" s="31"/>
      <c r="I312" s="482"/>
      <c r="J312" s="479"/>
      <c r="K312" s="12"/>
      <c r="L312" s="12"/>
      <c r="M312" s="12"/>
      <c r="N312" s="12"/>
      <c r="O312" s="12"/>
      <c r="P312" s="12"/>
      <c r="Q312" s="119"/>
    </row>
    <row r="313" spans="1:20" ht="15" hidden="1" customHeight="1">
      <c r="A313" s="451"/>
      <c r="B313" s="439"/>
      <c r="C313" s="448" t="s">
        <v>300</v>
      </c>
      <c r="D313" s="115" t="s">
        <v>296</v>
      </c>
      <c r="E313" s="425"/>
      <c r="F313" s="119" t="s">
        <v>298</v>
      </c>
      <c r="G313" s="119"/>
      <c r="H313" s="31"/>
      <c r="I313" s="482"/>
      <c r="J313" s="479"/>
      <c r="K313" s="12"/>
      <c r="L313" s="12"/>
      <c r="M313" s="12"/>
      <c r="N313" s="12"/>
      <c r="O313" s="117"/>
      <c r="P313" s="117"/>
      <c r="Q313" s="119"/>
    </row>
    <row r="314" spans="1:20" ht="15" hidden="1" customHeight="1">
      <c r="A314" s="451"/>
      <c r="B314" s="443"/>
      <c r="C314" s="449"/>
      <c r="D314" s="43" t="s">
        <v>75</v>
      </c>
      <c r="E314" s="89" t="s">
        <v>25</v>
      </c>
      <c r="F314" s="122" t="s">
        <v>298</v>
      </c>
      <c r="G314" s="119"/>
      <c r="H314" s="12"/>
      <c r="I314" s="482"/>
      <c r="J314" s="479"/>
      <c r="K314" s="12"/>
      <c r="L314" s="12"/>
      <c r="M314" s="12"/>
      <c r="N314" s="12"/>
      <c r="O314" s="117"/>
      <c r="P314" s="117"/>
      <c r="Q314" s="119"/>
    </row>
    <row r="315" spans="1:20" ht="20.25" hidden="1" customHeight="1">
      <c r="A315" s="451"/>
      <c r="B315" s="439" t="s">
        <v>53</v>
      </c>
      <c r="C315" s="445" t="s">
        <v>60</v>
      </c>
      <c r="D315" s="43" t="s">
        <v>320</v>
      </c>
      <c r="E315" s="448" t="s">
        <v>66</v>
      </c>
      <c r="F315" s="118" t="s">
        <v>54</v>
      </c>
      <c r="G315" s="12"/>
      <c r="H315" s="113"/>
      <c r="I315" s="482"/>
      <c r="J315" s="479"/>
      <c r="K315" s="12"/>
      <c r="L315" s="12"/>
      <c r="M315" s="12"/>
      <c r="N315" s="12"/>
      <c r="O315" s="117"/>
      <c r="P315" s="117"/>
      <c r="Q315" s="119"/>
    </row>
    <row r="316" spans="1:20" ht="15" hidden="1" customHeight="1">
      <c r="A316" s="451"/>
      <c r="B316" s="439"/>
      <c r="C316" s="445"/>
      <c r="D316" s="43" t="s">
        <v>387</v>
      </c>
      <c r="E316" s="449"/>
      <c r="F316" s="48" t="s">
        <v>54</v>
      </c>
      <c r="G316" s="12"/>
      <c r="H316" s="207"/>
      <c r="I316" s="482"/>
      <c r="J316" s="479"/>
      <c r="K316" s="12"/>
      <c r="L316" s="12"/>
      <c r="M316" s="12"/>
      <c r="N316" s="117"/>
      <c r="O316" s="117"/>
      <c r="P316" s="117"/>
      <c r="Q316" s="119"/>
    </row>
    <row r="317" spans="1:20" ht="15" hidden="1" customHeight="1">
      <c r="A317" s="451"/>
      <c r="B317" s="439"/>
      <c r="C317" s="445"/>
      <c r="D317" s="48" t="s">
        <v>199</v>
      </c>
      <c r="E317" s="494" t="s">
        <v>25</v>
      </c>
      <c r="F317" s="48" t="s">
        <v>54</v>
      </c>
      <c r="G317" s="47"/>
      <c r="H317" s="31"/>
      <c r="I317" s="482"/>
      <c r="J317" s="479"/>
      <c r="K317" s="12"/>
      <c r="L317" s="12"/>
      <c r="M317" s="12"/>
      <c r="N317" s="117"/>
      <c r="O317" s="117"/>
      <c r="P317" s="117"/>
      <c r="Q317" s="119"/>
    </row>
    <row r="318" spans="1:20" ht="18.75" hidden="1" customHeight="1">
      <c r="A318" s="451"/>
      <c r="B318" s="439"/>
      <c r="C318" s="445"/>
      <c r="D318" s="48" t="s">
        <v>385</v>
      </c>
      <c r="E318" s="495"/>
      <c r="F318" s="119"/>
      <c r="G318" s="196"/>
      <c r="H318" s="31"/>
      <c r="I318" s="482"/>
      <c r="J318" s="479"/>
      <c r="K318" s="183"/>
      <c r="L318" s="183"/>
      <c r="M318" s="183"/>
      <c r="N318" s="183"/>
      <c r="O318" s="183"/>
      <c r="P318" s="183"/>
      <c r="Q318" s="2"/>
      <c r="S318" s="13"/>
    </row>
    <row r="319" spans="1:20" ht="18.75" hidden="1" customHeight="1">
      <c r="A319" s="451"/>
      <c r="B319" s="443"/>
      <c r="C319" s="446"/>
      <c r="D319" s="43" t="s">
        <v>324</v>
      </c>
      <c r="E319" s="113" t="s">
        <v>65</v>
      </c>
      <c r="F319" s="119"/>
      <c r="G319" s="47"/>
      <c r="H319" s="117"/>
      <c r="I319" s="482"/>
      <c r="J319" s="479"/>
      <c r="K319" s="12"/>
      <c r="L319" s="12"/>
      <c r="M319" s="12"/>
      <c r="N319" s="12"/>
      <c r="O319" s="117"/>
      <c r="P319" s="117"/>
      <c r="Q319" s="2"/>
      <c r="S319" s="13"/>
      <c r="T319" s="13"/>
    </row>
    <row r="320" spans="1:20" ht="18.75" hidden="1" customHeight="1">
      <c r="A320" s="451"/>
      <c r="B320" s="442" t="s">
        <v>55</v>
      </c>
      <c r="C320" s="444" t="s">
        <v>133</v>
      </c>
      <c r="D320" s="43" t="s">
        <v>56</v>
      </c>
      <c r="E320" s="430" t="s">
        <v>25</v>
      </c>
      <c r="F320" s="48" t="s">
        <v>67</v>
      </c>
      <c r="G320" s="218"/>
      <c r="H320" s="12"/>
      <c r="I320" s="482"/>
      <c r="J320" s="479"/>
      <c r="K320" s="183"/>
      <c r="L320" s="183"/>
      <c r="M320" s="183"/>
      <c r="N320" s="183"/>
      <c r="O320" s="12"/>
      <c r="P320" s="117"/>
      <c r="Q320" s="2"/>
      <c r="S320" s="13"/>
    </row>
    <row r="321" spans="1:20" ht="18.75" hidden="1" customHeight="1">
      <c r="A321" s="451"/>
      <c r="B321" s="443"/>
      <c r="C321" s="446"/>
      <c r="D321" s="43" t="s">
        <v>68</v>
      </c>
      <c r="E321" s="430"/>
      <c r="F321" s="48"/>
      <c r="G321" s="31"/>
      <c r="H321" s="12"/>
      <c r="I321" s="482"/>
      <c r="J321" s="479"/>
      <c r="K321" s="117"/>
      <c r="L321" s="117"/>
      <c r="M321" s="12"/>
      <c r="N321" s="12"/>
      <c r="O321" s="117"/>
      <c r="P321" s="117"/>
      <c r="Q321" s="2"/>
      <c r="S321" s="13"/>
    </row>
    <row r="322" spans="1:20" s="4" customFormat="1" ht="15.75" hidden="1" customHeight="1">
      <c r="A322" s="451"/>
      <c r="B322" s="137" t="s">
        <v>122</v>
      </c>
      <c r="C322" s="157" t="s">
        <v>123</v>
      </c>
      <c r="D322" s="48" t="s">
        <v>56</v>
      </c>
      <c r="E322" s="430"/>
      <c r="F322" s="48" t="s">
        <v>64</v>
      </c>
      <c r="G322" s="183"/>
      <c r="H322" s="193"/>
      <c r="I322" s="482"/>
      <c r="J322" s="479"/>
      <c r="K322" s="183"/>
      <c r="L322" s="183"/>
      <c r="M322" s="183"/>
      <c r="N322" s="183"/>
      <c r="O322" s="194"/>
      <c r="P322" s="191"/>
      <c r="Q322" s="122"/>
    </row>
    <row r="323" spans="1:20" s="4" customFormat="1" ht="15.75" hidden="1" customHeight="1">
      <c r="A323" s="451"/>
      <c r="B323" s="137" t="s">
        <v>58</v>
      </c>
      <c r="C323" s="157" t="s">
        <v>243</v>
      </c>
      <c r="D323" s="48" t="s">
        <v>56</v>
      </c>
      <c r="E323" s="430"/>
      <c r="F323" s="59" t="s">
        <v>64</v>
      </c>
      <c r="G323" s="191"/>
      <c r="H323" s="193"/>
      <c r="I323" s="482"/>
      <c r="J323" s="479"/>
      <c r="K323" s="183"/>
      <c r="L323" s="183"/>
      <c r="M323" s="183"/>
      <c r="N323" s="183"/>
      <c r="O323" s="194"/>
      <c r="P323" s="191"/>
      <c r="Q323" s="122"/>
    </row>
    <row r="324" spans="1:20" s="4" customFormat="1" ht="15.75" hidden="1" customHeight="1">
      <c r="A324" s="451"/>
      <c r="B324" s="122" t="s">
        <v>61</v>
      </c>
      <c r="C324" s="180" t="s">
        <v>137</v>
      </c>
      <c r="D324" s="48" t="s">
        <v>56</v>
      </c>
      <c r="E324" s="430"/>
      <c r="F324" s="59" t="s">
        <v>67</v>
      </c>
      <c r="G324" s="191"/>
      <c r="H324" s="193"/>
      <c r="I324" s="482"/>
      <c r="J324" s="479"/>
      <c r="K324" s="183"/>
      <c r="L324" s="183"/>
      <c r="M324" s="183"/>
      <c r="N324" s="183"/>
      <c r="O324" s="194"/>
      <c r="P324" s="191"/>
      <c r="Q324" s="122"/>
    </row>
    <row r="325" spans="1:20" s="4" customFormat="1" ht="15.75" hidden="1" customHeight="1">
      <c r="A325" s="451"/>
      <c r="B325" s="122" t="s">
        <v>125</v>
      </c>
      <c r="C325" s="180" t="s">
        <v>88</v>
      </c>
      <c r="D325" s="48" t="s">
        <v>124</v>
      </c>
      <c r="E325" s="430"/>
      <c r="F325" s="48" t="s">
        <v>64</v>
      </c>
      <c r="G325" s="191"/>
      <c r="H325" s="193"/>
      <c r="I325" s="482"/>
      <c r="J325" s="479"/>
      <c r="K325" s="183"/>
      <c r="L325" s="183"/>
      <c r="M325" s="183"/>
      <c r="N325" s="183"/>
      <c r="O325" s="194"/>
      <c r="P325" s="191"/>
      <c r="Q325" s="122"/>
    </row>
    <row r="326" spans="1:20" s="4" customFormat="1" ht="15.75" hidden="1" customHeight="1">
      <c r="A326" s="451"/>
      <c r="B326" s="122" t="s">
        <v>463</v>
      </c>
      <c r="C326" s="157" t="s">
        <v>464</v>
      </c>
      <c r="D326" s="48" t="s">
        <v>246</v>
      </c>
      <c r="E326" s="430"/>
      <c r="F326" s="48" t="s">
        <v>64</v>
      </c>
      <c r="G326" s="191"/>
      <c r="H326" s="193"/>
      <c r="I326" s="482"/>
      <c r="J326" s="479"/>
      <c r="K326" s="183"/>
      <c r="L326" s="183"/>
      <c r="M326" s="183"/>
      <c r="N326" s="183"/>
      <c r="O326" s="194"/>
      <c r="P326" s="191"/>
      <c r="Q326" s="122"/>
    </row>
    <row r="327" spans="1:20" s="4" customFormat="1" ht="15.75" hidden="1" customHeight="1">
      <c r="A327" s="451"/>
      <c r="B327" s="442" t="s">
        <v>47</v>
      </c>
      <c r="C327" s="444" t="s">
        <v>100</v>
      </c>
      <c r="D327" s="89" t="s">
        <v>458</v>
      </c>
      <c r="E327" s="430"/>
      <c r="F327" s="89" t="s">
        <v>71</v>
      </c>
      <c r="G327" s="191"/>
      <c r="H327" s="193"/>
      <c r="I327" s="482"/>
      <c r="J327" s="479"/>
      <c r="K327" s="183"/>
      <c r="L327" s="183"/>
      <c r="M327" s="183"/>
      <c r="N327" s="183"/>
      <c r="O327" s="194"/>
      <c r="P327" s="191"/>
      <c r="Q327" s="122"/>
    </row>
    <row r="328" spans="1:20" ht="15.75" hidden="1" customHeight="1">
      <c r="A328" s="451"/>
      <c r="B328" s="443"/>
      <c r="C328" s="446"/>
      <c r="D328" s="59" t="s">
        <v>121</v>
      </c>
      <c r="E328" s="430"/>
      <c r="F328" s="59"/>
      <c r="G328" s="116"/>
      <c r="H328" s="116"/>
      <c r="I328" s="482"/>
      <c r="J328" s="479"/>
      <c r="K328" s="31"/>
      <c r="L328" s="31"/>
      <c r="M328" s="12"/>
      <c r="N328" s="12"/>
      <c r="O328" s="117"/>
      <c r="P328" s="116"/>
      <c r="Q328" s="119"/>
      <c r="T328" s="13"/>
    </row>
    <row r="329" spans="1:20" ht="15.75" hidden="1" customHeight="1">
      <c r="A329" s="451"/>
      <c r="B329" s="442" t="s">
        <v>47</v>
      </c>
      <c r="C329" s="444" t="s">
        <v>457</v>
      </c>
      <c r="D329" s="59" t="s">
        <v>458</v>
      </c>
      <c r="E329" s="430"/>
      <c r="F329" s="59" t="s">
        <v>459</v>
      </c>
      <c r="G329" s="116"/>
      <c r="H329" s="116"/>
      <c r="I329" s="482"/>
      <c r="J329" s="479"/>
      <c r="K329" s="31"/>
      <c r="L329" s="31"/>
      <c r="M329" s="12"/>
      <c r="N329" s="12"/>
      <c r="O329" s="117"/>
      <c r="P329" s="116"/>
      <c r="Q329" s="119"/>
      <c r="T329" s="13"/>
    </row>
    <row r="330" spans="1:20" ht="15.75" hidden="1" customHeight="1">
      <c r="A330" s="451"/>
      <c r="B330" s="439"/>
      <c r="C330" s="445"/>
      <c r="D330" s="59" t="s">
        <v>460</v>
      </c>
      <c r="E330" s="430"/>
      <c r="F330" s="59"/>
      <c r="G330" s="116"/>
      <c r="H330" s="116"/>
      <c r="I330" s="482"/>
      <c r="J330" s="479"/>
      <c r="K330" s="31"/>
      <c r="L330" s="31"/>
      <c r="M330" s="12"/>
      <c r="N330" s="12"/>
      <c r="O330" s="117"/>
      <c r="P330" s="116"/>
      <c r="Q330" s="119"/>
      <c r="T330" s="13"/>
    </row>
    <row r="331" spans="1:20" s="4" customFormat="1" ht="15.75" hidden="1" customHeight="1">
      <c r="A331" s="451"/>
      <c r="B331" s="122" t="s">
        <v>196</v>
      </c>
      <c r="C331" s="180" t="s">
        <v>63</v>
      </c>
      <c r="D331" s="48" t="s">
        <v>135</v>
      </c>
      <c r="E331" s="430"/>
      <c r="F331" s="59" t="s">
        <v>64</v>
      </c>
      <c r="G331" s="183"/>
      <c r="H331" s="191"/>
      <c r="I331" s="482"/>
      <c r="J331" s="479"/>
      <c r="K331" s="183"/>
      <c r="L331" s="183"/>
      <c r="M331" s="183"/>
      <c r="N331" s="183"/>
      <c r="O331" s="183"/>
      <c r="P331" s="183"/>
      <c r="Q331" s="122"/>
    </row>
    <row r="332" spans="1:20" ht="18.75" hidden="1" customHeight="1">
      <c r="A332" s="451"/>
      <c r="B332" s="122" t="s">
        <v>101</v>
      </c>
      <c r="C332" s="180" t="s">
        <v>327</v>
      </c>
      <c r="D332" s="48" t="s">
        <v>102</v>
      </c>
      <c r="E332" s="430"/>
      <c r="F332" s="48" t="s">
        <v>64</v>
      </c>
      <c r="G332" s="31"/>
      <c r="H332" s="116"/>
      <c r="I332" s="482"/>
      <c r="J332" s="479"/>
      <c r="K332" s="12"/>
      <c r="L332" s="12"/>
      <c r="M332" s="12"/>
      <c r="N332" s="12"/>
      <c r="O332" s="117"/>
      <c r="P332" s="117"/>
      <c r="Q332" s="2"/>
      <c r="S332" s="13"/>
    </row>
    <row r="333" spans="1:20" ht="15.75" hidden="1" customHeight="1">
      <c r="A333" s="451"/>
      <c r="B333" s="295" t="s">
        <v>366</v>
      </c>
      <c r="C333" s="296" t="s">
        <v>367</v>
      </c>
      <c r="D333" s="297" t="s">
        <v>132</v>
      </c>
      <c r="E333" s="430"/>
      <c r="F333" s="298" t="s">
        <v>64</v>
      </c>
      <c r="G333" s="12"/>
      <c r="H333" s="31"/>
      <c r="I333" s="482"/>
      <c r="J333" s="479"/>
      <c r="K333" s="116"/>
      <c r="L333" s="116"/>
      <c r="M333" s="12"/>
      <c r="N333" s="12"/>
      <c r="O333" s="12"/>
      <c r="P333" s="12"/>
      <c r="Q333" s="119"/>
      <c r="S333" s="13"/>
    </row>
    <row r="334" spans="1:20" ht="15.75" hidden="1" customHeight="1">
      <c r="A334" s="451"/>
      <c r="B334" s="122" t="s">
        <v>363</v>
      </c>
      <c r="C334" s="180" t="s">
        <v>325</v>
      </c>
      <c r="D334" s="48" t="s">
        <v>328</v>
      </c>
      <c r="E334" s="430"/>
      <c r="F334" s="59" t="s">
        <v>48</v>
      </c>
      <c r="G334" s="31"/>
      <c r="H334" s="123"/>
      <c r="I334" s="482"/>
      <c r="J334" s="479"/>
      <c r="K334" s="12"/>
      <c r="L334" s="12"/>
      <c r="M334" s="121"/>
      <c r="N334" s="121"/>
      <c r="O334" s="117"/>
      <c r="P334" s="12"/>
      <c r="Q334" s="119"/>
    </row>
    <row r="335" spans="1:20" ht="15.75" hidden="1" customHeight="1">
      <c r="A335" s="451"/>
      <c r="B335" s="122" t="s">
        <v>107</v>
      </c>
      <c r="C335" s="180" t="s">
        <v>386</v>
      </c>
      <c r="D335" s="48" t="s">
        <v>108</v>
      </c>
      <c r="E335" s="430"/>
      <c r="F335" s="48" t="s">
        <v>48</v>
      </c>
      <c r="G335" s="116"/>
      <c r="H335" s="116"/>
      <c r="I335" s="482"/>
      <c r="J335" s="479"/>
      <c r="K335" s="116"/>
      <c r="L335" s="116"/>
      <c r="M335" s="12"/>
      <c r="N335" s="12"/>
      <c r="O335" s="12"/>
      <c r="P335" s="116"/>
      <c r="Q335" s="119"/>
    </row>
    <row r="336" spans="1:20" ht="15.75" hidden="1" customHeight="1">
      <c r="A336" s="451"/>
      <c r="B336" s="122" t="s">
        <v>253</v>
      </c>
      <c r="C336" s="180" t="s">
        <v>365</v>
      </c>
      <c r="D336" s="48" t="s">
        <v>246</v>
      </c>
      <c r="E336" s="430"/>
      <c r="F336" s="59" t="s">
        <v>247</v>
      </c>
      <c r="G336" s="47"/>
      <c r="H336" s="116"/>
      <c r="I336" s="482"/>
      <c r="J336" s="479"/>
      <c r="K336" s="12"/>
      <c r="L336" s="12"/>
      <c r="M336" s="12"/>
      <c r="N336" s="12"/>
      <c r="O336" s="117"/>
      <c r="P336" s="116"/>
      <c r="Q336" s="119"/>
    </row>
    <row r="337" spans="1:20" ht="15.75" hidden="1" customHeight="1">
      <c r="A337" s="451"/>
      <c r="B337" s="442" t="s">
        <v>289</v>
      </c>
      <c r="C337" s="444" t="s">
        <v>290</v>
      </c>
      <c r="D337" s="48" t="s">
        <v>432</v>
      </c>
      <c r="E337" s="430"/>
      <c r="F337" s="59" t="s">
        <v>435</v>
      </c>
      <c r="G337" s="47"/>
      <c r="H337" s="49"/>
      <c r="I337" s="482"/>
      <c r="J337" s="479"/>
      <c r="K337" s="12"/>
      <c r="L337" s="12"/>
      <c r="M337" s="12"/>
      <c r="N337" s="12"/>
      <c r="O337" s="117"/>
      <c r="P337" s="116"/>
      <c r="Q337" s="119"/>
    </row>
    <row r="338" spans="1:20" ht="15.75" hidden="1" customHeight="1">
      <c r="A338" s="451"/>
      <c r="B338" s="443"/>
      <c r="C338" s="446"/>
      <c r="D338" s="48" t="s">
        <v>433</v>
      </c>
      <c r="E338" s="430"/>
      <c r="F338" s="59"/>
      <c r="G338" s="116"/>
      <c r="H338" s="49"/>
      <c r="I338" s="482"/>
      <c r="J338" s="479"/>
      <c r="K338" s="12"/>
      <c r="L338" s="12"/>
      <c r="M338" s="12"/>
      <c r="N338" s="12"/>
      <c r="O338" s="12"/>
      <c r="P338" s="116"/>
      <c r="Q338" s="119"/>
      <c r="S338" s="13"/>
    </row>
    <row r="339" spans="1:20" ht="15.75" hidden="1" customHeight="1">
      <c r="A339" s="451"/>
      <c r="B339" s="268" t="s">
        <v>453</v>
      </c>
      <c r="C339" s="335" t="s">
        <v>438</v>
      </c>
      <c r="D339" s="48" t="s">
        <v>432</v>
      </c>
      <c r="E339" s="430"/>
      <c r="F339" s="59" t="s">
        <v>57</v>
      </c>
      <c r="G339" s="116"/>
      <c r="H339" s="184"/>
      <c r="I339" s="482"/>
      <c r="J339" s="479"/>
      <c r="K339" s="12"/>
      <c r="L339" s="12"/>
      <c r="M339" s="12"/>
      <c r="N339" s="12"/>
      <c r="O339" s="12"/>
      <c r="P339" s="116"/>
      <c r="Q339" s="131"/>
    </row>
    <row r="340" spans="1:20" ht="15.75" hidden="1" customHeight="1">
      <c r="A340" s="451"/>
      <c r="B340" s="122" t="s">
        <v>375</v>
      </c>
      <c r="C340" s="157" t="s">
        <v>376</v>
      </c>
      <c r="D340" s="48" t="s">
        <v>248</v>
      </c>
      <c r="E340" s="430"/>
      <c r="F340" s="59" t="s">
        <v>64</v>
      </c>
      <c r="G340" s="116"/>
      <c r="H340" s="49"/>
      <c r="I340" s="482"/>
      <c r="J340" s="479"/>
      <c r="K340" s="116"/>
      <c r="L340" s="116"/>
      <c r="M340" s="12"/>
      <c r="N340" s="12"/>
      <c r="O340" s="12"/>
      <c r="P340" s="116"/>
      <c r="Q340" s="131"/>
    </row>
    <row r="341" spans="1:20" ht="15.75" hidden="1" customHeight="1">
      <c r="A341" s="451"/>
      <c r="B341" s="122" t="s">
        <v>421</v>
      </c>
      <c r="C341" s="157" t="s">
        <v>420</v>
      </c>
      <c r="D341" s="48" t="s">
        <v>248</v>
      </c>
      <c r="E341" s="430"/>
      <c r="F341" s="59" t="s">
        <v>64</v>
      </c>
      <c r="G341" s="116"/>
      <c r="H341" s="49"/>
      <c r="I341" s="482"/>
      <c r="J341" s="479"/>
      <c r="K341" s="116"/>
      <c r="L341" s="116"/>
      <c r="M341" s="12"/>
      <c r="N341" s="12"/>
      <c r="O341" s="117"/>
      <c r="P341" s="116"/>
      <c r="Q341" s="131"/>
    </row>
    <row r="342" spans="1:20" ht="15.75" hidden="1" customHeight="1">
      <c r="A342" s="451"/>
      <c r="B342" s="122" t="s">
        <v>103</v>
      </c>
      <c r="C342" s="157" t="s">
        <v>197</v>
      </c>
      <c r="D342" s="48" t="s">
        <v>104</v>
      </c>
      <c r="E342" s="430"/>
      <c r="F342" s="59" t="s">
        <v>105</v>
      </c>
      <c r="G342" s="116"/>
      <c r="H342" s="116"/>
      <c r="I342" s="482"/>
      <c r="J342" s="479"/>
      <c r="K342" s="116"/>
      <c r="L342" s="116"/>
      <c r="M342" s="12"/>
      <c r="N342" s="12"/>
      <c r="O342" s="116"/>
      <c r="P342" s="116"/>
      <c r="Q342" s="131"/>
    </row>
    <row r="343" spans="1:20" ht="15.75" hidden="1" customHeight="1" thickBot="1">
      <c r="A343" s="451"/>
      <c r="B343" s="137" t="s">
        <v>112</v>
      </c>
      <c r="C343" s="157" t="s">
        <v>197</v>
      </c>
      <c r="D343" s="48" t="s">
        <v>104</v>
      </c>
      <c r="E343" s="430"/>
      <c r="F343" s="59" t="s">
        <v>113</v>
      </c>
      <c r="G343" s="12"/>
      <c r="H343" s="237"/>
      <c r="I343" s="483"/>
      <c r="J343" s="480"/>
      <c r="K343" s="116"/>
      <c r="L343" s="116"/>
      <c r="M343" s="121"/>
      <c r="N343" s="121"/>
      <c r="O343" s="116"/>
      <c r="P343" s="12"/>
      <c r="Q343" s="119"/>
    </row>
    <row r="344" spans="1:20" s="4" customFormat="1" ht="18" customHeight="1">
      <c r="A344" s="507" t="s">
        <v>204</v>
      </c>
      <c r="B344" s="513" t="s">
        <v>44</v>
      </c>
      <c r="C344" s="511" t="s">
        <v>241</v>
      </c>
      <c r="D344" s="367" t="s">
        <v>37</v>
      </c>
      <c r="E344" s="367" t="s">
        <v>25</v>
      </c>
      <c r="F344" s="368" t="s">
        <v>40</v>
      </c>
      <c r="G344" s="369">
        <f>SUMIFS($G$4:$G$343,$D$4:$D$343,"SC-1020",$F$4:$F$343,"65""")</f>
        <v>404556.33</v>
      </c>
      <c r="H344" s="194">
        <f>SUMIF($D$4:$D$343,"SC-1020",$H$4:$H$343)</f>
        <v>357800</v>
      </c>
      <c r="I344" s="499">
        <f>SUM(I4:I343)</f>
        <v>3468</v>
      </c>
      <c r="J344" s="496">
        <f>SUM(J4:J343)</f>
        <v>177.3</v>
      </c>
      <c r="K344" s="370">
        <f>SUMIFS($K$4:$K$343,$D$4:$D$343,"SC-1020",$F$4:$F$343,"65""")</f>
        <v>5550900</v>
      </c>
      <c r="L344" s="370">
        <f>SUMIFS($L$4:$L$343,$D$4:$D$343,"SC-1020",$F$4:$F$343,"65""")</f>
        <v>695</v>
      </c>
      <c r="M344" s="370">
        <f>SUMIFS($M$4:$M$343,$D$4:$D$343,"SC-1020",$F$4:$F$343,"65""")</f>
        <v>5281835</v>
      </c>
      <c r="N344" s="370">
        <f>SUMIFS($N$4:$N$343,$D$4:$D$343,"SC-1020",$F$4:$F$343,"65""")</f>
        <v>5350916</v>
      </c>
      <c r="O344" s="208">
        <f>SUMIFS($O$4:$O$343,$D$4:$D$343,"SC-1020",$F$4:$F$343,"65""")</f>
        <v>5226735</v>
      </c>
      <c r="P344" s="370">
        <f>SUMIFS($P$4:$P$343,$D$4:$D$343,"SC-1020",$F$4:$F$343,"65""")</f>
        <v>3183</v>
      </c>
      <c r="Q344" s="367"/>
    </row>
    <row r="345" spans="1:20" s="4" customFormat="1" ht="18" customHeight="1">
      <c r="A345" s="508"/>
      <c r="B345" s="439"/>
      <c r="C345" s="445"/>
      <c r="D345" s="122" t="s">
        <v>69</v>
      </c>
      <c r="E345" s="494" t="s">
        <v>24</v>
      </c>
      <c r="F345" s="43" t="s">
        <v>48</v>
      </c>
      <c r="G345" s="196"/>
      <c r="H345" s="183"/>
      <c r="I345" s="500"/>
      <c r="J345" s="497"/>
      <c r="K345" s="183"/>
      <c r="L345" s="183"/>
      <c r="M345" s="183">
        <f>SUMIFS($M$4:$M$343,$D$4:$D$343,"011-3",$F$4:$F$343,"61""")</f>
        <v>16899</v>
      </c>
      <c r="N345" s="183">
        <f>SUMIFS($N$4:$N$343,$D$4:$D$343,"011-3",$F$4:$F$343,"61""")</f>
        <v>5278</v>
      </c>
      <c r="O345" s="183">
        <f>SUMIFS($O$4:$O$343,$D$4:$D$343,"011-3",$F$4:$F$343,"61""")</f>
        <v>26280</v>
      </c>
      <c r="P345" s="183">
        <f>SUMIFS($P$4:$P$343,$D$4:$D$343,"011-3",$F$4:$F$343,"61""")</f>
        <v>29</v>
      </c>
      <c r="Q345" s="268"/>
    </row>
    <row r="346" spans="1:20" s="4" customFormat="1" ht="18" customHeight="1">
      <c r="A346" s="508"/>
      <c r="B346" s="439"/>
      <c r="C346" s="445"/>
      <c r="D346" s="122" t="s">
        <v>69</v>
      </c>
      <c r="E346" s="504"/>
      <c r="F346" s="48" t="s">
        <v>40</v>
      </c>
      <c r="G346" s="196"/>
      <c r="H346" s="183"/>
      <c r="I346" s="500"/>
      <c r="J346" s="497"/>
      <c r="K346" s="183">
        <f>SUMIFS($K$4:$K$343,$D$4:$D$343,"011-3",$F$4:$F$343,"65""")</f>
        <v>159000</v>
      </c>
      <c r="L346" s="183">
        <f>SUMIFS($L$4:$L$343,$D$4:$D$343,"011-3",$F$4:$F$343,"65""")</f>
        <v>20</v>
      </c>
      <c r="M346" s="183">
        <f>SUMIFS($M$4:$M$343,$D$4:$D$343,"011-3",$F$4:$F$343,"65""")</f>
        <v>351991</v>
      </c>
      <c r="N346" s="183">
        <f>SUMIFS($N$4:$N$343,$D$4:$D$343,"011-3",$F$4:$F$343,"65""")</f>
        <v>331115</v>
      </c>
      <c r="O346" s="183">
        <f>SUMIFS($O$4:$O$343,$D$4:$D$343,"011-3",$F$4:$F$343,"65""")</f>
        <v>361609</v>
      </c>
      <c r="P346" s="183">
        <f>SUMIFS($P$4:$P$343,$D$4:$D$343,"011-3",$F$4:$F$343,"65""")</f>
        <v>457</v>
      </c>
      <c r="Q346" s="268"/>
    </row>
    <row r="347" spans="1:20" s="4" customFormat="1" ht="18" customHeight="1">
      <c r="A347" s="508"/>
      <c r="B347" s="439"/>
      <c r="C347" s="445"/>
      <c r="D347" s="122" t="s">
        <v>128</v>
      </c>
      <c r="E347" s="504"/>
      <c r="F347" s="48" t="s">
        <v>40</v>
      </c>
      <c r="G347" s="196">
        <f>SUMIFS($G$4:$G$343,$D$4:$D$343,"011-4",$F$4:$F$343,"65""")</f>
        <v>96436.640000000014</v>
      </c>
      <c r="H347" s="278">
        <f>SUMIF($D$4:$D$343,"011-4",$H$4:$H$343)</f>
        <v>93613.6</v>
      </c>
      <c r="I347" s="500"/>
      <c r="J347" s="497"/>
      <c r="K347" s="183">
        <f>SUMIFS($K$4:$K$343,$D$4:$D$343,"011-4",$F$4:$F$343,"65""")</f>
        <v>1397200</v>
      </c>
      <c r="L347" s="183">
        <f>SUMIFS($L$4:$L$343,$D$4:$D$343,"011-4",$F$4:$F$343,"65""")</f>
        <v>176</v>
      </c>
      <c r="M347" s="183">
        <f>SUMIFS($M$4:$M$343,$D$4:$D$343,"011-4",$F$4:$F$343,"65""")</f>
        <v>1378299</v>
      </c>
      <c r="N347" s="183">
        <f>SUMIFS($N$4:$N$343,$D$4:$D$343,"011-4",$F$4:$F$343,"65""")</f>
        <v>1377828</v>
      </c>
      <c r="O347" s="183">
        <f>SUMIFS($O$4:$O$343,$D$4:$D$343,"011-4",$F$4:$F$343,"65""")</f>
        <v>1378354</v>
      </c>
      <c r="P347" s="183">
        <f>SUMIFS($P$4:$P$343,$D$4:$D$343,"011-4",$F$4:$F$343,"65""")</f>
        <v>3513</v>
      </c>
      <c r="Q347" s="268"/>
    </row>
    <row r="348" spans="1:20" s="4" customFormat="1" ht="18" customHeight="1">
      <c r="A348" s="508"/>
      <c r="B348" s="439"/>
      <c r="C348" s="445"/>
      <c r="D348" s="122" t="s">
        <v>307</v>
      </c>
      <c r="E348" s="504"/>
      <c r="F348" s="48" t="s">
        <v>40</v>
      </c>
      <c r="G348" s="196">
        <f>SUMIFS($G$4:$G$343,$D$4:$D$343,"011-5",$F$4:$F$343,"65""")</f>
        <v>108491.20999999999</v>
      </c>
      <c r="H348" s="194">
        <f>SUMIF($D$4:$D$343,"011-5",$H$4:$H$343)</f>
        <v>97577.200000000012</v>
      </c>
      <c r="I348" s="500"/>
      <c r="J348" s="497"/>
      <c r="K348" s="183">
        <f>SUMIFS($K$4:$K$343,$D$4:$D$343,"011-5",$F$4:$F$343,"65""")</f>
        <v>1424800</v>
      </c>
      <c r="L348" s="183">
        <f>SUMIFS($L$4:$L$343,$D$4:$D$343,"011-5",$F$4:$F$343,"65""")</f>
        <v>179</v>
      </c>
      <c r="M348" s="183">
        <f>SUMIFS($M$4:$M$343,$D$4:$D$343,"011-5",$F$4:$F$343,"65""")</f>
        <v>1288076</v>
      </c>
      <c r="N348" s="183">
        <f>SUMIFS($N$4:$N$343,$D$4:$D$343,"011-5",$F$4:$F$343,"65""")</f>
        <v>1312768</v>
      </c>
      <c r="O348" s="183">
        <f>SUMIFS($O$4:$O$343,$D$4:$D$343,"011-5",$F$4:$F$343,"65""")</f>
        <v>1233527</v>
      </c>
      <c r="P348" s="183">
        <f>SUMIFS($P$4:$P$343,$D$4:$D$343,"011-5",$F$4:$F$343,"65""")</f>
        <v>699</v>
      </c>
      <c r="Q348" s="268"/>
    </row>
    <row r="349" spans="1:20" s="4" customFormat="1" ht="18" customHeight="1">
      <c r="A349" s="508"/>
      <c r="B349" s="443"/>
      <c r="C349" s="446"/>
      <c r="D349" s="122" t="s">
        <v>511</v>
      </c>
      <c r="E349" s="495"/>
      <c r="F349" s="48"/>
      <c r="G349" s="196"/>
      <c r="H349" s="194">
        <f>SUMIF($D$4:$D$343,"011-6A",$H$4:$H$343)</f>
        <v>9671.7000000000007</v>
      </c>
      <c r="I349" s="500"/>
      <c r="J349" s="497"/>
      <c r="K349" s="183"/>
      <c r="L349" s="183"/>
      <c r="M349" s="183"/>
      <c r="N349" s="183"/>
      <c r="O349" s="183"/>
      <c r="P349" s="183"/>
      <c r="Q349" s="268"/>
    </row>
    <row r="350" spans="1:20" s="4" customFormat="1" ht="18" customHeight="1">
      <c r="A350" s="508"/>
      <c r="B350" s="442" t="s">
        <v>45</v>
      </c>
      <c r="C350" s="505" t="s">
        <v>59</v>
      </c>
      <c r="D350" s="48" t="s">
        <v>75</v>
      </c>
      <c r="E350" s="494" t="s">
        <v>25</v>
      </c>
      <c r="F350" s="122" t="s">
        <v>57</v>
      </c>
      <c r="G350" s="196">
        <f>SUMIFS($G$4:$G$343,$D$4:$D$343,"AAZ43",$F$4:$F$343,"66.5""")</f>
        <v>30114.080000000002</v>
      </c>
      <c r="H350" s="183"/>
      <c r="I350" s="500"/>
      <c r="J350" s="497"/>
      <c r="K350" s="183">
        <f>SUMIFS($K$4:$K$343,$D$4:$D$343,"AAZ43",$F$4:$F$343,"66.5""")</f>
        <v>362520</v>
      </c>
      <c r="L350" s="183">
        <f>SUMIFS($L$4:$L$343,$D$4:$D$343,"AAZ43",$F$4:$F$343,"66.5""")</f>
        <v>72</v>
      </c>
      <c r="M350" s="183">
        <f>SUMIFS($M$4:$M$343,$D$4:$D$343,"AAZ43",$F$4:$F$343,"66.5""")</f>
        <v>413208</v>
      </c>
      <c r="N350" s="183">
        <f>SUMIFS($N$4:$N$343,$D$4:$D$343,"AAZ43",$F$4:$F$343,"66.5""")</f>
        <v>395586</v>
      </c>
      <c r="O350" s="183">
        <f>SUMIFS($O$4:$O$343,$D$4:$D$343,"AAZ43",$F$4:$F$343,"66.5""")</f>
        <v>456128</v>
      </c>
      <c r="P350" s="183">
        <f>SUMIFS($P$4:$P$343,$D$4:$D$343,"AAZ43",$F$4:$F$343,"66.5""")</f>
        <v>135</v>
      </c>
      <c r="Q350" s="122"/>
    </row>
    <row r="351" spans="1:20" s="4" customFormat="1" ht="18" customHeight="1">
      <c r="A351" s="508"/>
      <c r="B351" s="439"/>
      <c r="C351" s="512"/>
      <c r="D351" s="48" t="s">
        <v>291</v>
      </c>
      <c r="E351" s="504"/>
      <c r="F351" s="122" t="s">
        <v>57</v>
      </c>
      <c r="G351" s="196">
        <f>SUMIFS($G$4:$G$343,$D$4:$D$343,"RD242Z",$F$4:$F$343,"66.5""")</f>
        <v>6848.64</v>
      </c>
      <c r="H351" s="194"/>
      <c r="I351" s="500"/>
      <c r="J351" s="497"/>
      <c r="K351" s="183">
        <f>SUMIFS($K$4:$K$343,$D$4:$D$343,"RD242Z",$F$4:$F$343,"66.5""")</f>
        <v>88200</v>
      </c>
      <c r="L351" s="183">
        <f>SUMIFS($L$4:$L$343,$D$4:$D$343,"RD242Z",$F$4:$F$343,"66.5""")</f>
        <v>18</v>
      </c>
      <c r="M351" s="183">
        <f>SUMIFS($M$4:$M$343,$D$4:$D$343,"RD242Z",$F$4:$F$343,"66.5""")</f>
        <v>84669</v>
      </c>
      <c r="N351" s="183">
        <f>SUMIFS($N$4:$N$343,$D$4:$D$343,"RD242Z",$F$4:$F$343,"66.5""")</f>
        <v>84669</v>
      </c>
      <c r="O351" s="183">
        <f>SUMIFS($O$4:$O$343,$D$4:$D$343,"RD242Z",$F$4:$F$343,"66.5""")</f>
        <v>84640</v>
      </c>
      <c r="P351" s="183">
        <f>SUMIFS($P$4:$P$343,$D$4:$D$343,"RD242Z",$F$4:$F$343,"66.5""")</f>
        <v>29</v>
      </c>
      <c r="Q351" s="122"/>
    </row>
    <row r="352" spans="1:20" s="4" customFormat="1" ht="18" customHeight="1">
      <c r="A352" s="508"/>
      <c r="B352" s="439"/>
      <c r="C352" s="512"/>
      <c r="D352" s="48" t="s">
        <v>94</v>
      </c>
      <c r="E352" s="495"/>
      <c r="F352" s="122"/>
      <c r="G352" s="196"/>
      <c r="H352" s="194">
        <f>SUMIF($D$4:$D$343,"AAZ86",$H$4:$H$343)</f>
        <v>58741.2</v>
      </c>
      <c r="I352" s="500"/>
      <c r="J352" s="497"/>
      <c r="K352" s="183"/>
      <c r="L352" s="183"/>
      <c r="M352" s="183"/>
      <c r="N352" s="183"/>
      <c r="O352" s="194"/>
      <c r="P352" s="194"/>
      <c r="Q352" s="122"/>
      <c r="S352" s="219"/>
      <c r="T352" s="219"/>
    </row>
    <row r="353" spans="1:19" s="4" customFormat="1" ht="18" customHeight="1">
      <c r="A353" s="508"/>
      <c r="B353" s="439"/>
      <c r="C353" s="512"/>
      <c r="D353" s="48" t="s">
        <v>72</v>
      </c>
      <c r="E353" s="494" t="s">
        <v>24</v>
      </c>
      <c r="F353" s="122" t="s">
        <v>57</v>
      </c>
      <c r="G353" s="183">
        <f>SUMIFS($G$4:$G$343,$D$4:$D$343,"1800A",$F$4:$F$343,"66.5""")</f>
        <v>42288.19</v>
      </c>
      <c r="H353" s="294"/>
      <c r="I353" s="500"/>
      <c r="J353" s="497"/>
      <c r="K353" s="183">
        <f>SUMIFS($K$4:$K$343,$D$4:$D$343,"1800A",$F$4:$F$343,"66.5""")</f>
        <v>534800</v>
      </c>
      <c r="L353" s="183">
        <f>SUMIFS($L$4:$L$343,$D$4:$D$343,"1800A",$F$4:$F$343,"66.5""")</f>
        <v>109</v>
      </c>
      <c r="M353" s="183">
        <f>SUMIFS($M$4:$M$343,$D$4:$D$343,"1800A",$F$4:$F$343,"66.5""")</f>
        <v>557616</v>
      </c>
      <c r="N353" s="183">
        <f>SUMIFS($N$4:$N$343,$D$4:$D$343,"1800A",$F$4:$F$343,"66.5""")</f>
        <v>552140</v>
      </c>
      <c r="O353" s="183">
        <f>SUMIFS($O$4:$O$343,$D$4:$D$343,"1800A",$F$4:$F$343,"66.5""")</f>
        <v>528049</v>
      </c>
      <c r="P353" s="183">
        <f>SUMIFS($P$4:$P$343,$D$4:$D$343,"1800A",$F$4:$F$343,"66.5""")</f>
        <v>1169</v>
      </c>
      <c r="Q353" s="122"/>
    </row>
    <row r="354" spans="1:19" s="4" customFormat="1" ht="18" customHeight="1">
      <c r="A354" s="508"/>
      <c r="B354" s="439"/>
      <c r="C354" s="512"/>
      <c r="D354" s="48" t="s">
        <v>73</v>
      </c>
      <c r="E354" s="495"/>
      <c r="F354" s="122"/>
      <c r="G354" s="183"/>
      <c r="H354" s="278">
        <f>SUMIF($D$4:$D$343,"1801D",$H$4:$H$343)</f>
        <v>63059.6</v>
      </c>
      <c r="I354" s="500"/>
      <c r="J354" s="497"/>
      <c r="K354" s="183"/>
      <c r="L354" s="183"/>
      <c r="M354" s="183"/>
      <c r="N354" s="183"/>
      <c r="O354" s="183"/>
      <c r="P354" s="183"/>
      <c r="Q354" s="122"/>
    </row>
    <row r="355" spans="1:19" s="4" customFormat="1" ht="18" customHeight="1">
      <c r="A355" s="508"/>
      <c r="B355" s="439"/>
      <c r="C355" s="512"/>
      <c r="D355" s="43" t="s">
        <v>79</v>
      </c>
      <c r="E355" s="494" t="s">
        <v>65</v>
      </c>
      <c r="F355" s="122" t="s">
        <v>57</v>
      </c>
      <c r="G355" s="196">
        <f>SUMIFS($G$4:$G$343,$D$4:$D$343,"DJ-234",$F$4:$F$343,"66.5""")</f>
        <v>18791.280000000002</v>
      </c>
      <c r="H355" s="218"/>
      <c r="I355" s="500"/>
      <c r="J355" s="497"/>
      <c r="K355" s="183">
        <f>SUMIFS($K$4:$K$343,$D$4:$D$343,"DJ-234",$F$4:$F$343,"66.5""")</f>
        <v>282000</v>
      </c>
      <c r="L355" s="183">
        <f>SUMIFS($L$4:$L$343,$D$4:$D$343,"DJ-234",$F$4:$F$343,"66.5""")</f>
        <v>57</v>
      </c>
      <c r="M355" s="183">
        <f>SUMIFS($M$4:$M$343,$D$4:$D$343,"DJ-234",$F$4:$F$343,"66.5""")</f>
        <v>282014</v>
      </c>
      <c r="N355" s="183">
        <f>SUMIFS($N$4:$N$343,$D$4:$D$343,"DJ-234",$F$4:$F$343,"66.5""")</f>
        <v>281628</v>
      </c>
      <c r="O355" s="183">
        <f>SUMIFS($O$4:$O$343,$D$4:$D$343,"DJ-234",$F$4:$F$343,"66.5""")</f>
        <v>282917</v>
      </c>
      <c r="P355" s="183">
        <f>SUMIFS($P$4:$P$343,$D$4:$D$343,"DJ-234",$F$4:$F$343,"66.5""")</f>
        <v>134</v>
      </c>
      <c r="Q355" s="122"/>
    </row>
    <row r="356" spans="1:19" s="4" customFormat="1" ht="18" customHeight="1">
      <c r="A356" s="508"/>
      <c r="B356" s="439"/>
      <c r="C356" s="512"/>
      <c r="D356" s="43" t="s">
        <v>80</v>
      </c>
      <c r="E356" s="504"/>
      <c r="F356" s="122"/>
      <c r="G356" s="122"/>
      <c r="H356" s="278">
        <f>SUMIF($D$4:$D$343,"DJ-232A",$H$4:$H$343)</f>
        <v>30556.1</v>
      </c>
      <c r="I356" s="500"/>
      <c r="J356" s="497"/>
      <c r="K356" s="183"/>
      <c r="L356" s="183"/>
      <c r="M356" s="183"/>
      <c r="N356" s="183"/>
      <c r="O356" s="194"/>
      <c r="P356" s="194"/>
      <c r="Q356" s="122"/>
    </row>
    <row r="357" spans="1:19" s="4" customFormat="1" ht="18" customHeight="1">
      <c r="A357" s="508"/>
      <c r="B357" s="439"/>
      <c r="C357" s="512"/>
      <c r="D357" s="43" t="s">
        <v>385</v>
      </c>
      <c r="E357" s="504"/>
      <c r="F357" s="122"/>
      <c r="G357" s="122"/>
      <c r="H357" s="196">
        <f>SUMIFS($H$4:$H$343,$D$4:$D$343,"DJ-6DH48",$E$4:$E$343,"BLACK")</f>
        <v>0</v>
      </c>
      <c r="I357" s="500"/>
      <c r="J357" s="497"/>
      <c r="K357" s="183"/>
      <c r="L357" s="183"/>
      <c r="M357" s="183"/>
      <c r="N357" s="183"/>
      <c r="O357" s="194"/>
      <c r="P357" s="194"/>
      <c r="Q357" s="122"/>
    </row>
    <row r="358" spans="1:19" s="4" customFormat="1" ht="18" customHeight="1">
      <c r="A358" s="508"/>
      <c r="B358" s="439"/>
      <c r="C358" s="512"/>
      <c r="D358" s="43" t="s">
        <v>200</v>
      </c>
      <c r="E358" s="504"/>
      <c r="F358" s="122" t="s">
        <v>57</v>
      </c>
      <c r="G358" s="196">
        <f>SUMIFS($G$4:$G$343,$D$4:$D$343,"RD191S",$F$4:$F$343,"66.5""")</f>
        <v>38.82</v>
      </c>
      <c r="H358" s="218"/>
      <c r="I358" s="500"/>
      <c r="J358" s="497"/>
      <c r="K358" s="183">
        <f>SUMIFS($K$4:$K$343,$D$4:$D$343,"RD191S",$F$4:$F$343,"66.5""")</f>
        <v>500</v>
      </c>
      <c r="L358" s="183">
        <f>SUMIFS($L$4:$L$343,$D$4:$D$343,"RD191S",$F$4:$F$343,"66.5""")</f>
        <v>1</v>
      </c>
      <c r="M358" s="183">
        <f>SUMIFS($M$4:$M$343,$D$4:$D$343,"RD191S",$F$4:$F$343,"66.5""")</f>
        <v>478</v>
      </c>
      <c r="N358" s="183">
        <f>SUMIFS($N$4:$N$343,$D$4:$D$343,"RD191S",$F$4:$F$343,"66.5""")</f>
        <v>478</v>
      </c>
      <c r="O358" s="183">
        <f>SUMIFS($O$4:$O$343,$D$4:$D$343,"RD191S",$F$4:$F$343,"66.5""")</f>
        <v>478</v>
      </c>
      <c r="P358" s="194"/>
      <c r="Q358" s="122"/>
    </row>
    <row r="359" spans="1:19" s="4" customFormat="1" ht="18" customHeight="1">
      <c r="A359" s="508"/>
      <c r="B359" s="439"/>
      <c r="C359" s="512"/>
      <c r="D359" s="43" t="s">
        <v>202</v>
      </c>
      <c r="E359" s="504"/>
      <c r="F359" s="122"/>
      <c r="G359" s="122"/>
      <c r="H359" s="218">
        <f>SUMIF($D$4:$D$343,"RD56DJ04Z1Z",$H$4:$H$343)</f>
        <v>56.1</v>
      </c>
      <c r="I359" s="500"/>
      <c r="J359" s="497"/>
      <c r="K359" s="183"/>
      <c r="L359" s="183"/>
      <c r="M359" s="183"/>
      <c r="N359" s="183"/>
      <c r="O359" s="194"/>
      <c r="P359" s="194"/>
      <c r="Q359" s="122"/>
    </row>
    <row r="360" spans="1:19" s="4" customFormat="1" ht="18" customHeight="1">
      <c r="A360" s="508"/>
      <c r="B360" s="439"/>
      <c r="C360" s="512"/>
      <c r="D360" s="43" t="s">
        <v>443</v>
      </c>
      <c r="E360" s="504"/>
      <c r="F360" s="122" t="s">
        <v>57</v>
      </c>
      <c r="G360" s="196">
        <f>SUMIFS($G$4:$G$343,$D$4:$D$343,"RD340Z",$F$4:$F$343,"66.5""")</f>
        <v>77.650000000000006</v>
      </c>
      <c r="H360" s="218"/>
      <c r="I360" s="500"/>
      <c r="J360" s="497"/>
      <c r="K360" s="183">
        <f>SUMIFS($K$4:$K$343,$D$4:$D$343,"RD340Z",$F$4:$F$343,"66.5""")</f>
        <v>1000</v>
      </c>
      <c r="L360" s="183">
        <f>SUMIFS($L$4:$L$343,$D$4:$D$343,"RD340Z",$F$4:$F$343,"66.5""")</f>
        <v>1</v>
      </c>
      <c r="M360" s="183">
        <f>SUMIFS($M$4:$M$343,$D$4:$D$343,"RD340Z",$F$4:$F$343,"66.5""")</f>
        <v>948</v>
      </c>
      <c r="N360" s="183">
        <f>SUMIFS($N$4:$N$343,$D$4:$D$343,"RD340Z",$F$4:$F$343,"66.5""")</f>
        <v>948</v>
      </c>
      <c r="O360" s="183">
        <f>SUMIFS($O$4:$O$343,$D$4:$D$343,"RD340Z",$F$4:$F$343,"66.5""")</f>
        <v>948</v>
      </c>
      <c r="P360" s="194"/>
      <c r="Q360" s="122"/>
    </row>
    <row r="361" spans="1:19" s="4" customFormat="1" ht="18" customHeight="1">
      <c r="A361" s="508"/>
      <c r="B361" s="439"/>
      <c r="C361" s="506"/>
      <c r="D361" s="43" t="s">
        <v>444</v>
      </c>
      <c r="E361" s="495"/>
      <c r="F361" s="122"/>
      <c r="G361" s="122"/>
      <c r="H361" s="278">
        <f>SUMIF($D$4:$D$343,"RD339Z",$H$4:$H$343)</f>
        <v>98.7</v>
      </c>
      <c r="I361" s="500"/>
      <c r="J361" s="497"/>
      <c r="K361" s="183"/>
      <c r="L361" s="183"/>
      <c r="M361" s="183"/>
      <c r="N361" s="183"/>
      <c r="O361" s="194"/>
      <c r="P361" s="194"/>
      <c r="Q361" s="122"/>
    </row>
    <row r="362" spans="1:19" s="4" customFormat="1" ht="19.5" customHeight="1">
      <c r="A362" s="508"/>
      <c r="B362" s="439"/>
      <c r="C362" s="505" t="s">
        <v>301</v>
      </c>
      <c r="D362" s="43" t="s">
        <v>296</v>
      </c>
      <c r="E362" s="494" t="s">
        <v>25</v>
      </c>
      <c r="F362" s="122" t="s">
        <v>298</v>
      </c>
      <c r="G362" s="196">
        <f>SUMIFS($G$4:$G$343,$D$4:$D$343,"RD176Z,RD242Z",$F$4:$F$343,"55.5""")</f>
        <v>782.5</v>
      </c>
      <c r="H362" s="196"/>
      <c r="I362" s="500"/>
      <c r="J362" s="497"/>
      <c r="K362" s="183">
        <f>SUMIFS($K$4:$K$343,$D$4:$D$343,"RD176Z,RD242Z",$F$4:$F$343,"55.5""")</f>
        <v>12000</v>
      </c>
      <c r="L362" s="183">
        <f>SUMIFS($L$4:$L$343,$D$4:$D$343,"RD176Z,RD242Z",$F$4:$F$343,"55.5""")</f>
        <v>3</v>
      </c>
      <c r="M362" s="183">
        <f>SUMIFS($M$4:$M$343,$D$4:$D$343,"RD176Z,RD242Z",$F$4:$F$343,"55.5""")</f>
        <v>11516</v>
      </c>
      <c r="N362" s="183">
        <f>SUMIFS($N$4:$N$343,$D$4:$D$343,"RD176Z,RD242Z",$F$4:$F$343,"55.5""")</f>
        <v>11516</v>
      </c>
      <c r="O362" s="183">
        <f>SUMIFS($O$4:$O$343,$D$4:$D$343,"RD176Z,RD242Z",$F$4:$F$343,"55.5""")</f>
        <v>11516</v>
      </c>
      <c r="P362" s="183">
        <f>SUMIFS($P$4:$P$343,$D$4:$D$343,"RD176Z,RD242Z",$F$4:$F$343,"55.5""")</f>
        <v>0</v>
      </c>
      <c r="Q362" s="122"/>
    </row>
    <row r="363" spans="1:19" s="4" customFormat="1" ht="19.5" customHeight="1">
      <c r="A363" s="508"/>
      <c r="B363" s="443"/>
      <c r="C363" s="506"/>
      <c r="D363" s="43" t="s">
        <v>75</v>
      </c>
      <c r="E363" s="495"/>
      <c r="F363" s="122" t="s">
        <v>298</v>
      </c>
      <c r="G363" s="196">
        <f>SUMIFS($G$4:$G$343,$D$4:$D$343,"AAZ43",$F$4:$F$343,"55.5""")</f>
        <v>2608.3200000000002</v>
      </c>
      <c r="H363" s="196"/>
      <c r="I363" s="500"/>
      <c r="J363" s="497"/>
      <c r="K363" s="183">
        <f>SUMIFS($K$4:$K$343,$D$4:$D$343,"AAZ43",$F$4:$F$343,"55.5""")</f>
        <v>35000</v>
      </c>
      <c r="L363" s="183">
        <f>SUMIFS($L$4:$L$343,$D$4:$D$343,"AAZ43",$F$4:$F$343,"55.5""")</f>
        <v>7</v>
      </c>
      <c r="M363" s="183">
        <f>SUMIFS($M$4:$M$343,$D$4:$D$343,"AAZ43",$F$4:$F$343,"55.5""")</f>
        <v>28770</v>
      </c>
      <c r="N363" s="183">
        <f>SUMIFS($N$4:$N$343,$D$4:$D$343,"AAZ43",$F$4:$F$343,"55.5""")</f>
        <v>29013</v>
      </c>
      <c r="O363" s="183">
        <f>SUMIFS($O$4:$O$343,$D$4:$D$343,"AAZ43",$F$4:$F$343,"55.5""")</f>
        <v>7577</v>
      </c>
      <c r="P363" s="183">
        <f>SUMIFS($P$4:$P$343,$D$4:$D$343,"AAZ43",$F$4:$F$343,"55.5""")</f>
        <v>0</v>
      </c>
      <c r="Q363" s="122"/>
    </row>
    <row r="364" spans="1:19" s="4" customFormat="1" ht="18" customHeight="1">
      <c r="A364" s="508"/>
      <c r="B364" s="442" t="s">
        <v>53</v>
      </c>
      <c r="C364" s="444" t="s">
        <v>60</v>
      </c>
      <c r="D364" s="43" t="s">
        <v>89</v>
      </c>
      <c r="E364" s="505" t="s">
        <v>66</v>
      </c>
      <c r="F364" s="48" t="s">
        <v>54</v>
      </c>
      <c r="G364" s="196"/>
      <c r="H364" s="122"/>
      <c r="I364" s="500"/>
      <c r="J364" s="497"/>
      <c r="K364" s="183"/>
      <c r="L364" s="183"/>
      <c r="M364" s="183"/>
      <c r="N364" s="183"/>
      <c r="O364" s="183">
        <f>SUMIFS($O$4:$O$343,$D$4:$D$343,"ABZ85,DR856Z",$F$4:$F$343,"67""")</f>
        <v>1926</v>
      </c>
      <c r="P364" s="183">
        <f>SUMIFS($P$4:$P$343,$D$4:$D$343,"ABZ85,DR856Z",$F$4:$F$343,"67""")</f>
        <v>0</v>
      </c>
      <c r="Q364" s="122"/>
    </row>
    <row r="365" spans="1:19" s="4" customFormat="1" ht="18" customHeight="1">
      <c r="A365" s="508"/>
      <c r="B365" s="439"/>
      <c r="C365" s="445"/>
      <c r="D365" s="43" t="s">
        <v>95</v>
      </c>
      <c r="E365" s="512"/>
      <c r="F365" s="48" t="s">
        <v>54</v>
      </c>
      <c r="G365" s="196"/>
      <c r="H365" s="122"/>
      <c r="I365" s="500"/>
      <c r="J365" s="497"/>
      <c r="K365" s="183"/>
      <c r="L365" s="183"/>
      <c r="M365" s="183">
        <f>SUMIFS($M$4:$M$343,$D$4:$D$343,"ABZ85,DR794Z,DR856Z",$F$4:$F$343,"67""")</f>
        <v>29958</v>
      </c>
      <c r="N365" s="183">
        <f>SUMIFS($N$4:$N$343,$D$4:$D$343,"ABZ85,DR794Z,DR856Z",$F$4:$F$343,"67""")</f>
        <v>17546</v>
      </c>
      <c r="O365" s="183">
        <f>SUMIFS($O$4:$O$343,$D$4:$D$343,"ABZ85,DR794Z,DR856Z",$F$4:$F$343,"67""")</f>
        <v>30870</v>
      </c>
      <c r="P365" s="183">
        <f>SUMIFS($P$4:$P$343,$D$4:$D$343,"ABZ85,DR794Z,DR856Z",$F$4:$F$343,"67""")</f>
        <v>2</v>
      </c>
      <c r="Q365" s="122"/>
      <c r="S365" s="219"/>
    </row>
    <row r="366" spans="1:19" s="4" customFormat="1" ht="18" customHeight="1">
      <c r="A366" s="508"/>
      <c r="B366" s="439"/>
      <c r="C366" s="445"/>
      <c r="D366" s="43" t="s">
        <v>98</v>
      </c>
      <c r="E366" s="512"/>
      <c r="F366" s="48" t="s">
        <v>54</v>
      </c>
      <c r="G366" s="196"/>
      <c r="H366" s="122"/>
      <c r="I366" s="500"/>
      <c r="J366" s="497"/>
      <c r="K366" s="183">
        <f>SUMIFS($K$4:$K$343,$D$4:$D$343,"DR1073Z,DR856Z",$F$4:$F$343,"67""")</f>
        <v>75800</v>
      </c>
      <c r="L366" s="183">
        <f>SUMIFS($L$4:$L$343,$D$4:$D$343,"DR1073Z,DR856Z",$F$4:$F$343,"67""")</f>
        <v>13</v>
      </c>
      <c r="M366" s="183">
        <f>SUMIFS($M$4:$M$343,$D$4:$D$343,"DR1073Z,DR856Z",$F$4:$F$343,"67""")</f>
        <v>197418</v>
      </c>
      <c r="N366" s="183">
        <f>SUMIFS($N$4:$N$343,$D$4:$D$343,"DR1073Z,DR856Z",$F$4:$F$343,"67""")</f>
        <v>182989</v>
      </c>
      <c r="O366" s="183">
        <f>SUMIFS($O$4:$O$343,$D$4:$D$343,"DR1073Z,DR856Z",$F$4:$F$343,"67""")</f>
        <v>200817</v>
      </c>
      <c r="P366" s="183">
        <f>SUMIFS($P$4:$P$343,$D$4:$D$343,"DR1073Z,DR856Z",$F$4:$F$343,"67""")</f>
        <v>38</v>
      </c>
      <c r="Q366" s="122"/>
    </row>
    <row r="367" spans="1:19" s="4" customFormat="1" ht="18" customHeight="1">
      <c r="A367" s="508"/>
      <c r="B367" s="439"/>
      <c r="C367" s="445"/>
      <c r="D367" s="43" t="s">
        <v>130</v>
      </c>
      <c r="E367" s="512"/>
      <c r="F367" s="48" t="s">
        <v>54</v>
      </c>
      <c r="G367" s="196">
        <f>SUMIFS($G$4:$G$343,$D$4:$D$343,"RD225Z,DR1074Z",$F$4:$F$343,"67""")</f>
        <v>50709.98</v>
      </c>
      <c r="H367" s="122"/>
      <c r="I367" s="500"/>
      <c r="J367" s="497"/>
      <c r="K367" s="183">
        <f>SUMIFS($K$4:$K$343,$D$4:$D$343,"RD225Z,DR1074Z",$F$4:$F$343,"67""")</f>
        <v>766500</v>
      </c>
      <c r="L367" s="183">
        <f>SUMIFS($L$4:$L$343,$D$4:$D$343,"RD225Z,DR1074Z",$F$4:$F$343,"67""")</f>
        <v>121</v>
      </c>
      <c r="M367" s="183">
        <f>SUMIFS($M$4:$M$343,$D$4:$D$343,"RD225Z,DR1074Z",$F$4:$F$343,"67""")</f>
        <v>702507</v>
      </c>
      <c r="N367" s="183">
        <f>SUMIFS($N$4:$N$343,$D$4:$D$343,"RD225Z,DR1074Z",$F$4:$F$343,"67""")</f>
        <v>702508</v>
      </c>
      <c r="O367" s="183">
        <f>SUMIFS($O$4:$O$343,$D$4:$D$343,"RD225Z,DR1074Z",$F$4:$F$343,"67""")</f>
        <v>702658</v>
      </c>
      <c r="P367" s="183">
        <f>SUMIFS($P$4:$P$343,$D$4:$D$343,"RD225Z,DR1074Z",$F$4:$F$343,"67""")</f>
        <v>126</v>
      </c>
      <c r="Q367" s="122"/>
    </row>
    <row r="368" spans="1:19" s="4" customFormat="1" ht="18" customHeight="1">
      <c r="A368" s="508"/>
      <c r="B368" s="439"/>
      <c r="C368" s="445"/>
      <c r="D368" s="43" t="s">
        <v>320</v>
      </c>
      <c r="E368" s="512"/>
      <c r="F368" s="48" t="s">
        <v>54</v>
      </c>
      <c r="G368" s="196">
        <f>SUMIFS($G$4:$G$343,$D$4:$D$343,"RD225Z,DR1177Z",$F$4:$F$343,"67""")</f>
        <v>8458.7200000000012</v>
      </c>
      <c r="H368" s="122"/>
      <c r="I368" s="500"/>
      <c r="J368" s="497"/>
      <c r="K368" s="183">
        <f>SUMIFS($K$4:$K$343,$D$4:$D$343,"RD225Z,DR1177Z",$F$4:$F$343,"67""")</f>
        <v>119000</v>
      </c>
      <c r="L368" s="183">
        <f>SUMIFS($L$4:$L$343,$D$4:$D$343,"RD225Z,DR1177Z",$F$4:$F$343,"67""")</f>
        <v>20</v>
      </c>
      <c r="M368" s="183">
        <f>SUMIFS($M$4:$M$343,$D$4:$D$343,"RD225Z,DR1177Z",$F$4:$F$343,"67""")</f>
        <v>107187</v>
      </c>
      <c r="N368" s="183">
        <f>SUMIFS($N$4:$N$343,$D$4:$D$343,"RD225Z,DR1177Z",$F$4:$F$343,"67""")</f>
        <v>107186</v>
      </c>
      <c r="O368" s="183">
        <f>SUMIFS($O$4:$O$343,$D$4:$D$343,"RD225Z,DR1177Z",$F$4:$F$343,"67""")</f>
        <v>107172</v>
      </c>
      <c r="P368" s="183">
        <f>SUMIFS($P$4:$P$343,$D$4:$D$343,"RD225Z,DR1177Z",$F$4:$F$343,"67""")</f>
        <v>15</v>
      </c>
      <c r="Q368" s="122"/>
    </row>
    <row r="369" spans="1:20" s="4" customFormat="1" ht="18" customHeight="1">
      <c r="A369" s="508"/>
      <c r="B369" s="439"/>
      <c r="C369" s="445"/>
      <c r="D369" s="43" t="s">
        <v>387</v>
      </c>
      <c r="E369" s="506"/>
      <c r="F369" s="48" t="s">
        <v>54</v>
      </c>
      <c r="G369" s="196">
        <f>SUMIFS($G$4:$G$343,$D$4:$D$343,"DJ-6DH48,DR1177Z",$F$4:$F$343,"67""")</f>
        <v>5032.6000000000004</v>
      </c>
      <c r="H369" s="122"/>
      <c r="I369" s="500"/>
      <c r="J369" s="497"/>
      <c r="K369" s="183">
        <f>SUMIFS($K$4:$K$343,$D$4:$D$343,"DJ-6DH48,DR1177Z",$F$4:$F$343,"67""")</f>
        <v>6000</v>
      </c>
      <c r="L369" s="183">
        <f>SUMIFS($L$4:$L$343,$D$4:$D$343,"DJ-6DH48,DR1177Z",$F$4:$F$343,"67""")</f>
        <v>1</v>
      </c>
      <c r="M369" s="183">
        <f>SUMIFS($M$4:$M$343,$D$4:$D$343,"DJ-6DH48,DR1177Z",$F$4:$F$343,"67""")</f>
        <v>666</v>
      </c>
      <c r="N369" s="183">
        <f>SUMIFS($N$4:$N$343,$D$4:$D$343,"DJ-6DH48,DR1177Z",$F$4:$F$343,"67""")</f>
        <v>666</v>
      </c>
      <c r="O369" s="183"/>
      <c r="P369" s="183"/>
      <c r="Q369" s="122"/>
    </row>
    <row r="370" spans="1:20" s="4" customFormat="1" ht="18" customHeight="1">
      <c r="A370" s="508"/>
      <c r="B370" s="439"/>
      <c r="C370" s="445"/>
      <c r="D370" s="48" t="s">
        <v>199</v>
      </c>
      <c r="E370" s="361" t="s">
        <v>25</v>
      </c>
      <c r="F370" s="48" t="s">
        <v>54</v>
      </c>
      <c r="G370" s="196">
        <f>SUMIFS($G$4:$G$343,$D$4:$D$343,"RD225Z",$F$4:$F$343,"67""")</f>
        <v>71.08</v>
      </c>
      <c r="H370" s="122"/>
      <c r="I370" s="500"/>
      <c r="J370" s="497"/>
      <c r="K370" s="183">
        <f>SUMIFS($K$4:$K$343,$D$4:$D$343,"RD225Z",$F$4:$F$343,"67""")</f>
        <v>1000</v>
      </c>
      <c r="L370" s="183">
        <f>SUMIFS($L$4:$L$343,$D$4:$D$343,"RD225Z",$F$4:$F$343,"67""")</f>
        <v>1</v>
      </c>
      <c r="M370" s="183">
        <f>SUMIFS($M$4:$M$343,$D$4:$D$343,"RD225Z",$F$4:$F$343,"67""")</f>
        <v>568</v>
      </c>
      <c r="N370" s="183">
        <f>SUMIFS($N$4:$N$343,$D$4:$D$343,"RD225Z",$F$4:$F$343,"67""")</f>
        <v>568</v>
      </c>
      <c r="O370" s="183">
        <f>SUMIFS($O$4:$O$343,$D$4:$D$343,"RD225Z",$F$4:$F$343,"67""")</f>
        <v>500</v>
      </c>
      <c r="P370" s="183">
        <f>SUMIFS($P$4:$P$343,$D$4:$D$343,"RD225Z",$F$4:$F$343,"67""")</f>
        <v>0</v>
      </c>
      <c r="Q370" s="122"/>
    </row>
    <row r="371" spans="1:20" s="4" customFormat="1" ht="18" customHeight="1">
      <c r="A371" s="508"/>
      <c r="B371" s="439"/>
      <c r="C371" s="445"/>
      <c r="D371" s="48" t="s">
        <v>91</v>
      </c>
      <c r="E371" s="494" t="s">
        <v>25</v>
      </c>
      <c r="F371" s="122"/>
      <c r="G371" s="183"/>
      <c r="H371" s="218">
        <f>SUMIF($D$4:$D$343,"DR1073Z",$H$4:$H$343)</f>
        <v>979.8</v>
      </c>
      <c r="I371" s="500"/>
      <c r="J371" s="497"/>
      <c r="K371" s="183"/>
      <c r="L371" s="183"/>
      <c r="M371" s="183"/>
      <c r="N371" s="194"/>
      <c r="O371" s="183"/>
      <c r="P371" s="194"/>
      <c r="Q371" s="122"/>
    </row>
    <row r="372" spans="1:20" s="4" customFormat="1" ht="18" customHeight="1">
      <c r="A372" s="508"/>
      <c r="B372" s="439"/>
      <c r="C372" s="445"/>
      <c r="D372" s="48" t="s">
        <v>127</v>
      </c>
      <c r="E372" s="504"/>
      <c r="F372" s="122"/>
      <c r="G372" s="183"/>
      <c r="H372" s="196">
        <f>SUMIF($D$4:$D$343,"ABZ85",$H$4:$H$343)</f>
        <v>18641.73</v>
      </c>
      <c r="I372" s="500"/>
      <c r="J372" s="497"/>
      <c r="K372" s="183"/>
      <c r="L372" s="183"/>
      <c r="M372" s="183"/>
      <c r="N372" s="194"/>
      <c r="O372" s="194"/>
      <c r="P372" s="194"/>
      <c r="Q372" s="122"/>
    </row>
    <row r="373" spans="1:20" s="4" customFormat="1" ht="18" customHeight="1">
      <c r="A373" s="508"/>
      <c r="B373" s="439"/>
      <c r="C373" s="445"/>
      <c r="D373" s="48" t="s">
        <v>199</v>
      </c>
      <c r="E373" s="504"/>
      <c r="F373" s="122"/>
      <c r="G373" s="183"/>
      <c r="H373" s="196">
        <f>SUMIF($D$4:$D$343,"RD225Z",$H$4:$H$343)</f>
        <v>33034.980000000003</v>
      </c>
      <c r="I373" s="500"/>
      <c r="J373" s="497"/>
      <c r="K373" s="183"/>
      <c r="L373" s="183"/>
      <c r="M373" s="183"/>
      <c r="N373" s="194"/>
      <c r="O373" s="194"/>
      <c r="P373" s="194"/>
      <c r="Q373" s="122"/>
    </row>
    <row r="374" spans="1:20" s="4" customFormat="1" ht="18" customHeight="1">
      <c r="A374" s="508"/>
      <c r="B374" s="439"/>
      <c r="C374" s="445"/>
      <c r="D374" s="48" t="s">
        <v>385</v>
      </c>
      <c r="E374" s="495"/>
      <c r="F374" s="122"/>
      <c r="G374" s="183"/>
      <c r="H374" s="183">
        <f>SUMIFS($H$4:$H$343,$D$4:$D$343,"DJ-6DH48",$E$4:$E$343,"WHITE")</f>
        <v>4172</v>
      </c>
      <c r="I374" s="500"/>
      <c r="J374" s="497"/>
      <c r="K374" s="183"/>
      <c r="L374" s="183"/>
      <c r="M374" s="183"/>
      <c r="N374" s="194"/>
      <c r="O374" s="194"/>
      <c r="P374" s="194"/>
      <c r="Q374" s="122"/>
    </row>
    <row r="375" spans="1:20" s="4" customFormat="1" ht="18" customHeight="1">
      <c r="A375" s="508"/>
      <c r="B375" s="439"/>
      <c r="C375" s="445"/>
      <c r="D375" s="48" t="s">
        <v>96</v>
      </c>
      <c r="E375" s="442" t="s">
        <v>65</v>
      </c>
      <c r="F375" s="122"/>
      <c r="G375" s="196"/>
      <c r="H375" s="218">
        <f>SUMIF($D$4:$D$343,"DR1075Z",$H$4:$H$343)</f>
        <v>7435.8</v>
      </c>
      <c r="I375" s="500"/>
      <c r="J375" s="497"/>
      <c r="K375" s="183"/>
      <c r="L375" s="183"/>
      <c r="M375" s="183"/>
      <c r="N375" s="194"/>
      <c r="O375" s="194"/>
      <c r="P375" s="194"/>
      <c r="Q375" s="122"/>
    </row>
    <row r="376" spans="1:20" s="4" customFormat="1" ht="18" customHeight="1">
      <c r="A376" s="508"/>
      <c r="B376" s="443"/>
      <c r="C376" s="446"/>
      <c r="D376" s="43" t="s">
        <v>324</v>
      </c>
      <c r="E376" s="443"/>
      <c r="F376" s="122"/>
      <c r="G376" s="196"/>
      <c r="H376" s="183">
        <f>SUMIF($D$4:$D$343,"DR1178Z",$H$4:$H$343)</f>
        <v>1836</v>
      </c>
      <c r="I376" s="500"/>
      <c r="J376" s="497"/>
      <c r="K376" s="183"/>
      <c r="L376" s="183"/>
      <c r="M376" s="183"/>
      <c r="N376" s="194"/>
      <c r="O376" s="194"/>
      <c r="P376" s="194"/>
      <c r="Q376" s="122"/>
    </row>
    <row r="377" spans="1:20" s="4" customFormat="1" ht="18" customHeight="1">
      <c r="A377" s="508"/>
      <c r="B377" s="442" t="s">
        <v>55</v>
      </c>
      <c r="C377" s="444" t="s">
        <v>133</v>
      </c>
      <c r="D377" s="43" t="s">
        <v>56</v>
      </c>
      <c r="E377" s="442" t="s">
        <v>25</v>
      </c>
      <c r="F377" s="48" t="s">
        <v>67</v>
      </c>
      <c r="G377" s="196">
        <f>SUMIFS($G$4:$G$343,$D$4:$D$343,"ACZ07",$F$4:$F$343,"56""",$C$4:$C$343,"P/OX 600D*300D, 64T, 135GR/SQM, recycle 67%")</f>
        <v>1634.1599999999999</v>
      </c>
      <c r="H377" s="218">
        <f>SUMIF($D$4:$D$343,"ACZ07",$H$4:$H$343)</f>
        <v>192.6</v>
      </c>
      <c r="I377" s="500"/>
      <c r="J377" s="497"/>
      <c r="K377" s="183">
        <f>SUMIFS($K$4:$K$343,$D$4:$D$343,"ACZ07",$F$4:$F$343,"56""",$C$4:$C$343,"P/OX 600D*300D, 64T, 135GR/SQM, recycle 67%")</f>
        <v>10400</v>
      </c>
      <c r="L377" s="183">
        <f>SUMIFS($L$4:$L$343,$D$4:$D$343,"ACZ07",$F$4:$F$343,"56""",$C$4:$C$343,"P/OX 600D*300D, 64T, 135GR/SQM, recycle 67%")</f>
        <v>5</v>
      </c>
      <c r="M377" s="183">
        <f>SUMIFS($M$4:$M$343,$D$4:$D$343,"ACZ07",$F$4:$F$343,"56""",$C$4:$C$343,"P/OX 600D*300D, 64T, 135GR/SQM, recycle 67%")</f>
        <v>14891</v>
      </c>
      <c r="N377" s="183">
        <f>SUMIFS($N$4:$N$343,$D$4:$D$343,"ACZ07",$F$4:$F$343,"56""",$C$4:$C$343,"P/OX 600D*300D, 64T, 135GR/SQM, recycle 67%")</f>
        <v>14758</v>
      </c>
      <c r="O377" s="183">
        <f>SUMIFS($O$4:$O$343,$D$4:$D$343,"ACZ07",$F$4:$F$343,"56""",$C$4:$C$343,"P/OX 600D*300D, 64T, 135GR/SQM, recycle 67%")</f>
        <v>9062</v>
      </c>
      <c r="P377" s="183">
        <f>SUMIFS($P$4:$P$343,$D$4:$D$343,"ACZ07",$F$4:$F$343,"56""",$C$4:$C$343,"P/OX 600D*300D, 64T, 135GR/SQM, recycle 67%")</f>
        <v>7</v>
      </c>
      <c r="Q377" s="6"/>
      <c r="S377" s="219"/>
    </row>
    <row r="378" spans="1:20" s="4" customFormat="1" ht="18" customHeight="1">
      <c r="A378" s="508"/>
      <c r="B378" s="443"/>
      <c r="C378" s="446"/>
      <c r="D378" s="43" t="s">
        <v>68</v>
      </c>
      <c r="E378" s="439"/>
      <c r="F378" s="48"/>
      <c r="G378" s="196"/>
      <c r="H378" s="183">
        <f>SUMIF($D$4:$D$343,"1T3035ZC-35",$H$4:$H$343)</f>
        <v>1620</v>
      </c>
      <c r="I378" s="500"/>
      <c r="J378" s="497"/>
      <c r="K378" s="183"/>
      <c r="L378" s="183"/>
      <c r="M378" s="183"/>
      <c r="N378" s="183"/>
      <c r="O378" s="194"/>
      <c r="P378" s="194"/>
      <c r="Q378" s="6"/>
      <c r="S378" s="219"/>
      <c r="T378" s="219"/>
    </row>
    <row r="379" spans="1:20" s="4" customFormat="1" ht="18" customHeight="1">
      <c r="A379" s="508"/>
      <c r="B379" s="251" t="s">
        <v>55</v>
      </c>
      <c r="C379" s="277" t="s">
        <v>316</v>
      </c>
      <c r="D379" s="43" t="s">
        <v>317</v>
      </c>
      <c r="E379" s="439"/>
      <c r="F379" s="48" t="s">
        <v>67</v>
      </c>
      <c r="G379" s="218">
        <f>SUMIFS($G$4:$G$343,$D$4:$D$343,"P28V855",$F$4:$F$343,"56""",$C$4:$C$343,"P/OX 600D*300D, 64T, 135GR/SQM, Virgin 100%")</f>
        <v>123.8</v>
      </c>
      <c r="H379" s="183"/>
      <c r="I379" s="500"/>
      <c r="J379" s="497"/>
      <c r="K379" s="183">
        <f>SUMIFS($K$4:$K$343,$D$4:$D$343,"P28V855",$F$4:$F$343,"56""",$C$4:$C$343,"P/OX 600D*300D, 64T, 135GR/SQM, Virgin 100%")</f>
        <v>1000</v>
      </c>
      <c r="L379" s="183">
        <f>SUMIFS($L$4:$L$343,$D$4:$D$343,"P28V855",$F$4:$F$343,"56""",$C$4:$C$343,"P/OX 600D*300D, 64T, 135GR/SQM, Virgin 100%")</f>
        <v>1</v>
      </c>
      <c r="M379" s="183">
        <f>SUMIFS($M$4:$M$343,$D$4:$D$343,"P28V855",$F$4:$F$343,"56""",$C$4:$C$343,"P/OX 600D*300D, 64T, 135GR/SQM, Virgin 100%")</f>
        <v>950</v>
      </c>
      <c r="N379" s="183">
        <f>SUMIFS($N$4:$N$343,$D$4:$D$343,"P28V855",$F$4:$F$343,"56""",$C$4:$C$343,"P/OX 600D*300D, 64T, 135GR/SQM, Virgin 100%")</f>
        <v>950</v>
      </c>
      <c r="O379" s="183">
        <f>SUMIFS($O$4:$O$343,$D$4:$D$343,"P28V855",$F$4:$F$343,"56""",$C$4:$C$343,"P/OX 600D*300D, 64T, 135GR/SQM, Virgin 100%")</f>
        <v>950</v>
      </c>
      <c r="P379" s="194"/>
      <c r="Q379" s="6"/>
      <c r="S379" s="219"/>
      <c r="T379" s="219"/>
    </row>
    <row r="380" spans="1:20" s="4" customFormat="1" ht="18" customHeight="1">
      <c r="A380" s="508"/>
      <c r="B380" s="442" t="s">
        <v>122</v>
      </c>
      <c r="C380" s="444" t="s">
        <v>123</v>
      </c>
      <c r="D380" s="48" t="s">
        <v>56</v>
      </c>
      <c r="E380" s="439"/>
      <c r="F380" s="48" t="s">
        <v>64</v>
      </c>
      <c r="G380" s="218">
        <f>SUMIFS($G$4:$G$343,$D$4:$D$343,"ACZ07",$F$4:$F$343,"60""",$C$4:$C$343,"P/OX 300D* P/SPUN 10'S, Recycle 60""")</f>
        <v>5572.6399999999994</v>
      </c>
      <c r="H380" s="183"/>
      <c r="I380" s="500"/>
      <c r="J380" s="497"/>
      <c r="K380" s="183">
        <f>SUMIFS($K$4:$K$343,$D$4:$D$343,"ACZ07",$F$4:$F$343,"60""",$C$4:$C$343,"P/OX 300D* P/SPUN 10'S, Recycle 60""")</f>
        <v>41640</v>
      </c>
      <c r="L380" s="183">
        <f>SUMIFS($L$4:$L$343,$D$4:$D$343,"ACZ07",$F$4:$F$343,"60""",$C$4:$C$343,"P/OX 300D* P/SPUN 10'S, Recycle 60""")</f>
        <v>14</v>
      </c>
      <c r="M380" s="183">
        <f>SUMIFS($M$4:$M$343,$D$4:$D$343,"ACZ07",$F$4:$F$343,"60""",$C$4:$C$343,"P/OX 300D* P/SPUN 10'S, Recycle 60""")</f>
        <v>32404</v>
      </c>
      <c r="N380" s="183">
        <f>SUMIFS($N$4:$N$343,$D$4:$D$343,"ACZ07",$F$4:$F$343,"60""",$C$4:$C$343,"P/OX 300D* P/SPUN 10'S, Recycle 60""")</f>
        <v>32404</v>
      </c>
      <c r="O380" s="183">
        <f>SUMIFS($O$4:$O$343,$D$4:$D$343,"ACZ07",$F$4:$F$343,"60""",$C$4:$C$343,"P/OX 300D* P/SPUN 10'S, Recycle 60""")</f>
        <v>14058</v>
      </c>
      <c r="P380" s="183">
        <f>SUMIFS($P$4:$P$343,$D$4:$D$343,"ACZ07",$F$4:$F$343,"60""",$C$4:$C$343,"P/OX 300D* P/SPUN 10'S, Recycle 60""")</f>
        <v>225</v>
      </c>
      <c r="Q380" s="6"/>
      <c r="S380" s="219"/>
    </row>
    <row r="381" spans="1:20" s="4" customFormat="1" ht="18" customHeight="1">
      <c r="A381" s="508"/>
      <c r="B381" s="443"/>
      <c r="C381" s="446"/>
      <c r="D381" s="48" t="s">
        <v>129</v>
      </c>
      <c r="E381" s="439"/>
      <c r="F381" s="48"/>
      <c r="G381" s="218"/>
      <c r="H381" s="183">
        <v>5775</v>
      </c>
      <c r="I381" s="500"/>
      <c r="J381" s="497"/>
      <c r="K381" s="194"/>
      <c r="L381" s="194"/>
      <c r="M381" s="183"/>
      <c r="N381" s="183"/>
      <c r="O381" s="194"/>
      <c r="P381" s="194"/>
      <c r="Q381" s="6"/>
      <c r="S381" s="219"/>
    </row>
    <row r="382" spans="1:20" s="4" customFormat="1" ht="18" customHeight="1">
      <c r="A382" s="508"/>
      <c r="B382" s="251" t="s">
        <v>58</v>
      </c>
      <c r="C382" s="277" t="s">
        <v>139</v>
      </c>
      <c r="D382" s="48" t="s">
        <v>56</v>
      </c>
      <c r="E382" s="439"/>
      <c r="F382" s="59" t="s">
        <v>67</v>
      </c>
      <c r="G382" s="218"/>
      <c r="H382" s="183"/>
      <c r="I382" s="500"/>
      <c r="J382" s="497"/>
      <c r="K382" s="194"/>
      <c r="L382" s="194"/>
      <c r="M382" s="183"/>
      <c r="N382" s="183"/>
      <c r="O382" s="194"/>
      <c r="P382" s="221">
        <v>43</v>
      </c>
      <c r="Q382" s="6"/>
      <c r="S382" s="219"/>
    </row>
    <row r="383" spans="1:20" s="4" customFormat="1" ht="15.75" customHeight="1">
      <c r="A383" s="508"/>
      <c r="B383" s="442" t="s">
        <v>58</v>
      </c>
      <c r="C383" s="444" t="s">
        <v>243</v>
      </c>
      <c r="D383" s="48" t="s">
        <v>56</v>
      </c>
      <c r="E383" s="439"/>
      <c r="F383" s="59" t="s">
        <v>64</v>
      </c>
      <c r="G383" s="183">
        <f>SUMIFS($G$4:$G$343,$D$4:$D$343,"ACZ07",$F$4:$F$343,"60""",$C$4:$C$343,"P/OX 300D* P/SPUN 16'S, Recycle 60""")</f>
        <v>1392</v>
      </c>
      <c r="H383" s="218"/>
      <c r="I383" s="500"/>
      <c r="J383" s="497"/>
      <c r="K383" s="183">
        <f>SUMIFS($K$4:$K$343,$D$4:$D$343,"ACZ07",$F$4:$F$343,"60""",$C$4:$C$343,"P/OX 300D* P/SPUN 16'S, Recycle 60""")</f>
        <v>12000</v>
      </c>
      <c r="L383" s="183">
        <f>SUMIFS($L$4:$L$343,$D$4:$D$343,"ACZ07",$F$4:$F$343,"60""",$C$4:$C$343,"P/OX 300D* P/SPUN 16'S, Recycle 60""")</f>
        <v>4</v>
      </c>
      <c r="M383" s="183">
        <f>SUMIFS($M$4:$M$343,$D$4:$D$343,"ACZ07",$F$4:$F$343,"60""",$C$4:$C$343,"P/OX 300D* P/SPUN 16'S, Recycle 60""")+4992</f>
        <v>9062</v>
      </c>
      <c r="N383" s="183">
        <f>SUMIFS($N$4:$N$343,$D$4:$D$343,"ACZ07",$F$4:$F$343,"60""",$C$4:$C$343,"P/OX 300D* P/SPUN 16'S, Recycle 60""")+4610</f>
        <v>9062</v>
      </c>
      <c r="O383" s="183">
        <f>SUMIFS($O$4:$O$343,$D$4:$D$343,"ACZ07",$F$4:$F$343,"60""",$C$4:$C$343,"P/OX 300D* P/SPUN 16'S, Recycle 60""")</f>
        <v>908</v>
      </c>
      <c r="P383" s="183">
        <f>SUMIFS($P$4:$P$343,$D$4:$D$343,"ACZ07",$F$4:$F$343,"60""",$C$4:$C$343,"P/OX 300D* P/SPUN 16'S, Recycle 60""")</f>
        <v>10</v>
      </c>
      <c r="Q383" s="122"/>
    </row>
    <row r="384" spans="1:20" s="4" customFormat="1" ht="15.75" customHeight="1">
      <c r="A384" s="508"/>
      <c r="B384" s="443"/>
      <c r="C384" s="446"/>
      <c r="D384" s="48" t="s">
        <v>92</v>
      </c>
      <c r="E384" s="439"/>
      <c r="F384" s="59"/>
      <c r="G384" s="191"/>
      <c r="H384" s="183">
        <f>SUMIF($D$4:$D$343,"JY-BMAJ16",$H$4:$H$343)</f>
        <v>1718.75</v>
      </c>
      <c r="I384" s="500"/>
      <c r="J384" s="497"/>
      <c r="K384" s="218"/>
      <c r="L384" s="218"/>
      <c r="M384" s="183"/>
      <c r="N384" s="183"/>
      <c r="O384" s="194"/>
      <c r="P384" s="191"/>
      <c r="Q384" s="122"/>
      <c r="T384" s="219"/>
    </row>
    <row r="385" spans="1:19" s="4" customFormat="1" ht="15.75" customHeight="1">
      <c r="A385" s="508"/>
      <c r="B385" s="442" t="s">
        <v>61</v>
      </c>
      <c r="C385" s="444" t="s">
        <v>137</v>
      </c>
      <c r="D385" s="48" t="s">
        <v>56</v>
      </c>
      <c r="E385" s="439"/>
      <c r="F385" s="59" t="s">
        <v>67</v>
      </c>
      <c r="G385" s="183">
        <f>SUMIFS($G$4:$G$343,$D$4:$D$343,"ACZ07",$F$4:$F$343,"56""",$C$4:$C$343,"P/OX 300D* P/SPUN 10'S, Recycle 56""")</f>
        <v>1740</v>
      </c>
      <c r="H385" s="183"/>
      <c r="I385" s="500"/>
      <c r="J385" s="497"/>
      <c r="K385" s="183">
        <f>SUMIFS($K$4:$K$343,$D$4:$D$343,"ACZ07",$F$4:$F$343,"56""",$C$4:$C$343,"P/OX 300D* P/SPUN 10'S, Recycle 56""")</f>
        <v>15000</v>
      </c>
      <c r="L385" s="183">
        <f>SUMIFS($L$4:$L$343,$D$4:$D$343,"ACZ07",$F$4:$F$343,"56""",$C$4:$C$343,"P/OX 300D* P/SPUN 10'S, Recycle 56""")</f>
        <v>5</v>
      </c>
      <c r="M385" s="183">
        <f>SUMIFS($M$4:$M$343,$D$4:$D$343,"ACZ07",$F$4:$F$343,"56""",$C$4:$C$343,"P/OX 300D* P/SPUN 10'S, Recycle 56""")</f>
        <v>6344</v>
      </c>
      <c r="N385" s="183">
        <f>SUMIFS($N$4:$N$343,$D$4:$D$343,"ACZ07",$F$4:$F$343,"56""",$C$4:$C$343,"P/OX 300D* P/SPUN 10'S, Recycle 56""")</f>
        <v>6344</v>
      </c>
      <c r="O385" s="183">
        <f>SUMIFS($O$4:$O$343,$D$4:$D$343,"ACZ07",$F$4:$F$343,"56""",$C$4:$C$343,"P/OX 300D* P/SPUN 10'S, Recycle 56""")</f>
        <v>500</v>
      </c>
      <c r="P385" s="183"/>
      <c r="Q385" s="122"/>
    </row>
    <row r="386" spans="1:19" s="4" customFormat="1" ht="15.75" customHeight="1">
      <c r="A386" s="508"/>
      <c r="B386" s="443"/>
      <c r="C386" s="446"/>
      <c r="D386" s="48" t="s">
        <v>129</v>
      </c>
      <c r="E386" s="439"/>
      <c r="F386" s="59"/>
      <c r="G386" s="183"/>
      <c r="H386" s="183">
        <v>1500</v>
      </c>
      <c r="I386" s="500"/>
      <c r="J386" s="497"/>
      <c r="K386" s="183"/>
      <c r="L386" s="183"/>
      <c r="M386" s="183"/>
      <c r="N386" s="183"/>
      <c r="O386" s="194"/>
      <c r="P386" s="194"/>
      <c r="Q386" s="122"/>
    </row>
    <row r="387" spans="1:19" s="4" customFormat="1" ht="15.75" customHeight="1">
      <c r="A387" s="508"/>
      <c r="B387" s="122" t="s">
        <v>125</v>
      </c>
      <c r="C387" s="180" t="s">
        <v>88</v>
      </c>
      <c r="D387" s="48" t="s">
        <v>124</v>
      </c>
      <c r="E387" s="439"/>
      <c r="F387" s="48" t="s">
        <v>64</v>
      </c>
      <c r="G387" s="218">
        <f>SUMIFS($G$4:$G$343,$D$4:$D$343,"SC-1004",$F$4:$F$343,"60""")</f>
        <v>10013.5</v>
      </c>
      <c r="H387" s="183">
        <f>SUMIF($D$4:$D$343,"SC-1004",$H$4:$H$343)</f>
        <v>7104</v>
      </c>
      <c r="I387" s="500"/>
      <c r="J387" s="497"/>
      <c r="K387" s="183">
        <f>SUMIFS($K$4:$K$343,$D$4:$D$343,"SC-1004",$F$4:$F$343,"60""")</f>
        <v>140600</v>
      </c>
      <c r="L387" s="183">
        <f>SUMIFS($L$4:$L$343,$D$4:$D$343,"SC-1004",$F$4:$F$343,"60""")</f>
        <v>19</v>
      </c>
      <c r="M387" s="183">
        <f>SUMIFS($M$4:$M$343,$D$4:$D$343,"SC-1004",$F$4:$F$343,"60""")</f>
        <v>117304</v>
      </c>
      <c r="N387" s="183">
        <f>SUMIFS($N$4:$N$343,$D$4:$D$343,"SC-1004",$F$4:$F$343,"60""")</f>
        <v>117304</v>
      </c>
      <c r="O387" s="183">
        <f>SUMIFS($O$4:$O$343,$D$4:$D$343,"SC-1004",$F$4:$F$343,"60""")</f>
        <v>93846</v>
      </c>
      <c r="P387" s="183">
        <f>SUMIFS($P$4:$P$343,$D$4:$D$343,"SC-1004",$F$4:$F$343,"60""")</f>
        <v>13</v>
      </c>
      <c r="Q387" s="6"/>
      <c r="S387" s="219"/>
    </row>
    <row r="388" spans="1:19" s="4" customFormat="1" ht="15.75" customHeight="1">
      <c r="A388" s="508"/>
      <c r="B388" s="122" t="s">
        <v>463</v>
      </c>
      <c r="C388" s="180" t="s">
        <v>464</v>
      </c>
      <c r="D388" s="48" t="s">
        <v>246</v>
      </c>
      <c r="E388" s="439"/>
      <c r="F388" s="48" t="s">
        <v>64</v>
      </c>
      <c r="G388" s="196">
        <f>SUMIFS($G$4:$G$343,$B$4:$B$343,"TAFFETA-180T",$D$4:$D$343,"SC-1012",$F$4:$F$343,"60""")</f>
        <v>281.06</v>
      </c>
      <c r="H388" s="183"/>
      <c r="I388" s="500"/>
      <c r="J388" s="497"/>
      <c r="K388" s="183">
        <f>SUMIFS($K$4:$K$343,$B$4:$B$343,"TAFFETA-180T",$D$4:$D$343,"SC-1012",$F$4:$F$343,"60""")</f>
        <v>6000</v>
      </c>
      <c r="L388" s="183">
        <f>SUMIFS($L$4:$L$343,$B$4:$B$343,"TAFFETA-180T",$D$4:$D$343,"SC-1012",$F$4:$F$343,"60""")</f>
        <v>1</v>
      </c>
      <c r="M388" s="183">
        <f>SUMIFS($M$4:$M$343,$B$4:$B$343,"TAFFETA-180T",$D$4:$D$343,"SC-1012",$F$4:$F$343,"60""")</f>
        <v>2000</v>
      </c>
      <c r="N388" s="183">
        <f>SUMIFS($N$4:$N$343,$B$4:$B$343,"TAFFETA-180T",$D$4:$D$343,"SC-1012",$F$4:$F$343,"60""")</f>
        <v>3490</v>
      </c>
      <c r="O388" s="183">
        <f>SUMIFS($O$4:$O$343,$B$4:$B$343,"TAFFETA-180T",$D$4:$D$343,"SC-1012",$F$4:$F$343,"60""")</f>
        <v>0</v>
      </c>
      <c r="P388" s="183">
        <f>SUMIFS($P$4:$P$343,$B$4:$B$343,"TAFFETA-180T",$D$4:$D$343,"SC-1012",$F$4:$F$343,"60""")</f>
        <v>0</v>
      </c>
      <c r="Q388" s="6"/>
      <c r="S388" s="219"/>
    </row>
    <row r="389" spans="1:19" s="4" customFormat="1" ht="15.75" customHeight="1">
      <c r="A389" s="508"/>
      <c r="B389" s="452" t="s">
        <v>47</v>
      </c>
      <c r="C389" s="514" t="s">
        <v>100</v>
      </c>
      <c r="D389" s="48" t="s">
        <v>99</v>
      </c>
      <c r="E389" s="439"/>
      <c r="F389" s="89" t="s">
        <v>71</v>
      </c>
      <c r="G389" s="183">
        <f>SUMIFS($G$4:$G$343,$D$4:$D$343,"RD159Z",$F$4:$F$343,"60.5""")</f>
        <v>7482.96</v>
      </c>
      <c r="H389" s="218"/>
      <c r="I389" s="500"/>
      <c r="J389" s="497"/>
      <c r="K389" s="183">
        <f>SUMIFS($K$4:$K$343,$D$4:$D$343,"RD159Z",$F$4:$F$343,"60.5""")</f>
        <v>136800</v>
      </c>
      <c r="L389" s="183">
        <f>SUMIFS($L$4:$L$343,$D$4:$D$343,"RD159Z",$F$4:$F$343,"60.5""")</f>
        <v>23</v>
      </c>
      <c r="M389" s="183">
        <f>SUMIFS($M$4:$M$343,$D$4:$D$343,"RD159Z",$F$4:$F$343,"60.5""")</f>
        <v>137424</v>
      </c>
      <c r="N389" s="183">
        <f>SUMIFS($N$4:$N$343,$D$4:$D$343,"RD159Z",$F$4:$F$343,"60.5""")</f>
        <v>136696</v>
      </c>
      <c r="O389" s="183">
        <f>SUMIFS($O$4:$O$343,$D$4:$D$343,"RD159Z",$F$4:$F$343,"60.5""")</f>
        <v>137255</v>
      </c>
      <c r="P389" s="183">
        <f>SUMIFS($P$4:$P$343,$D$4:$D$343,"RD159Z",$F$4:$F$343,"60.5""")</f>
        <v>175</v>
      </c>
      <c r="Q389" s="122"/>
    </row>
    <row r="390" spans="1:19" s="139" customFormat="1" ht="15.75" customHeight="1">
      <c r="A390" s="508"/>
      <c r="B390" s="452"/>
      <c r="C390" s="514"/>
      <c r="D390" s="337" t="s">
        <v>458</v>
      </c>
      <c r="E390" s="439"/>
      <c r="F390" s="297" t="s">
        <v>71</v>
      </c>
      <c r="G390" s="299">
        <f>SUMIFS($G$4:$G$343,$D$4:$D$343,"RD330S",$F$4:$F$343,"60.5""")</f>
        <v>4004.04</v>
      </c>
      <c r="H390" s="338"/>
      <c r="I390" s="500"/>
      <c r="J390" s="497"/>
      <c r="K390" s="300">
        <f>SUMIFS($K$4:$K$343,$D$4:$D$343,"RD330S",$F$4:$F$343,"60.5""")</f>
        <v>48800</v>
      </c>
      <c r="L390" s="300">
        <f>SUMIFS($L$4:$L$343,$D$4:$D$343,"RD330S",$F$4:$F$343,"60.5""")</f>
        <v>9</v>
      </c>
      <c r="M390" s="300">
        <f>SUMIFS($M$4:$M$343,$D$4:$D$343,"RD330S",$F$4:$F$343,"60.5""")</f>
        <v>26900</v>
      </c>
      <c r="N390" s="300">
        <f>SUMIFS($N$4:$N$343,$D$4:$D$343,"RD330S",$F$4:$F$343,"60.5""")</f>
        <v>29267</v>
      </c>
      <c r="O390" s="300">
        <f>SUMIFS($O$4:$O$343,$D$4:$D$343,"RD330S",$F$4:$F$343,"60.5""")</f>
        <v>18624</v>
      </c>
      <c r="P390" s="300">
        <f>SUMIFS($P$4:$P$343,$D$4:$D$343,"RD330S",$F$4:$F$343,"60.5""")</f>
        <v>12</v>
      </c>
      <c r="Q390" s="295"/>
    </row>
    <row r="391" spans="1:19" s="4" customFormat="1" ht="15.75" customHeight="1">
      <c r="A391" s="508"/>
      <c r="B391" s="452"/>
      <c r="C391" s="514"/>
      <c r="D391" s="59" t="s">
        <v>121</v>
      </c>
      <c r="E391" s="439"/>
      <c r="F391" s="59"/>
      <c r="G391" s="191"/>
      <c r="H391" s="183">
        <f>SUMIF($D$4:$D$343,"RD152Z",$H$4:$H$343)</f>
        <v>9180</v>
      </c>
      <c r="I391" s="500"/>
      <c r="J391" s="497"/>
      <c r="K391" s="191"/>
      <c r="L391" s="191"/>
      <c r="M391" s="183"/>
      <c r="N391" s="183"/>
      <c r="O391" s="183"/>
      <c r="P391" s="191"/>
      <c r="Q391" s="122"/>
    </row>
    <row r="392" spans="1:19" s="4" customFormat="1" ht="15.75" customHeight="1">
      <c r="A392" s="508"/>
      <c r="B392" s="442" t="s">
        <v>47</v>
      </c>
      <c r="C392" s="444" t="s">
        <v>457</v>
      </c>
      <c r="D392" s="59" t="s">
        <v>458</v>
      </c>
      <c r="E392" s="439"/>
      <c r="F392" s="59" t="s">
        <v>459</v>
      </c>
      <c r="G392" s="183">
        <f>SUMIFS($G$4:$G$343,$D$4:$D$343,"RD330S",$F$4:$F$343,"100.79""",$C$4:$C$343,"P/T DTY 75D*100D, Recycle 100.79""")</f>
        <v>180</v>
      </c>
      <c r="H392" s="183"/>
      <c r="I392" s="500"/>
      <c r="J392" s="497"/>
      <c r="K392" s="183">
        <f>SUMIFS($K$4:$K$343,$D$4:$D$343,"RD330S",$F$4:$F$343,"100.79""",$C$4:$C$343,"P/T DTY 75D*100D, Recycle 100.79""")</f>
        <v>2000</v>
      </c>
      <c r="L392" s="183">
        <f>SUMIFS($L$4:$L$343,$D$4:$D$343,"RD330S",$F$4:$F$343,"100.79""",$C$4:$C$343,"P/T DTY 75D*100D, Recycle 100.79""")</f>
        <v>1</v>
      </c>
      <c r="M392" s="183">
        <f>SUMIFS($M$4:$M$343,$D$4:$D$343,"RD330S",$F$4:$F$343,"100.79""",$C$4:$C$343,"P/T DTY 75D*100D, Recycle 100.79""")</f>
        <v>1882</v>
      </c>
      <c r="N392" s="183">
        <f>SUMIFS($N$4:$N$343,$D$4:$D$343,"RD330S",$F$4:$F$343,"100.79""",$C$4:$C$343,"P/T DTY 75D*100D, Recycle 100.79""")</f>
        <v>1882</v>
      </c>
      <c r="O392" s="183">
        <f>SUMIFS($O$4:$O$343,$D$4:$D$343,"RD330S",$F$4:$F$343,"100.79""",$C$4:$C$343,"P/T DTY 75D*100D, Recycle 100.79""")</f>
        <v>1654</v>
      </c>
      <c r="P392" s="191"/>
      <c r="Q392" s="122"/>
    </row>
    <row r="393" spans="1:19" s="4" customFormat="1" ht="15.75" customHeight="1">
      <c r="A393" s="508"/>
      <c r="B393" s="439"/>
      <c r="C393" s="445"/>
      <c r="D393" s="59" t="s">
        <v>460</v>
      </c>
      <c r="E393" s="439"/>
      <c r="F393" s="59"/>
      <c r="G393" s="191"/>
      <c r="H393" s="218">
        <f>SUMIF($D$4:$D$343,"DR809Z",$H$4:$H$343)</f>
        <v>122.4</v>
      </c>
      <c r="I393" s="500"/>
      <c r="J393" s="497"/>
      <c r="K393" s="191"/>
      <c r="L393" s="191"/>
      <c r="M393" s="183"/>
      <c r="N393" s="183"/>
      <c r="O393" s="183"/>
      <c r="P393" s="191"/>
      <c r="Q393" s="122"/>
    </row>
    <row r="394" spans="1:19" s="4" customFormat="1" ht="15.75" customHeight="1">
      <c r="A394" s="508"/>
      <c r="B394" s="122" t="s">
        <v>134</v>
      </c>
      <c r="C394" s="180" t="s">
        <v>63</v>
      </c>
      <c r="D394" s="48" t="s">
        <v>135</v>
      </c>
      <c r="E394" s="439"/>
      <c r="F394" s="59" t="s">
        <v>64</v>
      </c>
      <c r="G394" s="196">
        <f>SUMIFS($G$4:$G$343,$D$4:$D$343,"XB080718",$F$4:$F$343,"60""")</f>
        <v>6129.83</v>
      </c>
      <c r="H394" s="218">
        <f>SUMIF($D$4:$D$343,"XB080718",$H$4:$H$343)</f>
        <v>3374.5</v>
      </c>
      <c r="I394" s="500"/>
      <c r="J394" s="497"/>
      <c r="K394" s="183">
        <f>SUMIFS($K$4:$K$343,$D$4:$D$343,"XB080718",$F$4:$F$343,"60""")</f>
        <v>106700</v>
      </c>
      <c r="L394" s="183">
        <f>SUMIFS($L$4:$L$343,$D$4:$D$343,"XB080718",$F$4:$F$343,"60""")</f>
        <v>14</v>
      </c>
      <c r="M394" s="183">
        <f>SUMIFS($M$4:$M$343,$D$4:$D$343,"XB080718",$F$4:$F$343,"60""")</f>
        <v>81348</v>
      </c>
      <c r="N394" s="183">
        <f>SUMIFS($N$4:$N$343,$D$4:$D$343,"XB080718",$F$4:$F$343,"60""")</f>
        <v>83490</v>
      </c>
      <c r="O394" s="183">
        <f>SUMIFS($O$4:$O$343,$D$4:$D$343,"XB080718",$F$4:$F$343,"60""")</f>
        <v>80772</v>
      </c>
      <c r="P394" s="183">
        <f>SUMIFS($P$4:$P$343,$D$4:$D$343,"XB080718",$F$4:$F$343,"60""")</f>
        <v>17</v>
      </c>
      <c r="Q394" s="122"/>
    </row>
    <row r="395" spans="1:19" s="4" customFormat="1" ht="18" customHeight="1">
      <c r="A395" s="508"/>
      <c r="B395" s="122" t="s">
        <v>101</v>
      </c>
      <c r="C395" s="180" t="s">
        <v>327</v>
      </c>
      <c r="D395" s="48" t="s">
        <v>102</v>
      </c>
      <c r="E395" s="439"/>
      <c r="F395" s="59" t="s">
        <v>64</v>
      </c>
      <c r="G395" s="196">
        <f>SUMIFS($G$4:$G$343,$D$4:$D$343,"XB061218",$F$4:$F$343,"60""")</f>
        <v>8729.5300000000007</v>
      </c>
      <c r="H395" s="196">
        <f>SUMIFS($H$4:$H$343,$D$4:$D$343,"XB061218",$F$4:$F$343,"60""")</f>
        <v>5729</v>
      </c>
      <c r="I395" s="500"/>
      <c r="J395" s="497"/>
      <c r="K395" s="183">
        <f>SUMIFS($K$4:$K$343,$D$4:$D$343,"XB061218",$F$4:$F$343,"60""")</f>
        <v>125000</v>
      </c>
      <c r="L395" s="183">
        <f>SUMIFS($L$4:$L$343,$D$4:$D$343,"XB061218",$F$4:$F$343,"60""")</f>
        <v>18</v>
      </c>
      <c r="M395" s="183">
        <f>SUMIFS($M$4:$M$343,$D$4:$D$343,"XB061218",$F$4:$F$343,"60""")</f>
        <v>107851</v>
      </c>
      <c r="N395" s="183">
        <f>SUMIFS($N$4:$N$343,$D$4:$D$343,"XB061218",$F$4:$F$343,"60""")</f>
        <v>109977</v>
      </c>
      <c r="O395" s="183">
        <f>SUMIFS($O$4:$O$343,$D$4:$D$343,"XB061218",$F$4:$F$343,"60""")</f>
        <v>89049</v>
      </c>
      <c r="P395" s="183">
        <f>SUMIFS($P$4:$P$343,$D$4:$D$343,"XB061218",$F$4:$F$343,"60""")</f>
        <v>143</v>
      </c>
      <c r="Q395" s="122"/>
    </row>
    <row r="396" spans="1:19" s="4" customFormat="1" ht="18" customHeight="1">
      <c r="A396" s="508"/>
      <c r="B396" s="122" t="s">
        <v>366</v>
      </c>
      <c r="C396" s="180" t="s">
        <v>367</v>
      </c>
      <c r="D396" s="48" t="s">
        <v>132</v>
      </c>
      <c r="E396" s="439"/>
      <c r="F396" s="59" t="s">
        <v>64</v>
      </c>
      <c r="G396" s="196">
        <f>SUMIFS($G$4:$G$343,$D$4:$D$343,"M5101413",$F$4:$F$343,"60""")</f>
        <v>2654.46</v>
      </c>
      <c r="H396" s="196">
        <f>SUMIFS($H$4:$H$343,$D$4:$D$343,"M5101413",$F$4:$F$343,"60""")</f>
        <v>2171.3000000000002</v>
      </c>
      <c r="I396" s="500"/>
      <c r="J396" s="497"/>
      <c r="K396" s="183">
        <f>SUMIFS($K$4:$K$343,$D$4:$D$343,"M5101413",$F$4:$F$343,"60""")</f>
        <v>30950</v>
      </c>
      <c r="L396" s="183">
        <f>SUMIFS($L$4:$L$343,$D$4:$D$343,"M5101413",$F$4:$F$343,"60""")</f>
        <v>7</v>
      </c>
      <c r="M396" s="183">
        <f>SUMIFS($M$4:$M$343,$D$4:$D$343,"M5101413",$F$4:$F$343,"60""")</f>
        <v>28713</v>
      </c>
      <c r="N396" s="183">
        <f>SUMIFS($N$4:$N$343,$D$4:$D$343,"M5101413",$F$4:$F$343,"60""")</f>
        <v>29395</v>
      </c>
      <c r="O396" s="183">
        <f>SUMIFS($O$4:$O$343,$D$4:$D$343,"M5101413",$F$4:$F$343,"60""")</f>
        <v>17118</v>
      </c>
      <c r="P396" s="183">
        <f>SUMIFS($P$4:$P$343,$D$4:$D$343,"M5101413",$F$4:$F$343,"60""")</f>
        <v>154</v>
      </c>
      <c r="Q396" s="122"/>
    </row>
    <row r="397" spans="1:19" s="4" customFormat="1" ht="21.75" customHeight="1">
      <c r="A397" s="508"/>
      <c r="B397" s="122" t="s">
        <v>363</v>
      </c>
      <c r="C397" s="180" t="s">
        <v>325</v>
      </c>
      <c r="D397" s="48" t="s">
        <v>328</v>
      </c>
      <c r="E397" s="439"/>
      <c r="F397" s="59" t="s">
        <v>48</v>
      </c>
      <c r="G397" s="196">
        <f>SUMIFS($G$4:$G$343,$D$4:$D$343,"SC1039",$F$4:$F$343,"61""")</f>
        <v>2028.76</v>
      </c>
      <c r="H397" s="183">
        <f>SUMIF($D$4:$D$343,"SC1039",$H$4:$H$343)</f>
        <v>2184</v>
      </c>
      <c r="I397" s="500"/>
      <c r="J397" s="497"/>
      <c r="K397" s="183">
        <f>SUMIFS($K$4:$K$343,$D$4:$D$343,"SC1039",$F$4:$F$343,"61""")</f>
        <v>24000</v>
      </c>
      <c r="L397" s="183">
        <f>SUMIFS($L$4:$L$343,$D$4:$D$343,"SC1039",$F$4:$F$343,"61""")</f>
        <v>4</v>
      </c>
      <c r="M397" s="183">
        <f>SUMIFS($M$4:$M$343,$D$4:$D$343,"SC1039",$F$4:$F$343,"61""")</f>
        <v>19702</v>
      </c>
      <c r="N397" s="183">
        <f>SUMIFS($N$4:$N$343,$D$4:$D$343,"SC1039",$F$4:$F$343,"61""")</f>
        <v>19702</v>
      </c>
      <c r="O397" s="183">
        <f>SUMIFS($O$4:$O$343,$D$4:$D$343,"SC1039",$F$4:$F$343,"61""")</f>
        <v>3248</v>
      </c>
      <c r="P397" s="183"/>
      <c r="Q397" s="122"/>
    </row>
    <row r="398" spans="1:19" s="4" customFormat="1" ht="27" customHeight="1">
      <c r="A398" s="508"/>
      <c r="B398" s="122" t="s">
        <v>253</v>
      </c>
      <c r="C398" s="180" t="s">
        <v>365</v>
      </c>
      <c r="D398" s="48" t="s">
        <v>246</v>
      </c>
      <c r="E398" s="439"/>
      <c r="F398" s="59" t="s">
        <v>247</v>
      </c>
      <c r="G398" s="196">
        <f>SUMIFS($G$4:$G$343,$B$4:$B$343,"샤워 커튼",$D$4:$D$343,"SC-1012",$F$4:$F$343,"76.8""")</f>
        <v>2289.08</v>
      </c>
      <c r="H398" s="196">
        <f>SUMIFS($H$4:$H$343,$B$4:$B$343,"샤워 커튼",$D$4:$D$343,"SC-1012",$F$4:$F$343,"76.8""")</f>
        <v>1809.9500000000003</v>
      </c>
      <c r="I398" s="500"/>
      <c r="J398" s="497"/>
      <c r="K398" s="183">
        <f>SUMIFS($K$4:$K$343,$D$4:$D$343,"SC-1012",$F$4:$F$343,"76.8""")</f>
        <v>34000</v>
      </c>
      <c r="L398" s="183">
        <f>SUMIFS($L$4:$L$343,$D$4:$D$343,"SC-1012",$F$4:$F$343,"76.8""")</f>
        <v>6</v>
      </c>
      <c r="M398" s="183">
        <f>SUMIFS($M$4:$M$343,$D$4:$D$343,"SC-1012",$F$4:$F$343,"76.8""")</f>
        <v>26725</v>
      </c>
      <c r="N398" s="183">
        <f>SUMIFS($N$4:$N$343,$D$4:$D$343,"SC-1012",$F$4:$F$343,"76.8""")</f>
        <v>28594</v>
      </c>
      <c r="O398" s="183">
        <f>SUMIFS($O$4:$O$343,$D$4:$D$343,"SC-1012",$F$4:$F$343,"76.8""")</f>
        <v>19552</v>
      </c>
      <c r="P398" s="183"/>
      <c r="Q398" s="122"/>
    </row>
    <row r="399" spans="1:19" s="4" customFormat="1" ht="21.75" customHeight="1">
      <c r="A399" s="508"/>
      <c r="B399" s="122" t="s">
        <v>520</v>
      </c>
      <c r="C399" s="180" t="s">
        <v>521</v>
      </c>
      <c r="D399" s="48" t="s">
        <v>37</v>
      </c>
      <c r="E399" s="439"/>
      <c r="F399" s="59" t="s">
        <v>522</v>
      </c>
      <c r="G399" s="294">
        <f>SUMIFS($G$4:$G$343,$D$4:$D$343,"SC-1020",$F$4:$F$343,"74.803""")</f>
        <v>110</v>
      </c>
      <c r="H399" s="196"/>
      <c r="I399" s="500"/>
      <c r="J399" s="497"/>
      <c r="K399" s="194">
        <f>SUMIFS($K$4:$K$343,$D$4:$D$343,"SC-1020",$F$4:$F$343,"74.803""")</f>
        <v>2000</v>
      </c>
      <c r="L399" s="194">
        <f>SUMIFS($L$4:$L$343,$D$4:$D$343,"SC-1020",$F$4:$F$343,"74.803""")</f>
        <v>1</v>
      </c>
      <c r="M399" s="194">
        <f>SUMIFS($M$4:$M$343,$D$4:$D$343,"SC-1020",$F$4:$F$343,"74.803""")</f>
        <v>587</v>
      </c>
      <c r="N399" s="194">
        <f>SUMIFS($N$4:$N$343,$D$4:$D$343,"SC-1020",$F$4:$F$343,"74.803""")</f>
        <v>875</v>
      </c>
      <c r="O399" s="194">
        <f>SUMIFS($O$4:$O$343,$D$4:$D$343,"SC-1020",$F$4:$F$343,"74.803""")</f>
        <v>587</v>
      </c>
      <c r="P399" s="194">
        <f>SUMIFS($P$4:$P$343,$D$4:$D$343,"SC-1020",$F$4:$F$343,"74.803""")</f>
        <v>0</v>
      </c>
      <c r="Q399" s="122"/>
    </row>
    <row r="400" spans="1:19" s="4" customFormat="1" ht="21" customHeight="1">
      <c r="A400" s="508"/>
      <c r="B400" s="122" t="s">
        <v>289</v>
      </c>
      <c r="C400" s="180" t="s">
        <v>516</v>
      </c>
      <c r="D400" s="48" t="s">
        <v>432</v>
      </c>
      <c r="E400" s="439"/>
      <c r="F400" s="59" t="s">
        <v>515</v>
      </c>
      <c r="G400" s="280">
        <f>SUMIFS($G$4:$G$343,$D$4:$D$343,"RD230Z",$F$4:$F$343,"80.315""")</f>
        <v>277.2</v>
      </c>
      <c r="H400" s="196"/>
      <c r="I400" s="500"/>
      <c r="J400" s="497"/>
      <c r="K400" s="191">
        <f>SUMIFS($K$4:$K$343,$D$4:$D$343,"RD230Z",$F$4:$F$343,"80.315""")</f>
        <v>4000</v>
      </c>
      <c r="L400" s="191">
        <f>SUMIFS($L$4:$L$343,$D$4:$D$343,"RD230Z",$F$4:$F$343,"80.315""")</f>
        <v>1</v>
      </c>
      <c r="M400" s="191">
        <f>SUMIFS($M$4:$M$343,$D$4:$D$343,"RD230Z",$F$4:$F$343,"80.315""")</f>
        <v>1132</v>
      </c>
      <c r="N400" s="191">
        <f>SUMIFS($N$4:$N$343,$D$4:$D$343,"RD230Z",$F$4:$F$343,"80.315""")</f>
        <v>1648</v>
      </c>
      <c r="O400" s="191">
        <f>SUMIFS($O$4:$O$343,$D$4:$D$343,"RD230Z",$F$4:$F$343,"80.315""")</f>
        <v>1132</v>
      </c>
      <c r="P400" s="191">
        <f>SUMIFS($P$4:$P$343,$D$4:$D$343,"RD230Z",$F$4:$F$343,"80.315""")</f>
        <v>0</v>
      </c>
      <c r="Q400" s="122"/>
    </row>
    <row r="401" spans="1:17" s="4" customFormat="1" ht="15.75" customHeight="1">
      <c r="A401" s="508"/>
      <c r="B401" s="122" t="s">
        <v>289</v>
      </c>
      <c r="C401" s="180" t="s">
        <v>503</v>
      </c>
      <c r="D401" s="48" t="s">
        <v>432</v>
      </c>
      <c r="E401" s="439"/>
      <c r="F401" s="59" t="s">
        <v>502</v>
      </c>
      <c r="G401" s="280">
        <f>SUMIFS($G$4:$G$343,$D$4:$D$343,"RD230Z",$F$4:$F$343,"84.25""")</f>
        <v>1306.77</v>
      </c>
      <c r="H401" s="196"/>
      <c r="I401" s="500"/>
      <c r="J401" s="497"/>
      <c r="K401" s="191">
        <f>SUMIFS($K$4:$K$343,$D$4:$D$343,"RD230Z",$F$4:$F$343,"84.25""")</f>
        <v>12000</v>
      </c>
      <c r="L401" s="191">
        <f>SUMIFS($L$4:$L$343,$D$4:$D$343,"RD230Z",$F$4:$F$343,"84.25""")</f>
        <v>2</v>
      </c>
      <c r="M401" s="191">
        <f>SUMIFS($M$4:$M$343,$D$4:$D$343,"RD230Z",$F$4:$F$343,"84.25""")</f>
        <v>3625</v>
      </c>
      <c r="N401" s="191">
        <f>SUMIFS($N$4:$N$343,$D$4:$D$343,"RD230Z",$F$4:$F$343,"84.25""")</f>
        <v>3758</v>
      </c>
      <c r="O401" s="191">
        <f>SUMIFS($O$4:$O$343,$D$4:$D$343,"RD230Z",$F$4:$F$343,"84.25""")</f>
        <v>2625</v>
      </c>
      <c r="P401" s="183"/>
      <c r="Q401" s="122"/>
    </row>
    <row r="402" spans="1:17" s="4" customFormat="1" ht="15.75" customHeight="1">
      <c r="A402" s="508"/>
      <c r="B402" s="137" t="s">
        <v>289</v>
      </c>
      <c r="C402" s="157" t="s">
        <v>508</v>
      </c>
      <c r="D402" s="48" t="s">
        <v>432</v>
      </c>
      <c r="E402" s="439"/>
      <c r="F402" s="59" t="s">
        <v>506</v>
      </c>
      <c r="G402" s="280">
        <f>SUMIFS($G$4:$G$343,$D$4:$D$343,"RD230Z",$F$4:$F$343,"92.125""")</f>
        <v>2218.04</v>
      </c>
      <c r="H402" s="196"/>
      <c r="I402" s="500"/>
      <c r="J402" s="497"/>
      <c r="K402" s="191">
        <f>SUMIFS($K$4:$K$343,$D$4:$D$343,"RD230Z",$F$4:$F$343,"92.125""")</f>
        <v>21000</v>
      </c>
      <c r="L402" s="191">
        <f>SUMIFS($L$4:$L$343,$D$4:$D$343,"RD230Z",$F$4:$F$343,"92.125""")</f>
        <v>3</v>
      </c>
      <c r="M402" s="191">
        <f>SUMIFS($M$4:$M$343,$D$4:$D$343,"RD230Z",$F$4:$F$343,"92.125""")</f>
        <v>2570</v>
      </c>
      <c r="N402" s="191">
        <f>SUMIFS($N$4:$N$343,$D$4:$D$343,"RD230Z",$F$4:$F$343,"92.125""")</f>
        <v>3700</v>
      </c>
      <c r="O402" s="191">
        <f>SUMIFS($O$4:$O$343,$D$4:$D$343,"RD230Z",$F$4:$F$343,"92.125""")</f>
        <v>1490</v>
      </c>
      <c r="P402" s="191">
        <f>SUMIFS($P$4:$P$343,$D$4:$D$343,"RD230Z",$F$4:$F$343,"92.125""")</f>
        <v>0</v>
      </c>
      <c r="Q402" s="122"/>
    </row>
    <row r="403" spans="1:17" s="4" customFormat="1" ht="15.75" customHeight="1">
      <c r="A403" s="508"/>
      <c r="B403" s="442" t="s">
        <v>289</v>
      </c>
      <c r="C403" s="444" t="s">
        <v>290</v>
      </c>
      <c r="D403" s="48" t="s">
        <v>291</v>
      </c>
      <c r="E403" s="439"/>
      <c r="F403" s="59" t="s">
        <v>292</v>
      </c>
      <c r="G403" s="218">
        <f>SUMIFS($G$4:$G$343,$D$4:$D$343,"RD242Z",$F$4:$F$343,"82.68""")</f>
        <v>146.5</v>
      </c>
      <c r="H403" s="183"/>
      <c r="I403" s="500"/>
      <c r="J403" s="497"/>
      <c r="K403" s="183">
        <f>SUMIFS($K$4:$K$343,$D$4:$D$343,"RD242Z",$F$4:$F$343,"82.68""")</f>
        <v>2000</v>
      </c>
      <c r="L403" s="183">
        <f>SUMIFS($L$4:$L$343,$D$4:$D$343,"RD242Z",$F$4:$F$343,"82.68""")</f>
        <v>1</v>
      </c>
      <c r="M403" s="183">
        <f>SUMIFS($M$4:$M$343,$D$4:$D$343,"RD242Z",$F$4:$F$343,"82.68""")</f>
        <v>1885</v>
      </c>
      <c r="N403" s="183">
        <f>SUMIFS($N$4:$N$343,$D$4:$D$343,"RD242Z",$F$4:$F$343,"82.68""")</f>
        <v>1885</v>
      </c>
      <c r="O403" s="183">
        <f>SUMIFS($O$4:$O$343,$D$4:$D$343,"RD242Z",$F$4:$F$343,"82.68""")</f>
        <v>1885</v>
      </c>
      <c r="P403" s="183"/>
      <c r="Q403" s="122"/>
    </row>
    <row r="404" spans="1:17" s="4" customFormat="1" ht="15.75" customHeight="1">
      <c r="A404" s="508"/>
      <c r="B404" s="443"/>
      <c r="C404" s="446"/>
      <c r="D404" s="43" t="s">
        <v>329</v>
      </c>
      <c r="E404" s="439"/>
      <c r="F404" s="59"/>
      <c r="G404" s="218"/>
      <c r="H404" s="218">
        <f>SUMIF($D$4:$D$343,"RD271Z",$H$4:$H$343)</f>
        <v>214.20000000000002</v>
      </c>
      <c r="I404" s="500"/>
      <c r="J404" s="497"/>
      <c r="K404" s="183"/>
      <c r="L404" s="183"/>
      <c r="M404" s="183"/>
      <c r="N404" s="183"/>
      <c r="O404" s="183"/>
      <c r="P404" s="183"/>
      <c r="Q404" s="122"/>
    </row>
    <row r="405" spans="1:17" s="4" customFormat="1" ht="15.75" customHeight="1">
      <c r="A405" s="508"/>
      <c r="B405" s="122" t="s">
        <v>289</v>
      </c>
      <c r="C405" s="180" t="s">
        <v>290</v>
      </c>
      <c r="D405" s="48" t="s">
        <v>75</v>
      </c>
      <c r="E405" s="439"/>
      <c r="F405" s="59" t="s">
        <v>381</v>
      </c>
      <c r="G405" s="196">
        <f>SUMIFS($G$4:$G$343,$D$4:$D$343,"AAZ43",$F$4:$F$343,"94.5""")</f>
        <v>167.88</v>
      </c>
      <c r="H405" s="218"/>
      <c r="I405" s="500"/>
      <c r="J405" s="497"/>
      <c r="K405" s="183">
        <f>SUMIFS($K$4:$K$343,$D$4:$D$343,"AAZ43",$F$4:$F$343,"94.5""")</f>
        <v>2000</v>
      </c>
      <c r="L405" s="183">
        <f>SUMIFS($L$4:$L$343,$D$4:$D$343,"AAZ43",$F$4:$F$343,"94.5""")</f>
        <v>1</v>
      </c>
      <c r="M405" s="183">
        <f>SUMIFS($M$4:$M$343,$D$4:$D$343,"AAZ43",$F$4:$F$343,"94.5""")</f>
        <v>1889</v>
      </c>
      <c r="N405" s="183">
        <f>SUMIFS($N$4:$N$343,$D$4:$D$343,"AAZ43",$F$4:$F$343,"94.5""")</f>
        <v>1889</v>
      </c>
      <c r="O405" s="183">
        <f>SUMIFS($O$4:$O$343,$D$4:$D$343,"AAZ43",$F$4:$F$343,"94.5""")</f>
        <v>1889</v>
      </c>
      <c r="P405" s="183"/>
      <c r="Q405" s="122"/>
    </row>
    <row r="406" spans="1:17" s="4" customFormat="1" ht="15.75" customHeight="1">
      <c r="A406" s="508"/>
      <c r="B406" s="442" t="s">
        <v>289</v>
      </c>
      <c r="C406" s="444" t="s">
        <v>290</v>
      </c>
      <c r="D406" s="48" t="s">
        <v>432</v>
      </c>
      <c r="E406" s="439"/>
      <c r="F406" s="59" t="s">
        <v>381</v>
      </c>
      <c r="G406" s="280">
        <f>SUMIFS($G$4:$G$343,$D$4:$D$343,"RD230Z",$F$4:$F$343,"94.5""")</f>
        <v>167.88</v>
      </c>
      <c r="H406" s="218"/>
      <c r="I406" s="500"/>
      <c r="J406" s="497"/>
      <c r="K406" s="183">
        <f>SUMIFS($K$4:$K$343,$D$4:$D$343,"RD230Z",$F$4:$F$343,"94.5""")</f>
        <v>4000</v>
      </c>
      <c r="L406" s="183">
        <f>SUMIFS($L$4:$L$343,$D$4:$D$343,"RD230Z",$F$4:$F$343,"94.5""")</f>
        <v>2</v>
      </c>
      <c r="M406" s="183">
        <f>SUMIFS($M$4:$M$343,$D$4:$D$343,"RD230Z",$F$4:$F$343,"94.5""")</f>
        <v>3752</v>
      </c>
      <c r="N406" s="183">
        <f>SUMIFS($N$4:$N$343,$D$4:$D$343,"RD230Z",$F$4:$F$343,"94.5""")</f>
        <v>3752</v>
      </c>
      <c r="O406" s="183">
        <f>SUMIFS($O$4:$O$343,$D$4:$D$343,"RD230Z",$F$4:$F$343,"94.5""")</f>
        <v>3752</v>
      </c>
      <c r="P406" s="183"/>
      <c r="Q406" s="122"/>
    </row>
    <row r="407" spans="1:17" s="4" customFormat="1" ht="15.75" customHeight="1">
      <c r="A407" s="508"/>
      <c r="B407" s="439"/>
      <c r="C407" s="445"/>
      <c r="D407" s="48" t="s">
        <v>432</v>
      </c>
      <c r="E407" s="439"/>
      <c r="F407" s="59" t="s">
        <v>435</v>
      </c>
      <c r="G407" s="280">
        <f>SUMIFS($G$4:$G$343,$D$4:$D$343,"RD230Z",$F$4:$F$343,"86.61""")</f>
        <v>306.8</v>
      </c>
      <c r="H407" s="218"/>
      <c r="I407" s="500"/>
      <c r="J407" s="497"/>
      <c r="K407" s="191">
        <f>SUMIFS($K$4:$K$343,$D$4:$D$343,"RD230Z",$F$4:$F$343,"86.61""")</f>
        <v>4000</v>
      </c>
      <c r="L407" s="191">
        <f>SUMIFS($L$4:$L$343,$D$4:$D$343,"RD230Z",$F$4:$F$343,"86.61""")</f>
        <v>1</v>
      </c>
      <c r="M407" s="191">
        <f>SUMIFS($M$4:$M$343,$D$4:$D$343,"RD230Z",$F$4:$F$343,"86.61""")</f>
        <v>3835</v>
      </c>
      <c r="N407" s="191">
        <f>SUMIFS($N$4:$N$343,$D$4:$D$343,"RD230Z",$F$4:$F$343,"86.61""")</f>
        <v>3835</v>
      </c>
      <c r="O407" s="191">
        <f>SUMIFS($O$4:$O$343,$D$4:$D$343,"RD230Z",$F$4:$F$343,"86.61""")</f>
        <v>3835</v>
      </c>
      <c r="P407" s="183"/>
      <c r="Q407" s="122"/>
    </row>
    <row r="408" spans="1:17" s="4" customFormat="1" ht="15.75" customHeight="1">
      <c r="A408" s="508"/>
      <c r="B408" s="443"/>
      <c r="C408" s="446"/>
      <c r="D408" s="48" t="s">
        <v>433</v>
      </c>
      <c r="E408" s="439"/>
      <c r="F408" s="59"/>
      <c r="G408" s="218"/>
      <c r="H408" s="218">
        <f>SUMIF($D$4:$D$343,"RD278Z",$H$4:$H$343)</f>
        <v>4467.6000000000004</v>
      </c>
      <c r="I408" s="500"/>
      <c r="J408" s="497"/>
      <c r="K408" s="183"/>
      <c r="L408" s="183"/>
      <c r="M408" s="183"/>
      <c r="N408" s="183"/>
      <c r="O408" s="183"/>
      <c r="P408" s="183"/>
      <c r="Q408" s="122"/>
    </row>
    <row r="409" spans="1:17" s="4" customFormat="1" ht="15.75" customHeight="1">
      <c r="A409" s="508"/>
      <c r="B409" s="268" t="s">
        <v>315</v>
      </c>
      <c r="C409" s="335" t="s">
        <v>252</v>
      </c>
      <c r="D409" s="48" t="s">
        <v>246</v>
      </c>
      <c r="E409" s="439"/>
      <c r="F409" s="59" t="s">
        <v>64</v>
      </c>
      <c r="G409" s="196">
        <f>SUMIFS($G$4:$G$343,$B$4:$B$343,"RENSARE",$D$4:$D$343,"SC-1012",$F$4:$F$343,"60""")</f>
        <v>49.49</v>
      </c>
      <c r="H409" s="183">
        <f>SUMIFS($H$4:$H$343,$B$4:$B$343,"RENSARE",$D$4:$D$343,"SC-1012",$F$4:$F$343,"60""")</f>
        <v>64</v>
      </c>
      <c r="I409" s="500"/>
      <c r="J409" s="497"/>
      <c r="K409" s="183">
        <f>SUMIFS($K$4:$K$343,$B$4:$B$343,"RENSARE",$D$4:$D$343,"SC-1012",$F$4:$F$343,"60""")</f>
        <v>1000</v>
      </c>
      <c r="L409" s="183">
        <f>SUMIFS($L$4:$L$343,$B$4:$B$343,"RENSARE",$D$4:$D$343,"SC-1012",$F$4:$F$343,"60""")</f>
        <v>1</v>
      </c>
      <c r="M409" s="183">
        <f>SUMIFS($M$4:$M$343,$B$4:$B$343,"RENSARE",$D$4:$D$343,"SC-1012",$F$4:$F$343,"60""")</f>
        <v>940</v>
      </c>
      <c r="N409" s="183">
        <f>SUMIFS($N$4:$N$343,$B$4:$B$343,"RENSARE",$D$4:$D$343,"SC-1012",$F$4:$F$343,"60""")</f>
        <v>940</v>
      </c>
      <c r="O409" s="183">
        <f>SUMIFS($O$4:$O$343,$B$4:$B$343,"RENSARE",$D$4:$D$343,"SC-1012",$F$4:$F$343,"60""")</f>
        <v>783</v>
      </c>
      <c r="P409" s="183">
        <f>SUMIFS($P$4:$P$343,$B$4:$B$343,"RENSARE",$D$4:$D$343,"SC-1012",$F$4:$F$343,"60""")</f>
        <v>157</v>
      </c>
      <c r="Q409" s="122"/>
    </row>
    <row r="410" spans="1:17" s="4" customFormat="1" ht="15.75" customHeight="1">
      <c r="A410" s="508"/>
      <c r="B410" s="122" t="s">
        <v>425</v>
      </c>
      <c r="C410" s="180" t="s">
        <v>426</v>
      </c>
      <c r="D410" s="48" t="s">
        <v>246</v>
      </c>
      <c r="E410" s="439"/>
      <c r="F410" s="59" t="s">
        <v>64</v>
      </c>
      <c r="G410" s="196">
        <f>SUMIFS($G$4:$G$343,$B$4:$B$343,"GILIMAX 68D TAF",$D$4:$D$343,"SC-1012",$F$4:$F$343,"60""")</f>
        <v>57.16</v>
      </c>
      <c r="H410" s="183">
        <f>SUMIFS($H$4:$H$343,$B$4:$B$343,"GILIMAX 68D TAF",$D$4:$D$343,"SC-1012",$F$4:$F$343,"60""")</f>
        <v>80</v>
      </c>
      <c r="I410" s="500"/>
      <c r="J410" s="497"/>
      <c r="K410" s="183">
        <f>SUMIFS($K$4:$K$343,$B$4:$B$343,"GILIMAX 68D TAF",$D$4:$D$343,"SC-1012",$F$4:$F$343,"60""")</f>
        <v>1000</v>
      </c>
      <c r="L410" s="183">
        <f>SUMIFS($L$4:$L$343,$B$4:$B$343,"GILIMAX 68D TAF",$D$4:$D$343,"SC-1012",$F$4:$F$343,"60""")</f>
        <v>1</v>
      </c>
      <c r="M410" s="183">
        <f>SUMIFS($M$4:$M$343,$B$4:$B$343,"GILIMAX 68D TAF",$D$4:$D$343,"SC-1012",$F$4:$F$343,"60""")</f>
        <v>919</v>
      </c>
      <c r="N410" s="183">
        <f>SUMIFS($N$4:$N$343,$B$4:$B$343,"GILIMAX 68D TAF",$D$4:$D$343,"SC-1012",$F$4:$F$343,"60""")</f>
        <v>919</v>
      </c>
      <c r="O410" s="183">
        <f>SUMIFS($N$4:$N$343,$B$4:$B$343,"GILIMAX 68D TAF",$D$4:$D$343,"SC-1012",$F$4:$F$343,"60""")</f>
        <v>919</v>
      </c>
      <c r="P410" s="183"/>
      <c r="Q410" s="122"/>
    </row>
    <row r="411" spans="1:17" s="4" customFormat="1" ht="15.75" customHeight="1">
      <c r="A411" s="508"/>
      <c r="B411" s="268" t="s">
        <v>453</v>
      </c>
      <c r="C411" s="335" t="s">
        <v>438</v>
      </c>
      <c r="D411" s="48" t="s">
        <v>432</v>
      </c>
      <c r="E411" s="439"/>
      <c r="F411" s="59" t="s">
        <v>40</v>
      </c>
      <c r="G411" s="193"/>
      <c r="H411" s="193">
        <f>SUMIFS($H$4:$H$343,$B$4:$B$343,"SAFFEROT - 1",$D$4:$D$343,"RD230Z",$F$4:$F$343,"66.5""")</f>
        <v>0</v>
      </c>
      <c r="I411" s="500"/>
      <c r="J411" s="497"/>
      <c r="K411" s="183"/>
      <c r="L411" s="183"/>
      <c r="M411" s="191">
        <f>SUMIFS($M$4:$M$343,$B$4:$B$343,"SAFFEROT - 1",$D$4:$D$343,"RD230Z",$F$4:$F$343,"66.5""")</f>
        <v>2121</v>
      </c>
      <c r="N411" s="191">
        <f>SUMIFS($N$4:$N$343,$B$4:$B$343,"SAFFEROT - 1",$D$4:$D$343,"RD230Z",$F$4:$F$343,"66.5""")</f>
        <v>2121</v>
      </c>
      <c r="O411" s="191">
        <f>SUMIFS($O$4:$O$343,$B$4:$B$343,"SAFFEROT - 1",$D$4:$D$343,"RD230Z",$F$4:$F$343,"66.5""")</f>
        <v>2121</v>
      </c>
      <c r="P411" s="183"/>
      <c r="Q411" s="122"/>
    </row>
    <row r="412" spans="1:17" s="4" customFormat="1" ht="15.75" customHeight="1">
      <c r="A412" s="508"/>
      <c r="B412" s="268" t="s">
        <v>454</v>
      </c>
      <c r="C412" s="335" t="s">
        <v>438</v>
      </c>
      <c r="D412" s="48" t="s">
        <v>432</v>
      </c>
      <c r="E412" s="439"/>
      <c r="F412" s="59" t="s">
        <v>40</v>
      </c>
      <c r="G412" s="193"/>
      <c r="H412" s="193">
        <f>SUMIFS($H$4:$H$343,$B$4:$B$343,"SAFFEROT - 2",$D$4:$D$343,"RD230Z",$F$4:$F$343,"66.5""")</f>
        <v>0</v>
      </c>
      <c r="I412" s="500"/>
      <c r="J412" s="497"/>
      <c r="K412" s="183"/>
      <c r="L412" s="183"/>
      <c r="M412" s="191">
        <f>SUMIFS($M$4:$M$343,$B$4:$B$343,"SAFFEROT - 2",$D$4:$D$343,"RD230Z",$F$4:$F$343,"66.5""")</f>
        <v>2129</v>
      </c>
      <c r="N412" s="191">
        <f>SUMIFS($N$4:$N$343,$B$4:$B$343,"SAFFEROT - 2",$D$4:$D$343,"RD230Z",$F$4:$F$343,"66.5""")</f>
        <v>2129</v>
      </c>
      <c r="O412" s="191">
        <f>SUMIFS($O$4:$O$343,$B$4:$B$343,"SAFFEROT - 2",$D$4:$D$343,"RD230Z",$F$4:$F$343,"66.5""")</f>
        <v>2129</v>
      </c>
      <c r="P412" s="183"/>
      <c r="Q412" s="122"/>
    </row>
    <row r="413" spans="1:17" s="4" customFormat="1" ht="15.75" customHeight="1">
      <c r="A413" s="508"/>
      <c r="B413" s="268" t="s">
        <v>436</v>
      </c>
      <c r="C413" s="335" t="s">
        <v>438</v>
      </c>
      <c r="D413" s="48" t="s">
        <v>432</v>
      </c>
      <c r="E413" s="439"/>
      <c r="F413" s="59" t="s">
        <v>57</v>
      </c>
      <c r="G413" s="191">
        <f>SUMIFS($G$4:$G$343,$B$4:$B$343,"LAPPTAFEL - 1",$D$4:$D$343,"RD230Z",$F$4:$F$343,"66.5""")</f>
        <v>173</v>
      </c>
      <c r="H413" s="193"/>
      <c r="I413" s="500"/>
      <c r="J413" s="497"/>
      <c r="K413" s="191">
        <f>SUMIFS($K$4:$K$343,$B$4:$B$343,"LAPPTAFEL - 1",$D$4:$D$343,"RD230Z",$F$4:$F$343,"66.5""")</f>
        <v>3000</v>
      </c>
      <c r="L413" s="191">
        <f>SUMIFS($L$4:$L$343,$B$4:$B$343,"LAPPTAFEL - 1",$D$4:$D$343,"RD230Z",$F$4:$F$343,"66.5""")</f>
        <v>1</v>
      </c>
      <c r="M413" s="191">
        <f>SUMIFS($M$4:$M$343,$B$4:$B$343,"LAPPTAFEL - 1",$D$4:$D$343,"RD230Z",$F$4:$F$343,"66.5""")</f>
        <v>800</v>
      </c>
      <c r="N413" s="191">
        <f>SUMIFS($N$4:$N$343,$B$4:$B$343,"LAPPTAFEL - 1",$D$4:$D$343,"RD230Z",$F$4:$F$343,"66.5""")</f>
        <v>800</v>
      </c>
      <c r="O413" s="191">
        <f>SUMIFS($O$4:$O$343,$B$4:$B$343,"LAPPTAFEL - 1",$D$4:$D$343,"RD230Z",$F$4:$F$343,"66.5""")</f>
        <v>800</v>
      </c>
      <c r="P413" s="183"/>
      <c r="Q413" s="122"/>
    </row>
    <row r="414" spans="1:17" s="4" customFormat="1" ht="15.75" customHeight="1">
      <c r="A414" s="508"/>
      <c r="B414" s="268" t="s">
        <v>437</v>
      </c>
      <c r="C414" s="335" t="s">
        <v>438</v>
      </c>
      <c r="D414" s="48" t="s">
        <v>432</v>
      </c>
      <c r="E414" s="439"/>
      <c r="F414" s="59" t="s">
        <v>57</v>
      </c>
      <c r="G414" s="191">
        <f>SUMIFS($G$4:$G$343,$B$4:$B$343,"LAPPTAFEL - 2",$D$4:$D$343,"RD230Z",$F$4:$F$343,"66.5""")</f>
        <v>173</v>
      </c>
      <c r="H414" s="193"/>
      <c r="I414" s="500"/>
      <c r="J414" s="497"/>
      <c r="K414" s="191">
        <f>SUMIFS($K$4:$K$343,$B$4:$B$343,"LAPPTAFEL - 2",$D$4:$D$343,"RD230Z",$F$4:$F$343,"66.5""")</f>
        <v>3000</v>
      </c>
      <c r="L414" s="191">
        <f>SUMIFS($L$4:$L$343,$B$4:$B$343,"LAPPTAFEL - 2",$D$4:$D$343,"RD230Z",$F$4:$F$343,"66.5""")</f>
        <v>1</v>
      </c>
      <c r="M414" s="191">
        <f>SUMIFS($M$4:$M$343,$B$4:$B$343,"LAPPTAFEL - 2",$D$4:$D$343,"RD230Z",$F$4:$F$343,"66.5""")</f>
        <v>800</v>
      </c>
      <c r="N414" s="191">
        <f>SUMIFS($N$4:$N$343,$B$4:$B$343,"LAPPTAFEL - 2",$D$4:$D$343,"RD230Z",$F$4:$F$343,"66.5""")</f>
        <v>800</v>
      </c>
      <c r="O414" s="191">
        <f>SUMIFS($O$4:$O$343,$B$4:$B$343,"LAPPTAFEL - 2",$D$4:$D$343,"RD230Z",$F$4:$F$343,"66.5""")</f>
        <v>800</v>
      </c>
      <c r="P414" s="183"/>
      <c r="Q414" s="122"/>
    </row>
    <row r="415" spans="1:17" s="4" customFormat="1" ht="21" customHeight="1">
      <c r="A415" s="508"/>
      <c r="B415" s="122" t="s">
        <v>304</v>
      </c>
      <c r="C415" s="180" t="s">
        <v>250</v>
      </c>
      <c r="D415" s="48" t="s">
        <v>251</v>
      </c>
      <c r="E415" s="439"/>
      <c r="F415" s="59" t="s">
        <v>64</v>
      </c>
      <c r="G415" s="196">
        <f>SUMIFS($G$4:$G$343,$B$4:$B$343,"WMT 400 D P/OX",$D$4:$D$343,"H20126")</f>
        <v>131.22999999999999</v>
      </c>
      <c r="H415" s="218"/>
      <c r="I415" s="500"/>
      <c r="J415" s="497"/>
      <c r="K415" s="183">
        <f>SUMIFS($K$4:$K$343,$B$4:$B$343,"WMT 400 D P/OX",$D$4:$D$343,"H20126")</f>
        <v>1400</v>
      </c>
      <c r="L415" s="183">
        <f>SUMIFS($L$4:$L$343,$B$4:$B$343,"WMT 400 D P/OX",$D$4:$D$343,"H20126")</f>
        <v>2</v>
      </c>
      <c r="M415" s="183">
        <f>SUMIFS($M$4:$M$343,$B$4:$B$343,"WMT 400 D P/OX",$D$4:$D$343,"H20126")</f>
        <v>1250</v>
      </c>
      <c r="N415" s="183">
        <f>SUMIFS($N$4:$N$343,$B$4:$B$343,"WMT 400 D P/OX",$D$4:$D$343,"H20126")</f>
        <v>1250</v>
      </c>
      <c r="O415" s="183">
        <f>SUMIFS($O$4:$O$343,$B$4:$B$343,"WMT 400 D P/OX",$D$4:$D$343,"H20126")</f>
        <v>1247</v>
      </c>
      <c r="P415" s="183">
        <f>SUMIFS($P$4:$P$343,$B$4:$B$343,"WMT 400 D P/OX",$D$4:$D$343,"H20126")</f>
        <v>3</v>
      </c>
      <c r="Q415" s="122"/>
    </row>
    <row r="416" spans="1:17" s="4" customFormat="1" ht="21" customHeight="1">
      <c r="A416" s="508"/>
      <c r="B416" s="122" t="s">
        <v>421</v>
      </c>
      <c r="C416" s="157" t="s">
        <v>420</v>
      </c>
      <c r="D416" s="48" t="s">
        <v>248</v>
      </c>
      <c r="E416" s="439"/>
      <c r="F416" s="59" t="s">
        <v>64</v>
      </c>
      <c r="G416" s="218">
        <f>SUMIFS($G$4:$G$343,$B$4:$B$343,"WMT CHRISTMAS 60""",$D$4:$D$343,"H20123")</f>
        <v>16632.829999999998</v>
      </c>
      <c r="H416" s="183">
        <f>SUMIFS($H$4:$H$343,$B$4:$B$343,"WMT CHRISTMAS 60""",$D$4:$D$343,"H20123")</f>
        <v>8124</v>
      </c>
      <c r="I416" s="500"/>
      <c r="J416" s="497"/>
      <c r="K416" s="183">
        <f>SUMIFS($K$4:$K$343,$B$4:$B$343,"WMT CHRISTMAS 60""",$D$4:$D$343,"H20123")</f>
        <v>131250</v>
      </c>
      <c r="L416" s="183">
        <f>SUMIFS($L$4:$L$343,$B$4:$B$343,"WMT CHRISTMAS 60""",$D$4:$D$343,"H20123")</f>
        <v>33</v>
      </c>
      <c r="M416" s="183">
        <f>SUMIFS($M$4:$M$343,$B$4:$B$343,"WMT CHRISTMAS 60""",$D$4:$D$343,"H20123")</f>
        <v>70251</v>
      </c>
      <c r="N416" s="183">
        <f>SUMIFS($N$4:$N$343,$B$4:$B$343,"WMT CHRISTMAS 60""",$D$4:$D$343,"H20123")</f>
        <v>75856</v>
      </c>
      <c r="O416" s="183">
        <f>SUMIFS($O$4:$O$343,$B$4:$B$343,"WMT CHRISTMAS 60""",$D$4:$D$343,"H20123")</f>
        <v>12394</v>
      </c>
      <c r="P416" s="183"/>
      <c r="Q416" s="122"/>
    </row>
    <row r="417" spans="1:24" s="4" customFormat="1" ht="15.75" customHeight="1">
      <c r="A417" s="508"/>
      <c r="B417" s="442" t="s">
        <v>305</v>
      </c>
      <c r="C417" s="444" t="s">
        <v>306</v>
      </c>
      <c r="D417" s="48" t="s">
        <v>251</v>
      </c>
      <c r="E417" s="439"/>
      <c r="F417" s="59" t="s">
        <v>64</v>
      </c>
      <c r="G417" s="196">
        <f>SUMIFS($G$4:$G$343,$B$4:$B$343,"TGT 400 D P/OX",$D$4:$D$343,"H20126")</f>
        <v>50.13</v>
      </c>
      <c r="H417" s="218"/>
      <c r="I417" s="500"/>
      <c r="J417" s="497"/>
      <c r="K417" s="183">
        <f>SUMIFS($K$4:$K$343,$B$4:$B$343,"TGT 400 D P/OX",$D$4:$D$343,"H20126")</f>
        <v>500</v>
      </c>
      <c r="L417" s="183">
        <f>SUMIFS($L$4:$L$343,$B$4:$B$343,"TGT 400 D P/OX",$D$4:$D$343,"H20126")</f>
        <v>1</v>
      </c>
      <c r="M417" s="183">
        <f>SUMIFS($M$4:$M$343,$B$4:$B$343,"TGT 400 D P/OX",$D$4:$D$343,"H20126")</f>
        <v>428</v>
      </c>
      <c r="N417" s="183">
        <f>SUMIFS($N$4:$N$343,$B$4:$B$343,"TGT 400 D P/OX",$D$4:$D$343,"H20126")</f>
        <v>428</v>
      </c>
      <c r="O417" s="183">
        <f>SUMIFS($O$4:$O$343,$B$4:$B$343,"TGT 400 D P/OX",$D$4:$D$343,"H20126")</f>
        <v>428</v>
      </c>
      <c r="P417" s="183"/>
      <c r="Q417" s="122"/>
    </row>
    <row r="418" spans="1:24" s="4" customFormat="1" ht="15.75" customHeight="1">
      <c r="A418" s="508"/>
      <c r="B418" s="443"/>
      <c r="C418" s="446"/>
      <c r="D418" s="48" t="s">
        <v>248</v>
      </c>
      <c r="E418" s="439"/>
      <c r="F418" s="59"/>
      <c r="G418" s="196"/>
      <c r="H418" s="183">
        <v>180</v>
      </c>
      <c r="I418" s="500"/>
      <c r="J418" s="497"/>
      <c r="K418" s="191"/>
      <c r="L418" s="191"/>
      <c r="M418" s="183"/>
      <c r="N418" s="183"/>
      <c r="O418" s="183"/>
      <c r="P418" s="183"/>
      <c r="Q418" s="122"/>
    </row>
    <row r="419" spans="1:24" s="4" customFormat="1" ht="15.75" customHeight="1">
      <c r="A419" s="508"/>
      <c r="B419" s="122" t="s">
        <v>375</v>
      </c>
      <c r="C419" s="180" t="s">
        <v>376</v>
      </c>
      <c r="D419" s="48" t="s">
        <v>248</v>
      </c>
      <c r="E419" s="439"/>
      <c r="F419" s="59" t="s">
        <v>64</v>
      </c>
      <c r="G419" s="196">
        <f>SUMIFS($G$4:$G$343,$B$4:$B$343,"TGT 400D",$D$4:$D$343,"H20123")</f>
        <v>26847.359999999997</v>
      </c>
      <c r="H419" s="183">
        <f>SUMIFS($H$4:$H$343,$B$4:$B$343,"TGT 400D",$D$4:$D$343,"H20123")</f>
        <v>13260</v>
      </c>
      <c r="I419" s="500"/>
      <c r="J419" s="497"/>
      <c r="K419" s="183">
        <f>SUMIFS($K$4:$K$343,$B$4:$B$343,"TGT 400D",$D$4:$D$343,"H20123")</f>
        <v>133550</v>
      </c>
      <c r="L419" s="183">
        <f>SUMIFS($L$4:$L$343,$B$4:$B$343,"TGT 400D",$D$4:$D$343,"H20123")</f>
        <v>33</v>
      </c>
      <c r="M419" s="183">
        <f>SUMIFS($M$4:$M$343,$B$4:$B$343,"TGT 400D",$D$4:$D$343,"H20123")</f>
        <v>96415</v>
      </c>
      <c r="N419" s="183">
        <f>SUMIFS($N$4:$N$343,$B$4:$B$343,"TGT 400D",$D$4:$D$343,"H20123")</f>
        <v>96599</v>
      </c>
      <c r="O419" s="183">
        <f>SUMIFS($O$4:$O$343,$B$4:$B$343,"TGT 400D",$D$4:$D$343,"H20123")</f>
        <v>20498</v>
      </c>
      <c r="P419" s="183">
        <f>SUMIFS($P$4:$P$343,$B$4:$B$343,"TGT 400D",$D$4:$D$343,"H20123")</f>
        <v>6</v>
      </c>
      <c r="Q419" s="122"/>
    </row>
    <row r="420" spans="1:24" s="4" customFormat="1" ht="15.75" customHeight="1">
      <c r="A420" s="508"/>
      <c r="B420" s="442" t="s">
        <v>106</v>
      </c>
      <c r="C420" s="444" t="s">
        <v>141</v>
      </c>
      <c r="D420" s="59" t="s">
        <v>68</v>
      </c>
      <c r="E420" s="439"/>
      <c r="F420" s="59" t="s">
        <v>67</v>
      </c>
      <c r="G420" s="280">
        <f>SUMIFS($G$4:$G$343,$D$4:$D$343,"1T3035ZC-35",$F$4:$F$343,"56""")</f>
        <v>456.26</v>
      </c>
      <c r="H420" s="183"/>
      <c r="I420" s="500"/>
      <c r="J420" s="497"/>
      <c r="K420" s="191">
        <f>SUMIFS($K$4:$K$343,$D$4:$D$343,"1T3035ZC-35",$F$4:$F$343,"56""")</f>
        <v>2000</v>
      </c>
      <c r="L420" s="191">
        <f>SUMIFS($L$4:$L$343,$D$4:$D$343,"1T3035ZC-35",$F$4:$F$343,"56""")</f>
        <v>1</v>
      </c>
      <c r="M420" s="191">
        <f>SUMIFS($M$4:$M$343,$D$4:$D$343,"1T3035ZC-35",$F$4:$F$343,"56""")</f>
        <v>1794</v>
      </c>
      <c r="N420" s="191">
        <f>SUMIFS($N$4:$N$343,$D$4:$D$343,"1T3035ZC-35",$F$4:$F$343,"56""")</f>
        <v>1794</v>
      </c>
      <c r="O420" s="191">
        <f>SUMIFS($O$4:$O$343,$D$4:$D$343,"1T3035ZC-35",$F$4:$F$343,"56""")</f>
        <v>1794</v>
      </c>
      <c r="P420" s="191"/>
      <c r="Q420" s="137"/>
    </row>
    <row r="421" spans="1:24" s="4" customFormat="1" ht="15.75" customHeight="1">
      <c r="A421" s="508"/>
      <c r="B421" s="443"/>
      <c r="C421" s="446"/>
      <c r="D421" s="59" t="s">
        <v>109</v>
      </c>
      <c r="E421" s="439"/>
      <c r="F421" s="59"/>
      <c r="G421" s="191"/>
      <c r="H421" s="183">
        <f>SUMIF($D$4:$D$343,"1T2587ZC-46",$H$4:$H$343)</f>
        <v>216</v>
      </c>
      <c r="I421" s="500"/>
      <c r="J421" s="497"/>
      <c r="K421" s="191"/>
      <c r="L421" s="191"/>
      <c r="M421" s="183"/>
      <c r="N421" s="183"/>
      <c r="O421" s="191"/>
      <c r="P421" s="191"/>
      <c r="Q421" s="137"/>
    </row>
    <row r="422" spans="1:24" s="4" customFormat="1" ht="15.75" customHeight="1">
      <c r="A422" s="508"/>
      <c r="B422" s="137" t="s">
        <v>107</v>
      </c>
      <c r="C422" s="157" t="s">
        <v>386</v>
      </c>
      <c r="D422" s="59" t="s">
        <v>108</v>
      </c>
      <c r="E422" s="439"/>
      <c r="F422" s="59" t="s">
        <v>48</v>
      </c>
      <c r="G422" s="193">
        <f>SUMIF($D$4:$D$343,"M5102014",$G$4:$G$343)</f>
        <v>1930.92</v>
      </c>
      <c r="H422" s="193">
        <f>SUMIF($D$4:$D$343,"M5102014",$H$4:$H$343)</f>
        <v>1627.5</v>
      </c>
      <c r="I422" s="500"/>
      <c r="J422" s="497"/>
      <c r="K422" s="183">
        <f>SUMIFS($K$4:$K$343,$D$4:$D$343,"M5102014",$F$4:$F$343,"61""")</f>
        <v>13000</v>
      </c>
      <c r="L422" s="183">
        <f>SUMIFS($L$4:$L$343,$D$4:$D$343,"M5102014",$F$4:$F$343,"61""")</f>
        <v>2</v>
      </c>
      <c r="M422" s="183">
        <f>SUMIFS($M$4:$M$343,$D$4:$D$343,"M5102014",$F$4:$F$343,"61""")</f>
        <v>14168</v>
      </c>
      <c r="N422" s="183">
        <f>SUMIFS($N$4:$N$343,$D$4:$D$343,"M5102014",$F$4:$F$343,"61""")</f>
        <v>14168</v>
      </c>
      <c r="O422" s="183">
        <f>SUMIFS($O$4:$O$343,$D$4:$D$343,"M5102014",$F$4:$F$343,"61""")</f>
        <v>1403</v>
      </c>
      <c r="P422" s="183"/>
      <c r="Q422" s="122"/>
    </row>
    <row r="423" spans="1:24" s="4" customFormat="1" ht="15.75" customHeight="1">
      <c r="A423" s="384"/>
      <c r="B423" s="122" t="s">
        <v>103</v>
      </c>
      <c r="C423" s="157" t="s">
        <v>197</v>
      </c>
      <c r="D423" s="48" t="s">
        <v>104</v>
      </c>
      <c r="E423" s="439"/>
      <c r="F423" s="59" t="s">
        <v>105</v>
      </c>
      <c r="G423" s="193"/>
      <c r="H423" s="193"/>
      <c r="I423" s="500"/>
      <c r="J423" s="497"/>
      <c r="K423" s="183"/>
      <c r="L423" s="183"/>
      <c r="M423" s="183">
        <f>SUMIFS($M$4:$M$343,$D$4:$D$343," RD159Z",$F$4:$F$343,"95""")</f>
        <v>47</v>
      </c>
      <c r="N423" s="183">
        <f>SUMIFS($N$4:$N$343,$D$4:$D$343," RD159Z",$F$4:$F$343,"95""")</f>
        <v>47</v>
      </c>
      <c r="O423" s="183"/>
      <c r="P423" s="183"/>
      <c r="Q423" s="122"/>
    </row>
    <row r="424" spans="1:24" s="4" customFormat="1" ht="15.75" customHeight="1">
      <c r="A424" s="384"/>
      <c r="B424" s="442" t="s">
        <v>112</v>
      </c>
      <c r="C424" s="444" t="s">
        <v>197</v>
      </c>
      <c r="D424" s="48" t="s">
        <v>104</v>
      </c>
      <c r="E424" s="439"/>
      <c r="F424" s="48" t="s">
        <v>113</v>
      </c>
      <c r="G424" s="218"/>
      <c r="H424" s="218"/>
      <c r="I424" s="500"/>
      <c r="J424" s="497"/>
      <c r="K424" s="183"/>
      <c r="L424" s="183"/>
      <c r="M424" s="183">
        <f>SUMIFS($M$4:$M$343,$D$4:$D$343," RD159Z",$F$4:$F$343,"94""")</f>
        <v>34</v>
      </c>
      <c r="N424" s="183">
        <f>SUMIFS($N$4:$N$343,$D$4:$D$343," RD159Z",$F$4:$F$343,"94""")</f>
        <v>34</v>
      </c>
      <c r="O424" s="183"/>
      <c r="P424" s="183"/>
      <c r="Q424" s="122"/>
    </row>
    <row r="425" spans="1:24" s="4" customFormat="1" ht="15.75" customHeight="1" thickBot="1">
      <c r="A425" s="384"/>
      <c r="B425" s="443"/>
      <c r="C425" s="446"/>
      <c r="D425" s="48" t="s">
        <v>85</v>
      </c>
      <c r="E425" s="502"/>
      <c r="F425" s="89"/>
      <c r="G425" s="220"/>
      <c r="H425" s="183">
        <f>SUMIF($D$4:$D$343,"X040218",$H$4:$H$343)</f>
        <v>210</v>
      </c>
      <c r="I425" s="501"/>
      <c r="J425" s="498"/>
      <c r="K425" s="221"/>
      <c r="L425" s="221"/>
      <c r="M425" s="221"/>
      <c r="N425" s="221"/>
      <c r="O425" s="221"/>
      <c r="P425" s="221"/>
      <c r="Q425" s="251"/>
    </row>
    <row r="426" spans="1:24" s="376" customFormat="1" ht="19.5" customHeight="1" thickBot="1">
      <c r="A426" s="371" t="s">
        <v>5</v>
      </c>
      <c r="B426" s="372"/>
      <c r="C426" s="373"/>
      <c r="D426" s="372"/>
      <c r="E426" s="372"/>
      <c r="F426" s="372"/>
      <c r="G426" s="374">
        <f>SUM(G344:G425)</f>
        <v>880764.31</v>
      </c>
      <c r="H426" s="374">
        <f t="shared" ref="H426:P426" si="0">SUM(H344:H425)</f>
        <v>848199.30999999982</v>
      </c>
      <c r="I426" s="375">
        <f t="shared" si="0"/>
        <v>3468</v>
      </c>
      <c r="J426" s="374">
        <f t="shared" si="0"/>
        <v>177.3</v>
      </c>
      <c r="K426" s="375">
        <f>SUM(K344:K425)</f>
        <v>11891810</v>
      </c>
      <c r="L426" s="375">
        <f t="shared" si="0"/>
        <v>1713</v>
      </c>
      <c r="M426" s="375">
        <f t="shared" si="0"/>
        <v>11559494</v>
      </c>
      <c r="N426" s="375">
        <f t="shared" si="0"/>
        <v>11587888</v>
      </c>
      <c r="O426" s="375">
        <f t="shared" si="0"/>
        <v>11191808</v>
      </c>
      <c r="P426" s="375">
        <f t="shared" si="0"/>
        <v>10494</v>
      </c>
      <c r="Q426" s="372"/>
      <c r="S426" s="377"/>
    </row>
    <row r="427" spans="1:24">
      <c r="N427" s="29"/>
    </row>
    <row r="428" spans="1:24"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</row>
    <row r="429" spans="1:24">
      <c r="G429" s="195"/>
      <c r="K429" s="13"/>
      <c r="L429" s="13"/>
    </row>
    <row r="430" spans="1:24"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</row>
    <row r="431" spans="1:24">
      <c r="K431" s="13"/>
      <c r="L431" s="13"/>
    </row>
    <row r="434" spans="1:18">
      <c r="H434" s="103"/>
      <c r="K434" s="176"/>
      <c r="L434" s="176"/>
      <c r="M434" s="176"/>
      <c r="N434" s="176"/>
      <c r="O434" s="176"/>
      <c r="P434" s="176"/>
      <c r="Q434" s="176"/>
    </row>
    <row r="436" spans="1:18">
      <c r="R436" s="4"/>
    </row>
    <row r="441" spans="1:18" s="4" customFormat="1">
      <c r="A441" s="15"/>
      <c r="B441" s="1"/>
      <c r="C441" s="79"/>
      <c r="D441" s="1"/>
      <c r="E441" s="1"/>
      <c r="F441" s="1"/>
      <c r="G441" s="1"/>
      <c r="H441" s="1"/>
      <c r="I441" s="1"/>
      <c r="J441" s="1"/>
      <c r="K441" s="1"/>
      <c r="L441" s="1"/>
      <c r="M441" s="13"/>
      <c r="N441" s="13"/>
      <c r="O441" s="13"/>
      <c r="P441" s="13"/>
      <c r="Q441" s="1"/>
      <c r="R441" s="1"/>
    </row>
    <row r="445" spans="1:18">
      <c r="H445" s="103"/>
    </row>
  </sheetData>
  <mergeCells count="283">
    <mergeCell ref="B344:B349"/>
    <mergeCell ref="E345:E349"/>
    <mergeCell ref="J114:J160"/>
    <mergeCell ref="C420:C421"/>
    <mergeCell ref="B38:B39"/>
    <mergeCell ref="C38:C39"/>
    <mergeCell ref="C63:C64"/>
    <mergeCell ref="B63:B64"/>
    <mergeCell ref="I4:I40"/>
    <mergeCell ref="C383:C384"/>
    <mergeCell ref="B383:B384"/>
    <mergeCell ref="C389:C391"/>
    <mergeCell ref="C385:C386"/>
    <mergeCell ref="C25:C26"/>
    <mergeCell ref="B30:B31"/>
    <mergeCell ref="C30:C31"/>
    <mergeCell ref="C27:C28"/>
    <mergeCell ref="B27:B28"/>
    <mergeCell ref="C4:C7"/>
    <mergeCell ref="C21:C22"/>
    <mergeCell ref="E21:E40"/>
    <mergeCell ref="B23:B24"/>
    <mergeCell ref="C23:C24"/>
    <mergeCell ref="B161:B163"/>
    <mergeCell ref="E164:E166"/>
    <mergeCell ref="E167:E168"/>
    <mergeCell ref="C164:C171"/>
    <mergeCell ref="B156:B157"/>
    <mergeCell ref="C156:C157"/>
    <mergeCell ref="C161:C163"/>
    <mergeCell ref="E162:E163"/>
    <mergeCell ref="B52:B55"/>
    <mergeCell ref="C60:C62"/>
    <mergeCell ref="B60:B62"/>
    <mergeCell ref="C92:C93"/>
    <mergeCell ref="E92:E113"/>
    <mergeCell ref="B117:B125"/>
    <mergeCell ref="C147:C149"/>
    <mergeCell ref="B158:B159"/>
    <mergeCell ref="C158:C159"/>
    <mergeCell ref="C100:C101"/>
    <mergeCell ref="E124:E125"/>
    <mergeCell ref="E126:E127"/>
    <mergeCell ref="C150:C151"/>
    <mergeCell ref="B150:B151"/>
    <mergeCell ref="B135:B136"/>
    <mergeCell ref="C135:C136"/>
    <mergeCell ref="B137:B138"/>
    <mergeCell ref="E48:E51"/>
    <mergeCell ref="E53:E54"/>
    <mergeCell ref="C44:C51"/>
    <mergeCell ref="B44:B51"/>
    <mergeCell ref="C126:C131"/>
    <mergeCell ref="B126:B131"/>
    <mergeCell ref="E130:E131"/>
    <mergeCell ref="B77:B78"/>
    <mergeCell ref="B89:B91"/>
    <mergeCell ref="C77:C78"/>
    <mergeCell ref="E82:E83"/>
    <mergeCell ref="C96:C97"/>
    <mergeCell ref="B58:B59"/>
    <mergeCell ref="C58:C59"/>
    <mergeCell ref="B70:B71"/>
    <mergeCell ref="C70:C71"/>
    <mergeCell ref="B66:B67"/>
    <mergeCell ref="C66:C67"/>
    <mergeCell ref="B75:B76"/>
    <mergeCell ref="C75:C76"/>
    <mergeCell ref="C89:C91"/>
    <mergeCell ref="B92:B93"/>
    <mergeCell ref="C56:C57"/>
    <mergeCell ref="E56:E79"/>
    <mergeCell ref="J4:J40"/>
    <mergeCell ref="E46:E47"/>
    <mergeCell ref="B25:B26"/>
    <mergeCell ref="E10:E11"/>
    <mergeCell ref="E12:E13"/>
    <mergeCell ref="B96:B97"/>
    <mergeCell ref="J41:J79"/>
    <mergeCell ref="B56:B57"/>
    <mergeCell ref="B41:B43"/>
    <mergeCell ref="C41:C43"/>
    <mergeCell ref="I41:I79"/>
    <mergeCell ref="B14:B20"/>
    <mergeCell ref="C14:C20"/>
    <mergeCell ref="E14:E17"/>
    <mergeCell ref="E18:E19"/>
    <mergeCell ref="B21:B22"/>
    <mergeCell ref="E5:E7"/>
    <mergeCell ref="B8:B13"/>
    <mergeCell ref="C8:C13"/>
    <mergeCell ref="E8:E9"/>
    <mergeCell ref="J80:J113"/>
    <mergeCell ref="B105:B106"/>
    <mergeCell ref="C111:C112"/>
    <mergeCell ref="B100:B101"/>
    <mergeCell ref="A4:A40"/>
    <mergeCell ref="B4:B7"/>
    <mergeCell ref="E42:E43"/>
    <mergeCell ref="E44:E45"/>
    <mergeCell ref="B147:B149"/>
    <mergeCell ref="A41:A79"/>
    <mergeCell ref="Q2:Q3"/>
    <mergeCell ref="M2:M3"/>
    <mergeCell ref="N2:N3"/>
    <mergeCell ref="G2:G3"/>
    <mergeCell ref="H2:H3"/>
    <mergeCell ref="I2:I3"/>
    <mergeCell ref="J2:J3"/>
    <mergeCell ref="K2:K3"/>
    <mergeCell ref="L2:L3"/>
    <mergeCell ref="O2:O3"/>
    <mergeCell ref="P2:P3"/>
    <mergeCell ref="A80:A113"/>
    <mergeCell ref="B80:B81"/>
    <mergeCell ref="C80:C81"/>
    <mergeCell ref="I80:I113"/>
    <mergeCell ref="C52:C55"/>
    <mergeCell ref="B36:B37"/>
    <mergeCell ref="C36:C37"/>
    <mergeCell ref="A114:A160"/>
    <mergeCell ref="I114:I160"/>
    <mergeCell ref="A2:A3"/>
    <mergeCell ref="B2:B3"/>
    <mergeCell ref="C2:C3"/>
    <mergeCell ref="C105:C106"/>
    <mergeCell ref="D2:D3"/>
    <mergeCell ref="E2:E3"/>
    <mergeCell ref="F2:F3"/>
    <mergeCell ref="C114:C116"/>
    <mergeCell ref="B114:B116"/>
    <mergeCell ref="E115:E116"/>
    <mergeCell ref="B94:B95"/>
    <mergeCell ref="C94:C95"/>
    <mergeCell ref="B109:B110"/>
    <mergeCell ref="C109:C110"/>
    <mergeCell ref="B111:B112"/>
    <mergeCell ref="C117:C124"/>
    <mergeCell ref="E117:E119"/>
    <mergeCell ref="B132:B133"/>
    <mergeCell ref="C132:C133"/>
    <mergeCell ref="E132:E160"/>
    <mergeCell ref="B82:B88"/>
    <mergeCell ref="C82:C88"/>
    <mergeCell ref="C417:C418"/>
    <mergeCell ref="B417:B418"/>
    <mergeCell ref="B350:B363"/>
    <mergeCell ref="C362:C363"/>
    <mergeCell ref="E362:E363"/>
    <mergeCell ref="E375:E376"/>
    <mergeCell ref="E371:E374"/>
    <mergeCell ref="E353:E354"/>
    <mergeCell ref="E364:E369"/>
    <mergeCell ref="C406:C408"/>
    <mergeCell ref="B406:B408"/>
    <mergeCell ref="E355:E361"/>
    <mergeCell ref="B389:B391"/>
    <mergeCell ref="B392:B393"/>
    <mergeCell ref="C392:C393"/>
    <mergeCell ref="C350:C361"/>
    <mergeCell ref="B377:B378"/>
    <mergeCell ref="C377:C378"/>
    <mergeCell ref="B380:B381"/>
    <mergeCell ref="C380:C381"/>
    <mergeCell ref="E350:E352"/>
    <mergeCell ref="C137:C138"/>
    <mergeCell ref="B141:B142"/>
    <mergeCell ref="C141:C142"/>
    <mergeCell ref="C344:C349"/>
    <mergeCell ref="B420:B421"/>
    <mergeCell ref="I161:I206"/>
    <mergeCell ref="J161:J206"/>
    <mergeCell ref="B181:B182"/>
    <mergeCell ref="C181:C182"/>
    <mergeCell ref="B204:B205"/>
    <mergeCell ref="C204:C205"/>
    <mergeCell ref="C238:C240"/>
    <mergeCell ref="B238:B240"/>
    <mergeCell ref="E215:E217"/>
    <mergeCell ref="B241:B242"/>
    <mergeCell ref="C241:C242"/>
    <mergeCell ref="E320:E343"/>
    <mergeCell ref="B327:B328"/>
    <mergeCell ref="C327:C328"/>
    <mergeCell ref="B329:B330"/>
    <mergeCell ref="C329:C330"/>
    <mergeCell ref="B337:B338"/>
    <mergeCell ref="C337:C338"/>
    <mergeCell ref="B315:B319"/>
    <mergeCell ref="J304:J343"/>
    <mergeCell ref="C184:C185"/>
    <mergeCell ref="C186:C187"/>
    <mergeCell ref="B190:B191"/>
    <mergeCell ref="C190:C191"/>
    <mergeCell ref="E308:E309"/>
    <mergeCell ref="I207:I256"/>
    <mergeCell ref="J207:J256"/>
    <mergeCell ref="C209:C218"/>
    <mergeCell ref="E209:E211"/>
    <mergeCell ref="B221:B223"/>
    <mergeCell ref="C221:C223"/>
    <mergeCell ref="B224:B225"/>
    <mergeCell ref="C224:C225"/>
    <mergeCell ref="E224:E256"/>
    <mergeCell ref="B226:B227"/>
    <mergeCell ref="C226:C227"/>
    <mergeCell ref="B228:B229"/>
    <mergeCell ref="C228:C229"/>
    <mergeCell ref="E221:E222"/>
    <mergeCell ref="B209:B220"/>
    <mergeCell ref="C219:C220"/>
    <mergeCell ref="C283:C284"/>
    <mergeCell ref="I304:I343"/>
    <mergeCell ref="A344:A422"/>
    <mergeCell ref="B174:B180"/>
    <mergeCell ref="C174:C180"/>
    <mergeCell ref="E181:E206"/>
    <mergeCell ref="B184:B185"/>
    <mergeCell ref="B164:B173"/>
    <mergeCell ref="C172:C173"/>
    <mergeCell ref="E171:E173"/>
    <mergeCell ref="E169:E170"/>
    <mergeCell ref="A161:A206"/>
    <mergeCell ref="C403:C404"/>
    <mergeCell ref="B403:B404"/>
    <mergeCell ref="C364:C376"/>
    <mergeCell ref="B364:B376"/>
    <mergeCell ref="E174:E176"/>
    <mergeCell ref="A207:A256"/>
    <mergeCell ref="B207:B208"/>
    <mergeCell ref="C207:C208"/>
    <mergeCell ref="E218:E220"/>
    <mergeCell ref="C245:C248"/>
    <mergeCell ref="B245:B248"/>
    <mergeCell ref="C315:C319"/>
    <mergeCell ref="B385:B386"/>
    <mergeCell ref="C194:C196"/>
    <mergeCell ref="B194:B196"/>
    <mergeCell ref="B186:B187"/>
    <mergeCell ref="E317:E318"/>
    <mergeCell ref="C257:C259"/>
    <mergeCell ref="B257:B259"/>
    <mergeCell ref="A257:A303"/>
    <mergeCell ref="B304:B305"/>
    <mergeCell ref="C304:C305"/>
    <mergeCell ref="B306:B314"/>
    <mergeCell ref="C306:C312"/>
    <mergeCell ref="E306:E307"/>
    <mergeCell ref="E310:E311"/>
    <mergeCell ref="E312:E313"/>
    <mergeCell ref="C313:C314"/>
    <mergeCell ref="A304:A343"/>
    <mergeCell ref="E315:E316"/>
    <mergeCell ref="B320:B321"/>
    <mergeCell ref="C320:C321"/>
    <mergeCell ref="C292:C293"/>
    <mergeCell ref="B292:B293"/>
    <mergeCell ref="C294:C295"/>
    <mergeCell ref="B294:B295"/>
    <mergeCell ref="J344:J425"/>
    <mergeCell ref="I344:I425"/>
    <mergeCell ref="B424:B425"/>
    <mergeCell ref="C424:C425"/>
    <mergeCell ref="E377:E425"/>
    <mergeCell ref="I257:I303"/>
    <mergeCell ref="J257:J303"/>
    <mergeCell ref="B260:B268"/>
    <mergeCell ref="C260:C266"/>
    <mergeCell ref="E260:E261"/>
    <mergeCell ref="E262:E263"/>
    <mergeCell ref="E264:E265"/>
    <mergeCell ref="E266:E267"/>
    <mergeCell ref="C267:C268"/>
    <mergeCell ref="B269:B273"/>
    <mergeCell ref="C269:C273"/>
    <mergeCell ref="E269:E270"/>
    <mergeCell ref="E271:E272"/>
    <mergeCell ref="B274:B275"/>
    <mergeCell ref="C274:C275"/>
    <mergeCell ref="E274:E303"/>
    <mergeCell ref="B281:B282"/>
    <mergeCell ref="C281:C282"/>
    <mergeCell ref="B283:B284"/>
  </mergeCells>
  <phoneticPr fontId="96" type="noConversion"/>
  <pageMargins left="0.16" right="0.16" top="0.16" bottom="0.24" header="0.16" footer="0.16"/>
  <pageSetup paperSize="9" scale="4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</vt:lpstr>
      <vt:lpstr>Total Jan</vt:lpstr>
      <vt:lpstr>Feb</vt:lpstr>
      <vt:lpstr>Total Feb</vt:lpstr>
      <vt:lpstr>Mar</vt:lpstr>
      <vt:lpstr>Total Mar</vt:lpstr>
      <vt:lpstr>Apr</vt:lpstr>
      <vt:lpstr>Total Apr</vt:lpstr>
      <vt:lpstr>May</vt:lpstr>
      <vt:lpstr>Total May</vt:lpstr>
      <vt:lpstr>June</vt:lpstr>
      <vt:lpstr>Total June</vt:lpstr>
      <vt:lpstr>July</vt:lpstr>
      <vt:lpstr>Total July</vt:lpstr>
      <vt:lpstr>Total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Ahn.SH</dc:creator>
  <cp:lastModifiedBy>Tran Tr. Khai</cp:lastModifiedBy>
  <cp:lastPrinted>2026-07-09T02:57:29Z</cp:lastPrinted>
  <dcterms:created xsi:type="dcterms:W3CDTF">2024-11-21T08:33:49Z</dcterms:created>
  <dcterms:modified xsi:type="dcterms:W3CDTF">2026-07-21T08:10:39Z</dcterms:modified>
</cp:coreProperties>
</file>